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bookViews>
    <workbookView xWindow="240" yWindow="570" windowWidth="28455" windowHeight="11955" activeTab="15"/>
  </bookViews>
  <sheets>
    <sheet name="TVM" sheetId="1" r:id="rId1"/>
    <sheet name="KLM" sheetId="2" r:id="rId2"/>
    <sheet name="PTA" sheetId="3" r:id="rId3"/>
    <sheet name="ALP" sheetId="4" r:id="rId4"/>
    <sheet name="KTYM" sheetId="5" r:id="rId5"/>
    <sheet name="IDK" sheetId="6" r:id="rId6"/>
    <sheet name="EKM" sheetId="7" r:id="rId7"/>
    <sheet name="TSR" sheetId="8" r:id="rId8"/>
    <sheet name="PLKD" sheetId="9" r:id="rId9"/>
    <sheet name="MLPM" sheetId="10" r:id="rId10"/>
    <sheet name="KKD" sheetId="11" r:id="rId11"/>
    <sheet name="WYND" sheetId="12" r:id="rId12"/>
    <sheet name="KNR" sheetId="13" r:id="rId13"/>
    <sheet name="KSRGD" sheetId="14" r:id="rId14"/>
    <sheet name="SHS" sheetId="15" r:id="rId15"/>
    <sheet name="TOTAL" sheetId="16" r:id="rId16"/>
  </sheets>
  <calcPr calcId="124519"/>
</workbook>
</file>

<file path=xl/calcChain.xml><?xml version="1.0" encoding="utf-8"?>
<calcChain xmlns="http://schemas.openxmlformats.org/spreadsheetml/2006/main">
  <c r="I57" i="15"/>
  <c r="P86"/>
  <c r="R203"/>
  <c r="P192"/>
  <c r="K89" l="1"/>
  <c r="T85" i="14"/>
  <c r="T85" i="7"/>
  <c r="T86"/>
  <c r="T87"/>
  <c r="T88"/>
  <c r="T89"/>
  <c r="T90"/>
  <c r="P74" i="13" l="1"/>
  <c r="P74" i="12"/>
  <c r="P74" i="4" l="1"/>
  <c r="T186" i="15" l="1"/>
  <c r="T185"/>
  <c r="T184"/>
  <c r="R184"/>
  <c r="P184"/>
  <c r="N184"/>
  <c r="T186" i="14"/>
  <c r="T185"/>
  <c r="T184"/>
  <c r="R184"/>
  <c r="N184"/>
  <c r="T186" i="13"/>
  <c r="T185"/>
  <c r="T184"/>
  <c r="R184"/>
  <c r="N184"/>
  <c r="T186" i="12"/>
  <c r="T185"/>
  <c r="T184"/>
  <c r="R184"/>
  <c r="N184"/>
  <c r="T186" i="11"/>
  <c r="T185"/>
  <c r="T184"/>
  <c r="R184"/>
  <c r="N184"/>
  <c r="T186" i="10"/>
  <c r="T185"/>
  <c r="T184"/>
  <c r="R184"/>
  <c r="N184"/>
  <c r="T186" i="9"/>
  <c r="T185"/>
  <c r="T184"/>
  <c r="R184"/>
  <c r="N184"/>
  <c r="T186" i="8"/>
  <c r="T185"/>
  <c r="T184"/>
  <c r="R184"/>
  <c r="N184"/>
  <c r="T186" i="7"/>
  <c r="T185"/>
  <c r="T184"/>
  <c r="R184"/>
  <c r="N184"/>
  <c r="T186" i="6"/>
  <c r="T185"/>
  <c r="T184"/>
  <c r="R184"/>
  <c r="N184"/>
  <c r="T186" i="5"/>
  <c r="T185"/>
  <c r="T184"/>
  <c r="R184"/>
  <c r="N184"/>
  <c r="T186" i="4"/>
  <c r="T185"/>
  <c r="T184"/>
  <c r="R184"/>
  <c r="N184"/>
  <c r="T186" i="3"/>
  <c r="T185"/>
  <c r="T184"/>
  <c r="R184"/>
  <c r="N184"/>
  <c r="T186" i="2"/>
  <c r="T185"/>
  <c r="T184"/>
  <c r="R184"/>
  <c r="N184"/>
  <c r="T186" i="1"/>
  <c r="T185"/>
  <c r="T184"/>
  <c r="R184"/>
  <c r="Q37" i="15" l="1"/>
  <c r="N40"/>
  <c r="N47" l="1"/>
  <c r="N53"/>
  <c r="T85" l="1"/>
  <c r="T84"/>
  <c r="Q84"/>
  <c r="T83"/>
  <c r="I83"/>
  <c r="T82"/>
  <c r="T81"/>
  <c r="T80"/>
  <c r="S79"/>
  <c r="R79"/>
  <c r="P79"/>
  <c r="M79"/>
  <c r="I79"/>
  <c r="T79" s="1"/>
  <c r="Q84" i="14"/>
  <c r="T84" s="1"/>
  <c r="T83"/>
  <c r="I83"/>
  <c r="T82"/>
  <c r="P81"/>
  <c r="F81"/>
  <c r="T81" s="1"/>
  <c r="T80"/>
  <c r="F80"/>
  <c r="R79"/>
  <c r="P79"/>
  <c r="N79"/>
  <c r="M79"/>
  <c r="K79"/>
  <c r="I79"/>
  <c r="T79" s="1"/>
  <c r="Q84" i="13"/>
  <c r="T84" s="1"/>
  <c r="T83"/>
  <c r="K83"/>
  <c r="I83"/>
  <c r="T82"/>
  <c r="P81"/>
  <c r="F81"/>
  <c r="T81" s="1"/>
  <c r="T80"/>
  <c r="F80"/>
  <c r="S79"/>
  <c r="R79"/>
  <c r="P79"/>
  <c r="N79"/>
  <c r="M79"/>
  <c r="K79"/>
  <c r="T79" s="1"/>
  <c r="I79"/>
  <c r="Q84" i="12"/>
  <c r="T84" s="1"/>
  <c r="T83"/>
  <c r="S83"/>
  <c r="N83"/>
  <c r="K83"/>
  <c r="I83"/>
  <c r="T82"/>
  <c r="M82"/>
  <c r="T81"/>
  <c r="P81"/>
  <c r="F81"/>
  <c r="F80"/>
  <c r="T80" s="1"/>
  <c r="R79"/>
  <c r="P79"/>
  <c r="N79"/>
  <c r="M79"/>
  <c r="K79"/>
  <c r="I79"/>
  <c r="T79" s="1"/>
  <c r="Q84" i="11"/>
  <c r="T84" s="1"/>
  <c r="S83"/>
  <c r="N83"/>
  <c r="M83"/>
  <c r="K83"/>
  <c r="I83"/>
  <c r="H83"/>
  <c r="T83" s="1"/>
  <c r="F83"/>
  <c r="T82"/>
  <c r="M82"/>
  <c r="P81"/>
  <c r="F81"/>
  <c r="T81" s="1"/>
  <c r="T80"/>
  <c r="F80"/>
  <c r="S79"/>
  <c r="R79"/>
  <c r="P79"/>
  <c r="N79"/>
  <c r="M79"/>
  <c r="K79"/>
  <c r="T79" s="1"/>
  <c r="I79"/>
  <c r="Q84" i="10"/>
  <c r="T84" s="1"/>
  <c r="T83"/>
  <c r="N83"/>
  <c r="K83"/>
  <c r="I83"/>
  <c r="T82"/>
  <c r="T81"/>
  <c r="P81"/>
  <c r="F81"/>
  <c r="T80"/>
  <c r="F80"/>
  <c r="S79"/>
  <c r="R79"/>
  <c r="P79"/>
  <c r="N79"/>
  <c r="M79"/>
  <c r="K79"/>
  <c r="I79"/>
  <c r="T79" s="1"/>
  <c r="Q84" i="9"/>
  <c r="T84" s="1"/>
  <c r="T83"/>
  <c r="N83"/>
  <c r="K83"/>
  <c r="I83"/>
  <c r="T82"/>
  <c r="T81"/>
  <c r="P81"/>
  <c r="F81"/>
  <c r="T80"/>
  <c r="F80"/>
  <c r="S79"/>
  <c r="R79"/>
  <c r="P79"/>
  <c r="N79"/>
  <c r="M79"/>
  <c r="K79"/>
  <c r="I79"/>
  <c r="T79" s="1"/>
  <c r="Q84" i="8"/>
  <c r="T84" s="1"/>
  <c r="T83"/>
  <c r="S83"/>
  <c r="N83"/>
  <c r="K83"/>
  <c r="I83"/>
  <c r="T82"/>
  <c r="T81"/>
  <c r="P81"/>
  <c r="F81"/>
  <c r="T80"/>
  <c r="F80"/>
  <c r="S79"/>
  <c r="R79"/>
  <c r="P79"/>
  <c r="N79"/>
  <c r="M79"/>
  <c r="K79"/>
  <c r="T79" s="1"/>
  <c r="I79"/>
  <c r="T84" i="7"/>
  <c r="Q84"/>
  <c r="S83"/>
  <c r="N83"/>
  <c r="K83"/>
  <c r="I83"/>
  <c r="T83" s="1"/>
  <c r="T82"/>
  <c r="T81"/>
  <c r="P81"/>
  <c r="F81"/>
  <c r="F80"/>
  <c r="T80" s="1"/>
  <c r="S79"/>
  <c r="R79"/>
  <c r="P79"/>
  <c r="N79"/>
  <c r="M79"/>
  <c r="K79"/>
  <c r="T79" s="1"/>
  <c r="I79"/>
  <c r="H79"/>
  <c r="Q84" i="6"/>
  <c r="T84" s="1"/>
  <c r="S83"/>
  <c r="N83"/>
  <c r="K83"/>
  <c r="I83"/>
  <c r="H83"/>
  <c r="F83"/>
  <c r="T83" s="1"/>
  <c r="T82"/>
  <c r="T81"/>
  <c r="P81"/>
  <c r="F81"/>
  <c r="T80"/>
  <c r="F80"/>
  <c r="S79"/>
  <c r="R79"/>
  <c r="P79"/>
  <c r="N79"/>
  <c r="M79"/>
  <c r="K79"/>
  <c r="T79" s="1"/>
  <c r="I79"/>
  <c r="H79"/>
  <c r="Q84" i="5"/>
  <c r="T84" s="1"/>
  <c r="S83"/>
  <c r="N83"/>
  <c r="K83"/>
  <c r="I83"/>
  <c r="H83"/>
  <c r="F83"/>
  <c r="T83" s="1"/>
  <c r="T82"/>
  <c r="M82"/>
  <c r="P81"/>
  <c r="F81"/>
  <c r="T81" s="1"/>
  <c r="T80"/>
  <c r="F80"/>
  <c r="S79"/>
  <c r="R79"/>
  <c r="P79"/>
  <c r="N79"/>
  <c r="M79"/>
  <c r="K79"/>
  <c r="T79" s="1"/>
  <c r="I79"/>
  <c r="Q84" i="4"/>
  <c r="T84" s="1"/>
  <c r="T83"/>
  <c r="K83"/>
  <c r="I83"/>
  <c r="F83"/>
  <c r="M82"/>
  <c r="T82" s="1"/>
  <c r="T81"/>
  <c r="P81"/>
  <c r="F81"/>
  <c r="T80"/>
  <c r="F80"/>
  <c r="S79"/>
  <c r="R79"/>
  <c r="P79"/>
  <c r="N79"/>
  <c r="M79"/>
  <c r="K79"/>
  <c r="T79" s="1"/>
  <c r="I79"/>
  <c r="H79"/>
  <c r="Q84" i="3"/>
  <c r="T84" s="1"/>
  <c r="S83"/>
  <c r="N83"/>
  <c r="K83"/>
  <c r="I83"/>
  <c r="F83"/>
  <c r="T83" s="1"/>
  <c r="T82"/>
  <c r="M82"/>
  <c r="T81"/>
  <c r="P81"/>
  <c r="F81"/>
  <c r="T80"/>
  <c r="F80"/>
  <c r="S79"/>
  <c r="R79"/>
  <c r="P79"/>
  <c r="N79"/>
  <c r="M79"/>
  <c r="K79"/>
  <c r="T79" s="1"/>
  <c r="I79"/>
  <c r="Q84" i="2"/>
  <c r="T84" s="1"/>
  <c r="S83"/>
  <c r="N83"/>
  <c r="K83"/>
  <c r="I83"/>
  <c r="F83"/>
  <c r="T83" s="1"/>
  <c r="T82"/>
  <c r="M82"/>
  <c r="T81"/>
  <c r="P81"/>
  <c r="F81"/>
  <c r="T80"/>
  <c r="F80"/>
  <c r="S79"/>
  <c r="R79"/>
  <c r="P79"/>
  <c r="N79"/>
  <c r="M79"/>
  <c r="I79"/>
  <c r="T79" s="1"/>
  <c r="Q84" i="1"/>
  <c r="T84" s="1"/>
  <c r="S83"/>
  <c r="N83"/>
  <c r="K83"/>
  <c r="I83"/>
  <c r="H83"/>
  <c r="F83"/>
  <c r="T83" s="1"/>
  <c r="T82"/>
  <c r="M82"/>
  <c r="P81"/>
  <c r="F81"/>
  <c r="T81" s="1"/>
  <c r="T80"/>
  <c r="F80"/>
  <c r="S79"/>
  <c r="R79"/>
  <c r="P79"/>
  <c r="N79"/>
  <c r="M79"/>
  <c r="I79"/>
  <c r="T79" s="1"/>
  <c r="T167" i="15" l="1"/>
  <c r="T166"/>
  <c r="T165"/>
  <c r="T164"/>
  <c r="K163"/>
  <c r="T163" s="1"/>
  <c r="T66"/>
  <c r="T65"/>
  <c r="T64"/>
  <c r="T63"/>
  <c r="T62"/>
  <c r="T61"/>
  <c r="T60"/>
  <c r="T59"/>
  <c r="T58"/>
  <c r="K58"/>
  <c r="T57"/>
  <c r="K57"/>
  <c r="T66" i="14"/>
  <c r="T65"/>
  <c r="T64"/>
  <c r="T63"/>
  <c r="T62"/>
  <c r="T61"/>
  <c r="T60"/>
  <c r="T59"/>
  <c r="T58"/>
  <c r="T57"/>
  <c r="T66" i="13"/>
  <c r="T65"/>
  <c r="T64"/>
  <c r="T63"/>
  <c r="T62"/>
  <c r="M62"/>
  <c r="T61"/>
  <c r="T60"/>
  <c r="T59"/>
  <c r="T58"/>
  <c r="T57"/>
  <c r="T66" i="12"/>
  <c r="T65"/>
  <c r="T64"/>
  <c r="T63"/>
  <c r="T62"/>
  <c r="T61"/>
  <c r="T60"/>
  <c r="T59"/>
  <c r="T58"/>
  <c r="T57"/>
  <c r="T66" i="11"/>
  <c r="T65"/>
  <c r="T64"/>
  <c r="T63"/>
  <c r="T62"/>
  <c r="M62"/>
  <c r="T61"/>
  <c r="T60"/>
  <c r="T59"/>
  <c r="T58"/>
  <c r="T57"/>
  <c r="T66" i="10"/>
  <c r="T65"/>
  <c r="T64"/>
  <c r="T63"/>
  <c r="T62"/>
  <c r="T61"/>
  <c r="T60"/>
  <c r="T59"/>
  <c r="T58"/>
  <c r="T57"/>
  <c r="T66" i="9"/>
  <c r="T65"/>
  <c r="T64"/>
  <c r="T63"/>
  <c r="T62"/>
  <c r="T61"/>
  <c r="T60"/>
  <c r="T59"/>
  <c r="T58"/>
  <c r="T57"/>
  <c r="T66" i="8"/>
  <c r="T65"/>
  <c r="T64"/>
  <c r="T63"/>
  <c r="T62"/>
  <c r="M62"/>
  <c r="T61"/>
  <c r="T60"/>
  <c r="T59"/>
  <c r="T58"/>
  <c r="T57"/>
  <c r="T66" i="7"/>
  <c r="T65"/>
  <c r="T64"/>
  <c r="T63"/>
  <c r="T62"/>
  <c r="M62"/>
  <c r="T61"/>
  <c r="T60"/>
  <c r="T59"/>
  <c r="T58"/>
  <c r="T57"/>
  <c r="T66" i="6"/>
  <c r="T65"/>
  <c r="T64"/>
  <c r="T63"/>
  <c r="T62"/>
  <c r="T61"/>
  <c r="T60"/>
  <c r="T59"/>
  <c r="T58"/>
  <c r="T57"/>
  <c r="T66" i="5"/>
  <c r="T65"/>
  <c r="T64"/>
  <c r="T63"/>
  <c r="T62"/>
  <c r="M62"/>
  <c r="T61"/>
  <c r="T60"/>
  <c r="T59"/>
  <c r="T58"/>
  <c r="T57"/>
  <c r="T66" i="4"/>
  <c r="T65"/>
  <c r="T64"/>
  <c r="T63"/>
  <c r="T62"/>
  <c r="M62"/>
  <c r="T61"/>
  <c r="T60"/>
  <c r="T59"/>
  <c r="T58"/>
  <c r="T57"/>
  <c r="T66" i="3"/>
  <c r="T65"/>
  <c r="T64"/>
  <c r="T63"/>
  <c r="M62"/>
  <c r="T62" s="1"/>
  <c r="T61"/>
  <c r="T60"/>
  <c r="T59"/>
  <c r="T58"/>
  <c r="T57"/>
  <c r="T66" i="2"/>
  <c r="T65"/>
  <c r="T64"/>
  <c r="T63"/>
  <c r="T62"/>
  <c r="M62"/>
  <c r="T61"/>
  <c r="T60"/>
  <c r="T59"/>
  <c r="T58"/>
  <c r="T57"/>
  <c r="T66" i="1"/>
  <c r="T65"/>
  <c r="T64"/>
  <c r="T63"/>
  <c r="T62"/>
  <c r="M62"/>
  <c r="T61"/>
  <c r="T60"/>
  <c r="T59"/>
  <c r="T58"/>
  <c r="T57"/>
  <c r="R26" i="15"/>
  <c r="T36"/>
  <c r="T35"/>
  <c r="T34"/>
  <c r="T33"/>
  <c r="T32"/>
  <c r="P32"/>
  <c r="T31"/>
  <c r="T30"/>
  <c r="Q29"/>
  <c r="N29"/>
  <c r="I29"/>
  <c r="T29" s="1"/>
  <c r="T28"/>
  <c r="Q28"/>
  <c r="T27"/>
  <c r="M27"/>
  <c r="T26"/>
  <c r="T36" i="14"/>
  <c r="T35"/>
  <c r="T34"/>
  <c r="T33"/>
  <c r="T32"/>
  <c r="T31"/>
  <c r="T30"/>
  <c r="T29"/>
  <c r="P29"/>
  <c r="N29"/>
  <c r="T28"/>
  <c r="O28"/>
  <c r="T27"/>
  <c r="T26"/>
  <c r="R26"/>
  <c r="Q26"/>
  <c r="P26"/>
  <c r="N26"/>
  <c r="T36" i="13"/>
  <c r="T35"/>
  <c r="T34"/>
  <c r="T33"/>
  <c r="T32"/>
  <c r="T31"/>
  <c r="T30"/>
  <c r="T29"/>
  <c r="P29"/>
  <c r="N29"/>
  <c r="T28"/>
  <c r="O28"/>
  <c r="T27"/>
  <c r="T26"/>
  <c r="R26"/>
  <c r="Q26"/>
  <c r="P26"/>
  <c r="N26"/>
  <c r="I26"/>
  <c r="T36" i="12"/>
  <c r="T35"/>
  <c r="T34"/>
  <c r="T33"/>
  <c r="T32"/>
  <c r="T31"/>
  <c r="T30"/>
  <c r="T29"/>
  <c r="P29"/>
  <c r="N29"/>
  <c r="T28"/>
  <c r="O28"/>
  <c r="T27"/>
  <c r="T26"/>
  <c r="R26"/>
  <c r="Q26"/>
  <c r="P26"/>
  <c r="N26"/>
  <c r="T36" i="11"/>
  <c r="T35"/>
  <c r="T34"/>
  <c r="T33"/>
  <c r="T32"/>
  <c r="T31"/>
  <c r="T30"/>
  <c r="T29"/>
  <c r="P29"/>
  <c r="N29"/>
  <c r="T28"/>
  <c r="O28"/>
  <c r="T27"/>
  <c r="T26"/>
  <c r="R26"/>
  <c r="Q26"/>
  <c r="P26"/>
  <c r="N26"/>
  <c r="T36" i="10"/>
  <c r="T35"/>
  <c r="T34"/>
  <c r="T33"/>
  <c r="T32"/>
  <c r="T31"/>
  <c r="T30"/>
  <c r="T29"/>
  <c r="P29"/>
  <c r="N29"/>
  <c r="T28"/>
  <c r="O28"/>
  <c r="T27"/>
  <c r="T26"/>
  <c r="R26"/>
  <c r="Q26"/>
  <c r="P26"/>
  <c r="N26"/>
  <c r="T36" i="9"/>
  <c r="T35"/>
  <c r="T34"/>
  <c r="T33"/>
  <c r="T32"/>
  <c r="T31"/>
  <c r="T30"/>
  <c r="T29"/>
  <c r="P29"/>
  <c r="N29"/>
  <c r="T28"/>
  <c r="O28"/>
  <c r="T27"/>
  <c r="T26"/>
  <c r="R26"/>
  <c r="Q26"/>
  <c r="P26"/>
  <c r="N26"/>
  <c r="T36" i="8"/>
  <c r="T35"/>
  <c r="T34"/>
  <c r="T33"/>
  <c r="T32"/>
  <c r="T31"/>
  <c r="T30"/>
  <c r="T29"/>
  <c r="P29"/>
  <c r="N29"/>
  <c r="T28"/>
  <c r="O28"/>
  <c r="T27"/>
  <c r="T26"/>
  <c r="R26"/>
  <c r="Q26"/>
  <c r="P26"/>
  <c r="N26"/>
  <c r="T36" i="7" l="1"/>
  <c r="T35"/>
  <c r="T34"/>
  <c r="T33"/>
  <c r="T32"/>
  <c r="T31"/>
  <c r="T30"/>
  <c r="T29"/>
  <c r="P29"/>
  <c r="N29"/>
  <c r="T28"/>
  <c r="O28"/>
  <c r="T27"/>
  <c r="T26"/>
  <c r="R26"/>
  <c r="Q26"/>
  <c r="P26"/>
  <c r="N26"/>
  <c r="T36" i="6"/>
  <c r="T35"/>
  <c r="T34"/>
  <c r="T33"/>
  <c r="T32"/>
  <c r="T31"/>
  <c r="T30"/>
  <c r="T29"/>
  <c r="P29"/>
  <c r="N29"/>
  <c r="T28"/>
  <c r="O28"/>
  <c r="T27"/>
  <c r="T26"/>
  <c r="R26"/>
  <c r="Q26"/>
  <c r="P26"/>
  <c r="N26"/>
  <c r="T36" i="5"/>
  <c r="T35"/>
  <c r="T34"/>
  <c r="T33"/>
  <c r="T32"/>
  <c r="T31"/>
  <c r="T30"/>
  <c r="T29"/>
  <c r="P29"/>
  <c r="N29"/>
  <c r="T28"/>
  <c r="O28"/>
  <c r="T27"/>
  <c r="T26"/>
  <c r="R26"/>
  <c r="Q26"/>
  <c r="P26"/>
  <c r="N26"/>
  <c r="T36" i="4"/>
  <c r="T35"/>
  <c r="T34"/>
  <c r="T33"/>
  <c r="T32"/>
  <c r="T31"/>
  <c r="T30"/>
  <c r="T29"/>
  <c r="P29"/>
  <c r="N29"/>
  <c r="T28"/>
  <c r="O28"/>
  <c r="P27"/>
  <c r="T27" s="1"/>
  <c r="T26"/>
  <c r="R26"/>
  <c r="Q26"/>
  <c r="P26"/>
  <c r="N26"/>
  <c r="T36" i="3"/>
  <c r="T35"/>
  <c r="T34"/>
  <c r="T33"/>
  <c r="T32"/>
  <c r="T31"/>
  <c r="T30"/>
  <c r="P29"/>
  <c r="N29"/>
  <c r="T29" s="1"/>
  <c r="T28"/>
  <c r="O28"/>
  <c r="T27"/>
  <c r="P27"/>
  <c r="T26"/>
  <c r="R26"/>
  <c r="Q26"/>
  <c r="P26"/>
  <c r="N26"/>
  <c r="I26"/>
  <c r="T36" i="2"/>
  <c r="T35"/>
  <c r="T34"/>
  <c r="T33"/>
  <c r="T32"/>
  <c r="T31"/>
  <c r="T30"/>
  <c r="T29"/>
  <c r="P29"/>
  <c r="N29"/>
  <c r="T28"/>
  <c r="O28"/>
  <c r="P27"/>
  <c r="T27" s="1"/>
  <c r="R26"/>
  <c r="Q26"/>
  <c r="P26"/>
  <c r="N26"/>
  <c r="I26"/>
  <c r="T26" s="1"/>
  <c r="T36" i="1"/>
  <c r="T35"/>
  <c r="T34"/>
  <c r="T33"/>
  <c r="T32"/>
  <c r="T31"/>
  <c r="T30"/>
  <c r="T29"/>
  <c r="P29"/>
  <c r="N29"/>
  <c r="T28"/>
  <c r="O28"/>
  <c r="P27"/>
  <c r="T27" s="1"/>
  <c r="R26"/>
  <c r="Q26"/>
  <c r="P26"/>
  <c r="N26"/>
  <c r="I26"/>
  <c r="T26" s="1"/>
  <c r="I28" i="16"/>
  <c r="T103" i="15" l="1"/>
  <c r="T102"/>
  <c r="T101"/>
  <c r="T100"/>
  <c r="T99"/>
  <c r="T98"/>
  <c r="T97"/>
  <c r="T96"/>
  <c r="T95"/>
  <c r="T94"/>
  <c r="T103" i="14"/>
  <c r="T102"/>
  <c r="T101"/>
  <c r="T100"/>
  <c r="T99"/>
  <c r="T98"/>
  <c r="T97"/>
  <c r="T96"/>
  <c r="T95"/>
  <c r="T94"/>
  <c r="T103" i="13"/>
  <c r="T102"/>
  <c r="T101"/>
  <c r="T100"/>
  <c r="T99"/>
  <c r="T98"/>
  <c r="T97"/>
  <c r="T96"/>
  <c r="T95"/>
  <c r="T94"/>
  <c r="T103" i="12"/>
  <c r="T102"/>
  <c r="T101"/>
  <c r="T100"/>
  <c r="T99"/>
  <c r="T98"/>
  <c r="T97"/>
  <c r="T96"/>
  <c r="T95"/>
  <c r="T94"/>
  <c r="T103" i="11"/>
  <c r="T102"/>
  <c r="T101"/>
  <c r="T100"/>
  <c r="T99"/>
  <c r="T98"/>
  <c r="T97"/>
  <c r="T96"/>
  <c r="T95"/>
  <c r="T94"/>
  <c r="T103" i="10"/>
  <c r="T102"/>
  <c r="T101"/>
  <c r="T100"/>
  <c r="T99"/>
  <c r="T98"/>
  <c r="T97"/>
  <c r="T96"/>
  <c r="T95"/>
  <c r="T94"/>
  <c r="T103" i="9"/>
  <c r="T102"/>
  <c r="T101"/>
  <c r="T100"/>
  <c r="T99"/>
  <c r="T98"/>
  <c r="T97"/>
  <c r="T96"/>
  <c r="T95"/>
  <c r="T94"/>
  <c r="T103" i="8"/>
  <c r="T102"/>
  <c r="T101"/>
  <c r="T100"/>
  <c r="T99"/>
  <c r="T98"/>
  <c r="T97"/>
  <c r="T96"/>
  <c r="T95"/>
  <c r="T94"/>
  <c r="T103" i="7"/>
  <c r="T102"/>
  <c r="T101"/>
  <c r="T100"/>
  <c r="T99"/>
  <c r="T98"/>
  <c r="T97"/>
  <c r="T96"/>
  <c r="T95"/>
  <c r="T94"/>
  <c r="T103" i="6"/>
  <c r="T102"/>
  <c r="T101"/>
  <c r="T100"/>
  <c r="T99"/>
  <c r="T98"/>
  <c r="T97"/>
  <c r="T96"/>
  <c r="T95"/>
  <c r="T94"/>
  <c r="T103" i="5"/>
  <c r="T102"/>
  <c r="T101"/>
  <c r="T100"/>
  <c r="T99"/>
  <c r="T98"/>
  <c r="T97"/>
  <c r="T96"/>
  <c r="T95"/>
  <c r="T94"/>
  <c r="T103" i="4"/>
  <c r="T102"/>
  <c r="T101"/>
  <c r="T100"/>
  <c r="T99"/>
  <c r="T98"/>
  <c r="T97"/>
  <c r="T96"/>
  <c r="T95"/>
  <c r="T94"/>
  <c r="T103" i="3"/>
  <c r="T102"/>
  <c r="T101"/>
  <c r="T100"/>
  <c r="T99"/>
  <c r="T98"/>
  <c r="T97"/>
  <c r="T96"/>
  <c r="T95"/>
  <c r="T94"/>
  <c r="T103" i="2"/>
  <c r="T102"/>
  <c r="T101"/>
  <c r="T100"/>
  <c r="T99"/>
  <c r="T98"/>
  <c r="T97"/>
  <c r="T96"/>
  <c r="T95"/>
  <c r="T94"/>
  <c r="T103" i="1"/>
  <c r="T102"/>
  <c r="T101"/>
  <c r="T100"/>
  <c r="T99"/>
  <c r="T98"/>
  <c r="T97"/>
  <c r="T96"/>
  <c r="T95"/>
  <c r="T94"/>
  <c r="T113" l="1"/>
  <c r="T113" i="2"/>
  <c r="T157" i="15" l="1"/>
  <c r="P157"/>
  <c r="T150"/>
  <c r="T151"/>
  <c r="T157" i="14"/>
  <c r="P157"/>
  <c r="T150"/>
  <c r="T151"/>
  <c r="T157" i="13"/>
  <c r="P157"/>
  <c r="T150"/>
  <c r="T151"/>
  <c r="T152"/>
  <c r="T157" i="12"/>
  <c r="P157"/>
  <c r="T150"/>
  <c r="T151"/>
  <c r="T157" i="11"/>
  <c r="P157"/>
  <c r="T150"/>
  <c r="T151"/>
  <c r="T157" i="10"/>
  <c r="P157"/>
  <c r="T150"/>
  <c r="T157" i="9"/>
  <c r="P157"/>
  <c r="T150"/>
  <c r="T157" i="8"/>
  <c r="P157"/>
  <c r="T150"/>
  <c r="T157" i="7"/>
  <c r="P157"/>
  <c r="T150"/>
  <c r="T157" i="6"/>
  <c r="P157"/>
  <c r="T150"/>
  <c r="T151"/>
  <c r="T157" i="5"/>
  <c r="P157"/>
  <c r="T150"/>
  <c r="T151"/>
  <c r="T157" i="4"/>
  <c r="P157"/>
  <c r="T150"/>
  <c r="T151"/>
  <c r="T157" i="3"/>
  <c r="P157"/>
  <c r="T150"/>
  <c r="T151"/>
  <c r="T157" i="2"/>
  <c r="P157"/>
  <c r="T150"/>
  <c r="T151"/>
  <c r="T157" i="1"/>
  <c r="P157"/>
  <c r="T150"/>
  <c r="T151"/>
  <c r="T156" i="15"/>
  <c r="T155"/>
  <c r="T154"/>
  <c r="R154"/>
  <c r="T153"/>
  <c r="T152"/>
  <c r="T149"/>
  <c r="T148"/>
  <c r="T147"/>
  <c r="T146"/>
  <c r="T145"/>
  <c r="T144"/>
  <c r="T143"/>
  <c r="T142"/>
  <c r="T141"/>
  <c r="T140"/>
  <c r="N139"/>
  <c r="T139" s="1"/>
  <c r="T138"/>
  <c r="T137"/>
  <c r="T136"/>
  <c r="T135"/>
  <c r="T156" i="14"/>
  <c r="T155"/>
  <c r="T154"/>
  <c r="T153"/>
  <c r="T152"/>
  <c r="T149"/>
  <c r="P148"/>
  <c r="T148" s="1"/>
  <c r="T147"/>
  <c r="T146"/>
  <c r="T145"/>
  <c r="P145"/>
  <c r="T144"/>
  <c r="T143"/>
  <c r="T142"/>
  <c r="P142"/>
  <c r="T141"/>
  <c r="T140"/>
  <c r="T139"/>
  <c r="N139"/>
  <c r="T138"/>
  <c r="T137"/>
  <c r="T136"/>
  <c r="Q136"/>
  <c r="T135"/>
  <c r="T156" i="13"/>
  <c r="T155"/>
  <c r="T154"/>
  <c r="T153"/>
  <c r="T149"/>
  <c r="P148"/>
  <c r="T148" s="1"/>
  <c r="T147"/>
  <c r="T146"/>
  <c r="T145"/>
  <c r="P145"/>
  <c r="T144"/>
  <c r="T143"/>
  <c r="T142"/>
  <c r="P142"/>
  <c r="T141"/>
  <c r="T140"/>
  <c r="N139"/>
  <c r="T139" s="1"/>
  <c r="T138"/>
  <c r="T137"/>
  <c r="T136"/>
  <c r="Q136"/>
  <c r="T135"/>
  <c r="T156" i="12"/>
  <c r="T155"/>
  <c r="T154"/>
  <c r="T153"/>
  <c r="T152"/>
  <c r="T149"/>
  <c r="T148"/>
  <c r="P148"/>
  <c r="T147"/>
  <c r="T146"/>
  <c r="T145"/>
  <c r="P145"/>
  <c r="T144"/>
  <c r="T143"/>
  <c r="T142"/>
  <c r="P142"/>
  <c r="T141"/>
  <c r="T140"/>
  <c r="T139"/>
  <c r="N139"/>
  <c r="T138"/>
  <c r="T137"/>
  <c r="T136"/>
  <c r="Q136"/>
  <c r="T135"/>
  <c r="T156" i="11"/>
  <c r="T155"/>
  <c r="T154"/>
  <c r="T153"/>
  <c r="T152"/>
  <c r="T149"/>
  <c r="T148"/>
  <c r="P148"/>
  <c r="T147"/>
  <c r="T146"/>
  <c r="T145"/>
  <c r="P145"/>
  <c r="T144"/>
  <c r="T143"/>
  <c r="T142"/>
  <c r="P142"/>
  <c r="T141"/>
  <c r="T140"/>
  <c r="T139"/>
  <c r="N139"/>
  <c r="T138"/>
  <c r="T137"/>
  <c r="T136"/>
  <c r="Q136"/>
  <c r="T135"/>
  <c r="T156" i="10"/>
  <c r="T155"/>
  <c r="T154"/>
  <c r="T153"/>
  <c r="T152"/>
  <c r="T151"/>
  <c r="T149"/>
  <c r="T148"/>
  <c r="P148"/>
  <c r="T147"/>
  <c r="T146"/>
  <c r="P145"/>
  <c r="T145" s="1"/>
  <c r="T144"/>
  <c r="T143"/>
  <c r="T142"/>
  <c r="P142"/>
  <c r="T141"/>
  <c r="T140"/>
  <c r="T139"/>
  <c r="N139"/>
  <c r="T138"/>
  <c r="T137"/>
  <c r="T136"/>
  <c r="Q136"/>
  <c r="T135"/>
  <c r="T156" i="9"/>
  <c r="T155"/>
  <c r="T154"/>
  <c r="T153"/>
  <c r="T152"/>
  <c r="T151"/>
  <c r="T149"/>
  <c r="T148"/>
  <c r="P148"/>
  <c r="T147"/>
  <c r="T146"/>
  <c r="T145"/>
  <c r="P145"/>
  <c r="T144"/>
  <c r="T143"/>
  <c r="T142"/>
  <c r="P142"/>
  <c r="T141"/>
  <c r="T140"/>
  <c r="T139"/>
  <c r="N139"/>
  <c r="T138"/>
  <c r="T137"/>
  <c r="T136"/>
  <c r="Q136"/>
  <c r="T135"/>
  <c r="T156" i="8"/>
  <c r="T155"/>
  <c r="T154"/>
  <c r="T153"/>
  <c r="T152"/>
  <c r="T151"/>
  <c r="T149"/>
  <c r="P148"/>
  <c r="T148" s="1"/>
  <c r="T147"/>
  <c r="T146"/>
  <c r="T145"/>
  <c r="P145"/>
  <c r="T144"/>
  <c r="T143"/>
  <c r="P142"/>
  <c r="T142" s="1"/>
  <c r="T141"/>
  <c r="T140"/>
  <c r="N139"/>
  <c r="T139" s="1"/>
  <c r="T138"/>
  <c r="T137"/>
  <c r="T136"/>
  <c r="Q136"/>
  <c r="T135"/>
  <c r="T156" i="7"/>
  <c r="T155"/>
  <c r="T154"/>
  <c r="T153"/>
  <c r="T152"/>
  <c r="T151"/>
  <c r="T149"/>
  <c r="P148"/>
  <c r="T148" s="1"/>
  <c r="T147"/>
  <c r="T146"/>
  <c r="T145"/>
  <c r="P145"/>
  <c r="T144"/>
  <c r="T143"/>
  <c r="T142"/>
  <c r="P142"/>
  <c r="T141"/>
  <c r="T140"/>
  <c r="N139"/>
  <c r="T139" s="1"/>
  <c r="T138"/>
  <c r="T137"/>
  <c r="T136"/>
  <c r="Q136"/>
  <c r="T135"/>
  <c r="T156" i="6"/>
  <c r="T155"/>
  <c r="T154"/>
  <c r="T153"/>
  <c r="T152"/>
  <c r="T149"/>
  <c r="P148"/>
  <c r="T148" s="1"/>
  <c r="T147"/>
  <c r="T146"/>
  <c r="T145"/>
  <c r="P145"/>
  <c r="T144"/>
  <c r="T143"/>
  <c r="T142"/>
  <c r="P142"/>
  <c r="T141"/>
  <c r="T140"/>
  <c r="T139"/>
  <c r="N139"/>
  <c r="T138"/>
  <c r="T137"/>
  <c r="T136"/>
  <c r="Q136"/>
  <c r="T135"/>
  <c r="T156" i="5"/>
  <c r="T155"/>
  <c r="T154"/>
  <c r="T153"/>
  <c r="T152"/>
  <c r="T149"/>
  <c r="T148"/>
  <c r="P148"/>
  <c r="T147"/>
  <c r="T146"/>
  <c r="T145"/>
  <c r="P145"/>
  <c r="T144"/>
  <c r="T143"/>
  <c r="T142"/>
  <c r="P142"/>
  <c r="T141"/>
  <c r="T140"/>
  <c r="T139"/>
  <c r="N139"/>
  <c r="T138"/>
  <c r="T137"/>
  <c r="T136"/>
  <c r="Q136"/>
  <c r="T135"/>
  <c r="T156" i="4"/>
  <c r="T155"/>
  <c r="T154"/>
  <c r="T153"/>
  <c r="T152"/>
  <c r="T149"/>
  <c r="P148"/>
  <c r="T148" s="1"/>
  <c r="T147"/>
  <c r="T146"/>
  <c r="T145"/>
  <c r="P145"/>
  <c r="T144"/>
  <c r="T143"/>
  <c r="T142"/>
  <c r="P142"/>
  <c r="T141"/>
  <c r="T140"/>
  <c r="N139"/>
  <c r="T139" s="1"/>
  <c r="T138"/>
  <c r="T137"/>
  <c r="T136"/>
  <c r="Q136"/>
  <c r="T135"/>
  <c r="T156" i="3"/>
  <c r="T155"/>
  <c r="T154"/>
  <c r="T153"/>
  <c r="T152"/>
  <c r="T149"/>
  <c r="T148"/>
  <c r="P148"/>
  <c r="T147"/>
  <c r="T146"/>
  <c r="T145"/>
  <c r="P145"/>
  <c r="T144"/>
  <c r="T143"/>
  <c r="T142"/>
  <c r="P142"/>
  <c r="T141"/>
  <c r="T140"/>
  <c r="T139"/>
  <c r="N139"/>
  <c r="T138"/>
  <c r="T137"/>
  <c r="T136"/>
  <c r="Q136"/>
  <c r="T135"/>
  <c r="S158" i="2"/>
  <c r="R158"/>
  <c r="Q158"/>
  <c r="O158"/>
  <c r="M158"/>
  <c r="L158"/>
  <c r="K158"/>
  <c r="J158"/>
  <c r="I158"/>
  <c r="H158"/>
  <c r="G158"/>
  <c r="F158"/>
  <c r="T156"/>
  <c r="T155"/>
  <c r="T154"/>
  <c r="T153"/>
  <c r="T152"/>
  <c r="T149"/>
  <c r="P148"/>
  <c r="T148" s="1"/>
  <c r="T147"/>
  <c r="T146"/>
  <c r="T145"/>
  <c r="P145"/>
  <c r="T144"/>
  <c r="T143"/>
  <c r="T142"/>
  <c r="P142"/>
  <c r="P158" s="1"/>
  <c r="T141"/>
  <c r="T140"/>
  <c r="N139"/>
  <c r="N158" s="1"/>
  <c r="T138"/>
  <c r="T137"/>
  <c r="T136"/>
  <c r="Q136"/>
  <c r="T135"/>
  <c r="S158" i="1"/>
  <c r="R158"/>
  <c r="Q158"/>
  <c r="O158"/>
  <c r="M158"/>
  <c r="L158"/>
  <c r="K158"/>
  <c r="J158"/>
  <c r="I158"/>
  <c r="H158"/>
  <c r="G158"/>
  <c r="F158"/>
  <c r="T156"/>
  <c r="T155"/>
  <c r="T154"/>
  <c r="T153"/>
  <c r="T152"/>
  <c r="T149"/>
  <c r="P148"/>
  <c r="T148" s="1"/>
  <c r="T147"/>
  <c r="T146"/>
  <c r="T145"/>
  <c r="P145"/>
  <c r="T144"/>
  <c r="T143"/>
  <c r="P142"/>
  <c r="P158" s="1"/>
  <c r="T141"/>
  <c r="T140"/>
  <c r="N139"/>
  <c r="N158" s="1"/>
  <c r="T138"/>
  <c r="T137"/>
  <c r="T136"/>
  <c r="Q136"/>
  <c r="T135"/>
  <c r="P161" i="15"/>
  <c r="P172"/>
  <c r="T139" i="2" l="1"/>
  <c r="T158" s="1"/>
  <c r="T139" i="1"/>
  <c r="T158" s="1"/>
  <c r="T142"/>
  <c r="N201" i="15" l="1"/>
  <c r="P204"/>
  <c r="R207"/>
  <c r="P23" i="14" l="1"/>
  <c r="P23" i="13"/>
  <c r="P23" i="11"/>
  <c r="P23" i="8"/>
  <c r="P23" i="5"/>
  <c r="P23" i="4"/>
  <c r="P23" i="3"/>
  <c r="P23" i="2"/>
  <c r="P23" i="1"/>
  <c r="P23" i="6"/>
  <c r="P23" i="7"/>
  <c r="P23" i="9"/>
  <c r="P23" i="10"/>
  <c r="Q22" i="15" l="1"/>
  <c r="I22"/>
  <c r="I20"/>
  <c r="G16"/>
  <c r="P12" l="1"/>
  <c r="K7"/>
  <c r="T7" l="1"/>
  <c r="T8"/>
  <c r="T9"/>
  <c r="T10"/>
  <c r="T11"/>
  <c r="T12"/>
  <c r="T13"/>
  <c r="T14"/>
  <c r="T15"/>
  <c r="T16"/>
  <c r="T17"/>
  <c r="T18"/>
  <c r="T19"/>
  <c r="T20"/>
  <c r="T21"/>
  <c r="T22"/>
  <c r="T23"/>
  <c r="T24"/>
  <c r="T25"/>
  <c r="T37"/>
  <c r="T38"/>
  <c r="T39"/>
  <c r="T40"/>
  <c r="T41"/>
  <c r="T42"/>
  <c r="T43"/>
  <c r="T44"/>
  <c r="T45"/>
  <c r="T46"/>
  <c r="T47"/>
  <c r="T48"/>
  <c r="T49"/>
  <c r="T50"/>
  <c r="T51"/>
  <c r="T52"/>
  <c r="T53"/>
  <c r="T54"/>
  <c r="T55"/>
  <c r="T56"/>
  <c r="T67"/>
  <c r="T69"/>
  <c r="T70"/>
  <c r="T71"/>
  <c r="T72"/>
  <c r="T73"/>
  <c r="T74"/>
  <c r="T75"/>
  <c r="T76"/>
  <c r="T77"/>
  <c r="T78"/>
  <c r="T86"/>
  <c r="T87"/>
  <c r="T88"/>
  <c r="T89"/>
  <c r="T90"/>
  <c r="T91"/>
  <c r="T92"/>
  <c r="T104"/>
  <c r="T105"/>
  <c r="T106"/>
  <c r="T107"/>
  <c r="T108"/>
  <c r="T109"/>
  <c r="T110"/>
  <c r="T111"/>
  <c r="T112"/>
  <c r="T113"/>
  <c r="T114"/>
  <c r="T115"/>
  <c r="T116"/>
  <c r="T117"/>
  <c r="T118"/>
  <c r="T119"/>
  <c r="T120"/>
  <c r="T121"/>
  <c r="T122"/>
  <c r="T123"/>
  <c r="T124"/>
  <c r="T125"/>
  <c r="T126"/>
  <c r="T127"/>
  <c r="T128"/>
  <c r="T129"/>
  <c r="T130"/>
  <c r="T131"/>
  <c r="T132"/>
  <c r="T133"/>
  <c r="T159"/>
  <c r="T160"/>
  <c r="T161"/>
  <c r="T162"/>
  <c r="T168"/>
  <c r="T169"/>
  <c r="T170"/>
  <c r="T171"/>
  <c r="T172"/>
  <c r="T173"/>
  <c r="T174"/>
  <c r="T175"/>
  <c r="T176"/>
  <c r="T177"/>
  <c r="T178"/>
  <c r="T179"/>
  <c r="T180"/>
  <c r="T181"/>
  <c r="T182"/>
  <c r="T183"/>
  <c r="T187"/>
  <c r="T188"/>
  <c r="T189"/>
  <c r="T190"/>
  <c r="T191"/>
  <c r="T192"/>
  <c r="T193"/>
  <c r="T194"/>
  <c r="T195"/>
  <c r="T196"/>
  <c r="T197"/>
  <c r="T198"/>
  <c r="T199"/>
  <c r="T200"/>
  <c r="T201"/>
  <c r="T202"/>
  <c r="T203"/>
  <c r="T204"/>
  <c r="T205"/>
  <c r="T206"/>
  <c r="T207"/>
  <c r="T208"/>
  <c r="T7" i="14"/>
  <c r="T8"/>
  <c r="T9"/>
  <c r="T10"/>
  <c r="T11"/>
  <c r="T12"/>
  <c r="T13"/>
  <c r="T14"/>
  <c r="T15"/>
  <c r="T16"/>
  <c r="T17"/>
  <c r="T18"/>
  <c r="T19"/>
  <c r="T20"/>
  <c r="T21"/>
  <c r="T22"/>
  <c r="T23"/>
  <c r="T24"/>
  <c r="T25"/>
  <c r="T37"/>
  <c r="T38"/>
  <c r="T39"/>
  <c r="T40"/>
  <c r="T41"/>
  <c r="T42"/>
  <c r="T43"/>
  <c r="T44"/>
  <c r="T45"/>
  <c r="T46"/>
  <c r="T47"/>
  <c r="T48"/>
  <c r="T49"/>
  <c r="T50"/>
  <c r="T51"/>
  <c r="T52"/>
  <c r="T53"/>
  <c r="T54"/>
  <c r="T55"/>
  <c r="T56"/>
  <c r="T67"/>
  <c r="T69"/>
  <c r="T70"/>
  <c r="T71"/>
  <c r="T72"/>
  <c r="T73"/>
  <c r="T74"/>
  <c r="T75"/>
  <c r="T76"/>
  <c r="T77"/>
  <c r="T78"/>
  <c r="T86"/>
  <c r="T87"/>
  <c r="T88"/>
  <c r="T89"/>
  <c r="T90"/>
  <c r="T91"/>
  <c r="T92"/>
  <c r="T104"/>
  <c r="T105"/>
  <c r="T106"/>
  <c r="T107"/>
  <c r="T108"/>
  <c r="T109"/>
  <c r="T110"/>
  <c r="T111"/>
  <c r="T112"/>
  <c r="T113"/>
  <c r="T114"/>
  <c r="T115"/>
  <c r="T116"/>
  <c r="T117"/>
  <c r="T118"/>
  <c r="T119"/>
  <c r="T120"/>
  <c r="T121"/>
  <c r="T122"/>
  <c r="T123"/>
  <c r="T124"/>
  <c r="T125"/>
  <c r="T126"/>
  <c r="T127"/>
  <c r="T128"/>
  <c r="T129"/>
  <c r="T130"/>
  <c r="T131"/>
  <c r="T132"/>
  <c r="T133"/>
  <c r="T159"/>
  <c r="T160"/>
  <c r="T161"/>
  <c r="T162"/>
  <c r="T163"/>
  <c r="T164"/>
  <c r="T165"/>
  <c r="T166"/>
  <c r="T167"/>
  <c r="T168"/>
  <c r="T169"/>
  <c r="T170"/>
  <c r="T171"/>
  <c r="T172"/>
  <c r="T173"/>
  <c r="T174"/>
  <c r="T175"/>
  <c r="T176"/>
  <c r="T177"/>
  <c r="T178"/>
  <c r="T179"/>
  <c r="T180"/>
  <c r="T181"/>
  <c r="T182"/>
  <c r="T183"/>
  <c r="T187"/>
  <c r="T188"/>
  <c r="T189"/>
  <c r="T190"/>
  <c r="T191"/>
  <c r="T192"/>
  <c r="T193"/>
  <c r="T194"/>
  <c r="T195"/>
  <c r="T196"/>
  <c r="T197"/>
  <c r="T198"/>
  <c r="T199"/>
  <c r="T200"/>
  <c r="T201"/>
  <c r="T202"/>
  <c r="T203"/>
  <c r="T204"/>
  <c r="T205"/>
  <c r="T206"/>
  <c r="T207"/>
  <c r="T208"/>
  <c r="T7" i="13"/>
  <c r="T8"/>
  <c r="T9"/>
  <c r="T10"/>
  <c r="T11"/>
  <c r="T12"/>
  <c r="T13"/>
  <c r="T14"/>
  <c r="T15"/>
  <c r="T16"/>
  <c r="T17"/>
  <c r="T18"/>
  <c r="T19"/>
  <c r="T20"/>
  <c r="T21"/>
  <c r="T22"/>
  <c r="T23"/>
  <c r="T24"/>
  <c r="T25"/>
  <c r="T37"/>
  <c r="T38"/>
  <c r="T39"/>
  <c r="T40"/>
  <c r="T41"/>
  <c r="T42"/>
  <c r="T43"/>
  <c r="T44"/>
  <c r="T45"/>
  <c r="T46"/>
  <c r="T47"/>
  <c r="T48"/>
  <c r="T49"/>
  <c r="T50"/>
  <c r="T51"/>
  <c r="T52"/>
  <c r="T53"/>
  <c r="T54"/>
  <c r="T55"/>
  <c r="T56"/>
  <c r="T67"/>
  <c r="T69"/>
  <c r="T70"/>
  <c r="T71"/>
  <c r="T72"/>
  <c r="T73"/>
  <c r="T74"/>
  <c r="T75"/>
  <c r="T76"/>
  <c r="T77"/>
  <c r="T78"/>
  <c r="T86"/>
  <c r="T87"/>
  <c r="T88"/>
  <c r="T89"/>
  <c r="T90"/>
  <c r="T91"/>
  <c r="T92"/>
  <c r="T104"/>
  <c r="T105"/>
  <c r="T106"/>
  <c r="T107"/>
  <c r="T108"/>
  <c r="T109"/>
  <c r="T110"/>
  <c r="T111"/>
  <c r="T112"/>
  <c r="T113"/>
  <c r="T114"/>
  <c r="T115"/>
  <c r="T116"/>
  <c r="T117"/>
  <c r="T118"/>
  <c r="T119"/>
  <c r="T120"/>
  <c r="T121"/>
  <c r="T122"/>
  <c r="T123"/>
  <c r="T124"/>
  <c r="T125"/>
  <c r="T126"/>
  <c r="T127"/>
  <c r="T128"/>
  <c r="T129"/>
  <c r="T130"/>
  <c r="T131"/>
  <c r="T132"/>
  <c r="T133"/>
  <c r="T159"/>
  <c r="T160"/>
  <c r="T161"/>
  <c r="T162"/>
  <c r="T163"/>
  <c r="T164"/>
  <c r="T165"/>
  <c r="T166"/>
  <c r="T167"/>
  <c r="T168"/>
  <c r="T169"/>
  <c r="T170"/>
  <c r="T171"/>
  <c r="T172"/>
  <c r="T173"/>
  <c r="T174"/>
  <c r="T175"/>
  <c r="T176"/>
  <c r="T177"/>
  <c r="T178"/>
  <c r="T179"/>
  <c r="T180"/>
  <c r="T181"/>
  <c r="T182"/>
  <c r="T183"/>
  <c r="T187"/>
  <c r="T188"/>
  <c r="T189"/>
  <c r="T190"/>
  <c r="T191"/>
  <c r="T192"/>
  <c r="T193"/>
  <c r="T194"/>
  <c r="T195"/>
  <c r="T196"/>
  <c r="T197"/>
  <c r="T198"/>
  <c r="T199"/>
  <c r="T200"/>
  <c r="T201"/>
  <c r="T202"/>
  <c r="T203"/>
  <c r="T204"/>
  <c r="T205"/>
  <c r="T206"/>
  <c r="T207"/>
  <c r="T208"/>
  <c r="T7" i="12"/>
  <c r="T8"/>
  <c r="T9"/>
  <c r="T10"/>
  <c r="T11"/>
  <c r="T12"/>
  <c r="T13"/>
  <c r="T14"/>
  <c r="T15"/>
  <c r="T16"/>
  <c r="T17"/>
  <c r="T18"/>
  <c r="T19"/>
  <c r="T20"/>
  <c r="T21"/>
  <c r="T22"/>
  <c r="T23"/>
  <c r="T24"/>
  <c r="T25"/>
  <c r="T37"/>
  <c r="T38"/>
  <c r="T39"/>
  <c r="T40"/>
  <c r="T41"/>
  <c r="T42"/>
  <c r="T43"/>
  <c r="T44"/>
  <c r="T45"/>
  <c r="T46"/>
  <c r="T47"/>
  <c r="T48"/>
  <c r="T49"/>
  <c r="T50"/>
  <c r="T51"/>
  <c r="T52"/>
  <c r="T53"/>
  <c r="T54"/>
  <c r="T55"/>
  <c r="T56"/>
  <c r="T67"/>
  <c r="T69"/>
  <c r="T70"/>
  <c r="T71"/>
  <c r="T72"/>
  <c r="T73"/>
  <c r="T74"/>
  <c r="T75"/>
  <c r="T76"/>
  <c r="T77"/>
  <c r="T78"/>
  <c r="T86"/>
  <c r="T87"/>
  <c r="T88"/>
  <c r="T89"/>
  <c r="T90"/>
  <c r="T91"/>
  <c r="T92"/>
  <c r="T104"/>
  <c r="T105"/>
  <c r="T106"/>
  <c r="T107"/>
  <c r="T108"/>
  <c r="T109"/>
  <c r="T110"/>
  <c r="T111"/>
  <c r="T112"/>
  <c r="T113"/>
  <c r="T114"/>
  <c r="T115"/>
  <c r="T116"/>
  <c r="T117"/>
  <c r="T118"/>
  <c r="T119"/>
  <c r="T120"/>
  <c r="T121"/>
  <c r="T122"/>
  <c r="T123"/>
  <c r="T124"/>
  <c r="T125"/>
  <c r="T126"/>
  <c r="T127"/>
  <c r="T128"/>
  <c r="T129"/>
  <c r="T130"/>
  <c r="T131"/>
  <c r="T132"/>
  <c r="T133"/>
  <c r="T159"/>
  <c r="T160"/>
  <c r="T161"/>
  <c r="T162"/>
  <c r="T163"/>
  <c r="T164"/>
  <c r="T165"/>
  <c r="T166"/>
  <c r="T167"/>
  <c r="T168"/>
  <c r="T169"/>
  <c r="T170"/>
  <c r="T171"/>
  <c r="T172"/>
  <c r="T173"/>
  <c r="T174"/>
  <c r="T175"/>
  <c r="T176"/>
  <c r="T177"/>
  <c r="T178"/>
  <c r="T179"/>
  <c r="T180"/>
  <c r="T181"/>
  <c r="T182"/>
  <c r="T183"/>
  <c r="T187"/>
  <c r="T188"/>
  <c r="T189"/>
  <c r="T190"/>
  <c r="T191"/>
  <c r="T192"/>
  <c r="T193"/>
  <c r="T194"/>
  <c r="T195"/>
  <c r="T196"/>
  <c r="T197"/>
  <c r="T198"/>
  <c r="T199"/>
  <c r="T200"/>
  <c r="T201"/>
  <c r="T202"/>
  <c r="T203"/>
  <c r="T204"/>
  <c r="T205"/>
  <c r="T206"/>
  <c r="T207"/>
  <c r="T208"/>
  <c r="T7" i="11"/>
  <c r="T8"/>
  <c r="T9"/>
  <c r="T10"/>
  <c r="T11"/>
  <c r="T12"/>
  <c r="T13"/>
  <c r="T14"/>
  <c r="T15"/>
  <c r="T16"/>
  <c r="T17"/>
  <c r="T18"/>
  <c r="T19"/>
  <c r="T20"/>
  <c r="T21"/>
  <c r="T22"/>
  <c r="T23"/>
  <c r="T24"/>
  <c r="T25"/>
  <c r="T37"/>
  <c r="T38"/>
  <c r="T39"/>
  <c r="T40"/>
  <c r="T41"/>
  <c r="T42"/>
  <c r="T43"/>
  <c r="T44"/>
  <c r="T45"/>
  <c r="T46"/>
  <c r="T47"/>
  <c r="T48"/>
  <c r="T49"/>
  <c r="T50"/>
  <c r="T51"/>
  <c r="T52"/>
  <c r="T53"/>
  <c r="T54"/>
  <c r="T55"/>
  <c r="T56"/>
  <c r="T67"/>
  <c r="T69"/>
  <c r="T70"/>
  <c r="T71"/>
  <c r="T72"/>
  <c r="T73"/>
  <c r="T74"/>
  <c r="T75"/>
  <c r="T76"/>
  <c r="T77"/>
  <c r="T78"/>
  <c r="T86"/>
  <c r="T87"/>
  <c r="T88"/>
  <c r="T89"/>
  <c r="T90"/>
  <c r="T91"/>
  <c r="T92"/>
  <c r="T104"/>
  <c r="T105"/>
  <c r="T106"/>
  <c r="T107"/>
  <c r="T108"/>
  <c r="T109"/>
  <c r="T110"/>
  <c r="T111"/>
  <c r="T112"/>
  <c r="T113"/>
  <c r="T114"/>
  <c r="T115"/>
  <c r="T116"/>
  <c r="T117"/>
  <c r="T118"/>
  <c r="T119"/>
  <c r="T120"/>
  <c r="T121"/>
  <c r="T122"/>
  <c r="T123"/>
  <c r="T124"/>
  <c r="T125"/>
  <c r="T126"/>
  <c r="T127"/>
  <c r="T128"/>
  <c r="T129"/>
  <c r="T130"/>
  <c r="T131"/>
  <c r="T132"/>
  <c r="T133"/>
  <c r="T159"/>
  <c r="T160"/>
  <c r="T161"/>
  <c r="T162"/>
  <c r="T163"/>
  <c r="T164"/>
  <c r="T165"/>
  <c r="T166"/>
  <c r="T167"/>
  <c r="T168"/>
  <c r="T169"/>
  <c r="T170"/>
  <c r="T171"/>
  <c r="T172"/>
  <c r="T173"/>
  <c r="T174"/>
  <c r="T175"/>
  <c r="T176"/>
  <c r="T177"/>
  <c r="T178"/>
  <c r="T179"/>
  <c r="T180"/>
  <c r="T181"/>
  <c r="T182"/>
  <c r="T183"/>
  <c r="T187"/>
  <c r="T188"/>
  <c r="T189"/>
  <c r="T190"/>
  <c r="T191"/>
  <c r="T192"/>
  <c r="T193"/>
  <c r="T194"/>
  <c r="T195"/>
  <c r="T196"/>
  <c r="T197"/>
  <c r="T198"/>
  <c r="T199"/>
  <c r="T200"/>
  <c r="T201"/>
  <c r="T202"/>
  <c r="T203"/>
  <c r="T204"/>
  <c r="T205"/>
  <c r="T206"/>
  <c r="T207"/>
  <c r="T208"/>
  <c r="T7" i="10"/>
  <c r="T8"/>
  <c r="T9"/>
  <c r="T10"/>
  <c r="T11"/>
  <c r="T12"/>
  <c r="T13"/>
  <c r="T14"/>
  <c r="T15"/>
  <c r="T16"/>
  <c r="T17"/>
  <c r="T18"/>
  <c r="T19"/>
  <c r="T20"/>
  <c r="T21"/>
  <c r="T22"/>
  <c r="T23"/>
  <c r="T24"/>
  <c r="T25"/>
  <c r="T37"/>
  <c r="T38"/>
  <c r="T39"/>
  <c r="T40"/>
  <c r="T41"/>
  <c r="T42"/>
  <c r="T43"/>
  <c r="T44"/>
  <c r="T45"/>
  <c r="T46"/>
  <c r="T47"/>
  <c r="T48"/>
  <c r="T49"/>
  <c r="T50"/>
  <c r="T51"/>
  <c r="T52"/>
  <c r="T53"/>
  <c r="T54"/>
  <c r="T55"/>
  <c r="T56"/>
  <c r="T67"/>
  <c r="T69"/>
  <c r="T70"/>
  <c r="T71"/>
  <c r="T72"/>
  <c r="T73"/>
  <c r="T74"/>
  <c r="T75"/>
  <c r="T76"/>
  <c r="T77"/>
  <c r="T78"/>
  <c r="T86"/>
  <c r="T87"/>
  <c r="T88"/>
  <c r="T89"/>
  <c r="T90"/>
  <c r="T91"/>
  <c r="T92"/>
  <c r="T104"/>
  <c r="T105"/>
  <c r="T106"/>
  <c r="T107"/>
  <c r="T108"/>
  <c r="T109"/>
  <c r="T110"/>
  <c r="T111"/>
  <c r="T112"/>
  <c r="T113"/>
  <c r="T114"/>
  <c r="T115"/>
  <c r="T116"/>
  <c r="T117"/>
  <c r="T118"/>
  <c r="T119"/>
  <c r="T120"/>
  <c r="T121"/>
  <c r="T122"/>
  <c r="T123"/>
  <c r="T124"/>
  <c r="T125"/>
  <c r="T126"/>
  <c r="T127"/>
  <c r="T128"/>
  <c r="T129"/>
  <c r="T130"/>
  <c r="T131"/>
  <c r="T132"/>
  <c r="T133"/>
  <c r="T159"/>
  <c r="T160"/>
  <c r="T161"/>
  <c r="T162"/>
  <c r="T163"/>
  <c r="T164"/>
  <c r="T165"/>
  <c r="T166"/>
  <c r="T167"/>
  <c r="T168"/>
  <c r="T169"/>
  <c r="T170"/>
  <c r="T171"/>
  <c r="T172"/>
  <c r="T173"/>
  <c r="T174"/>
  <c r="T175"/>
  <c r="T176"/>
  <c r="T177"/>
  <c r="T178"/>
  <c r="T179"/>
  <c r="T180"/>
  <c r="T181"/>
  <c r="T182"/>
  <c r="T183"/>
  <c r="T187"/>
  <c r="T188"/>
  <c r="T189"/>
  <c r="T190"/>
  <c r="T191"/>
  <c r="T192"/>
  <c r="T193"/>
  <c r="T194"/>
  <c r="T195"/>
  <c r="T196"/>
  <c r="T197"/>
  <c r="T198"/>
  <c r="T199"/>
  <c r="T200"/>
  <c r="T201"/>
  <c r="T202"/>
  <c r="T203"/>
  <c r="T204"/>
  <c r="T205"/>
  <c r="T206"/>
  <c r="T207"/>
  <c r="T208"/>
  <c r="T7" i="9"/>
  <c r="T8"/>
  <c r="T9"/>
  <c r="T10"/>
  <c r="T11"/>
  <c r="T12"/>
  <c r="T13"/>
  <c r="T14"/>
  <c r="T15"/>
  <c r="T16"/>
  <c r="T17"/>
  <c r="T18"/>
  <c r="T19"/>
  <c r="T20"/>
  <c r="T21"/>
  <c r="T22"/>
  <c r="T23"/>
  <c r="T24"/>
  <c r="T25"/>
  <c r="T37"/>
  <c r="T38"/>
  <c r="T39"/>
  <c r="T40"/>
  <c r="T41"/>
  <c r="T42"/>
  <c r="T43"/>
  <c r="T44"/>
  <c r="T45"/>
  <c r="T46"/>
  <c r="T47"/>
  <c r="T48"/>
  <c r="T49"/>
  <c r="T50"/>
  <c r="T51"/>
  <c r="T52"/>
  <c r="T53"/>
  <c r="T54"/>
  <c r="T55"/>
  <c r="T56"/>
  <c r="T67"/>
  <c r="T69"/>
  <c r="T70"/>
  <c r="T71"/>
  <c r="T72"/>
  <c r="T73"/>
  <c r="T74"/>
  <c r="T75"/>
  <c r="T76"/>
  <c r="T77"/>
  <c r="T78"/>
  <c r="T86"/>
  <c r="T87"/>
  <c r="T88"/>
  <c r="T89"/>
  <c r="T90"/>
  <c r="T91"/>
  <c r="T92"/>
  <c r="T104"/>
  <c r="T105"/>
  <c r="T106"/>
  <c r="T107"/>
  <c r="T108"/>
  <c r="T109"/>
  <c r="T110"/>
  <c r="T111"/>
  <c r="T112"/>
  <c r="T113"/>
  <c r="T114"/>
  <c r="T115"/>
  <c r="T116"/>
  <c r="T117"/>
  <c r="T118"/>
  <c r="T119"/>
  <c r="T120"/>
  <c r="T121"/>
  <c r="T122"/>
  <c r="T123"/>
  <c r="T124"/>
  <c r="T125"/>
  <c r="T126"/>
  <c r="T127"/>
  <c r="T128"/>
  <c r="T129"/>
  <c r="T130"/>
  <c r="T131"/>
  <c r="T132"/>
  <c r="T133"/>
  <c r="T159"/>
  <c r="T160"/>
  <c r="T161"/>
  <c r="T162"/>
  <c r="T163"/>
  <c r="T164"/>
  <c r="T165"/>
  <c r="T166"/>
  <c r="T167"/>
  <c r="T168"/>
  <c r="T169"/>
  <c r="T170"/>
  <c r="T171"/>
  <c r="T172"/>
  <c r="T173"/>
  <c r="T174"/>
  <c r="T175"/>
  <c r="T176"/>
  <c r="T177"/>
  <c r="T178"/>
  <c r="T179"/>
  <c r="T180"/>
  <c r="T181"/>
  <c r="T182"/>
  <c r="T183"/>
  <c r="T187"/>
  <c r="T188"/>
  <c r="T189"/>
  <c r="T190"/>
  <c r="T191"/>
  <c r="T192"/>
  <c r="T193"/>
  <c r="T194"/>
  <c r="T195"/>
  <c r="T196"/>
  <c r="T197"/>
  <c r="T198"/>
  <c r="T199"/>
  <c r="T200"/>
  <c r="T201"/>
  <c r="T202"/>
  <c r="T203"/>
  <c r="T204"/>
  <c r="T205"/>
  <c r="T206"/>
  <c r="T207"/>
  <c r="T208"/>
  <c r="T7" i="8"/>
  <c r="T8"/>
  <c r="T9"/>
  <c r="T10"/>
  <c r="T11"/>
  <c r="T12"/>
  <c r="T13"/>
  <c r="T14"/>
  <c r="T15"/>
  <c r="T16"/>
  <c r="T17"/>
  <c r="T18"/>
  <c r="T19"/>
  <c r="T20"/>
  <c r="T21"/>
  <c r="T22"/>
  <c r="T23"/>
  <c r="T24"/>
  <c r="T25"/>
  <c r="T37"/>
  <c r="T38"/>
  <c r="T39"/>
  <c r="T40"/>
  <c r="T41"/>
  <c r="T42"/>
  <c r="T43"/>
  <c r="T44"/>
  <c r="T45"/>
  <c r="T46"/>
  <c r="T47"/>
  <c r="T48"/>
  <c r="T49"/>
  <c r="T50"/>
  <c r="T51"/>
  <c r="T52"/>
  <c r="T53"/>
  <c r="T54"/>
  <c r="T55"/>
  <c r="T56"/>
  <c r="T67"/>
  <c r="T69"/>
  <c r="T70"/>
  <c r="T71"/>
  <c r="T72"/>
  <c r="T73"/>
  <c r="T74"/>
  <c r="T75"/>
  <c r="T76"/>
  <c r="T77"/>
  <c r="T78"/>
  <c r="T86"/>
  <c r="T87"/>
  <c r="T88"/>
  <c r="T89"/>
  <c r="T90"/>
  <c r="T91"/>
  <c r="T92"/>
  <c r="T104"/>
  <c r="T105"/>
  <c r="T106"/>
  <c r="T107"/>
  <c r="T108"/>
  <c r="T109"/>
  <c r="T110"/>
  <c r="T111"/>
  <c r="T112"/>
  <c r="T113"/>
  <c r="T114"/>
  <c r="T115"/>
  <c r="T116"/>
  <c r="T117"/>
  <c r="T118"/>
  <c r="T119"/>
  <c r="T120"/>
  <c r="T121"/>
  <c r="T122"/>
  <c r="T123"/>
  <c r="T124"/>
  <c r="T125"/>
  <c r="T126"/>
  <c r="T127"/>
  <c r="T128"/>
  <c r="T129"/>
  <c r="T130"/>
  <c r="T131"/>
  <c r="T132"/>
  <c r="T133"/>
  <c r="T159"/>
  <c r="T160"/>
  <c r="T161"/>
  <c r="T162"/>
  <c r="T163"/>
  <c r="T164"/>
  <c r="T165"/>
  <c r="T166"/>
  <c r="T167"/>
  <c r="T168"/>
  <c r="T169"/>
  <c r="T170"/>
  <c r="T171"/>
  <c r="T172"/>
  <c r="T173"/>
  <c r="T174"/>
  <c r="T175"/>
  <c r="T176"/>
  <c r="T177"/>
  <c r="T178"/>
  <c r="T179"/>
  <c r="T180"/>
  <c r="T181"/>
  <c r="T182"/>
  <c r="T183"/>
  <c r="T187"/>
  <c r="T188"/>
  <c r="T189"/>
  <c r="T190"/>
  <c r="T191"/>
  <c r="T192"/>
  <c r="T193"/>
  <c r="T194"/>
  <c r="T195"/>
  <c r="T196"/>
  <c r="T197"/>
  <c r="T198"/>
  <c r="T199"/>
  <c r="T200"/>
  <c r="T201"/>
  <c r="T202"/>
  <c r="T203"/>
  <c r="T204"/>
  <c r="T205"/>
  <c r="T206"/>
  <c r="T207"/>
  <c r="T208"/>
  <c r="T7" i="7"/>
  <c r="T8"/>
  <c r="T9"/>
  <c r="T10"/>
  <c r="T11"/>
  <c r="T12"/>
  <c r="T13"/>
  <c r="T14"/>
  <c r="T15"/>
  <c r="T16"/>
  <c r="T17"/>
  <c r="T18"/>
  <c r="T19"/>
  <c r="T20"/>
  <c r="T21"/>
  <c r="T22"/>
  <c r="T23"/>
  <c r="T24"/>
  <c r="T25"/>
  <c r="T37"/>
  <c r="T38"/>
  <c r="T39"/>
  <c r="T40"/>
  <c r="T41"/>
  <c r="T42"/>
  <c r="T43"/>
  <c r="T44"/>
  <c r="T45"/>
  <c r="T46"/>
  <c r="T47"/>
  <c r="T48"/>
  <c r="T49"/>
  <c r="T50"/>
  <c r="T51"/>
  <c r="T52"/>
  <c r="T53"/>
  <c r="T54"/>
  <c r="T55"/>
  <c r="T56"/>
  <c r="T67"/>
  <c r="T69"/>
  <c r="T70"/>
  <c r="T71"/>
  <c r="T72"/>
  <c r="T73"/>
  <c r="T74"/>
  <c r="T75"/>
  <c r="T76"/>
  <c r="T77"/>
  <c r="T78"/>
  <c r="T91"/>
  <c r="T92"/>
  <c r="T104"/>
  <c r="T105"/>
  <c r="T106"/>
  <c r="T107"/>
  <c r="T108"/>
  <c r="T109"/>
  <c r="T110"/>
  <c r="T111"/>
  <c r="T112"/>
  <c r="T113"/>
  <c r="T114"/>
  <c r="T115"/>
  <c r="T116"/>
  <c r="T117"/>
  <c r="T118"/>
  <c r="T119"/>
  <c r="T120"/>
  <c r="T121"/>
  <c r="T122"/>
  <c r="T123"/>
  <c r="T124"/>
  <c r="T125"/>
  <c r="T126"/>
  <c r="T127"/>
  <c r="T128"/>
  <c r="T129"/>
  <c r="T130"/>
  <c r="T131"/>
  <c r="T132"/>
  <c r="T133"/>
  <c r="T159"/>
  <c r="T160"/>
  <c r="T161"/>
  <c r="T162"/>
  <c r="T163"/>
  <c r="T164"/>
  <c r="T165"/>
  <c r="T166"/>
  <c r="T167"/>
  <c r="T168"/>
  <c r="T169"/>
  <c r="T170"/>
  <c r="T171"/>
  <c r="T172"/>
  <c r="T173"/>
  <c r="T174"/>
  <c r="T175"/>
  <c r="T176"/>
  <c r="T177"/>
  <c r="T178"/>
  <c r="T179"/>
  <c r="T180"/>
  <c r="T181"/>
  <c r="T182"/>
  <c r="T183"/>
  <c r="T187"/>
  <c r="T188"/>
  <c r="T189"/>
  <c r="T190"/>
  <c r="T191"/>
  <c r="T192"/>
  <c r="T193"/>
  <c r="T194"/>
  <c r="T195"/>
  <c r="T196"/>
  <c r="T197"/>
  <c r="T198"/>
  <c r="T199"/>
  <c r="T200"/>
  <c r="T201"/>
  <c r="T202"/>
  <c r="T203"/>
  <c r="T204"/>
  <c r="T205"/>
  <c r="T206"/>
  <c r="T207"/>
  <c r="T208"/>
  <c r="T7" i="6"/>
  <c r="T8"/>
  <c r="T9"/>
  <c r="T10"/>
  <c r="T11"/>
  <c r="T12"/>
  <c r="T13"/>
  <c r="T14"/>
  <c r="T15"/>
  <c r="T16"/>
  <c r="T17"/>
  <c r="T18"/>
  <c r="T19"/>
  <c r="T20"/>
  <c r="T21"/>
  <c r="T22"/>
  <c r="T23"/>
  <c r="T24"/>
  <c r="T25"/>
  <c r="T37"/>
  <c r="T38"/>
  <c r="T39"/>
  <c r="T40"/>
  <c r="T41"/>
  <c r="T42"/>
  <c r="T43"/>
  <c r="T44"/>
  <c r="T45"/>
  <c r="T46"/>
  <c r="T47"/>
  <c r="T48"/>
  <c r="T49"/>
  <c r="T50"/>
  <c r="T51"/>
  <c r="T52"/>
  <c r="T53"/>
  <c r="T54"/>
  <c r="T55"/>
  <c r="T56"/>
  <c r="T67"/>
  <c r="T69"/>
  <c r="T70"/>
  <c r="T71"/>
  <c r="T72"/>
  <c r="T73"/>
  <c r="T74"/>
  <c r="T75"/>
  <c r="T76"/>
  <c r="T77"/>
  <c r="T78"/>
  <c r="T86"/>
  <c r="T87"/>
  <c r="T88"/>
  <c r="T89"/>
  <c r="T90"/>
  <c r="T91"/>
  <c r="T92"/>
  <c r="T104"/>
  <c r="T105"/>
  <c r="T106"/>
  <c r="T107"/>
  <c r="T108"/>
  <c r="T109"/>
  <c r="T110"/>
  <c r="T111"/>
  <c r="T112"/>
  <c r="T113"/>
  <c r="T114"/>
  <c r="T115"/>
  <c r="T116"/>
  <c r="T117"/>
  <c r="T118"/>
  <c r="T119"/>
  <c r="T120"/>
  <c r="T121"/>
  <c r="T122"/>
  <c r="T123"/>
  <c r="T124"/>
  <c r="T125"/>
  <c r="T126"/>
  <c r="T127"/>
  <c r="T128"/>
  <c r="T129"/>
  <c r="T130"/>
  <c r="T131"/>
  <c r="T132"/>
  <c r="T133"/>
  <c r="T159"/>
  <c r="T160"/>
  <c r="T161"/>
  <c r="T162"/>
  <c r="T163"/>
  <c r="T164"/>
  <c r="T165"/>
  <c r="T166"/>
  <c r="T167"/>
  <c r="T168"/>
  <c r="T169"/>
  <c r="T170"/>
  <c r="T171"/>
  <c r="T172"/>
  <c r="T173"/>
  <c r="T174"/>
  <c r="T175"/>
  <c r="T176"/>
  <c r="T177"/>
  <c r="T178"/>
  <c r="T179"/>
  <c r="T180"/>
  <c r="T181"/>
  <c r="T182"/>
  <c r="T183"/>
  <c r="T187"/>
  <c r="T188"/>
  <c r="T189"/>
  <c r="T190"/>
  <c r="T191"/>
  <c r="T192"/>
  <c r="T193"/>
  <c r="T194"/>
  <c r="T195"/>
  <c r="T196"/>
  <c r="T197"/>
  <c r="T198"/>
  <c r="T199"/>
  <c r="T200"/>
  <c r="T201"/>
  <c r="T202"/>
  <c r="T203"/>
  <c r="T204"/>
  <c r="T205"/>
  <c r="T206"/>
  <c r="T207"/>
  <c r="T208"/>
  <c r="G209" i="5"/>
  <c r="H209"/>
  <c r="I209"/>
  <c r="J209"/>
  <c r="K209"/>
  <c r="L209"/>
  <c r="M209"/>
  <c r="N209"/>
  <c r="O209"/>
  <c r="P209"/>
  <c r="Q209"/>
  <c r="R209"/>
  <c r="S209"/>
  <c r="T7"/>
  <c r="T8"/>
  <c r="T9"/>
  <c r="T10"/>
  <c r="T11"/>
  <c r="T12"/>
  <c r="T13"/>
  <c r="T14"/>
  <c r="T15"/>
  <c r="T16"/>
  <c r="T17"/>
  <c r="T18"/>
  <c r="T19"/>
  <c r="T20"/>
  <c r="T21"/>
  <c r="T22"/>
  <c r="T23"/>
  <c r="T24"/>
  <c r="T25"/>
  <c r="T37"/>
  <c r="T38"/>
  <c r="T39"/>
  <c r="T40"/>
  <c r="T41"/>
  <c r="T42"/>
  <c r="T43"/>
  <c r="T44"/>
  <c r="T45"/>
  <c r="T46"/>
  <c r="T47"/>
  <c r="T48"/>
  <c r="T49"/>
  <c r="T50"/>
  <c r="T51"/>
  <c r="T52"/>
  <c r="T53"/>
  <c r="T54"/>
  <c r="T55"/>
  <c r="T56"/>
  <c r="T67"/>
  <c r="T69"/>
  <c r="T70"/>
  <c r="T71"/>
  <c r="T72"/>
  <c r="T73"/>
  <c r="T74"/>
  <c r="T75"/>
  <c r="T76"/>
  <c r="T77"/>
  <c r="T78"/>
  <c r="T86"/>
  <c r="T87"/>
  <c r="T88"/>
  <c r="T89"/>
  <c r="T90"/>
  <c r="T91"/>
  <c r="T92"/>
  <c r="T104"/>
  <c r="T105"/>
  <c r="T106"/>
  <c r="T107"/>
  <c r="T108"/>
  <c r="T109"/>
  <c r="T110"/>
  <c r="T111"/>
  <c r="T112"/>
  <c r="T113"/>
  <c r="T114"/>
  <c r="T115"/>
  <c r="T116"/>
  <c r="T117"/>
  <c r="T118"/>
  <c r="T119"/>
  <c r="T120"/>
  <c r="T121"/>
  <c r="T122"/>
  <c r="T123"/>
  <c r="T124"/>
  <c r="T125"/>
  <c r="T126"/>
  <c r="T127"/>
  <c r="T128"/>
  <c r="T129"/>
  <c r="T130"/>
  <c r="T131"/>
  <c r="T132"/>
  <c r="T133"/>
  <c r="T159"/>
  <c r="T160"/>
  <c r="T161"/>
  <c r="T162"/>
  <c r="T163"/>
  <c r="T164"/>
  <c r="T165"/>
  <c r="T166"/>
  <c r="T167"/>
  <c r="T168"/>
  <c r="T169"/>
  <c r="T170"/>
  <c r="T171"/>
  <c r="T172"/>
  <c r="T173"/>
  <c r="T174"/>
  <c r="T175"/>
  <c r="T176"/>
  <c r="T177"/>
  <c r="T178"/>
  <c r="T179"/>
  <c r="T180"/>
  <c r="T181"/>
  <c r="T182"/>
  <c r="T183"/>
  <c r="T187"/>
  <c r="T188"/>
  <c r="T189"/>
  <c r="T190"/>
  <c r="T191"/>
  <c r="T192"/>
  <c r="T193"/>
  <c r="T194"/>
  <c r="T195"/>
  <c r="T196"/>
  <c r="T197"/>
  <c r="T198"/>
  <c r="T199"/>
  <c r="T200"/>
  <c r="T201"/>
  <c r="T202"/>
  <c r="T203"/>
  <c r="T204"/>
  <c r="T205"/>
  <c r="T206"/>
  <c r="T207"/>
  <c r="T208"/>
  <c r="T7" i="4"/>
  <c r="T8"/>
  <c r="T9"/>
  <c r="T10"/>
  <c r="T11"/>
  <c r="T12"/>
  <c r="T13"/>
  <c r="T14"/>
  <c r="T15"/>
  <c r="T16"/>
  <c r="T17"/>
  <c r="T18"/>
  <c r="T19"/>
  <c r="T20"/>
  <c r="T21"/>
  <c r="T22"/>
  <c r="T23"/>
  <c r="T24"/>
  <c r="T25"/>
  <c r="T37"/>
  <c r="T38"/>
  <c r="T39"/>
  <c r="T40"/>
  <c r="T41"/>
  <c r="T42"/>
  <c r="T43"/>
  <c r="T44"/>
  <c r="T45"/>
  <c r="T46"/>
  <c r="T47"/>
  <c r="T48"/>
  <c r="T49"/>
  <c r="T50"/>
  <c r="T51"/>
  <c r="T52"/>
  <c r="T53"/>
  <c r="T54"/>
  <c r="T55"/>
  <c r="T56"/>
  <c r="T67"/>
  <c r="T69"/>
  <c r="T70"/>
  <c r="T71"/>
  <c r="T72"/>
  <c r="T73"/>
  <c r="T74"/>
  <c r="T75"/>
  <c r="T76"/>
  <c r="T77"/>
  <c r="T78"/>
  <c r="T86"/>
  <c r="T87"/>
  <c r="T88"/>
  <c r="T89"/>
  <c r="T90"/>
  <c r="T91"/>
  <c r="T92"/>
  <c r="T104"/>
  <c r="T105"/>
  <c r="T106"/>
  <c r="T107"/>
  <c r="T108"/>
  <c r="T109"/>
  <c r="T110"/>
  <c r="T111"/>
  <c r="T112"/>
  <c r="T113"/>
  <c r="T114"/>
  <c r="T115"/>
  <c r="T116"/>
  <c r="T117"/>
  <c r="T118"/>
  <c r="T119"/>
  <c r="T120"/>
  <c r="T121"/>
  <c r="T122"/>
  <c r="T123"/>
  <c r="T124"/>
  <c r="T125"/>
  <c r="T126"/>
  <c r="T127"/>
  <c r="T128"/>
  <c r="T129"/>
  <c r="T130"/>
  <c r="T131"/>
  <c r="T132"/>
  <c r="T133"/>
  <c r="T159"/>
  <c r="T160"/>
  <c r="T161"/>
  <c r="T162"/>
  <c r="T163"/>
  <c r="T164"/>
  <c r="T165"/>
  <c r="T166"/>
  <c r="T167"/>
  <c r="T168"/>
  <c r="T169"/>
  <c r="T170"/>
  <c r="T171"/>
  <c r="T172"/>
  <c r="T173"/>
  <c r="T174"/>
  <c r="T175"/>
  <c r="T176"/>
  <c r="T177"/>
  <c r="T178"/>
  <c r="T179"/>
  <c r="T180"/>
  <c r="T181"/>
  <c r="T182"/>
  <c r="T183"/>
  <c r="T187"/>
  <c r="T188"/>
  <c r="T189"/>
  <c r="T190"/>
  <c r="T191"/>
  <c r="T192"/>
  <c r="T193"/>
  <c r="T194"/>
  <c r="T195"/>
  <c r="T196"/>
  <c r="T197"/>
  <c r="T198"/>
  <c r="T199"/>
  <c r="T200"/>
  <c r="T201"/>
  <c r="T202"/>
  <c r="T203"/>
  <c r="T204"/>
  <c r="T205"/>
  <c r="T206"/>
  <c r="T207"/>
  <c r="T208"/>
  <c r="T7" i="3"/>
  <c r="T8"/>
  <c r="T9"/>
  <c r="T10"/>
  <c r="T11"/>
  <c r="T12"/>
  <c r="T13"/>
  <c r="T14"/>
  <c r="T15"/>
  <c r="T16"/>
  <c r="T17"/>
  <c r="T18"/>
  <c r="T19"/>
  <c r="T20"/>
  <c r="T21"/>
  <c r="T22"/>
  <c r="T23"/>
  <c r="T24"/>
  <c r="T25"/>
  <c r="T37"/>
  <c r="T38"/>
  <c r="T39"/>
  <c r="T40"/>
  <c r="T41"/>
  <c r="T42"/>
  <c r="T43"/>
  <c r="T44"/>
  <c r="T45"/>
  <c r="T46"/>
  <c r="T47"/>
  <c r="T48"/>
  <c r="T49"/>
  <c r="T50"/>
  <c r="T51"/>
  <c r="T52"/>
  <c r="T53"/>
  <c r="T54"/>
  <c r="T55"/>
  <c r="T56"/>
  <c r="T67"/>
  <c r="T69"/>
  <c r="T70"/>
  <c r="T71"/>
  <c r="T72"/>
  <c r="T73"/>
  <c r="T74"/>
  <c r="T75"/>
  <c r="T76"/>
  <c r="T77"/>
  <c r="T78"/>
  <c r="T86"/>
  <c r="T87"/>
  <c r="T88"/>
  <c r="T89"/>
  <c r="T90"/>
  <c r="T91"/>
  <c r="T92"/>
  <c r="T104"/>
  <c r="T105"/>
  <c r="T106"/>
  <c r="T107"/>
  <c r="T108"/>
  <c r="T109"/>
  <c r="T110"/>
  <c r="T111"/>
  <c r="T112"/>
  <c r="T113"/>
  <c r="T114"/>
  <c r="T115"/>
  <c r="T116"/>
  <c r="T117"/>
  <c r="T118"/>
  <c r="T119"/>
  <c r="T120"/>
  <c r="T121"/>
  <c r="T122"/>
  <c r="T123"/>
  <c r="T124"/>
  <c r="T125"/>
  <c r="T126"/>
  <c r="T127"/>
  <c r="T128"/>
  <c r="T129"/>
  <c r="T130"/>
  <c r="T131"/>
  <c r="T132"/>
  <c r="T133"/>
  <c r="T159"/>
  <c r="T160"/>
  <c r="T161"/>
  <c r="T162"/>
  <c r="T163"/>
  <c r="T164"/>
  <c r="T165"/>
  <c r="T166"/>
  <c r="T167"/>
  <c r="T168"/>
  <c r="T169"/>
  <c r="T170"/>
  <c r="T171"/>
  <c r="T172"/>
  <c r="T173"/>
  <c r="T174"/>
  <c r="T175"/>
  <c r="T176"/>
  <c r="T177"/>
  <c r="T178"/>
  <c r="T179"/>
  <c r="T180"/>
  <c r="T181"/>
  <c r="T182"/>
  <c r="T183"/>
  <c r="T187"/>
  <c r="T188"/>
  <c r="T189"/>
  <c r="T190"/>
  <c r="T191"/>
  <c r="T192"/>
  <c r="T193"/>
  <c r="T194"/>
  <c r="T195"/>
  <c r="T196"/>
  <c r="T197"/>
  <c r="T198"/>
  <c r="T199"/>
  <c r="T200"/>
  <c r="T201"/>
  <c r="T202"/>
  <c r="T203"/>
  <c r="T204"/>
  <c r="T205"/>
  <c r="T206"/>
  <c r="T207"/>
  <c r="T208"/>
  <c r="T7" i="2"/>
  <c r="T8"/>
  <c r="T9"/>
  <c r="T10"/>
  <c r="T11"/>
  <c r="T12"/>
  <c r="T13"/>
  <c r="T14"/>
  <c r="T15"/>
  <c r="T16"/>
  <c r="T17"/>
  <c r="T18"/>
  <c r="T19"/>
  <c r="T20"/>
  <c r="T21"/>
  <c r="T22"/>
  <c r="T23"/>
  <c r="T24"/>
  <c r="T25"/>
  <c r="T37"/>
  <c r="T38"/>
  <c r="T39"/>
  <c r="T40"/>
  <c r="T41"/>
  <c r="T42"/>
  <c r="T43"/>
  <c r="T44"/>
  <c r="T45"/>
  <c r="T46"/>
  <c r="T47"/>
  <c r="T48"/>
  <c r="T49"/>
  <c r="T50"/>
  <c r="T51"/>
  <c r="T52"/>
  <c r="T53"/>
  <c r="T54"/>
  <c r="T55"/>
  <c r="T56"/>
  <c r="T67"/>
  <c r="T69"/>
  <c r="T70"/>
  <c r="T71"/>
  <c r="T72"/>
  <c r="T73"/>
  <c r="T74"/>
  <c r="T75"/>
  <c r="T76"/>
  <c r="T77"/>
  <c r="T78"/>
  <c r="T86"/>
  <c r="T87"/>
  <c r="T88"/>
  <c r="T89"/>
  <c r="T90"/>
  <c r="T91"/>
  <c r="T92"/>
  <c r="T104"/>
  <c r="T105"/>
  <c r="T106"/>
  <c r="T107"/>
  <c r="T108"/>
  <c r="T109"/>
  <c r="T110"/>
  <c r="T111"/>
  <c r="T112"/>
  <c r="T114"/>
  <c r="T115"/>
  <c r="T116"/>
  <c r="T117"/>
  <c r="T118"/>
  <c r="T119"/>
  <c r="T120"/>
  <c r="T121"/>
  <c r="T122"/>
  <c r="T123"/>
  <c r="T124"/>
  <c r="T125"/>
  <c r="T126"/>
  <c r="T127"/>
  <c r="T128"/>
  <c r="T129"/>
  <c r="T130"/>
  <c r="T131"/>
  <c r="T132"/>
  <c r="T133"/>
  <c r="T159"/>
  <c r="T160"/>
  <c r="T161"/>
  <c r="T162"/>
  <c r="T163"/>
  <c r="T164"/>
  <c r="T165"/>
  <c r="T166"/>
  <c r="T167"/>
  <c r="T168"/>
  <c r="T169"/>
  <c r="T170"/>
  <c r="T171"/>
  <c r="T172"/>
  <c r="T173"/>
  <c r="T174"/>
  <c r="T175"/>
  <c r="T176"/>
  <c r="T177"/>
  <c r="T178"/>
  <c r="T179"/>
  <c r="T180"/>
  <c r="T181"/>
  <c r="T182"/>
  <c r="T183"/>
  <c r="T187"/>
  <c r="T188"/>
  <c r="T189"/>
  <c r="T190"/>
  <c r="T191"/>
  <c r="T192"/>
  <c r="T193"/>
  <c r="T194"/>
  <c r="T195"/>
  <c r="T196"/>
  <c r="T197"/>
  <c r="T198"/>
  <c r="T199"/>
  <c r="T200"/>
  <c r="T201"/>
  <c r="T202"/>
  <c r="T203"/>
  <c r="T204"/>
  <c r="T205"/>
  <c r="T206"/>
  <c r="T207"/>
  <c r="T208"/>
  <c r="T7" i="1"/>
  <c r="T8"/>
  <c r="T9"/>
  <c r="T10"/>
  <c r="T11"/>
  <c r="T12"/>
  <c r="T13"/>
  <c r="T14"/>
  <c r="T15"/>
  <c r="T16"/>
  <c r="T17"/>
  <c r="T18"/>
  <c r="T19"/>
  <c r="T20"/>
  <c r="T21"/>
  <c r="T22"/>
  <c r="T23"/>
  <c r="T24"/>
  <c r="T25"/>
  <c r="T37"/>
  <c r="T38"/>
  <c r="T39"/>
  <c r="T40"/>
  <c r="T41"/>
  <c r="T42"/>
  <c r="T43"/>
  <c r="T44"/>
  <c r="T45"/>
  <c r="T46"/>
  <c r="T47"/>
  <c r="T48"/>
  <c r="T49"/>
  <c r="T50"/>
  <c r="T51"/>
  <c r="T52"/>
  <c r="T53"/>
  <c r="T54"/>
  <c r="T55"/>
  <c r="T56"/>
  <c r="T67"/>
  <c r="T69"/>
  <c r="T70"/>
  <c r="T71"/>
  <c r="T72"/>
  <c r="T73"/>
  <c r="T74"/>
  <c r="T75"/>
  <c r="T76"/>
  <c r="T77"/>
  <c r="T78"/>
  <c r="T86"/>
  <c r="T87"/>
  <c r="T88"/>
  <c r="T89"/>
  <c r="T90"/>
  <c r="T91"/>
  <c r="T92"/>
  <c r="T104"/>
  <c r="T105"/>
  <c r="T106"/>
  <c r="T107"/>
  <c r="T108"/>
  <c r="T109"/>
  <c r="T110"/>
  <c r="T111"/>
  <c r="T112"/>
  <c r="T114"/>
  <c r="T115"/>
  <c r="T116"/>
  <c r="T117"/>
  <c r="T118"/>
  <c r="T119"/>
  <c r="T120"/>
  <c r="T121"/>
  <c r="T122"/>
  <c r="T123"/>
  <c r="T124"/>
  <c r="T125"/>
  <c r="T126"/>
  <c r="T127"/>
  <c r="T128"/>
  <c r="T129"/>
  <c r="T130"/>
  <c r="T131"/>
  <c r="T132"/>
  <c r="T133"/>
  <c r="T159"/>
  <c r="T160"/>
  <c r="T161"/>
  <c r="T162"/>
  <c r="T163"/>
  <c r="T164"/>
  <c r="T165"/>
  <c r="T166"/>
  <c r="T167"/>
  <c r="T168"/>
  <c r="T169"/>
  <c r="T170"/>
  <c r="T171"/>
  <c r="T172"/>
  <c r="T173"/>
  <c r="T174"/>
  <c r="T175"/>
  <c r="T176"/>
  <c r="T177"/>
  <c r="T178"/>
  <c r="T179"/>
  <c r="T180"/>
  <c r="T181"/>
  <c r="T182"/>
  <c r="T183"/>
  <c r="T187"/>
  <c r="T188"/>
  <c r="T189"/>
  <c r="T190"/>
  <c r="T191"/>
  <c r="T192"/>
  <c r="T193"/>
  <c r="T194"/>
  <c r="T195"/>
  <c r="T196"/>
  <c r="T197"/>
  <c r="T198"/>
  <c r="T199"/>
  <c r="T200"/>
  <c r="T201"/>
  <c r="T202"/>
  <c r="T203"/>
  <c r="T204"/>
  <c r="T205"/>
  <c r="T206"/>
  <c r="T207"/>
  <c r="T208"/>
  <c r="T209" i="5" l="1"/>
  <c r="T209" i="2"/>
  <c r="T209" i="1"/>
  <c r="S208" i="16" l="1"/>
  <c r="R208"/>
  <c r="Q208"/>
  <c r="P208"/>
  <c r="O208"/>
  <c r="N208"/>
  <c r="M208"/>
  <c r="L208"/>
  <c r="K208"/>
  <c r="J208"/>
  <c r="I208"/>
  <c r="H208"/>
  <c r="G208"/>
  <c r="F208"/>
  <c r="S207"/>
  <c r="Q207"/>
  <c r="P207"/>
  <c r="O207"/>
  <c r="N207"/>
  <c r="M207"/>
  <c r="L207"/>
  <c r="K207"/>
  <c r="J207"/>
  <c r="I207"/>
  <c r="H207"/>
  <c r="G207"/>
  <c r="F207"/>
  <c r="S206"/>
  <c r="R206"/>
  <c r="Q206"/>
  <c r="P206"/>
  <c r="O206"/>
  <c r="N206"/>
  <c r="M206"/>
  <c r="L206"/>
  <c r="K206"/>
  <c r="J206"/>
  <c r="I206"/>
  <c r="H206"/>
  <c r="G206"/>
  <c r="F206"/>
  <c r="S205"/>
  <c r="R205"/>
  <c r="Q205"/>
  <c r="P205"/>
  <c r="O205"/>
  <c r="N205"/>
  <c r="M205"/>
  <c r="L205"/>
  <c r="K205"/>
  <c r="J205"/>
  <c r="I205"/>
  <c r="H205"/>
  <c r="G205"/>
  <c r="F205"/>
  <c r="S204"/>
  <c r="R204"/>
  <c r="Q204"/>
  <c r="P204"/>
  <c r="O204"/>
  <c r="N204"/>
  <c r="M204"/>
  <c r="L204"/>
  <c r="K204"/>
  <c r="J204"/>
  <c r="I204"/>
  <c r="H204"/>
  <c r="G204"/>
  <c r="F204"/>
  <c r="S203"/>
  <c r="Q203"/>
  <c r="P203"/>
  <c r="O203"/>
  <c r="N203"/>
  <c r="M203"/>
  <c r="L203"/>
  <c r="K203"/>
  <c r="J203"/>
  <c r="I203"/>
  <c r="H203"/>
  <c r="G203"/>
  <c r="F203"/>
  <c r="S202"/>
  <c r="R202"/>
  <c r="Q202"/>
  <c r="P202"/>
  <c r="O202"/>
  <c r="N202"/>
  <c r="M202"/>
  <c r="L202"/>
  <c r="K202"/>
  <c r="J202"/>
  <c r="I202"/>
  <c r="H202"/>
  <c r="G202"/>
  <c r="F202"/>
  <c r="S201"/>
  <c r="R201"/>
  <c r="Q201"/>
  <c r="P201"/>
  <c r="O201"/>
  <c r="N201"/>
  <c r="M201"/>
  <c r="L201"/>
  <c r="K201"/>
  <c r="J201"/>
  <c r="I201"/>
  <c r="H201"/>
  <c r="G201"/>
  <c r="F201"/>
  <c r="S200"/>
  <c r="R200"/>
  <c r="Q200"/>
  <c r="P200"/>
  <c r="O200"/>
  <c r="N200"/>
  <c r="M200"/>
  <c r="L200"/>
  <c r="K200"/>
  <c r="J200"/>
  <c r="I200"/>
  <c r="H200"/>
  <c r="G200"/>
  <c r="F200"/>
  <c r="S199"/>
  <c r="R199"/>
  <c r="Q199"/>
  <c r="P199"/>
  <c r="O199"/>
  <c r="N199"/>
  <c r="M199"/>
  <c r="L199"/>
  <c r="K199"/>
  <c r="J199"/>
  <c r="I199"/>
  <c r="H199"/>
  <c r="G199"/>
  <c r="F199"/>
  <c r="S198"/>
  <c r="R198"/>
  <c r="Q198"/>
  <c r="P198"/>
  <c r="O198"/>
  <c r="N198"/>
  <c r="M198"/>
  <c r="L198"/>
  <c r="K198"/>
  <c r="J198"/>
  <c r="I198"/>
  <c r="H198"/>
  <c r="G198"/>
  <c r="F198"/>
  <c r="S197"/>
  <c r="R197"/>
  <c r="Q197"/>
  <c r="P197"/>
  <c r="O197"/>
  <c r="N197"/>
  <c r="M197"/>
  <c r="L197"/>
  <c r="K197"/>
  <c r="J197"/>
  <c r="I197"/>
  <c r="H197"/>
  <c r="G197"/>
  <c r="F197"/>
  <c r="S196"/>
  <c r="R196"/>
  <c r="Q196"/>
  <c r="P196"/>
  <c r="O196"/>
  <c r="N196"/>
  <c r="M196"/>
  <c r="L196"/>
  <c r="K196"/>
  <c r="J196"/>
  <c r="I196"/>
  <c r="H196"/>
  <c r="G196"/>
  <c r="F196"/>
  <c r="S195"/>
  <c r="R195"/>
  <c r="Q195"/>
  <c r="P195"/>
  <c r="O195"/>
  <c r="N195"/>
  <c r="M195"/>
  <c r="L195"/>
  <c r="K195"/>
  <c r="J195"/>
  <c r="I195"/>
  <c r="H195"/>
  <c r="G195"/>
  <c r="F195"/>
  <c r="S194"/>
  <c r="R194"/>
  <c r="Q194"/>
  <c r="P194"/>
  <c r="O194"/>
  <c r="N194"/>
  <c r="M194"/>
  <c r="L194"/>
  <c r="K194"/>
  <c r="J194"/>
  <c r="I194"/>
  <c r="H194"/>
  <c r="G194"/>
  <c r="F194"/>
  <c r="S193"/>
  <c r="R193"/>
  <c r="Q193"/>
  <c r="P193"/>
  <c r="O193"/>
  <c r="N193"/>
  <c r="M193"/>
  <c r="L193"/>
  <c r="K193"/>
  <c r="J193"/>
  <c r="I193"/>
  <c r="H193"/>
  <c r="G193"/>
  <c r="F193"/>
  <c r="S192"/>
  <c r="R192"/>
  <c r="Q192"/>
  <c r="P192"/>
  <c r="O192"/>
  <c r="N192"/>
  <c r="M192"/>
  <c r="L192"/>
  <c r="K192"/>
  <c r="J192"/>
  <c r="I192"/>
  <c r="H192"/>
  <c r="G192"/>
  <c r="F192"/>
  <c r="S191"/>
  <c r="R191"/>
  <c r="Q191"/>
  <c r="P191"/>
  <c r="O191"/>
  <c r="N191"/>
  <c r="M191"/>
  <c r="L191"/>
  <c r="K191"/>
  <c r="J191"/>
  <c r="I191"/>
  <c r="H191"/>
  <c r="G191"/>
  <c r="F191"/>
  <c r="S190"/>
  <c r="R190"/>
  <c r="Q190"/>
  <c r="P190"/>
  <c r="O190"/>
  <c r="N190"/>
  <c r="M190"/>
  <c r="L190"/>
  <c r="K190"/>
  <c r="J190"/>
  <c r="I190"/>
  <c r="H190"/>
  <c r="G190"/>
  <c r="F190"/>
  <c r="S189"/>
  <c r="R189"/>
  <c r="Q189"/>
  <c r="P189"/>
  <c r="O189"/>
  <c r="N189"/>
  <c r="M189"/>
  <c r="L189"/>
  <c r="K189"/>
  <c r="J189"/>
  <c r="I189"/>
  <c r="H189"/>
  <c r="G189"/>
  <c r="F189"/>
  <c r="S188"/>
  <c r="R188"/>
  <c r="Q188"/>
  <c r="P188"/>
  <c r="O188"/>
  <c r="N188"/>
  <c r="M188"/>
  <c r="L188"/>
  <c r="K188"/>
  <c r="J188"/>
  <c r="I188"/>
  <c r="H188"/>
  <c r="G188"/>
  <c r="F188"/>
  <c r="S187"/>
  <c r="R187"/>
  <c r="Q187"/>
  <c r="P187"/>
  <c r="O187"/>
  <c r="N187"/>
  <c r="M187"/>
  <c r="L187"/>
  <c r="K187"/>
  <c r="J187"/>
  <c r="I187"/>
  <c r="H187"/>
  <c r="G187"/>
  <c r="F187"/>
  <c r="S186"/>
  <c r="R186"/>
  <c r="Q186"/>
  <c r="P186"/>
  <c r="O186"/>
  <c r="N186"/>
  <c r="M186"/>
  <c r="L186"/>
  <c r="K186"/>
  <c r="J186"/>
  <c r="I186"/>
  <c r="H186"/>
  <c r="G186"/>
  <c r="F186"/>
  <c r="S185"/>
  <c r="R185"/>
  <c r="Q185"/>
  <c r="P185"/>
  <c r="O185"/>
  <c r="N185"/>
  <c r="M185"/>
  <c r="L185"/>
  <c r="K185"/>
  <c r="J185"/>
  <c r="I185"/>
  <c r="H185"/>
  <c r="G185"/>
  <c r="F185"/>
  <c r="S184"/>
  <c r="R184"/>
  <c r="Q184"/>
  <c r="P184"/>
  <c r="O184"/>
  <c r="N184"/>
  <c r="M184"/>
  <c r="L184"/>
  <c r="K184"/>
  <c r="J184"/>
  <c r="I184"/>
  <c r="H184"/>
  <c r="G184"/>
  <c r="F184"/>
  <c r="S183"/>
  <c r="R183"/>
  <c r="Q183"/>
  <c r="P183"/>
  <c r="O183"/>
  <c r="N183"/>
  <c r="M183"/>
  <c r="L183"/>
  <c r="K183"/>
  <c r="J183"/>
  <c r="I183"/>
  <c r="H183"/>
  <c r="G183"/>
  <c r="F183"/>
  <c r="S182"/>
  <c r="R182"/>
  <c r="Q182"/>
  <c r="P182"/>
  <c r="O182"/>
  <c r="N182"/>
  <c r="M182"/>
  <c r="L182"/>
  <c r="K182"/>
  <c r="J182"/>
  <c r="I182"/>
  <c r="H182"/>
  <c r="G182"/>
  <c r="F182"/>
  <c r="S181"/>
  <c r="R181"/>
  <c r="Q181"/>
  <c r="P181"/>
  <c r="O181"/>
  <c r="N181"/>
  <c r="M181"/>
  <c r="L181"/>
  <c r="K181"/>
  <c r="J181"/>
  <c r="I181"/>
  <c r="H181"/>
  <c r="G181"/>
  <c r="F181"/>
  <c r="S180"/>
  <c r="R180"/>
  <c r="Q180"/>
  <c r="P180"/>
  <c r="O180"/>
  <c r="N180"/>
  <c r="M180"/>
  <c r="L180"/>
  <c r="K180"/>
  <c r="J180"/>
  <c r="I180"/>
  <c r="H180"/>
  <c r="G180"/>
  <c r="F180"/>
  <c r="S179"/>
  <c r="R179"/>
  <c r="Q179"/>
  <c r="P179"/>
  <c r="O179"/>
  <c r="N179"/>
  <c r="M179"/>
  <c r="L179"/>
  <c r="K179"/>
  <c r="J179"/>
  <c r="I179"/>
  <c r="H179"/>
  <c r="G179"/>
  <c r="F179"/>
  <c r="S178"/>
  <c r="R178"/>
  <c r="Q178"/>
  <c r="P178"/>
  <c r="O178"/>
  <c r="N178"/>
  <c r="M178"/>
  <c r="L178"/>
  <c r="K178"/>
  <c r="J178"/>
  <c r="I178"/>
  <c r="H178"/>
  <c r="G178"/>
  <c r="F178"/>
  <c r="S177"/>
  <c r="R177"/>
  <c r="Q177"/>
  <c r="P177"/>
  <c r="O177"/>
  <c r="N177"/>
  <c r="M177"/>
  <c r="L177"/>
  <c r="K177"/>
  <c r="J177"/>
  <c r="I177"/>
  <c r="H177"/>
  <c r="G177"/>
  <c r="F177"/>
  <c r="S176"/>
  <c r="R176"/>
  <c r="Q176"/>
  <c r="P176"/>
  <c r="O176"/>
  <c r="N176"/>
  <c r="M176"/>
  <c r="L176"/>
  <c r="K176"/>
  <c r="J176"/>
  <c r="I176"/>
  <c r="H176"/>
  <c r="G176"/>
  <c r="F176"/>
  <c r="S175"/>
  <c r="R175"/>
  <c r="Q175"/>
  <c r="P175"/>
  <c r="O175"/>
  <c r="N175"/>
  <c r="M175"/>
  <c r="L175"/>
  <c r="K175"/>
  <c r="J175"/>
  <c r="I175"/>
  <c r="H175"/>
  <c r="G175"/>
  <c r="F175"/>
  <c r="S174"/>
  <c r="R174"/>
  <c r="Q174"/>
  <c r="P174"/>
  <c r="O174"/>
  <c r="N174"/>
  <c r="M174"/>
  <c r="L174"/>
  <c r="K174"/>
  <c r="J174"/>
  <c r="I174"/>
  <c r="H174"/>
  <c r="G174"/>
  <c r="F174"/>
  <c r="S173"/>
  <c r="R173"/>
  <c r="Q173"/>
  <c r="P173"/>
  <c r="O173"/>
  <c r="N173"/>
  <c r="M173"/>
  <c r="L173"/>
  <c r="K173"/>
  <c r="J173"/>
  <c r="I173"/>
  <c r="H173"/>
  <c r="G173"/>
  <c r="F173"/>
  <c r="S172"/>
  <c r="R172"/>
  <c r="Q172"/>
  <c r="O172"/>
  <c r="N172"/>
  <c r="M172"/>
  <c r="L172"/>
  <c r="K172"/>
  <c r="J172"/>
  <c r="I172"/>
  <c r="H172"/>
  <c r="G172"/>
  <c r="F172"/>
  <c r="S171"/>
  <c r="R171"/>
  <c r="Q171"/>
  <c r="P171"/>
  <c r="O171"/>
  <c r="N171"/>
  <c r="M171"/>
  <c r="L171"/>
  <c r="K171"/>
  <c r="J171"/>
  <c r="I171"/>
  <c r="H171"/>
  <c r="G171"/>
  <c r="F171"/>
  <c r="S170"/>
  <c r="R170"/>
  <c r="Q170"/>
  <c r="P170"/>
  <c r="O170"/>
  <c r="N170"/>
  <c r="M170"/>
  <c r="L170"/>
  <c r="K170"/>
  <c r="J170"/>
  <c r="I170"/>
  <c r="H170"/>
  <c r="G170"/>
  <c r="F170"/>
  <c r="S169"/>
  <c r="R169"/>
  <c r="Q169"/>
  <c r="P169"/>
  <c r="O169"/>
  <c r="N169"/>
  <c r="M169"/>
  <c r="L169"/>
  <c r="K169"/>
  <c r="J169"/>
  <c r="I169"/>
  <c r="H169"/>
  <c r="G169"/>
  <c r="F169"/>
  <c r="S168"/>
  <c r="R168"/>
  <c r="Q168"/>
  <c r="P168"/>
  <c r="O168"/>
  <c r="N168"/>
  <c r="M168"/>
  <c r="L168"/>
  <c r="K168"/>
  <c r="J168"/>
  <c r="I168"/>
  <c r="H168"/>
  <c r="G168"/>
  <c r="F168"/>
  <c r="T168" s="1"/>
  <c r="S167"/>
  <c r="R167"/>
  <c r="Q167"/>
  <c r="P167"/>
  <c r="O167"/>
  <c r="N167"/>
  <c r="M167"/>
  <c r="L167"/>
  <c r="K167"/>
  <c r="J167"/>
  <c r="I167"/>
  <c r="H167"/>
  <c r="T167" s="1"/>
  <c r="G167"/>
  <c r="F167"/>
  <c r="S166"/>
  <c r="R166"/>
  <c r="Q166"/>
  <c r="P166"/>
  <c r="O166"/>
  <c r="N166"/>
  <c r="M166"/>
  <c r="L166"/>
  <c r="K166"/>
  <c r="J166"/>
  <c r="I166"/>
  <c r="H166"/>
  <c r="G166"/>
  <c r="F166"/>
  <c r="S165"/>
  <c r="R165"/>
  <c r="Q165"/>
  <c r="P165"/>
  <c r="O165"/>
  <c r="N165"/>
  <c r="M165"/>
  <c r="L165"/>
  <c r="K165"/>
  <c r="J165"/>
  <c r="I165"/>
  <c r="H165"/>
  <c r="G165"/>
  <c r="F165"/>
  <c r="S164"/>
  <c r="R164"/>
  <c r="Q164"/>
  <c r="P164"/>
  <c r="O164"/>
  <c r="N164"/>
  <c r="M164"/>
  <c r="L164"/>
  <c r="K164"/>
  <c r="J164"/>
  <c r="I164"/>
  <c r="H164"/>
  <c r="G164"/>
  <c r="F164"/>
  <c r="S163"/>
  <c r="R163"/>
  <c r="Q163"/>
  <c r="P163"/>
  <c r="O163"/>
  <c r="N163"/>
  <c r="M163"/>
  <c r="L163"/>
  <c r="K163"/>
  <c r="J163"/>
  <c r="I163"/>
  <c r="H163"/>
  <c r="G163"/>
  <c r="F163"/>
  <c r="S162"/>
  <c r="R162"/>
  <c r="Q162"/>
  <c r="P162"/>
  <c r="O162"/>
  <c r="N162"/>
  <c r="M162"/>
  <c r="L162"/>
  <c r="K162"/>
  <c r="J162"/>
  <c r="I162"/>
  <c r="H162"/>
  <c r="G162"/>
  <c r="F162"/>
  <c r="S161"/>
  <c r="R161"/>
  <c r="Q161"/>
  <c r="O161"/>
  <c r="N161"/>
  <c r="M161"/>
  <c r="L161"/>
  <c r="K161"/>
  <c r="J161"/>
  <c r="I161"/>
  <c r="H161"/>
  <c r="G161"/>
  <c r="F161"/>
  <c r="S160"/>
  <c r="R160"/>
  <c r="Q160"/>
  <c r="P160"/>
  <c r="O160"/>
  <c r="N160"/>
  <c r="M160"/>
  <c r="L160"/>
  <c r="K160"/>
  <c r="J160"/>
  <c r="I160"/>
  <c r="H160"/>
  <c r="G160"/>
  <c r="F160"/>
  <c r="S159"/>
  <c r="R159"/>
  <c r="Q159"/>
  <c r="P159"/>
  <c r="O159"/>
  <c r="N159"/>
  <c r="M159"/>
  <c r="L159"/>
  <c r="K159"/>
  <c r="K209" s="1"/>
  <c r="J159"/>
  <c r="I159"/>
  <c r="H159"/>
  <c r="G159"/>
  <c r="F159"/>
  <c r="S157"/>
  <c r="R157"/>
  <c r="Q157"/>
  <c r="O157"/>
  <c r="N157"/>
  <c r="M157"/>
  <c r="L157"/>
  <c r="K157"/>
  <c r="J157"/>
  <c r="I157"/>
  <c r="H157"/>
  <c r="G157"/>
  <c r="F157"/>
  <c r="S156"/>
  <c r="R156"/>
  <c r="Q156"/>
  <c r="P156"/>
  <c r="O156"/>
  <c r="N156"/>
  <c r="M156"/>
  <c r="L156"/>
  <c r="K156"/>
  <c r="J156"/>
  <c r="I156"/>
  <c r="H156"/>
  <c r="G156"/>
  <c r="F156"/>
  <c r="S155"/>
  <c r="R155"/>
  <c r="Q155"/>
  <c r="P155"/>
  <c r="O155"/>
  <c r="N155"/>
  <c r="M155"/>
  <c r="L155"/>
  <c r="K155"/>
  <c r="J155"/>
  <c r="I155"/>
  <c r="H155"/>
  <c r="G155"/>
  <c r="F155"/>
  <c r="S154"/>
  <c r="R154"/>
  <c r="Q154"/>
  <c r="P154"/>
  <c r="O154"/>
  <c r="N154"/>
  <c r="M154"/>
  <c r="L154"/>
  <c r="K154"/>
  <c r="J154"/>
  <c r="I154"/>
  <c r="H154"/>
  <c r="G154"/>
  <c r="F154"/>
  <c r="S153"/>
  <c r="R153"/>
  <c r="Q153"/>
  <c r="P153"/>
  <c r="O153"/>
  <c r="N153"/>
  <c r="M153"/>
  <c r="L153"/>
  <c r="K153"/>
  <c r="J153"/>
  <c r="I153"/>
  <c r="H153"/>
  <c r="G153"/>
  <c r="F153"/>
  <c r="S152"/>
  <c r="R152"/>
  <c r="Q152"/>
  <c r="P152"/>
  <c r="O152"/>
  <c r="N152"/>
  <c r="M152"/>
  <c r="L152"/>
  <c r="K152"/>
  <c r="J152"/>
  <c r="I152"/>
  <c r="H152"/>
  <c r="G152"/>
  <c r="F152"/>
  <c r="S151"/>
  <c r="R151"/>
  <c r="Q151"/>
  <c r="P151"/>
  <c r="O151"/>
  <c r="N151"/>
  <c r="M151"/>
  <c r="L151"/>
  <c r="K151"/>
  <c r="J151"/>
  <c r="I151"/>
  <c r="H151"/>
  <c r="G151"/>
  <c r="F151"/>
  <c r="S150"/>
  <c r="R150"/>
  <c r="Q150"/>
  <c r="P150"/>
  <c r="O150"/>
  <c r="N150"/>
  <c r="M150"/>
  <c r="L150"/>
  <c r="K150"/>
  <c r="J150"/>
  <c r="I150"/>
  <c r="H150"/>
  <c r="G150"/>
  <c r="F150"/>
  <c r="S149"/>
  <c r="R149"/>
  <c r="Q149"/>
  <c r="P149"/>
  <c r="O149"/>
  <c r="N149"/>
  <c r="M149"/>
  <c r="L149"/>
  <c r="K149"/>
  <c r="J149"/>
  <c r="I149"/>
  <c r="H149"/>
  <c r="G149"/>
  <c r="F149"/>
  <c r="S148"/>
  <c r="R148"/>
  <c r="Q148"/>
  <c r="O148"/>
  <c r="N148"/>
  <c r="M148"/>
  <c r="L148"/>
  <c r="K148"/>
  <c r="J148"/>
  <c r="I148"/>
  <c r="H148"/>
  <c r="G148"/>
  <c r="F148"/>
  <c r="S147"/>
  <c r="R147"/>
  <c r="Q147"/>
  <c r="P147"/>
  <c r="O147"/>
  <c r="N147"/>
  <c r="M147"/>
  <c r="L147"/>
  <c r="K147"/>
  <c r="J147"/>
  <c r="I147"/>
  <c r="H147"/>
  <c r="G147"/>
  <c r="F147"/>
  <c r="S146"/>
  <c r="R146"/>
  <c r="Q146"/>
  <c r="P146"/>
  <c r="O146"/>
  <c r="N146"/>
  <c r="M146"/>
  <c r="L146"/>
  <c r="K146"/>
  <c r="J146"/>
  <c r="I146"/>
  <c r="G146"/>
  <c r="F146"/>
  <c r="S145"/>
  <c r="R145"/>
  <c r="Q145"/>
  <c r="O145"/>
  <c r="N145"/>
  <c r="M145"/>
  <c r="L145"/>
  <c r="K145"/>
  <c r="J145"/>
  <c r="I145"/>
  <c r="H145"/>
  <c r="G145"/>
  <c r="F145"/>
  <c r="S144"/>
  <c r="R144"/>
  <c r="Q144"/>
  <c r="P144"/>
  <c r="O144"/>
  <c r="N144"/>
  <c r="M144"/>
  <c r="L144"/>
  <c r="K144"/>
  <c r="J144"/>
  <c r="I144"/>
  <c r="H144"/>
  <c r="G144"/>
  <c r="F144"/>
  <c r="S143"/>
  <c r="R143"/>
  <c r="Q143"/>
  <c r="P143"/>
  <c r="O143"/>
  <c r="N143"/>
  <c r="M143"/>
  <c r="L143"/>
  <c r="K143"/>
  <c r="J143"/>
  <c r="I143"/>
  <c r="H143"/>
  <c r="G143"/>
  <c r="F143"/>
  <c r="S142"/>
  <c r="R142"/>
  <c r="Q142"/>
  <c r="O142"/>
  <c r="N142"/>
  <c r="M142"/>
  <c r="L142"/>
  <c r="K142"/>
  <c r="J142"/>
  <c r="I142"/>
  <c r="H142"/>
  <c r="G142"/>
  <c r="F142"/>
  <c r="S141"/>
  <c r="R141"/>
  <c r="Q141"/>
  <c r="P141"/>
  <c r="O141"/>
  <c r="N141"/>
  <c r="M141"/>
  <c r="L141"/>
  <c r="K141"/>
  <c r="J141"/>
  <c r="I141"/>
  <c r="H141"/>
  <c r="G141"/>
  <c r="F141"/>
  <c r="S140"/>
  <c r="R140"/>
  <c r="Q140"/>
  <c r="P140"/>
  <c r="O140"/>
  <c r="N140"/>
  <c r="M140"/>
  <c r="L140"/>
  <c r="K140"/>
  <c r="J140"/>
  <c r="I140"/>
  <c r="H140"/>
  <c r="G140"/>
  <c r="F140"/>
  <c r="S139"/>
  <c r="R139"/>
  <c r="Q139"/>
  <c r="P139"/>
  <c r="O139"/>
  <c r="M139"/>
  <c r="L139"/>
  <c r="K139"/>
  <c r="J139"/>
  <c r="I139"/>
  <c r="H139"/>
  <c r="G139"/>
  <c r="F139"/>
  <c r="S138"/>
  <c r="R138"/>
  <c r="Q138"/>
  <c r="P138"/>
  <c r="O138"/>
  <c r="N138"/>
  <c r="M138"/>
  <c r="L138"/>
  <c r="K138"/>
  <c r="J138"/>
  <c r="I138"/>
  <c r="H138"/>
  <c r="G138"/>
  <c r="F138"/>
  <c r="S137"/>
  <c r="R137"/>
  <c r="Q137"/>
  <c r="P137"/>
  <c r="O137"/>
  <c r="N137"/>
  <c r="M137"/>
  <c r="L137"/>
  <c r="K137"/>
  <c r="J137"/>
  <c r="I137"/>
  <c r="H137"/>
  <c r="G137"/>
  <c r="F137"/>
  <c r="S136"/>
  <c r="R136"/>
  <c r="P136"/>
  <c r="O136"/>
  <c r="N136"/>
  <c r="M136"/>
  <c r="L136"/>
  <c r="K136"/>
  <c r="J136"/>
  <c r="I136"/>
  <c r="H136"/>
  <c r="G136"/>
  <c r="F136"/>
  <c r="S135"/>
  <c r="R135"/>
  <c r="Q135"/>
  <c r="P135"/>
  <c r="O135"/>
  <c r="N135"/>
  <c r="M135"/>
  <c r="L135"/>
  <c r="K135"/>
  <c r="J135"/>
  <c r="I135"/>
  <c r="H135"/>
  <c r="G135"/>
  <c r="F135"/>
  <c r="S133"/>
  <c r="R133"/>
  <c r="Q133"/>
  <c r="P133"/>
  <c r="O133"/>
  <c r="N133"/>
  <c r="M133"/>
  <c r="L133"/>
  <c r="K133"/>
  <c r="J133"/>
  <c r="I133"/>
  <c r="H133"/>
  <c r="G133"/>
  <c r="F133"/>
  <c r="S132"/>
  <c r="R132"/>
  <c r="Q132"/>
  <c r="P132"/>
  <c r="O132"/>
  <c r="N132"/>
  <c r="M132"/>
  <c r="L132"/>
  <c r="K132"/>
  <c r="J132"/>
  <c r="I132"/>
  <c r="H132"/>
  <c r="G132"/>
  <c r="F132"/>
  <c r="S131"/>
  <c r="R131"/>
  <c r="Q131"/>
  <c r="P131"/>
  <c r="O131"/>
  <c r="N131"/>
  <c r="M131"/>
  <c r="L131"/>
  <c r="K131"/>
  <c r="J131"/>
  <c r="I131"/>
  <c r="H131"/>
  <c r="G131"/>
  <c r="F131"/>
  <c r="S130"/>
  <c r="R130"/>
  <c r="Q130"/>
  <c r="P130"/>
  <c r="O130"/>
  <c r="N130"/>
  <c r="M130"/>
  <c r="L130"/>
  <c r="K130"/>
  <c r="J130"/>
  <c r="I130"/>
  <c r="H130"/>
  <c r="G130"/>
  <c r="F130"/>
  <c r="S129"/>
  <c r="R129"/>
  <c r="Q129"/>
  <c r="P129"/>
  <c r="O129"/>
  <c r="N129"/>
  <c r="M129"/>
  <c r="L129"/>
  <c r="K129"/>
  <c r="J129"/>
  <c r="I129"/>
  <c r="H129"/>
  <c r="G129"/>
  <c r="F129"/>
  <c r="T129" s="1"/>
  <c r="S128"/>
  <c r="R128"/>
  <c r="Q128"/>
  <c r="P128"/>
  <c r="O128"/>
  <c r="N128"/>
  <c r="M128"/>
  <c r="L128"/>
  <c r="K128"/>
  <c r="J128"/>
  <c r="I128"/>
  <c r="H128"/>
  <c r="G128"/>
  <c r="F128"/>
  <c r="S127"/>
  <c r="R127"/>
  <c r="Q127"/>
  <c r="P127"/>
  <c r="O127"/>
  <c r="N127"/>
  <c r="M127"/>
  <c r="L127"/>
  <c r="K127"/>
  <c r="J127"/>
  <c r="I127"/>
  <c r="H127"/>
  <c r="G127"/>
  <c r="F127"/>
  <c r="S126"/>
  <c r="R126"/>
  <c r="Q126"/>
  <c r="P126"/>
  <c r="O126"/>
  <c r="N126"/>
  <c r="M126"/>
  <c r="L126"/>
  <c r="K126"/>
  <c r="J126"/>
  <c r="I126"/>
  <c r="H126"/>
  <c r="G126"/>
  <c r="F126"/>
  <c r="S125"/>
  <c r="R125"/>
  <c r="Q125"/>
  <c r="P125"/>
  <c r="O125"/>
  <c r="N125"/>
  <c r="M125"/>
  <c r="L125"/>
  <c r="K125"/>
  <c r="J125"/>
  <c r="I125"/>
  <c r="H125"/>
  <c r="G125"/>
  <c r="F125"/>
  <c r="S124"/>
  <c r="R124"/>
  <c r="Q124"/>
  <c r="P124"/>
  <c r="O124"/>
  <c r="N124"/>
  <c r="M124"/>
  <c r="L124"/>
  <c r="K124"/>
  <c r="J124"/>
  <c r="I124"/>
  <c r="H124"/>
  <c r="G124"/>
  <c r="F124"/>
  <c r="S123"/>
  <c r="R123"/>
  <c r="Q123"/>
  <c r="P123"/>
  <c r="O123"/>
  <c r="N123"/>
  <c r="M123"/>
  <c r="L123"/>
  <c r="K123"/>
  <c r="J123"/>
  <c r="I123"/>
  <c r="H123"/>
  <c r="G123"/>
  <c r="F123"/>
  <c r="S122"/>
  <c r="R122"/>
  <c r="Q122"/>
  <c r="P122"/>
  <c r="O122"/>
  <c r="N122"/>
  <c r="M122"/>
  <c r="L122"/>
  <c r="K122"/>
  <c r="J122"/>
  <c r="I122"/>
  <c r="H122"/>
  <c r="G122"/>
  <c r="F122"/>
  <c r="S121"/>
  <c r="R121"/>
  <c r="Q121"/>
  <c r="P121"/>
  <c r="O121"/>
  <c r="N121"/>
  <c r="M121"/>
  <c r="L121"/>
  <c r="K121"/>
  <c r="J121"/>
  <c r="I121"/>
  <c r="H121"/>
  <c r="G121"/>
  <c r="F121"/>
  <c r="S120"/>
  <c r="R120"/>
  <c r="Q120"/>
  <c r="P120"/>
  <c r="O120"/>
  <c r="N120"/>
  <c r="M120"/>
  <c r="L120"/>
  <c r="K120"/>
  <c r="J120"/>
  <c r="I120"/>
  <c r="H120"/>
  <c r="G120"/>
  <c r="F120"/>
  <c r="S119"/>
  <c r="R119"/>
  <c r="Q119"/>
  <c r="P119"/>
  <c r="O119"/>
  <c r="N119"/>
  <c r="M119"/>
  <c r="L119"/>
  <c r="K119"/>
  <c r="J119"/>
  <c r="I119"/>
  <c r="H119"/>
  <c r="G119"/>
  <c r="F119"/>
  <c r="S118"/>
  <c r="R118"/>
  <c r="Q118"/>
  <c r="P118"/>
  <c r="O118"/>
  <c r="N118"/>
  <c r="M118"/>
  <c r="L118"/>
  <c r="K118"/>
  <c r="J118"/>
  <c r="I118"/>
  <c r="H118"/>
  <c r="G118"/>
  <c r="F118"/>
  <c r="S117"/>
  <c r="R117"/>
  <c r="Q117"/>
  <c r="P117"/>
  <c r="O117"/>
  <c r="N117"/>
  <c r="M117"/>
  <c r="L117"/>
  <c r="J117"/>
  <c r="I117"/>
  <c r="H117"/>
  <c r="G117"/>
  <c r="F117"/>
  <c r="S116"/>
  <c r="R116"/>
  <c r="Q116"/>
  <c r="P116"/>
  <c r="O116"/>
  <c r="N116"/>
  <c r="M116"/>
  <c r="L116"/>
  <c r="K116"/>
  <c r="J116"/>
  <c r="I116"/>
  <c r="H116"/>
  <c r="G116"/>
  <c r="F116"/>
  <c r="S115"/>
  <c r="R115"/>
  <c r="Q115"/>
  <c r="P115"/>
  <c r="O115"/>
  <c r="N115"/>
  <c r="M115"/>
  <c r="L115"/>
  <c r="K115"/>
  <c r="J115"/>
  <c r="I115"/>
  <c r="H115"/>
  <c r="G115"/>
  <c r="F115"/>
  <c r="S114"/>
  <c r="R114"/>
  <c r="Q114"/>
  <c r="P114"/>
  <c r="O114"/>
  <c r="N114"/>
  <c r="M114"/>
  <c r="L114"/>
  <c r="K114"/>
  <c r="J114"/>
  <c r="H114"/>
  <c r="G114"/>
  <c r="F114"/>
  <c r="S113"/>
  <c r="R113"/>
  <c r="Q113"/>
  <c r="P113"/>
  <c r="O113"/>
  <c r="N113"/>
  <c r="M113"/>
  <c r="L113"/>
  <c r="K113"/>
  <c r="J113"/>
  <c r="I113"/>
  <c r="H113"/>
  <c r="G113"/>
  <c r="F113"/>
  <c r="S112"/>
  <c r="R112"/>
  <c r="Q112"/>
  <c r="P112"/>
  <c r="O112"/>
  <c r="N112"/>
  <c r="M112"/>
  <c r="L112"/>
  <c r="K112"/>
  <c r="J112"/>
  <c r="I112"/>
  <c r="H112"/>
  <c r="G112"/>
  <c r="F112"/>
  <c r="S111"/>
  <c r="R111"/>
  <c r="Q111"/>
  <c r="P111"/>
  <c r="O111"/>
  <c r="N111"/>
  <c r="M111"/>
  <c r="L111"/>
  <c r="K111"/>
  <c r="J111"/>
  <c r="I111"/>
  <c r="H111"/>
  <c r="G111"/>
  <c r="F111"/>
  <c r="S110"/>
  <c r="R110"/>
  <c r="Q110"/>
  <c r="P110"/>
  <c r="O110"/>
  <c r="N110"/>
  <c r="M110"/>
  <c r="L110"/>
  <c r="K110"/>
  <c r="J110"/>
  <c r="I110"/>
  <c r="H110"/>
  <c r="G110"/>
  <c r="F110"/>
  <c r="S109"/>
  <c r="R109"/>
  <c r="Q109"/>
  <c r="P109"/>
  <c r="O109"/>
  <c r="N109"/>
  <c r="M109"/>
  <c r="L109"/>
  <c r="K109"/>
  <c r="J109"/>
  <c r="I109"/>
  <c r="H109"/>
  <c r="G109"/>
  <c r="F109"/>
  <c r="S108"/>
  <c r="R108"/>
  <c r="Q108"/>
  <c r="P108"/>
  <c r="O108"/>
  <c r="N108"/>
  <c r="M108"/>
  <c r="L108"/>
  <c r="K108"/>
  <c r="J108"/>
  <c r="I108"/>
  <c r="H108"/>
  <c r="G108"/>
  <c r="F108"/>
  <c r="S107"/>
  <c r="R107"/>
  <c r="Q107"/>
  <c r="P107"/>
  <c r="O107"/>
  <c r="N107"/>
  <c r="M107"/>
  <c r="L107"/>
  <c r="K107"/>
  <c r="J107"/>
  <c r="I107"/>
  <c r="H107"/>
  <c r="G107"/>
  <c r="F107"/>
  <c r="S106"/>
  <c r="R106"/>
  <c r="Q106"/>
  <c r="P106"/>
  <c r="O106"/>
  <c r="N106"/>
  <c r="M106"/>
  <c r="L106"/>
  <c r="K106"/>
  <c r="J106"/>
  <c r="I106"/>
  <c r="H106"/>
  <c r="G106"/>
  <c r="F106"/>
  <c r="S105"/>
  <c r="R105"/>
  <c r="Q105"/>
  <c r="P105"/>
  <c r="O105"/>
  <c r="N105"/>
  <c r="M105"/>
  <c r="L105"/>
  <c r="K105"/>
  <c r="J105"/>
  <c r="I105"/>
  <c r="H105"/>
  <c r="G105"/>
  <c r="F105"/>
  <c r="S104"/>
  <c r="R104"/>
  <c r="Q104"/>
  <c r="P104"/>
  <c r="O104"/>
  <c r="N104"/>
  <c r="M104"/>
  <c r="L104"/>
  <c r="K104"/>
  <c r="J104"/>
  <c r="I104"/>
  <c r="H104"/>
  <c r="G104"/>
  <c r="F104"/>
  <c r="S103"/>
  <c r="R103"/>
  <c r="Q103"/>
  <c r="P103"/>
  <c r="O103"/>
  <c r="N103"/>
  <c r="M103"/>
  <c r="L103"/>
  <c r="K103"/>
  <c r="J103"/>
  <c r="I103"/>
  <c r="H103"/>
  <c r="G103"/>
  <c r="F103"/>
  <c r="S102"/>
  <c r="R102"/>
  <c r="Q102"/>
  <c r="P102"/>
  <c r="O102"/>
  <c r="N102"/>
  <c r="M102"/>
  <c r="L102"/>
  <c r="K102"/>
  <c r="J102"/>
  <c r="I102"/>
  <c r="H102"/>
  <c r="G102"/>
  <c r="F102"/>
  <c r="S101"/>
  <c r="R101"/>
  <c r="Q101"/>
  <c r="P101"/>
  <c r="O101"/>
  <c r="N101"/>
  <c r="M101"/>
  <c r="L101"/>
  <c r="K101"/>
  <c r="J101"/>
  <c r="I101"/>
  <c r="H101"/>
  <c r="G101"/>
  <c r="F101"/>
  <c r="S100"/>
  <c r="R100"/>
  <c r="Q100"/>
  <c r="P100"/>
  <c r="O100"/>
  <c r="N100"/>
  <c r="M100"/>
  <c r="L100"/>
  <c r="K100"/>
  <c r="J100"/>
  <c r="I100"/>
  <c r="H100"/>
  <c r="G100"/>
  <c r="F100"/>
  <c r="S99"/>
  <c r="R99"/>
  <c r="Q99"/>
  <c r="P99"/>
  <c r="O99"/>
  <c r="N99"/>
  <c r="M99"/>
  <c r="L99"/>
  <c r="K99"/>
  <c r="J99"/>
  <c r="I99"/>
  <c r="H99"/>
  <c r="G99"/>
  <c r="F99"/>
  <c r="S98"/>
  <c r="R98"/>
  <c r="Q98"/>
  <c r="P98"/>
  <c r="O98"/>
  <c r="N98"/>
  <c r="M98"/>
  <c r="L98"/>
  <c r="K98"/>
  <c r="J98"/>
  <c r="I98"/>
  <c r="H98"/>
  <c r="G98"/>
  <c r="F98"/>
  <c r="S97"/>
  <c r="R97"/>
  <c r="Q97"/>
  <c r="P97"/>
  <c r="O97"/>
  <c r="N97"/>
  <c r="M97"/>
  <c r="L97"/>
  <c r="K97"/>
  <c r="J97"/>
  <c r="I97"/>
  <c r="H97"/>
  <c r="G97"/>
  <c r="F97"/>
  <c r="S96"/>
  <c r="R96"/>
  <c r="Q96"/>
  <c r="P96"/>
  <c r="O96"/>
  <c r="N96"/>
  <c r="M96"/>
  <c r="L96"/>
  <c r="K96"/>
  <c r="J96"/>
  <c r="I96"/>
  <c r="H96"/>
  <c r="G96"/>
  <c r="F96"/>
  <c r="S95"/>
  <c r="R95"/>
  <c r="Q95"/>
  <c r="P95"/>
  <c r="O95"/>
  <c r="N95"/>
  <c r="M95"/>
  <c r="L95"/>
  <c r="K95"/>
  <c r="J95"/>
  <c r="I95"/>
  <c r="H95"/>
  <c r="G95"/>
  <c r="F95"/>
  <c r="S94"/>
  <c r="R94"/>
  <c r="Q94"/>
  <c r="P94"/>
  <c r="O94"/>
  <c r="N94"/>
  <c r="M94"/>
  <c r="L94"/>
  <c r="J94"/>
  <c r="I94"/>
  <c r="H94"/>
  <c r="G94"/>
  <c r="F94"/>
  <c r="S92"/>
  <c r="R92"/>
  <c r="Q92"/>
  <c r="P92"/>
  <c r="O92"/>
  <c r="N92"/>
  <c r="M92"/>
  <c r="L92"/>
  <c r="K92"/>
  <c r="J92"/>
  <c r="I92"/>
  <c r="H92"/>
  <c r="G92"/>
  <c r="F92"/>
  <c r="S91"/>
  <c r="R91"/>
  <c r="Q91"/>
  <c r="P91"/>
  <c r="O91"/>
  <c r="N91"/>
  <c r="M91"/>
  <c r="L91"/>
  <c r="K91"/>
  <c r="J91"/>
  <c r="I91"/>
  <c r="H91"/>
  <c r="G91"/>
  <c r="F91"/>
  <c r="S90"/>
  <c r="R90"/>
  <c r="Q90"/>
  <c r="P90"/>
  <c r="O90"/>
  <c r="N90"/>
  <c r="M90"/>
  <c r="L90"/>
  <c r="K90"/>
  <c r="J90"/>
  <c r="I90"/>
  <c r="H90"/>
  <c r="G90"/>
  <c r="F90"/>
  <c r="S89"/>
  <c r="R89"/>
  <c r="Q89"/>
  <c r="P89"/>
  <c r="O89"/>
  <c r="N89"/>
  <c r="M89"/>
  <c r="L89"/>
  <c r="K89"/>
  <c r="J89"/>
  <c r="I89"/>
  <c r="H89"/>
  <c r="G89"/>
  <c r="F89"/>
  <c r="S88"/>
  <c r="R88"/>
  <c r="Q88"/>
  <c r="P88"/>
  <c r="O88"/>
  <c r="N88"/>
  <c r="M88"/>
  <c r="L88"/>
  <c r="K88"/>
  <c r="J88"/>
  <c r="I88"/>
  <c r="H88"/>
  <c r="G88"/>
  <c r="F88"/>
  <c r="S87"/>
  <c r="R87"/>
  <c r="Q87"/>
  <c r="P87"/>
  <c r="O87"/>
  <c r="N87"/>
  <c r="L87"/>
  <c r="K87"/>
  <c r="J87"/>
  <c r="I87"/>
  <c r="H87"/>
  <c r="G87"/>
  <c r="F87"/>
  <c r="S86"/>
  <c r="R86"/>
  <c r="Q86"/>
  <c r="P86"/>
  <c r="O86"/>
  <c r="N86"/>
  <c r="M86"/>
  <c r="L86"/>
  <c r="K86"/>
  <c r="J86"/>
  <c r="I86"/>
  <c r="H86"/>
  <c r="G86"/>
  <c r="F86"/>
  <c r="S85"/>
  <c r="R85"/>
  <c r="Q85"/>
  <c r="P85"/>
  <c r="O85"/>
  <c r="N85"/>
  <c r="M85"/>
  <c r="L85"/>
  <c r="K85"/>
  <c r="J85"/>
  <c r="I85"/>
  <c r="H85"/>
  <c r="G85"/>
  <c r="F85"/>
  <c r="S84"/>
  <c r="R84"/>
  <c r="P84"/>
  <c r="O84"/>
  <c r="N84"/>
  <c r="M84"/>
  <c r="L84"/>
  <c r="K84"/>
  <c r="J84"/>
  <c r="I84"/>
  <c r="H84"/>
  <c r="G84"/>
  <c r="F84"/>
  <c r="S83"/>
  <c r="R83"/>
  <c r="Q83"/>
  <c r="P83"/>
  <c r="O83"/>
  <c r="N83"/>
  <c r="L83"/>
  <c r="K83"/>
  <c r="J83"/>
  <c r="H83"/>
  <c r="G83"/>
  <c r="S82"/>
  <c r="R82"/>
  <c r="Q82"/>
  <c r="P82"/>
  <c r="O82"/>
  <c r="N82"/>
  <c r="L82"/>
  <c r="J82"/>
  <c r="I82"/>
  <c r="H82"/>
  <c r="G82"/>
  <c r="F82"/>
  <c r="S81"/>
  <c r="R81"/>
  <c r="Q81"/>
  <c r="P81"/>
  <c r="O81"/>
  <c r="N81"/>
  <c r="M81"/>
  <c r="L81"/>
  <c r="K81"/>
  <c r="J81"/>
  <c r="I81"/>
  <c r="H81"/>
  <c r="G81"/>
  <c r="S80"/>
  <c r="R80"/>
  <c r="Q80"/>
  <c r="P80"/>
  <c r="O80"/>
  <c r="N80"/>
  <c r="M80"/>
  <c r="L80"/>
  <c r="K80"/>
  <c r="J80"/>
  <c r="I80"/>
  <c r="H80"/>
  <c r="G80"/>
  <c r="Q79"/>
  <c r="O79"/>
  <c r="L79"/>
  <c r="K79"/>
  <c r="J79"/>
  <c r="I79"/>
  <c r="H79"/>
  <c r="F79"/>
  <c r="S78"/>
  <c r="R78"/>
  <c r="Q78"/>
  <c r="P78"/>
  <c r="O78"/>
  <c r="N78"/>
  <c r="M78"/>
  <c r="L78"/>
  <c r="K78"/>
  <c r="J78"/>
  <c r="I78"/>
  <c r="H78"/>
  <c r="G78"/>
  <c r="F78"/>
  <c r="S77"/>
  <c r="R77"/>
  <c r="Q77"/>
  <c r="P77"/>
  <c r="O77"/>
  <c r="N77"/>
  <c r="M77"/>
  <c r="L77"/>
  <c r="K77"/>
  <c r="J77"/>
  <c r="I77"/>
  <c r="H77"/>
  <c r="G77"/>
  <c r="F77"/>
  <c r="T77" s="1"/>
  <c r="S76"/>
  <c r="R76"/>
  <c r="Q76"/>
  <c r="P76"/>
  <c r="O76"/>
  <c r="N76"/>
  <c r="M76"/>
  <c r="L76"/>
  <c r="K76"/>
  <c r="J76"/>
  <c r="I76"/>
  <c r="H76"/>
  <c r="G76"/>
  <c r="F76"/>
  <c r="S75"/>
  <c r="R75"/>
  <c r="Q75"/>
  <c r="P75"/>
  <c r="O75"/>
  <c r="N75"/>
  <c r="M75"/>
  <c r="L75"/>
  <c r="K75"/>
  <c r="J75"/>
  <c r="I75"/>
  <c r="H75"/>
  <c r="G75"/>
  <c r="F75"/>
  <c r="Q74"/>
  <c r="O74"/>
  <c r="N74"/>
  <c r="M74"/>
  <c r="L74"/>
  <c r="J74"/>
  <c r="I74"/>
  <c r="H74"/>
  <c r="G74"/>
  <c r="F74"/>
  <c r="S73"/>
  <c r="R73"/>
  <c r="Q73"/>
  <c r="P73"/>
  <c r="O73"/>
  <c r="N73"/>
  <c r="M73"/>
  <c r="L73"/>
  <c r="J73"/>
  <c r="I73"/>
  <c r="H73"/>
  <c r="G73"/>
  <c r="F73"/>
  <c r="S72"/>
  <c r="R72"/>
  <c r="Q72"/>
  <c r="P72"/>
  <c r="O72"/>
  <c r="N72"/>
  <c r="M72"/>
  <c r="L72"/>
  <c r="J72"/>
  <c r="I72"/>
  <c r="H72"/>
  <c r="G72"/>
  <c r="F72"/>
  <c r="S71"/>
  <c r="R71"/>
  <c r="Q71"/>
  <c r="P71"/>
  <c r="O71"/>
  <c r="N71"/>
  <c r="M71"/>
  <c r="L71"/>
  <c r="K71"/>
  <c r="J71"/>
  <c r="I71"/>
  <c r="H71"/>
  <c r="G71"/>
  <c r="F71"/>
  <c r="T71" s="1"/>
  <c r="S70"/>
  <c r="R70"/>
  <c r="O70"/>
  <c r="N70"/>
  <c r="M70"/>
  <c r="L70"/>
  <c r="J70"/>
  <c r="I70"/>
  <c r="H70"/>
  <c r="G70"/>
  <c r="F70"/>
  <c r="S69"/>
  <c r="R69"/>
  <c r="Q69"/>
  <c r="P69"/>
  <c r="O69"/>
  <c r="N69"/>
  <c r="M69"/>
  <c r="L69"/>
  <c r="K69"/>
  <c r="J69"/>
  <c r="I69"/>
  <c r="H69"/>
  <c r="G69"/>
  <c r="F69"/>
  <c r="S67"/>
  <c r="R67"/>
  <c r="Q67"/>
  <c r="P67"/>
  <c r="O67"/>
  <c r="N67"/>
  <c r="M67"/>
  <c r="L67"/>
  <c r="K67"/>
  <c r="J67"/>
  <c r="I67"/>
  <c r="H67"/>
  <c r="G67"/>
  <c r="F67"/>
  <c r="S66"/>
  <c r="R66"/>
  <c r="Q66"/>
  <c r="P66"/>
  <c r="O66"/>
  <c r="N66"/>
  <c r="M66"/>
  <c r="L66"/>
  <c r="K66"/>
  <c r="J66"/>
  <c r="I66"/>
  <c r="H66"/>
  <c r="G66"/>
  <c r="F66"/>
  <c r="S65"/>
  <c r="R65"/>
  <c r="Q65"/>
  <c r="P65"/>
  <c r="O65"/>
  <c r="N65"/>
  <c r="M65"/>
  <c r="L65"/>
  <c r="K65"/>
  <c r="J65"/>
  <c r="I65"/>
  <c r="H65"/>
  <c r="G65"/>
  <c r="F65"/>
  <c r="S64"/>
  <c r="R64"/>
  <c r="Q64"/>
  <c r="P64"/>
  <c r="O64"/>
  <c r="N64"/>
  <c r="M64"/>
  <c r="L64"/>
  <c r="K64"/>
  <c r="J64"/>
  <c r="I64"/>
  <c r="H64"/>
  <c r="G64"/>
  <c r="F64"/>
  <c r="S63"/>
  <c r="R63"/>
  <c r="Q63"/>
  <c r="P63"/>
  <c r="O63"/>
  <c r="N63"/>
  <c r="M63"/>
  <c r="L63"/>
  <c r="K63"/>
  <c r="J63"/>
  <c r="I63"/>
  <c r="H63"/>
  <c r="G63"/>
  <c r="F63"/>
  <c r="S62"/>
  <c r="R62"/>
  <c r="Q62"/>
  <c r="P62"/>
  <c r="O62"/>
  <c r="N62"/>
  <c r="M62"/>
  <c r="L62"/>
  <c r="K62"/>
  <c r="J62"/>
  <c r="I62"/>
  <c r="G62"/>
  <c r="F62"/>
  <c r="S61"/>
  <c r="R61"/>
  <c r="Q61"/>
  <c r="P61"/>
  <c r="O61"/>
  <c r="N61"/>
  <c r="M61"/>
  <c r="L61"/>
  <c r="K61"/>
  <c r="J61"/>
  <c r="I61"/>
  <c r="H61"/>
  <c r="G61"/>
  <c r="F61"/>
  <c r="S60"/>
  <c r="R60"/>
  <c r="Q60"/>
  <c r="P60"/>
  <c r="O60"/>
  <c r="N60"/>
  <c r="M60"/>
  <c r="L60"/>
  <c r="J60"/>
  <c r="I60"/>
  <c r="H60"/>
  <c r="G60"/>
  <c r="F60"/>
  <c r="S59"/>
  <c r="R59"/>
  <c r="Q59"/>
  <c r="P59"/>
  <c r="O59"/>
  <c r="N59"/>
  <c r="M59"/>
  <c r="L59"/>
  <c r="K59"/>
  <c r="J59"/>
  <c r="I59"/>
  <c r="H59"/>
  <c r="G59"/>
  <c r="F59"/>
  <c r="S58"/>
  <c r="R58"/>
  <c r="Q58"/>
  <c r="P58"/>
  <c r="O58"/>
  <c r="N58"/>
  <c r="M58"/>
  <c r="L58"/>
  <c r="K58"/>
  <c r="J58"/>
  <c r="I58"/>
  <c r="H58"/>
  <c r="G58"/>
  <c r="F58"/>
  <c r="S57"/>
  <c r="R57"/>
  <c r="Q57"/>
  <c r="P57"/>
  <c r="O57"/>
  <c r="N57"/>
  <c r="M57"/>
  <c r="L57"/>
  <c r="J57"/>
  <c r="H57"/>
  <c r="G57"/>
  <c r="F57"/>
  <c r="S56"/>
  <c r="R56"/>
  <c r="Q56"/>
  <c r="P56"/>
  <c r="O56"/>
  <c r="N56"/>
  <c r="M56"/>
  <c r="L56"/>
  <c r="K56"/>
  <c r="J56"/>
  <c r="I56"/>
  <c r="H56"/>
  <c r="G56"/>
  <c r="F56"/>
  <c r="S55"/>
  <c r="R55"/>
  <c r="Q55"/>
  <c r="P55"/>
  <c r="O55"/>
  <c r="N55"/>
  <c r="M55"/>
  <c r="L55"/>
  <c r="K55"/>
  <c r="J55"/>
  <c r="I55"/>
  <c r="H55"/>
  <c r="G55"/>
  <c r="F55"/>
  <c r="S54"/>
  <c r="R54"/>
  <c r="Q54"/>
  <c r="P54"/>
  <c r="O54"/>
  <c r="N54"/>
  <c r="M54"/>
  <c r="L54"/>
  <c r="K54"/>
  <c r="J54"/>
  <c r="I54"/>
  <c r="H54"/>
  <c r="G54"/>
  <c r="F54"/>
  <c r="S53"/>
  <c r="R53"/>
  <c r="Q53"/>
  <c r="P53"/>
  <c r="O53"/>
  <c r="N53"/>
  <c r="M53"/>
  <c r="L53"/>
  <c r="K53"/>
  <c r="J53"/>
  <c r="I53"/>
  <c r="H53"/>
  <c r="G53"/>
  <c r="F53"/>
  <c r="S52"/>
  <c r="R52"/>
  <c r="Q52"/>
  <c r="P52"/>
  <c r="O52"/>
  <c r="N52"/>
  <c r="M52"/>
  <c r="L52"/>
  <c r="K52"/>
  <c r="J52"/>
  <c r="I52"/>
  <c r="H52"/>
  <c r="G52"/>
  <c r="F52"/>
  <c r="S51"/>
  <c r="R51"/>
  <c r="Q51"/>
  <c r="P51"/>
  <c r="O51"/>
  <c r="N51"/>
  <c r="M51"/>
  <c r="L51"/>
  <c r="K51"/>
  <c r="J51"/>
  <c r="I51"/>
  <c r="H51"/>
  <c r="G51"/>
  <c r="F51"/>
  <c r="S50"/>
  <c r="R50"/>
  <c r="Q50"/>
  <c r="P50"/>
  <c r="O50"/>
  <c r="N50"/>
  <c r="M50"/>
  <c r="L50"/>
  <c r="K50"/>
  <c r="J50"/>
  <c r="I50"/>
  <c r="H50"/>
  <c r="G50"/>
  <c r="F50"/>
  <c r="S49"/>
  <c r="R49"/>
  <c r="Q49"/>
  <c r="P49"/>
  <c r="O49"/>
  <c r="N49"/>
  <c r="M49"/>
  <c r="L49"/>
  <c r="K49"/>
  <c r="J49"/>
  <c r="I49"/>
  <c r="H49"/>
  <c r="G49"/>
  <c r="F49"/>
  <c r="S48"/>
  <c r="R48"/>
  <c r="Q48"/>
  <c r="P48"/>
  <c r="O48"/>
  <c r="N48"/>
  <c r="M48"/>
  <c r="L48"/>
  <c r="K48"/>
  <c r="J48"/>
  <c r="I48"/>
  <c r="H48"/>
  <c r="G48"/>
  <c r="F48"/>
  <c r="S47"/>
  <c r="R47"/>
  <c r="Q47"/>
  <c r="P47"/>
  <c r="O47"/>
  <c r="N47"/>
  <c r="M47"/>
  <c r="L47"/>
  <c r="K47"/>
  <c r="J47"/>
  <c r="I47"/>
  <c r="H47"/>
  <c r="G47"/>
  <c r="F47"/>
  <c r="S46"/>
  <c r="R46"/>
  <c r="Q46"/>
  <c r="P46"/>
  <c r="O46"/>
  <c r="N46"/>
  <c r="M46"/>
  <c r="L46"/>
  <c r="K46"/>
  <c r="J46"/>
  <c r="I46"/>
  <c r="H46"/>
  <c r="G46"/>
  <c r="F46"/>
  <c r="S45"/>
  <c r="R45"/>
  <c r="Q45"/>
  <c r="P45"/>
  <c r="O45"/>
  <c r="N45"/>
  <c r="M45"/>
  <c r="L45"/>
  <c r="K45"/>
  <c r="J45"/>
  <c r="I45"/>
  <c r="H45"/>
  <c r="G45"/>
  <c r="F45"/>
  <c r="S44"/>
  <c r="R44"/>
  <c r="Q44"/>
  <c r="P44"/>
  <c r="O44"/>
  <c r="N44"/>
  <c r="M44"/>
  <c r="L44"/>
  <c r="K44"/>
  <c r="J44"/>
  <c r="I44"/>
  <c r="H44"/>
  <c r="G44"/>
  <c r="F44"/>
  <c r="S43"/>
  <c r="R43"/>
  <c r="Q43"/>
  <c r="P43"/>
  <c r="O43"/>
  <c r="N43"/>
  <c r="M43"/>
  <c r="L43"/>
  <c r="K43"/>
  <c r="J43"/>
  <c r="I43"/>
  <c r="H43"/>
  <c r="G43"/>
  <c r="F43"/>
  <c r="S42"/>
  <c r="R42"/>
  <c r="Q42"/>
  <c r="P42"/>
  <c r="O42"/>
  <c r="N42"/>
  <c r="M42"/>
  <c r="L42"/>
  <c r="K42"/>
  <c r="J42"/>
  <c r="I42"/>
  <c r="H42"/>
  <c r="G42"/>
  <c r="F42"/>
  <c r="S41"/>
  <c r="R41"/>
  <c r="Q41"/>
  <c r="P41"/>
  <c r="O41"/>
  <c r="N41"/>
  <c r="M41"/>
  <c r="L41"/>
  <c r="J41"/>
  <c r="I41"/>
  <c r="H41"/>
  <c r="G41"/>
  <c r="F41"/>
  <c r="S40"/>
  <c r="R40"/>
  <c r="Q40"/>
  <c r="P40"/>
  <c r="O40"/>
  <c r="N40"/>
  <c r="M40"/>
  <c r="L40"/>
  <c r="K40"/>
  <c r="J40"/>
  <c r="I40"/>
  <c r="H40"/>
  <c r="G40"/>
  <c r="F40"/>
  <c r="S39"/>
  <c r="R39"/>
  <c r="Q39"/>
  <c r="P39"/>
  <c r="O39"/>
  <c r="N39"/>
  <c r="M39"/>
  <c r="L39"/>
  <c r="K39"/>
  <c r="J39"/>
  <c r="I39"/>
  <c r="H39"/>
  <c r="G39"/>
  <c r="F39"/>
  <c r="T39" s="1"/>
  <c r="S38"/>
  <c r="R38"/>
  <c r="Q38"/>
  <c r="P38"/>
  <c r="O38"/>
  <c r="N38"/>
  <c r="M38"/>
  <c r="L38"/>
  <c r="K38"/>
  <c r="J38"/>
  <c r="I38"/>
  <c r="H38"/>
  <c r="G38"/>
  <c r="F38"/>
  <c r="S37"/>
  <c r="R37"/>
  <c r="Q37"/>
  <c r="P37"/>
  <c r="O37"/>
  <c r="N37"/>
  <c r="M37"/>
  <c r="L37"/>
  <c r="K37"/>
  <c r="J37"/>
  <c r="I37"/>
  <c r="H37"/>
  <c r="G37"/>
  <c r="F37"/>
  <c r="S36"/>
  <c r="R36"/>
  <c r="Q36"/>
  <c r="P36"/>
  <c r="O36"/>
  <c r="N36"/>
  <c r="M36"/>
  <c r="L36"/>
  <c r="K36"/>
  <c r="J36"/>
  <c r="I36"/>
  <c r="H36"/>
  <c r="G36"/>
  <c r="F36"/>
  <c r="S35"/>
  <c r="R35"/>
  <c r="Q35"/>
  <c r="P35"/>
  <c r="O35"/>
  <c r="N35"/>
  <c r="M35"/>
  <c r="L35"/>
  <c r="K35"/>
  <c r="J35"/>
  <c r="H35"/>
  <c r="G35"/>
  <c r="F35"/>
  <c r="S34"/>
  <c r="R34"/>
  <c r="Q34"/>
  <c r="P34"/>
  <c r="O34"/>
  <c r="N34"/>
  <c r="M34"/>
  <c r="L34"/>
  <c r="K34"/>
  <c r="J34"/>
  <c r="I34"/>
  <c r="H34"/>
  <c r="G34"/>
  <c r="F34"/>
  <c r="S33"/>
  <c r="R33"/>
  <c r="Q33"/>
  <c r="P33"/>
  <c r="O33"/>
  <c r="N33"/>
  <c r="M33"/>
  <c r="L33"/>
  <c r="K33"/>
  <c r="J33"/>
  <c r="I33"/>
  <c r="H33"/>
  <c r="G33"/>
  <c r="F33"/>
  <c r="S32"/>
  <c r="R32"/>
  <c r="Q32"/>
  <c r="O32"/>
  <c r="N32"/>
  <c r="M32"/>
  <c r="L32"/>
  <c r="K32"/>
  <c r="J32"/>
  <c r="I32"/>
  <c r="H32"/>
  <c r="G32"/>
  <c r="F32"/>
  <c r="S31"/>
  <c r="R31"/>
  <c r="Q31"/>
  <c r="P31"/>
  <c r="O31"/>
  <c r="N31"/>
  <c r="M31"/>
  <c r="L31"/>
  <c r="K31"/>
  <c r="J31"/>
  <c r="I31"/>
  <c r="H31"/>
  <c r="G31"/>
  <c r="F31"/>
  <c r="S30"/>
  <c r="R30"/>
  <c r="Q30"/>
  <c r="P30"/>
  <c r="O30"/>
  <c r="N30"/>
  <c r="M30"/>
  <c r="L30"/>
  <c r="K30"/>
  <c r="J30"/>
  <c r="I30"/>
  <c r="H30"/>
  <c r="G30"/>
  <c r="F30"/>
  <c r="S29"/>
  <c r="R29"/>
  <c r="O29"/>
  <c r="M29"/>
  <c r="L29"/>
  <c r="K29"/>
  <c r="J29"/>
  <c r="H29"/>
  <c r="G29"/>
  <c r="F29"/>
  <c r="S28"/>
  <c r="R28"/>
  <c r="P28"/>
  <c r="N28"/>
  <c r="M28"/>
  <c r="L28"/>
  <c r="K28"/>
  <c r="J28"/>
  <c r="H28"/>
  <c r="G28"/>
  <c r="F28"/>
  <c r="S27"/>
  <c r="R27"/>
  <c r="Q27"/>
  <c r="O27"/>
  <c r="N27"/>
  <c r="L27"/>
  <c r="K27"/>
  <c r="J27"/>
  <c r="I27"/>
  <c r="H27"/>
  <c r="G27"/>
  <c r="F27"/>
  <c r="S26"/>
  <c r="O26"/>
  <c r="M26"/>
  <c r="L26"/>
  <c r="K26"/>
  <c r="J26"/>
  <c r="H26"/>
  <c r="G26"/>
  <c r="F26"/>
  <c r="S25"/>
  <c r="R25"/>
  <c r="Q25"/>
  <c r="P25"/>
  <c r="O25"/>
  <c r="N25"/>
  <c r="M25"/>
  <c r="L25"/>
  <c r="K25"/>
  <c r="J25"/>
  <c r="I25"/>
  <c r="H25"/>
  <c r="G25"/>
  <c r="F25"/>
  <c r="S24"/>
  <c r="R24"/>
  <c r="Q24"/>
  <c r="P24"/>
  <c r="O24"/>
  <c r="N24"/>
  <c r="M24"/>
  <c r="L24"/>
  <c r="K24"/>
  <c r="J24"/>
  <c r="I24"/>
  <c r="H24"/>
  <c r="G24"/>
  <c r="F24"/>
  <c r="S23"/>
  <c r="R23"/>
  <c r="Q23"/>
  <c r="O23"/>
  <c r="N23"/>
  <c r="M23"/>
  <c r="L23"/>
  <c r="K23"/>
  <c r="J23"/>
  <c r="I23"/>
  <c r="H23"/>
  <c r="G23"/>
  <c r="F23"/>
  <c r="S22"/>
  <c r="R22"/>
  <c r="P22"/>
  <c r="O22"/>
  <c r="N22"/>
  <c r="M22"/>
  <c r="L22"/>
  <c r="K22"/>
  <c r="J22"/>
  <c r="H22"/>
  <c r="G22"/>
  <c r="F22"/>
  <c r="S21"/>
  <c r="R21"/>
  <c r="Q21"/>
  <c r="P21"/>
  <c r="O21"/>
  <c r="N21"/>
  <c r="M21"/>
  <c r="L21"/>
  <c r="K21"/>
  <c r="J21"/>
  <c r="I21"/>
  <c r="H21"/>
  <c r="G21"/>
  <c r="F21"/>
  <c r="T21" s="1"/>
  <c r="S20"/>
  <c r="R20"/>
  <c r="Q20"/>
  <c r="P20"/>
  <c r="O20"/>
  <c r="N20"/>
  <c r="M20"/>
  <c r="L20"/>
  <c r="K20"/>
  <c r="J20"/>
  <c r="H20"/>
  <c r="G20"/>
  <c r="F20"/>
  <c r="S19"/>
  <c r="R19"/>
  <c r="Q19"/>
  <c r="P19"/>
  <c r="O19"/>
  <c r="N19"/>
  <c r="M19"/>
  <c r="L19"/>
  <c r="K19"/>
  <c r="J19"/>
  <c r="I19"/>
  <c r="H19"/>
  <c r="G19"/>
  <c r="F19"/>
  <c r="S18"/>
  <c r="R18"/>
  <c r="Q18"/>
  <c r="P18"/>
  <c r="O18"/>
  <c r="N18"/>
  <c r="M18"/>
  <c r="L18"/>
  <c r="K18"/>
  <c r="J18"/>
  <c r="I18"/>
  <c r="H18"/>
  <c r="G18"/>
  <c r="F18"/>
  <c r="S17"/>
  <c r="R17"/>
  <c r="Q17"/>
  <c r="P17"/>
  <c r="O17"/>
  <c r="M17"/>
  <c r="L17"/>
  <c r="K17"/>
  <c r="J17"/>
  <c r="I17"/>
  <c r="H17"/>
  <c r="G17"/>
  <c r="F17"/>
  <c r="S16"/>
  <c r="R16"/>
  <c r="Q16"/>
  <c r="P16"/>
  <c r="O16"/>
  <c r="N16"/>
  <c r="M16"/>
  <c r="L16"/>
  <c r="K16"/>
  <c r="J16"/>
  <c r="I16"/>
  <c r="H16"/>
  <c r="F16"/>
  <c r="S15"/>
  <c r="R15"/>
  <c r="Q15"/>
  <c r="P15"/>
  <c r="O15"/>
  <c r="N15"/>
  <c r="M15"/>
  <c r="L15"/>
  <c r="K15"/>
  <c r="J15"/>
  <c r="I15"/>
  <c r="H15"/>
  <c r="G15"/>
  <c r="F15"/>
  <c r="S14"/>
  <c r="R14"/>
  <c r="Q14"/>
  <c r="P14"/>
  <c r="O14"/>
  <c r="N14"/>
  <c r="M14"/>
  <c r="L14"/>
  <c r="K14"/>
  <c r="J14"/>
  <c r="I14"/>
  <c r="H14"/>
  <c r="G14"/>
  <c r="F14"/>
  <c r="S13"/>
  <c r="R13"/>
  <c r="Q13"/>
  <c r="P13"/>
  <c r="O13"/>
  <c r="N13"/>
  <c r="M13"/>
  <c r="L13"/>
  <c r="K13"/>
  <c r="J13"/>
  <c r="I13"/>
  <c r="H13"/>
  <c r="G13"/>
  <c r="F13"/>
  <c r="S12"/>
  <c r="R12"/>
  <c r="Q12"/>
  <c r="O12"/>
  <c r="N12"/>
  <c r="M12"/>
  <c r="L12"/>
  <c r="K12"/>
  <c r="J12"/>
  <c r="I12"/>
  <c r="H12"/>
  <c r="G12"/>
  <c r="F12"/>
  <c r="S11"/>
  <c r="R11"/>
  <c r="Q11"/>
  <c r="P11"/>
  <c r="O11"/>
  <c r="N11"/>
  <c r="M11"/>
  <c r="L11"/>
  <c r="K11"/>
  <c r="J11"/>
  <c r="I11"/>
  <c r="H11"/>
  <c r="G11"/>
  <c r="F11"/>
  <c r="S10"/>
  <c r="R10"/>
  <c r="Q10"/>
  <c r="P10"/>
  <c r="O10"/>
  <c r="N10"/>
  <c r="M10"/>
  <c r="L10"/>
  <c r="K10"/>
  <c r="J10"/>
  <c r="I10"/>
  <c r="H10"/>
  <c r="G10"/>
  <c r="F10"/>
  <c r="T10" s="1"/>
  <c r="S9"/>
  <c r="R9"/>
  <c r="Q9"/>
  <c r="O9"/>
  <c r="N9"/>
  <c r="M9"/>
  <c r="L9"/>
  <c r="K9"/>
  <c r="J9"/>
  <c r="I9"/>
  <c r="H9"/>
  <c r="G9"/>
  <c r="F9"/>
  <c r="S8"/>
  <c r="R8"/>
  <c r="Q8"/>
  <c r="P8"/>
  <c r="O8"/>
  <c r="N8"/>
  <c r="M8"/>
  <c r="L8"/>
  <c r="K8"/>
  <c r="J8"/>
  <c r="I8"/>
  <c r="H8"/>
  <c r="G8"/>
  <c r="F8"/>
  <c r="S7"/>
  <c r="R7"/>
  <c r="Q7"/>
  <c r="P7"/>
  <c r="O7"/>
  <c r="N7"/>
  <c r="M7"/>
  <c r="L7"/>
  <c r="J7"/>
  <c r="I7"/>
  <c r="H7"/>
  <c r="G7"/>
  <c r="F7"/>
  <c r="S6"/>
  <c r="R6"/>
  <c r="Q6"/>
  <c r="P6"/>
  <c r="O6"/>
  <c r="N6"/>
  <c r="M6"/>
  <c r="L6"/>
  <c r="K6"/>
  <c r="J6"/>
  <c r="I6"/>
  <c r="H6"/>
  <c r="G6"/>
  <c r="F6"/>
  <c r="T6" s="1"/>
  <c r="S209" i="15"/>
  <c r="R209"/>
  <c r="Q209"/>
  <c r="P209"/>
  <c r="O209"/>
  <c r="N209"/>
  <c r="M209"/>
  <c r="L209"/>
  <c r="K209"/>
  <c r="J209"/>
  <c r="I209"/>
  <c r="H209"/>
  <c r="G209"/>
  <c r="F209"/>
  <c r="P172" i="16"/>
  <c r="P161"/>
  <c r="S158" i="15"/>
  <c r="R158"/>
  <c r="Q158"/>
  <c r="O158"/>
  <c r="N158"/>
  <c r="M158"/>
  <c r="L158"/>
  <c r="K158"/>
  <c r="J158"/>
  <c r="I158"/>
  <c r="H158"/>
  <c r="G158"/>
  <c r="F158"/>
  <c r="P158"/>
  <c r="S134"/>
  <c r="R134"/>
  <c r="Q134"/>
  <c r="P134"/>
  <c r="O134"/>
  <c r="N134"/>
  <c r="M134"/>
  <c r="L134"/>
  <c r="J134"/>
  <c r="I134"/>
  <c r="H134"/>
  <c r="G134"/>
  <c r="F134"/>
  <c r="K134"/>
  <c r="I114" i="16"/>
  <c r="R93" i="15"/>
  <c r="O93"/>
  <c r="N93"/>
  <c r="L93"/>
  <c r="J93"/>
  <c r="I93"/>
  <c r="H93"/>
  <c r="G93"/>
  <c r="F93"/>
  <c r="M87" i="16"/>
  <c r="K82"/>
  <c r="S93" i="15"/>
  <c r="P93"/>
  <c r="M93"/>
  <c r="G79" i="16"/>
  <c r="K74" i="15"/>
  <c r="K74" i="16" s="1"/>
  <c r="K73" i="15"/>
  <c r="K73" i="16" s="1"/>
  <c r="K72" i="15"/>
  <c r="K70"/>
  <c r="K70" i="16" s="1"/>
  <c r="S68" i="15"/>
  <c r="P68"/>
  <c r="O68"/>
  <c r="L68"/>
  <c r="J68"/>
  <c r="H68"/>
  <c r="F68"/>
  <c r="K60" i="16"/>
  <c r="K57"/>
  <c r="I57"/>
  <c r="K41"/>
  <c r="I35"/>
  <c r="P32"/>
  <c r="Q29"/>
  <c r="Q28"/>
  <c r="M27"/>
  <c r="R68" i="15"/>
  <c r="Q22" i="16"/>
  <c r="I22"/>
  <c r="I68" i="15"/>
  <c r="N17"/>
  <c r="N68" s="1"/>
  <c r="P12" i="16"/>
  <c r="K68" i="15"/>
  <c r="T6"/>
  <c r="S209" i="14"/>
  <c r="R209"/>
  <c r="Q209"/>
  <c r="P209"/>
  <c r="O209"/>
  <c r="N209"/>
  <c r="M209"/>
  <c r="L209"/>
  <c r="K209"/>
  <c r="J209"/>
  <c r="I209"/>
  <c r="H209"/>
  <c r="G209"/>
  <c r="F209"/>
  <c r="S158"/>
  <c r="R158"/>
  <c r="O158"/>
  <c r="M158"/>
  <c r="L158"/>
  <c r="K158"/>
  <c r="J158"/>
  <c r="I158"/>
  <c r="H158"/>
  <c r="G158"/>
  <c r="F158"/>
  <c r="P158"/>
  <c r="Q158"/>
  <c r="S134"/>
  <c r="R134"/>
  <c r="Q134"/>
  <c r="P134"/>
  <c r="O134"/>
  <c r="N134"/>
  <c r="M134"/>
  <c r="L134"/>
  <c r="K134"/>
  <c r="J134"/>
  <c r="I134"/>
  <c r="H134"/>
  <c r="G134"/>
  <c r="F134"/>
  <c r="S93"/>
  <c r="O93"/>
  <c r="L93"/>
  <c r="K93"/>
  <c r="J93"/>
  <c r="H93"/>
  <c r="G93"/>
  <c r="Q93"/>
  <c r="R93"/>
  <c r="N93"/>
  <c r="P70"/>
  <c r="S68"/>
  <c r="M68"/>
  <c r="L68"/>
  <c r="K68"/>
  <c r="J68"/>
  <c r="I68"/>
  <c r="G68"/>
  <c r="F68"/>
  <c r="H68"/>
  <c r="R68"/>
  <c r="Q68"/>
  <c r="P9"/>
  <c r="P68" s="1"/>
  <c r="T6"/>
  <c r="S209" i="13"/>
  <c r="R209"/>
  <c r="Q209"/>
  <c r="P209"/>
  <c r="O209"/>
  <c r="N209"/>
  <c r="M209"/>
  <c r="L209"/>
  <c r="K209"/>
  <c r="J209"/>
  <c r="I209"/>
  <c r="H209"/>
  <c r="G209"/>
  <c r="F209"/>
  <c r="T209"/>
  <c r="S158"/>
  <c r="R158"/>
  <c r="O158"/>
  <c r="M158"/>
  <c r="L158"/>
  <c r="K158"/>
  <c r="J158"/>
  <c r="I158"/>
  <c r="H158"/>
  <c r="G158"/>
  <c r="F158"/>
  <c r="N158"/>
  <c r="Q158"/>
  <c r="S134"/>
  <c r="R134"/>
  <c r="Q134"/>
  <c r="P134"/>
  <c r="O134"/>
  <c r="N134"/>
  <c r="M134"/>
  <c r="L134"/>
  <c r="K134"/>
  <c r="J134"/>
  <c r="I134"/>
  <c r="H134"/>
  <c r="G134"/>
  <c r="F134"/>
  <c r="S93"/>
  <c r="O93"/>
  <c r="L93"/>
  <c r="K93"/>
  <c r="J93"/>
  <c r="H93"/>
  <c r="G93"/>
  <c r="R93"/>
  <c r="N93"/>
  <c r="Q70"/>
  <c r="Q93" s="1"/>
  <c r="P70"/>
  <c r="S68"/>
  <c r="M68"/>
  <c r="L68"/>
  <c r="K68"/>
  <c r="J68"/>
  <c r="G68"/>
  <c r="F68"/>
  <c r="O68"/>
  <c r="R68"/>
  <c r="Q68"/>
  <c r="N68"/>
  <c r="I68"/>
  <c r="T6"/>
  <c r="S209" i="12"/>
  <c r="R209"/>
  <c r="Q209"/>
  <c r="P209"/>
  <c r="O209"/>
  <c r="N209"/>
  <c r="M209"/>
  <c r="L209"/>
  <c r="K209"/>
  <c r="J209"/>
  <c r="I209"/>
  <c r="H209"/>
  <c r="G209"/>
  <c r="F209"/>
  <c r="T209"/>
  <c r="S158"/>
  <c r="R158"/>
  <c r="O158"/>
  <c r="N158"/>
  <c r="M158"/>
  <c r="L158"/>
  <c r="K158"/>
  <c r="J158"/>
  <c r="I158"/>
  <c r="H158"/>
  <c r="G158"/>
  <c r="F158"/>
  <c r="Q158"/>
  <c r="S134"/>
  <c r="R134"/>
  <c r="Q134"/>
  <c r="P134"/>
  <c r="O134"/>
  <c r="N134"/>
  <c r="M134"/>
  <c r="L134"/>
  <c r="K134"/>
  <c r="J134"/>
  <c r="I134"/>
  <c r="H134"/>
  <c r="G134"/>
  <c r="F134"/>
  <c r="Q93"/>
  <c r="O93"/>
  <c r="L93"/>
  <c r="K93"/>
  <c r="J93"/>
  <c r="H93"/>
  <c r="G93"/>
  <c r="I93"/>
  <c r="F93"/>
  <c r="S93"/>
  <c r="R93"/>
  <c r="N93"/>
  <c r="P70"/>
  <c r="S68"/>
  <c r="M68"/>
  <c r="L68"/>
  <c r="K68"/>
  <c r="J68"/>
  <c r="I68"/>
  <c r="H68"/>
  <c r="G68"/>
  <c r="F68"/>
  <c r="O68"/>
  <c r="R68"/>
  <c r="Q68"/>
  <c r="N68"/>
  <c r="P23"/>
  <c r="P9"/>
  <c r="P68" s="1"/>
  <c r="T6"/>
  <c r="S209" i="11"/>
  <c r="R209"/>
  <c r="Q209"/>
  <c r="P209"/>
  <c r="O209"/>
  <c r="N209"/>
  <c r="M209"/>
  <c r="L209"/>
  <c r="K209"/>
  <c r="J209"/>
  <c r="I209"/>
  <c r="H209"/>
  <c r="G209"/>
  <c r="F209"/>
  <c r="T209"/>
  <c r="S158"/>
  <c r="R158"/>
  <c r="O158"/>
  <c r="N158"/>
  <c r="M158"/>
  <c r="L158"/>
  <c r="K158"/>
  <c r="J158"/>
  <c r="I158"/>
  <c r="H158"/>
  <c r="G158"/>
  <c r="F158"/>
  <c r="P158"/>
  <c r="Q158"/>
  <c r="S134"/>
  <c r="R134"/>
  <c r="Q134"/>
  <c r="P134"/>
  <c r="O134"/>
  <c r="N134"/>
  <c r="M134"/>
  <c r="L134"/>
  <c r="K134"/>
  <c r="J134"/>
  <c r="I134"/>
  <c r="H134"/>
  <c r="G134"/>
  <c r="F134"/>
  <c r="S93"/>
  <c r="O93"/>
  <c r="L93"/>
  <c r="K93"/>
  <c r="J93"/>
  <c r="H93"/>
  <c r="G93"/>
  <c r="M83" i="16"/>
  <c r="I93" i="11"/>
  <c r="F93"/>
  <c r="R93"/>
  <c r="N93"/>
  <c r="M93"/>
  <c r="Q70"/>
  <c r="Q93" s="1"/>
  <c r="P70"/>
  <c r="S68"/>
  <c r="M68"/>
  <c r="L68"/>
  <c r="K68"/>
  <c r="J68"/>
  <c r="G68"/>
  <c r="F68"/>
  <c r="N68"/>
  <c r="O68"/>
  <c r="R68"/>
  <c r="Q68"/>
  <c r="I68"/>
  <c r="P68"/>
  <c r="T6"/>
  <c r="S209" i="10"/>
  <c r="R209"/>
  <c r="Q209"/>
  <c r="P209"/>
  <c r="O209"/>
  <c r="N209"/>
  <c r="M209"/>
  <c r="L209"/>
  <c r="K209"/>
  <c r="J209"/>
  <c r="I209"/>
  <c r="H209"/>
  <c r="G209"/>
  <c r="F209"/>
  <c r="T209"/>
  <c r="S158"/>
  <c r="R158"/>
  <c r="O158"/>
  <c r="N158"/>
  <c r="M158"/>
  <c r="L158"/>
  <c r="K158"/>
  <c r="J158"/>
  <c r="I158"/>
  <c r="H158"/>
  <c r="G158"/>
  <c r="F158"/>
  <c r="P158"/>
  <c r="Q158"/>
  <c r="S134"/>
  <c r="R134"/>
  <c r="Q134"/>
  <c r="P134"/>
  <c r="O134"/>
  <c r="N134"/>
  <c r="M134"/>
  <c r="L134"/>
  <c r="J134"/>
  <c r="I134"/>
  <c r="H134"/>
  <c r="G134"/>
  <c r="F134"/>
  <c r="O93"/>
  <c r="L93"/>
  <c r="K93"/>
  <c r="J93"/>
  <c r="I93"/>
  <c r="H93"/>
  <c r="G93"/>
  <c r="N93"/>
  <c r="M93"/>
  <c r="S74"/>
  <c r="S93" s="1"/>
  <c r="R74"/>
  <c r="R93" s="1"/>
  <c r="Q70"/>
  <c r="Q93" s="1"/>
  <c r="P70"/>
  <c r="P93" s="1"/>
  <c r="S68"/>
  <c r="M68"/>
  <c r="L68"/>
  <c r="K68"/>
  <c r="J68"/>
  <c r="G68"/>
  <c r="F68"/>
  <c r="H68"/>
  <c r="O68"/>
  <c r="R68"/>
  <c r="Q68"/>
  <c r="I68"/>
  <c r="N17"/>
  <c r="N68" s="1"/>
  <c r="P9"/>
  <c r="P68" s="1"/>
  <c r="T6"/>
  <c r="S209" i="9"/>
  <c r="R209"/>
  <c r="Q209"/>
  <c r="P209"/>
  <c r="O209"/>
  <c r="N209"/>
  <c r="M209"/>
  <c r="L209"/>
  <c r="K209"/>
  <c r="J209"/>
  <c r="I209"/>
  <c r="H209"/>
  <c r="G209"/>
  <c r="F209"/>
  <c r="S158"/>
  <c r="R158"/>
  <c r="O158"/>
  <c r="M158"/>
  <c r="L158"/>
  <c r="K158"/>
  <c r="J158"/>
  <c r="I158"/>
  <c r="H158"/>
  <c r="G158"/>
  <c r="F158"/>
  <c r="P158"/>
  <c r="N158"/>
  <c r="Q158"/>
  <c r="S134"/>
  <c r="R134"/>
  <c r="Q134"/>
  <c r="P134"/>
  <c r="O134"/>
  <c r="N134"/>
  <c r="M134"/>
  <c r="L134"/>
  <c r="K134"/>
  <c r="J134"/>
  <c r="I134"/>
  <c r="H134"/>
  <c r="G134"/>
  <c r="F134"/>
  <c r="O93"/>
  <c r="L93"/>
  <c r="K93"/>
  <c r="J93"/>
  <c r="H93"/>
  <c r="G93"/>
  <c r="N93"/>
  <c r="M93"/>
  <c r="S74"/>
  <c r="S93" s="1"/>
  <c r="R74"/>
  <c r="Q70"/>
  <c r="P70"/>
  <c r="P93" s="1"/>
  <c r="S68"/>
  <c r="M68"/>
  <c r="L68"/>
  <c r="K68"/>
  <c r="J68"/>
  <c r="G68"/>
  <c r="F68"/>
  <c r="H68"/>
  <c r="O68"/>
  <c r="R68"/>
  <c r="Q68"/>
  <c r="N68"/>
  <c r="I68"/>
  <c r="P9"/>
  <c r="P68" s="1"/>
  <c r="T6"/>
  <c r="S209" i="8"/>
  <c r="R209"/>
  <c r="Q209"/>
  <c r="P209"/>
  <c r="O209"/>
  <c r="N209"/>
  <c r="M209"/>
  <c r="L209"/>
  <c r="K209"/>
  <c r="J209"/>
  <c r="I209"/>
  <c r="H209"/>
  <c r="G209"/>
  <c r="F209"/>
  <c r="S158"/>
  <c r="R158"/>
  <c r="O158"/>
  <c r="M158"/>
  <c r="L158"/>
  <c r="K158"/>
  <c r="J158"/>
  <c r="I158"/>
  <c r="H158"/>
  <c r="G158"/>
  <c r="F158"/>
  <c r="P158"/>
  <c r="S134"/>
  <c r="R134"/>
  <c r="Q134"/>
  <c r="P134"/>
  <c r="O134"/>
  <c r="N134"/>
  <c r="M134"/>
  <c r="L134"/>
  <c r="K134"/>
  <c r="J134"/>
  <c r="I134"/>
  <c r="H134"/>
  <c r="G134"/>
  <c r="F134"/>
  <c r="O93"/>
  <c r="L93"/>
  <c r="K93"/>
  <c r="J93"/>
  <c r="H93"/>
  <c r="G93"/>
  <c r="F93"/>
  <c r="S93"/>
  <c r="R93"/>
  <c r="N93"/>
  <c r="Q70"/>
  <c r="P70"/>
  <c r="P93" s="1"/>
  <c r="S68"/>
  <c r="R68"/>
  <c r="M68"/>
  <c r="L68"/>
  <c r="K68"/>
  <c r="J68"/>
  <c r="H68"/>
  <c r="G68"/>
  <c r="F68"/>
  <c r="O68"/>
  <c r="Q68"/>
  <c r="N68"/>
  <c r="I68"/>
  <c r="P9"/>
  <c r="P68" s="1"/>
  <c r="T6"/>
  <c r="S209" i="7"/>
  <c r="Q209"/>
  <c r="P209"/>
  <c r="O209"/>
  <c r="N209"/>
  <c r="M209"/>
  <c r="L209"/>
  <c r="K209"/>
  <c r="J209"/>
  <c r="I209"/>
  <c r="H209"/>
  <c r="G209"/>
  <c r="F209"/>
  <c r="R209"/>
  <c r="T209"/>
  <c r="S158"/>
  <c r="R158"/>
  <c r="O158"/>
  <c r="N158"/>
  <c r="M158"/>
  <c r="L158"/>
  <c r="K158"/>
  <c r="J158"/>
  <c r="I158"/>
  <c r="H158"/>
  <c r="G158"/>
  <c r="F158"/>
  <c r="P158"/>
  <c r="S134"/>
  <c r="R134"/>
  <c r="Q134"/>
  <c r="P134"/>
  <c r="O134"/>
  <c r="N134"/>
  <c r="M134"/>
  <c r="L134"/>
  <c r="K134"/>
  <c r="J134"/>
  <c r="I134"/>
  <c r="H134"/>
  <c r="G134"/>
  <c r="F134"/>
  <c r="S93"/>
  <c r="R93"/>
  <c r="Q93"/>
  <c r="O93"/>
  <c r="L93"/>
  <c r="K93"/>
  <c r="J93"/>
  <c r="H93"/>
  <c r="G93"/>
  <c r="F93"/>
  <c r="N93"/>
  <c r="M93"/>
  <c r="P70"/>
  <c r="S68"/>
  <c r="O68"/>
  <c r="M68"/>
  <c r="L68"/>
  <c r="K68"/>
  <c r="J68"/>
  <c r="I68"/>
  <c r="H68"/>
  <c r="G68"/>
  <c r="F68"/>
  <c r="R68"/>
  <c r="Q68"/>
  <c r="T6"/>
  <c r="S209" i="6"/>
  <c r="R209"/>
  <c r="Q209"/>
  <c r="P209"/>
  <c r="O209"/>
  <c r="N209"/>
  <c r="M209"/>
  <c r="L209"/>
  <c r="K209"/>
  <c r="J209"/>
  <c r="I209"/>
  <c r="H209"/>
  <c r="G209"/>
  <c r="F209"/>
  <c r="T209"/>
  <c r="S158"/>
  <c r="R158"/>
  <c r="O158"/>
  <c r="N158"/>
  <c r="M158"/>
  <c r="L158"/>
  <c r="K158"/>
  <c r="J158"/>
  <c r="I158"/>
  <c r="H158"/>
  <c r="G158"/>
  <c r="F158"/>
  <c r="P158"/>
  <c r="Q158"/>
  <c r="S134"/>
  <c r="R134"/>
  <c r="Q134"/>
  <c r="P134"/>
  <c r="O134"/>
  <c r="N134"/>
  <c r="M134"/>
  <c r="L134"/>
  <c r="K134"/>
  <c r="J134"/>
  <c r="I134"/>
  <c r="H134"/>
  <c r="G134"/>
  <c r="F134"/>
  <c r="Q93"/>
  <c r="P93"/>
  <c r="O93"/>
  <c r="L93"/>
  <c r="K93"/>
  <c r="J93"/>
  <c r="H93"/>
  <c r="G93"/>
  <c r="F93"/>
  <c r="I93"/>
  <c r="S93"/>
  <c r="R93"/>
  <c r="N93"/>
  <c r="M93"/>
  <c r="P70"/>
  <c r="S68"/>
  <c r="R68"/>
  <c r="M68"/>
  <c r="L68"/>
  <c r="K68"/>
  <c r="J68"/>
  <c r="H68"/>
  <c r="G68"/>
  <c r="F68"/>
  <c r="O68"/>
  <c r="Q68"/>
  <c r="N68"/>
  <c r="I68"/>
  <c r="P9"/>
  <c r="T6"/>
  <c r="F209" i="5"/>
  <c r="S158"/>
  <c r="R158"/>
  <c r="O158"/>
  <c r="M158"/>
  <c r="L158"/>
  <c r="K158"/>
  <c r="J158"/>
  <c r="I158"/>
  <c r="H158"/>
  <c r="G158"/>
  <c r="F158"/>
  <c r="P158"/>
  <c r="S134"/>
  <c r="R134"/>
  <c r="Q134"/>
  <c r="P134"/>
  <c r="O134"/>
  <c r="N134"/>
  <c r="M134"/>
  <c r="L134"/>
  <c r="K134"/>
  <c r="J134"/>
  <c r="I134"/>
  <c r="H134"/>
  <c r="G134"/>
  <c r="F134"/>
  <c r="O93"/>
  <c r="L93"/>
  <c r="K93"/>
  <c r="J93"/>
  <c r="I93"/>
  <c r="H93"/>
  <c r="G93"/>
  <c r="F93"/>
  <c r="S93"/>
  <c r="R93"/>
  <c r="P93"/>
  <c r="N93"/>
  <c r="P70"/>
  <c r="S68"/>
  <c r="R68"/>
  <c r="Q68"/>
  <c r="M68"/>
  <c r="L68"/>
  <c r="K68"/>
  <c r="J68"/>
  <c r="G68"/>
  <c r="F68"/>
  <c r="O68"/>
  <c r="N68"/>
  <c r="I68"/>
  <c r="T6"/>
  <c r="S209" i="4"/>
  <c r="R209"/>
  <c r="Q209"/>
  <c r="P209"/>
  <c r="O209"/>
  <c r="N209"/>
  <c r="M209"/>
  <c r="L209"/>
  <c r="K209"/>
  <c r="J209"/>
  <c r="I209"/>
  <c r="H209"/>
  <c r="G209"/>
  <c r="F209"/>
  <c r="T209"/>
  <c r="S158"/>
  <c r="R158"/>
  <c r="Q158"/>
  <c r="O158"/>
  <c r="M158"/>
  <c r="L158"/>
  <c r="K158"/>
  <c r="J158"/>
  <c r="I158"/>
  <c r="H158"/>
  <c r="G158"/>
  <c r="F158"/>
  <c r="P158"/>
  <c r="N158"/>
  <c r="S134"/>
  <c r="R134"/>
  <c r="Q134"/>
  <c r="P134"/>
  <c r="O134"/>
  <c r="N134"/>
  <c r="M134"/>
  <c r="L134"/>
  <c r="J134"/>
  <c r="I134"/>
  <c r="H134"/>
  <c r="G134"/>
  <c r="F134"/>
  <c r="P93"/>
  <c r="O93"/>
  <c r="L93"/>
  <c r="K93"/>
  <c r="J93"/>
  <c r="I93"/>
  <c r="H93"/>
  <c r="G93"/>
  <c r="F93"/>
  <c r="S93"/>
  <c r="N93"/>
  <c r="M93"/>
  <c r="P70"/>
  <c r="S68"/>
  <c r="R68"/>
  <c r="M68"/>
  <c r="L68"/>
  <c r="K68"/>
  <c r="J68"/>
  <c r="H68"/>
  <c r="G68"/>
  <c r="F68"/>
  <c r="Q68"/>
  <c r="N68"/>
  <c r="I68"/>
  <c r="P9"/>
  <c r="P9" i="16" s="1"/>
  <c r="T6" i="4"/>
  <c r="S209" i="3"/>
  <c r="R209"/>
  <c r="Q209"/>
  <c r="P209"/>
  <c r="O209"/>
  <c r="N209"/>
  <c r="M209"/>
  <c r="L209"/>
  <c r="K209"/>
  <c r="J209"/>
  <c r="I209"/>
  <c r="H209"/>
  <c r="G209"/>
  <c r="F209"/>
  <c r="T209"/>
  <c r="S158"/>
  <c r="R158"/>
  <c r="O158"/>
  <c r="N158"/>
  <c r="M158"/>
  <c r="L158"/>
  <c r="K158"/>
  <c r="J158"/>
  <c r="I158"/>
  <c r="H158"/>
  <c r="G158"/>
  <c r="F158"/>
  <c r="P158"/>
  <c r="Q158"/>
  <c r="S134"/>
  <c r="R134"/>
  <c r="Q134"/>
  <c r="P134"/>
  <c r="O134"/>
  <c r="N134"/>
  <c r="M134"/>
  <c r="L134"/>
  <c r="K134"/>
  <c r="J134"/>
  <c r="I134"/>
  <c r="H134"/>
  <c r="G134"/>
  <c r="F134"/>
  <c r="R93"/>
  <c r="Q93"/>
  <c r="P93"/>
  <c r="O93"/>
  <c r="L93"/>
  <c r="K93"/>
  <c r="J93"/>
  <c r="I93"/>
  <c r="H93"/>
  <c r="G93"/>
  <c r="F93"/>
  <c r="S93"/>
  <c r="N93"/>
  <c r="P70"/>
  <c r="S68"/>
  <c r="M68"/>
  <c r="L68"/>
  <c r="K68"/>
  <c r="J68"/>
  <c r="I68"/>
  <c r="H68"/>
  <c r="G68"/>
  <c r="F68"/>
  <c r="N68"/>
  <c r="R68"/>
  <c r="Q68"/>
  <c r="T6"/>
  <c r="S209" i="2"/>
  <c r="R209"/>
  <c r="Q209"/>
  <c r="P209"/>
  <c r="O209"/>
  <c r="N209"/>
  <c r="M209"/>
  <c r="L209"/>
  <c r="K209"/>
  <c r="J209"/>
  <c r="I209"/>
  <c r="H209"/>
  <c r="G209"/>
  <c r="F209"/>
  <c r="S134"/>
  <c r="R134"/>
  <c r="Q134"/>
  <c r="P134"/>
  <c r="O134"/>
  <c r="N134"/>
  <c r="M134"/>
  <c r="L134"/>
  <c r="K134"/>
  <c r="J134"/>
  <c r="I134"/>
  <c r="H134"/>
  <c r="G134"/>
  <c r="F134"/>
  <c r="K94" i="16"/>
  <c r="S93" i="2"/>
  <c r="R93"/>
  <c r="Q93"/>
  <c r="O93"/>
  <c r="M93"/>
  <c r="L93"/>
  <c r="K93"/>
  <c r="J93"/>
  <c r="H93"/>
  <c r="G93"/>
  <c r="I93"/>
  <c r="F93"/>
  <c r="N93"/>
  <c r="Q70"/>
  <c r="P70"/>
  <c r="S68"/>
  <c r="Q68"/>
  <c r="O68"/>
  <c r="M68"/>
  <c r="L68"/>
  <c r="K68"/>
  <c r="J68"/>
  <c r="G68"/>
  <c r="F68"/>
  <c r="R68"/>
  <c r="N68"/>
  <c r="I68"/>
  <c r="T6"/>
  <c r="S209" i="1"/>
  <c r="R209"/>
  <c r="Q209"/>
  <c r="P209"/>
  <c r="O209"/>
  <c r="N209"/>
  <c r="M209"/>
  <c r="L209"/>
  <c r="K209"/>
  <c r="J209"/>
  <c r="I209"/>
  <c r="H209"/>
  <c r="G209"/>
  <c r="F209"/>
  <c r="S158" i="16"/>
  <c r="R158"/>
  <c r="O158"/>
  <c r="M158"/>
  <c r="L158"/>
  <c r="K158"/>
  <c r="J158"/>
  <c r="I158"/>
  <c r="G158"/>
  <c r="F158"/>
  <c r="P157"/>
  <c r="P148"/>
  <c r="H146"/>
  <c r="P145"/>
  <c r="P142"/>
  <c r="N139"/>
  <c r="Q136"/>
  <c r="S134" i="1"/>
  <c r="S134" i="16" s="1"/>
  <c r="R134" i="1"/>
  <c r="R134" i="16" s="1"/>
  <c r="Q134" i="1"/>
  <c r="P134"/>
  <c r="O134"/>
  <c r="O134" i="16" s="1"/>
  <c r="N134" i="1"/>
  <c r="M134"/>
  <c r="M134" i="16" s="1"/>
  <c r="L134" i="1"/>
  <c r="L134" i="16" s="1"/>
  <c r="K134" i="1"/>
  <c r="J134"/>
  <c r="J134" i="16" s="1"/>
  <c r="I134" i="1"/>
  <c r="I134" i="16" s="1"/>
  <c r="H134" i="1"/>
  <c r="H134" i="16" s="1"/>
  <c r="G134" i="1"/>
  <c r="G134" i="16" s="1"/>
  <c r="F134" i="1"/>
  <c r="S93"/>
  <c r="Q93"/>
  <c r="O93"/>
  <c r="M93"/>
  <c r="L93"/>
  <c r="L93" i="16" s="1"/>
  <c r="K93" i="1"/>
  <c r="J93"/>
  <c r="I93"/>
  <c r="H93"/>
  <c r="G93"/>
  <c r="G93" i="16" s="1"/>
  <c r="Q84"/>
  <c r="I83"/>
  <c r="F83"/>
  <c r="M82"/>
  <c r="F81"/>
  <c r="F80"/>
  <c r="S79"/>
  <c r="R79"/>
  <c r="P79"/>
  <c r="N79"/>
  <c r="M79"/>
  <c r="P74"/>
  <c r="Q70" i="1"/>
  <c r="Q70" i="16" s="1"/>
  <c r="P70" i="1"/>
  <c r="P70" i="16" s="1"/>
  <c r="S68" i="1"/>
  <c r="S68" i="16" s="1"/>
  <c r="Q68" i="1"/>
  <c r="O68"/>
  <c r="M68"/>
  <c r="L68"/>
  <c r="L68" i="16" s="1"/>
  <c r="K68" i="1"/>
  <c r="K68" i="16" s="1"/>
  <c r="J68" i="1"/>
  <c r="J68" i="16" s="1"/>
  <c r="G68" i="1"/>
  <c r="F68"/>
  <c r="H62" i="16"/>
  <c r="N29"/>
  <c r="O28"/>
  <c r="P27"/>
  <c r="R26"/>
  <c r="Q26"/>
  <c r="P26"/>
  <c r="N26"/>
  <c r="I26"/>
  <c r="T6" i="1"/>
  <c r="T87" i="16" l="1"/>
  <c r="L210" i="4"/>
  <c r="T93" i="10"/>
  <c r="J93" i="16"/>
  <c r="T81"/>
  <c r="T93" i="6"/>
  <c r="H93" i="16"/>
  <c r="F68"/>
  <c r="T62"/>
  <c r="T68" i="12"/>
  <c r="J210" i="6"/>
  <c r="F210" i="4"/>
  <c r="J210" i="3"/>
  <c r="J210" i="2"/>
  <c r="T32" i="16"/>
  <c r="T36"/>
  <c r="O93"/>
  <c r="O210" i="15"/>
  <c r="J210" i="14"/>
  <c r="L210" i="13"/>
  <c r="J210" i="10"/>
  <c r="J210" i="9"/>
  <c r="T98" i="16"/>
  <c r="J210" i="7"/>
  <c r="T95" i="16"/>
  <c r="G210" i="5"/>
  <c r="L210"/>
  <c r="K210"/>
  <c r="J210"/>
  <c r="S210"/>
  <c r="F210" i="2"/>
  <c r="L210"/>
  <c r="T101" i="16"/>
  <c r="Q134"/>
  <c r="I210" i="6"/>
  <c r="I210" i="3"/>
  <c r="T107" i="16"/>
  <c r="T110"/>
  <c r="O210" i="6"/>
  <c r="O210" i="5"/>
  <c r="N134" i="16"/>
  <c r="N210" i="6"/>
  <c r="R210" i="5"/>
  <c r="N210" i="2"/>
  <c r="T120" i="16"/>
  <c r="T134" i="14"/>
  <c r="T134" i="12"/>
  <c r="P134" i="16"/>
  <c r="T134" i="13"/>
  <c r="T134" i="11"/>
  <c r="T134" i="10"/>
  <c r="T134" i="9"/>
  <c r="T134" i="8"/>
  <c r="T134" i="7"/>
  <c r="T134" i="6"/>
  <c r="T134" i="5"/>
  <c r="T134" i="3"/>
  <c r="T134" i="2"/>
  <c r="T123" i="16"/>
  <c r="H210" i="7"/>
  <c r="S210" i="1"/>
  <c r="F134" i="16"/>
  <c r="T134" i="1"/>
  <c r="J210"/>
  <c r="T126" i="16"/>
  <c r="T134" i="15"/>
  <c r="T132" i="16"/>
  <c r="F210" i="15"/>
  <c r="L210"/>
  <c r="J210"/>
  <c r="T158"/>
  <c r="H210" i="14"/>
  <c r="G210"/>
  <c r="S210"/>
  <c r="L210"/>
  <c r="K210"/>
  <c r="G210" i="13"/>
  <c r="S210"/>
  <c r="K210"/>
  <c r="J210"/>
  <c r="O210"/>
  <c r="L210" i="12"/>
  <c r="K210"/>
  <c r="J210"/>
  <c r="I210"/>
  <c r="O210"/>
  <c r="H210"/>
  <c r="G210"/>
  <c r="S210"/>
  <c r="N210" i="11"/>
  <c r="G210"/>
  <c r="S210"/>
  <c r="F210"/>
  <c r="L210"/>
  <c r="R210"/>
  <c r="T158"/>
  <c r="K210"/>
  <c r="J210"/>
  <c r="H210" i="10"/>
  <c r="N210"/>
  <c r="G210"/>
  <c r="L210"/>
  <c r="T158"/>
  <c r="T158" i="9"/>
  <c r="G210"/>
  <c r="L210"/>
  <c r="K210"/>
  <c r="H210"/>
  <c r="N210"/>
  <c r="G210" i="8"/>
  <c r="T151" i="16"/>
  <c r="F210" i="8"/>
  <c r="L210"/>
  <c r="K210"/>
  <c r="J210"/>
  <c r="H210"/>
  <c r="L210" i="7"/>
  <c r="S210"/>
  <c r="K210"/>
  <c r="O210"/>
  <c r="G210"/>
  <c r="G210" i="6"/>
  <c r="M210"/>
  <c r="S210"/>
  <c r="F210"/>
  <c r="L210"/>
  <c r="T158"/>
  <c r="K210"/>
  <c r="I210" i="5"/>
  <c r="J210" i="4"/>
  <c r="I210"/>
  <c r="T158"/>
  <c r="H210" i="3"/>
  <c r="G210"/>
  <c r="F210"/>
  <c r="L210"/>
  <c r="R210"/>
  <c r="T158"/>
  <c r="K210"/>
  <c r="T154" i="16"/>
  <c r="T140"/>
  <c r="T157"/>
  <c r="H210" i="6"/>
  <c r="H210" i="4"/>
  <c r="G210"/>
  <c r="Q209" i="16"/>
  <c r="T162"/>
  <c r="R210" i="13"/>
  <c r="T68" i="10"/>
  <c r="T68" i="9"/>
  <c r="T68" i="8"/>
  <c r="R210" i="15"/>
  <c r="P210" i="10"/>
  <c r="S210" i="15"/>
  <c r="H210"/>
  <c r="N210"/>
  <c r="P210"/>
  <c r="T58" i="16"/>
  <c r="T65"/>
  <c r="T69"/>
  <c r="T90"/>
  <c r="T116"/>
  <c r="T143"/>
  <c r="T147"/>
  <c r="J209"/>
  <c r="T173"/>
  <c r="T174"/>
  <c r="T179"/>
  <c r="T180"/>
  <c r="T185"/>
  <c r="T186"/>
  <c r="T192"/>
  <c r="T197"/>
  <c r="T198"/>
  <c r="T208"/>
  <c r="T42"/>
  <c r="T48"/>
  <c r="T12"/>
  <c r="T31"/>
  <c r="T38"/>
  <c r="T61"/>
  <c r="T76"/>
  <c r="T86"/>
  <c r="T97"/>
  <c r="T100"/>
  <c r="T103"/>
  <c r="T106"/>
  <c r="T109"/>
  <c r="T111"/>
  <c r="T112"/>
  <c r="T119"/>
  <c r="T122"/>
  <c r="T125"/>
  <c r="T128"/>
  <c r="T131"/>
  <c r="T135"/>
  <c r="T150"/>
  <c r="T153"/>
  <c r="T156"/>
  <c r="I209"/>
  <c r="O209"/>
  <c r="T164"/>
  <c r="T169"/>
  <c r="T170"/>
  <c r="T204"/>
  <c r="T13"/>
  <c r="T8"/>
  <c r="T15"/>
  <c r="T19"/>
  <c r="T24"/>
  <c r="T34"/>
  <c r="T44"/>
  <c r="T47"/>
  <c r="T50"/>
  <c r="T53"/>
  <c r="T56"/>
  <c r="T64"/>
  <c r="T67"/>
  <c r="T89"/>
  <c r="T92"/>
  <c r="T115"/>
  <c r="T138"/>
  <c r="N209"/>
  <c r="T160"/>
  <c r="T175"/>
  <c r="T181"/>
  <c r="T182"/>
  <c r="T187"/>
  <c r="T188"/>
  <c r="T193"/>
  <c r="T194"/>
  <c r="T199"/>
  <c r="T200"/>
  <c r="T25"/>
  <c r="T45"/>
  <c r="T54"/>
  <c r="T11"/>
  <c r="T30"/>
  <c r="T37"/>
  <c r="T40"/>
  <c r="T75"/>
  <c r="T78"/>
  <c r="T85"/>
  <c r="T96"/>
  <c r="T99"/>
  <c r="T102"/>
  <c r="T104"/>
  <c r="T105"/>
  <c r="T108"/>
  <c r="T113"/>
  <c r="T118"/>
  <c r="T121"/>
  <c r="T124"/>
  <c r="T127"/>
  <c r="T130"/>
  <c r="T133"/>
  <c r="T141"/>
  <c r="T149"/>
  <c r="T152"/>
  <c r="T155"/>
  <c r="G209"/>
  <c r="M209"/>
  <c r="S209"/>
  <c r="T163"/>
  <c r="T165"/>
  <c r="T166"/>
  <c r="T171"/>
  <c r="T205"/>
  <c r="T206"/>
  <c r="T80"/>
  <c r="T51"/>
  <c r="T14"/>
  <c r="T18"/>
  <c r="T33"/>
  <c r="T43"/>
  <c r="T46"/>
  <c r="T49"/>
  <c r="T52"/>
  <c r="T55"/>
  <c r="T59"/>
  <c r="T63"/>
  <c r="T66"/>
  <c r="T88"/>
  <c r="T91"/>
  <c r="T137"/>
  <c r="T144"/>
  <c r="T159"/>
  <c r="L209"/>
  <c r="L210" s="1"/>
  <c r="T177"/>
  <c r="T178"/>
  <c r="T183"/>
  <c r="T184"/>
  <c r="T189"/>
  <c r="T190"/>
  <c r="T195"/>
  <c r="T196"/>
  <c r="T201"/>
  <c r="T202"/>
  <c r="T191"/>
  <c r="T209" i="14"/>
  <c r="T209" i="9"/>
  <c r="H209" i="16"/>
  <c r="T176"/>
  <c r="T209" i="8"/>
  <c r="H68" i="2"/>
  <c r="H210" s="1"/>
  <c r="T136" i="16"/>
  <c r="P29"/>
  <c r="H68" i="1"/>
  <c r="H210" s="1"/>
  <c r="N68"/>
  <c r="P93"/>
  <c r="L210"/>
  <c r="S210" i="3"/>
  <c r="M210" i="4"/>
  <c r="R210" i="7"/>
  <c r="O210" i="8"/>
  <c r="P210"/>
  <c r="M210" i="9"/>
  <c r="S210"/>
  <c r="I210" i="10"/>
  <c r="O210"/>
  <c r="Q210" i="11"/>
  <c r="F210" i="12"/>
  <c r="R210"/>
  <c r="T209" i="15"/>
  <c r="T9" i="16"/>
  <c r="T35"/>
  <c r="T57"/>
  <c r="T94"/>
  <c r="T139"/>
  <c r="P209"/>
  <c r="T161"/>
  <c r="O68" i="3"/>
  <c r="I68" i="1"/>
  <c r="I68" i="16" s="1"/>
  <c r="K210" i="1"/>
  <c r="N210" i="4"/>
  <c r="F210" i="5"/>
  <c r="Q210" i="12"/>
  <c r="R210" i="14"/>
  <c r="T27" i="16"/>
  <c r="T28"/>
  <c r="T41"/>
  <c r="T79"/>
  <c r="T142"/>
  <c r="T146"/>
  <c r="P68" i="3"/>
  <c r="I210" i="2"/>
  <c r="R68" i="1"/>
  <c r="R68" i="16" s="1"/>
  <c r="N93" i="1"/>
  <c r="N93" i="16" s="1"/>
  <c r="P68" i="2"/>
  <c r="T68" s="1"/>
  <c r="G210"/>
  <c r="M210"/>
  <c r="S210"/>
  <c r="N210" i="3"/>
  <c r="Q210"/>
  <c r="S210" i="4"/>
  <c r="R210" i="6"/>
  <c r="I210" i="7"/>
  <c r="M210" i="10"/>
  <c r="S210"/>
  <c r="I210" i="11"/>
  <c r="O210"/>
  <c r="Q210" i="14"/>
  <c r="T60" i="16"/>
  <c r="T73"/>
  <c r="T145"/>
  <c r="S93"/>
  <c r="G210" i="1"/>
  <c r="R210" i="2"/>
  <c r="O210" i="3"/>
  <c r="Q210" i="6"/>
  <c r="R210" i="10"/>
  <c r="N210" i="13"/>
  <c r="Q210"/>
  <c r="T22" i="16"/>
  <c r="T82"/>
  <c r="T114"/>
  <c r="T172"/>
  <c r="M210" i="1"/>
  <c r="O210" i="2"/>
  <c r="F210" i="7"/>
  <c r="P210" i="9"/>
  <c r="P23" i="16"/>
  <c r="T23" s="1"/>
  <c r="P68" i="1"/>
  <c r="T83" i="16"/>
  <c r="F93" i="1"/>
  <c r="R93"/>
  <c r="H158" i="16"/>
  <c r="O210" i="1"/>
  <c r="K210" i="2"/>
  <c r="Q210"/>
  <c r="M210" i="7"/>
  <c r="S210" i="8"/>
  <c r="R210"/>
  <c r="O210" i="9"/>
  <c r="Q210" i="10"/>
  <c r="M210" i="11"/>
  <c r="N210" i="12"/>
  <c r="I210" i="15"/>
  <c r="T26" i="16"/>
  <c r="T70"/>
  <c r="T84"/>
  <c r="T148"/>
  <c r="N68" i="7"/>
  <c r="N210" s="1"/>
  <c r="I93" i="8"/>
  <c r="I210" s="1"/>
  <c r="F93" i="9"/>
  <c r="R93"/>
  <c r="R210" s="1"/>
  <c r="M93" i="12"/>
  <c r="M210" s="1"/>
  <c r="P158"/>
  <c r="P68" i="13"/>
  <c r="M93"/>
  <c r="M210" s="1"/>
  <c r="P158"/>
  <c r="T158" s="1"/>
  <c r="O68" i="14"/>
  <c r="O210" s="1"/>
  <c r="M93"/>
  <c r="M210" s="1"/>
  <c r="G68" i="15"/>
  <c r="G210" s="1"/>
  <c r="M68"/>
  <c r="M68" i="16" s="1"/>
  <c r="I20"/>
  <c r="T20" s="1"/>
  <c r="R203"/>
  <c r="T203" s="1"/>
  <c r="R207"/>
  <c r="T207" s="1"/>
  <c r="F209"/>
  <c r="P93" i="2"/>
  <c r="T93" s="1"/>
  <c r="P68" i="5"/>
  <c r="Q158"/>
  <c r="P93" i="7"/>
  <c r="Q158" i="8"/>
  <c r="Q93" i="9"/>
  <c r="Q210" s="1"/>
  <c r="K134" i="10"/>
  <c r="K210" s="1"/>
  <c r="F93" i="13"/>
  <c r="F210" s="1"/>
  <c r="N68" i="14"/>
  <c r="F93"/>
  <c r="N158"/>
  <c r="N210" s="1"/>
  <c r="K93" i="15"/>
  <c r="Q93"/>
  <c r="K7" i="16"/>
  <c r="T7" s="1"/>
  <c r="K117"/>
  <c r="T117" s="1"/>
  <c r="P68" i="4"/>
  <c r="K134"/>
  <c r="K210" s="1"/>
  <c r="M93" i="5"/>
  <c r="M210" s="1"/>
  <c r="P68" i="6"/>
  <c r="I93" i="7"/>
  <c r="M93" i="8"/>
  <c r="M210" s="1"/>
  <c r="F93" i="10"/>
  <c r="F210" s="1"/>
  <c r="H68" i="11"/>
  <c r="H210" s="1"/>
  <c r="H68" i="13"/>
  <c r="H210" s="1"/>
  <c r="Q68" i="15"/>
  <c r="Q68" i="16" s="1"/>
  <c r="G16"/>
  <c r="T16" s="1"/>
  <c r="S74"/>
  <c r="M93" i="3"/>
  <c r="M210" s="1"/>
  <c r="O68" i="4"/>
  <c r="O68" i="16" s="1"/>
  <c r="R93" i="4"/>
  <c r="R210" s="1"/>
  <c r="H68" i="5"/>
  <c r="H210" s="1"/>
  <c r="Q158" i="7"/>
  <c r="T158" s="1"/>
  <c r="I93" i="9"/>
  <c r="I210" s="1"/>
  <c r="P93" i="11"/>
  <c r="P210" s="1"/>
  <c r="P93" i="12"/>
  <c r="P93" i="13"/>
  <c r="P93" i="14"/>
  <c r="P210" s="1"/>
  <c r="I29" i="16"/>
  <c r="T29" s="1"/>
  <c r="R74"/>
  <c r="Q93" i="4"/>
  <c r="Q93" i="5"/>
  <c r="N158"/>
  <c r="N210" s="1"/>
  <c r="P68" i="7"/>
  <c r="Q93" i="8"/>
  <c r="Q210" s="1"/>
  <c r="N158"/>
  <c r="N210" s="1"/>
  <c r="I93" i="13"/>
  <c r="I210" s="1"/>
  <c r="I93" i="14"/>
  <c r="I210" s="1"/>
  <c r="N17" i="16"/>
  <c r="T17" s="1"/>
  <c r="K72"/>
  <c r="T72" s="1"/>
  <c r="T68" l="1"/>
  <c r="P210" i="12"/>
  <c r="J210" i="16"/>
  <c r="T68" i="7"/>
  <c r="F210" i="14"/>
  <c r="T93"/>
  <c r="T93" i="13"/>
  <c r="T93" i="12"/>
  <c r="T93" i="11"/>
  <c r="F210" i="9"/>
  <c r="T93"/>
  <c r="T210" s="1"/>
  <c r="I93" i="16"/>
  <c r="F93"/>
  <c r="F210" s="1"/>
  <c r="Q93"/>
  <c r="T93" i="8"/>
  <c r="T93" i="7"/>
  <c r="T210" s="1"/>
  <c r="Q210" i="5"/>
  <c r="T93"/>
  <c r="T93" i="4"/>
  <c r="T93" i="3"/>
  <c r="T93" i="1"/>
  <c r="T68" i="14"/>
  <c r="T68" i="11"/>
  <c r="O210" i="4"/>
  <c r="T68" i="3"/>
  <c r="P210" i="2"/>
  <c r="R210" i="1"/>
  <c r="T68"/>
  <c r="O210" i="16"/>
  <c r="K93"/>
  <c r="T93" i="15"/>
  <c r="K210"/>
  <c r="T134" i="4"/>
  <c r="T158" i="14"/>
  <c r="T158" i="12"/>
  <c r="T158" i="8"/>
  <c r="Q210" i="7"/>
  <c r="T158" i="5"/>
  <c r="S210" i="16"/>
  <c r="P210" i="13"/>
  <c r="T68"/>
  <c r="P210" i="3"/>
  <c r="P210" i="7"/>
  <c r="P210" i="6"/>
  <c r="T68"/>
  <c r="T210" s="1"/>
  <c r="P210" i="5"/>
  <c r="T68"/>
  <c r="P210" i="4"/>
  <c r="T68"/>
  <c r="P210" i="1"/>
  <c r="Q210" i="15"/>
  <c r="T68"/>
  <c r="I210" i="16"/>
  <c r="R209"/>
  <c r="T74"/>
  <c r="T158"/>
  <c r="T210" i="10"/>
  <c r="T210" i="2"/>
  <c r="T209" i="16"/>
  <c r="K134"/>
  <c r="M210" i="15"/>
  <c r="Q210" i="4"/>
  <c r="H68" i="16"/>
  <c r="H210" s="1"/>
  <c r="P68"/>
  <c r="P158"/>
  <c r="G68"/>
  <c r="G210" s="1"/>
  <c r="T134"/>
  <c r="N68"/>
  <c r="F210" i="1"/>
  <c r="Q158" i="16"/>
  <c r="Q210" i="1"/>
  <c r="N158" i="16"/>
  <c r="M93"/>
  <c r="M210" s="1"/>
  <c r="P93"/>
  <c r="I210" i="1"/>
  <c r="R93" i="16"/>
  <c r="N210" i="1"/>
  <c r="T93" i="16" l="1"/>
  <c r="T210" i="13"/>
  <c r="T210" i="12"/>
  <c r="T210" i="11"/>
  <c r="T210" i="8"/>
  <c r="Q210" i="16"/>
  <c r="T210" i="3"/>
  <c r="T210" i="1"/>
  <c r="T210" i="14"/>
  <c r="K210" i="16"/>
  <c r="T210" i="15"/>
  <c r="T210" i="4"/>
  <c r="T210" i="5"/>
  <c r="R210" i="16"/>
  <c r="N210"/>
  <c r="P210"/>
  <c r="T210" l="1"/>
</calcChain>
</file>

<file path=xl/sharedStrings.xml><?xml version="1.0" encoding="utf-8"?>
<sst xmlns="http://schemas.openxmlformats.org/spreadsheetml/2006/main" count="7000" uniqueCount="879">
  <si>
    <t xml:space="preserve">Annexure - 1: Budgeting format for FY 2022-23 </t>
  </si>
  <si>
    <t>Amount in Rs. (Lakhs)</t>
  </si>
  <si>
    <t>Pool</t>
  </si>
  <si>
    <t>FMR Code</t>
  </si>
  <si>
    <t>Programme/ Theme</t>
  </si>
  <si>
    <t>S.No.</t>
  </si>
  <si>
    <t>Scheme/ Activity</t>
  </si>
  <si>
    <t>DBT</t>
  </si>
  <si>
    <t>Infrastructure - Civil works (I&amp;C)</t>
  </si>
  <si>
    <t>Equipment (Including Furniture, Excluding Computers)</t>
  </si>
  <si>
    <t>Drugs and supplies</t>
  </si>
  <si>
    <t xml:space="preserve"> Capacity building incl. training</t>
  </si>
  <si>
    <t>ASHA incentives</t>
  </si>
  <si>
    <t>Others including operating costs (OOC)</t>
  </si>
  <si>
    <t>IEC &amp; Printing</t>
  </si>
  <si>
    <t>Planning &amp; M&amp;E</t>
  </si>
  <si>
    <t>Surveillance, Research, Review, Evaluation (SRRE)</t>
  </si>
  <si>
    <t>State remarks</t>
  </si>
  <si>
    <t>Old / ongoing work</t>
  </si>
  <si>
    <t>New Work</t>
  </si>
  <si>
    <t>Budget for Procurement done by States</t>
  </si>
  <si>
    <t>Total</t>
  </si>
  <si>
    <t>FY
2022-23</t>
  </si>
  <si>
    <t>RCH Flexible Pool (including RI, IPPI, NIDDCP)</t>
  </si>
  <si>
    <t>RCH.1</t>
  </si>
  <si>
    <t>Maternal Health</t>
  </si>
  <si>
    <t>Village Health &amp; Nutrition Day (VHND)</t>
  </si>
  <si>
    <t>Pregnancy Registration and Ante-Natal Checkups</t>
  </si>
  <si>
    <t>JSSK drugs-Pregnant women,
 OOC - For line listing and follow up of severely anemic women, For line listing of women with blood disorders, For follow up of severely anaemic women and follow up of treatment</t>
  </si>
  <si>
    <t>Janani Suraksha Yojana (JSY)</t>
  </si>
  <si>
    <t>JSY Beneficairy Compensation, ASHA incentives and Administrative cost</t>
  </si>
  <si>
    <t>Janani Shishu Suraksha Karyakram (JSSK) (excluding transport)</t>
  </si>
  <si>
    <t>JSSK Diagnostics, Diet and Blood transfusion-Pregnant women</t>
  </si>
  <si>
    <t>Janani Shishu Suraksha Karyakram (JSSK) - transport</t>
  </si>
  <si>
    <t>JSSK-referral transport-Pregnant women</t>
  </si>
  <si>
    <t>Pradhan Mantri Surakshit Matritva Abhiyan (PMSMA)</t>
  </si>
  <si>
    <t>PMSMA-Organisational cost</t>
  </si>
  <si>
    <t>Surakshit Matritva Aashwasan (SUMAN)</t>
  </si>
  <si>
    <t>for conducting  committee meeting for certification of SUMAN facilities @ Rs.6000 for 14 dist &amp; State</t>
  </si>
  <si>
    <t>Midwifery</t>
  </si>
  <si>
    <t>Maternal Death Review</t>
  </si>
  <si>
    <t xml:space="preserve">Rs 18000 per district for Maternal Death Review Trainings .To improve the Maternal death audit for identification of any preventable cause of death and to take corrective actions.
</t>
  </si>
  <si>
    <t>Comprehensive Abortion Care</t>
  </si>
  <si>
    <t>District level training for Medical Officers in safe abortion-3 days at W&amp;C/ DH/ GH-8 participants/batch, Rs 45750/- per batch, 1 batch per district</t>
  </si>
  <si>
    <t>MCH wings</t>
  </si>
  <si>
    <t>FRUs</t>
  </si>
  <si>
    <t xml:space="preserve">Rs.137250/- for Dist training of Staff Nurse / ANM / LHV in SBA Rs.45750/batch for 3 batches per district;
Rs.45750/- for dist level traning for MO in EmOC for 1 batch;
Rs.45750/- for dist level traning for MO in BEmOC for 1 batch;
 Rs.120750/-for Dakshatha training 1 batch </t>
  </si>
  <si>
    <t>HDU/ICU - Maternal Health</t>
  </si>
  <si>
    <t>Labour Rooms (LDR + NBCCs)</t>
  </si>
  <si>
    <t>LaQshya</t>
  </si>
  <si>
    <t>Equipments -As part of LaQshyaprogramme, improving quality of Labour rooms, 45 institutions are selected for the programme.  Color coded mother and child identification hand ties, child mopping and covering towels  to be  provided to each mother and baby . 
Training-LaQshya trainings/workshops @ Rs.74785/- district</t>
  </si>
  <si>
    <t>Implementation of RCH Portal/ANMOL/MCTS</t>
  </si>
  <si>
    <t>Other MH Components</t>
  </si>
  <si>
    <t>RCH camps, training, MH IEC  ( Activity breakup details will be shared from State BCC wing)</t>
  </si>
  <si>
    <t>State specific Initiatives and Innovations</t>
  </si>
  <si>
    <t>Tribal camps</t>
  </si>
  <si>
    <t>RCH.2</t>
  </si>
  <si>
    <t>PC &amp; PNDT Act</t>
  </si>
  <si>
    <t>Gender Based Violence &amp; Medico Legal Care For Survivors Victims of Sexual Violence</t>
  </si>
  <si>
    <t xml:space="preserve"> Railway station digital display advertisements and awareness boards, short film making competition PNDT &amp; Bhoomika Gender Based Violence Management Centers. </t>
  </si>
  <si>
    <t>RCH.3</t>
  </si>
  <si>
    <t>Child Health</t>
  </si>
  <si>
    <t>Rashtriya Bal Swasthya Karyakram (RBSK)</t>
  </si>
  <si>
    <t xml:space="preserve">CH Health division will give the remarks to districts . </t>
  </si>
  <si>
    <t>RBSK at Facility Level including District Early Intervention Centers (DEIC)</t>
  </si>
  <si>
    <t>CH Health division will give the remarks to districts</t>
  </si>
  <si>
    <t>Community Based  Care - HBNC &amp; HBYC</t>
  </si>
  <si>
    <t>Facility Based New born Care</t>
  </si>
  <si>
    <t>CH Health division will give the remarks to districts. IEC- Breakup will be shared from State BCC wing</t>
  </si>
  <si>
    <t>Child Death Review</t>
  </si>
  <si>
    <t>SAANS</t>
  </si>
  <si>
    <t>CH Health division will give the remarks to districts.  IEC Activity Breakup will be shared from State BCC wing</t>
  </si>
  <si>
    <t xml:space="preserve">Paediatric Care </t>
  </si>
  <si>
    <t>Other Child Health Components</t>
  </si>
  <si>
    <t>CH Health division will give the remarks to districts. CH-IEC Activity breakup details will be shared from State BCC wing</t>
  </si>
  <si>
    <t>RCH.4</t>
  </si>
  <si>
    <t>Immunization</t>
  </si>
  <si>
    <t>Immunization including Mission Indradhanush</t>
  </si>
  <si>
    <t>Immunization-IEC Activity breakup details will be shared from State BCC wing.ASHA incentive for full immunisation and  mobilisation of children for immunisation</t>
  </si>
  <si>
    <t>Pulse polio Campaign</t>
  </si>
  <si>
    <t>eVIN Operational Cost</t>
  </si>
  <si>
    <t>RCH.5</t>
  </si>
  <si>
    <t>Adolescent Health</t>
  </si>
  <si>
    <t>Adolescent Friendly Health Clinics</t>
  </si>
  <si>
    <t>Weekly Iron Folic Supplement (WIFS)</t>
  </si>
  <si>
    <t>WIFS trainings (block level) for all districts, 1 batch (40 nos.)@Rs.5000/) * No. of health blocks (TVM - 19)</t>
  </si>
  <si>
    <t>Menstrual Hygiene Scheme (MHS)</t>
  </si>
  <si>
    <t>Peer Educator Programme</t>
  </si>
  <si>
    <t>School Health And Wellness Program under Ayushman Bharat</t>
  </si>
  <si>
    <t>Other Adolescent Health Components</t>
  </si>
  <si>
    <t>RCH.6</t>
  </si>
  <si>
    <t>Family Planning</t>
  </si>
  <si>
    <t>Sterilization - Female</t>
  </si>
  <si>
    <t>Sterilization - Male</t>
  </si>
  <si>
    <t>IUCD Insertion (PPIUCD and PAIUCD)</t>
  </si>
  <si>
    <t xml:space="preserve">ASHA incentive  of Rs.150 per insetion of 230 cases of PPIUCD and Rs.150 per insetion of 25 cases of PAIUCD </t>
  </si>
  <si>
    <t>ANTARA</t>
  </si>
  <si>
    <t>MPV(Mission Parivar Vikas)</t>
  </si>
  <si>
    <t>Family Planning Indemnity Scheme</t>
  </si>
  <si>
    <t>FPLMIS</t>
  </si>
  <si>
    <t>World Population Day and Vasectomy fortnight</t>
  </si>
  <si>
    <t>FP-IEC Activity breakup details will be shared from State BCC wing</t>
  </si>
  <si>
    <t>Other Family Planning Components</t>
  </si>
  <si>
    <t>RCH.7</t>
  </si>
  <si>
    <t>Nutrition</t>
  </si>
  <si>
    <t>Anaemia Mukt Bharat</t>
  </si>
  <si>
    <t>National Deworming Day</t>
  </si>
  <si>
    <t>Nutritional Rehabilitation Centers (NRC)</t>
  </si>
  <si>
    <t>Vitamin A Supplementation</t>
  </si>
  <si>
    <t>Mother's Absolute Affection (MAA)</t>
  </si>
  <si>
    <t>Lactation Management Centers</t>
  </si>
  <si>
    <t>Intensified Diarrhoea Control Fortnight</t>
  </si>
  <si>
    <t>Eat Right Campaign</t>
  </si>
  <si>
    <t>Other Nutrition Components</t>
  </si>
  <si>
    <t>RCH.8</t>
  </si>
  <si>
    <t>National Iodine Deficiency Disorders Control Programme (NIDDCP)</t>
  </si>
  <si>
    <t>Implementation of NIDDCP</t>
  </si>
  <si>
    <t>RCH Sub Total</t>
  </si>
  <si>
    <t>NDCP Flexi Pool</t>
  </si>
  <si>
    <t>NDCP.1</t>
  </si>
  <si>
    <t>Integrated Disease Surveillance Programme (IDSP)</t>
  </si>
  <si>
    <t>Implementation of IDSP</t>
  </si>
  <si>
    <t>NDCP.2</t>
  </si>
  <si>
    <t>National Vector Borne Disease Control Programme (NVBDCP)</t>
  </si>
  <si>
    <t>Malaria</t>
  </si>
  <si>
    <t>ASHA Incentive - Malaria 
Special anti-malarial interventions for high risk groups, for tribal population, for hard to reach areas to control and prevent resurgence of Malaria cases
Operational cost for IRS
Training / Capacity Building (Malaria)  ELIMINATION
Training / Capacity Building (Malaria)  ROUTINE
IEC/BCC for Malaria
Printing of forms/registers for Malaria
Monitoring  Evaluation &amp; Supervision -Malaria
Sub-national Disease Free Certification - Malaria
Support for implementation of NVBDCP 
1) 95 high risk wards@ Rs. 5,000/- per ward - total of Rs. 4.75 L
2 )  109 contingent employees  at high risk Corporation/Municipal wards with a daily wage of Rs.675/-  for 90days</t>
  </si>
  <si>
    <t>Kala-azar</t>
  </si>
  <si>
    <t>Kala-azar Case search/ Camp Approach: Mobility/POL/supervision</t>
  </si>
  <si>
    <t>AES/JE</t>
  </si>
  <si>
    <t xml:space="preserve">Training specific for JE prevention and management
IEC/BCC specific to J.E. in endemic areas
Monitoring and supervision (JE/ AE)
</t>
  </si>
  <si>
    <t>Health education to health workers through awareness classes and IEC. A total of Rs.6.7 Lakhs approved for conducting IEC activities including Global IDD Prevention Day</t>
  </si>
  <si>
    <t>Dengue &amp; Chikungunya</t>
  </si>
  <si>
    <t>Dengue &amp; Chikungunya: Vector Control,  environmental management &amp; fogging machine
Procurement of Biomedical and other Equipment: NVBDCP – Logistic for Entomological lab Strengthening and others under MCVR
Training / Capacity Building (DG CG)  ROUTINE
IEC/BCC for Social mobilization (Dengue and Chikungunya)
DG/CG Fever Case Management
Monitoring , Supervision &amp; Rapid Response-DG/CG
Epidemic Preparedness</t>
  </si>
  <si>
    <t>Lymphatic Filariasis</t>
  </si>
  <si>
    <t xml:space="preserve">Consumables
Training / Capacity Building Training MOS etc 
Training / Capacity Building-paramedical workers &amp; LTs
IEC/BCC for Social mobilization (Dengue and Chikungunya)
Printing of forms/registers for Lymphatic Filariasis
Lymphatic Filariasis: Morbidity Management
No. of cases for Hydrocelectomy
Funds for Hydrocelectomy (@Rs. 750)
No. of cases for Morbidity management (@Rs. 500)
Funds Morbidity management (@Rs. 500)
Repairs &amp; Maintenance of  Microscopes
Post-MDA surveillance 
Sub-national Disease Free Certification - LF
Monitoring, Evaluation &amp; Supervision &amp; Epidemic preparedness - Mobility Only
Mobility for ELF Monitoring of MDA tas and MMDP
Monitoring &amp; Supervision -LF
</t>
  </si>
  <si>
    <t>4 survey to be  carried out to find the intensity of goiter among school children in the age group of 6-12 years.T otal amount of 2 lakhs.</t>
  </si>
  <si>
    <t>NDCP.3</t>
  </si>
  <si>
    <t>National Leprosy Eradication Programme (NLEP)</t>
  </si>
  <si>
    <t xml:space="preserve"> Case detection and Management</t>
  </si>
  <si>
    <t>Diagnostics - 0.68 L
 Approved Rs 0.68 Lakhs per district for drugs required for management of reaction and printing.
 ASHA incentives - 96.302 L
 1. Approved an amount of Rs 92.4 L as incentive for Incentive for search team (Rs 1000 per Volunteer) for each screening round/ village for LCDC
 2. Approved an amount of Rs 3.396 L as Incentives (field supervisors) for LCDC
 3. Approved Rs 0.04 Lakhs as Incentive for ASHA/ AWW/ Volunteer/ etc for detection of Leprosy (Rs 250 for detection of an early case before onset of any visible deformity, Rs 200 for detection of new case with visible deformity in hands, feet or eye)
 4. Approved Rs 0.04 Lakhs for ASHA Incentive for Treatment completion of PB cases (@ Rs 400)
 5. Approved Rs 0.006 Lakhs for ASHA Incentive for Treatment completion of MB cases (@ Rs 600)
 6. Approved 0.12 Lakhs for Any other ASHA incentives(Sensitisation) @ Rs 100 per ASHA
 OOC - 2.4 L: Approved for Case Detection and Management in urban Areas</t>
  </si>
  <si>
    <t xml:space="preserve"> DPMR Services: Reconstructive surgeries</t>
  </si>
  <si>
    <t>DBT - 2.4 L
 Approved for 30 RCS cases @ Rs 8000/ Patient
 Equipment - 0.44 L 
 1. Procurement of other equipment: NLEP- MCR
 Approved Rs 0.32 Lakhs for MCR Chappals @ Rs 400 per unit
 2. Procurement of other equipment: NLEP- Aids/Appliance
 Approved Rs 0.12 Lakhs for Self care kit @ Rs 150 per unit 
 OOC - 0.30 L
 Approved for Early detection in camps, ulcer management, and prevention of deformity</t>
  </si>
  <si>
    <t>District Awards</t>
  </si>
  <si>
    <t>Other NLEP Components</t>
  </si>
  <si>
    <t>Capacity building incl Training - 5.62 L
 1. Approved Rs 4.62 for Orientation training-Training of ASHAS in connection with LCDC
 2. Approved Rs 1 Lakh for orientation training to field level staff in connection with LCDC, District level Refresher Training of General health staff, including School health Nurse and Urban JPHNs, Training to DLO/ALO/NMS at CLTRI.
 OOC - 7.00 L
 Approved Rs 7 Lakhs for NGO activities under NLEP- St. Johns Health Services, Pirappancode, Trivandrum
 IEC &amp; Printing - 3.486 L
 1.Approved Rs 1.12 Lakhs for Advocacy/ IEC (Rs 4000/block of urban area) in connection with LCDC.
 2. Approved Rs 1.386 Lakhs for Printing reporting formats Rs. 30/team in connection with LCDC 
 4. Approved Rs 0.98 Lakhs for District level IEC activities viz students’ awareness programme, Balamithra Programme, intersectoral sensitisation, ward level, panchayath level and block level campaigns
 Planning &amp; M &amp; E - 2.802 L
 1.Office operation &amp; Maintenance - District Cell @ Rs 0.20 Lakhs
 2. District Cell – Consumables@ Rs 0.20 Lakhs
 3. Mobility Support District cell @ 1 Lakh/district
 4. Travel cost for Regular staff- 0.1 Lakh for district
 5. Approved Rs 0.462 Lakhs for Logistics Rs.10/ team in connection with LCDC.
 6. Approved Rs 0.84 Lakhs for Supervision and monitoring @ Rs 3000 per block in connection with LCDC</t>
  </si>
  <si>
    <t>NDCP.4</t>
  </si>
  <si>
    <t>National Tuberculosis Elimination Programme (NTEP)</t>
  </si>
  <si>
    <t>Drug Sensitive TB (DSTB)</t>
  </si>
  <si>
    <t>Nikshay Poshan Yojana</t>
  </si>
  <si>
    <t>PPP</t>
  </si>
  <si>
    <t>Latent TB Infection (LTBI)</t>
  </si>
  <si>
    <t>Drug Resistant TB(DRTB)</t>
  </si>
  <si>
    <t>TB Harega Desh Jeetega Campaign</t>
  </si>
  <si>
    <t>NDCP.5</t>
  </si>
  <si>
    <t>National Viral Hepatitis Control Programme (NVHCP)</t>
  </si>
  <si>
    <t>Prevention</t>
  </si>
  <si>
    <t>Screening and Testing through facilities</t>
  </si>
  <si>
    <t>Screening and Testing through NGOs</t>
  </si>
  <si>
    <t>Treatment</t>
  </si>
  <si>
    <t>NDCP.6</t>
  </si>
  <si>
    <t>National Rabies Control Programme (NRCP)</t>
  </si>
  <si>
    <t>Implementation of NRCP</t>
  </si>
  <si>
    <t>NDCP.7</t>
  </si>
  <si>
    <t>Programme for Prevention and Control of Leptospirosis (PPCL)</t>
  </si>
  <si>
    <t>Implementation of PPCL</t>
  </si>
  <si>
    <t>Training for Medical Officers/Field Staff/ ASHAs and sensitisation to AnganWadi/Kudumbasree workers Rs. 0.20-0.25 &amp; IEC activities - Rs. 1L</t>
  </si>
  <si>
    <t>NDCP.8</t>
  </si>
  <si>
    <t>Implementation of State specific Initiatives and Innovations</t>
  </si>
  <si>
    <t>NDCP Sub Total</t>
  </si>
  <si>
    <t>NCD Flexi Pool</t>
  </si>
  <si>
    <t>NCD.1</t>
  </si>
  <si>
    <t>National Program for Control of Blindness and Vision Impairment (NPCB+VI)</t>
  </si>
  <si>
    <t>Cataract Surgeries through facilities</t>
  </si>
  <si>
    <t>Cataract Surgeries through NGOs</t>
  </si>
  <si>
    <t>Other Ophthalmic Interventions through facilities</t>
  </si>
  <si>
    <t>Other Ophthalmic Interventions through NGOs</t>
  </si>
  <si>
    <t>Mobile Ophthalmic Units</t>
  </si>
  <si>
    <t>Maintenance, POL &amp; Insurance of existing Mobile Ophthalmic unit @ Rs 2 Lakhs each</t>
  </si>
  <si>
    <t>Collection of eye balls by eye banks and eye donation centres</t>
  </si>
  <si>
    <t>Approved for 100 pair</t>
  </si>
  <si>
    <t>Free spectacles to school children</t>
  </si>
  <si>
    <t>Free spectacles to others</t>
  </si>
  <si>
    <t>Grant in Aid for the health institutions, Eye Bank, NGO, Private Practioners</t>
  </si>
  <si>
    <t>Other NPCB+VI components</t>
  </si>
  <si>
    <t>NCD.2</t>
  </si>
  <si>
    <t>National Mental Health Program (NMHP)</t>
  </si>
  <si>
    <t>Implementation of District Mental Health Plan</t>
  </si>
  <si>
    <t xml:space="preserve">1. Psychological test material @ RS.2.85 L per district for 7 districts (TVM, KLM, ALPY, EKM, PGT, MLP, &amp; KNR)  2. Training   Rs. 5.5 Lakhs  3. OOC -  (a) implementation of sampoorna Manasika arogyam  0.46 L/FHC b. Tribal Mental Health interventions  0.2 L/Camp c. Mental Health Interventions in Coastal Areas  0.2 L/camp  d.  Workplace Intervention in Rs. 0.05 L/ institutions . 4. Ambulatory services @ Rs.4 L per district 5. IEC activities @ Rs.4 L per district  5. Rs.6 L/ day care centres financial support DMHP vehicle hiring, operational expenses, for misc ./travel expenses for operational expenses of the dist centre Rs. 5.55 L x 14 Districts 
</t>
  </si>
  <si>
    <t>NCD.3</t>
  </si>
  <si>
    <t>National Programme for Health Care for the Elderly (NPHCE)</t>
  </si>
  <si>
    <t>Geriatric Care at DH</t>
  </si>
  <si>
    <t>1. Procurement of equipment for DH/ GH elderly clinics -  @ Rs 1 L x 2 hospitals/district. 2. Capacity building incl. training Rs. 80000/- Diststrict 3. IEC &amp; Printing Rs. 2 Lakhs x 13 District and Rs. 4 lakhs for Aspirational District Wayanad</t>
  </si>
  <si>
    <t>Geriatric Care at CHC/SDH</t>
  </si>
  <si>
    <t>Purchase for MRW Kit Rs. 5000 /CHC's</t>
  </si>
  <si>
    <t>Geriatric Care at PHC/ SHC</t>
  </si>
  <si>
    <t xml:space="preserve">Community Based Intervention </t>
  </si>
  <si>
    <t>Innovation to conduct multispeciality comprehensive geriatric assessment camp Rs. 0.10/ Old Age Homes</t>
  </si>
  <si>
    <t>NCD.4</t>
  </si>
  <si>
    <t>National Tobacco Control Programme (NTCP)</t>
  </si>
  <si>
    <t xml:space="preserve">Implementation of COTPA - 2003 </t>
  </si>
  <si>
    <t xml:space="preserve">Implementation of ToEFI guideline </t>
  </si>
  <si>
    <t>Tobacco Cessation</t>
  </si>
  <si>
    <t>NCD.5</t>
  </si>
  <si>
    <t>National Programme for Prevention and Control of Diabetes, Cardiovascular Disease and Stroke (NPCDCS)</t>
  </si>
  <si>
    <t>NCD Clinics at DH</t>
  </si>
  <si>
    <t>1.Operating expenses @ Rs. 1 Lakh/each TVM, KLM, ALP, KTYM, EKM,, TCR,PGT, MLP, KKD, &amp; KNR ( Rs. 0.50/each (PTA, IDK, WYD &amp; KSD) 2. Sample Transportation @ Rs.2.5 L per dist for 14 districts</t>
  </si>
  <si>
    <t>NCD Clinics at CHC/SDH</t>
  </si>
  <si>
    <t>1. Operating expenses at @ Rs.0.50 L/CHC 2. Sample collection transportation cost at Rs. 0.30 L/CHC</t>
  </si>
  <si>
    <t>Cardiac Care Unit (CCU/ICU) including STEMI</t>
  </si>
  <si>
    <t>Other NPCDCS Components</t>
  </si>
  <si>
    <t xml:space="preserve">ASHA incentive of Rs. 50 per month for the physical activity promotion ,  OOC) 216 urban Wards @ 1000/month for NCD screening 1. Rs.2 L/ for dist level training &amp; 1 L for PBS training  2. IEC activities at Dist level @ Rs.5 L/dist 3. Printing of referral cards at PHC @ Rs.2500
</t>
  </si>
  <si>
    <t>NCD.6</t>
  </si>
  <si>
    <t>Pradhan Mantri National Dialysis Programme (PMNDP)</t>
  </si>
  <si>
    <t>Haemodialysis Services</t>
  </si>
  <si>
    <t>Peritoneal Dialysis Services</t>
  </si>
  <si>
    <t>1.Training 0.5L/district 2. IEC &amp; Printing -0.5L/ district</t>
  </si>
  <si>
    <t>NCD.7</t>
  </si>
  <si>
    <t>National Program for Climate Change and Human Health (NPCCHH)</t>
  </si>
  <si>
    <t>Implementation of NPCCHH</t>
  </si>
  <si>
    <t>NCD.8</t>
  </si>
  <si>
    <t>National Oral health programme (NOHP)</t>
  </si>
  <si>
    <t>Implementation at DH</t>
  </si>
  <si>
    <t>Implementation at CHC/SDH</t>
  </si>
  <si>
    <t>1. Fast moving dental consumables @.Rs.80000/- for selected Dental units 2. Conducting Dental camps(Rs 15000/One camp)2.IEC Printing Activitie (Rs 20000/One camp)3.Observance of WOHD) -Rs 2.5L/District</t>
  </si>
  <si>
    <t>Mobile Dental Units/Van</t>
  </si>
  <si>
    <t>NCD.9</t>
  </si>
  <si>
    <t>National Programme on palliative care (NPPC)</t>
  </si>
  <si>
    <t>Implementation of NPPC</t>
  </si>
  <si>
    <t>NCD.10</t>
  </si>
  <si>
    <t>National Programme for Prevention and Control of Fluorosis (NPPCF)</t>
  </si>
  <si>
    <t>Implementation of NPPCF</t>
  </si>
  <si>
    <t>NCD.11</t>
  </si>
  <si>
    <t>National Programme for Prevention and Control of Deafness (NPPCD)</t>
  </si>
  <si>
    <t>Screening of Deafness</t>
  </si>
  <si>
    <t>Management of Deafness</t>
  </si>
  <si>
    <t>State Specific Initiatives</t>
  </si>
  <si>
    <t>Approved Rs 2 Lakhs per district for the Telecast of awareness videos and audio messages through television, FM channels, Theatre Campaign, printing of Hoardings etc. Observance of world hearing day and deafness day. Special awareness programmes at tribal and coastal areas.</t>
  </si>
  <si>
    <t>NCD.12</t>
  </si>
  <si>
    <t>National programme for Prevention and Management of Burn &amp; Injuries</t>
  </si>
  <si>
    <t>Support for Burn Units</t>
  </si>
  <si>
    <t>Training/ IEC/Printing activities under Burns and Injuries Rs. 2 Lakh/ District</t>
  </si>
  <si>
    <t>Support for Emergency Trauma Care</t>
  </si>
  <si>
    <t>NCD.13</t>
  </si>
  <si>
    <t>State specific Programme Interventions</t>
  </si>
  <si>
    <t>NCD Sub Total</t>
  </si>
  <si>
    <t>Health System Strengthening (HSS) - Urban</t>
  </si>
  <si>
    <t>HSS(U).1</t>
  </si>
  <si>
    <t>Comprehensive Primary Healthcare (CPHC)</t>
  </si>
  <si>
    <t>Development and operations of Health &amp; Wellness Centers - Urban</t>
  </si>
  <si>
    <t>Wellness activities at HWCs- Urban</t>
  </si>
  <si>
    <t>Teleconsultation facilities at HWCs-Urban</t>
  </si>
  <si>
    <t>HSS(U).2</t>
  </si>
  <si>
    <t>Community Engagement</t>
  </si>
  <si>
    <t>ASHA (including ASHA Certification and ASHA benefit package)</t>
  </si>
  <si>
    <t>MAS</t>
  </si>
  <si>
    <t>JAS</t>
  </si>
  <si>
    <t>RKS</t>
  </si>
  <si>
    <t>Outreach activities</t>
  </si>
  <si>
    <t xml:space="preserve"> UHNDs /month/ANM @ Rs. 250.00   4 special outreach medical camps/UPHC per year @ Rs. 10000.00   Mobility support for ANM@ Rs. 500/- 
</t>
  </si>
  <si>
    <t>Mapping of slums and vulnerable population</t>
  </si>
  <si>
    <t>Other Community Engagement Components</t>
  </si>
  <si>
    <t>HSS(U).3</t>
  </si>
  <si>
    <t>Public Health Institutions as per IPHS norms</t>
  </si>
  <si>
    <t>Urban PHCs</t>
  </si>
  <si>
    <t>Operational costs for UPHCs @ 2000 /month</t>
  </si>
  <si>
    <t>Urban CHCs and Maternity Homes</t>
  </si>
  <si>
    <t>HSS(U).4</t>
  </si>
  <si>
    <t>Quality Assurance</t>
  </si>
  <si>
    <t>Quality Assurance Implementation &amp; Mera Aspataal</t>
  </si>
  <si>
    <t>Kayakalp</t>
  </si>
  <si>
    <t>Swacch Swasth Sarvatra</t>
  </si>
  <si>
    <t>HSS(U).5</t>
  </si>
  <si>
    <t>HRH</t>
  </si>
  <si>
    <t>Remuneration for all NHM HR</t>
  </si>
  <si>
    <t>Incentives(Allowance, Incentives, staff welfare fund)</t>
  </si>
  <si>
    <t>Incentives under CPHC</t>
  </si>
  <si>
    <t>Costs for HR Recruitment and Outsourcing</t>
  </si>
  <si>
    <t>HSS(U).6</t>
  </si>
  <si>
    <t>Technical Assistance</t>
  </si>
  <si>
    <t xml:space="preserve">Planning and Program Management </t>
  </si>
  <si>
    <t xml:space="preserve">Planning &amp; M&amp;E  Mobility support for  for DPMU  @ Rs. 35000/- per month   Administrative expenses (including Review meetings, workshops,  etc.)Rs. 10000/- per month for 14 district Units
</t>
  </si>
  <si>
    <t>HSS(U).7</t>
  </si>
  <si>
    <t>Access</t>
  </si>
  <si>
    <t>HSS(U).8</t>
  </si>
  <si>
    <t>Innovation</t>
  </si>
  <si>
    <t>State specific Programme Innovations and Interventions</t>
  </si>
  <si>
    <t>HSS(U).9</t>
  </si>
  <si>
    <t>Untied Grants</t>
  </si>
  <si>
    <t>Untied Fund</t>
  </si>
  <si>
    <t>NUHM Sub Total</t>
  </si>
  <si>
    <t>Health System Strengthening (HSS) Rural</t>
  </si>
  <si>
    <t>HSS.1</t>
  </si>
  <si>
    <t>Development and operations of Health &amp; Wellness Centers - Rural</t>
  </si>
  <si>
    <t xml:space="preserve">2022-23
A)        Infrastructure
a)        Approved Rs 7927.50 lakhs for approval i.e remaining 75% of the amount approved in 21-22 for 1510 SHC-HWC @7 lakhs
b)        Approved Rs 2009 lakhs for approval i.e 25% of the amount proposed for coversion of 1148 SHC to HWC @Rs 7 lakhs as proposed by the State
B)        Capacity building
a) Approved Rs 50 lakhs for training of MLSPs/CHO @ 50000 per for 100 batches on diabetic retinopathy, peripheral neuropathy, tertiary care discharge follow up and cervical cancer as per NPCC discussion.
C)        Other Operating Cost (OOC): Approved Rs 5287.8 lakhs @Rs 3.7 lakhs for 603 SHC-HWC for 12 months and @Rs 2.4 lakhs for 1 148 SHC-HWC for 6 months . For the remaining 2510 SHC-HWC and PHC-HWC , the operating cost will be sought from 15th finance commission as informed by the State. Other Operating cost for 1 year includes CHO / MLHP Salary @Rs 2.4 lakhs,  ASHA incentive @0.6 lakhs, Refresher Training for MLHP @ Rs 0.3 lakhs, 1EC @ Rs 0.25 lakhs, IT @ Rs 0.05 lakhs, Independent Monitoring- by external agency @Rs 0.1 Lakhs. and OOC for 6 months include @1.2 lakhs for CHO/MLHP salary, @ Rs 0.6 lakhs for ASHA incentive, @Rs 0.25 lakhs for IEC, @Rs 0.05 lakhs for IT and @ Rs 0.05 lakhs for Independent Monitoring- by external agency.
</t>
  </si>
  <si>
    <t>Wellness activities at HWCs- Rural</t>
  </si>
  <si>
    <t>Teleconsultation facilities at HWCs-Rural</t>
  </si>
  <si>
    <t xml:space="preserve">A.)Teleconsultation-Approved Rs 330 lakhs for teleconsultation @ Rs 1 lakh each for 330 PHC- HWC for the following: Laptop- l(Nos.) @ Rs. 63,000 per unit Accessories-
1 Headset with microphone @ Rs. 5,000 per unit.
1 webcam @ Rs. 5,000 per unit.
1 Multifunction Printer Scanner @ Rs. 15000/unit Net connectivity - @ Rs 1000/month/institution A.2) Approved Rs 280 Lakh for approval as remuneration for doctor @ 50 Rs for every completed consultation for MBBS doctors and @ Rs 100 for every completed consultation for specialist doctors. Anticipating that in a year 360000 consultations will be conducted by MBBS doctors = 360000*50= 18000000 100000 consultations will be conducted by specialist doctors = 100000* 100= 10000000 A.3- Approved Rs 6.60 lakhs are as follows for the salary component as follows
1.	Consultant post- who is eligible for payment @ Rs 30000/ Month = 30000*12 = 360000
2.	MIS- 1 post @ Rs 25000/ Month = 25000* 12 = 300000
</t>
  </si>
  <si>
    <t>CHO Mentoring</t>
  </si>
  <si>
    <t>Approved Rs 51.132 lakh for approval @Rs 100 per CHO for 12 months for 4261 CHO as part of CHO mentoring. However State to ensure to adhere to GOI norms of Rs 150 per month</t>
  </si>
  <si>
    <t>HSS.2</t>
  </si>
  <si>
    <t>Blood Services &amp; Disorders</t>
  </si>
  <si>
    <t>Screening for Blood Disorders</t>
  </si>
  <si>
    <t>Support for Blood Transfusion</t>
  </si>
  <si>
    <t xml:space="preserve">Blood Bank/BCSU/BSU/Thalassemia Day Care Centre </t>
  </si>
  <si>
    <t>Blood collection and Transport Vans</t>
  </si>
  <si>
    <t>Other  Blood Services &amp; Disorders Components</t>
  </si>
  <si>
    <t>HSS.3</t>
  </si>
  <si>
    <t>IEC- Activity Breakup will be shared from State BCC wing. ASHA fixed incentive @Rs. 2000 permonth, ASHA incentive palliative care @RS.100 per month, Incentive for monthly review meeting @Rs.100 per month, On going expenses for Ward Helath Facilitation Centres @Rs. 500 per monthh per ward, ID card for ASHAs @ Rs. 100 per ASHA , District ASHA Sammelan, Mobile allowance to ASHA @Rs. 200 per month . Induction training to ASHA@Rs. 74750 pe rbatch of 30 ASHA, ASHA 9th Module training @ Rs. 42250 per batch of 30 ASHA &amp; Supplimentry training to ASHA (One ASHA from one institution )</t>
  </si>
  <si>
    <t>VHSNC</t>
  </si>
  <si>
    <t>Other Community Engagements Components</t>
  </si>
  <si>
    <t>IEC- Activity Breakup will be shared from State BCC wing.</t>
  </si>
  <si>
    <t>HSS.4</t>
  </si>
  <si>
    <t xml:space="preserve">Public Health Institutions as per IPHS norms 
</t>
  </si>
  <si>
    <t>District Hospitals</t>
  </si>
  <si>
    <t>Sub-District Hospitals</t>
  </si>
  <si>
    <t>Community Health Centers</t>
  </si>
  <si>
    <t>Primary Health Centers</t>
  </si>
  <si>
    <t>Sub-Health Centers</t>
  </si>
  <si>
    <t>Other Infrastructure/Civil works/expansion etc.</t>
  </si>
  <si>
    <t>Renovation/Repair/Upgradation of facilities for IPHS/NQAS/MUSQAN/SUMAN Compliant</t>
  </si>
  <si>
    <t>HSS.5</t>
  </si>
  <si>
    <t>Referral Transport</t>
  </si>
  <si>
    <t>Advance Life Saving Ambulances</t>
  </si>
  <si>
    <t>Basic Life Saving Ambulances</t>
  </si>
  <si>
    <t>Patient Transport Vehicle</t>
  </si>
  <si>
    <t>Other Ambulances</t>
  </si>
  <si>
    <t>HSS.6</t>
  </si>
  <si>
    <t>HSS.7</t>
  </si>
  <si>
    <t>Other Initiatives to improve access</t>
  </si>
  <si>
    <t>Comprehensive Grievance Redressal Mechanism</t>
  </si>
  <si>
    <t>Free Drugs Services Initiative</t>
  </si>
  <si>
    <t>Free Diagnostics Services Initiative</t>
  </si>
  <si>
    <t>Mobile Medical Units</t>
  </si>
  <si>
    <t xml:space="preserve">NUHM  Mobile Medical Units (MMU) / Mobile Health Units (MHU) Operational cost of @ Rs.50000/- And other MMU
</t>
  </si>
  <si>
    <t>State specific Programme Interventions and Innovations</t>
  </si>
  <si>
    <t>HSS.8</t>
  </si>
  <si>
    <t>Inventory management</t>
  </si>
  <si>
    <t>Biomedical Equipment Management System and AERB</t>
  </si>
  <si>
    <t>HSS.9</t>
  </si>
  <si>
    <t>Remuneration for CHOs</t>
  </si>
  <si>
    <t>Human Resource Information Systems (HRIS)</t>
  </si>
  <si>
    <t>HSS.10</t>
  </si>
  <si>
    <t>Enhancing HR</t>
  </si>
  <si>
    <t>DNB/CPS courses for Medical doctors</t>
  </si>
  <si>
    <t>Amount is for GH TVPM and MHC TVPM-Amount can be booked for 
 1. Procurement of instruments
 2. Conduct of CME
 3. Books and library materials
 4. Academic ambience
 5. Registration/renewal fees for accreditation</t>
  </si>
  <si>
    <t>Training Institutes and Skill Labs</t>
  </si>
  <si>
    <t>HSS.11</t>
  </si>
  <si>
    <t>SHSRC / ILC (Innovation &amp; Learning Centre)</t>
  </si>
  <si>
    <t>HSS.12</t>
  </si>
  <si>
    <t>IT interventions and systems</t>
  </si>
  <si>
    <t>Health Management Information System (HMIS)</t>
  </si>
  <si>
    <t>OOC) Rs. 35000/-  internet annual user fee for (UPHCs implemented ehealth)</t>
  </si>
  <si>
    <t>Implementation of DVDMS</t>
  </si>
  <si>
    <t>eSanjeevani (OPD+HWC)</t>
  </si>
  <si>
    <t>HSS.13</t>
  </si>
  <si>
    <t>HSS.14</t>
  </si>
  <si>
    <t>HSS Sub Total</t>
  </si>
  <si>
    <t>GRAND TOTAL</t>
  </si>
  <si>
    <t>RCH camps, training, MH IEC- IEC- Activity Breakup will be shared from State BCC wing.</t>
  </si>
  <si>
    <t xml:space="preserve"> Railway station digital display advertisements and awareness boards, short film making competition PNDT &amp; Bhoomika Gender Based Violence Management Centers.
Adolescent friendly residence association: Through this residential association and projects with Adolescent engaging facilities like Play Grounds ( For physical activity promotion), Libraries ( For encouraging their reading habits), etc.-</t>
  </si>
  <si>
    <t>CH Health division will give the remarks to districts. IEC- Activity Breakup will be shared from State BCC wing.</t>
  </si>
  <si>
    <t>IEC- Activity Breakup will be shared from State BCC wing.ASHA incentive for full immunisation and  mobilisation of children for immunisation</t>
  </si>
  <si>
    <t>WIFS trainings (block level) for all districts,  1 batch (40 nos. ) @Rs.5000/) * No. of health blocks (KLM-16)</t>
  </si>
  <si>
    <t xml:space="preserve">ASHA Incentive of Rs.150 per insetion of 225 cases of PPIUCD and Rs.150 per insetion of 25 cases of PAIUCD </t>
  </si>
  <si>
    <t>Traininng/sensitisation activities, Support to PH Lab &amp; Operational Costs at DSUs</t>
  </si>
  <si>
    <t xml:space="preserve">ASHA Incentive - Malaria 
Special anti-malarial interventions for high risk groups, for tribal population, for hard to reach areas to control and prevent resurgence of Malaria cases
Operational cost for IRS
Training / Capacity Building (Malaria)  ELIMINATION
Training / Capacity Building (Malaria)  ROUTINE
IEC/BCC for Malaria
Printing of forms/registers for Malaria
Monitoring  Evaluation &amp; Supervision -Malaria
Sub-national Disease Free Certification - Malaria
</t>
  </si>
  <si>
    <t xml:space="preserve">Kala-azar Case search/ Camp Approach: Mobility/POL/supervision
</t>
  </si>
  <si>
    <t xml:space="preserve">Dengue &amp; Chikungunya: Vector Control,  environmental management &amp; fogging machine
Procurement of Biomedical and other Equipment: NVBDCP – Logistic for Entomological lab Strengthening and others under MCVR
Training / Capacity Building (DG CG)  ROUTINE
IEC/BCC for Social mobilization (Dengue and Chikungunya)
DG/CG Fever Case Management
Monitoring , Supervision &amp; Rapid Response-DG/CG
Epidemic Preparedness
</t>
  </si>
  <si>
    <t xml:space="preserve">Consumables
Training / Capacity Building Training MOS etc 
Training / Capacity Building-paramedical workers &amp; LTs
IEC/BCC for Social mobilization (Dengue and Chikungunya)
Lymphatic Filariasis: Morbidity Management
No. of cases for Hydrocelectomy
Funds for Hydrocelectomy (@Rs. 750)
No. of cases for Morbidity management (@Rs. 500)
Funds Morbidity management (@Rs. 500)
Repairs &amp; Maintenance of  Microscopes
Post-MDA surveillance 
Monitoring, Evaluation &amp; Supervision &amp; Epidemic preparedness - Mobility Only
Mobility for ELF Monitoring of MDA tas and MMDP
Monitoring &amp; Supervision -LF
</t>
  </si>
  <si>
    <t>Diagnostics - 0.68 L
 Approved Rs 0.68 Lakhs per district for drugs required for management of reaction and printing.
 ASHA incentives - 88.509 L
 1. Approved an amount of Rs 84.94 L as incentive for Incentive for search team (Rs 1000 per Volunteer) for each screening round/ village for LCDC
 2. Approved an amount of Rs 3.40 L as Incentives (field supervisors) for LCDC
 3. Approved Rs 0.025 L as Incentive for ASHA/ AWW/ Volunteer/ etc for detection of Leprosy (Rs 250 for detection of an early case before onset of any visible deformity, Rs 200 for detection of new case with visible deformity in hands, feet or eye)
 4. Approved Rs 0.02 L for ASHA Incentive for Treatment completion of PB cases (@ Rs 400)
 5. Approved Rs 0.024 L for ASHA Incentive for Treatment completion of MB cases (@ Rs 600)
 6. Approved 0.10 Lakhs for Any other ASHA incentives(Sensitisation) @ Rs 100 per ASHA
 OOC - 0.6 L: Approved for Case Detection and Management in urban Areas</t>
  </si>
  <si>
    <t>Equipment - 0.34 L 
 1. Procurement of other equipment: NLEP- MCR
 Approved Rs 0.28 Lakhs for MCR Chappals @ Rs 400 per unit
 2. Procurement of other equipment: NLEP- Aids/Appliance
 Approved Rs 0.06 Lakhs for Self care kit @ Rs 150 per unit 
 OOC - 0.30 L
 Approved for Early detection in camps, ulcer management, and prevention of deformity</t>
  </si>
  <si>
    <t>Capacity building incl Training - 5.247 L
 1. Approved Rs 4.247 for Orientation training-Training of ASHAS in connection with LCDC
 2. Approved Rs 1 Lakh for orientation training to field level staff in connection with LCDC, District level Refresher Training of General health staff, including School health Nurse and Urban JPHNs, Training to DLO/ALO/NMS at CLTRI.
 IEC &amp; Printing - 3.374 L
 1.Approved Rs 1.12 Lakhs for Advocacy/ IEC (Rs 4000/block of urban area) in connection with LCDC.
 2. Approved Rs 1.274 Lakhs for Printing reporting formats Rs. 30/team in connection with LCDC 
 4. Approved Rs 0.98 Lakhs for District level IEC activities viz students’ awareness programme, Balamithra Programme, intersectoral sensitisation, ward level, panchayath level and block level campaigns
 Planning &amp; M &amp; E - 2.795 L
 1.Office operation &amp; Maintenance - District Cell @ Rs 0.20 Lakhs
 2. District Cell – Consumables@ Rs 0.20 Lakhs
 3. Mobility Support District cell @ 1 Lakh/district
 4. Travel cost for Regular staff- 0.13 Lakh for district
 5. Approved Rs 0.425 Lakhs for Logistics Rs.10/ team in connection with LCDC.
 6. Approved Rs 0.84 Lakhs for Supervision and monitoring @ Rs 3000 per block in connection with LCDC</t>
  </si>
  <si>
    <t>Approved for 500 cases@ Rs 2000 per case</t>
  </si>
  <si>
    <t>1. Psychological test material @ RS.2.86 L per district for 7 districts (TVM, KLM, ALPY, EKM, PGT, MLP, &amp; KNR) 2. Training of PHC Mos/ SN / Para medical workers under NMHP (Aswasam, ammamanasu, urban mental health) Rs. 5.5 Lakhs 3. OOC - (a) implementation of sampoorna Manasika arogyam 0.46 L/FHC b. Tribal Mental Health interventions 0.2 L/Camp c. Mental Health Interventions in Coastal Areas 0.2 L/camp d. Workplace Intervention in Rs. 0.05 L/ institutions . 4. Ambulatory services @ Rs.4 L per district 5. IEC activities @ Rs.4 L per district 5. Rs.6 L/ day care centres financial support DMHP vehicle hiring, operational expenses, for misc ./travel expenses for operational expenses of the dist centre Rs. 5.55 L x 14 Districts</t>
  </si>
  <si>
    <t>1. Procurement of equipment for DH/ GH elderly clinics - Procurement of equipment and Furniture for DH/ GH for geriatric wards @ Rs 1 L x 2 hospitals/district. 2. Capacity building incl. training Rs. 80000/- Diststrict 3. IEC &amp; Printing Rs. 2 Lakhs x 13 District and Rs. 4 lakhs for Aspirational District Wayanad</t>
  </si>
  <si>
    <t>ASHA incentive of Rs. 50 per month for the physical activity promotion OOC) 125 urban Wards @ 1000/month for NCD screening 1. Rs.2 L/ for dist level training &amp; 1 L for PBS training  2. IEC activities at Dist level @ Rs.5 L/dist 3. Printing of referral cards at PHC @ Rs.2500</t>
  </si>
  <si>
    <t xml:space="preserve">2022-23
A)	Infrastructure
a)	Approved Rs 7927.50 lakhs for approval i.e remaining 75% of the amount approved in 21-22 for 1510 SHC-HWC @7 lakhs
b)	Approved Rs 2009 lakhs for approval i.e 25% of the amount proposed for coversion of 1148 SHC to HWC @Rs 7 lakhs as proposed by the State
B)	Capacity building
a) Approved Rs 50 lakhs for training of MLSPs/CHO @ 50000 per for 100 batches on diabetic retinopathy, peripheral neuropathy, tertiary care discharge follow up and cervical cancer as per NPCC discussion.
C)	Other Operating Cost (OOC): Approved Rs 5287.8 lakhs @Rs 3.7 lakhs for 603 SHC-HWC for 12 months and @Rs 2.4 lakhs for 1 148 SHC-HWC for 6 months . For the remaining 2510 SHC-HWC and PHC-HWC , the operating cost will be sought from 15th finance commission as informed by the State. Other Operating cost for 1 year includes CHO / MLHP Salary @Rs 2.4 lakhs,  ASHA incentive @0.6 lakhs, Refresher Training for MLHP @ Rs 0.3 lakhs, 1EC @ Rs 0.25 lakhs, IT @ Rs 0.05 lakhs, Independent Monitoring- by external agency @Rs 0.1 Lakhs. and OOC for 6 months include @1.2 lakhs for CHO/MLHP salary, @ Rs 0.6 lakhs for ASHA incentive, @Rs 0.25 lakhs for IEC, @Rs 0.05 lakhs for IT and @ Rs 0.05 lakhs for Independent Monitoring- by external agency.
</t>
  </si>
  <si>
    <t>IEC- Activity Breakup will be shared from State BCC wing.ASHA fixed incentive @Rs. 2000 permonth, ASHA incentive palliative care @RS.100 per month, Incentive for monthly review meeting @Rs.100 per month, On going expenses for Ward Helath Facilitation Centres @Rs. 500 per monthh per ward, ID card for ASHAs @ Rs. 100 per ASHA , District ASHA Sammelan, Mobile allowance to ASHA @Rs. 200 per month . Induction training to ASHA@Rs. 74750 pe rbatch of 30 ASHA, ASHA 9th Module training @ Rs. 42250 per batch of 30 ASHA &amp; Supplimentry training to ASHA (One ASHA from one institution )</t>
  </si>
  <si>
    <t xml:space="preserve">NUHM  Mobile Medical Units (MMU) / Mobile Health Units (MHU) Operational cost of @ Rs.50000/- </t>
  </si>
  <si>
    <t>Annexure - 1: Budgeting format for FY 2022-23 and FY 2023-24</t>
  </si>
  <si>
    <t>Others including operating costs(OOC)</t>
  </si>
  <si>
    <t>WIFS trainings (block level) for all districts,  1 batch (40 nos. ) @Rs.5000/) * No. of health blocks (PTA- 10)</t>
  </si>
  <si>
    <t xml:space="preserve">ASHA Incentive of Rs.150 per insetion of 105 cases of PPIUCD and Rs.150 per insetion of 14 cases of PAIUCD </t>
  </si>
  <si>
    <t>ASHA Incentive - Malaria 
Special anti-malarial interventions for high risk groups, for tribal population, for hard to reach areas to control and prevent resurgence of Malaria cases
Operational cost for Spray Wages in AF &amp;ARF
Operational cost for IRS
Training / Capacity Building (Malaria)  ROUTINE
IEC/BCC for Malaria
Monitoring  Evaluation &amp; Supervision -Malaria</t>
  </si>
  <si>
    <t xml:space="preserve">Consumables
Training / Capacity Building Training MOS etc 
Training / Capacity Building-paramedical workers &amp; LTs
IEC/BCC for Social mobilization (Dengue and Chikungunya)
Printing of forms/registers for Lymphatic Filariasis
MF Survey non Endemic Districts
Lymphatic Filariasis: Morbidity Management
No. of cases for Hydrocelectomy
Funds for Hydrocelectomy (@Rs. 750)
No. of cases for Morbidity management (@Rs. 500)
Funds Morbidity management (@Rs. 500)
Repairs &amp; Maintenance of  Microscopes
Monitoring, Evaluation &amp; Supervision &amp; Epidemic preparedness - Mobility Only
Mobility for ELF Monitoring of MDA tas and MMDP
Zonal Entomological units
Monitoring &amp; Supervision -LF
</t>
  </si>
  <si>
    <t>Diagnostics - 0.68 L
 Approved Rs 0.68 Lakhs per district for drugs required for management of reaction and printing.
 ASHA incentives - 92.955 L
 1. Approved an amount of Rs 89.26 L as incentive for Incentive for search team (Rs 1000 per Volunteer) for each screening round/ village for LCDC
 2. Approved an amount of Rs 3.568 L as Incentives (field supervisors) for LCDC
 3. Approved Rs 0.025 L as Incentive for ASHA/ AWW/ Volunteer/ etc for detection of Leprosy (Rs 250 for detection of an early case before onset of any visible deformity, Rs 200 for detection of new case with visible deformity in hands, feet or eye)
 4. Approved Rs 0.02 L for ASHA Incentive for Treatment completion of PB cases (@ Rs 400)
 5. Approved Rs 0.012 L for ASHA Incentive for Treatment completion of MB cases (@ Rs 600)
 6. Approved 0.07 Lakhs for Any other ASHA incentives(Sensitisation) @ Rs 100 per ASHA
 OOC - 0.15 L: Approved for Case Detection and Management in urban Areas</t>
  </si>
  <si>
    <t>Equipment - 0.208 L 
 1. Procurement of other equipment: NLEP- MCR
 Approved Rs 0.16 Lakhs for MCR Chappals @ Rs 400 per unit
 2. Procurement of other equipment: NLEP- Aids/Appliance
 Approved Rs 0.048 Lakhs for Self care kit @ Rs 150 per unit 
 OOC - 0.30 L
 Approved for Early detection in camps, ulcer management, and prevention of deformity</t>
  </si>
  <si>
    <t>Capacity building incl Training - 5.46 L
 1. Approved Rs 4.463 L for Orientation training-Training of ASHAS in connection with LCDC
 2. Approved Rs 1 Lakh for orientation training to field level staff in connection with LCDC, District level Refresher Training of General health staff, including School health Nurse and Urban JPHNs, Training to DLO/ALO/NMS at CLTRI.
 IEC &amp; Printing - 3.519 L
 1.Approved Rs 1.2 Lakhs for Advocacy/ IEC (Rs 4000/block of urban area) in connection with LCDC.
 2. Approved Rs 1.339 Lakhs for Printing reporting formats Rs. 30/team in connection with LCDC 
 4. Approved Rs 0.98 Lakhs for District level IEC activities viz students’ awareness programme, Balamithra Programme, intersectoral sensitisation, ward level, panchayath level and block level campaigns
 Planning &amp; M &amp; E - 2.896 L
 1.Office operation &amp; Maintenance - District Cell @ Rs 0.20 Lakhs
 2. District Cell – Consumables@ Rs 0.20 Lakhs
 3. Mobility Support District cell @ 1 Lakh/district
 4. Travel cost for Regular staff- 0.15 Lakh for district
 5. Approved Rs 0.446 Lakhs for Logistics Rs.10/ team in connection with LCDC.
 6. Approved Rs 0.90 Lakhs for Supervision and monitoring @ Rs 3000 per block in connection with LCDC</t>
  </si>
  <si>
    <t>Others including operating costs(OOC) Rs. 2.4 Lakhs Incentives for Peer Educators under NVHCP Rs 10,000/- per month (We already have 1 TC (GH Adoor) and planing to start 1 TC (GH Pathanamthitta) for the current financial year, 2022-23, IEC &amp; Printing Rs. 1 Lakhs - IEC/BCC for NVHCP-( Rs .1,00,000/- Per District ( Local TV Campaign, Digital posters, Social media campaign, 1 min Advt video, animation and graphical video, FM Radio Campaign, Online news portal campaign)</t>
  </si>
  <si>
    <t>Drugs and supplies Rs. 2 Lakhs - Management of Hep A &amp; E Rs 2 Lakhs Cash Grant- 1 lakh per centre - Flexible E.g. 5000 (Diagnosis) and 95000(T/t) (for 2 treatment centres) (We already have 1 TC (GH Adoor) and planing to start 1 TC GH Pathanamthitta) for the current financial year, 2022-23 ) 
 Others including operating costs(OOC) Rs. 1.038 Lakhs - Rs. 1 Lakhs for TC- Meeting Costs/Office expenses/Contingency Cash Grant- Rs 50,000/- per centre, (We already have 1 TC (GH Adoor) and Planing to add 1 new TC (GH Pathanamthitta) for the current financial year, 2022-23) So Total TCs in 2022-23 is 2. 
 Rs. 0.038 Lakhs for Transport of Samples for viral load testing.</t>
  </si>
  <si>
    <t>Approved for 250 cases@ Rs 2000 per case</t>
  </si>
  <si>
    <t>1. Training of PHC Mos/ SN / Para medical workers under NMHP (Aswasam, ammamanasu, urban mental health) Rs. 5.5 Lakhs 3. OOC - (a) implementation of sampoorna Manasika arogyam 0.46 L/FHC b. Tribal Mental Health interventions 0.2 L/Camp c. Mental Health Interventions in Coastal Areas 0.2 L/camp d. Workplace Intervention in Rs. 0.05 L/ institutions . 4. Ambulatory services @ Rs.4 L per district 5. IEC activities @ Rs.4 L per district 5. Rs.6 L/ day care centres financial support DMHP vehicle hiring, operational expenses, for misc ./travel expenses for operational expenses of the dist centre Rs. 5.55 L x 14 Districts</t>
  </si>
  <si>
    <t>Equipments - 56.84 L - New Dialysis unit at THQH Konni - 49.50 L, additional bed at GH Pathanamthitta - 7.34 L</t>
  </si>
  <si>
    <t>CH Health division will give the remarks to districts- IEC- Activity Breakup will be shared from State BCC wing.</t>
  </si>
  <si>
    <t>WIFS trainings (block level) for all districts,  1 batch (40 nos. ) @Rs.5000/) * No. of health blocks (ALP- 12 )</t>
  </si>
  <si>
    <t xml:space="preserve">ASHA Incentive of Rs.150 per insetion of 250 cases of PPIUCD and Rs.150 per insetion of 35 cases of PAIUCD </t>
  </si>
  <si>
    <t xml:space="preserve">ASHA Incentive - Malaria 
Special anti-malarial interventions for high risk groups, for tribal population, for hard to reach areas to control and prevent resurgence of Malaria cases
Operational cost for IRS
Training / Capacity Building (Malaria)  ROUTINE
IEC/BCC for Malaria
Monitoring  Evaluation &amp; Supervision -Malaria
</t>
  </si>
  <si>
    <t xml:space="preserve">Training specific for JE prevention and management
IEC/BCC specific to J.E. in endemic areas
</t>
  </si>
  <si>
    <t xml:space="preserve">Consumables
Training / Capacity Building Training MOS etc 
Training / Capacity Building-paramedical workers &amp; LTs
IEC/BCC for Social mobilization (Dengue and Chikungunya)
Lymphatic Filariasis: Morbidity Management
No. of cases for Hydrocelectomy
Funds for Hydrocelectomy (@Rs. 750)
No. of cases for Morbidity management (@Rs. 500)
Funds Morbidity management (@Rs. 500)
Repairs &amp; Maintenance of  Microscopes
Verification and Validation for stoppage of MDA in LF endemic districts -ICT Survey
Post-MDA surveillance 
Monitoring, Evaluation &amp; Supervision &amp; Epidemic preparedness - Mobility Only
Mobility for ELF Monitoring of MDA tas and MMDP
Monitoring &amp; Supervision -LF
</t>
  </si>
  <si>
    <t>Diagnostics - 0.68 L
 Approved Rs 0.68 Lakhs per district for drugs required for management of reaction and printing.
 ASHA incentives - 91.068 L
 1. Approved an amount of Rs 87.40 L as incentive for Incentive for search team (Rs 1000 per Volunteer) for each screening round/ village for LCDC
 2. Approved an amount of Rs 3.496 L as Incentives (field supervisors) for LCDC
 3. Approved Rs 0.05 L as Incentive for ASHA/ AWW/ Volunteer/ etc for detection of Leprosy (Rs 250 for detection of an early case before onset of any visible deformity, Rs 200 for detection of new case with visible deformity in hands, feet or eye)
 4. Approved Rs 0.04 L for ASHA Incentive for Treatment completion of PB cases (@ Rs 400)
 5. Approved Rs 0.012 L for ASHA Incentive for Treatment completion of MB cases (@ Rs 600)
 6. Approved 0.07 L for Any other ASHA incentives(Sensitisation) @ Rs 100 per ASHA
 OOC - 0.6 L: Approved for Case Detection and Management in urban Areas</t>
  </si>
  <si>
    <t>Equipment - 0.364 L 
 1. Procurement of other equipment: NLEP- MCR
 Approved Rs 0.28 Lakhs for MCR Chappals @ Rs 400 per unit
 2. Procurement of other equipment: NLEP- Aids/Appliance
 Approved Rs 0.084 Lakhs for Self care kit @ Rs 150 per unit 
 OOC - 0.30 L
 Approved for Early detection in camps, ulcer management, and prevention of deformity</t>
  </si>
  <si>
    <t>Capacity building incl Training - 5.37 L
 1. Approved Rs 4.37 for Orientation training-Training of ASHAS in connection with LCDC
 2. Approved Rs 1 Lakh for orientation training to field level staff in connection with LCDC, District level Refresher Training of General health staff, including School health Nurse and Urban JPHNs, Training to DLO/ALO/NMS at CLTRI.
 IEC &amp; Printing - 3.371 L
 1.Approved Rs 1.08 Lakhs for Advocacy/ IEC (Rs 4000/block of urban area) in connection with LCDC.
 2. Approved Rs 1.311 Lakhs for Printing reporting formats Rs. 30/team in connection with LCDC 
 4. Approved Rs 0.98 Lakhs for District level IEC activities viz students’ awareness programme, Balamithra Programme, intersectoral sensitisation, ward level, panchayath level and block level campaigns
 Planning &amp; M &amp; E - 2.797 L
 1.Office operation &amp; Maintenance - District Cell @ Rs 0.20 Lakhs
 2. District Cell – Consumables@ Rs 0.20 Lakhs
 3. Mobility Support District cell @ 1 Lakh/district
 4. Travel cost for Regular staff- 0.15Lakh for district
 5. Approved Rs 0.437 Lakhs for Logistics Rs.10/ team in connection with LCDC.
 6. Approved Rs 0.81 Lakhs for Supervision and monitoring @ Rs 3000 per block in connection with LCDC</t>
  </si>
  <si>
    <t>Others including operating costs(OOC) Rs. 2.4 Lakhs (Rs.2.4 Lakhs Incentives for Peer Educators under NVHCP Rs 10,000/- per month (We already have 2 TCs(MCH Alappuzha &amp; GH Alappuzha) 
 IEC &amp; Printing Rs. 1 Lakhs - IEC/BCC for NVHCP-( Rs .1,00,000/- Per District ( Local TV Campaign, Digital posters, Social media campaign, 1 min Advt video, animation and graphical video, FM Radio Campaign, Online news portal campaign)</t>
  </si>
  <si>
    <t>Proposing for 100 pair</t>
  </si>
  <si>
    <t>1. Drugs &amp; Supplies Rs.1 lakh/Districtpurchase of medicine 2. Purchase for Diagnostics items - 1.68 L/district 3. IEC &amp; Printing . Rs. 3 L/ District 4. Planning and M&amp;E - 1 L /district for coordination meeting and Rs.0.6 L for travel cost</t>
  </si>
  <si>
    <t>WIFS trainings (block level) for all districts,  1 batch (40 nos. ) @Rs.5000/) * No. of health blocks (KTM- 16)</t>
  </si>
  <si>
    <t xml:space="preserve">ASHA Incentive of Rs.150 per insetion of 180 cases of PPIUCD and Rs.25 per insetion of 25 cases of PAIUCD </t>
  </si>
  <si>
    <t>Traininng/sensitisation activities &amp; Operational Costs at DSUs</t>
  </si>
  <si>
    <t>Diagnostics - 0.68 L
 Approved Rs 0.68 Lakhs per district for drugs required for management of reaction and printing.
 ASHA incentives - 83.009 L
 1. Approved an amount of Rs 79.66 L as incentive for Incentive for search team (Rs 1000 per Volunteer) for each screening round/ village for LCDC
 2. Approved an amount of Rs 3.188 L as Incentives (field supervisors) for LCDC
 3. Approved Rs 0.035 L as Incentive for ASHA/ AWW/ Volunteer/ etc for detection of Leprosy (Rs 250 for detection of an early case before onset of any visible deformity, Rs 200 for detection of new case with visible deformity in hands, feet or eye)
 4. Approved Rs 0.04 L for ASHA Incentive for Treatment completion of PB cases (@ Rs 400)
 5. Approved Rs 0.006 L for ASHA Incentive for Treatment completion of MB cases (@ Rs 600)
 6. Approved 0.08 L for Any other ASHA incentives(Sensitisation) @ Rs 100 per ASHA
 OOC - 0.45 L: Approved for Case Detection and Management in urban Areas</t>
  </si>
  <si>
    <t>Equipment - 0.22 L 
 1. Procurement of other equipment: NLEP- MCR
 Approved Rs 0.16 Lakhs for MCR Chappals @ Rs 400 per unit
 2. Procurement of other equipment: NLEP- Aids/Appliance
 Approved Rs 0.060 Lakhs for Self care kit @ Rs 150 per unit 
 OOC - 0.30 L
 Approved for Early detection in camps, ulcer management, and prevention of deformity</t>
  </si>
  <si>
    <t>Capacity building incl Training - 4.983 L
 1. Approved Rs 3.983 for Orientation training-Training of ASHAS in connection with LCDC
 2. Approved Rs 1 Lakh for orientation training to field level staff in connection with LCDC, District level Refresher Training of General health staff, including School health Nurse and Urban JPHNs, Training to DLO/ALO/NMS at CLTRI.
 IEC &amp; Printing - 2.935 L
 1.Approved Rs 0.76 Lakhs for Advocacy/ IEC (Rs 4000/block of urban area) in connection with LCDC.
 2. Approved Rs 1.195 Lakhs for Printing reporting formats Rs. 30/team in connection with LCDC 
 4. Approved Rs 0.98 Lakhs for District level IEC activities viz students’ awareness programme, Balamithra Programme, intersectoral sensitisation, ward level, panchayath level and block level campaigns
 Planning &amp; M &amp; E - 2.518 L
 1.Office operation &amp; Maintenance - District Cell @ Rs 0.20 Lakhs
 2. District Cell – Consumables@ Rs 0.20 Lakhs
 3. Mobility Support District cell @ 1 Lakh/district
 4. Travel cost for Regular staff- 0.15 Lakh for district
 5. Approved Rs 0.398 Lakhs for Logistics Rs.10/ team in connection with LCDC.
 6. Approved Rs 0.57 Lakhs for Supervision and monitoring @ Rs 3000 per block in connection with LCDC</t>
  </si>
  <si>
    <t>Others including operating costs(OOC) Rs. 2.4 Lakhs (Rs. 2.4 Lakhs Incentives for Peer Educators under NVHCP Rs 10,000/- per month (We already have 2 TCs (MCH Kottayam &amp; GH Kottayam) IEC &amp; Printing Rs. 1 Lakhs - IEC/BCC for NVHCP-( Rs .1,00,000/- Per District ( Local TV Campaign, Digital posters, Social media campaign, 1 min Advt video, animation and graphical video, FM Radio Campaign, Online news portal campaign)</t>
  </si>
  <si>
    <t>WIFS trainings (block level) for all districts,  1 batch (40 nos. ) @Rs.5000/) * No. of health blocks (IDK- 8)</t>
  </si>
  <si>
    <t xml:space="preserve">ASHA Incentive of Rs.150 per insetion of 104  cases of PPIUCD and Rs.150 per insetion of 14 cases of PAIUCD </t>
  </si>
  <si>
    <t xml:space="preserve">Consumables
Training / Capacity Building Training MOS etc 
Training / Capacity Building-paramedical workers &amp; LTs
IEC/BCC for Social mobilization (Dengue and Chikungunya)
Printing of forms/registers for Lymphatic Filariasis
MF Survey non Endemic Districts
Lymphatic Filariasis: Morbidity Management
No. of cases for Hydrocelectomy
Funds for Hydrocelectomy (@Rs. 750)
No. of cases for Morbidity management (@Rs. 500)
Funds Morbidity management (@Rs. 500)
Repairs &amp; Maintenance of  Microscopes
Monitoring, Evaluation &amp; Supervision &amp; Epidemic preparedness - Mobility Only
Mobility for ELF Monitoring of MDA tas and MMDP
Monitoring &amp; Supervision -LF
</t>
  </si>
  <si>
    <t>Diagnostics - 0.68 L
 Approved Rs 0.68 Lakhs per district for drugs required for management of reaction and printing.
 ASHA incentives - 96.766 L
 1. Approved an amount of Rs 92.92 L as incentive for Incentive for search team (Rs 1000 per Volunteer) for each screening round/ village for LCDC
 2. Approved an amount of Rs 3.74 L as Incentives (field supervisors) for LCDC
 3. Approved Rs 0.02 L as Incentive for ASHA/ AWW/ Volunteer/ etc for detection of Leprosy (Rs 250 for detection of an early case before onset of any visible deformity, Rs 200 for detection of new case with visible deformity in hands, feet or eye)
 4. Approved Rs 0.02 L for ASHA Incentive for Treatment completion of PB cases (@ Rs 400)
 5. Approved Rs 0.006 L for ASHA Incentive for Treatment completion of MB cases (@ Rs 600)
 6. Approved 0.06 L for Any other ASHA incentives(Sensitisation) @ Rs 100 per ASHA
 OOC - 0.3 L: Approved for Case Detection and Management in urban Areas</t>
  </si>
  <si>
    <t>Equipment - 0.148 L 
 1. Procurement of other equipment: NLEP- MCR
 Approved Rs 0.10 Lakhs for MCR Chappals @ Rs 400 per unit
 2. Procurement of other equipment: NLEP- Aids/Appliance
 Approved Rs 0.048 Lakhs for Self care kit @ Rs 150 per unit.
 OOC - 0.30 L
 Approved for Early detection in camps, ulcer management, and prevention of deformity</t>
  </si>
  <si>
    <t>Capacity building incl Training - 5.646 L
 1. Approved Rs 4.646 L for Orientation training-Training of ASHAS in connection with LCDC
 2. Approved Rs 1 Lakh for orientation training to field level staff in connection with LCDC, District level Refresher Training of General health staff, including School health Nurse and Urban JPHNs, Training to DLO/ALO/NMS at CLTRI.
 IEC &amp; Printing - 3.254 L
 1.Approved Rs 0.88 Lakhs for Advocacy/ IEC (Rs 4000/block of urban area) in connection with LCDC.
 2. Approved Rs 1.394 Lakhs for Printing reporting formats Rs. 30/team in connection with LCDC 
 4. Approved Rs 0.98 Lakhs for District level IEC activities viz students’ awareness programme, Balamithra Programme, intersectoral sensitisation, ward level, panchayath level and block level campaigns
 Planning &amp; M &amp; E - 2.675 L
 1.Office operation &amp; Maintenance - District Cell @ Rs 0.20 Lakhs
 2. District Cell – Consumables@ Rs 0.20 Lakhs
 3. Mobility Support District cell @ 1 Lakh/district
 4. Travel cost for Regular staff- 0.15 Lakh for district
 5. Approved Rs 0.465 Lakhs for Logistics Rs.10/ team in connection with LCDC.
 6. Approved Rs 0.66 Lakhs for Supervision and monitoring @ Rs 3000 per block in connection with LCDC</t>
  </si>
  <si>
    <t xml:space="preserve"> </t>
  </si>
  <si>
    <t>Others including operating costs(OOC) Rs. 3.6 Lakhs (Rs. 3.6 Lakhs Incentives for Peer Educators under NVHCP Rs 10,000/- per month (We already have 2 TCs (MCH Idukki &amp; DH Thodupuzha) and planing to start 1 TC ( GH Adimali) for thecurrent financial year, 2022-23 , 
 IEC &amp; Printing Rs. 1 Lakhs - IEC/BCC for NVHCP-( Rs .1,00,000/- Per District ( Local TV Campaign, Digital posters, Social media campaign, 1 min Advt video, animation and graphical video, FM Radio Campaign, Online news portal campaign)</t>
  </si>
  <si>
    <t>Drugs and supplies Rs. 3 Lakhs - Management of Hep A &amp; E Rs 3 Lakhs Cash Grant- 1 lakh per centre - Flexible E.g. 5000 (Diagnosis) and 95000(T/t) (for 3 treatment centres) (We already have 2 TCs (MCH Idukki &amp; DH Thodupuzha) and planing to start 1 TC (GH Adimaly) for the current financial year, 2022-23 &amp;
 Others including operating costs(OOC) Rs. 1.538 Lakhs - Rs. 1.5 Lakhs for TC- Meeting Costs/Office expenses/Contingency Cash Grant- Rs 50,000/- per centre, (We already have 2 TCs (MCH Idukki &amp; DH Thodupuzha) Planing to add 1 new TC (GH Adimaly) for the current financial year, 2022-23 So Total TCs in 2022-23 is 3 . Rs. 0.038 Lakhs for Transport of Samples for viral load testing.</t>
  </si>
  <si>
    <t>IEC - 1 L : Approved for District Level Awareness and activities in connection with Eye donation fortnight, world sight day, world Glaucoma week:
Planning &amp; M &amp; E : 1 L : Fund for conducting camps,POL, TA/DA of District level staffs, Contingencies,  monthly review meetings at  District level</t>
  </si>
  <si>
    <t>IEC- Activity Breakup will be shared from State BCC wing.Incentive for migrant link workers @RS. 2500 per month</t>
  </si>
  <si>
    <t>CH Health division will give the remarks to districts.IEC- Activity Breakup will be shared from State BCC wing.</t>
  </si>
  <si>
    <t>WIFS trainings (block level) for all districts,  1 batch (40 nos. ) @Rs.5000/) * No. of health blocks (EKM - 19)</t>
  </si>
  <si>
    <t xml:space="preserve">ASHA Incentive of Rs.150 per insetion of 220 cases of PPIUCD and Rs.150 per insetion of 25 cases of PAIUCD </t>
  </si>
  <si>
    <t>Training/sensitisation activities, Support to PH Lab &amp; Operational Costs at DSUs</t>
  </si>
  <si>
    <t xml:space="preserve">Consumables
Training / Capacity Building Training MOS etc 
Training / Capacity Building-paramedical workers &amp; LTs
IEC/BCC for Social mobilization (Dengue and Chikungunya)
Printing of forms/registers for Lymphatic Filariasis
Lymphatic Filariasis: Morbidity Management
No. of cases for Hydrocelectomy
Funds for Hydrocelectomy (@Rs. 750)
No. of cases for Morbidity management (@Rs. 500)
Funds Morbidity management (@Rs. 500)
Repairs &amp; Maintenance of  Microscopes
Post-MDA surveillance 
Sub-national Disease Free Certification - LF
Monitoring, Evaluation &amp; Supervision &amp; Epidemic preparedness - Mobility Only
Mobility for ELF Monitoring of MDA tas and MMDP
Zonal Entomological units
Monitoring &amp; Supervision -LF
</t>
  </si>
  <si>
    <t>Diagnostics - 0.68 L
 Approved Rs 0.68 Lakhs per district for drugs required for management of reaction and printing.
 ASHA incentives - 93.012 L
 1. Approved an amount of Rs 89.24 L as incentive for Incentive for search team (Rs 1000 per Volunteer) for each screening round/ village for LCDC
 2. Approved an amount of Rs 3.568 L as Incentives (field supervisors) for LCDC
 3. Approved Rs 0.04 L as Incentive for ASHA/ AWW/ Volunteer/ etc for detection of Leprosy (Rs 250 for detection of an early case before onset of any visible deformity, Rs 200 for detection of new case with visible deformity in hands, feet or eye)
 4. Approved Rs 0.04 L for ASHA Incentive for Treatment completion of PB cases (@ Rs 400)
 5. Approved Rs 0.024 L for ASHA Incentive for Treatment completion of MB cases (@ Rs 600)
 6. Approved 0.10 L for Any other ASHA incentives(Sensitisation) @ Rs 100 per ASHA
 OOC - 2.25 L: 
 Approved for Case Detection and Management in urban Areas</t>
  </si>
  <si>
    <t>Equipment - 0.244 L 
 1. Procurement of other equipment: NLEP- MCR
 Approved Rs 0.16 Lakhs for MCR Chappals @ Rs 400 per unit
 2. Procurement of other equipment: NLEP- Aids/Appliance
 Approved Rs 0.084 Lakhs for Self care kit @ Rs 150 per unit 
 OOC - 0.30 L
 Approved for Early detection in camps, ulcer management, and prevention of deformity</t>
  </si>
  <si>
    <t>Capacity building incl Training - 5.462 L
 1. Approved Rs 4.462 for Orientation training-Training of ASHAS in connection with LCDC
 2. Approved Rs 1 Lakh for orientation training to field level staff in connection with LCDC, District level Refresher Training of General health staff, including School health Nurse and Urban JPHNs, Training to DLO/ALO/NMS at CLTRI.
 IEC &amp; Printing - 3.519 L
 1.Approved Rs 1.20 Lakhs for Advocacy/ IEC (Rs 4000/block of urban area) in connection with LCDC.
 2. Approved Rs 1.339 Lakhs for Printing reporting formats Rs. 30/team in connection with LCDC 
 4. Approved Rs 0.98 Lakhs for District level IEC activities viz students’ awareness programme, Balamithra Programme, intersectoral sensitisation, ward level, panchayath level and block level campaigns
 Planning &amp; M &amp; E - 2.916 L
 1.Office operation &amp; Maintenance - District Cell @ Rs 0.20 Lakhs
 2. District Cell – Consumables@ Rs 0.20 Lakhs
 3. Mobility Support District cell @ 1 Lakh/district
 4. Travel cost for Regular staff- 0.17 Lakh for district
 5. Approved Rs 0.446 Lakhs for Logistics Rs.10/ team in connection with LCDC.
 6. Approved Rs 0.90 Lakhs for Supervision and monitoring @ Rs 3000 per block in connection with LCDC</t>
  </si>
  <si>
    <t>Drugs and supplies Rs. 3 Lakhs - Management of Hep A &amp; E Rs 3 Lakhs Cash Grant- 1 lakh per centre - Flexible E.g. 5000 (Diagnosis) and 95000(T/t) (for 3 treatment centres) (We already have 3 TCs (MCH Ernakulam, GH Muvattupuzha &amp; GH Ernakulam), 
 Others including operating costs(OOC) Rs. 1.538 Lakhs - Rs. 1.5 Lakhs for TC- Meeting Costs/Office expenses/Contingency Cash Grant- Rs 50,000/- per centre, (We already have 3 TCs (MCH Ernakulam, GH Muvattupuzha &amp; GH Ernakulam),Rs. 0.038 Lakhs for Transport of Samples for viral load testing.</t>
  </si>
  <si>
    <t>Approved for 1915 pair</t>
  </si>
  <si>
    <t>Diagnosis  @ 50000/CHC              Operational costs for UCHCs @ 2000 /month</t>
  </si>
  <si>
    <t>IEC- Activity Breakup will be shared from State BCC wing. Incentive for migrant link workers @RS. 2500 per month</t>
  </si>
  <si>
    <t>Amount is for GH Ernakulam ---Amount can be booked for 
 1. Procurement of instruments
 2. Conduct of CME
 3. Books and library materials
 4. Academic ambience
 5. Registration/renewal fees for accreditation</t>
  </si>
  <si>
    <t>RCH camps, training, MH IEC -IEC- Activity Breakup will be shared from State BCC wing.</t>
  </si>
  <si>
    <t>WIFS trainings (block level) for all districts,  1 batch (40 nos. ) @Rs.5000/) * No. of health blocks (TSR -20)</t>
  </si>
  <si>
    <t xml:space="preserve">ASHA Incentive of Rs.150 per insetion of 325 cases of PPIUCD and Rs.150 per insetion of 30 cases of PAIUCD </t>
  </si>
  <si>
    <t xml:space="preserve">ASHA Incentive - Malaria 
Special anti-malarial interventions for high risk groups, for tribal population, for hard to reach areas to control and prevent resurgence of Malaria cases
Operational cost for Spray Wages in AF &amp;ARF
Operational cost for IRS
Training / Capacity Building (Malaria)  ROUTINE
IEC/BCC for Malaria
Printing of forms/registers for Malaria
Monitoring  Evaluation &amp; Supervision -Malaria
</t>
  </si>
  <si>
    <t>Diagnostics - 0.68 L
 Approved Rs 0.68 Lakhs per district for drugs required for management of reaction and printing.
 ASHA incentives - 91.286 L
 1. Approved an amount of Rs 87.40 L as incentive for Incentive for search team (Rs 1000 per Volunteer) for each screening round/ village for LCDC
 2. Approved an amount of Rs 3.496 L as Incentives (field supervisors) for LCDC
 3. Approved Rs 0.06 L as Incentive for ASHA/ AWW/ Volun-teer/ etc for detection of Leprosy (Rs 250 for detection of an early case before onset of any visible deformity, Rs 200 for detection of new case with visible deformity in hands, feet or eye)
 4. Approved Rs 0.06 L for ASHA Incentive for Treatment com-pletion of PB cases (@ Rs 400)
 5. Approved Rs 0.015 L for ASHA Incentive for Treatment com-pletion of MB cases (@ Rs 600)
 6. Approved 0.12 L for Any other ASHA incen-tives(Sensitisation) @ Rs 100 per ASHA
 OOC - 0.6 L:
  Approved for Case Detection and Management in urban Areas</t>
  </si>
  <si>
    <t>Equipment - 0.4 L 
 1. Procurement of other equipment: NLEP- MCR
 Approved Rs 0.28 Lakhs for MCR Chappals @ Rs 400 per unit
 2. Procurement of other equipment: NLEP- Aids/Appliance
 Approved Rs 0.12 Lakhs for Self care kit @ Rs 150 per unit 
 OOC - 0.30 L
 Approved for Early detection in camps, ulcer management, and prevention of deformity</t>
  </si>
  <si>
    <t>Capacity building incl Training - 5.37 L
 1. Approved Rs 4.37 for Orientation training-Training of ASHAS in connection with LCDC
 2. Approved Rs 1 Lakh for orientation training to field level staff in connection with LCDC, District level Refresher Training of General health staff, including School health Nurse and Urban JPHNs, Training to DLO/ALO/NMS at CLTRI.
 IEC &amp; Printing - 3.371 L
 1.Approved Rs 1.08 Lakhs for Advocacy/ IEC (Rs 4000/block of urban area) in connection with LCDC.
 2. Approved Rs 1.311 Lakhs for Printing reporting formats Rs. 30/team in connection with LCDC 
 4. Approved Rs 0.98 Lakhs for District level IEC activities viz students’ awareness programme, Balamithra Programme, intersectoral sensitisation, ward level, panchayath level and block level campaigns
 Planning &amp; M &amp; E - 3.147 L
 1.Office operation &amp; Maintenance - District Cell @ Rs 0.20 Lakhs
 2. District Cell – Consumables@ Rs 0.20 Lakhs
 3. Mobility Support District cell @ 1 Lakh/district
 4. Travel cost for Regular staff- 0.50 Lakh for district
 5. Approved Rs 0.437 Lakhs for Logistics Rs.10/ team in connection with LCDC.
 6. Approved Rs 0.81 Lakhs for Supervision and monitoring @ Rs 3000 per block in connection with LCDC</t>
  </si>
  <si>
    <t>Others including operating costs(OOC) Rs. 2.4 Lakhs (Rs. 2.4 Lakhs Incentives for Peer Educators under NVHCP Rs 10,000/- per month (We already have 2 TCs MCH Thrissur &amp; DH Thrissur) and planing to convert 1 TC (MCH Thrissur to MTC for the current financial year, 2022-23 , IEC &amp; Printing Rs. 1 Lakhs - IEC/BCC for NVHCP-( Rs .1,00,000/- Per District ( Local TV Campaign, Digital posters, Social media campaign, 1 min Advt video, animation and graphical video, FM Radio Campaign, Online news portal campaign)</t>
  </si>
  <si>
    <t>Others including operating costs(OOC)Rs. 3 Lakhs - Meeting Costs/Office expenses/Contingency (photocopy, internet/communication/ Printing M &amp; E tools/ Tablets for M &amp; E if needed) etc) Cash Grant- Rs 3 lakhs per center (TA/DA as per state norms; contingency cost including postage, photocopy paper, stationary, internet etc) we have 2 TCs (MCH Thrissur &amp; DH Thrissur) and planing to convert 1 TC (MCH Thrissur to MTC for the current financial year, 2022-23</t>
  </si>
  <si>
    <t>Drugs and supplies Rs. 1 Lakhs - Management of Hep A &amp; E Rs 1 Lakhs Cash Grant- 1 lakh per centre - Flexible E.g. 5000 (Diagnosis) and 95000(T/t) (for1 treatment centre) (We already have 2 TCs of which 1 TCs converted to MTC, so 1 TCs are remaining and planing to start 1 MTC (MCH Thrissur) for the current financial year, 2022-23 Others including operating costs(OOC) Rs. 1.538 Lakhs - Rs. 1 Lakhs for MTC - Management of Hep A &amp; E (Cash Grant- 1 lakh per centre Cash Grant- 1 lakh per centre - Flexible E.g. 5000 (Diagnosis) and 95000(T/t)(We already have 1 MTC at Govt.MCH Thiruvananthapuram. Planing to convert 2 existing TCs 2 TCs (MCH Thrissur &amp; DH Thrissur) and planing to convert 1 TC (MCH Thrissur to MTC for the current financial year, 2022-23  Rs. 0.5 Lakhs for TC- Meeting Costs/Office expenses/Contingency Cash Grant- Rs 50,000/- per centre, (We already have 2 TCs MCH Thrissur &amp; DH Thrissur) and planing to convert 1 TC (MCH Thrissur to MTC for the current financial year, 2022-23 , Rs. 0.038 Lakhs for Transport of Samples for viral load testing.</t>
  </si>
  <si>
    <t>Approved for 200 cases@ Rs 2000 per case</t>
  </si>
  <si>
    <t>Training-LaQshya trainings/workshops @ Rs.74785/- district</t>
  </si>
  <si>
    <t>WIFS trainings (block level) for all districts,  1 batch (40 nos. ) @Rs.5000/) * No. of health blocks (PKD-14)</t>
  </si>
  <si>
    <t xml:space="preserve">ASHA Incentive of Rs.150 per insetion of 300 cases of PPIUCD and Rs.150 per insetion of 30 cases of PAIUCD </t>
  </si>
  <si>
    <t>Training/sensitisation activities &amp; Operational Costs at DSUs</t>
  </si>
  <si>
    <t xml:space="preserve">Dengue &amp; Chikungunya: Vector Control,  environmental management &amp; fogging machine
Procurement of Biomedical and other Equipment: NVBDCP – Logistic for Entomological lab Strengthening and others under MCVR
Procurement of Biomedical and other Equipment: NVBDCP – Logistic for Entomological lab Strengthening and others under MCVR
Training / Capacity Building (DG CG)  ROUTINE
IEC/BCC for Social mobilization (Dengue and Chikungunya)
DG/CG Fever Case Management
Monitoring , Supervision &amp; Rapid Response-DG/CG
Epidemic Preparedness
</t>
  </si>
  <si>
    <t xml:space="preserve">Consumables
Training / Capacity Building Training MOS etc 
Training / Capacity Building-paramedical workers &amp; LTs
IEC/BCC for Social mobilization (Dengue and Chikungunya)
Annual MF Survey)
Lymphatic Filariasis: Morbidity Management
No. of cases for Hydrocelectomy
Funds for Hydrocelectomy (@Rs. 750)
No. of cases for Morbidity management (@Rs. 500)
Funds Morbidity management (@Rs. 500)
Repairs &amp; Maintenance of  Microscopes
Verification and Validation for stoppage of MDA in LF endemic districts -ICT Survey
Pre -TAS survey(Additional MF Survey)
Post-MDA Assessment 
Funds for STF/DTF…. on Malaria
Monitoring, Evaluation &amp; Supervision &amp; Epidemic preparedness - Mobility Only
Mobility for ELF Monitoring of MDA tas and MMDP
Monitoring &amp; Supervision -LF
</t>
  </si>
  <si>
    <t>Diagnostics - 0.68 L
 Approved Rs 0.68 Lakhs per district for drugs required for management of reaction and printing.
 ASHA incentives - 83.368 L
 1. Approved an amount of Rs 79.7 L as incentive for Incentive for search team (Rs 1000 per Volunteer) for each screening round/ village for LCDC
 2. Approved an amount of Rs 3.188 L as Incentives (field supervisors) for LCDC
 3. Approved Rs 0.10 L as Incentive for ASHA/ AWW/ Volunteer/ etc for detection of Leprosy (Rs 250 for detection of an early case before onset of any visible deformity, Rs 200 for detection of new case with visible deformity in hands, feet or eye)
 4. Approved Rs 0.08 L for ASHA Incentive for Treatment com-pletion of PB cases (@ Rs 400)
 5. Approved Rs 0.18 L for ASHA Incentive for Treatment completion of MB cases (@ Rs 600)
 6. Approved 0.12 L for Any other ASHA incentives(Sensitisation) @ Rs 100 per ASHA
 OOC - 0.75 L: 
 Approved for Case Detection and Management in urban Areas</t>
  </si>
  <si>
    <t>Equipment - 0.58 L 
 1. Procurement of other equipment: NLEP- MCR
 Approved Rs 0.4 Lakhs for MCR Chappals @ Rs 400 per unit
 2. Procurement of other equipment: NLEP- Aids/Appliance
 Approved Rs 0.18 Lakhs for Self care kit @ Rs 150 per unit 
 OOC - 0.30 L
 Approved for Early detection in camps, ulcer management, and prevention of deformity</t>
  </si>
  <si>
    <t>Capacity building incl Training - 4.985 L
 1. Approved Rs 3.985 for Orientation training-Training of ASHAS in connection with LCDC
 2. Approved Rs 1 Lakh for orientation training to field level staff in connection with LCDC, District level Refresher Training of General health staff, including School health Nurse and Urban JPHNs, Training to DLO/ALO/NMS at CLTRI.
 IEC &amp; Printing - 2.936 L
 1.Approved Rs 0.76 Lakhs for Advocacy/ IEC (Rs 4000/block of urban area) in connection with LCDC.
 2. Approved Rs 1.196 Lakhs for Printing reporting formats Rs. 30/team in connection with LCDC 
 4. Approved Rs 0.98 Lakhs for District level IEC activities viz students’ awareness programme, Balamithra Programme, intersectoral sensitisation, ward level, panchayath level and block level campaigns
 Planning &amp; M &amp; E - 2.869 L
 1.Office operation &amp; Maintenance - District Cell @ Rs 0.20 Lakhs
 2. District Cell – Consumables@ Rs 0.20 Lakhs
 3. Mobility Support District cell @ 1 Lakh/district
 4. Travel cost for Regular staff- 0.50 Lakh for district
 5. Approved Rs 0.399 Lakhs for Logistics Rs.10/ team in connection with LCDC.
 6. Approved Rs 0.57 Lakhs for Supervision and monitoring @ Rs 3000 per block in connection with LCDC</t>
  </si>
  <si>
    <t>Others including operating costs(OOC) Rs. 2.4 Lakhs (Rs. 2.4Lakhs Incentives for Peer Educators under NVHCP Rs 10,000/- per month (We already have 2 TCs (MCH Palakkad &amp; DH Palakkad) IEC &amp; Printing Rs.1 Lakhs - IEC/BCC for NVHCP-( Rs .1,00,000/- Per District ( Local TV Campaign, Digital posters, Social media campaign, 1 min Advt video, animation and graphical video, FM Radio Campaign, Online news portal campaign)</t>
  </si>
  <si>
    <t>Drugs and supplies Rs. 2 Lakhs - Management of Hep A &amp; E Rs 2 Lakhs Cash Grant- 1 lakh per centre - Flexible E.g. 5000 (Diagnosis) and 95000(T/t) (for 2 treatment centres) (We already have 2 TCs (MCH Palakkad &amp; DH Palakkad).
 Others including operating costs(OOC) Rs. 1 Lakhs - Rs. 1 Lakhs for TC- Meeting Costs/Office expenses/Contingency Cash Grant- Rs 50,000/- per centre, (We already have 2 TCs (MCH Palakkad &amp; DH Palakkad). Rs. 0.039 Lakhs for Transport of Samples for viral load testing.</t>
  </si>
  <si>
    <t>Approved for 25 pair</t>
  </si>
  <si>
    <t>ASHA fixed incentive @Rs. 2000 permonth, ASHA incentive palliative care @RS.100 per month, Incentive for monthly review meeting @Rs.100 per month, On going expenses for Ward Helath Facilitation Centres @Rs. 500 per monthh per ward, ID card for ASHAs @ Rs. 100 per ASHA , District ASHA Sammelan, Mobile allowance to ASHA @Rs. 200 per month . Induction training to ASHA@Rs. 74750 pe rbatch of 30 ASHA, ASHA 9th Module training @ Rs. 42250 per batch of 30 ASHA &amp; Supplimentry training to ASHA (One ASHA from one institution ), IEC- Activity Breakup will be shared from State BCC wing.</t>
  </si>
  <si>
    <t>DH Palakkad -Amount can be booked for 
 1. Procurement of instruments
 2. Conduct of CME
 3. Books and library materials
 4. Academic ambience
 5. Registration/renewal fees for accreditation</t>
  </si>
  <si>
    <t>RCH camps, training, MH IEC-IEC- Activity Breakup will be shared from State BCC wing.</t>
  </si>
  <si>
    <t>WIFS trainings (block level) for all districts,  1 batch (40 nos. ) @Rs.5000/) * No. of health blocks (MLP-15)</t>
  </si>
  <si>
    <t xml:space="preserve">ASHA Incentive of Rs.150 per insetion of 400 cases of PPIUCD and Rs.150 per insetion of 55 cases of PAIUCD </t>
  </si>
  <si>
    <t xml:space="preserve">ASHA Incentive - Malaria 
Special anti-malarial interventions for high risk groups, for tribal population, for hard to reach areas to control and prevent resurgence of Malaria cases
Operational cost for Spray Wages in AF &amp;ARF
Operational cost for IRS
Training / Capacity Building (Malaria)  ELIMINATION
Training / Capacity Building (Malaria)  ROUTINE
IEC/BCC for Malaria
Printing of forms/registers for Malaria
Monitoring  Evaluation &amp; Supervision -Malaria
Sub-national Disease Free Certification - Malaria
</t>
  </si>
  <si>
    <t>Diagnostics - 0.68 L
 Approved Rs 0.68 Lakhs per district for drugs required for management of reaction and printing.
 ASHA incentives - 101.84 L
 1. Approved an amount of Rs 97.50 L as incentive for Incentive for search team (Rs 1000 per Volunteer) for each screening round/ village for LCDC
 2. Approved an amount of Rs 3.90 L as Incentives (field supervisors) for LCDC
 3. Approved Rs 0.08 L as Incentive for ASHA/ AWW/ Volunteer/ etc for detection of Leprosy (Rs 250 for detection of an early case before onset of any visible deformity, Rs 200 for detection of new case with visible deformity in hands, feet or eye)
 4. Approved Rs 0.08 L for ASHA Incentive for Treatment completion of PB cases (@ Rs 400)
 5. Approved Rs 0.012 L for ASHA Incentive for Treatment completion of MB cases (@ Rs 600)
 6. Approved 0.16 L for Any other ASHA incentives(Sensitisation) @ Rs 100 per ASHA
 OOC - 1.8 L
  Approved for Case Detection and Management in urban Areas</t>
  </si>
  <si>
    <t>Equipment - 0.412 L 
 1. Procurement of other equipment: NLEP- MCR
 Approved Rs 0.28 Lakhs for MCR Chappals @ Rs 400 per unit
 2. Procurement of other equipment: NLEP- Aids/Appliance
 Approved Rs 0.132 Lakhs for Self care kit @ Rs 150 per unit 
 OOC - 0.30 L
 Approved for Early detection in camps, ulcer management, and prevention of deformity</t>
  </si>
  <si>
    <t>Capacity building incl Training - 5.875 L
 1. Approved Rs 4.875 for Orientation training-Training of ASHAS in connection with LCDC
 2. Approved Rs 1 Lakh for orientation training to field level staff in connection with LCDC, District level Refresher Training of General health staff, including School health Nurse and Urban JPHNs, Training to DLO/ALO/NMS at CLTRI.
 IEC &amp; Printing - 3.323 L
 1.Approved Rs 0.88 Lakhs for Advocacy/ IEC (Rs 4000/block of urban area) in connection with LCDC.
 2. Approved Rs 1.463 Lakhs for Printing reporting formats Rs. 30/team in connection with LCDC 
 4. Approved Rs 0.98 Lakhs for District level IEC activities viz students’ awareness programme, Balamithra Programme, intersectoral sensitisation, ward level, panchayath level and block level campaigns
 Planning &amp; M &amp; E - 3.048 L
 1.Office operation &amp; Maintenance - District Cell @ Rs 0.20 Lakhs
 2. District Cell – Consumables@ Rs 0.20 Lakhs
 3. Mobility Support District cell @ 1 Lakh/district
 4. Travel cost for Regular staff- 0.50 Lakh for district
 5. Approved Rs 0.488 Lakhs for Logistics Rs.10/ team in connection with LCDC.
 6. Approved Rs 0.66 Lakhs for Supervision and monitoring @ Rs 3000 per block in connection with LCDC</t>
  </si>
  <si>
    <t>Drugs and supplies Rs. 3 Lakhs - Management of Hep A &amp; E Rs 3 Lakhs Cash Grant- 1 lakh per centre - Flexible E.g. 5000 (Diagnosis) and 95000(T/t) (for3 treatment centres) (We already have 3 TCs (MCH Malappuram, DH Peruthalmanna &amp; DH Tirur) Others including operating costs(OOC) Rs. 1.539 Lakhs -Rs. 1.5 Lakhs for TC- Meeting Costs/Office expenses/Contingency Cash Grant- Rs 50,000/- per centre, (We already have 3 TCs (MCH Malappuram, DH Peruthalmanna &amp; DH Tirur)  Rs. 0.039 Lakhs for Transport of Samples for viral load testing.</t>
  </si>
  <si>
    <t xml:space="preserve">Maintenance, POL &amp; Insurance of existing Mobile Ophthalmic unit @ Rs 2 Lakhs each </t>
  </si>
  <si>
    <t>RCH camps, training, MH IEC- Activity Breakup will be shared from State BCC wing.</t>
  </si>
  <si>
    <t>WIFS trainings (block level) for all districts,  1 batch (40 nos. ) @Rs.5000/) * No. of health blocks (KKD-16)</t>
  </si>
  <si>
    <t xml:space="preserve">ASHA Incentive of Rs.150 per insetion of 175 cases of PPIUCD and Rs.150 per insetion of 35 cases of PAIUCD </t>
  </si>
  <si>
    <t>Diagnostics - 0.68 L
 Approved Rs 0.68 Lakhs per district for drugs required for management of reaction and printing.
 ASHA incentives - 79.262 L
 1. Approved an amount of Rs 75.88 L as incentive for Incentive for search team (Rs 1000 per Volunteer) for each screening round/ village for LCDC
 2. Approved an amount of Rs 3.184 L as Incentives (field supervisors) for LCDC
 3. Approved Rs 0.04 L as Incentive for ASHA/ AWW/ Volunteer/ etc for detection of Leprosy (Rs 250 for detection of an early case before onset of any visible deformity, Rs 200 for detection of new case with visible deformity in hands, feet or eye)
 4. Approved Rs 0.02 L for ASHA Incentive for Treatment completion of PB cases (@ Rs 400)
 5. Approved Rs 0.018 L for ASHA Incentive for Treatment completion of MB cases (@ Rs 600)
 6. Approved 0.12 L for Any other ASHA incentives(Sensitisation) @ Rs 100 per ASHA
 OOC - 1.5 L:
 Approved for Case Detection and Management in urban Areas</t>
  </si>
  <si>
    <t>Equipment - 0.312 L 
 1. Procurement of other equipment: NLEP- MCR
 Approved Rs 0.24 Lakhs for MCR Chappals @ Rs 400 per unit
 2. Procurement of other equipment: NLEP- Aids/Appliance
 Approved Rs 0.072 Lakhs for Self care kit @ Rs 150 per unit 
 OOC - 0.30 L
 Approved for Early detection in camps, ulcer management, and prevention of deformity</t>
  </si>
  <si>
    <t>Capacity building incl Training - 4.79 L
 1. Approved Rs 3.794 L for Orientation training-Training of ASHAS in connection with LCDC
 2. Approved Rs 1 Lakh for orientation training to field level staff in connection with LCDC, District level Refresher Training of General health staff, including School health Nurse and Urban JPHNs, Training to DLO/ALO/NMS at CLTRI.
 IEC &amp; Printing - 2.878 L
 1.Approved Rs 0.76 Lakhs for Advocacy/ IEC (Rs 4000/block of urban area) in connection with LCDC.
 2. Approved Rs 1.138 Lakhs for Printing reporting formats Rs. 30/team in connection with LCDC 
 4. Approved Rs 0.98 Lakhs for District level IEC activities viz students’ awareness programme, Balamithra Programme, intersectoral sensitisation, ward level, panchayath level and block level campaigns
 Planning &amp; M &amp; E - 2.849 L
 1.Office operation &amp; Maintenance - District Cell @ Rs 0.20 Lakhs
 2. District Cell – Consumables@ Rs 0.20 Lakhs
 3. Mobility Support District cell @ 1 Lakh/district
 4. Travel cost for Regular staff- 0.50 Lakh for district
 5. Approved Rs 0.379 Lakhs for Logistics Rs.10/ team in connection with LCDC.
 6. Approved Rs 0.57 Lakhs for Supervision and monitoring @ Rs 3000 per block in connection with LCDC</t>
  </si>
  <si>
    <t>Others including operating costs(OOC) Rs. 2.4 Lakhs (Rs. 2.4 Lakhs Incentives for Peer Educators under NVHCP Rs 10,000/- per month (We already have 2 TCs (MCH Kozhikkode &amp; GH Kozhikkode) and planing to convert 1 TC (MCH Kozhikkode to TC for the current financial year, 2022-23 IEC &amp; Printing Rs. 1 Lakhs - IEC/BCC for NVHCP-( Rs .1,00,000/- Per District and Rs.20,00,000 for State Level activities ( Local TV Campaign, Digital posters, Social media campaign, 1 min Advt video, animation and graphical video, FM Radio Campaign, Online news portal campaign)</t>
  </si>
  <si>
    <t>Others including operating costs(OOC)Rs. 3 Lakhs - Meeting Costs/Office expenses/Contingency (photocopy, internet/communication/ Printing M &amp; E tools/ Tablets for M &amp; E if needed) etc) Cash Grant- Rs 3 lakhs per center (TA/DA as per state norms; contingency cost including postage, photocopy paper, stationary, internet etc) (We already have 2 TCs (MCH Kozhikkode &amp; GH Kozhikkode) and planing to convert 1 TC (MCH Kozhikkode to MTC for the current financial year, 2022-23</t>
  </si>
  <si>
    <t>Drugs and supplies Rs. 1 Lakhs - Management of Hep A &amp; E Rs 1 Lakhs Cash Grant- 1 lakh per centre - Flexible E.g. 5000 (Diagnosis) and 95000(T/t) (for 1 treatment centres) (We already have 2 TCs (MCH Kozhikkode &amp; GH Kozhikkode) and planing to convert 1 TC (MCH Kozhikkode to MTC for the current financial year, 2022-23 Others including operating costs(OOC) Rs. 1.539 Lakhs - Rs. 1 Lakhs for MTC - Management of Hep A &amp; E (Cash Grant- 1 lakh per centre Cash Grant- 1 lakh per centre - Flexible E.g. 5000 (Diagnosis) and 95000(T/t)(We already have 2 TCs (MCH Kozhikkode &amp; GH Kozhikkode) and planing to convert 1 TC (MCH Kozhikkode to MTC for the current financial year, 2022-23  Rs. 0.5 Lakhs for TC- Meeting Costs/Office expenses/Contingency Cash Grant- Rs 50,000/- per centre, (We already have 2 TCs (MCH Kozhikkode &amp; GH Kozhikkode) and planing to convert 1 TC (MCH Kozhikkode to MTC for the current financial year, 2022-23  Rs. 0.039 Lakhs for Transport of Samples for viral load testing.</t>
  </si>
  <si>
    <t>Approved for 110 pair</t>
  </si>
  <si>
    <t>MHC Kozhikode -Amount can be booked for 
 1. Procurement of instruments
 2. Conduct of CME
 3. Books and library materials
 4. Academic ambience
 5. Registration/renewal fees for accreditation</t>
  </si>
  <si>
    <t>RCH camps, training, MH IEC. IEC- Activity Breakup will be shared from State BCC wing.</t>
  </si>
  <si>
    <t>WIFS trainings (block level) for all districts,  1 batch (40 nos. ) @Rs.5000/) * No. of health blocks (WYD - 5)</t>
  </si>
  <si>
    <t xml:space="preserve">ASHA Incentive of Rs.150 per insetion of 250 cases of PPIUCD and Rs.150 per insetion of 30 cases of PAIUCD </t>
  </si>
  <si>
    <t xml:space="preserve">ASHA Incentive - Malaria 
Special anti-malarial interventions for high risk groups, for tribal population, for hard to reach areas to control and prevent resurgence of Malaria cases
Operational cost for Spray Wages in AF &amp;ARF
Operational cost for IRS
Training / Capacity Building (Malaria)  ROUTINE
IEC/BCC for Malaria
Printing of forms/registers for Malaria
Monitoring  Evaluation &amp; Supervision -Malaria
Sub-national Disease Free Certification - Malaria
</t>
  </si>
  <si>
    <t xml:space="preserve">Consumables
Training / Capacity Building Training MOS etc 
Training / Capacity Building-paramedical workers &amp; LTs
IEC/BCC for Social mobilization (Dengue and Chikungunya)
Printing of forms/registers for Lymphatic Filariasis
MF Survey non Endemic Districts
Lymphatic Filariasis: Morbidity Management
No. of cases for Morbidity management (@Rs. 500)
Funds Morbidity management (@Rs. 500)
Repairs &amp; Maintenance of  Microscopes
Monitoring, Evaluation &amp; Supervision &amp; Epidemic preparedness - Mobility Only
Mobility for ELF Monitoring of MDA tas and MMDP
Monitoring &amp; Supervision -LF
</t>
  </si>
  <si>
    <t>Diagnostics - 0.68 L
 Approved Rs 0.68 Lakhs per district for drugs required for management of reaction and printing.
 ASHA incentives - 82.971 L
 1. Approved an amount of Rs 79.66 L as incentive for Incentive for search team (Rs 1000 per Volunteer) for each screening round/ village for LCDC
 2. Approved an amount of Rs 3.188 L as Incentives (field supervisors) for LCDC
 3. Approved Rs 0.025 L as Incentive for ASHA/ AWW/ Volunteer/ etc for detection of Leprosy (Rs 250 for detection of an early case before onset of any visible deformity, Rs 200 for detection of new case with visible deformity in hands, feet or eye)
 4. Approved Rs 0.02 L for ASHA Incentive for Treatment completion of PB cases (@ Rs 400)
 5. Approved Rs 0.018 L for ASHA Incentive for Treatment completion of MB cases (@ Rs 600)
 6. Approved 0.06 L for Any other ASHA incentives(Sensitisation) @ Rs 100 per ASHA
 OOC - 0.15 L
  Approved for Case Detection and Management in urban Areas</t>
  </si>
  <si>
    <t>Equipment - 0.108 L 
 1. Procurement of other equipment: NLEP- MCR
 Approved Rs 0.06 Lakhs for MCR Chappals @ Rs 400 per unit
 2. Procurement of other equipment: NLEP- Aids/Appliance
 Approved Rs 0.048 Lakhs for Self care kit @ Rs 150 per unit 
 OOC - 0.30 L
 Approved for Early detection in camps, ulcer management, and prevention of deformity</t>
  </si>
  <si>
    <t>Capacity building incl Training - 4.983 L
 1. Approved Rs 3.983 L for Orientation training-Training of ASHAS in connection with LCDC
 2. Approved Rs 1 Lakh for orientation training to field level staff in connection with LCDC, District level Refresher Training of General health staff, including School health Nurse and Urban JPHNs, Training to DLO/ALO/NMS at CLTRI.
 IEC &amp; Printing - 2.935 L
 1.Approved Rs 0.76 Lakhs for Advocacy/ IEC (Rs 4000/block of urban area) in connection with LCDC.
 2. Approved Rs 1.195 Lakhs for Printing reporting formats Rs. 30/team in connection with LCDC 
 4. Approved Rs 0.98 Lakhs for District level IEC activities viz students’ awareness programme, Balamithra Programme, intersectoral sensitisation, ward level, panchayath level and block level campaigns
 Planning &amp; M &amp; E - 2.868 L
 1.Office operation &amp; Maintenance - District Cell @ Rs 0.20 Lakhs
 2. District Cell – Consumables@ Rs 0.20 Lakhs
 3. Mobility Support District cell @ 1 Lakh/district
 4. Travel cost for Regular staff- 0.50 Lakh for district
 5. Approved Rs 0.398 Lakhs for Logistics Rs.10/ team in connection with LCDC.
 6. Approved Rs 0.57 Lakhs for Supervision and monitoring @ Rs 3000 per block in connection with LCDC</t>
  </si>
  <si>
    <t>Others including operating costs(OOC) Rs. 2.4 Lakhs (Rs. 2.4 Lakhs Incentives for Peer Educators under NVHCP Rs 10,000/- per month (We already have 1TCs (GH Kalpatta) and planing to start 1 TC (THQH Sulthanbathery) for the current financial year, 2022-23 IEC &amp; Printing Rs. 1 Lakhs - IEC/BCC for NVHCP-( Rs .1,00,000/- Per District and Rs.20,00,000 for State Level activities ( Local TV Campaign, Digital posters, Social media campaign, 1 min Advt video, animation and graphical video, FM Radio Campaign, Online news portal campaign)</t>
  </si>
  <si>
    <t>Drugs and supplies Rs.2 Lakhs - Management of Hep A &amp; E Rs 2 Lakhs Cash Grant- 1 lakh per centre - Flexible E.g. 5000 (Diagnosis) and 95000(T/t)(We already have 1TCs (GH Kalpatta) and planing to start 1 TC (THQH Sulthanbathery) Others including operating costs(OOC) Rs. 1.039 Lakhs - Rs.1 Lakhs for TC- Meeting Costs/Office expenses/Contingency Cash Grant- Rs 50,000/- per centre, (We already have 1TCs (GH Kalpatta) and planing to start 1 TC (THQH Sulthanbathery) . Rs. 0.039 Lakhs for Transport of Samples for viral load testing.</t>
  </si>
  <si>
    <t>Maintenance, POL &amp; Insurance of existing Mobile Ophthalmic unit @ Rs 2 Lakhs each .</t>
  </si>
  <si>
    <t>RCH camps, training, MH- IEC- Activity Breakup will be shared from State BCC wing.</t>
  </si>
  <si>
    <t>WIFS trainings (block level) for all districts,  1 batch (40 nos. ) @Rs.5000/) * No. of health blocks (KNR -13)</t>
  </si>
  <si>
    <t xml:space="preserve">ASHA Incentive of Rs.150 per insetion of 175 cases of PPIUCD and Rs.150 per insetion of 30 cases of PAIUCD </t>
  </si>
  <si>
    <t xml:space="preserve">Dengue &amp; Chikungunya: Vector Control,  environmental management &amp; fogging machine
Procurement of Biomedical and other Equipment: NVBDCP – Logistic for Entomological lab Strengthening and others under MCVR
Procurement of Biomedical and other Equipment: NVBDCP – Logistic for Entomological lab Strengthening and others under MCVR
Training / Capacity Building (DG CG)  ROUTINE
IEC/BCC for Social mobilization (Dengue and Chikungunya)
Dg. CG Fever Case Management
Monitoring , Supervision &amp; Rapid Response-DG/CG
Epidemic Preparedness
</t>
  </si>
  <si>
    <t>Diagnostics - 0.68 L
 Approved Rs 0.68 Lakhs per district for drugs required for management of reaction and printing.
 ASHA incentives - 52.154 L
 1. Approved an amount of Rs 49.90 L as incentive for Incentive for search team (Rs 1000 per Volunteer) for each screening round/ village for LCDC
 2. Approved an amount of Rs 1.996 L as Incentives (field supervisors) for LCDC
 3. Approved Rs 0.04 L as Incentive for ASHA/ AWW/ Volunteer/ etc for detection of Leprosy (Rs 250 for detection of an early case before onset of any visible deformity, Rs 200 for detection of new case with visible deformity in hands, feet or eye)
 4. Approved Rs 0.06 L for ASHA Incentive for Treatment completion of PB cases (@ Rs 400)
 5. Approved Rs 0.018 L for ASHA Incentive for Treatment completion of MB cases (@ Rs 600)
 6. Approved 0.14 L for Any other ASHA incentives(Sensitisation) @ Rs 100 per ASHA
 OOC - 0.9 L: Approved for Case Detection and Management in urban Areas</t>
  </si>
  <si>
    <t>Capacity building incl Training - 3.495 L
 1. Approved Rs 2.495 L for Orientation training-Training of ASHAS in connection with LCDC
 2. Approved Rs 1 Lakh for orientation training to field level staff in connection with LCDC, District level Refresher Training of General health staff, including School health Nurse and Urban JPHNs, Training to DLO/ALO/NMS at CLTRI.
 IEC &amp; Printing - 2.689 L
 1.Approved Rs 0.96 Lakhs for Advocacy/ IEC (Rs 4000/block of urban area) in connection with LCDC.
 2. Approved Rs 0.749 Lakhs for Printing reporting formats Rs. 30/team in connection with LCDC 
 4. Approved Rs 0.98 Lakhs for District level IEC activities viz students’ awareness programme, Balamithra Programme, intersectoral sensitisation, ward level, panchayath level and block level campaigns
 Planning &amp; M &amp; E - 2.870 L
 1.Office operation &amp; Maintenance - District Cell @ Rs 0.20 Lakhs
 2. District Cell – Consumables@ Rs 0.20 Lakhs
 3. Mobility Support District cell @ 1 Lakh/ district
 4. Travel cost for Regular staff- 0.50 Lakh for district
 5. Approved Rs 0.25 Lakhs for Logistics Rs.10/ team in connection with LCDC.
 6. Approved Rs 0.72 Lakhs for Supervision and monitoring @ Rs 3000 per block in connection with LCDC</t>
  </si>
  <si>
    <t>Others including operating costs(OOC) Rs. 2.4 Lakhs (Rs. 2.4Lakhs Incentives for Peer Educators under NVHCP Rs 10,000/- per month (We already have 2 TCs (MCH Kannur &amp; DH Kannur),
 IEC &amp; Printing Rs. 1 Lakhs - IEC/BCC for NVHCP-( Rs .1,00,000/- Per District and Rs.20,00,000 for State Level activities ( Local TV Campaign, Digital posters, Social media campaign, 1 min Advt video, animation and graphical video, FM Radio Campaign, Online news portal campaign)</t>
  </si>
  <si>
    <t>Drugs and supplies Rs. 2 Lakhs - Management of Hep A &amp; E Rs 2 Lakhs Cash Grant- 1 lakh per centre - Flexible E.g. 5000 (Diagnosis) and 95000(T/t) (for 2 treatment centres) (MCH Kannur &amp; DH Kannur)
 Others including operating costs(OOC) Rs. 1.039 Lakhs - Rs. 1 Lakhs for TC- Meeting Costs/Office expenses/Contingency Cash Grant- Rs 50,000/- per centre, (We already have 2 TCs (MCH Kannur &amp; DH Kannur)
  Rs. 0.039 Lakhs for Transport of Samples for viral load testing.</t>
  </si>
  <si>
    <t>Approved for 350 cases@ Rs 2000 per case</t>
  </si>
  <si>
    <t>DH Kannur -Amount can be booked for 
 1. Procurement of instruments
 2. Conduct of CME
 3. Books and library materials
 4. Academic ambience
 5. Registration/renewal fees for accreditation</t>
  </si>
  <si>
    <t>WIFS trainings (block level) for all districts,  1 batch (40 nos. ) @Rs.5000/) * No. of health blocks (KSD -9)</t>
  </si>
  <si>
    <t xml:space="preserve">ASHA Incentive of Rs.150 per insetion of 200cases of PPIUCD and Rs.150 per insetion of 35 cases of PAIUCD </t>
  </si>
  <si>
    <t xml:space="preserve">Dengue &amp; Chikungunya: Vector Control,  environmental management &amp; fogging machine
Procurement of Biomedical and other Equipment: NVBDCP – Logistic for Entomological lab Strengthening and others under MCVR
Training / Capacity Building (DG CG)  ROUTINE
IEC/BCC for Social mobilization (Dengue and Chikungunya)
Dg. CG Fever Case Management
Monitoring , Supervision &amp; Rapid Response-DG/CG
Epidemic Preparedness
</t>
  </si>
  <si>
    <t>Diagnostics - 0.68 L
 Approved Rs 0.68 Lakhs per district for drugs required for management of reaction and printing.
 ASHA incentives - 28.434 L
 1. Approved an amount of Rs 27.22 L as incentive for Incentive for search team (Rs 1000 per Volunteer) for each screening round/ village for LCDC
 2. Approved an amount of Rs 1.088 L as Incentives (field supervisors) for LCDC
 3. Approved Rs 0.02 L as Incentive for ASHA/ AWW/ Volunteer/ etc for detection of Leprosy (Rs 250 for detection of an early case before onset of any visible deformity, Rs 200 for detection of new case with visible deformity in hands, feet or eye)
 4. Approved Rs 0.02 L for ASHA Incentive for Treatment completion of PB cases (@ Rs 400)
 5. Approved Rs 0.006 L for ASHA Incentive for Treatment completion of MB cases (@ Rs 600)
 6. Approved 0.08 L for Any other ASHA incentives(Sensitisation) @ Rs 100 per ASHA
 OOC - 0.3 L: Approved for Case Detection and Management in urban Areas</t>
  </si>
  <si>
    <t>Equipment - 0.26 L 
 1. Procurement of other equipment: NLEP- MCR
 Approved Rs 0.2 Lakhs for MCR Chappals @ Rs 400 per unit
 2. Procurement of other equipment: NLEP- Aids/Appliance
 Approved Rs 0.06 Lakhs for Self care kit @ Rs 150 per unit 
 OOC - 0.30 L
 Approved for Early detection in camps, ulcer management, and prevention of deformity</t>
  </si>
  <si>
    <t>Capacity building incl Training - 2.361 L
 1. Approved Rs 1.361 L for Orientation training-Training of ASHAS in connection with LCDC
 2. Approved Rs 1 Lakh for orientation training to field level staff in connection with LCDC, District level Refresher Training of General health staff, including School health Nurse and Urban JPHNs, Training to DLO/ALO/NMS at CLTRI.
 IEC &amp; Printing - 1.788 L
 1.Approved Rs 0.40 Lakhs for Advocacy/ IEC (Rs 4000/block of urban area) in connection with LCDC.
 2. Approved Rs 0.408 Lakhs for Printing reporting formats Rs. 30/team in connection with LCDC 
 4. Approved Rs 0.98 Lakhs for District level IEC activities viz students’ awareness programme, Balamithra Programme, intersectoral sensitisation, ward level, panchayath level and block level campaigns
 Planning &amp; M &amp; E - 2.336 L
 1.Office operation &amp; Maintenance - District Cell @ Rs 0.20 Lakhs
 2. District Cell – Consumables@ Rs 0.20 Lakhs
 3. Mobility Support District cell @ 1 Lakh/district
 4. Travel cost for Regular staff- 0.50 Lakh for district
 5. Approved Rs 0.136 Lakhs for Logistics Rs.10/ team in connection with LCDC.
 6. Approved Rs 0.3 Lakhs for Supervision and monitoring @ Rs 3000 per block in connection with LCDC</t>
  </si>
  <si>
    <t>Others including operating costs(OOC) Rs. 1.2 Lakhs (Rs. 1.2 Lakhs Incentives for Peer Educators under NVHCP Rs 10,000/- per month (We already have 1 TC (GH Kasaragode),  IEC &amp; Printing Rs. 1 Lakhs - IEC/BCC for NVHCP-( Rs .1,00,000/- Per District ( Local TV Campaign, Digital posters, Social media campaign, 1 min Advt video, animation and graphical video, FM Radio Campaign, Online news portal campaign)</t>
  </si>
  <si>
    <t>Drugs and supplies Rs. 1 Lakhs - Management of Hep A &amp; E Rs 1 Lakhs Cash Grant- 1 lakh per centre - Flexible E.g. 5000 (Diagnosis) and 95000(T/t) (for1 treatment centres) (We already have 1 TC GH Kasaragode
 ) Others including operating costs(OOC) Rs. 0.539 Lakhs - Rs. 0.5 Lakhs for TC- Meeting Costs/Office expenses/Contingency Cash Grant- Rs 50,000/- per centre, (We already have 1 TCs (GH Kasaragode).
  Rs. 0.039 Lakhs for Transport of Samples for viral load testing (</t>
  </si>
  <si>
    <t>1.  Training of PHC Mos/ SN / Para medical workers under NMHP (Aswasam, ammamanasu, urban mental health) Rs. 5.5 Lakhs 3. OOC - (a) implementation of sampoorna Manasika arogyam 0.46 L/FHC b. Tribal Mental Health interventions 0.2 L/Camp c. Mental Health Interventions in Coastal Areas 0.2 L/camp d. Workplace Intervention in Rs. 0.05 L/ institutions . 4. Ambulatory services @ Rs.4 L per district 5. IEC activities @ Rs.4 L per district 5. Rs.6 L/ day care centres financial support DMHP vehicle hiring, operational expenses, for misc ./travel expenses for operational expenses of the dist centre Rs. 5.55 L x 14 Districts</t>
  </si>
  <si>
    <t xml:space="preserve">Innovation to conduct multispeciality comprehensive geriatric assessment camp Rs. 0.10/ Old Age Homes. Innovation to conduct multispeciality comprehensive geriatric assessment camp Rs. 0.10/ Old Age Homes2.  Dementia Clinics Infrastrucre, Equipment and Camp
</t>
  </si>
  <si>
    <t>ASHA fixed incentive @Rs. 2000 permonth, ASHA incentive palliative care @RS.100 per month, Incentive for monthly review meeting @Rs.100 per month, On going  expenses for  Ward Helath Facilitation Centres @Rs. 500 per monthh per ward, ID card for ASHAs @ Rs. 100 per ASHA , District ASHA Sammelan, Mobile allowance to ASHA @Rs. 200 per month . Induction training to ASHA@Rs. 74750 pe rbatch of 30 ASHA, ASHA 9th Module training @ Rs. 42250 per batch of 30 ASHA &amp; Supplimentry training to ASHA (One ASHA from one institution ) , IEC- Activity Breakup will be shared from State BCC wing.</t>
  </si>
  <si>
    <t xml:space="preserve">NUHM  Mobile Medical Units (MMU) / Mobile Health Units (MHU) Operational cost of @ Rs.50000/- And other/Endosulfan MMUs
</t>
  </si>
  <si>
    <t>Annexure - 1: Budgeting format for FY 2022-23</t>
  </si>
  <si>
    <t>1) Rs. 33 lakhs has been proposed for printing HMIS formats ie HMIS data entry formats both Monthly and Infrastructure data as well as HMIS Data elements /Indicators definitions for all public health institutions in each districts.</t>
  </si>
  <si>
    <t>2)  Rs. 1 lakh is proposed for printing HMIS factsheet which should be printed quarterly (4 Quarters) at the cost of Rs. 250/-.</t>
  </si>
  <si>
    <t>Drugs - 
Calcium tablet - 707.12 L
Other JSSK drugs &amp; consumables - 1179,54 L
OOC - Rs.3.31 L for line listing and follow up of severely anemic women, Rs.14 L for line listing of women with blood disorders, rs.7 L for follow up of severely anaemic women and follow up of treatment
Committed - Rs.365.88 L for drugs</t>
  </si>
  <si>
    <t>Training - MDR training - Rs.2.52 L;
Printing of MDR formats - 0.25 L;
MDR of all maternal deaths - rs.5.36 L</t>
  </si>
  <si>
    <t>Equipments - Rs.0.4 L - for comprehensive abortion care equipments
Rs.1.73 L for TOT on safe abortion services, State level training for Gynaecologists @ Rs.34650/- for 5 batches; Rs.6.42 L for Dist level training for MOs in Safe abortion - 1 batch per dist @ Rs.45750/-</t>
  </si>
  <si>
    <t>Rs.1.73 L for TOT for SBA - State level training for gynaecologists Rs.34650/batch for 5 batches;
Rs.1.73 L for TOT for EmOC - State level training for gynaecologists Rs.34650/batch for 5 batches;
Rs.1.73 L for TOT for BmOC - State level training for gynaecologists Rs.34650/batch for 5 batches;
Rs.1.21 L for TOT for Dakshatha - STate level training for Gynaecologists;</t>
  </si>
  <si>
    <t>CDR regional and state ToT training @ Rs.7 lakh</t>
  </si>
  <si>
    <t>Operational cost for PPI campaign</t>
  </si>
  <si>
    <t xml:space="preserve">Operational cost for evin
Rs.71.76 lakhs for Data sim card for TL
Rs.28 L for replacement of TL
training - 15.45 L -
Dist level - 12.95 L, State level 2.5 L
</t>
  </si>
  <si>
    <t>Refresher Training of counsellors  for 3 days  (2 batches) Rs.1.50 lakhs / batch</t>
  </si>
  <si>
    <t>DBT - 1.4 L injectiable contraceptive incentives for beneficiaries @ Rs100 / dose/beneficiary
Training - 15 L
Rs.1 L for TOT on ANTARA
Rs.7 L for training of MO - ANTARA
Rs.7 L for training of SN
ASHA incentives - Rs.2.8 L for ASHA incentives for accompanying the client for ANTARA program</t>
  </si>
  <si>
    <t>DBT - 112.20 L for 374 cases @ Rs.30000/case</t>
  </si>
  <si>
    <t>IEC &amp; Printing - 60.47 L
Rs.43.57 L for IEC &amp; promotional activities for World Population day celebration, 
Rs.16.90 L for IEC &amp; promotional activities for Vasectomy fortnight celebration 
Planning &amp; M &amp; E - Rs.17.85 L 
Rs.2.60 L for district level PM activities for world Population day celebrations
Rs.1 L for district level PM activities for Vasectomy day celebrations
Rs.1 L for block  level PM activities for world Population day celebrations
Rs.13.25 L for block level PM activities for Vasectomy day celebrations</t>
  </si>
  <si>
    <t>2 rounds of NDD;
Drugs - 400.92 L - Procurement of drugs-All albendazole procurement;
Training - 83.20 L - Orientation of Nodal teacher, field staff and Anganwadi workers @ Rs.50/- for 83196 participants;
ASHA incentives - 52.89 L @ Rs.100/- for mobilisation of children for 26443 ASHAs;
Printing - IEC material and reporting format Rs.44 lakhs - @ Rs.1.5 L per district and rs.1 L for staff level for one round of NDD - totally 2 rounds</t>
  </si>
  <si>
    <t>Infra - 90 L for new NRC at W &amp; C Hospital Palakkad
ASHA incentives - 0.405 L
Incentives for referral of SAM cases to NRC and for follow up on discharge
OOC - 12 L
For operating expenses at 4 NRCs - 3 at palakkad and 1 at Wayanad @ Rs.3 L</t>
  </si>
  <si>
    <t>Rs.97.57 L for drugs - procurement of Vit A - @ Rs.108/- for 90346 bottles
Committed - Rs.53.95 L for drugs</t>
  </si>
  <si>
    <t>Rs.105.77 L - ASHA incentives - proposed for 26443 ASHAs @ Rs.400/-</t>
  </si>
  <si>
    <t>Infra - Rs.244.95 L
Proposed 23 new LMU @ Rs.10,65,000/- to be established ina ll SNCUs except GH Ernakulam
Diagnostics - Rs.4.98 L for consumables,m stationeries and euqipment maintenance for 2 CLMCs @ Rs.2.49 L</t>
  </si>
  <si>
    <t xml:space="preserve">Drugs &amp; Supplies Rs.83.21 L - Procurement of ORS - 75 L and zinc - 8.21 L
ASHA incentives - 26.44 L @ Rs.100/ASHA for IDCF campaign
IEC &amp; Printing - 10.5 L - Printing of IEC material and monitoring format for IDCF @ Rs.75000/dist
</t>
  </si>
  <si>
    <t xml:space="preserve">DRUGS AND SUPPLIES- Rs.1.26 L
-        Central supplies (Kind grants) (To be provided by the PDs
-        Inj. Quinine (80 x Rs.25 =Rs. 0.02 L) and Inj. Artesunate(200 x Rs.240= Rs.0.48 L)
-        Total of Rs.0.50 Lakhs
-        Budget for Procurement done by States
-        Tab. Chloroquine-Rs.0.06L(A total of 500 malaria cases expected out of which 60% would be Pl vivax) and hence 3000 tabs needed @ Rs.2.0 and thus total Rs.0.06L may be needed.
-        Tab.Primaquine-7.5 mg- Rs.0.20 L (about 8400 tabs for Pv cases and 1200 tabs for Pf cases and thus total 10000 tabs needed) &amp; an amount of Rs.0.20 L @ Rs.2 x 10000 may be needed
-        ACT adult blister packs- Rs.0.5 L (200 packets may be needed and Rs.0.5 L @ Rs.250x200)
-        A grant total of Rs.0.76 L needed
DIAGNOSTICS (Consumables, PPP, Sample Transport)- Rs.46.907 Lakhs
 For screening of Malaria, about 40 lakhs of blood slides and lancets are needed. Half will be procured through state plan fund and half through Central fund. 
About 20 Lakhs each of Micro slides and Lancets are needed for which a total of Rs. 26.0 Lakhs may be needed (Rs.80.0/100 slides and Rs.50.0/100 lancets and thus Rs.16.0 L and Rs.10.0 L respectively). 
Also, funds are needed for purchase of Giemsa stain-157.5 L @ Rs. 350/125 ml.
Thus a grant total of Rs.30.41 L is needed
For Malaria testing at hard to reach areas or where vulnerable population is present, utilization of rapid test kits (bivalent) is to be made available. Around 91,650 RDT kits @Rs. 18/- are to be procured for the year 2022-23 (500 ASHAs trained for doing RDT @ 100 Tests/ASHA &amp; thus total 50000 tests are needed; 41650 tests will be done in migrant sites). 
The amount needed is Rs.16.497 L.
Grant total of Rs.46.907 Lakhs 
TRAINING AND CAPACITY BUILDING- Rs.53.26LAKHS
District level training; about 235 batches @ Rs.18000/batch of different categories of staff including Doctors, Field supervisors, field staff, LTs, Staff Nurses and ASHAs would be trained on malaria elimination.
 Newly appointed MOs 49 batches @ Rs.20000/batch also would be trained separately. Two batches of state level training also planned for district level officers @ Rs.35000/batch
A total of Rs.53.26 Lakhs may be needed
ASHA incentives- Rs.7.51875 Lakhs
500 ASHAs will be trained for doing RDT and 100 test/ASHA/year targeted; incentive Rs.15/test and 25 pos cases (5% of total expected 500 pos cases) are expected to be detected for which RS. 75.0/pos cases as additional incentive.
OTHERS INCLUDING OPERATING COSTS (OOC)- Rs.28.346 L
Special anti-malarial interventions for high risk areas/groups: to control and prevent resurgence of malaria cases. 
API is less than 1/1000 in state/district/sub district levels. But in vulnerable areas like tribal, urban slums, migrant sites, random survey will be conducted for detection of any active cases, active foci or non-active residual foci which is missed by any chance. A total amount of Rs.6 lakhs is proposed @ 0.25-0.5Lakh/district based on disease status, active foci, active residual foci &amp;other high risk areas (@ Rs.0.25 L for 4 small districts viz. PTA, IDK, WND &amp; KTM&amp; Rs.0.5 L for 10 remaining districts).
Operational cost for larviciding including Spray wages –Rs.5.846 L
A total of 30 (1 active focus and 29 non active residual foci) foci were identified over 8 districts for the past 3 years. For control of Anopheles larval breeding, larvicides like temephos, or bio larvicides like Bti are to be sprayed in mosquito breeding sources. 
In one active focus, daily spray wages for 4 skilled and 4 unskilled labourers for continuous 4 days are proposed twice a year. In each non- active residual foci, daily spray wages for 4 skilled and 4 unskilled laborers for continuous 4 days are proposed @ Rs.730/- &amp; Rs.675/- respectively as per GO No. 29/2021(Fin) dt.11.02.2021 and a total of Rs.5.846 L is needed.
Operational cost for IRS including Spray wages –Rs.16.5 L
For every new case reported, focal IRS would be done in and around 50 houses. But, in active foci 2 rounds of IRS have to be done in a year. In active residual foci, 1 round IRS to be done.
For 1 round IRS, 1 skilled and 1 unskilled laborers are required for 3 days. 
[(1* Rs. 730) x 3days + (1 x Rs. 675) x 3 days +Rs. 285/- for contingencies. 
 Rs.4,500/-]
Cases for last one year were taken and 10% surge is considered.
As part of Elimination of Kala Azar, IRS is to be done (2 rounds) at Active/Residual Foci for the past 3 years
Support for implementation of NVBDCP 
1) 700 high risk wards@ Rs. 5,000/- per ward - total of Rs. 35 L
2 )  800 contingent employees  at high risk Corporation/Municipal wards with a daily wage of Rs.675/-  for 90days
IEC &amp; PRINTING-  RS.12.3 LAKHS
IEC- Rs.7.8 L
At district Level/subdistrict level, World Mosquito day observation&amp; World Malaria Day Celebration; Sensitization of LSGIs @Rs. 2500; Block Level student awareness class for school/ college students @Rs.500/-(5 Nos.in a block)&amp; for WMDs celebration @ Rs.1000/-(1 per block)
Printing- Rs.4.5 L
For printing of formats, registers and other documents for the smooth conduct of Disease Elimination activities 
PLANNING &amp; M&amp;E- RS.38.0 LAKHS
M&amp;E- Rs.38.0 L
For state/districts monitoring, supervision, prevention,control and elimination activities for malaria. 
Funds shall be utilized for procurement of IT equipment, internet charges, CUG, and furniture for offices, data entry operation in PMU.
An amount of Rs.38 L is needed @ Rs.3.0 L for 6 major districts; Rs.1.5 L for 2 small dists (PTA, IDK); Rs.2.0 L for 6 remaining districts &amp; Rs.5.0 L for state HQs.
SURVEILLANCE, RESEARCH, REVIEW, EVALUATION (SRRE)-Rs.25.0 L
Elimination certification for 5 districts- Rs.25 L
Total 5 districts viz. Pathanamthitta, Kottayam, Idukki, Alappuzha, Ernakulam are reporting zero indigenous malaria cases since 2016 and hence eligible for elimination certification as per the guidelines. An amount of Rs.25.0 L is proposed @ Rs.5.0 L/dist.
</t>
  </si>
  <si>
    <t xml:space="preserve">Training and Capacity Building- Nil
This will be done in an integrated manner using fund for other VBDs. No separate funds needed.
OTHERS INCLUDING OPERATING COSTS (OOC)- Rs.2.45 L
Surveillance for early detection of cases
Initial syndromic screening by HCWs at field level and the suspected patients tested in the case detection camps with rk39 kits and if pos,referred to Med.Colleges for conformation and treatment.
An amount of Rs.7000/dist may be used. For preparation of elimination documentation, Rs.10000/dist may be allowed. An amount of Rs.7000 may be needed at state HQs also.
Thus total Rs.2.45 L is needed.
</t>
  </si>
  <si>
    <t xml:space="preserve">DRUGS AND SUPPLIES Rs. 6.34L
-	Central supplies (Kind grants) (To be provided by the PDs) annexure show – Rs.1.44 L
GOI Supply - About 13 JE kits @ Rs.11077 may be needed and distributed to SSH lab of JE prone districts 
-	Budget for Procurement done by States 4.9L
Technical malathion was being used for fogging in Kerala for the past several years and the same is banned in Kasaragod district of Kerala as it comes under red category (due to endosulfan related issues). Resistance also noticed in Kozhikode district. Hence Cyphenothrine will be procured for the current year.
 About 700 L of Cyphenothrin @ Rs. 700/L may be needed
An amount of Rs.4.9 L is needed
DIAGNOSTICS (Consumables, PPP, Sample Transport)- Nil
TRAINING AND CAPACITY BUILDING-Rs. 3.10 Lakhs
State level Training for Major hospital Paediatricians &amp; Physicians on AES/JE treatment @ Rs,70000/-
District Level Training - 12 batches of Health Staff @ Rs.20000/-
ASHA INCENTIVES- NIL
OTHERS INCLUDING OPERATING COSTS (OOC)- Rs.1.0 L
Operational costs for malathion fogging–Rs.1 Lakh at state level for meeting expenses for any new cases being reported in any of the districts
IEC &amp; PRINTING- Rs.0.70 Lakhs
For conducting awareness classes/meetings for College students (zoology) @Rs. 2000 each to 2 colleges/district and making them to conduct study on various aspects of AES/JE in the district. For documentation Rs.1000 may be needed and thus total Rs.0.70 Lakh @Rs. 5000 /district.
PLANNING &amp; M&amp;E- RS.2.45 LAKHS
Funds proposed for program management activities like review meetings, POL charges, mobility support, monitoring visits, supervision etc . A total of Rs.2.45 L @ Rs.0.15 L/14 districts &amp; Rs.0.35 L for state HQ.
</t>
  </si>
  <si>
    <t xml:space="preserve">EQUIPMENT (Including Furniture, Excluding Computers)-Rs.16.17 L
Procurement of entomological equipment like Mechanical aspirator, Hand compression Sprayer, Dust blower etc
Amount for mechanical aspirator   @Rs. 20,000/- for 34 sprayers (30 for districts and 4 for State entomology unit)
Hand Compression Sprayer for IRS @Rs. 5,000/- for 130 numbers
Telescoping water sample dipper @Rs. 1,000/- for 62 numbers
Dust blower @ Rs.10000 for 13 numbers
Sample bottle, insect pin, long pipette with dropper, screw cap vials@ Rs.0.63L -Rs.3500/- for 18 numbers
Foldable ladder –Rs. 0.32 L @Rs. 8,000/- for 4 ladders (PKD,WND, KNR, SEU) 
DRUGS AND SUPPLIES- Rs.72.48 L
-	Central supplies (Kind grants) (To be provided by the PDs)-Rs.72.48 L
For confirmation of Dengue and Chikungunya, about 540 IgM kits for dengue and 110 MAC ELISA kits for Chikungunya is needed which will be distributed to the 38 SSH labs@ 72.48L GOI SUPPLY
For Dengue Fever testing at 38 SSH facilities including Apex Referral Lab in the state, 200 nos of Dengue Elisa test kits@Rs. 6200/96 test strips (200 kits is to be purchased from plan funds also) @12.4L
-	
-	Budget for Procurement done by States - Rs.25.20 L
-	
-	Dengue Fever testing at 38 SSH facilities including Apex Referral Lab in the state.
-	An amount of Rs.12.4 L for 200 no’s of Dengue Elisa test kits@Rs. 6200/96 test strips (200 kits is to be purchased from plan funds also)
-	An amount of Rs.12.8 L for 800L of Pyrethreum extract @ Rs.1600 per litre
DIAGNOSTICS (Consumables, PPP, Sample Transport)-Nil
TRAINING AND CAPACITY BUILDING-Rs. 7.75 LAKHS
District level training;about 35 batches @ Rs.20000/batch of different categories of staff including Doctors, Field supervisors, field staff and ASHAs would be trained on dengue management and prevention. Two batches of state level training also planned for district level officers @ Rs.37500/batch
ASHA incentives- Rs. 18.0 Lakhs
Source reduction activities planned in rural areas using ASHA (breeding checkers) @Rs.2500/ward for 720 high risk wards in rural areas.
OTHERS INCLUDING OPERATING COSTS (OOC)- Rs.28.0 Lakhs
Dengue fever case management including provision of bedside facilities for testing, clinical examination and also mosquito proofing of fever wards in hospitals. 
An amount of Rs.28.0 L @ Rs.2.0 L/dist for one to two major hospitals in 14 districts.
IEC &amp; PRINTING-  RS.17.03 LAKHS
State level IEC activities - Rs. 5.0 L for FM Radio messages- during peak epidemic season.
Anti-dengue month and National dengue day observance and Printing of treatment guidelines/protocols, books, charts, bit notices, posters, reporting formats, registers etc.
For District and Sub district level activities – Rs.11.90 L @ Rs.85000 (Rs.35000/for National Dengue day observation and @ Rs.50000 for special IEC in Dengue affected areas) for 14 districts.
 District Level sensitization training for college -Zoology students &amp; make them to conduct study on pre-monsoon, monsoon&amp; post monsoon Aedes index and other aspects,
An amount of Rs.0.84 Lakhs @ Rs.6000 for 14 districts (minimum 2 colleges per district @Rs.2000/college for sensitization and Rs.2000 for 14 district for other contingencies including documentation.
PLANNING &amp; M&amp;E- RS.49.75 LAKHS
PLANNING- RS.8.75 L
Funds may be utilized for premonsoon cleaning campaigns, source reduction activities, coordination meetings, procurement of essentials, arranging mobile teams, breeding checkers only for outbreak periods, hiring of vehicles at local level, any other activity related to the epidemic preparedness. A total amount of Rs.8.75 L @ Rs.0.75L to 7 major districts and Rs.0.5L to remaining 7 districts.
M&amp;E- RS.41.0 L
For program management activities like mobility support, sample transportation, review meetings, monitoring visits and supervision, Procurement of IT equipment, internet charges, data entry operation in PMU etc . A total of Rs.41.0 L @ Rs.3.0 L for 8 major dists; Rs.2.0 L for 6 remaining dists; Rs.5.0 L for state HQ,
SURVEILLANCE, RESEARCH, REVIEW, EVALUATION… (SRRE)-Rs.41.0 L
For Apex Referral Lab Rs. 3.0 L is needed.
There are 38 SSH labs and an amount of Rs.38.0 L @ Rs.1.0 L/SSH Lab is needed.
</t>
  </si>
  <si>
    <t xml:space="preserve">DRUGS AND SUPPLIES
-        Central supplies (Kind grants) (To be provided by the PDs)
GOI Supply 
Kerala stopped MDA in 2019 and TAS-I is planned in two districts of Palakkad &amp; Malappuram. Tab. DEC is needed for Mf Positives detected among migrants/other vulnerable groups. Migrant MDA is also to be done at migrant camp sites.
Rs.0.38 L for 200000 Lakhs DEC tabs @ Rs.0.19
WHO Supply 
Kerala stopped MDA in 2019 and TAS-I is planned in two districts of PKD &amp; MPM.Around 50000 Tab. Albandazole is needed for Mf Positives detected among migrants/other vulnerable groups. Migrant MDA is also to be done at migrant camp sites.
-        Budget for Procurement done by States-Rs.31.0 Lakhs
Temephos, Bti (AS) / Bti (wp) for polluted &amp; non polluted water-Rs.31.0 L
For larvicidal operations, Temiphos liquid/granules are needed 700L @ Rs. 850/- per litre; BTI is requested for 1000L@Rs. 1500 per litre
DIAGNOSTICS (Consumables, PPP, Sample Transport)-NIL
TRAINING AND CAPACITY BUILDING-30.564 L
Training on ELF will be conducted at district level including Morbidity management trainings; 
1.Sensitization of district/PHC level MOs/Supervisors/Field staff on ELF Rs.8.40 lakhs@Rs. 60000x14 dists; 
2.Training of Paramedical workers &amp; Lab technicians-Rs.7.00 lakhs @Rs.50000 x14 dists;
 3. Training of drug administrators (ASHAs) Rs.15.164 Lakhs @ Rs.200 for 7582 ASHAs if TAS fails in two districts of MLP &amp; PKD
ASHA incentives- NIL
OTHERS INCLUDING OPERATING COSTS (OOC)- 79.46L
Morbidity Management-- Rs.75.96L
 Budget Needed for 100% MMDP services and MMDP kit distribution for 14691Lymphodema cases 100% Hydrocele operations i.e 334 hydrocoel cases for FY 2022-23
There are 85 MMDP clinics functioning in the state over 14 districts and kits distributed to registered patients in the clinic and number of functioning clinics would be increased 
Fund needed is Rs.75.96L @ Rs.500 for14691Lymphodema cases for procuring MMDP kits; @Rs.750 for 334 hydrocelectomy operations.
Repairs and maintenance of microscopes– Rs.3.5 L
@ Rs. 25,000/district for 14 districts 
IEC &amp; PRINTING-  49.45Lakhs
IEC- Rs.46.2 L
Specific IEC/BCC activities for ELF at State, District, PHC, Sub-centre and village level including VHSC/GKs for community mobilization efforts to realize the desired testing compliance regarding TAS, Home based Lymphodema management, Morbidity survey etc.
A total amount of Rs. 46.2 L may be needed @ Rs.3.0 L each for 11 endemic districts; Rs.2.0 L each to 3 nonendemic districts; Rs.7.2 L to state HQ for conducting mass IEC/BCC on ELF (46.20L)
PRINTING- Rs.3.25 L
For printing of formats, registers and other documents for the smooth conduct of Disease Elimination activities an amount of Rs.3.25 lakhs is proposed which will be used for state and districts.
PLANNING &amp; M&amp;E-Rs. 100.77 Lakhs
State Task Force, State Technical Advisory Committee meeting, District coordination meeting- Rs.1.1 Lakhs
 An amount of Rs.1.10 L may be needed@Rs. 0.2 Lakh for 1 meeting at State level and @Rs. 0.15 Lakh for districts level meeting and 3 such meetings per district for 2 elimination declaration targeted districts of Kollam and Kottayam.                                                              
Total Rs.1.1 Lakhs may be needed
Monitoring &amp; Supervision of LF- Rs.5.65 Lakhs
Mobility support is required for monitoring of surveillance activities related to LF namely routine parasitological and disease survey, Pre-MDA/ MDA, post MDA, TAS activities. The fund may also be used for monitoring of house hold MMDP related activities and a total amount of Rs.5.65 L @ Rs.0.4 L for 11 endemic districts; Rs.0.2 L for 3 districts and Rs.0.65 L for state HQ.
Total Rs.5.65 Lakhs may be needed
Monitoring, Evaluation &amp; Supervision &amp; Epidemic Preparedness for ELF (Only Mobility Expenses)- Rs. 93.32 Lakhs
-        For ELF, monitoring of MDA, TAS and MMDP services are needed for which an amount of Rs.12.32L may be needed @Rs.1.0 L for 5 dists; Rs.o.8 L for 9 dist; Rs.0.12 L for state HQ
An amount of Rs.12.32 Lakhs may be needed for this.
-        No vehicle is available for State Entomology Unit, 3 Zonal Entomology units (PTA,EKM &amp; KKD)  and Mobile immigrant screening team in the 14 districts. So, mobility support is needed for hiring of vehicle for 12 months @ Rs. 4.50L for 14 districts, 3 ZEUs @ Rs. 4.50L  and for State Entomology Unit @ Rs.4.5 L.
An amount of Rs.81 Lakhs may be needed for this.
Grant total for mobility-Rs.93.32 Lakhs
SURVEILLANCE, RESEARCH, REVIEW, EVALUATION…. (SRRE)-79.586 L
Annual MF Survey- Rs. 2.70 Lakhs
Two districts Palakkad &amp; Malappuram- A total of 36 blocks (Palakkad 21 &amp; Malappuram 15); 600 slides/block@ 2 sites/block (300 slides/site); Amount @ Rs. 7,500/block for Annual MF Survey-
Total Cost for 2 districts is Rs. 2.70 Lakhs@ Rs.1.575 L for Palakkad &amp; Rs.1.125 L for Malappuram. 
Additional Mf Survey- Rs. 4.536 L
TAS.1 is planned in 2 districts Palakkad &amp; Malappuram- A total of 36 blocks (Palakkad 21 &amp; Malappuram 15); 900 slides/block@ 3 sites/block (300 slides/site); Amount @ Rs. 12,600/block for Additional Mf Survey-
Total Cost for 2 districts is Rs. 4.536 L @ Rs.2.646 L for Palakkad &amp; Rs.1.89 L for Malappuram. 
ICT Survey -Rs.34.5 L
As per LF new strategy, population restricted to 5 lakhs per EU for TAS-1. As per new strategy, 15 EUs in 2 districts (Malapuram 9 and Palakkad 6)   for TAS-1 are proposed. For 2 districts 8 EUs (Alappuzha 5 &amp;Kasargod 3) for TAS-3 proposed and TAS conducted in old strategy. 
Budget needed is total Rs. 34.5 L for 23 EUs @ Rs.1.5 lakh/EU. 
Mf survey in 3 Non-endemic districts (22 blocks)- Rs.1.65 L
The 3 non endemic districts namely Wayanad, Idukki and Pathanamthitta (blocks-22)needs to undertake block-level surveillance/ confirmatory remapping.
Total amount needed is Rs.1.65 Lakhs @ Rs.7500/block may be needed
Post MDA Surveillance- Rs.11.2 L
Important activity to prevent resurgence in TAS cleared dists. 
Activity proposed for 16 EUs in 9 TAS-1 cleared districts (Ernakulum, Thrissur, Kottayam, Kollam, Kannur, Kozhikode, Thiruvananthapuram, Alappuzha and Kasaragod)
Amount needed is Rs.11.20 L @Rs.70000 per EU. 
Post MDA assessment- Rs.0.70 Lakhs
TAS 1 is planned in Palakkad&amp; Malappuram districts for the year. The activity is proposed if TAS fails and focal MDA is to be conducted. Post MDA assessment @ Rs.0.7 L to be done in these 2 districts @ Rs.35000/dist
Total Rs.0.70 Lakhs may be needed
LF Elimination Certification -Rs.25.0 L
A total of 7 districts cleared TAS.3 and out of which two districts (Kottayam, Kollam) received Rs.10 L for the FY 2021-22. 
For current year Rs.25.0 Lakhs is proposed for the remaining 5 districts (Ernakulum, Thrissur, Kannur, Kozhikode and Thiruvananthapuram) is proposed. 
Grant total- Rs.80.286 L
</t>
  </si>
  <si>
    <t>Capacity building incl Training - 5.58 L
 Approved Rs 5.58 Lakhs for Training to DLO/ALO/NMS at CLTRI.
 IEC &amp; Printing - 30 L
 1.Approved Rs 30 Lakhs for state level IEC activities in connection with LCDC
 Planning &amp; M&amp;E - 8.25 L
 1. Office operation &amp; Maintenance - State Cell@ Rs 0.75 Lakhs
 2. Office Equipment Maint. State @ Rs 0.50 Lakhs
 3. State Cell – Consumables @ Rs 0.50 Lakhs
 4. Mobility Support State cell@ Rs 1 Lakh
 5. Travel expenses - Contractual Staff at State level- @ Rs 0.50 L
 6. NLEP Review Meetings @ Rs 2 lakhs
 7. Travel cost for Regular staff- 1 Lakh for state
 8. Approved Rs 2 Lakhs for conducting State level workshop in connection with LCDC</t>
  </si>
  <si>
    <t>Approved for 25000 Spectacles @ Rs.350/-</t>
  </si>
  <si>
    <t>Equipments - 56.84 L - New Dialysis unit at THQH Konni - 49.50 L, additional bed at GH Pathanamthitta - 7.34 L
Drugs &amp; supplies - 50 L</t>
  </si>
  <si>
    <t>Diagnostics - 700 L;
Training - 8 L ; 50000 per district and 1 L at state level
IEZC &amp; Printing  - 7 L : 50000 per district
Committed - 843.11 L for drugs procurement</t>
  </si>
  <si>
    <t>Drugs &amp; Supplies : 2 L
Rs.1 lakh each for purchase of medicine in two districts
Diagnostics - 3.36 L
Diagnostics (Consumables, PPP, Sample Transport) 3.36 L Ion Electrode, Laboratory Equipments (Pipettes, Sample Containers) and Lab Reagents (Fluoride standard and Buffer Solution-TISAB III) Alapuzha and Palakkad Rs.1.68 Lakhs/each
IEC &amp; Printing - 6 L
Diagnostics (Consumables, PPP, Sample Transport) 3.36 L Ion Electrode, Laboratory Equipments (Pipettes, Sample Containers) and Lab Reagents (Fluoride standard and Buffer Solution-TISAB III) Alapuzha and Palakkad Rs.1.68 Lakhs/each
Planning and M&amp;E - 3.2 L
Rs.2 L for coordination meeting
Rs.1.2 L for travel cost</t>
  </si>
  <si>
    <t>Approved Rs 20 Lakhs for state level activities for the Telecast of awareness videos and audio messages through television, FM channels, Theatre Campaign, printing of Hoardings etc. Observance of world hearing day and deafness day. Special awareness programmes at tribal and coastal areas.</t>
  </si>
  <si>
    <t xml:space="preserve"> Infrastructure  Rs.265 lakhs. Support for Emergency Trauma Care 1. Comprehensive Emergency Surgical &amp; Medical Trauma Management  Unit  Nilackal Basecamp Hospital Rs. 300 Lakhs 2. Comprehensive Emergency Surgical &amp; Medical Trauma Management  Unit SDH  Pampadi  Rs.230 Lakhs  50% proposed for the current year.</t>
  </si>
  <si>
    <t xml:space="preserve">Capacity building : U.3.2.1.1  Training of MAS 23.73 L
MAS with a cost of Rs.1000/- per MAS * 2373 MAS
</t>
  </si>
  <si>
    <t xml:space="preserve"> OOC)  U.2.3.1 UHNDs   13.95L ( UHND/month/ANM @ Rs. 250.00 ( 465*12*Rs.250)   4 special outreach medical camps/UPHC(102) per year @ Rs. 10000.00 proposed 40.80L  
  U.2.2.1 Mobility support for ANM/LHV 27.9 L
Rs. 500/- per month was proposed  for 465 ANMs
</t>
  </si>
  <si>
    <t>OOC) U.3.3 Urban Local Bodies (ULBs) 30L</t>
  </si>
  <si>
    <t xml:space="preserve">New Work) U.5.1.2 UCHC:  5L ( For CHC Attukal TVM Corporation );                                                                              Equipment) U.6.1.3  Equipment for UCHC : 5L     (UCHC Attukal)                                                                                               Budget for Procurement done by States:  U.6.2.1.2 Procurement of drugs for facilities other than AB-HWCs (including UPHCs, UCHCs, Maternity Homes, etc)            30L Cost of Medicine @ 15 L per CHC (2 existing UCHCs )
Diagnostics) U.6.1.7.2 Provision of free diagnostics at facilities other than AB-HWCs (including UPHCs UCHCs, Maternity Homes, etc  @ 50000 for 2 CHCs : 1                     
</t>
  </si>
  <si>
    <t xml:space="preserve">Planning &amp; M&amp;E: U.16.1.3.2 Mobility support for SPMU 4.2L  @ Rs.35000/- per month                                                                                              U.16.1.3.3 Mobility support for DPMU 58.8 L @ Rs. 35000/- per month for 14 districts                                                           U.16.1.4.2  Administrative expenses (including Review meetings, workshops,  etc.) for SPMU :  3.6 L Rs. 30000/- per month                                                                                          U.16.1.4.3  Administrative expenses (including Review meetings, workshops,  etc.) for SPMU : 16.8 L Rs. 10000/- per month for 14 district Units
</t>
  </si>
  <si>
    <t>Capacity Building ) U.9.2.13 Any Other (Please specify) :5L  One batch for selected staff in UPHCs Training of Service Delivery Staff on FICTC Management                                             OOC) U.1.3.3.Operational Expenses of Health Kiosks:  6.72L@ Rs. 4000/- per month for 14 health kiosks as electricity , water charges</t>
  </si>
  <si>
    <t>Drugs - Rs.3831.40 L - Drugs for Hemoglobinopathies 
Printing - 2 L - Printing customised book for one patient identified - proposed for 4000 books @ Rs.50/-.
Diagnostics - 15 L - 
Committed - Rs.1262.52 L for drugs</t>
  </si>
  <si>
    <t>OOC - 63.39 L for Transfusion support to patients with blood disorders  and for prevention programs- Sickle Cell Anemia Programme</t>
  </si>
  <si>
    <t>Equipments - Rs.376.11 L for blood component separation unit, BSU and existing blood bank
 for procurement of equipment for Day care centre - Rs.38.70 L for electro therapy equipments for 3 institutions and RS.29.04 L for Deep freezer for 5 institutions, 
OOC- 26.60 L - Proposed operational expenses 12 DDCCs @ 100000, 2  MCH Hemophilia treatment center @ 100000 and 2 HTCs @ 150000. Additional Rs 60000 is proposed for each unit to provide one computer Desktop and Printer-scanner to update data on Ashadhara webportal created by state as a registry and patient management system
Committed - Rs122.52 L for equipments</t>
  </si>
  <si>
    <t>IEC activities - Rs.4.80 L 
Rs.2.75 L for Blood services and Rs.2.05 L for blood disorders</t>
  </si>
  <si>
    <t>Drugs 264.43 L : Proposed for new ASHA drug kits @ Rs.1000/- for 26443 ASHAs;
Training : Rs.442.44 L - 
 Twenty  batches of Induction training to ASHA @Rs.76000 per batch Rs.15.20 L
 ASHA state specific new 9 module training @Rs.42250 for 547 batch Rs.231.107 L
 3rd module training to Hamlet ASHAs  @Rs. 1,11,000*20 batches (18 batches@111000  Rs.19.98 L
 1290 ASHAs in 14 district - monthly training to one ASHA from one PHC Rs. 46.44
 Refresher  Computer training to ASHA Rs.66.11 L &amp; refresher training to ASHA on RBSK Rs.27.30 L  Total Rs. 93.41
Training of ASHAs in National Childhood Pneumonia Management Guidelines under SAANS Rs. 27.30 L
Training to ASHA Facilitators Rs. 2 L &amp; Documentation of ASHA Programme Rs. 7 L Total  9 L
ASHA incentives - Rs.7064.43 L Asha Benefit Package - 
ASHA BENEFIT PACKAGE ; Rs.6346.32 lakhs for Fixed Incentives to ASHA @ Rs. 2000 per month for 26443 ASHAs for 12 months   
Social Security Insurance package under PMJJBY, PMSBY, PMSYM to ASHAs for  Rs.83,47,446/-
Incentive for palliative care @ Rs.100/month and monthly review meeting  for Rs. 634.63 Lakhs
OOC - 756.80 L - Rs.500 per month to 238 ( 96+142) wards of the ward health facilitation centre in 14 districts ( Rs.500*238 wards*12 months)  for Rs.14.28 lakhs. This is for the ongoing recurring expenses                                                               
 Cash Incentive to ASHA's who are willing to leave or Opt to leave @Rs. 20000 per ASHA for 100 ASHAs  for Rs . 20,00,000 
ASHA insurance in association with United india Insurance Company Rs. 26.44L 
ID card to all ASHA  Rs.26.44 L
 ASHA Sammelan District &amp; State level Rs. 35L
 Mobile allowance to ASHA @ Rs. 634.63 L
IEC &amp; Printing : Rs.252.15 L
IEC activities - 187.65 L - Details attached
Printing - Rs64.50 L - 
printing of ASHA diary Rs.33.05 L
ASHA modules and formats - 26.44 L
Printing of revised Medico Legal Protocol - 5 L</t>
  </si>
  <si>
    <t>ASHA incentives : Incentive proposed for  14 existing  migrant link workers in Ernakulam district @ 2500 per month; 
OOC - 314.95 L
Aardrakeralam puraskarams @ Rs. 270.95 L &amp;  Social audit in Family Health Centres Rs. 18 L
Community Action for Health  @Rs. 26 L
IEC - 263.25 L - 
Committed - OOC Rs.49.9 L</t>
  </si>
  <si>
    <t>OOC - 4536 L - Operational cost for 315 BLS ambulances @ Rs.1.2 L per month</t>
  </si>
  <si>
    <t>Rs.154 L - 39 seats at Call centre Rs.3.96 L per seat (This includes ECD call centre also)</t>
  </si>
  <si>
    <t>Equipments : 
EQAS for Labs (Bio Chemistry &amp; Haemotology - 134 lakhs
Training :
Amount proposed - 163.45 L
Quality Assurance Training
Amount Proposed 22-23 (Rs. In lakhs): 45.47
• New activity - MUSQAN State Training/State Level Awareness Workshop (1Day) – 1.02 Lakhs
• State level Internal Assessors cum Service Provider  (3 Days) – 23.45 Lakhs
• Regional/District Level QA trainings – 21 Lakhs
KAYAKALP training
Refresher training for staff every year
• Amount Proposed 22-23 (Rs. In lakhs) =115.18
• State Kayakalp cum SBA-Master Assessor training (2 Days)
Rs 1.02 Lakhs   @          1,02,000       x 1=1,02,000
• Regional/District Level trainings under Kayakalp    
Rs 7 Lakhs      @               50,000        x 14 = 7,00,000
• Facility level Training on ''Swachh Bharat Abhiyan'' for District Hospitals
        Rs 9Lakhs        @     20,000              x         
        45 =   9,00,000
• Facility level Training on ''Swachh Bharat Abhiyan'' for SDHs and CHCs
Rs 46.65 Lakhs        @    15,000       x 316 = 47.4 L
• Facility level Training on ''Swachh Bharat Abhiyan'' for PHCs
Rs 50.88 Lakhs                @    6,000    x   846 = 50 .76
IMEP TRAINING FOR MEDICAL OFFICERS- 2.8 L
OOC
Amount proposed : 1556.63 L
ANY OTHERS PLEASE SPECIFY
• Amount Proposed 22-23 (Rs. In lakhs): 630 Lakhs
Any other (please specify) CLOSING GAPS IN 14 DH for NQAS DH  LEVEL HOSPITALS  
• Rs.1.40 Lakhs proposed for Repainting of building   14 DH @10,00,000 x 14=1,40,00,000
• Rs.70 Lakhs proposed for Fire fighting equipments  14 DH @ 5,00,000 x 14=70,00,000
• Rs.42 Lakhs proposed for modular medical records library @ 3,00,000 x 14=42,00,000
• Rs.42 lakhs proposed for Maintenance and repainting of furniture @ 3,00,000 x 14=42,00,000
• Rs.28 Lakhs proposed for replacement of conventional fans and lights into LED lights and BLDC fans @ 2,00,000 x 14 = 28,00,000
• Rs.14 Lakhs proposed for Elbow taps in all areas @ 1,00,000 x 14=14,00,000
• Rs.14 Lakhs propsed for Solar water heaters @ 1,00,000 x 14=14,00,000
Any other (please specify) CLOSING GAPS IN 14 TH/CHC for NQAS TH  LEVEL HOSPITALS  
• Rs.70 Lakhs proposed for Repainting of building @5,00,000 x 14= 70,00,000
• Rs.70 Lakhs proposed for Fire fighting equipments  @5,00,000 x 14= 70,00,000
• Rs.42 Lakhs proposed for modular medical records library @3,00,000 x 14 = 42,00,000
• Rs.42 Lakhs proposed for Maintenance and repainting of furniture @3,00,000 x 14 = 42,00,000
• Rs.28 Lakhs proposed for replacement of conventional fans and lights into LED lights and BLDC fans @2,00,000 x 14 = 28,00,000
• Rs.14 Lakhs proposed for Elbow taps in all areas @1,00,000 x 14=14,00,000
• Rs.14 Lakhs proposed for Solar water heaters @1,00,000 x 14=14,00,000
QUALITY ASSURANCE ASSESSMENTS ND MENTORING VISITS
• Amount Proposed 22-23 (Rs. In lakhs): 65.66 Lakhs
• Rs 56 Lakhs proposed for Quality Assurance assessment-District Mentoring visits by DQAU 14 districts @4,0000,x 14* 12 months = 56L
Quality Assurance Certifications, Re-certification (National &amp; State Certification) under NQAS
• Amount Proposed 22-23 (Rs. In lakhs): 276.07 Lakhs
• Rs.28.14 Lakhs proposed for Quality Assurance Certification and Recertification-Cost of National External Assessment (DH/SDH) 14 Districts @2,10,000 x 14 = 28,14000
• Rs.11.90 Lakhs proposed for New initiative MUSQAN  National External Assessment @1,19,000 x 10 = 11,90,000
• Rs.20.44 Lakhs proposed for Cost of National External Assessment CHC @1,46,000 x 14=20,44,000
• Rs.117.60 Lakhs proposed for Cost of National External Assessment PHC @1,20,000 x 98=1,17,60,000
• Rs.4.20 Lakhs proposed for Cost of Recertification DH/SDH @2,10,000 X 2 =4,20,000
• Rs.2.92 Lakhs proposed for Cost of Recertification CHC @1,46,000 x 2=2,92,000
• Rs.18 Lakhs proposed for Cost of Recertification PHC @1,20,000x 15=18,00,000
• Rs.12.46 Lakhs proposed for Cost of State certification(DH/SDH) @89,000x14=12,46,000
• Rs.3 Lakhs proposed for new initiative MUSQAN   State certification(DH/SDH) @30,000x10=3,00,000
• Rs.8.82 Lakhs proposed for Cost of State certification CHC @63,000x14=8,82,000
• Rs.42.14 Lakhs proposed for Cost of State certification PHC @43,000x98=42,14,000
• Rs.1.78 Lakhs proposed for Cost of recertification DH @89,000x2=1,78,000
• Rs.1.26 Lakhs proposed for Cost of  recertification CHC @63,000x2=1,26,000
• Rs.6.45 Lakhs proposed for Cost of  recertification PHC @43,000x15=6,45,000
Incentivisation on attainment of NQAS certification 
• Amount Proposed 22-23 (Rs. In lakhs): 584.90 Lakhs
• Rs.321.90 proposed for NQAS Incentives for DH/SDH nationally certified (15)
GH EKM 78.3L,W&amp;C KOZHIKODE 29.5L,GH KANGHANGAD 40 L,GH KOZHIKODE 55 L,.TSH KOTATHARA 10 L ,TH PUNALOOR 40 LTH CHALAKUDY 20.3, TH THAMARASHERRY 14.4. W &amp; C Kannur - 13.4 L remaining will be proposed in supplimentary PIP (LAQSHYA INCENTIVES TO 6 CERTIFIED 5 DH *3 and 1MCH *6 =21L)
• Rs.21 Lakhs proposed for NQAS Incentives for CHC Nationally Certified (7 certified,, remaining will be proposed in supplimentary PIP) @3,00,000x7=21,00,000
• Rs.242 Lakhs proposed for NQAS Incentives for PHC Nationally Certified (84 PHC/FHC and 34 UPHC certified, (4 waiting for results) rest will be proposed in supplimentary PIP) @2,00,000x121=2,42,00,000
IEC AND PRINTING
Signages- Approach road, departmental, directional and any other facility level signages
· Amount Proposed 22-23 (Rs. In lakhs): 70
Planning &amp; M&amp;E
State Quality Assurance Unit (Review meeting)
• Amount Proposed 22-23 (Rs. In lakhs): 0.80Lakhs
• Rs. 0.80Lakhs is proposed for State Quality Assurance Committee (Review Meeting) @20,000x4=80,000
District Quality Assurance Unit (Review Meeting)
• Amount Proposed 22-23 (Rs. In lakhs): 3.36Lakhs
• Rs. 3.36 Lakhs is proposed for District Quality Assurance Committee (Review Meeting) @24,000x14=3,36,000
Quality Assurance State Quality Assurance Units  (Operational cost, Monitoring &amp; Supervision cum mentoring)
• Amount Proposed 22-23 (Rs. In lakhs): 6.60Lakhs
• Rs. 0.6 Lakhs is proposed for Contingency &amp; Misc. @5,000x12=60,000
• Rs. 6 Lakhs is proposed for Monitoring and Supervision cum mentoring @50,000x6=6,00,000
District Quality Assurance Unit (Operational cost)
• Amount Proposed 22-23 (Rs. In lakhs):6.72Lakhs
• Rs. 6.72Lakhs is proposed for Contingency &amp; Misc. 4000*12 months * 14 districts =..48L@48,000x14=6,72,000
Surveillance, Research, Review, Evaluation (SRRE)
Amount proposed in 22-23- 146.5L
Quality Management System for AEFI surveillance under Universal Immunisation Programme
146.5L IN 22-23 - amount proposed for training peer assessment &amp; ittnernal assessment</t>
  </si>
  <si>
    <t>Diagnostics 
Consumables &amp; PPE -393.4 L
OOC - 1675.59 Lakhs
Kayakalp Assessments (Expenses for Internal,Peer and External assessment of Institutions)
• Amount Proposed 22-23 (Rs. In lakhs) =107.69
Kayakalp Award : 172 L
Bio Med Waste Mgmt - 317.40 L (
Includes purchase of colour coded bins,, puncture proof box, Color coded bags,payment to biomedical waste treatment facility etc.)
LIQUID WASTE TREATMENT
 Five new Sewage treatment Plants are proposed so that all the institution will have Sewage treat Plant in a phased manner -780 L Pest Control Measures : 190.5 L
CONTINGENCIES
Amount for Kayakalp award function and printing of certificates and mementos
Contingency : Amount for Kayakalp award function and printing of certificates and mementos - 10 L
Any other activities 
Suipport for KASH implementation : 98 L
IEC &amp; Printing : Printing of SOPs for Implementation of NQAS, Kayakalp, LaQshya - 74.78 L
Committed - OOC - Rs.65 Lakhs</t>
  </si>
  <si>
    <t xml:space="preserve">Training for infection control </t>
  </si>
  <si>
    <t>Rs.25150 L for free Drugs Services Initiative
Rs.19 L for supply chain logistic system for drug warehouses</t>
  </si>
  <si>
    <t>OOC - 393.12 L
Rs.309.12 L for operational cost of 38 MMUs under NHM and Rs.84 L for continuation of 14 MMUs under NUHM</t>
  </si>
  <si>
    <t>BMEMP program</t>
  </si>
  <si>
    <t xml:space="preserve">U.17.1 Telemedicine/ teleconsultation facility at Ayushman Bharat H&amp;WC 19.3L For the Implementation of eHealth Project(Total digitisation of UPHCs) :
 Training cum review meeting for HMIS &amp; MCTS at State level: approved Rs. 2 lakhs for 10 trainings for district level officials who is in charge of monitoring HMIS/ RCH portal ie, RCH officers, MCH/DPHNs , District Statisticians , JC MIS etc. 
Rs. 33 lakhs has been approved for printing HMIS formats ie HMIS data entry formats both Monthly and Infrastructure data as well as HMIS Data elements /Indicators definitions for all public health institutions in each districts.
 Rs. 1 lakh is approved for printing HMIS factsheet which should be printed quarterly (4 Quarters) at the cost of Rs. 250/-. </t>
  </si>
  <si>
    <t xml:space="preserve">
</t>
  </si>
  <si>
    <t>Rs. 2.5 lakhs for the payment as the annual user fee for internet leased line connectivity of a single hub location(of 25 mbps bandwidth as State Hub) and Rs. 35000/- each as the internet annual user fee for 48 Units’ (UPHCs) connectivity.</t>
  </si>
  <si>
    <t>Untied Funds Rs.3143.20
Rs.90 lakhs for36DH/GH @ Rs.250000/-, Rs.88 lakhs for 88 SDH @ Rs.1,00,000/- , Rs.171 lakhs for 228 CHC @ Rs.75000/-, Rs.423 lakhs for 846 PHC @ Rs.50000/- , Rs.367.10 lakhs for 3671 subcentre @ Rs.10000/-, Rs.1949.10 lakhs for 19491 VHSC @ Rs.10000/-, Rs.55 alkhs for 22 OTher Sepcailaity Hospitals @ Rs.250000</t>
  </si>
  <si>
    <t>Diagnostics (Consumables, PPP, Sample Transport)</t>
  </si>
  <si>
    <r>
      <t>Central supplies (Kind grants)</t>
    </r>
    <r>
      <rPr>
        <sz val="11"/>
        <rFont val="Calibri"/>
        <family val="2"/>
      </rPr>
      <t xml:space="preserve"> (To be provided by the PDs)</t>
    </r>
  </si>
  <si>
    <t>Equipments - 3 L for FP surgical instruments
Training - rs.15.40 L
0.65 L for training / orientation of technical manual
Rs.7.80 L for orientation / review of ANM/AWW
Rs.5 L for dissemination of FP manual
Rs.`1.70 L for training for post abortion FP
Rs.0.25 L for training of counsellors
OOC - Rs.9.30 L for POL for FP
IEC &amp; printing - 107.25 L
Rs.69.70 L for IEC (details annexed) Annexure 1
Rs.37.55 L for printing
Rs.7.55 L for disseminationf o FP manual
Rs. 10 L for printing of FP manual and guidelines
Rs.20 L for printing of IUCD cards
Planning &amp; M &amp; E Rs.2.52 L
Rs.1.64 L for FP QAC meeting
Rs.0.88 L for FP review meeting
Committed - Rs.0.35 L for equipments</t>
  </si>
  <si>
    <t>Equipments - rs.86.54 L for procurement of Haemoglobino strips - 100 strips for 5409 SHC @ Rs.16/unit
Rs.105.66 L for 600 Haemoglobinometer test strips @ Rs.15/- for 1174 RBSK Nurses
Rs.4.22 L for Hemoglobinometer @ unit cost Rs.2000 for newly proposed 104 rbsknurse and 10% for replacement of available damaged Hemoglobinometer
Drugs - 
Rs.248.72 L for IFA syrup for children 6-60 months, Rs.172.19 L for IFA Tablets for children 5-10 years
Rs.589.27 lakhs for 180 doses of IFA tablets for all Pregnant and lactating mothers @ unit cost of 0.35ps.
IFA tablets under WIFS - 335.77 L,
Rs.28 L Capacity Building
Rs.14 L for orientation activities on VIt A supplementation
Rs.14 L for orientation of front line workers and allied dept workers on AMB strategy
ASHA incentives - Rs.634.63 L
Rs.317.32 L for NIPPI for mobilising WRA
Rs.317.32 L for NIPPI for mobilising Children (6-60 months)
Committed Rs.326.08L for drugs</t>
  </si>
  <si>
    <t>Diagnostics - Proposed amount-Rs.12,00000/- Lakhs
To be distributed to ASHA workers in all 12 districts to analyze the iodine content of the salt consumed.
Amount to procure STK/District – Rs.1,00,000/-
Estimated rate of Per STK = Rs.25
So total number STK/District  to be procured = 4000nos
Total number of STK for the 12 District  = 4000x12=48000nos
ASHA INCENTIVES
Incentives to be distributed to ASHA workers for using STK as per norms.
3) ASHA incentive distribution split up details District wise:
ASHA incentive based on STK i.e,
@Rs.25/- per kit / ASHA =Rs.25/-x4000kit =Rs.1, 00,000/-(Rupees One
Lakh)/District@12Districts= Rs.12,00,000/-(Rupees Twelve Lakhs) only
IEC
• Health Education in 8 District @ 50000/District = Rs4,00,000/-
• Global IDD Day IEC Activities – Rs 300000/-
• Global IDD Day Observances with Awareness classes and other activities –Rs.1,00000/- 
SURVEILLANCE
• IDD  Goitre Survey in 4 District as per the GOI guidelines @ Rsw.50000/District ( covering north, south,east and west direction of each district selected) – Rs.200000/- IDD Survey to be carried in the financial year 2022-23to find the intensity of Goitre among school children in the age group of 6-12 years. They will be physically tested for goitre.
Budget details given in Annexure -2</t>
  </si>
  <si>
    <t xml:space="preserve">Equipment : Rs.3.5 Lakhs
Procurement of Computer @ 70000 per model anti rabies Clinic  (5 X 70000) Rs 3.5 Lakhs
Drugs : Rs.1940.67 Lakhs
Procurement of ARV
Training : Rs.21.8 Lakhs
State level training –of Rs. 5.45 Lacs per training (5.45 X 4) Rs.21.8 lakhs per training Medical Officers, Staff Nurse, ASHA ANM &amp; other Health care workers. 
IEC &amp; Printing : Rs.12 Lalks
IEC -  Rs. 10 Lakhs for State :- Spots on FM - Posters , Digital posters, Social media campaign, Short Films for  Community activities and dissemination.
Printing Rs.2 lakhs for state-level activities:-Office and other administrative expenses including printing .
Planning &amp; M &amp; E - Rs.1 Lakhs
Supervision and Monitoring activities  Rs 1 Lakhs for state/UT-level activities) </t>
  </si>
  <si>
    <t xml:space="preserve">Old / Ongoing work - Infrastructure strengthening of SC  to H&amp;WC -1510 SC*5.25 L = 7927.50 L 
New work – Infrastructure strengthening of SC  to H&amp;WC - 1148 SC* 1.75L = 2009 L 
Capacity building including training  50 L 
Training 100 batches of MLSP (3000 MLSP) in Kerala specific HWC interventions – 100 * 0.5L = 50 L 
Others including operating costs(OOC) – 5287.80 L
 Operating cost of 1751 SC-HWC over and above the 2510 SC which will be operated by using funds from 15th Finance commission. How the operational cost of 4.2 L and 2.4 L is calculated is separately attached-Annexure 9. (603 SC*4.2L) + (1148SC*2.4L) = 5287.8 L
Operational costs of PHC-HWCs not proposed as sufficient funds allotted for same under 15th FC.
</t>
  </si>
  <si>
    <t xml:space="preserve">Incentives to be distributed to ASHA  workers for using STK. @Rs.25/- per kit / ASHA)
Health education to health workers through  awareness classes and IEC.  approved for conducting IEC activities  including  Global IDD Prevention Day
 </t>
  </si>
  <si>
    <r>
      <rPr>
        <u/>
        <sz val="11"/>
        <rFont val="Calibri"/>
        <family val="2"/>
      </rPr>
      <t>Capacity Building</t>
    </r>
    <r>
      <rPr>
        <sz val="11"/>
        <rFont val="Calibri"/>
        <family val="2"/>
      </rPr>
      <t xml:space="preserve"> -Training - for 1) ToT of MOs on Adolescent Friendly Health Service training (MASTER TRAINERS) Rs.140000/dist.,
2) 4 days training of MOs in each of 14 districts @150000/ batch (40 Nos.)
 3) AFHS training of ANM/LHV/MPW/other healthworkers @Rs.1 lakh/batch  (Total 5 batch) -  (3 DAYS TRNG)  (40 Nos. /batch )
</t>
    </r>
    <r>
      <rPr>
        <u/>
        <sz val="11"/>
        <rFont val="Calibri"/>
        <family val="2"/>
      </rPr>
      <t>OOC</t>
    </r>
    <r>
      <rPr>
        <sz val="11"/>
        <rFont val="Calibri"/>
        <family val="2"/>
      </rPr>
      <t xml:space="preserve"> -  1) Operating expenses for AH/RKSK clinics:  AH/RKSK centre Rs. 12000/centre * no of AFHCs  (TVM-4 AFHC )  2) Mobility  support  to counsellors  for conducting 8 outreach session / month for 12 months @Rs.300/session. (Tvm 4 counsellors)
</t>
    </r>
    <r>
      <rPr>
        <u/>
        <sz val="11"/>
        <rFont val="Calibri"/>
        <family val="2"/>
      </rPr>
      <t>IEC &amp; Printing</t>
    </r>
    <r>
      <rPr>
        <sz val="11"/>
        <rFont val="Calibri"/>
        <family val="2"/>
      </rPr>
      <t xml:space="preserve"> : For printing of various IEC materials for use in the AFHCs and by counsellors  
</t>
    </r>
    <r>
      <rPr>
        <u/>
        <sz val="11"/>
        <rFont val="Calibri"/>
        <family val="2"/>
      </rPr>
      <t>Planning and M&amp;E</t>
    </r>
    <r>
      <rPr>
        <sz val="11"/>
        <rFont val="Calibri"/>
        <family val="2"/>
      </rPr>
      <t xml:space="preserve"> :Bi-annual district level convergence workshop  under RKSK in 14 district. Rs 5000/district 
 </t>
    </r>
  </si>
  <si>
    <r>
      <rPr>
        <u/>
        <sz val="11"/>
        <rFont val="Calibri"/>
        <family val="2"/>
      </rPr>
      <t xml:space="preserve">Capacity Building </t>
    </r>
    <r>
      <rPr>
        <sz val="11"/>
        <rFont val="Calibri"/>
        <family val="2"/>
      </rPr>
      <t xml:space="preserve">- Training :  1) 6 days training of Master Trainers of Peer Educators (1 batch -40 Nos.) @ Rs.200000/- /dist.
2) Training (6 days ) of New  Peer Educator in all districts (BLOCK LELVEL).  (TVM-200 (5 Batch)
</t>
    </r>
    <r>
      <rPr>
        <u/>
        <sz val="11"/>
        <rFont val="Calibri"/>
        <family val="2"/>
      </rPr>
      <t xml:space="preserve">ASHA Incentives </t>
    </r>
    <r>
      <rPr>
        <sz val="11"/>
        <rFont val="Calibri"/>
        <family val="2"/>
      </rPr>
      <t xml:space="preserve">: Incentive for AH/RKSK Services  - ASHA Incentive for mobilizing adolescents and community for AHWD .   (Rs.200/- * 4 ASHAs * 4 AHWDs/year * No. of blocks)  
</t>
    </r>
    <r>
      <rPr>
        <u/>
        <sz val="11"/>
        <rFont val="Calibri"/>
        <family val="2"/>
      </rPr>
      <t>OOC</t>
    </r>
    <r>
      <rPr>
        <sz val="11"/>
        <rFont val="Calibri"/>
        <family val="2"/>
      </rPr>
      <t xml:space="preserve"> - 1) Organising monthly Adolescent Friendly Club  meetings at subcentre level  Rs. 500* no of blocks*5 subcentre*12 AFC meetings/FY ( TVM-4)
2)(Community Intervention for AH Services) Incentives for Peer Educators Rs 50/month* 12 months*no of  PEs (TVM -800)
3) Organizing Adolescent Health &amp; Wellness day Rs. 2500* No. of selected blocks*4 AHWD/FY( TVM -4)
</t>
    </r>
    <r>
      <rPr>
        <u/>
        <sz val="11"/>
        <rFont val="Calibri"/>
        <family val="2"/>
      </rPr>
      <t>IEC &amp; Printing</t>
    </r>
    <r>
      <rPr>
        <sz val="11"/>
        <rFont val="Calibri"/>
        <family val="2"/>
      </rPr>
      <t xml:space="preserve"> : PE Kit and PE Diary  @ Rs 350/PE kit &amp; diary * no of New Peers entering 8th STD. (TVM-200)
</t>
    </r>
  </si>
  <si>
    <r>
      <rPr>
        <u/>
        <sz val="11"/>
        <rFont val="Calibri"/>
        <family val="2"/>
      </rPr>
      <t>OOC</t>
    </r>
    <r>
      <rPr>
        <sz val="11"/>
        <rFont val="Calibri"/>
        <family val="2"/>
      </rPr>
      <t xml:space="preserve"> - 1) As mobility support to 101 AH Counsellors for conducting 4  outreach visits in SHWP implementing schools per month for 12 months @ Rs.300/outreach visit.(TVM-4)
2) As communication support to 101 AH counsellors @ Rs.250 /month for 12 months. (TVM-4)
</t>
    </r>
    <r>
      <rPr>
        <u/>
        <sz val="11"/>
        <rFont val="Calibri"/>
        <family val="2"/>
      </rPr>
      <t>IEC &amp; Printing</t>
    </r>
    <r>
      <rPr>
        <sz val="11"/>
        <rFont val="Calibri"/>
        <family val="2"/>
      </rPr>
      <t xml:space="preserve"> : Activities for implementation of SHWP including activities formation of DRG, Training of HWA, Principal Orientation, Merchandisc for HWA/HWMs, IEC materials for schools sessions, translation and printing of training material, Quarterly convergance meeting with education at district level etc. @ Rs.15.50 lakh per district for 14 dists.  
</t>
    </r>
  </si>
  <si>
    <t xml:space="preserve">Training : Rs.0.78 Lakhs
District level training –Rs. 0.195 Lacs per training Medical Officers, Staff Nurse, ASHA ANM &amp; other Health care workers (4 Trainings per districts  (Rs.0.195 X 4 ) 
IEC &amp; Printing : Rs.2.5Lakhs
IEC - Rs. 2 Lakhs  District Spots on FM - Posters , Digital posters, Social media campaign, Short Films for  Community activities and dissemination.
Printing Rs.0.5 lakhs:Office and other administrative expenses including printing.    
Planning &amp; M &amp; E - Rs.0.2 Lakhs
Supervision and Monitoring activities Rs 20000 Per district </t>
  </si>
  <si>
    <r>
      <rPr>
        <u/>
        <sz val="11"/>
        <rFont val="Calibri"/>
        <family val="2"/>
      </rPr>
      <t>Capacity Building</t>
    </r>
    <r>
      <rPr>
        <sz val="11"/>
        <rFont val="Calibri"/>
        <family val="2"/>
      </rPr>
      <t xml:space="preserve"> -Training - for 1) ToT of MOs on Adolescent Friendly Health Service training (MASTER TRAINERS) Rs.140000/dist.,
2) 4 days training of MOs in each of 14 districts @150000/ batch (40 Nos.)
</t>
    </r>
    <r>
      <rPr>
        <u/>
        <sz val="11"/>
        <rFont val="Calibri"/>
        <family val="2"/>
      </rPr>
      <t>OOC</t>
    </r>
    <r>
      <rPr>
        <sz val="11"/>
        <rFont val="Calibri"/>
        <family val="2"/>
      </rPr>
      <t xml:space="preserve"> -  1) Operating expenses for AH/RKSK clinics:  AH/RKSK centre Rs. 12000/centre * no of AFHCs  (KLM-5 AFHC )  2) Mobility  support  to counsellors  for conducting 8 outreach session / month for 12 months @Rs.300/session. (KLM 5  counsellors)
</t>
    </r>
    <r>
      <rPr>
        <u/>
        <sz val="11"/>
        <rFont val="Calibri"/>
        <family val="2"/>
      </rPr>
      <t>IEC &amp; Printing</t>
    </r>
    <r>
      <rPr>
        <sz val="11"/>
        <rFont val="Calibri"/>
        <family val="2"/>
      </rPr>
      <t xml:space="preserve"> : For printing of various IEC materials for use in the AFHCs and by counsellors  
P</t>
    </r>
    <r>
      <rPr>
        <u/>
        <sz val="11"/>
        <rFont val="Calibri"/>
        <family val="2"/>
      </rPr>
      <t>lanning and M&amp;E</t>
    </r>
    <r>
      <rPr>
        <sz val="11"/>
        <rFont val="Calibri"/>
        <family val="2"/>
      </rPr>
      <t xml:space="preserve"> :Bi-annual district level convergence workshop  under RKSK in 14 district. Rs 5000/district 
 </t>
    </r>
  </si>
  <si>
    <r>
      <rPr>
        <u/>
        <sz val="11"/>
        <rFont val="Calibri"/>
        <family val="2"/>
      </rPr>
      <t xml:space="preserve">Capacity Building </t>
    </r>
    <r>
      <rPr>
        <sz val="11"/>
        <rFont val="Calibri"/>
        <family val="2"/>
      </rPr>
      <t xml:space="preserve">- Training :  1) 6 days training of Master Trainers of Peer Educators (1 batch -40 Nos.) @ Rs.200000/- /dist.
2) Training (6 days ) of New  Peer Educator in all districts (BLOCK LELVEL).  (KLM-200 (5 Batch)
</t>
    </r>
    <r>
      <rPr>
        <u/>
        <sz val="11"/>
        <rFont val="Calibri"/>
        <family val="2"/>
      </rPr>
      <t>ASHA Incentives</t>
    </r>
    <r>
      <rPr>
        <sz val="11"/>
        <rFont val="Calibri"/>
        <family val="2"/>
      </rPr>
      <t xml:space="preserve"> : Incentive for AH/RKSK Services  - ASHA Incentive for mobilizing adolescents and community for AHWD .   (Rs.200/- * 4 ASHAs * 4 AHWDs/year * No. of blocks)  
</t>
    </r>
    <r>
      <rPr>
        <u/>
        <sz val="11"/>
        <rFont val="Calibri"/>
        <family val="2"/>
      </rPr>
      <t>OCC</t>
    </r>
    <r>
      <rPr>
        <sz val="11"/>
        <rFont val="Calibri"/>
        <family val="2"/>
      </rPr>
      <t xml:space="preserve"> - 1) Organising monthly Adolescent Friendly Club  meetings at subcentre level  Rs. 500* no of blocks*5 subcentre*12 AFC meetings/FY ( KLM-5)
2)(Community Intervention for AH Services) Incentives for Peer Educators Rs 50/month* 12 months*no of  PEs (KLM -800)
3) Organizing Adolescent Health &amp; Wellness day Rs. 2500* No. of selected blocks*4 AHWD/FY( KLM-5)
</t>
    </r>
    <r>
      <rPr>
        <u/>
        <sz val="11"/>
        <rFont val="Calibri"/>
        <family val="2"/>
      </rPr>
      <t>IEC &amp; Printing</t>
    </r>
    <r>
      <rPr>
        <sz val="11"/>
        <rFont val="Calibri"/>
        <family val="2"/>
      </rPr>
      <t xml:space="preserve"> : PE Kit and PE Diary  @ Rs 350/PE kit &amp; diary * no of New Peers entering 8th STD. (KLM-200)</t>
    </r>
  </si>
  <si>
    <r>
      <rPr>
        <u/>
        <sz val="11"/>
        <rFont val="Calibri"/>
        <family val="2"/>
      </rPr>
      <t>OOC</t>
    </r>
    <r>
      <rPr>
        <sz val="11"/>
        <rFont val="Calibri"/>
        <family val="2"/>
      </rPr>
      <t xml:space="preserve"> - 1) As mobility support to 101 AH Counsellors for conducting 4  outreach visits in SHWP implementing schools per month for 12 months @ Rs.300/outreach visit.(KLM-5)
2) As communication support to 101 AH counsellors @ Rs.250 /month for 12 months. (KLM-5)</t>
    </r>
    <r>
      <rPr>
        <u/>
        <sz val="11"/>
        <rFont val="Calibri"/>
        <family val="2"/>
      </rPr>
      <t xml:space="preserve">
IEC &amp; Printing </t>
    </r>
    <r>
      <rPr>
        <sz val="11"/>
        <rFont val="Calibri"/>
        <family val="2"/>
      </rPr>
      <t xml:space="preserve">: Activities for implementation of SHWP including activities formation of DRG, Training of HWA, Principal Orientation, Merchandisc for HWA/HWMs, IEC materials for schools sessions, translation and printing of training material, Quarterly convergance meeting with education at district level etc. @ Rs.15.50 lakh per district for 14 dists.  
</t>
    </r>
  </si>
  <si>
    <r>
      <rPr>
        <u/>
        <sz val="11"/>
        <rFont val="Calibri"/>
        <family val="2"/>
      </rPr>
      <t>Capacity Building</t>
    </r>
    <r>
      <rPr>
        <sz val="11"/>
        <rFont val="Calibri"/>
        <family val="2"/>
      </rPr>
      <t xml:space="preserve"> -Training - for 1) ToT of MOs on Adolescent Friendly Health Service training (MASTER TRAINERS) Rs.140000/dist.,
2) 4 days training of MOs in each of 14 districts @150000/ batch (40 Nos.)
</t>
    </r>
    <r>
      <rPr>
        <u/>
        <sz val="11"/>
        <rFont val="Calibri"/>
        <family val="2"/>
      </rPr>
      <t>OOC</t>
    </r>
    <r>
      <rPr>
        <sz val="11"/>
        <rFont val="Calibri"/>
        <family val="2"/>
      </rPr>
      <t xml:space="preserve"> -  1) Operating expenses for AH/RKSK clinics:  AH/RKSK centre Rs. 12000/centre * no of AFHCs  (PTA - 9 AFHC )  
2) Mobility  support  to counsellors  for conducting 8 outreach session / month for 12 months @Rs.300/session. (PTA 9 counsellors)
3) AFHCs at CHC/PHC/FWC level (PTA-1)  (for establishment of  1 new AFHC  @ Rs.50000/AFHC)
</t>
    </r>
    <r>
      <rPr>
        <u/>
        <sz val="11"/>
        <rFont val="Calibri"/>
        <family val="2"/>
      </rPr>
      <t>IEC &amp; Printing</t>
    </r>
    <r>
      <rPr>
        <sz val="11"/>
        <rFont val="Calibri"/>
        <family val="2"/>
      </rPr>
      <t xml:space="preserve"> : For printing of various IEC materials for use in the AFHCs and by counsellors  
</t>
    </r>
    <r>
      <rPr>
        <u/>
        <sz val="11"/>
        <rFont val="Calibri"/>
        <family val="2"/>
      </rPr>
      <t>Planning and M&amp;E</t>
    </r>
    <r>
      <rPr>
        <sz val="11"/>
        <rFont val="Calibri"/>
        <family val="2"/>
      </rPr>
      <t xml:space="preserve"> :Bi-annual district level convergence workshop  under RKSK in 14 district. Rs 5000/district 
</t>
    </r>
  </si>
  <si>
    <r>
      <rPr>
        <u/>
        <sz val="11"/>
        <rFont val="Calibri"/>
        <family val="2"/>
      </rPr>
      <t>Capacity Building</t>
    </r>
    <r>
      <rPr>
        <sz val="11"/>
        <rFont val="Calibri"/>
        <family val="2"/>
      </rPr>
      <t xml:space="preserve"> - Training :  1) 6 days training of Master Trainers of Peer Educators (1 batch -40 Nos.) @ Rs.200000/- /dist.
2) Training (PTA-400 (10 Batch)
</t>
    </r>
    <r>
      <rPr>
        <u/>
        <sz val="11"/>
        <rFont val="Calibri"/>
        <family val="2"/>
      </rPr>
      <t xml:space="preserve">ASHA Incentives </t>
    </r>
    <r>
      <rPr>
        <sz val="11"/>
        <rFont val="Calibri"/>
        <family val="2"/>
      </rPr>
      <t xml:space="preserve">: Incentive for AH/RKSK Services  - ASHA Incentive for mobilizing adolescents and community for AHWD .   (Rs.200/- * 4 ASHAs * 4 AHWDs/year * No. of blocks)  
</t>
    </r>
    <r>
      <rPr>
        <u/>
        <sz val="11"/>
        <rFont val="Calibri"/>
        <family val="2"/>
      </rPr>
      <t>OCC</t>
    </r>
    <r>
      <rPr>
        <sz val="11"/>
        <rFont val="Calibri"/>
        <family val="2"/>
      </rPr>
      <t xml:space="preserve"> - 1) Organising monthly Adolescent Friendly Club  meetings at subcentre level  Rs. 500* no of blocks*5 subcentre*12 AFC meetings/FY ( PTA-10)
2)(Community Intervention for AH Services) Incentives for Peer Educators Rs 50/month* 12 months*no of  PEs (PTA -1600)
3) Organizing Adolescent Health &amp; Wellness day Rs. 2500* No. of selected blocks*4 AHWD/FY( PTA -10)
</t>
    </r>
    <r>
      <rPr>
        <u/>
        <sz val="11"/>
        <rFont val="Calibri"/>
        <family val="2"/>
      </rPr>
      <t>IEC &amp; Printing</t>
    </r>
    <r>
      <rPr>
        <sz val="11"/>
        <rFont val="Calibri"/>
        <family val="2"/>
      </rPr>
      <t xml:space="preserve"> : PE Kit and PE Diary  @ Rs 350/PE kit &amp; diary * no of New Peers entering 8th STD. (PTA-400)</t>
    </r>
  </si>
  <si>
    <r>
      <rPr>
        <u/>
        <sz val="11"/>
        <rFont val="Calibri"/>
        <family val="2"/>
      </rPr>
      <t xml:space="preserve">OOC </t>
    </r>
    <r>
      <rPr>
        <sz val="11"/>
        <rFont val="Calibri"/>
        <family val="2"/>
      </rPr>
      <t>- 1) As mobility support to 101 AH Counsellors for conducting 4  outreach visits in SHWP implementing schools per month for 12 months @ Rs.300/outreach visit.(PTA-9)
2) As communication support to 101 AH counsellors @ Rs.250 /month for 12 months. (PTA-9)</t>
    </r>
    <r>
      <rPr>
        <u/>
        <sz val="11"/>
        <rFont val="Calibri"/>
        <family val="2"/>
      </rPr>
      <t xml:space="preserve">
IEC &amp; Printing</t>
    </r>
    <r>
      <rPr>
        <sz val="11"/>
        <rFont val="Calibri"/>
        <family val="2"/>
      </rPr>
      <t xml:space="preserve"> : Activities for implementation of SHWP including activities formation of DRG, Training of HWA, Principal Orientation, Merchandisc for HWA/HWMs, IEC materials for schools sessions, translation and printing of training material, Quarterly convergance meeting with education at district level etc. @ Rs.15.50 lakh per district for 14 dists.  
</t>
    </r>
  </si>
  <si>
    <r>
      <rPr>
        <u/>
        <sz val="11"/>
        <rFont val="Calibri"/>
        <family val="2"/>
      </rPr>
      <t xml:space="preserve">Capacity Building </t>
    </r>
    <r>
      <rPr>
        <sz val="11"/>
        <rFont val="Calibri"/>
        <family val="2"/>
      </rPr>
      <t xml:space="preserve">-Training - for 1) ToT of MOs on Adolescent Friendly Health Service training (MASTER TRAINERS) Rs.140000/dist.,
2) 4 days training of MOs in each of 14 districts @150000/ batch (40 Nos.)
</t>
    </r>
    <r>
      <rPr>
        <u/>
        <sz val="11"/>
        <rFont val="Calibri"/>
        <family val="2"/>
      </rPr>
      <t>OOC</t>
    </r>
    <r>
      <rPr>
        <sz val="11"/>
        <rFont val="Calibri"/>
        <family val="2"/>
      </rPr>
      <t xml:space="preserve"> -  1) Operating expenses for AH/RKSK clinics:  AH/RKSK centre Rs. 12000/centre * no of AFHCs  (ALP -7 AFHC )  2) Mobility  support  to counsellors  for conducting 8 outreach session / month for 12 months @Rs.300/session. (Tvm 7 counsellors)
</t>
    </r>
    <r>
      <rPr>
        <u/>
        <sz val="11"/>
        <rFont val="Calibri"/>
        <family val="2"/>
      </rPr>
      <t>IEC &amp; Printing</t>
    </r>
    <r>
      <rPr>
        <sz val="11"/>
        <rFont val="Calibri"/>
        <family val="2"/>
      </rPr>
      <t xml:space="preserve"> : For printing of various IEC materials for use in the AFHCs and by counsellors  
</t>
    </r>
    <r>
      <rPr>
        <u/>
        <sz val="11"/>
        <rFont val="Calibri"/>
        <family val="2"/>
      </rPr>
      <t>Planning and M&amp;E</t>
    </r>
    <r>
      <rPr>
        <sz val="11"/>
        <rFont val="Calibri"/>
        <family val="2"/>
      </rPr>
      <t xml:space="preserve"> :Bi-annual district level convergence workshop  under RKSK in 14 district. Rs 5000/district </t>
    </r>
  </si>
  <si>
    <r>
      <rPr>
        <u/>
        <sz val="11"/>
        <rFont val="Calibri"/>
        <family val="2"/>
      </rPr>
      <t>Capacity Building</t>
    </r>
    <r>
      <rPr>
        <sz val="11"/>
        <rFont val="Calibri"/>
        <family val="2"/>
      </rPr>
      <t xml:space="preserve"> - Training :  1) 6 days training of Master Trainers of Peer Educators (1 batch -40 Nos.) @ Rs.200000/- /dist.
2) Training (6 days ) of New  Peer Educator in all districts (BLOCK LELVEL).  (ALP-400 (10 Batch)
</t>
    </r>
    <r>
      <rPr>
        <u/>
        <sz val="11"/>
        <rFont val="Calibri"/>
        <family val="2"/>
      </rPr>
      <t xml:space="preserve">ASHA Incentives </t>
    </r>
    <r>
      <rPr>
        <sz val="11"/>
        <rFont val="Calibri"/>
        <family val="2"/>
      </rPr>
      <t xml:space="preserve">: Incentive for AH/RKSK Services  - ASHA Incentive for mobilizing adolescents and community for AHWD .   (Rs.200/- * 4 ASHAs * 4 AHWDs/year * No. of blocks)  
</t>
    </r>
    <r>
      <rPr>
        <u/>
        <sz val="11"/>
        <rFont val="Calibri"/>
        <family val="2"/>
      </rPr>
      <t xml:space="preserve">OOC </t>
    </r>
    <r>
      <rPr>
        <sz val="11"/>
        <rFont val="Calibri"/>
        <family val="2"/>
      </rPr>
      <t xml:space="preserve">- 1) Organising monthly Adolescent Friendly Club  meetings at subcentre level  Rs. 500* no of blocks*5 subcentre*12 AFC meetings/FY ( ALP -7)
2)(Community Intervention for AH Services) Incentives for Peer Educators Rs 50/month* 12 months*no of  PEs (ALP -1800)
3) Organizing Adolescent Health &amp; Wellness day Rs. 2500* No. of selected blocks*4 AHWD/FY( ALP -7)
</t>
    </r>
    <r>
      <rPr>
        <u/>
        <sz val="11"/>
        <rFont val="Calibri"/>
        <family val="2"/>
      </rPr>
      <t>IEC &amp; Printing</t>
    </r>
    <r>
      <rPr>
        <sz val="11"/>
        <rFont val="Calibri"/>
        <family val="2"/>
      </rPr>
      <t xml:space="preserve"> : PE Kit and PE Diary  @ Rs 350/PE kit &amp; diary * no of New Peers entering 8th STD. (ALP-400)</t>
    </r>
  </si>
  <si>
    <r>
      <rPr>
        <u/>
        <sz val="11"/>
        <rFont val="Calibri"/>
        <family val="2"/>
      </rPr>
      <t>OOC -</t>
    </r>
    <r>
      <rPr>
        <sz val="11"/>
        <rFont val="Calibri"/>
        <family val="2"/>
      </rPr>
      <t xml:space="preserve"> 1) As mobility support to 101 AH Counsellors for conducting 4  outreach visits in SHWP implementing schools per month for 12 months @ Rs.300/outreach visit.(ALP-7)
2) As communication support to 101 AH counsellors @ Rs.250 /month for 12 months. (ALP-7)
</t>
    </r>
    <r>
      <rPr>
        <u/>
        <sz val="11"/>
        <rFont val="Calibri"/>
        <family val="2"/>
      </rPr>
      <t>IEC &amp; Printing</t>
    </r>
    <r>
      <rPr>
        <sz val="11"/>
        <rFont val="Calibri"/>
        <family val="2"/>
      </rPr>
      <t xml:space="preserve"> : Activities for implementation of SHWP including activities formation of DRG, Training of HWA, Principal Orientation, Merchandisc for HWA/HWMs, IEC materials for schools sessions, translation and printing of training material, Quarterly convergance meeting with education at district level etc. @ Rs.15.50 lakh per district for 14 dists.  
</t>
    </r>
  </si>
  <si>
    <r>
      <rPr>
        <u/>
        <sz val="11"/>
        <rFont val="Calibri"/>
        <family val="2"/>
      </rPr>
      <t xml:space="preserve">Capacity Building </t>
    </r>
    <r>
      <rPr>
        <sz val="11"/>
        <rFont val="Calibri"/>
        <family val="2"/>
      </rPr>
      <t xml:space="preserve">-Training - for 1) ToT of MOs on Adolescent Friendly Health Service training (MASTER TRAINERS) Rs.140000/dist.,
2) 4 days training of MOs in each of 14 districts @150000/ batch (40 Nos.)
 3) AFHS training of ANM/LHV/MPW/other healthworkers @Rs.1 lakh/batch  (Total 5 batch) -  (3 DAYS TRNG)  (40 Nos. /batch )
</t>
    </r>
    <r>
      <rPr>
        <u/>
        <sz val="11"/>
        <rFont val="Calibri"/>
        <family val="2"/>
      </rPr>
      <t>OOC</t>
    </r>
    <r>
      <rPr>
        <sz val="11"/>
        <rFont val="Calibri"/>
        <family val="2"/>
      </rPr>
      <t xml:space="preserve"> -  1) Operating expenses for AH/RKSK clinics:  AH/RKSK centre Rs. 12000/centre * no of AFHCs  (KTM-4 AFHC )  2) Mobility  support  to counsellors  for conducting 8 outreach session / month for 12 months @Rs.300/session. (KTM 4 counsellors)
</t>
    </r>
    <r>
      <rPr>
        <u/>
        <sz val="11"/>
        <rFont val="Calibri"/>
        <family val="2"/>
      </rPr>
      <t>IEC &amp; Printing</t>
    </r>
    <r>
      <rPr>
        <sz val="11"/>
        <rFont val="Calibri"/>
        <family val="2"/>
      </rPr>
      <t xml:space="preserve"> : For printing of various IEC materials for use in the AFHCs and by counsellors  
</t>
    </r>
    <r>
      <rPr>
        <u/>
        <sz val="11"/>
        <rFont val="Calibri"/>
        <family val="2"/>
      </rPr>
      <t>Planning and M&amp;E</t>
    </r>
    <r>
      <rPr>
        <sz val="11"/>
        <rFont val="Calibri"/>
        <family val="2"/>
      </rPr>
      <t xml:space="preserve"> :Bi-annual district level convergence workshop  under RKSK in 14 district. Rs 5000/district </t>
    </r>
  </si>
  <si>
    <r>
      <rPr>
        <u/>
        <sz val="11"/>
        <rFont val="Calibri"/>
        <family val="2"/>
      </rPr>
      <t>Capacity Building</t>
    </r>
    <r>
      <rPr>
        <sz val="11"/>
        <rFont val="Calibri"/>
        <family val="2"/>
      </rPr>
      <t xml:space="preserve"> - Training :  1) 6 days training of Master Trainers of Peer Educators (1 batch -40 Nos.) @ Rs.200000/- /dist.
2) Training (6 days ) of New  Peer Educator in all districts (BLOCK LELVEL).  (KTM-200 (5 Batch)
</t>
    </r>
    <r>
      <rPr>
        <u/>
        <sz val="11"/>
        <rFont val="Calibri"/>
        <family val="2"/>
      </rPr>
      <t>ASHA Incentives</t>
    </r>
    <r>
      <rPr>
        <sz val="11"/>
        <rFont val="Calibri"/>
        <family val="2"/>
      </rPr>
      <t xml:space="preserve"> : Incentive for AH/RKSK Services  - ASHA Incentive for mobilizing adolescents and community for AHWD .   (Rs.200/- * 4 </t>
    </r>
    <r>
      <rPr>
        <u/>
        <sz val="11"/>
        <rFont val="Calibri"/>
        <family val="2"/>
      </rPr>
      <t>ASHAs * 4 AHWDs/year * No. of blocks)  
OOC</t>
    </r>
    <r>
      <rPr>
        <sz val="11"/>
        <rFont val="Calibri"/>
        <family val="2"/>
      </rPr>
      <t xml:space="preserve"> - 1) Organising monthly Adolescent Friendly Club  meetings at subcentre level  Rs. 500* no of blocks*5 subcentre*12 AFC meetings/FY ( KTM-4)
2)(Community Intervention for AH Services) Incentives for Peer Educators Rs 50/month* 12 months*no of  PEs (KTM -800)
3) Organizing Adolescent Health &amp; Wellness day Rs. 2500* No. of selected blocks*4 AHWD/FY( KTM -4)
</t>
    </r>
    <r>
      <rPr>
        <u/>
        <sz val="11"/>
        <rFont val="Calibri"/>
        <family val="2"/>
      </rPr>
      <t>IEC &amp; Printing</t>
    </r>
    <r>
      <rPr>
        <sz val="11"/>
        <rFont val="Calibri"/>
        <family val="2"/>
      </rPr>
      <t xml:space="preserve"> : PE Kit and PE Diary  @ Rs 350/PE kit &amp; diary * no of New Peers entering 8th STD. (KTM-200)</t>
    </r>
  </si>
  <si>
    <r>
      <rPr>
        <u/>
        <sz val="11"/>
        <rFont val="Calibri"/>
        <family val="2"/>
      </rPr>
      <t>OOC</t>
    </r>
    <r>
      <rPr>
        <sz val="11"/>
        <rFont val="Calibri"/>
        <family val="2"/>
      </rPr>
      <t xml:space="preserve"> - 1) As mobility support to 101 AH Counsellors for conducting 4  outreach visits in SHWP implementing schools per month for 12 months @ Rs.300/outreach visit.(KTM-4)
2) As communication support to 101 AH counsellors @ Rs.250 /month for 12 months. (KTM-4)
</t>
    </r>
    <r>
      <rPr>
        <u/>
        <sz val="11"/>
        <rFont val="Calibri"/>
        <family val="2"/>
      </rPr>
      <t xml:space="preserve">IEC &amp; Printing </t>
    </r>
    <r>
      <rPr>
        <sz val="11"/>
        <rFont val="Calibri"/>
        <family val="2"/>
      </rPr>
      <t xml:space="preserve">: Activities for implementation of SHWP including activities formation of DRG, Training of HWA, Principal Orientation, Merchandisc for HWA/HWMs, IEC materials for schools sessions, translation and printing of training material, Quarterly convergance meeting with education at district level etc. @ Rs.15.50 lakh per district for 14 dists.  
</t>
    </r>
  </si>
  <si>
    <r>
      <rPr>
        <u/>
        <sz val="11"/>
        <rFont val="Calibri"/>
        <family val="2"/>
      </rPr>
      <t>Capacity Building</t>
    </r>
    <r>
      <rPr>
        <sz val="11"/>
        <rFont val="Calibri"/>
        <family val="2"/>
      </rPr>
      <t xml:space="preserve"> -Training - for 1) ToT of MOs on Adolescent Friendly Health Service training (MASTER TRAINERS) Rs.140000/dist.,
2) 4 days training of MOs in each of 14 districts @150000/ batch (40 Nos.)
</t>
    </r>
    <r>
      <rPr>
        <u/>
        <sz val="11"/>
        <rFont val="Calibri"/>
        <family val="2"/>
      </rPr>
      <t>OOC</t>
    </r>
    <r>
      <rPr>
        <sz val="11"/>
        <rFont val="Calibri"/>
        <family val="2"/>
      </rPr>
      <t xml:space="preserve"> -  1) Operating expenses for AH/RKSK clinics:  AH/RKSK centre Rs. 12000/centre * no of AFHCs  (IDK- 8 AFHC )  2) Mobility  support  to counsellors  for conducting 8 outreach session / month for 12 months @Rs.300/session. (IDK 8 counsellors)
</t>
    </r>
    <r>
      <rPr>
        <u/>
        <sz val="11"/>
        <rFont val="Calibri"/>
        <family val="2"/>
      </rPr>
      <t>IEC &amp; Printing</t>
    </r>
    <r>
      <rPr>
        <sz val="11"/>
        <rFont val="Calibri"/>
        <family val="2"/>
      </rPr>
      <t xml:space="preserve"> : For printing of various IEC materials for use in the AFHCs and by counsellors  
</t>
    </r>
    <r>
      <rPr>
        <u/>
        <sz val="11"/>
        <rFont val="Calibri"/>
        <family val="2"/>
      </rPr>
      <t>Planning and M&amp;E</t>
    </r>
    <r>
      <rPr>
        <sz val="11"/>
        <rFont val="Calibri"/>
        <family val="2"/>
      </rPr>
      <t xml:space="preserve"> :Bi-annual district level convergence workshop  under RKSK in 14 district. Rs 5000/district </t>
    </r>
  </si>
  <si>
    <r>
      <rPr>
        <u/>
        <sz val="11"/>
        <rFont val="Calibri"/>
        <family val="2"/>
      </rPr>
      <t xml:space="preserve">Capacity Building </t>
    </r>
    <r>
      <rPr>
        <sz val="11"/>
        <rFont val="Calibri"/>
        <family val="2"/>
      </rPr>
      <t xml:space="preserve">- Training :  1) 6 days training of Master Trainers of Peer Educators (1 batch -40 Nos.) @ Rs.200000/- /dist.
2) Training (6 days ) of New  Peer Educator in all districts (BLOCK LELVEL).  (IDK-400 (10 Batch)
</t>
    </r>
    <r>
      <rPr>
        <u/>
        <sz val="11"/>
        <rFont val="Calibri"/>
        <family val="2"/>
      </rPr>
      <t>ASHA Incentives</t>
    </r>
    <r>
      <rPr>
        <sz val="11"/>
        <rFont val="Calibri"/>
        <family val="2"/>
      </rPr>
      <t xml:space="preserve"> : Incentive for AH/RKSK Services  - ASHA Incentive for mobilizing adolescents and community for AHWD .   (Rs.200/- * 4 ASHAs * 4 AHWDs/year * No. of blocks)  
</t>
    </r>
    <r>
      <rPr>
        <u/>
        <sz val="11"/>
        <rFont val="Calibri"/>
        <family val="2"/>
      </rPr>
      <t>OCC</t>
    </r>
    <r>
      <rPr>
        <sz val="11"/>
        <rFont val="Calibri"/>
        <family val="2"/>
      </rPr>
      <t xml:space="preserve"> - 1) Organising monthly Adolescent Friendly Club  meetings at subcentre level  Rs. 500* no of blocks*5 subcentre*12 AFC meetings/FY ( IDK-8)
2)(Community Intervention for AH Services) Incentives for Peer Educators Rs 50/month* 12 months*no of  PEs (IDK -1200)
3) Organizing Adolescent Health &amp; Wellness day Rs. 2500* No. of selected blocks*4 AHWD/FY(IDK -8)
</t>
    </r>
    <r>
      <rPr>
        <u/>
        <sz val="11"/>
        <rFont val="Calibri"/>
        <family val="2"/>
      </rPr>
      <t xml:space="preserve">IEC &amp; Printing </t>
    </r>
    <r>
      <rPr>
        <sz val="11"/>
        <rFont val="Calibri"/>
        <family val="2"/>
      </rPr>
      <t>: PE Kit and PE Diary  @ Rs 350/PE kit &amp; diary * no of New Peers entering 8th STD. (IDK -400)</t>
    </r>
  </si>
  <si>
    <r>
      <rPr>
        <u/>
        <sz val="11"/>
        <rFont val="Calibri"/>
        <family val="2"/>
      </rPr>
      <t>OOC</t>
    </r>
    <r>
      <rPr>
        <sz val="11"/>
        <rFont val="Calibri"/>
        <family val="2"/>
      </rPr>
      <t xml:space="preserve"> - 1) As mobility support to 101 AH Counsellors for conducting 4  outreach visits in SHWP implementing schools per month for 12 months @ Rs.300/outreach visit.(IDK-8)
2) As communication support to 101 AH counsellors @ Rs.250 /month for 12 months. (IDK-8)
</t>
    </r>
    <r>
      <rPr>
        <u/>
        <sz val="11"/>
        <rFont val="Calibri"/>
        <family val="2"/>
      </rPr>
      <t xml:space="preserve">IEC &amp; Printing </t>
    </r>
    <r>
      <rPr>
        <sz val="11"/>
        <rFont val="Calibri"/>
        <family val="2"/>
      </rPr>
      <t xml:space="preserve">: Activities for implementation of SHWP including activities formation of DRG, Training of HWA, Principal Orientation, Merchandisc for HWA/HWMs, IEC materials for schools sessions, translation and printing of training material, Quarterly convergance meeting with education at district level etc. @ Rs.15.50 lakh per district for 14 dists.  
</t>
    </r>
  </si>
  <si>
    <t>Amount</t>
  </si>
  <si>
    <r>
      <rPr>
        <u/>
        <sz val="11"/>
        <rFont val="Calibri"/>
        <family val="2"/>
      </rPr>
      <t>Capacity Building</t>
    </r>
    <r>
      <rPr>
        <sz val="11"/>
        <rFont val="Calibri"/>
        <family val="2"/>
      </rPr>
      <t xml:space="preserve"> -Training - for 1) ToT of MOs on Adolescent Friendly Health Service training (MASTER TRAINERS) Rs.140000/dist.,
2) 4 days training of MOs in each of 14 districts @150000/ batch (40 Nos.)
 3) AFHS training of ANM/LHV/MPW/other healthworkers @Rs.1 lakh/batch  (Total 5 batch) -  (3 DAYS TRNG)  (40 Nos. /batch )
</t>
    </r>
    <r>
      <rPr>
        <u/>
        <sz val="11"/>
        <rFont val="Calibri"/>
        <family val="2"/>
      </rPr>
      <t>OOC</t>
    </r>
    <r>
      <rPr>
        <sz val="11"/>
        <rFont val="Calibri"/>
        <family val="2"/>
      </rPr>
      <t xml:space="preserve"> -  1) Operating expenses for AH/RKSK clinics:  AH/RKSK centre Rs. 12000/centre * no of AFHCs  (EKM-5 AFHC )  2) Mobility  support  to counsellors  for conducting 8 outreach session / month for 12 months @Rs.300/session. (EKM 5 counsellors)
</t>
    </r>
    <r>
      <rPr>
        <u/>
        <sz val="11"/>
        <rFont val="Calibri"/>
        <family val="2"/>
      </rPr>
      <t>IEC &amp; Printing</t>
    </r>
    <r>
      <rPr>
        <sz val="11"/>
        <rFont val="Calibri"/>
        <family val="2"/>
      </rPr>
      <t xml:space="preserve"> : For printing of various IEC materials for use in the AFHCs and by counsellors  
</t>
    </r>
    <r>
      <rPr>
        <u/>
        <sz val="11"/>
        <rFont val="Calibri"/>
        <family val="2"/>
      </rPr>
      <t>Planning and M&amp;E</t>
    </r>
    <r>
      <rPr>
        <sz val="11"/>
        <rFont val="Calibri"/>
        <family val="2"/>
      </rPr>
      <t xml:space="preserve"> :Bi-annual district level convergence workshop  under RKSK in 14 district. Rs 5000/district </t>
    </r>
  </si>
  <si>
    <r>
      <rPr>
        <u/>
        <sz val="11"/>
        <rFont val="Calibri"/>
        <family val="2"/>
      </rPr>
      <t>Capacity Building</t>
    </r>
    <r>
      <rPr>
        <sz val="11"/>
        <rFont val="Calibri"/>
        <family val="2"/>
      </rPr>
      <t xml:space="preserve"> - Training :  1) 6 days training of Master Trainers of Peer Educators (1 batch -40 Nos.) @ Rs.200000/- /dist.
2) Training (6 days ) of New  Peer Educator in all districts (BLOCK LELVEL).  (EKM-200 (5 Batch)
</t>
    </r>
    <r>
      <rPr>
        <u/>
        <sz val="11"/>
        <rFont val="Calibri"/>
        <family val="2"/>
      </rPr>
      <t>ASHA Incentives</t>
    </r>
    <r>
      <rPr>
        <sz val="11"/>
        <rFont val="Calibri"/>
        <family val="2"/>
      </rPr>
      <t xml:space="preserve"> : Incentive for AH/RKSK Services  - ASHA Incentive for mobilizing adolescents and community for AHWD .   (Rs.200/- * 4 ASHAs * 4 AHWDs/year * No. of blocks)  </t>
    </r>
    <r>
      <rPr>
        <u/>
        <sz val="11"/>
        <rFont val="Calibri"/>
        <family val="2"/>
      </rPr>
      <t xml:space="preserve">
OOC</t>
    </r>
    <r>
      <rPr>
        <sz val="11"/>
        <rFont val="Calibri"/>
        <family val="2"/>
      </rPr>
      <t xml:space="preserve"> - 1) Organising monthly Adolescent Friendly Club  meetings at subcentre level  Rs. 500* no of blocks*5 subcentre*12 AFC meetings/FY ( EKM-5)
2)(Community Intervention for AH Services) Incentives for Peer Educators Rs 50/month* 12 months*no of  PEs (EKM -800)
3) Organizing Adolescent Health &amp; Wellness day Rs. 2500* No. of selected blocks*4 AHWD/FY( EKM -5)
</t>
    </r>
    <r>
      <rPr>
        <u/>
        <sz val="11"/>
        <rFont val="Calibri"/>
        <family val="2"/>
      </rPr>
      <t xml:space="preserve">IEC &amp; Printing </t>
    </r>
    <r>
      <rPr>
        <sz val="11"/>
        <rFont val="Calibri"/>
        <family val="2"/>
      </rPr>
      <t>: PE Kit and PE Diary  @ Rs 350/PE kit &amp; diary * no of New Peers entering 8th STD. (EKM-200)</t>
    </r>
  </si>
  <si>
    <r>
      <rPr>
        <u/>
        <sz val="11"/>
        <rFont val="Calibri"/>
        <family val="2"/>
      </rPr>
      <t>OOC</t>
    </r>
    <r>
      <rPr>
        <sz val="11"/>
        <rFont val="Calibri"/>
        <family val="2"/>
      </rPr>
      <t xml:space="preserve"> - 1) As mobility support to 101 AH Counsellors for conducting 4  outreach visits in SHWP implementing schools per month for 12 months @ Rs.300/outreach visit.(EKM-5)
2) As communication support to 101 AH counsellors @ Rs.250 /month for 12 months. (EKM-5)
</t>
    </r>
    <r>
      <rPr>
        <u/>
        <sz val="11"/>
        <rFont val="Calibri"/>
        <family val="2"/>
      </rPr>
      <t xml:space="preserve">IEC &amp; Printing </t>
    </r>
    <r>
      <rPr>
        <sz val="11"/>
        <rFont val="Calibri"/>
        <family val="2"/>
      </rPr>
      <t xml:space="preserve">: Activities for implementation of SHWP including activities formation of DRG, Training of HWA, Principal Orientation, Merchandisc for HWA/HWMs, IEC materials for schools sessions, translation and printing of training material, Quarterly convergance meeting with education at district level etc. @ Rs.15.50 lakh per district for 14 dists.  
</t>
    </r>
  </si>
  <si>
    <r>
      <rPr>
        <u/>
        <sz val="11"/>
        <rFont val="Calibri"/>
        <family val="2"/>
      </rPr>
      <t>Capacity Building</t>
    </r>
    <r>
      <rPr>
        <sz val="11"/>
        <rFont val="Calibri"/>
        <family val="2"/>
      </rPr>
      <t xml:space="preserve"> -Training - for 1) ToT of MOs on Adolescent Friendly Health Service training (MASTER TRAINERS) Rs.140000/dist.,
2) 4 days training of MOs in each of 14 districts @150000/ batch (40 Nos.)
 3) AFHS training of ANM/LHV/MPW/other healthworkers @Rs.1 lakh/batch  (Total 5 batch) -  (3 DAYS TRNG)  (40 Nos. /batch )
</t>
    </r>
    <r>
      <rPr>
        <u/>
        <sz val="11"/>
        <rFont val="Calibri"/>
        <family val="2"/>
      </rPr>
      <t xml:space="preserve">OOC </t>
    </r>
    <r>
      <rPr>
        <sz val="11"/>
        <rFont val="Calibri"/>
        <family val="2"/>
      </rPr>
      <t xml:space="preserve">-  1) Operating expenses for AH/RKSK clinics:  AH/RKSK centre Rs. 12000/centre * no of AFHCs  (TSR- 5 AFHC )  
2) Mobility  support  to counsellors  for conducting 8 outreach session / month for 12 months @Rs.300/session. (TSR 5 counsellors)
</t>
    </r>
    <r>
      <rPr>
        <u/>
        <sz val="11"/>
        <rFont val="Calibri"/>
        <family val="2"/>
      </rPr>
      <t xml:space="preserve">IEC &amp; Printing </t>
    </r>
    <r>
      <rPr>
        <sz val="11"/>
        <rFont val="Calibri"/>
        <family val="2"/>
      </rPr>
      <t xml:space="preserve">: For printing of various IEC materials for use in the AFHCs and by counsellors  
</t>
    </r>
    <r>
      <rPr>
        <u/>
        <sz val="11"/>
        <rFont val="Calibri"/>
        <family val="2"/>
      </rPr>
      <t>Planning and M&amp;E</t>
    </r>
    <r>
      <rPr>
        <sz val="11"/>
        <rFont val="Calibri"/>
        <family val="2"/>
      </rPr>
      <t xml:space="preserve"> :Bi-annual district level convergence workshop  under RKSK in 14 district. Rs 5000/district </t>
    </r>
  </si>
  <si>
    <r>
      <rPr>
        <u/>
        <sz val="11"/>
        <rFont val="Calibri"/>
        <family val="2"/>
      </rPr>
      <t>Capacity Building</t>
    </r>
    <r>
      <rPr>
        <sz val="11"/>
        <rFont val="Calibri"/>
        <family val="2"/>
      </rPr>
      <t xml:space="preserve"> - Training :  1) 6 days training of Master Trainers of Peer Educators (1 batch -40 Nos.) @ Rs.200000/- /dist.
2) Training (6 days ) of New  Peer Educator in all districts (BLOCK LELVEL).  (TSR-200 (5 Batch)
</t>
    </r>
    <r>
      <rPr>
        <u/>
        <sz val="11"/>
        <rFont val="Calibri"/>
        <family val="2"/>
      </rPr>
      <t>ASHA Incentives</t>
    </r>
    <r>
      <rPr>
        <sz val="11"/>
        <rFont val="Calibri"/>
        <family val="2"/>
      </rPr>
      <t xml:space="preserve"> : Incentive for AH/RKSK Services  - ASHA Incentive for mobilizing adolescents and community for AHWD .   (Rs.200/- * 4 ASHAs * 4 AHWDs/year * No. of blocks)  
</t>
    </r>
    <r>
      <rPr>
        <u/>
        <sz val="11"/>
        <rFont val="Calibri"/>
        <family val="2"/>
      </rPr>
      <t xml:space="preserve">OOC </t>
    </r>
    <r>
      <rPr>
        <sz val="11"/>
        <rFont val="Calibri"/>
        <family val="2"/>
      </rPr>
      <t xml:space="preserve">- 1) Organising monthly Adolescent Friendly Club  meetings at subcentre level  Rs. 500* no of blocks*5 subcentre*12 AFC meetings/FY ( TSR-5)
2)(Community Intervention for AH Services) Incentives for Peer Educators Rs 50/month* 12 months*no of  PEs (TSR -800)
3) Organizing Adolescent Health &amp; Wellness day Rs. 2500* No. of selected blocks*4 AHWD/FY( TSR -5)
</t>
    </r>
    <r>
      <rPr>
        <u/>
        <sz val="11"/>
        <rFont val="Calibri"/>
        <family val="2"/>
      </rPr>
      <t>IEC &amp; Printing</t>
    </r>
    <r>
      <rPr>
        <sz val="11"/>
        <rFont val="Calibri"/>
        <family val="2"/>
      </rPr>
      <t xml:space="preserve"> : PE Kit and PE Diary  @ Rs 350/PE kit &amp; diary * no of New Peers entering 8th STD. (TSR-200)</t>
    </r>
  </si>
  <si>
    <r>
      <rPr>
        <u/>
        <sz val="11"/>
        <rFont val="Calibri"/>
        <family val="2"/>
      </rPr>
      <t>OOC</t>
    </r>
    <r>
      <rPr>
        <sz val="11"/>
        <rFont val="Calibri"/>
        <family val="2"/>
      </rPr>
      <t xml:space="preserve"> - 1) As mobility support to 101 AH Counsellors for conducting 4  outreach visits in SHWP implementing schools per month for 12 months @ Rs.300/outreach visit.(TSR-5)
2) As communication support to 101 AH counsellors @ Rs.250 /month for 12 months. (TSR-5)
</t>
    </r>
    <r>
      <rPr>
        <u/>
        <sz val="11"/>
        <rFont val="Calibri"/>
        <family val="2"/>
      </rPr>
      <t xml:space="preserve">IEC &amp; Printing </t>
    </r>
    <r>
      <rPr>
        <sz val="11"/>
        <rFont val="Calibri"/>
        <family val="2"/>
      </rPr>
      <t xml:space="preserve">: Activities for implementation of SHWP including activities formation of DRG, Training of HWA, Principal Orientation, Merchandisc for HWA/HWMs, IEC materials for schools sessions, translation and printing of training material, Quarterly convergance meeting with education at district level etc. @ Rs.15.50 lakh per district for 14 dists.  
</t>
    </r>
  </si>
  <si>
    <r>
      <rPr>
        <u/>
        <sz val="11"/>
        <rFont val="Calibri"/>
        <family val="2"/>
      </rPr>
      <t>Capacity Building</t>
    </r>
    <r>
      <rPr>
        <sz val="11"/>
        <rFont val="Calibri"/>
        <family val="2"/>
      </rPr>
      <t xml:space="preserve"> -Training - for 1) ToT of MOs on Adolescent Friendly Health Service training (MASTER TRAINERS) Rs.140000/dist.,
2) 4 days training of MOs in each of 14 districts @150000/ batch (40 Nos.)
</t>
    </r>
    <r>
      <rPr>
        <u/>
        <sz val="11"/>
        <rFont val="Calibri"/>
        <family val="2"/>
      </rPr>
      <t>OOC</t>
    </r>
    <r>
      <rPr>
        <sz val="11"/>
        <rFont val="Calibri"/>
        <family val="2"/>
      </rPr>
      <t xml:space="preserve"> -  1) Operating expenses for AH/RKSK clinics:  AH/RKSK centre Rs. 12000/centre * no of AFHCs  (PKD -15 AFHC ) 
2) Mobility  support  to counsellors  for conducting 8 outreach session / month for 12 months @Rs.300/session. (PKD 15 counsellors)
</t>
    </r>
    <r>
      <rPr>
        <u/>
        <sz val="11"/>
        <rFont val="Calibri"/>
        <family val="2"/>
      </rPr>
      <t>IEC &amp; Printing</t>
    </r>
    <r>
      <rPr>
        <sz val="11"/>
        <rFont val="Calibri"/>
        <family val="2"/>
      </rPr>
      <t xml:space="preserve"> : For printing of various IEC materials for use in the AFHCs and by counsellors  
</t>
    </r>
    <r>
      <rPr>
        <u/>
        <sz val="11"/>
        <rFont val="Calibri"/>
        <family val="2"/>
      </rPr>
      <t>Planning and M&amp;E</t>
    </r>
    <r>
      <rPr>
        <sz val="11"/>
        <rFont val="Calibri"/>
        <family val="2"/>
      </rPr>
      <t xml:space="preserve"> :Bi-annual district level convergence workshop  under RKSK in 14 district. Rs 5000/district </t>
    </r>
  </si>
  <si>
    <r>
      <rPr>
        <u/>
        <sz val="11"/>
        <rFont val="Calibri"/>
        <family val="2"/>
      </rPr>
      <t xml:space="preserve">Capacity Building </t>
    </r>
    <r>
      <rPr>
        <sz val="11"/>
        <rFont val="Calibri"/>
        <family val="2"/>
      </rPr>
      <t xml:space="preserve">- Training :  1) 6 days training of Master Trainers of Peer Educators (1 batch -40 Nos.) @ Rs.200000/- /dist.
2) Training (6 days ) of New  Peer Educator in all districts (BLOCK LELVEL).  (PKD-1000 ( 24 Batch)
</t>
    </r>
    <r>
      <rPr>
        <u/>
        <sz val="11"/>
        <rFont val="Calibri"/>
        <family val="2"/>
      </rPr>
      <t>ASHA Incentives</t>
    </r>
    <r>
      <rPr>
        <sz val="11"/>
        <rFont val="Calibri"/>
        <family val="2"/>
      </rPr>
      <t xml:space="preserve"> : Incentive for AH/RKSK Services  - ASHA Incentive for mobilizing adolescents and community for AHWD .   (Rs.200/- * 4 ASHAs * 4 AHWDs/year * No. of blocks)  
</t>
    </r>
    <r>
      <rPr>
        <u/>
        <sz val="11"/>
        <rFont val="Calibri"/>
        <family val="2"/>
      </rPr>
      <t xml:space="preserve">OOC </t>
    </r>
    <r>
      <rPr>
        <sz val="11"/>
        <rFont val="Calibri"/>
        <family val="2"/>
      </rPr>
      <t xml:space="preserve">- 1) Organising monthly Adolescent Friendly Club  meetings at subcentre level  Rs. 500* no of blocks*5 subcentre*12 AFC meetings/FY ( PKD-15)
2)(Community Intervention for AH Services) Incentives for Peer Educators Rs 50/month* 12 months*no of  PEs (PKD-2000)
3) Organizing Adolescent Health &amp; Wellness day Rs. 2500* No. of selected blocks*4 AHWD/FY( PKD -15)
</t>
    </r>
    <r>
      <rPr>
        <u/>
        <sz val="11"/>
        <rFont val="Calibri"/>
        <family val="2"/>
      </rPr>
      <t xml:space="preserve">IEC &amp; Printing </t>
    </r>
    <r>
      <rPr>
        <sz val="11"/>
        <rFont val="Calibri"/>
        <family val="2"/>
      </rPr>
      <t>: PE Kit and PE Diary  @ Rs 350/PE kit &amp; diary * no of New Peers entering 8th STD. (PKD-1000)</t>
    </r>
  </si>
  <si>
    <r>
      <rPr>
        <u/>
        <sz val="11"/>
        <rFont val="Calibri"/>
        <family val="2"/>
      </rPr>
      <t>OOC</t>
    </r>
    <r>
      <rPr>
        <sz val="11"/>
        <rFont val="Calibri"/>
        <family val="2"/>
      </rPr>
      <t xml:space="preserve"> - 1) As mobility support to 101 AH Counsellors for conducting 4  outreach visits in SHWP implementing schools per month for 12 months @ Rs.300/outreach visit.(PKD-15)
2) As communication support to 101 AH counsellors @ Rs.250 /month for 12 months. (PKD-15)
</t>
    </r>
    <r>
      <rPr>
        <u/>
        <sz val="11"/>
        <rFont val="Calibri"/>
        <family val="2"/>
      </rPr>
      <t xml:space="preserve">IEC &amp; Printing </t>
    </r>
    <r>
      <rPr>
        <sz val="11"/>
        <rFont val="Calibri"/>
        <family val="2"/>
      </rPr>
      <t xml:space="preserve">: Activities for implementation of SHWP including activities formation of DRG, Training of HWA, Principal Orientation, Merchandisc for HWA/HWMs, IEC materials for schools sessions, translation and printing of training material, Quarterly convergance meeting with education at district level etc. @ Rs.15.50 lakh per district for 14 dists.  
</t>
    </r>
  </si>
  <si>
    <t>Drugs and supplies Rs. 3 Lakhs  - Management of Hep A &amp; E Rs 3 Lakhs Cash Grant- 1 lakh per centre  - Flexible E.g. 5000 (Diagnosis) and 95000(T/t) (for3 treatment centres) (We already have 3 TCs (MCH Malappuram, DH Peruthalmanna &amp; DH Tirur)  Others including operating costs(OOC) Rs. 1.539 Lakhs -Rs. 1.5 Lakhs for TC- Meeting Costs/Office expenses/Contingency Cash Grant- Rs 50,000/- per centre,  (We already have 3 TCs  (MCH Malappuram, DH Peruthalmanna &amp; DH Tirur)  Rs. 0.039 Lakhs for Transport of Samples for viral load testing.</t>
  </si>
  <si>
    <r>
      <rPr>
        <u/>
        <sz val="11"/>
        <rFont val="Calibri"/>
        <family val="2"/>
      </rPr>
      <t>Capacity Building</t>
    </r>
    <r>
      <rPr>
        <sz val="11"/>
        <rFont val="Calibri"/>
        <family val="2"/>
      </rPr>
      <t xml:space="preserve"> -Training - for 1) ToT of MOs on Adolescent Friendly Health Service training (MASTER TRAINERS) Rs.140000/dist.,
2) 4 days training of MOs in each of 14 districts @150000/ batch (40 Nos.)
</t>
    </r>
    <r>
      <rPr>
        <u/>
        <sz val="11"/>
        <rFont val="Calibri"/>
        <family val="2"/>
      </rPr>
      <t>OOC</t>
    </r>
    <r>
      <rPr>
        <sz val="11"/>
        <rFont val="Calibri"/>
        <family val="2"/>
      </rPr>
      <t xml:space="preserve"> -  1) Operating expenses for AH/RKSK clinics:  AH/RKSK centre Rs. 12000/centre * no of AFHCs  (MLP-15 AFHC ) 
2) Mobility  support  to counsellors  for conducting 8 outreach session / month for 12 months @Rs.300/session. (MLP 15 counsellors)
</t>
    </r>
    <r>
      <rPr>
        <u/>
        <sz val="11"/>
        <rFont val="Calibri"/>
        <family val="2"/>
      </rPr>
      <t>IEC &amp; Printing</t>
    </r>
    <r>
      <rPr>
        <sz val="11"/>
        <rFont val="Calibri"/>
        <family val="2"/>
      </rPr>
      <t xml:space="preserve"> : For printing of various IEC materials for use in the AFHCs and by counsellors  
</t>
    </r>
    <r>
      <rPr>
        <u/>
        <sz val="11"/>
        <rFont val="Calibri"/>
        <family val="2"/>
      </rPr>
      <t>Planning and M&amp;E</t>
    </r>
    <r>
      <rPr>
        <sz val="11"/>
        <rFont val="Calibri"/>
        <family val="2"/>
      </rPr>
      <t xml:space="preserve"> :Bi-annual district level convergence workshop  under RKSK in 14 district. Rs 5000/district </t>
    </r>
  </si>
  <si>
    <r>
      <rPr>
        <u/>
        <sz val="11"/>
        <rFont val="Calibri"/>
        <family val="2"/>
      </rPr>
      <t>Capacity Building</t>
    </r>
    <r>
      <rPr>
        <sz val="11"/>
        <rFont val="Calibri"/>
        <family val="2"/>
      </rPr>
      <t xml:space="preserve"> - Training :  1) 6 days training of Master Trainers of Peer Educators (1 batch -40 Nos.) @ Rs.200000/- /dist.
2) Training (6 days ) of New  Peer Educator in all districts (BLOCK LELVEL).  (MLP-1000 ( 24 Batch)
</t>
    </r>
    <r>
      <rPr>
        <u/>
        <sz val="11"/>
        <rFont val="Calibri"/>
        <family val="2"/>
      </rPr>
      <t>ASHA Incentives</t>
    </r>
    <r>
      <rPr>
        <sz val="11"/>
        <rFont val="Calibri"/>
        <family val="2"/>
      </rPr>
      <t xml:space="preserve"> : Incentive for AH/RKSK Services  - ASHA Incentive for mobilizing adolescents and community for AHWD .   (Rs.200/- * 4 ASHAs * 4 AHWDs/year * No. of blocks)  
</t>
    </r>
    <r>
      <rPr>
        <u/>
        <sz val="11"/>
        <rFont val="Calibri"/>
        <family val="2"/>
      </rPr>
      <t xml:space="preserve">OOC </t>
    </r>
    <r>
      <rPr>
        <sz val="11"/>
        <rFont val="Calibri"/>
        <family val="2"/>
      </rPr>
      <t xml:space="preserve">- 1) Organising monthly Adolescent Friendly Club  meetings at subcentre level  Rs. 500* no of blocks*5 subcentre*12 AFC meetings/FY ( MLP-15)
2)(Community Intervention for AH Services) Incentives for Peer Educators Rs 50/month* 12 months*no of  PEs (MLP-3400)
3) Organizing Adolescent Health &amp; Wellness day Rs. 2500* No. of selected blocks*4 AHWD/FY( MLP -15)
</t>
    </r>
    <r>
      <rPr>
        <u/>
        <sz val="11"/>
        <rFont val="Calibri"/>
        <family val="2"/>
      </rPr>
      <t>IEC &amp; Printing</t>
    </r>
    <r>
      <rPr>
        <sz val="11"/>
        <rFont val="Calibri"/>
        <family val="2"/>
      </rPr>
      <t xml:space="preserve"> : PE Kit and PE Diary  @ Rs 350/PE kit &amp; diary * no of New Peers entering 8th STD. (MLP-1000)</t>
    </r>
  </si>
  <si>
    <r>
      <rPr>
        <u/>
        <sz val="11"/>
        <rFont val="Calibri"/>
        <family val="2"/>
      </rPr>
      <t>OOC</t>
    </r>
    <r>
      <rPr>
        <sz val="11"/>
        <rFont val="Calibri"/>
        <family val="2"/>
      </rPr>
      <t xml:space="preserve"> - 1) As mobility support to 101 AH Counsellors for conducting 4  outreach visits in SHWP implementing schools per month for 12 months @ Rs.300/outreach visit.(MLP-15)
2) As communication support to 101 AH counsellors @ Rs.250 /month for 12 months. (MLP-15)
</t>
    </r>
    <r>
      <rPr>
        <u/>
        <sz val="11"/>
        <rFont val="Calibri"/>
        <family val="2"/>
      </rPr>
      <t xml:space="preserve">IEC &amp; Printing </t>
    </r>
    <r>
      <rPr>
        <sz val="11"/>
        <rFont val="Calibri"/>
        <family val="2"/>
      </rPr>
      <t xml:space="preserve">: Activities for implementation of SHWP including activities formation of DRG, Training of HWA, Principal Orientation, Merchandisc for HWA/HWMs, IEC materials for schools sessions, translation and printing of training material, Quarterly convergance meeting with education at district level etc. @ Rs.15.50 lakh per district for 14 dists.  
</t>
    </r>
  </si>
  <si>
    <r>
      <rPr>
        <u/>
        <sz val="11"/>
        <rFont val="Calibri"/>
        <family val="2"/>
      </rPr>
      <t>Capacity Building</t>
    </r>
    <r>
      <rPr>
        <sz val="11"/>
        <rFont val="Calibri"/>
        <family val="2"/>
      </rPr>
      <t xml:space="preserve"> -Training - for 1) ToT of MOs on Adolescent Friendly Health Service training (MASTER TRAINERS) Rs.140000/dist.,
2) 4 days training of MOs in each of 14 districts @150000/ batch (40 Nos.)
</t>
    </r>
    <r>
      <rPr>
        <u/>
        <sz val="11"/>
        <rFont val="Calibri"/>
        <family val="2"/>
      </rPr>
      <t>OOC</t>
    </r>
    <r>
      <rPr>
        <sz val="11"/>
        <rFont val="Calibri"/>
        <family val="2"/>
      </rPr>
      <t xml:space="preserve"> -  1) Operating expenses for AH/RKSK clinics:  AH/RKSK centre Rs. 12000/centre * no of AFHCs  (KKD -5 AFHC )
2) Mobility  support  to counsellors  for conducting 8 outreach session / month for 12 months @Rs.300/session. (KKD 5 counsellors)
</t>
    </r>
    <r>
      <rPr>
        <u/>
        <sz val="11"/>
        <rFont val="Calibri"/>
        <family val="2"/>
      </rPr>
      <t xml:space="preserve">IEC &amp; Printing </t>
    </r>
    <r>
      <rPr>
        <sz val="11"/>
        <rFont val="Calibri"/>
        <family val="2"/>
      </rPr>
      <t xml:space="preserve">: For printing of various IEC materials for use in the AFHCs and by counsellors  
</t>
    </r>
    <r>
      <rPr>
        <u/>
        <sz val="11"/>
        <rFont val="Calibri"/>
        <family val="2"/>
      </rPr>
      <t>Planning and M&amp;E</t>
    </r>
    <r>
      <rPr>
        <sz val="11"/>
        <rFont val="Calibri"/>
        <family val="2"/>
      </rPr>
      <t xml:space="preserve"> :Bi-annual district level convergence workshop  under RKSK in 14 district. Rs 5000/district </t>
    </r>
  </si>
  <si>
    <r>
      <rPr>
        <u/>
        <sz val="11"/>
        <rFont val="Calibri"/>
        <family val="2"/>
      </rPr>
      <t>Capacity Building</t>
    </r>
    <r>
      <rPr>
        <sz val="11"/>
        <rFont val="Calibri"/>
        <family val="2"/>
      </rPr>
      <t xml:space="preserve"> - Training :  1) 6 days training of Master Trainers of Peer Educators (1 batch -40 Nos.) @ Rs.200000/- /dist.
2) Training (6 days ) of New  Peer Educator in all districts (BLOCK LELVEL).  (KKD - 200 (5 Batch)
</t>
    </r>
    <r>
      <rPr>
        <u/>
        <sz val="11"/>
        <rFont val="Calibri"/>
        <family val="2"/>
      </rPr>
      <t>ASHA Incentives</t>
    </r>
    <r>
      <rPr>
        <sz val="11"/>
        <rFont val="Calibri"/>
        <family val="2"/>
      </rPr>
      <t xml:space="preserve"> : Incentive for AH/RKSK Services  - ASHA Incentive for mobilizing adolescents and community for AHWD .   (Rs.200/- * 4 ASHAs * 4 AHWDs/year * No. of blocks)  
</t>
    </r>
    <r>
      <rPr>
        <u/>
        <sz val="11"/>
        <rFont val="Calibri"/>
        <family val="2"/>
      </rPr>
      <t>OCC</t>
    </r>
    <r>
      <rPr>
        <sz val="11"/>
        <rFont val="Calibri"/>
        <family val="2"/>
      </rPr>
      <t xml:space="preserve"> - 1) Organising monthly Adolescent Friendly Club  meetings at subcentre level  Rs. 500* no of blocks*5 subcentre*12 AFC meetings/FY ( KKD-5)
2)(Community Intervention for AH Services) Incentives for Peer Educators Rs 50/month* 12 months*no of  PEs (KKD -800)
3) Organizing Adolescent Health &amp; Wellness day Rs. 2500* No. of selected blocks*4 AHWD/FY( KKD -5)
</t>
    </r>
    <r>
      <rPr>
        <u/>
        <sz val="11"/>
        <rFont val="Calibri"/>
        <family val="2"/>
      </rPr>
      <t>IEC &amp; Printing</t>
    </r>
    <r>
      <rPr>
        <sz val="11"/>
        <rFont val="Calibri"/>
        <family val="2"/>
      </rPr>
      <t xml:space="preserve"> : PE Kit and PE Diary  @ Rs 350/PE kit &amp; diary * no of New Peers entering 8th STD. (KKD-200)</t>
    </r>
  </si>
  <si>
    <r>
      <rPr>
        <u/>
        <sz val="11"/>
        <rFont val="Calibri"/>
        <family val="2"/>
      </rPr>
      <t>OOC</t>
    </r>
    <r>
      <rPr>
        <sz val="11"/>
        <rFont val="Calibri"/>
        <family val="2"/>
      </rPr>
      <t xml:space="preserve"> - 1) As mobility support to 101 AH Counsellors for conducting 4  outreach visits in SHWP implementing schools per month for 12 months @ Rs.300/outreach visit.(KKD-5)
2) As communication support to 101 AH counsellors @ Rs.250 /month for 12 months. (KKD-5)
</t>
    </r>
    <r>
      <rPr>
        <u/>
        <sz val="11"/>
        <rFont val="Calibri"/>
        <family val="2"/>
      </rPr>
      <t>IEC &amp; Printing</t>
    </r>
    <r>
      <rPr>
        <sz val="11"/>
        <rFont val="Calibri"/>
        <family val="2"/>
      </rPr>
      <t xml:space="preserve"> : Activities for implementation of SHWP including activities formation of DRG, Training of HWA, Principal Orientation, Merchandisc for HWA/HWMs, IEC materials for schools sessions, translation and printing of training material, Quarterly convergance meeting with education at district level etc. @ Rs.15.50 lakh per district for 14 dists.  
</t>
    </r>
  </si>
  <si>
    <r>
      <rPr>
        <u/>
        <sz val="11"/>
        <rFont val="Calibri"/>
        <family val="2"/>
      </rPr>
      <t xml:space="preserve">Capacity Building </t>
    </r>
    <r>
      <rPr>
        <sz val="11"/>
        <rFont val="Calibri"/>
        <family val="2"/>
      </rPr>
      <t xml:space="preserve">-Training - for 1) ToT of MOs on Adolescent Friendly Health Service training (MASTER TRAINERS) Rs.140000/dist.,
2) 4 days training of MOs in each of 14 districts @150000/ batch (40 Nos.)
</t>
    </r>
    <r>
      <rPr>
        <u/>
        <sz val="11"/>
        <rFont val="Calibri"/>
        <family val="2"/>
      </rPr>
      <t xml:space="preserve">OOC </t>
    </r>
    <r>
      <rPr>
        <sz val="11"/>
        <rFont val="Calibri"/>
        <family val="2"/>
      </rPr>
      <t xml:space="preserve">-  1) Operating expenses for AH/RKSK clinics:  AH/RKSK centre Rs. 12000/centre * no of AFHCs  WYD-5 AFHC ) 
 2) Mobility  support  to counsellors  for conducting 8 outreach session / month for 12 months @Rs.300/session. (WYD 5 counsellors)
</t>
    </r>
    <r>
      <rPr>
        <u/>
        <sz val="11"/>
        <rFont val="Calibri"/>
        <family val="2"/>
      </rPr>
      <t>IEC &amp; Printing</t>
    </r>
    <r>
      <rPr>
        <sz val="11"/>
        <rFont val="Calibri"/>
        <family val="2"/>
      </rPr>
      <t xml:space="preserve"> : For printing of various IEC materials for use in the AFHCs and by counsellors  
</t>
    </r>
    <r>
      <rPr>
        <u/>
        <sz val="11"/>
        <rFont val="Calibri"/>
        <family val="2"/>
      </rPr>
      <t xml:space="preserve">Planning and M&amp;E </t>
    </r>
    <r>
      <rPr>
        <sz val="11"/>
        <rFont val="Calibri"/>
        <family val="2"/>
      </rPr>
      <t xml:space="preserve">:Bi-annual district level convergence workshop  under RKSK in 14 district. Rs 5000/district </t>
    </r>
  </si>
  <si>
    <r>
      <rPr>
        <u/>
        <sz val="11"/>
        <rFont val="Calibri"/>
        <family val="2"/>
      </rPr>
      <t xml:space="preserve">Capacity Building </t>
    </r>
    <r>
      <rPr>
        <sz val="11"/>
        <rFont val="Calibri"/>
        <family val="2"/>
      </rPr>
      <t xml:space="preserve">- Training :  1) 6 days training of Master Trainers of Peer Educators (1 batch -40 Nos.) @ Rs.200000/- /dist.
2) Training (6 days ) of New  Peer Educator in all districts (BLOCK LELVEL).  (WYD-200 (5 Batch)
</t>
    </r>
    <r>
      <rPr>
        <u/>
        <sz val="11"/>
        <rFont val="Calibri"/>
        <family val="2"/>
      </rPr>
      <t>ASHA Incentives</t>
    </r>
    <r>
      <rPr>
        <sz val="11"/>
        <rFont val="Calibri"/>
        <family val="2"/>
      </rPr>
      <t xml:space="preserve"> : Incentive for AH/RKSK Services  - ASHA Incentive for mobilizing adolescents and community for AHWD .   (Rs.200/- * 4 ASHAs * 4 AHWDs/year * No. of blocks)  
</t>
    </r>
    <r>
      <rPr>
        <u/>
        <sz val="11"/>
        <rFont val="Calibri"/>
        <family val="2"/>
      </rPr>
      <t>OCC</t>
    </r>
    <r>
      <rPr>
        <sz val="11"/>
        <rFont val="Calibri"/>
        <family val="2"/>
      </rPr>
      <t xml:space="preserve"> - 1) Organising monthly Adolescent Friendly Club  meetings at subcentre level  Rs. 500* no of blocks*5 subcentre*12 AFC meetings/FY ( WYD-5)
2)(Community Intervention for AH Services) Incentives for Peer Educators Rs 50/month* 12 months*no of  PEs (WYD -1600)
3) Organizing Adolescent Health &amp; Wellness day Rs. 2500* No. of selected blocks*4 AHWD/FY( WYD -5)
</t>
    </r>
    <r>
      <rPr>
        <u/>
        <sz val="11"/>
        <rFont val="Calibri"/>
        <family val="2"/>
      </rPr>
      <t>IEC &amp; Printing</t>
    </r>
    <r>
      <rPr>
        <sz val="11"/>
        <rFont val="Calibri"/>
        <family val="2"/>
      </rPr>
      <t xml:space="preserve"> : PE Kit and PE Diary  @ Rs 350/PE kit &amp; diary * no of New Peers entering 8th STD. (WYD-600)</t>
    </r>
  </si>
  <si>
    <r>
      <rPr>
        <u/>
        <sz val="11"/>
        <rFont val="Calibri"/>
        <family val="2"/>
      </rPr>
      <t>OOC</t>
    </r>
    <r>
      <rPr>
        <sz val="11"/>
        <rFont val="Calibri"/>
        <family val="2"/>
      </rPr>
      <t xml:space="preserve"> - 1) As mobility support to 101 AH Counsellors for conducting 4  outreach visits in SHWP implementing schools per month for 12 months @ Rs.300/outreach visit.(WYD-5)
2) As communication support to 101 AH counsellors @ Rs.250 /month for 12 months. (WYD-5)
</t>
    </r>
    <r>
      <rPr>
        <u/>
        <sz val="11"/>
        <rFont val="Calibri"/>
        <family val="2"/>
      </rPr>
      <t xml:space="preserve">IEC &amp; Printing </t>
    </r>
    <r>
      <rPr>
        <sz val="11"/>
        <rFont val="Calibri"/>
        <family val="2"/>
      </rPr>
      <t xml:space="preserve">: Activities for implementation of SHWP including activities formation of DRG, Training of HWA, Principal Orientation, Merchandisc for HWA/HWMs, IEC materials for schools sessions, translation and printing of training material, Quarterly convergance meeting with education at district level etc. @ Rs.15.50 lakh per district for 14 dists.  
</t>
    </r>
  </si>
  <si>
    <r>
      <rPr>
        <u/>
        <sz val="11"/>
        <rFont val="Calibri"/>
        <family val="2"/>
      </rPr>
      <t>Capacity Building</t>
    </r>
    <r>
      <rPr>
        <sz val="11"/>
        <rFont val="Calibri"/>
        <family val="2"/>
      </rPr>
      <t xml:space="preserve"> -Training - for 1) ToT of MOs on Adolescent Friendly Health Service training (MASTER TRAINERS) Rs.140000/dist.,
2) 4 days training of MOs in each of 14 districts @150000/ batch (40 Nos.)
3) AFHS training of ANM/LHV/MPW/other healthworkers @Rs.1 lakh/batch  (Total 5 batch) -  (3 DAYS TRNG)  (40 Nos. /batch )
</t>
    </r>
    <r>
      <rPr>
        <u/>
        <sz val="11"/>
        <rFont val="Calibri"/>
        <family val="2"/>
      </rPr>
      <t>OOC</t>
    </r>
    <r>
      <rPr>
        <sz val="11"/>
        <rFont val="Calibri"/>
        <family val="2"/>
      </rPr>
      <t xml:space="preserve"> -  1) Operating expenses for AH/RKSK clinics:  AH/RKSK centre Rs. 12000/centre * no of AFHCs  (KNR-5 AFHC ) 
2) Mobility  support  to counsellors  for conducting 8 outreach session / month for 12 months @Rs.300/session. (KNR 5 counsellors)
3) AFHCs at CHC/PHC/FWC level (KNR-7)  (for establishment of  7 new AFHC  @ Rs.50000/AFHC)
</t>
    </r>
    <r>
      <rPr>
        <u/>
        <sz val="11"/>
        <rFont val="Calibri"/>
        <family val="2"/>
      </rPr>
      <t>IEC &amp; Printing</t>
    </r>
    <r>
      <rPr>
        <sz val="11"/>
        <rFont val="Calibri"/>
        <family val="2"/>
      </rPr>
      <t xml:space="preserve"> : For printing of various IEC materials for use in the AFHCs and by counsellors  
</t>
    </r>
    <r>
      <rPr>
        <u/>
        <sz val="11"/>
        <rFont val="Calibri"/>
        <family val="2"/>
      </rPr>
      <t>Planning and M&amp;E</t>
    </r>
    <r>
      <rPr>
        <sz val="11"/>
        <rFont val="Calibri"/>
        <family val="2"/>
      </rPr>
      <t xml:space="preserve"> :Bi-annual district level convergence workshop  under RKSK in 14 district. Rs 5000/district </t>
    </r>
  </si>
  <si>
    <r>
      <rPr>
        <u/>
        <sz val="11"/>
        <rFont val="Calibri"/>
        <family val="2"/>
      </rPr>
      <t>Capacity Building</t>
    </r>
    <r>
      <rPr>
        <sz val="11"/>
        <rFont val="Calibri"/>
        <family val="2"/>
      </rPr>
      <t xml:space="preserve"> - Training :  1) 6 days training of Master Trainers of Peer Educators (1 batch -40 Nos.) @ Rs.200000/- /dist.
2) Training (6 days ) of New  Peer Educator in all districts (BLOCK LELVEL).  (KNR-200 (5 Batch)
</t>
    </r>
    <r>
      <rPr>
        <u/>
        <sz val="11"/>
        <rFont val="Calibri"/>
        <family val="2"/>
      </rPr>
      <t xml:space="preserve">ASHA Incentives </t>
    </r>
    <r>
      <rPr>
        <sz val="11"/>
        <rFont val="Calibri"/>
        <family val="2"/>
      </rPr>
      <t xml:space="preserve">: Incentive for AH/RKSK Services  - ASHA Incentive for mobilizing adolescents and community for AHWD .   (Rs.200/- * 4 ASHAs * 4 AHWDs/year * No. of blocks)  
</t>
    </r>
    <r>
      <rPr>
        <u/>
        <sz val="11"/>
        <rFont val="Calibri"/>
        <family val="2"/>
      </rPr>
      <t>OCC</t>
    </r>
    <r>
      <rPr>
        <sz val="11"/>
        <rFont val="Calibri"/>
        <family val="2"/>
      </rPr>
      <t xml:space="preserve"> - 1) Organising monthly Adolescent Friendly Club  meetings at subcentre level  Rs. 500* no of blocks*5 subcentre*12 AFC meetings/FY ( KNR-12)
2)(Community Intervention for AH Services) Incentives for Peer Educators Rs 50/month* 12 months*no of  PEs (KNR -800)
3) Organizing Adolescent Health &amp; Wellness day Rs. 2500* </t>
    </r>
    <r>
      <rPr>
        <u/>
        <sz val="11"/>
        <rFont val="Calibri"/>
        <family val="2"/>
      </rPr>
      <t>No. of selected blocks*4 AHWD/FY( KNR -12)
IEC &amp; Printing</t>
    </r>
    <r>
      <rPr>
        <sz val="11"/>
        <rFont val="Calibri"/>
        <family val="2"/>
      </rPr>
      <t xml:space="preserve"> : PE Kit and PE Diary  @ Rs 350/PE kit &amp; diary * no of New Peers entering 8th STD. (KNR-200)</t>
    </r>
  </si>
  <si>
    <r>
      <rPr>
        <u/>
        <sz val="11"/>
        <rFont val="Calibri"/>
        <family val="2"/>
      </rPr>
      <t>OOC</t>
    </r>
    <r>
      <rPr>
        <sz val="11"/>
        <rFont val="Calibri"/>
        <family val="2"/>
      </rPr>
      <t xml:space="preserve"> - 1) As mobility support to 101 AH Counsellors for conducting 4  outreach visits in SHWP implementing schools per month for 12 months @ Rs.300/outreach visit.(KNR-5)
2) As communication support to 101 AH counsellors @ Rs.250 /month for 12 months. (KNR-5)
</t>
    </r>
    <r>
      <rPr>
        <u/>
        <sz val="11"/>
        <rFont val="Calibri"/>
        <family val="2"/>
      </rPr>
      <t>IEC &amp; Printing</t>
    </r>
    <r>
      <rPr>
        <sz val="11"/>
        <rFont val="Calibri"/>
        <family val="2"/>
      </rPr>
      <t xml:space="preserve"> : Activities for implementation of SHWP including activities formation of DRG, Training of HWA, Principal Orientation, Merchandisc for HWA/HWMs, IEC materials for schools sessions, translation and printing of training material, Quarterly convergance meeting with education at district level etc. @ Rs.15.50 lakh per district for 14 dists.  
</t>
    </r>
  </si>
  <si>
    <r>
      <rPr>
        <u/>
        <sz val="11"/>
        <rFont val="Calibri"/>
        <family val="2"/>
      </rPr>
      <t xml:space="preserve">Capacity Building </t>
    </r>
    <r>
      <rPr>
        <sz val="11"/>
        <rFont val="Calibri"/>
        <family val="2"/>
      </rPr>
      <t xml:space="preserve">-Training - for 1) ToT of MOs on Adolescent Friendly Health Service training (MASTER TRAINERS) Rs.140000/dist.,
2) 4 days training of MOs in each of 14 districts @150000/ batch (40 Nos.)
</t>
    </r>
    <r>
      <rPr>
        <u/>
        <sz val="11"/>
        <rFont val="Calibri"/>
        <family val="2"/>
      </rPr>
      <t>OOC</t>
    </r>
    <r>
      <rPr>
        <sz val="11"/>
        <rFont val="Calibri"/>
        <family val="2"/>
      </rPr>
      <t xml:space="preserve"> -  1) Operating expenses for AH/RKSK clinics:  AH/RKSK centre Rs. 12000/centre * no of AFHCs  (KSD -9 AFHC )  2) Mobility  support  to counsellors  for conducting 8 outreach session / month for 12 months @Rs.300/session. (KSD 9 counsellors)
</t>
    </r>
    <r>
      <rPr>
        <u/>
        <sz val="11"/>
        <rFont val="Calibri"/>
        <family val="2"/>
      </rPr>
      <t>IEC &amp; Printing</t>
    </r>
    <r>
      <rPr>
        <sz val="11"/>
        <rFont val="Calibri"/>
        <family val="2"/>
      </rPr>
      <t xml:space="preserve"> : For printing of various IEC materials for use in the AFHCs and by counsellors  
</t>
    </r>
    <r>
      <rPr>
        <u/>
        <sz val="11"/>
        <rFont val="Calibri"/>
        <family val="2"/>
      </rPr>
      <t>Planning and M&amp;E</t>
    </r>
    <r>
      <rPr>
        <sz val="11"/>
        <rFont val="Calibri"/>
        <family val="2"/>
      </rPr>
      <t xml:space="preserve"> :Bi-annual district level convergence workshop  under RKSK in 14 district. Rs 5000/district </t>
    </r>
  </si>
  <si>
    <r>
      <rPr>
        <u/>
        <sz val="11"/>
        <rFont val="Calibri"/>
        <family val="2"/>
      </rPr>
      <t>Capacity Building</t>
    </r>
    <r>
      <rPr>
        <sz val="11"/>
        <rFont val="Calibri"/>
        <family val="2"/>
      </rPr>
      <t xml:space="preserve"> - Training :  1) 6 days training of Master Trainers of Peer Educators (1 batch -40 Nos.) @ Rs.200000/- /dist.
2) Training (6 days ) of New  Peer Educator in all districts (BLOCK LELVEL).  (KSD-600 (15 Batch)
</t>
    </r>
    <r>
      <rPr>
        <u/>
        <sz val="11"/>
        <rFont val="Calibri"/>
        <family val="2"/>
      </rPr>
      <t>ASHA Incentives</t>
    </r>
    <r>
      <rPr>
        <sz val="11"/>
        <rFont val="Calibri"/>
        <family val="2"/>
      </rPr>
      <t xml:space="preserve"> : Incentive for AH/RKSK Services  - ASHA Incentive for mobilizing adolescents and community for AHWD .   (Rs.200/- * 4 ASHAs * 4 AHWDs/year * No. of blocks)  
</t>
    </r>
    <r>
      <rPr>
        <u/>
        <sz val="11"/>
        <rFont val="Calibri"/>
        <family val="2"/>
      </rPr>
      <t>OCC</t>
    </r>
    <r>
      <rPr>
        <sz val="11"/>
        <rFont val="Calibri"/>
        <family val="2"/>
      </rPr>
      <t xml:space="preserve"> - 1) Organising monthly Adolescent Friendly Club  meetings at subcentre level  Rs. 500* no of blocks*5 subcentre*12 AFC meetings/FY ( KSD-9)
2)(Community Intervention for AH Services) Incentives for Peer Educators Rs 50/month* 12 months*no of  PEs (KSD -2100)
3) Organizing Adolescent Health &amp; Wellness day Rs. 2500* No. of selected blocks*4 AHWD/FY( KSD -9)
</t>
    </r>
    <r>
      <rPr>
        <u/>
        <sz val="11"/>
        <rFont val="Calibri"/>
        <family val="2"/>
      </rPr>
      <t>IEC &amp; Printing</t>
    </r>
    <r>
      <rPr>
        <sz val="11"/>
        <rFont val="Calibri"/>
        <family val="2"/>
      </rPr>
      <t xml:space="preserve"> : PE Kit and PE Diary  @ Rs 350/PE kit &amp; diary * no of New Peers entering 8th STD. (KSD -600)</t>
    </r>
  </si>
  <si>
    <r>
      <rPr>
        <u/>
        <sz val="11"/>
        <rFont val="Calibri"/>
        <family val="2"/>
      </rPr>
      <t>OOC</t>
    </r>
    <r>
      <rPr>
        <sz val="11"/>
        <rFont val="Calibri"/>
        <family val="2"/>
      </rPr>
      <t xml:space="preserve"> - 1) As mobility support to 101 AH Counsellors for conducting 4  outreach visits in SHWP implementing schools per month for 12 months @ Rs.300/outreach visit.(KSD-9)
2) As communication support to 101 AH counsellors @ Rs.250 /month for 12 months. (KSD-9)
</t>
    </r>
    <r>
      <rPr>
        <u/>
        <sz val="11"/>
        <rFont val="Calibri"/>
        <family val="2"/>
      </rPr>
      <t>IEC &amp; Printing</t>
    </r>
    <r>
      <rPr>
        <sz val="11"/>
        <rFont val="Calibri"/>
        <family val="2"/>
      </rPr>
      <t xml:space="preserve"> : Activities for implementation of SHWP including activities formation of DRG, Training of HWA, Principal Orientation, Merchandisc for HWA/HWMs, IEC materials for schools sessions, translation and printing of training material, Quarterly convergance meeting with education at district level etc. @ Rs.15.50 lakh per district for 14 dists.  
</t>
    </r>
  </si>
  <si>
    <t>Infrastructure - Rs.68.25 L
RBSK screening corners at 44 DH, 84 SDH, 227 CHC and selected 100 FHCs                              
Diagnostics - 1) Rs.861 L for new born screening - Inborn error of metabolism @ Rs.350/- for 246000 cases
2 ) Rs.3.74 L for new born screening as per RBSK comprehensive screening handbook- Public sector delivery points 98 and pvt sectro 650 @ Rs.500/handbook    Training - Approved for 7 days training for all DEIC specialist - 10 officers from each district for one batch - total 14 batch at NIPMR Thrissur @ Rs.240500 for 14 DEICs.  IEC &amp; Printing - for printing cost for DEIC @ Rs. 1400000 Lakh 
Committed - 7.52 L , infrastructure, Rs.63.13 L diagnostics.</t>
  </si>
  <si>
    <t xml:space="preserve">Drugs and Supplies - Procurement HBNC Kit for ASHA - Rs. 264.43 lakhs  for 26443 New ASHS HBNC kit@ Rs.1000/- 
Printing - Rs.5.14 L  - Printing cost for HBYC
Committed - Rs.15.18 L for HBYC printing  </t>
  </si>
  <si>
    <t xml:space="preserve">Infra - Rs.200.4 L for MNCU at SAT Hospital Trivandrum and MCH Alapuzha  Equipment - Rs.522.78 L for SNCU equipment - medical equipment for strengthening existing SNCU, NBSU, NBCC and equipment for comprehensive new born screening                                                                                                                         IEC &amp; Printing - 1) Rs.4.17 L for printing and traslation cost for KMC, 2) Rs 4.2 lakh for IEC/BCC activity for National Newborn Week, 3)  Rs.30 lakh for IEC/BCC activity for FPC(KMC) activities. 4) Rs.24 L for printing for SNCU Data management. for family participatory care
Capacity Building -1)  Rs.5.88 L for STate levle sensitisation Muskaan, Rs.13.84 L for state level training Muskaan.                                                                                                  2) Rs.31.47 L for observership for FBNC training  and Rs.21.74 L for 4 days NBSU training                                                                                                                                    OOC - 1) Rs. 1 Lakh for Operating expenses for State new-born resource centre          Committed  - 1772.31 lakhs     </t>
  </si>
  <si>
    <t>Equipments - 775.25 L954 SAANs PO machine already approved aginst total 4055  approved HWCs. Hence Proposed 3101 PO machine @unit cost Rs.25000/-
Training -  Rs.50.80 L 
Rs.23.50 L for conducting one day sensitisation program for dist officials 
Rs.27.30 L for training fo ASHA s in SAANS
IEC - Rs.54.50 L
Rs.51.50 L for SAANS campaign at State and Dist level
Rs.3 L for printing of training module and treatment protocol
Plannig &amp; M&amp;E - Rs.3 lakhs for supportive supervison of SAANS programme
Rs.3 L for mobility support</t>
  </si>
  <si>
    <t xml:space="preserve">
Equipments - 416.11 L for emergency OPD and ward, pediatric surgery unit, CLMC, pediatric dialysis unit, ear cleaning equipment
OOC - balance amount for 4 NBSU and for 29 pediatrc HDU operational cost @ Rs. 5 lakh per HDU</t>
  </si>
  <si>
    <t xml:space="preserve">Equipments -
1)  Rs.15 L - proposed to have Pulse oximetry automation equipment @Rs15000 per delivery point to make the PO data uploaded realtime, so that action for critical patients can be done at the earliest and to have better outcome.
2) Rs.17.70 L for 6 OAE machines @ Rs.2.95 L
3) Rs.4.28 L for 5 Pulse Oximeter @ Rs.85,680/-
IEC &amp; Printing - 113.31 L (ANNEXURE 1)
Planning and M &amp; E -  Rs.23.95 L
1) Rs.7.95 L for State and Dist level meetings
2) Rs.16 L for orientation for CH program
</t>
  </si>
  <si>
    <t>Planning and M&amp;E-PMU Trainings, DAP, Audit fees, mobility support, other overhead expenses</t>
  </si>
  <si>
    <t>IEC-1L-Development of State Communication strategy 
Rs.25 lks training
Planning and M&amp;E-PMU Trainings, DAP, Audit fees, mobility support, other overhead expenses</t>
  </si>
  <si>
    <t>Untied Funds 
 36DH/GH @ Rs.250000/-,  88 SDH @ Rs.1,00,000/- ,  for 228 CHC @ Rs.75000/-, for 846 PHC @ Rs.50000/- , for 3671 subcentre @ Rs.10000/-,  for 19491 VHSC @ Rs.10000/-,for 22 OTher Sepcailaity Hospitals @ Rs.250000</t>
  </si>
  <si>
    <t>OOC -
for incentives to provider for PPIUCD services 
for incentives to provider for PAIUCD services</t>
  </si>
  <si>
    <t>IEC - IPC tool for frontline health workers</t>
  </si>
  <si>
    <t xml:space="preserve">OOC - 450.12 L
Rs.119.80 L for addl allowance to Medical Officers
Rs.4.71 L for incentives to provider for PPIUCD services 
0.61 L for incentives to provider for PAIUCD services
Rs.325 L for health insurance for NHM staff
Rs.64.615 lakhs for Incentive under NVHCP for MO, Pharmacist, LT and DEO
</t>
  </si>
  <si>
    <t>AMC cost for HRIS software
IEC - Rs.7 L
IPC tool for frontline health workers</t>
  </si>
  <si>
    <t>OOC - 
 for addl allowance to Medical Officers
 for incentives to provider for PPIUCD services 
for incentives to provider for PAIUCD services</t>
  </si>
  <si>
    <t>OOC - 
  for incentives to provider for PPIUCD services 
for incentives to provider for PAIUCD services</t>
  </si>
  <si>
    <t>OOC - 
 for incentives to provider for PPIUCD services 
for incentives to provider for PAIUCD services</t>
  </si>
  <si>
    <t>Remuneration for all NHM HR-SD and PM</t>
  </si>
  <si>
    <t>Planning &amp; M &amp; E -
Vehicle for monitoring of HWC activities - One at Hqrs and 14 at districts @ Rs.50000/month</t>
  </si>
  <si>
    <t>OOC - 15.75 L - 0.9 L for conducting  committee meeting for certification of SUMAN facilities @ Rs.6000 for 14 dist &amp; State, Rs.14.10 L for branding of SUMAN certified facilities - 94 facilities will be certified @ Rs.15000/- per institution
Printing of MCP cardc- 143 L</t>
  </si>
  <si>
    <t>Approved Rs.6.94 lakhs for training of 3 in-service midwifery educators at designated NMTI @Rs.231250/- per candidate</t>
  </si>
  <si>
    <t>MCH Konni - 245 L
SAT Hospital Trivandrum - 69.74
Committed - Rs.534.21 L for infrastructure</t>
  </si>
  <si>
    <t>Equipment Rs.88.74 L 
Total cost for providing these items to 45 LAQSHYA selected institutions is 78.82 Lakhs.
Rs.9.923 L for procurment of medical equipment required for the regualr functioning of MH for meeting the requriements of LaQshya standards.
Training
14 trainings ( one per district , unit cost 73785 Rs per training) total cost per year 10.47 L
OOC - 12.83 L
• Rs.5.95 Lakhs proposed for Cost of National External Assessment (Medical College) @1,19,000x5=5,95000 
• Rs.2.38 Lakhs proposed for Cost of re certification (Medical Colleges, DH,SDH,CHC) @1,19,000x2=2,38,000
• Rs,4.50 Lakhs proposed for Cost of State Assessment (DH/SDH) @30,000x15=4,50,000
IEC &amp; Printing  - Printing of Labour Room Registers and Case sheets Rs.1.60 lakhs</t>
  </si>
  <si>
    <t>Equipments - 607.90 lakhs as part of MMR reduction program - Infection control, prevention of PPH to all delivery points
IEC (90.07 L) - 
Training - Rs.15.41 L - TOT for RTI/STI state level training for Gynaecologists - Rs.1 L - Rs.50000/batch for 2 batches
Rs.2.31 L for dist level training for Lab TEch in RTI/sti @ rS.16500/batch for 14 batches;
Rs.3.87 L for dist level training for ANM/SN in RTI/STI @ Rs.12900/batch for 30 batches;
Rs.3.87 L for dist level training for MO in RTI/STI @ Rs.12900/batch for 30 batches;
Rs.3.36 L for onsite mentoring at delivery points - amount per unit of mentoring visit Rs.6000/unit of mentoring visit @ 4 visit per district;
Rs.1 L for training in management in obstetric emergencies ;
Research &amp; Surveillance : Rs.1.65 L for review on MH, FP &amp; Immunisation</t>
  </si>
  <si>
    <t xml:space="preserve">OOC - Rs.19.42 L - Tribal RCH Camps Rs.17.17 L; for conducting medical camp for migrant population -  Rs.2.25 L </t>
  </si>
  <si>
    <t>IEC Rs. 44.47 Lakhs
Mass/Mid media activities: Rs.21.62 lakhs
Audio spot buys in FM radios- Rs.10 lakhs.
Women’s day observation with various IEC activities- Rs.5 lakhs.
Railway station digital display advertisements and awareness boards, short film making competition PNDT &amp; Bhoomika Gender Based Violence Management Centers.- Rs. 6.62 Lakhs
Any other IEC/BCC Activities: Rs.22.85 lakhs
Wall Painting about PNDT law inside the scanning rooms of govt. Health institutions.- Rs.14 Lakhs
Awareness boards installation and setting up of Bhoomika kiosk. – Rs.6.3 Lakh
Preparing short videos, Awareness Classes for Kudumbasree Women Self Help Groups. – Rs.1 Lakh
Adolescent friendly residence association: Through this residential association and projects with Adolescent engaging facilities like Play Grounds ( For physical activity promotion), Libraries ( For encouraging their reading habits), etc.- Rs.1.55 Lakhs</t>
  </si>
  <si>
    <r>
      <t xml:space="preserve">Equipment : 
</t>
    </r>
    <r>
      <rPr>
        <b/>
        <sz val="11"/>
        <color rgb="FFFF0000"/>
        <rFont val="Calibri"/>
        <family val="2"/>
      </rPr>
      <t>Rs.41.09 L for equipments for Mobile Health Teams @ Rs.3500/- for 1174 RBSK Nurses</t>
    </r>
    <r>
      <rPr>
        <b/>
        <sz val="11"/>
        <color rgb="FF000000"/>
        <rFont val="Calibri"/>
        <family val="2"/>
      </rPr>
      <t xml:space="preserve">
Training : Rs.73.20 L 
</t>
    </r>
    <r>
      <rPr>
        <b/>
        <sz val="11"/>
        <color rgb="FFFF0000"/>
        <rFont val="Calibri"/>
        <family val="2"/>
      </rPr>
      <t>Rs.14.38 L for training of MHT</t>
    </r>
    <r>
      <rPr>
        <b/>
        <sz val="11"/>
        <color rgb="FF000000"/>
        <rFont val="Calibri"/>
        <family val="2"/>
      </rPr>
      <t xml:space="preserve">
</t>
    </r>
    <r>
      <rPr>
        <b/>
        <sz val="11"/>
        <color rgb="FFFF0000"/>
        <rFont val="Calibri"/>
        <family val="2"/>
      </rPr>
      <t>Rs.6.39 L for one day orientation for MO, SN at delivery point</t>
    </r>
    <r>
      <rPr>
        <b/>
        <sz val="11"/>
        <color rgb="FF000000"/>
        <rFont val="Calibri"/>
        <family val="2"/>
      </rPr>
      <t xml:space="preserve">
</t>
    </r>
    <r>
      <rPr>
        <b/>
        <sz val="11"/>
        <color rgb="FFFF0000"/>
        <rFont val="Calibri"/>
        <family val="2"/>
      </rPr>
      <t xml:space="preserve">rs.4.75 L for refreher training for ANM
Rs.14 L for training of private sector delivery point nurses </t>
    </r>
    <r>
      <rPr>
        <b/>
        <sz val="11"/>
        <color rgb="FF000000"/>
        <rFont val="Calibri"/>
        <family val="2"/>
      </rPr>
      <t xml:space="preserve">
OOC - Rs.275.08 L
</t>
    </r>
    <r>
      <rPr>
        <b/>
        <sz val="11"/>
        <color rgb="FFFF0000"/>
        <rFont val="Calibri"/>
        <family val="2"/>
      </rPr>
      <t>Rs.230.40 L for Mobility support for RBSK team @ Rs.48000/- for 40 MHT</t>
    </r>
    <r>
      <rPr>
        <b/>
        <sz val="11"/>
        <color rgb="FF000000"/>
        <rFont val="Calibri"/>
        <family val="2"/>
      </rPr>
      <t xml:space="preserve">
</t>
    </r>
    <r>
      <rPr>
        <b/>
        <sz val="11"/>
        <color rgb="FFFF0000"/>
        <rFont val="Calibri"/>
        <family val="2"/>
      </rPr>
      <t>Rs.44.67 L - support for CUG connection @ Rs.300/- for 1241 RBSK nurses</t>
    </r>
    <r>
      <rPr>
        <b/>
        <sz val="11"/>
        <color rgb="FF000000"/>
        <rFont val="Calibri"/>
        <family val="2"/>
      </rPr>
      <t xml:space="preserve">
I</t>
    </r>
    <r>
      <rPr>
        <b/>
        <sz val="11"/>
        <color rgb="FFFF0000"/>
        <rFont val="Calibri"/>
        <family val="2"/>
      </rPr>
      <t>EC - 2.94 L for Printing of RBSK cards and registers @ Rs.250/- for 1174 RBSK nurses</t>
    </r>
    <r>
      <rPr>
        <b/>
        <sz val="11"/>
        <color rgb="FF000000"/>
        <rFont val="Calibri"/>
        <family val="2"/>
      </rPr>
      <t xml:space="preserve">
Planning &amp; M &amp; E - Rs.50.61 L
</t>
    </r>
    <r>
      <rPr>
        <b/>
        <sz val="11"/>
        <color rgb="FFFF0000"/>
        <rFont val="Calibri"/>
        <family val="2"/>
      </rPr>
      <t xml:space="preserve">Rs.34.50 L for replacement of damaged Tablet computers </t>
    </r>
    <r>
      <rPr>
        <b/>
        <sz val="11"/>
        <color rgb="FF000000"/>
        <rFont val="Calibri"/>
        <family val="2"/>
      </rPr>
      <t xml:space="preserve">
</t>
    </r>
    <r>
      <rPr>
        <b/>
        <sz val="11"/>
        <color rgb="FFFF0000"/>
        <rFont val="Calibri"/>
        <family val="2"/>
      </rPr>
      <t>Rs.4.11 L for printing RBSK job aid
Rs.5 L for detailed operation plan for RBSK
Rs.7 L for RBSK convergence meeting</t>
    </r>
    <r>
      <rPr>
        <b/>
        <sz val="11"/>
        <color rgb="FF000000"/>
        <rFont val="Calibri"/>
        <family val="2"/>
      </rPr>
      <t xml:space="preserve">
</t>
    </r>
  </si>
  <si>
    <t>Rs.10.12 for link workers from transgender Community, Rs.10 lakhs for cancer detection camp for ASHA, Rs.30.60 l for continuing education for ASHA</t>
  </si>
  <si>
    <t>SHSRC operational cost and research cost</t>
  </si>
  <si>
    <t>AYUSH training</t>
  </si>
  <si>
    <t>Training Rs.50000/- for AYUSH training and OOC Rs.15 lakhs for strengthening of Training Institute</t>
  </si>
  <si>
    <r>
      <t>Infra - New – Rs 57 L
Training Centre Chevayur (TC – 190 L) - 57 L
Training - Rs.65.45 L
Rs.37.50 lakhs for NUHM Training: Training/ orientation of ANM and other paramedical staff   12L For 920 Paramedical &amp; ANM staff ( 4batches @ 3L)
Training/ orientation of Medical Officers : 10.5L On protocol based management of NCDs @ Rs. 5000/- per MO * 210 MOs
Training/ Orientation of RKS: 15L Three batches @ 5 L each
Rs.20.95 L for training at skill lab -</t>
    </r>
    <r>
      <rPr>
        <b/>
        <sz val="11"/>
        <color rgb="FF000000"/>
        <rFont val="Calibri"/>
        <family val="2"/>
      </rPr>
      <t xml:space="preserve">
Rs.7 L for training under AYUSH @ Rs.0.50 L per district
OOC - Strengthening of existing traiing institutions - Rs.75 L - </t>
    </r>
    <r>
      <rPr>
        <b/>
        <sz val="11"/>
        <color rgb="FF000000"/>
        <rFont val="Calibri"/>
        <family val="2"/>
      </rPr>
      <t xml:space="preserve">
Committed - rs.154.49 L for infrastructure</t>
    </r>
  </si>
  <si>
    <t>·         Ongoing works – 2540.27 L
GH Pathanamthitta ( TC- 268.11 L) -107.24
GH Irinjalakkuda ( TC- 475.38 L) -190.15
DH Wadakkanchery ( TC- 835.47 L) -334.19
DH Vadakara( TC- 267.43 L) – 106.97
GH Thalasseri ( TC- 245.43 L) – 98.17
W&amp;C Mangattuparambu ( TC- 122.07 L) – 48.83
GH Kasargode ( TC- 741.48 L) – 296.59
W&amp;C Kanhangad( TC- 285.32 L) – 114.13
GH Pathanamthitta( TC- 300 L) -210
GH Adoor( TC- 1300 L) -390
G H Muvattupuzha ( TC- 640 L) -192
DH Nilambur ( TC- 900 L) -270
DH Mananathavady ( TC- 260 L) -182
·         New Works – 229.82 L
GH Alapuzha (TC - 40.22L) -  40.22 L
DH Aluva (TC- 473 L) - 94.6 L
GH Kasaragod (TC -95 L) - 95 L
Committed- Rs.1039.72 L for Infrastructure</t>
  </si>
  <si>
    <t>Ongoing works – 1083.22 L
THQH Thiruvalla (TC -100L) - 40L
THQH Konni (TC -207.65L) – 83.06L
TH Piravom (TC -235L) – 94L
TH Kuthuparambu (TC -122.07L) – 48.83L
TH Pazhayangadi (TC -122.07L) – 48.83L
TH Santhivila (TC -800) – 240L
TH Pudukkad (TC -325) –227.5L
THQH Vythiri (TC -230) –161L
TH Nileswar(TC -200) –140L
·         New works – 180 L
TH Sasthamkotta (TC -600 L) – 180 L
Committed - Rs.1108.85 L for infrastructure</t>
  </si>
  <si>
    <t xml:space="preserve">    Ongoing works – Rs 1355.67 L
CHC Kulathoopuzha (TC -320) –127.93L
CHC Edayazham (TC -189.58) –75.83L
CHC Cheruvadi (TC -182.60) –73.04 L
CHC Pattiam (TC -290.94) –116.38L
CHC Elanthoor (TC -200) –140L
CHC Chathankary (TC -200) –140L
CHC Pandanadu (TC -275) –192.5L
CHC Sachivothamapuram (TC -200) –140L
CHC Vakathanam(TC -200) –140L
CHC Meenangadi (TC -300) –210L
·         New Works – Rs 488.7 L
CHC Kunnamthanam (TC - 200 L)  – 60 L
CHC Vallana  (TC - 200 L) – 60 L
CHC Porunnanore  (TC - 380 L) – 114 L
CHC Azhicode  (TC - 375 L) – 112.5 L
CHC Manjeswar  (TC - 474 L)– 142.2 L
Committed - Rs.395.85 L for infrastructure</t>
  </si>
  <si>
    <t>Ongoing works – Rs 3300.29 L
1.  13 Nos. of Day care PHC( TC  @ Rs. 110.89 L) -PHC Kokkathodu, PHC Neelamperoor, PHC Vazhappally, PHC Thalayazham, PHC Kallar Vattayar, PHC KP Colony, BPHC Pampadumpara, PHC Thenkara, PHC Edakkara, PHC Thennala, PHC Mangad, PHC Kurakkanmoola , BPHC Manakadavu – 576.63 L
2. 24x7 PHC Kunnathukal (TC - Rs. 278.08 L) – 105.68 L
Committed - Rs.395.85 L for infrastructure
3. KMCH Ettumanoor (TC - Rs. 278.08 L) – 105.68 L
4.  24x7 PHC Thakazhy (TC - Rs.300 L) - 210 L
5.  23 Nos. of Day care PHC ( TC @ Rs.143 L) - PHC Madavoor, PHC Kumil, PHC Pooruvazhy, PHC Ranni Pazhavangady, PHC Mylapra, PHC Chandanappally, PHC Kalaketty, PHC T V Puram, PHC Parathanam, PHC Kanthallor, PHC Senapathy, PHC Alagappanagar, PHC Avanoor, PHC Ananganadi, PHC Melarcode, PHC Perumatty, PHC Koothali, PHC Kakkayam, FHC Noolpuzha, PHC Puzhathi, PHC Karikkottakkari, PHC Angadikadavu, BPHC Chittaripparamba) – 2302.30 L
·         New works – Rs 962.2 L
1.  18 Day Care PHCs ( TC @ Rs. 143 L )- 772.2 L
2. Day care PHC Ranny Angadi ( TC -Rs. 80 L) - 80 L
3.  Day Care PHC Kallarvattayar (TC -  Rs. 50 L) - 50 L
4. Day Care PHC Peruva (TC - 60 L) - 60 L
Committed - Rs.1062.65 L for infrastructure</t>
  </si>
  <si>
    <t>New works – Rs 1276.5 L
1) 23 Sub centres ( TC @ Rs. 55.5 L) - 1276.5 L
Committed - Rs.537.39 L for infrastructure</t>
  </si>
  <si>
    <t>Ongoing works – Rs 723.77 L
Regional Vaccine Store,Edappally (TC – 674.55 L) – 269.82 L
District Vaccine Store Thrissur (TC – 200 L) – 80 L
District Vaccine Store Kannur (TC – 239.43 L) – 95.77 L
DVC Unit Chevayur (TC – 217.4 L) –152.18 L
District FW store Kasargode (TC – 180 L) –126L
·         New works –Rs 153 L
District vaccine Store Alappuzha (TC – 210 L) - 63 L
Drug warehouse GH Irinjalakkuda  (TC – 300 L) -  90 L
Equipments - 351.40 L - Procurement of equipment for the specialties such as  Anesthesia, Casualty, Ophthalmology, ENT, Radiology,  Cardiology, Physical Medicine, Surgery
Committed - Rs.1154.30 L for infrastructure</t>
  </si>
  <si>
    <t>Rs.100/MLSP*12 months*(5409 MLSPs) = 64.908 L</t>
  </si>
  <si>
    <t>Planning &amp; M &amp; E - 90 L
Vehicle for monitoring of HWC activities - One at Hqrs and 14 at districts @ Rs.50000/month totalling 90 L</t>
  </si>
  <si>
    <t xml:space="preserve"> (p) Community based service delivery by AB-H&amp;WCs:  @ 500/month         (Q ) IEC &amp; Printing : @ 75000                                   Printing of 200 MAS handbook @ 50 </t>
  </si>
  <si>
    <t>399 mas @ 1000</t>
  </si>
  <si>
    <t xml:space="preserve">New Work)UCHC:  5L ( For CHC Attukal TVM Corporation );       Equipment)   Equipment for UCHC : 5L     (UCHC Attukal)Operational costs for UCHCs @ 2000 </t>
  </si>
  <si>
    <t>OOC)   Quality Assurance Assessments (State &amp; National):@ 1 L   Planning &amp; M&amp;E : QA committees ( Regional)</t>
  </si>
  <si>
    <t>Kayakalp Assessments Rs 500 for UPHC for internal assessment Rs 5000 for peer assessment and  Rs  8000 for  for external assessment                                      Kayakalp Assessments 1L</t>
  </si>
  <si>
    <t xml:space="preserve"> mas @ 1000</t>
  </si>
  <si>
    <t>OOC)  U. 13. 1. 1 Quality Assurance Assessments (State &amp; National):@ 1 L</t>
  </si>
  <si>
    <t>OOC)  U. 13. 1. 1 Quality Assurance Assessments (State &amp; National):@ 1 L   Planning &amp; M&amp;E : U .16.1.3.1 QA committees ( Regional)</t>
  </si>
  <si>
    <t>1)  U.6.2.1.1  Procurement :  Rs 12 Lis per UPHC is required for providing free of cost medicines in 102 UPHCs. (Total 1,224L)                                                                                                        2) Capacity building : U.9.2.7 Training of Staff for Ayushman Bharat Health &amp; Wellness Center :20(H&amp;WC):   20L                                                                                                                         3)  OOC  U.6.3.1 Tablets/ software for IT support of Ayushman Bharat H&amp;WC: 11.25L 
Committed - 150 L</t>
  </si>
  <si>
    <t xml:space="preserve">
U.5.1.4  Rent for UPHC @ 6000 for 12 Months =  0.72 L
Committed expenses
10 L for civil works and 5 L for equipments</t>
  </si>
  <si>
    <r>
      <t xml:space="preserve"> </t>
    </r>
    <r>
      <rPr>
        <sz val="11"/>
        <color indexed="10"/>
        <rFont val="Calibri"/>
        <family val="2"/>
      </rPr>
      <t>Capacity Buiding</t>
    </r>
    <r>
      <rPr>
        <sz val="11"/>
        <color indexed="8"/>
        <rFont val="Calibri"/>
        <family val="2"/>
      </rPr>
      <t xml:space="preserve">  U.9.2.9 on Quality Assurance Training of clinical and outreach staff on NQAS accreditation, 1batch  for  20 Urban  Co –ordinators( 2 days)  : 2.6L  </t>
    </r>
    <r>
      <rPr>
        <sz val="11"/>
        <color indexed="10"/>
        <rFont val="Calibri"/>
        <family val="2"/>
      </rPr>
      <t xml:space="preserve">                                                     OOC</t>
    </r>
    <r>
      <rPr>
        <sz val="11"/>
        <color indexed="8"/>
        <rFont val="Calibri"/>
        <family val="2"/>
      </rPr>
      <t xml:space="preserve">)  U. 13. 1. 1 Quality Assurance Assessments (State &amp; National):@ 1 L for 102 UPHC  102L                                                   </t>
    </r>
    <r>
      <rPr>
        <sz val="11"/>
        <color indexed="10"/>
        <rFont val="Calibri"/>
        <family val="2"/>
      </rPr>
      <t>Planning &amp; M&amp;E</t>
    </r>
    <r>
      <rPr>
        <sz val="11"/>
        <color indexed="8"/>
        <rFont val="Calibri"/>
        <family val="2"/>
      </rPr>
      <t xml:space="preserve"> : U .16.1.3.1 QA committees at city  @ 1.2 L four regional Workshop :  4.8 L</t>
    </r>
  </si>
  <si>
    <r>
      <t xml:space="preserve">OOC)  U.13.2.1 Kayakalp Awards </t>
    </r>
    <r>
      <rPr>
        <sz val="11"/>
        <color indexed="10"/>
        <rFont val="Calibri"/>
        <family val="2"/>
      </rPr>
      <t xml:space="preserve">19.5L </t>
    </r>
    <r>
      <rPr>
        <sz val="11"/>
        <color indexed="8"/>
        <rFont val="Calibri"/>
        <family val="2"/>
      </rPr>
      <t xml:space="preserve">13.5 lakh for Winner 1st and 2nd runner up each in 3 clusters @ 2 lakhs Rs. 1.5 L and 1 Lakh. 6 lakhs for Commendation price for 12 UPHCs @ .5 Lakhs                                                                                                                            U.13.2.2 Kayakalp Assessments </t>
    </r>
    <r>
      <rPr>
        <sz val="11"/>
        <color indexed="10"/>
        <rFont val="Calibri"/>
        <family val="2"/>
      </rPr>
      <t xml:space="preserve">9.6 L </t>
    </r>
    <r>
      <rPr>
        <sz val="11"/>
        <color indexed="8"/>
        <rFont val="Calibri"/>
        <family val="2"/>
      </rPr>
      <t>year  Rs 500 for 102 UPHC for internal assessment Rs 5000 for peer assessment and  Rs  8000 for  50 UPHC for external assessment                                               U.13.2.3 Kayakalp Assessments</t>
    </r>
    <r>
      <rPr>
        <sz val="11"/>
        <color indexed="10"/>
        <rFont val="Calibri"/>
        <family val="2"/>
      </rPr>
      <t xml:space="preserve"> 102L</t>
    </r>
  </si>
  <si>
    <r>
      <t xml:space="preserve">U.4.1.1.1 Government Building  </t>
    </r>
    <r>
      <rPr>
        <sz val="11"/>
        <color indexed="10"/>
        <rFont val="Calibri"/>
        <family val="2"/>
      </rPr>
      <t xml:space="preserve">159.25L </t>
    </r>
    <r>
      <rPr>
        <sz val="11"/>
        <color indexed="8"/>
        <rFont val="Calibri"/>
        <family val="2"/>
      </rPr>
      <t xml:space="preserve"> 1.75 Lakhs for 91 UPHCs                      U.4.1.1.2 Rented Building  </t>
    </r>
    <r>
      <rPr>
        <sz val="11"/>
        <color indexed="10"/>
        <rFont val="Calibri"/>
        <family val="2"/>
      </rPr>
      <t>11</t>
    </r>
    <r>
      <rPr>
        <sz val="11"/>
        <color indexed="8"/>
        <rFont val="Calibri"/>
        <family val="2"/>
      </rPr>
      <t xml:space="preserve"> . 11 UPHCs working in rented building @ 10000                         U.4.1.2 Untied grants to UCHCs </t>
    </r>
    <r>
      <rPr>
        <sz val="11"/>
        <color indexed="10"/>
        <rFont val="Calibri"/>
        <family val="2"/>
      </rPr>
      <t xml:space="preserve"> 5</t>
    </r>
    <r>
      <rPr>
        <sz val="11"/>
        <color indexed="8"/>
        <rFont val="Calibri"/>
        <family val="2"/>
      </rPr>
      <t xml:space="preserve">@ 2 .5 Lakhs per UCHC  for the operation CHC Thevara. &amp; CHC Attukal                        U.4.1.4Untied grants to MAS  </t>
    </r>
    <r>
      <rPr>
        <sz val="11"/>
        <color indexed="10"/>
        <rFont val="Calibri"/>
        <family val="2"/>
      </rPr>
      <t xml:space="preserve">118.65 </t>
    </r>
    <r>
      <rPr>
        <sz val="11"/>
        <color indexed="8"/>
        <rFont val="Calibri"/>
        <family val="2"/>
      </rPr>
      <t>Rs.5000/- per for 2373 MAS</t>
    </r>
  </si>
  <si>
    <t>Infrastructure :  60 lakhs SDH/ THQH Chalakkudy Burns Unit Rs. 120 Lakhs . 50% proposed for the current year
IEC 28 lakhs Training/ IEC/Printing activities under Burns and Injuries Rs. 2 Lakhs x 14 Districts
Committed - 79.95 L for infrastructure,</t>
  </si>
  <si>
    <t>Proposing 6 sound treated cubicles, 6 Tympanometers, 5  ENT Microscopes, 10 Microdrills with Burr Heads and 10 Micro Ear surgery sets</t>
  </si>
  <si>
    <t>1.  Rs. 10 L for IEC Activities for State Level</t>
  </si>
  <si>
    <t>1. The amount is proposed for 7 Palliative Care Wards; x 6 Lakhs (7 Districts) (TVM, KLM, EKM,,TCR, MLP, KKD, KNR) 2.  Home Care Physiotherapy Kit  MRW Kit :  Rs. 1 Lakh/District 3.  Training and Capacity Building Rs. 1 Lakh/District  4.   Miscellaneous including Travel/ POL/ Stationary/ Communications/ Drugs etc. 8 Lakhs/district 5.  IEC/BCC Activities  Rs. 2 Lakh/ District.</t>
  </si>
  <si>
    <t xml:space="preserve">1. Fast moving dental consumables @.Rs.87500/- for selected Dental  units 2. Conducting Dental camps(Rs 15000/One camp)2.IEC Printing Activitie (Rs 20000/One camp)3.Observance of WOHD) -Rs 2.5L/District </t>
  </si>
  <si>
    <t>Diagnostics - 175 L - Fast moving dental consumables @.Rs.87500/- for 200 dental units
 IEC &amp; Printing  Rs. 100 Lakhs :  POL for mobility support from the district HQ to camp site for vehicles.  7 Lakhs, Expenses for camp organization 8.75 L Honorarium for the participants,  10.5 L IEC/BCC Activities 35 L  Observance of WOHD in Districts (14 Districts) Office and Stationery Expenses,35 L  Observance of WOHD in State wise manner 3 L, Office and Stationery Expenses Mobility Support for Institutional Visits and inspections  0.75 L</t>
  </si>
  <si>
    <t xml:space="preserve">1.  District Level Training 1.5 L / District 2.   Greening &amp; Climate Disaster Resilient  &amp; Retrofitting Healthcare Facility Infrastructure (Climate/ Disaster resilient) Rs. 7 Lakhs (Trivandrum, PTA,  Kottayam, Idukki, Kozhikode &amp; Wayanad Rs. 6 Lakhs (Kollam,  Alapuzha, Ernakulam, Thrissur, Malapuram, Kannur &amp; Kasargode) 3. IEC &amp; Printing Rs.2 L/district  4. Sensitisation workshop for program officers Rs. 1 Lakh/district
</t>
  </si>
  <si>
    <t>1. Training Rs. 2 lakh 2.  Rs. 30 L for IEC &amp; BCC Activities  3.  Rs. 2 L  State for sensitisation workshop for program officers 4. Surveillance, Research, Review Evaluation (SRRE) RS.5.30 L</t>
  </si>
  <si>
    <t>1. Facility for creatinine, Albumin and Miucroalbumin testing  Rs. 5 L 2. Nephrology Training  Rs. 1 Lakh</t>
  </si>
  <si>
    <t>1. Drugs Rs. 42 L Type 1 Diabetes.2. Cost of setting up mobile application Rs. 10 L  3. Research stroke Study - 12 L, cancer study - 8 L</t>
  </si>
  <si>
    <t>Equipment - 100 L for CCU -
Drugs - 180 L for 36 CCU @ Rs.5 L per CCU</t>
  </si>
  <si>
    <t>Equipment - 70 L - for cancer care for 14 dist @ Rs.5 L per dist 
Drugs 1152 L -
Rs.900 L for COPD drugs and consumbles @ Rs.26 L for 36 DH/GH
Rs.252 L for drugs for cancer care @ Rs.18 L per dist for 14 dists
Diagnostics - 1661 L -
Rs. 212 L for consumables at 848 PHCs @ Rs.25000/-
Rs.1351 L for consumbles at 5404 SHCs @ Rs.25000/-
Rs.98 L for PBS consumables for 700 PHC/SHC @ Rs.14000/-
Capacity Building - 52 L
Rs.10 L for state level training, 28 L for dist level training, 14 L for PBS training
ASHA incentives - Rs.158.66 L
OOC-Rs.84.60 L for opearting cost at 846 PHCs @ Rs.10000/-
IEC &amp; Printing - 161.12 L
Rs.70 L for IEC activities at STate level
Rs.70 L for IEC activities at Dist level @ Rs.5 L/dist
Rs.21.12 L for printing of referral cards at PHC @ Rs.2500/card for 848 PHCs
Planning &amp; M &amp; E - 45 L
3 L for State Program Management
Rs.42 L for dist level program management</t>
  </si>
  <si>
    <r>
      <t>Equipment : 114 L - For 228 NCD clinis at CHC @ rs.0.5 L</t>
    </r>
    <r>
      <rPr>
        <sz val="11"/>
        <color rgb="FF000000"/>
        <rFont val="Calibri"/>
        <family val="2"/>
      </rPr>
      <t xml:space="preserve">
Drugs - 456 L - for 228 NCD clinics at CHC @ Rs.2 L
OOC - 182.4 L - Rs.114 L for operating expenses at 228 CHC @ Rs.0.50 L
Rs.68.40 L for transportation cost at 228 CHCs
</t>
    </r>
  </si>
  <si>
    <t>Equipment and Furniture : 36 GH/GH x  1 Lakh.  
Drugs : 432 L : 36 DH/GH - 12 lakhs each; 
OOC - 63 L - Rs.28 L for operating expenses @ rs.2 L per dist for 14 dists, Rs.35 L for transportation @ Rs.2.5 L per dist for 14 dists</t>
  </si>
  <si>
    <t xml:space="preserve"> Activities include making Jingles, Videos, hoardings, newspaper advisories and mass media campaigns, No Tobaccay observation, special Enforcement drives, mobile IEC corner etc. Rs. 2 Lakhs / DistrictL 2.  Enforcement squads – 2 L/district • District Tobacco Control Cell (DTCC): Misc./Office Expenses – 0.5 / District • Monthly meeting with the hospital staff, Weekly FGD with the tobacco users – 0.5/district</t>
  </si>
  <si>
    <t xml:space="preserve">1. Equipments : 24 L   2. Drugs  72 L     3.  IEC &amp; Printing Rs. 2 Lakhs 2. State Tobacco Control Cell (STCC): Misc./Office Expenses – 1L  &amp; Hiring of Operational Vehicle under NTCP – 5 </t>
  </si>
  <si>
    <t>1. (a)Training of Medical Officers, Health care workers, Counsellors on Tobacco cessation.  District  Level 1 L/ District   Implementation of COTPA  Capacity building including training  b. Training of PRI's representatives/ Police personnel/ Teachers/ Transport personnel/ NGO personnel/ other stakeholders 1 L /district 2. Coverage of Public &amp; private schools – Rs. 2 Lakhs x 14 district.  2.  Sensitization campaign for college students and other educational institutions Rs. 1 Lakhs x 14 District (Rs. 10000 x 10 Colleges) 3. Rs. 1 L/ District - Printing Activities</t>
  </si>
  <si>
    <t xml:space="preserve">1. Implementation of COTPA  Capacity building including training  Rs. 2 L 2. Coverage of Public &amp; private schools – Rs. 56 L   3. SRRE - 10 L • Baseline Endline Survey of COTPA section 4,5,6,7     • 10 L </t>
  </si>
  <si>
    <t xml:space="preserve">Others including operating costs(OOC)  Medical Check up for Old Age Homes Rs. 0.10 L x 715 Old Age Homes Rs. 71.50 L
State specific Initiatives and Innovations :  Surveillance, Research, Review, Evaluation (SRRE)  : Dementia Clini in two District Hospital Rs. 5 Lakhs Details </t>
  </si>
  <si>
    <t>Infrastructure  &amp; Civl Works  - 40 L : It is proposed to set up Geriatric friendly wards in hospitals–10 bedded geriatric ward for males and females, with antiskid tiles, ramps, rails, elderly friendly furniture, elderly friendly toilets etc.  New construction is proposed for DH kozehenchery at the rate Rs. 80 L which will be implemented in two financial year @ Rs. 40 Lahs /each
Procurement of equipment for DH/ GH elderly clinics - 28 L - Procurement of equipment for DH/ GH elderly clinics- oxygen concentrator for geriatric wards @ Rs 1 L0 x 2 hospitals/ district,  Other equipment include nebulizer, glucometer, electronic BP apparatus x 14 Hospitals
Geriatric Care at DH Drugs and Supplies  - 140 L : Rs. 10 L x 14 districts
Capacity building incl. training - 12.40 L :Training of Doctors, Staff Nurse and Physiotherapists at Districts Rs. 80000/-and state Rs. 1.2 Lakhs
IEC &amp; Printing - 30 L : Elderly care day observation. State &amp; District Level Elderly care day observation will be done on October 1st and will continue for 15 days.  ASHA volunteers and field workers shall mobilize elderly population to the camp site for health check up.  Cooking classes, YOGA, Meditation and Health exhibition also may be conducted.  A comprehensive assistance and elderly care camp for the senior citizens at district hospital level shall be conducted.  All major specialities like cardiology, neurology, ophthalmology ,Ortho, physiatry  and Psychiatry shall be included.  The patient will be provided with a comprehensive assistance booklet provided by NPHCE division for continuous follow up for patients.  It is proposed to cover all elderly patients in 15 days observation period as a part of Elderly Care Awareness. Rs. 3 Lakhs x 13 District and Rs. 4 lakhs for Aspirational District Wayanad</t>
  </si>
  <si>
    <t>Drugs - 140 L - Psychotropic medicines @ Rs.10 L per district for 14 districts
Diagnositics - 20 L for psychological test material @ RS.1.50 L per district for 14 districts
Training 83 L -- Training of PHC Mos/ SN / Para medical workers under NMHP (Aswasam, ammamanasu, urban mental health)
OOC - Rs.228 L for (a) implementation of sampoorna Manasika arogyam in 720 Grama Panchayats 
b. Tribal Mental Health interventions 127 tribal areas
c. Mental Health Interventions in 90 Coastal Areas 
d.  Workplace Intervention in 380 institutions
Rs.56 L for ambulatory services @ Rs.4 L per district
IEC : Rsa.56 L for IEC activities @ Rs.4 L per district
Planning &amp; M &amp; E - 264.40 L
Rs.186 L for day care centres financial support DMHP vehicle hiring, operational expenses
Rs.77 L for misc ./travel expenses
Rs.1.40 L for operational expenses of the dist centre</t>
  </si>
  <si>
    <t>Approved for 1700cases @ Rs 1000 for the Assistance for consumables/ drugs/ medicines including IOL to the Govt. Hospital for Cataract surgery</t>
  </si>
  <si>
    <t>Approved for 250 cases @ Rs 2000 per case</t>
  </si>
  <si>
    <t>Approved @ Rs 1 Lakh per unit for 9 vision centers</t>
  </si>
  <si>
    <t>IEC - 1 L :Approved for District Level Awareness and activities in connection with Eye donation fortnight, world sight day, world Glaucoma week:
Planning &amp; M &amp; E : 1 L : Fund for conducting camps,POL, TA/DA of District level staffs, Contingencies,  monthly review meetings at  District level</t>
  </si>
  <si>
    <t xml:space="preserve">Approved for 1400 cases @ Rs 1000 for the Assistance for consuma-bles/ drugs/ medicines including IOL to the Govt. Hospital for Cataract surgery. </t>
  </si>
  <si>
    <t>Approved for 450 cases@ Rs 2000 per case</t>
  </si>
  <si>
    <t>Approved @ Rs 1 Lakh per unit for 3 vision centers</t>
  </si>
  <si>
    <t>Approved for 700 cases @ Rs 1000 for the Assistance for consuma-bles/ drugs/ medicines including IOL to the Govt. Hospital for Cataract surgery</t>
  </si>
  <si>
    <t>Approved  for 200 cases@ Rs 2000 per case</t>
  </si>
  <si>
    <t>Approved Rs 1 Lakh per unit for 1 vision center</t>
  </si>
  <si>
    <t xml:space="preserve">Aproved for 1400 cases @ Rs 1000 for the Assistance for consuma-bles/ drugs/ medicines including IOL to the Govt. Hospital for Cataract surgery. </t>
  </si>
  <si>
    <t>Proposing for 600 cases@ Rs 2000 per case</t>
  </si>
  <si>
    <t>Approved @ Rs 1 Lakh per unit for 2 vision centers</t>
  </si>
  <si>
    <t>Approved for 1700 cases @ Rs 1000 for the Assistance for consuma-bles/ drugs/ medicines including IOL to the Govt. Hospital for Cataract surgery</t>
  </si>
  <si>
    <t>Maintenance, POL &amp; Insurance of existing Mobile Ophthalmic unit @ Rs 2 Lakhs</t>
  </si>
  <si>
    <t>Approved for 600 cases @ Rs 1000 for the Assistance for consuma-bles/ drugs/ medicines including IOL to the Govt. Hospital for Cataract surgery</t>
  </si>
  <si>
    <t>Approved for 650 cases@ Rs 2000 per case</t>
  </si>
  <si>
    <t>Approved @ Rs 1 Lakh per unit for 10 vision centers</t>
  </si>
  <si>
    <t xml:space="preserve">Approved for 1500 cases @ Rs 1000 for the Assistance for consuma-bles/ drugs/ medicines including IOL to the Govt. Hospital for Cataract surgery
</t>
  </si>
  <si>
    <t>Approved for 1600 cases@ Rs 2000 per case</t>
  </si>
  <si>
    <t xml:space="preserve">10 cases of Diabetic Retinopathy @ 2000 – Rs.0.2 L
5 cases of Childhood Blindness @ Rs.2000 – Rs 0.1 L
20 cases of Glaucoma @ Rs.2000 – Rs 0.4 L
5 Cases of Keratoplasty @ Rs 7500- Rs 0.38 Lakhs
3 Cases of Vitreoretinal Surgery @Rs.10000/- Rs 0.30 Lakhs
</t>
  </si>
  <si>
    <t>Approved @ Rs 1 Lakh per unit for 4 vision centers</t>
  </si>
  <si>
    <t>Approved  for 1000 cases @ Rs 1000 for the Assistance for consuma-bles/ drugs/ medicines including IOL to the Govt. Hospital for Cataract surgery</t>
  </si>
  <si>
    <t>Approved @ Rs 1 Lakh per unit for 8 vision centers</t>
  </si>
  <si>
    <t xml:space="preserve">Approved for 900 cases @ Rs 1000 for the Assistance for consuma-bles/ drugs/ medicines including IOL to the Govt. Hospital for Cataract surgery. </t>
  </si>
  <si>
    <t>Approved for 700 cases@ Rs 2000 per case</t>
  </si>
  <si>
    <t>Approved @ Rs 1 Lakh per unit for 5 vision centers</t>
  </si>
  <si>
    <t>Approved  for 900 cases @ Rs 1000 for the Assistance for consumables/ drugs/ medicines including IOL to the Govt. Hospital for Cataract surgery.</t>
  </si>
  <si>
    <t xml:space="preserve">Maintenance, POL &amp; Insurance of existing Mobile Ophthalmic unit @ Rs 2 Lakhs each for 2 units </t>
  </si>
  <si>
    <t>Approved @ Rs 1 Lakh per unit for 6 vision centers</t>
  </si>
  <si>
    <t>Approved for 800 cases @ Rs 1000 for the Assistance for consuma-bles/ drugs/ medicines including IOL to the Govt. Hospital for Cataract surgery</t>
  </si>
  <si>
    <t>Approved for 900 cases@ Rs 2000 per case</t>
  </si>
  <si>
    <t>Approved @ Rs 1 Lakh per unit for 7 vision centers</t>
  </si>
  <si>
    <t xml:space="preserve">Approved for 800 cases @ Rs 1000 for the Assistance for consuma-bles/ drugs/ medicines including IOL to the Govt. Hospital for Cataract surgery. 
</t>
  </si>
  <si>
    <t>Approved @ Rs 1 Lakh per unit for 1 vision center</t>
  </si>
  <si>
    <t xml:space="preserve">Approved for 1000 cases @ Rs 1000 for the Assistance for consumables/ drugs/ medicines including IOL to the Govt. Hospital for Cataract surgery
</t>
  </si>
  <si>
    <t>Approved for 400 cases @ Rs 1000 for the Assistance for consumables/ drugs/ medicines including IOL to the Govt. Hospital for Cataract surgery.</t>
  </si>
  <si>
    <t>Approved for 150 cases@ Rs 2000 per case</t>
  </si>
  <si>
    <t xml:space="preserve">
Equipment ; 620 L 
Approved at GH Trivandrum, Neyatinkara, Adoor, Pathanamthitta, Alappuzha, Kanjrappally, Kozhikkode, Thalassery, Manjeri, Tirur @ Rs.40L each
Approved at THQH-Kayamkulam, Chirayinkil, Tiruvalla, Mannarcaud, Nedumkandam, North Paravoor, Chavakkad, Koothuparamba, Piravom, Kothamangalam, Kunnamkulam @ Rs.20 L each
Committed - Rs.423.46 L infrastructure</t>
  </si>
  <si>
    <t>IEC - 1 L : Approved for District Level Awareness and activities in connection with Eye donation fortnight, world sight day, world Glaucoma week:
Planning &amp; M &amp; E : 1 L :  State level- POL, TA/DA for staffs, Contingencies, review meetings, Office Operation and miscellaneous</t>
  </si>
  <si>
    <t xml:space="preserve">Diagnostics - 12.5 L 
For procurement and distribution of RDT Kits for all health insti-tutions andIgM ELISA Lepto kits to all district labs.
Training - 4.80 L
IEC &amp; Printing -19 L
Rs. 5Lakhs in the state level, Rs. 14L for 14 districts for doing district specific IEC/BCC activities
Planning &amp; M&amp;E - 4 L 
Rs. 1 lakhs for state level review meetings under Programme for Prevention and Control of Leptospirosis
Rs.0.5 lakhs for Mobility support under Programme for Prevention and Control of Leptospirosis
</t>
  </si>
  <si>
    <t>Training - 116.45 L
Rs.3.75 L for one day sensitisation PRIs peripheral reporting institutions / LSGs
Rs.39.5 L for one day training for MOs
Rs.2.40 L for one day training for Medical College Doctors 
Rs.22.5 L for one day training for Hospital Pharmacist  / Nurse
Rs.5.10 L for one day training for LT
Rs.0.40 L for one day training for Data Managers
Rs.0.50 L for one day training for DEOs
Rs.42.30 L for one day training for ASHAs &amp; MPW, AWW &amp; Community Volunteers
OOC  Rs.85  l
Rs.3 L for border meeting with SSO of neighbouring states
Rs.82 L for mobiity support and office expenses to IDSP units
 Support for implementation of IDSP 120.65 L ( @ Rs. 5000/- per ward, for 2413 wards  covered by NUHM to carry out pre monsoon epidemic preparedness activities
SRRE - 32 L
Rs.22 L for support to District PH labs for providing recurring cost on consumables and other lab expenses
Rs.10 L for support to referral network laboratories - Govt Medical College Labs for 9 existing labs and one new lab proposed at Kannur</t>
  </si>
  <si>
    <r>
      <rPr>
        <b/>
        <sz val="11"/>
        <color theme="1"/>
        <rFont val="Calibri"/>
        <family val="2"/>
        <scheme val="minor"/>
      </rPr>
      <t>DBT- 7.10 Lakhs</t>
    </r>
    <r>
      <rPr>
        <sz val="11"/>
        <color theme="1"/>
        <rFont val="Calibri"/>
        <scheme val="minor"/>
      </rPr>
      <t xml:space="preserve"> - Treatment Supporter Honorarium (Rs.1000) - one-time payment on the update of the Outcome of Treatment for drug sensitive TB patients
</t>
    </r>
    <r>
      <rPr>
        <b/>
        <sz val="11"/>
        <color theme="1"/>
        <rFont val="Calibri"/>
        <family val="2"/>
        <scheme val="minor"/>
      </rPr>
      <t xml:space="preserve">Infrastructure - Civil - Rs 2.50 lakhs - </t>
    </r>
    <r>
      <rPr>
        <sz val="11"/>
        <color theme="1"/>
        <rFont val="Calibri"/>
        <scheme val="minor"/>
      </rPr>
      <t xml:space="preserve">
Major &amp; minor civil works/ repairing &amp; maintenance at DOTs, DTC, TU &amp; DMC and X-ray facilities etc  based on need basis and for minor civil works.
</t>
    </r>
    <r>
      <rPr>
        <b/>
        <sz val="11"/>
        <color theme="1"/>
        <rFont val="Calibri"/>
        <family val="2"/>
        <scheme val="minor"/>
      </rPr>
      <t>Equipments  - Rs. 8.40 Lakhs -</t>
    </r>
    <r>
      <rPr>
        <sz val="11"/>
        <color theme="1"/>
        <rFont val="Calibri"/>
        <scheme val="minor"/>
      </rPr>
      <t xml:space="preserve">  Rs. 2.50 lakhs Procurement of equipment for District levels. (DMC, X-ray and ECG, etc for NTEP)
Procurement of Sleeves and drug boxes
Rs. 2.40 lakhs Maintenance / up gradation costs for Laboratory equipment’s DMC, X-ray and ECG, etc for NTEP 
Rs. 2.00 lakhs Procurement of office equipment and furniture for District levels. (Office Equipments)
Rs. 1.50 lakhs Maintenance / up gradation costs for office
equipment’s (Office Equipments) 
</t>
    </r>
    <r>
      <rPr>
        <b/>
        <sz val="11"/>
        <color theme="1"/>
        <rFont val="Calibri"/>
        <family val="2"/>
        <scheme val="minor"/>
      </rPr>
      <t>Drugs - Rs. 2.90 Lakhs</t>
    </r>
    <r>
      <rPr>
        <sz val="11"/>
        <color theme="1"/>
        <rFont val="Calibri"/>
        <scheme val="minor"/>
      </rPr>
      <t xml:space="preserve"> - Procurement of First line drugs, Local Procurement of first line Anti TB
drugs and Drug Transportation charges etc
</t>
    </r>
    <r>
      <rPr>
        <b/>
        <sz val="11"/>
        <color theme="1"/>
        <rFont val="Calibri"/>
        <family val="2"/>
        <scheme val="minor"/>
      </rPr>
      <t>Diagnostics (Consumbales, PPP, Sample Transportation) - Rs. 12.30 Lakhs</t>
    </r>
    <r>
      <rPr>
        <sz val="11"/>
        <color theme="1"/>
        <rFont val="Calibri"/>
        <scheme val="minor"/>
      </rPr>
      <t xml:space="preserve"> - Rs. 6.40 lakhs Patient Support &amp; Sample collection and Transport , Charges for transportation of samples for diagnosis, DST, follow-up &amp; Rs. 5.90 Lakhs Procurement of Lab consumables for DMCs, Procurement of Consumables for X-rays, ECG and etc.
</t>
    </r>
    <r>
      <rPr>
        <b/>
        <sz val="11"/>
        <color theme="1"/>
        <rFont val="Calibri"/>
        <family val="2"/>
        <scheme val="minor"/>
      </rPr>
      <t>Capacity building Incl. training - Rs. 8.50 Lakhs</t>
    </r>
    <r>
      <rPr>
        <sz val="11"/>
        <color theme="1"/>
        <rFont val="Calibri"/>
        <scheme val="minor"/>
      </rPr>
      <t xml:space="preserve"> - Rs. 4.80 lakhs Training cost (including TA/DA &amp; other course materials) for officers / staff/ TB Champions and all district staff at National level, State level and District level,  Rs. 2.50 lakhs Cost for conducting CME Training in Medical Colleges, Rs. 1.20 lakhs Community Engagement
Activities - Sensitization of TB survivors, sensitization of NGOs, PRIs meeting, TB survivor led activities, etc
</t>
    </r>
    <r>
      <rPr>
        <b/>
        <sz val="11"/>
        <color theme="1"/>
        <rFont val="Calibri"/>
        <family val="2"/>
        <scheme val="minor"/>
      </rPr>
      <t>Others including operating costs (OOC) - Rs. 3.50 Lakhs</t>
    </r>
    <r>
      <rPr>
        <sz val="11"/>
        <color theme="1"/>
        <rFont val="Calibri"/>
        <scheme val="minor"/>
      </rPr>
      <t xml:space="preserve"> - Rs. 1.40 lakhs Incentives for Active Case Finding/Akshaya Keralam Campaign/TB Elimination house to house visit , Rs 10/ for every household visit &amp; Rs 500/ for every new cases identified  -the unit cost shall preferably be budgeted as per household or per person screened., Rs. 0.30 lakhs Incentive to non-salaried person for injection prick, Rs. 1.80 lakhs Budget for Printing of Materials. 
</t>
    </r>
    <r>
      <rPr>
        <b/>
        <sz val="11"/>
        <color theme="1"/>
        <rFont val="Calibri"/>
        <family val="2"/>
        <scheme val="minor"/>
      </rPr>
      <t>Planning &amp; M&amp;E - Rs. 18.80 Lakhs</t>
    </r>
    <r>
      <rPr>
        <sz val="11"/>
        <color theme="1"/>
        <rFont val="Calibri"/>
        <scheme val="minor"/>
      </rPr>
      <t xml:space="preserve"> - Rs. 5.20 lakhs for Supervision and Monitoring (District Level) - TA/DA cost of all officer/ staff working in NTEP,
review meetings, Cost of internal evaluation etc., Rs. 2.70 lakhs POL for existing vehicles under NTEP and
mobility support for those field staff in lieu of
vehicles. Rs. 3.30 lakhs for Vehicle hiring cost for Districts where
Govt vehicles are not available for supervision &amp;
monitoring, Rs. 2.40 lakhs for Medical Colleges meetings, Rs. 3.90 lakhs for office operation includes office maintenance
expenditure, stationary, communication etc. Rs. 1.30 lakhs for Maintenance cost for District vehicles
(including four-wheeler &amp; two wheelers)
</t>
    </r>
    <r>
      <rPr>
        <b/>
        <sz val="11"/>
        <color theme="1"/>
        <rFont val="Calibri"/>
        <family val="2"/>
        <scheme val="minor"/>
      </rPr>
      <t>Surveillance, Research, Review, Evaluation (SRRE) - Rs. 1.00 Lakhs</t>
    </r>
    <r>
      <rPr>
        <sz val="11"/>
        <color theme="1"/>
        <rFont val="Calibri"/>
        <scheme val="minor"/>
      </rPr>
      <t xml:space="preserve"> - Support for State &amp; District level/TU/LSG TB Forums(Treatment Support Groups) functioning including meeting cost, travel support to community members attending meeting, etc.</t>
    </r>
  </si>
  <si>
    <r>
      <rPr>
        <b/>
        <sz val="11"/>
        <color theme="1"/>
        <rFont val="Calibri"/>
        <family val="2"/>
        <scheme val="minor"/>
      </rPr>
      <t>DBT - Rs. 68.80 Lakhs</t>
    </r>
    <r>
      <rPr>
        <sz val="11"/>
        <color theme="1"/>
        <rFont val="Calibri"/>
        <scheme val="minor"/>
      </rPr>
      <t xml:space="preserve"> - Nutrition support to TB patient Rs. 500 per month till the treatment is completed, by DBT for DSTB Patients for 6 months &amp; Nutrition support to TB patient Rs. 500 per month till the treatment is completed, by DBT for DRTB Patients for 12 months.</t>
    </r>
  </si>
  <si>
    <r>
      <rPr>
        <b/>
        <sz val="11"/>
        <color theme="1"/>
        <rFont val="Calibri"/>
        <family val="2"/>
        <scheme val="minor"/>
      </rPr>
      <t>DBT - Rs. 7.50 Lakhs</t>
    </r>
    <r>
      <rPr>
        <sz val="11"/>
        <color theme="1"/>
        <rFont val="Calibri"/>
        <scheme val="minor"/>
      </rPr>
      <t xml:space="preserve"> - Private Provider Incentives- NTEP DBT Scheme @Rs. 500/- per notification and Rs. 500/- when treatment outcome declared &amp; Incentives for first informant (20% of Public
notified case will be expected to be eligible for first informant incentive).
</t>
    </r>
    <r>
      <rPr>
        <b/>
        <sz val="11"/>
        <color theme="1"/>
        <rFont val="Calibri"/>
        <family val="2"/>
        <scheme val="minor"/>
      </rPr>
      <t>Others including operating costs (OOC) - Rs. 7.50 Lakhs</t>
    </r>
    <r>
      <rPr>
        <sz val="11"/>
        <color theme="1"/>
        <rFont val="Calibri"/>
        <scheme val="minor"/>
      </rPr>
      <t xml:space="preserve"> - Cost of existing NGO/ PP support schemes and new NGO/ PP support schemes proposed as per NTEP Public Private Partnership Guidance.</t>
    </r>
  </si>
  <si>
    <r>
      <t xml:space="preserve">Diagnostics (Consumbales, PPP, Sample Transportation) - Rs. 2.10 lakhs - </t>
    </r>
    <r>
      <rPr>
        <sz val="11"/>
        <color theme="1"/>
        <rFont val="Calibri"/>
        <scheme val="minor"/>
      </rPr>
      <t>Screening, referral linkages and follow-up under Latent TB Infection Management ,Cost for screening of LTBI such as incentives, sample collection &amp; transport, etc may be budgeted</t>
    </r>
  </si>
  <si>
    <r>
      <rPr>
        <b/>
        <sz val="11"/>
        <color theme="1"/>
        <rFont val="Calibri"/>
        <family val="2"/>
        <scheme val="minor"/>
      </rPr>
      <t>DBT - Rs. 2.60 Lakhs</t>
    </r>
    <r>
      <rPr>
        <sz val="11"/>
        <color theme="1"/>
        <rFont val="Calibri"/>
        <scheme val="minor"/>
      </rPr>
      <t xml:space="preserve"> - Treatment Supporter
Honorarium (Rs.5000), payment on the update of the Outcome of Treatment for drug resistant TB
patients.
</t>
    </r>
    <r>
      <rPr>
        <b/>
        <sz val="11"/>
        <color theme="1"/>
        <rFont val="Calibri"/>
        <family val="2"/>
        <scheme val="minor"/>
      </rPr>
      <t>Infrastructure- Civil works (I&amp;C) - Rs. 1.50 Lakhs</t>
    </r>
    <r>
      <rPr>
        <sz val="11"/>
        <color theme="1"/>
        <rFont val="Calibri"/>
        <scheme val="minor"/>
      </rPr>
      <t xml:space="preserve"> - Major &amp; minor civil works/ repairing &amp; maintenance of Nodal DRTB centre, CBNAAT,
TRUNAAT sites, IRL &amp; CDST labs on need basis.
</t>
    </r>
    <r>
      <rPr>
        <b/>
        <sz val="11"/>
        <color theme="1"/>
        <rFont val="Calibri"/>
        <family val="2"/>
        <scheme val="minor"/>
      </rPr>
      <t>Equipment - Rs. 2.00 Lakhs</t>
    </r>
    <r>
      <rPr>
        <sz val="11"/>
        <color theme="1"/>
        <rFont val="Calibri"/>
        <scheme val="minor"/>
      </rPr>
      <t xml:space="preserve"> - Procurement of equipment for District levels (DR TB Centre, IRL, C
&amp; DST Lab and Molecular Diagnostics), Maintenance / up gradation costs for Laboratory equipment’s for DR TB Centre, IRL, C&amp;DST Lab and Molecular Diagnostics Equipment for NTEP
</t>
    </r>
    <r>
      <rPr>
        <b/>
        <sz val="11"/>
        <color theme="1"/>
        <rFont val="Calibri"/>
        <family val="2"/>
        <scheme val="minor"/>
      </rPr>
      <t>Drugs - Rs. 2.10 Lakhs</t>
    </r>
    <r>
      <rPr>
        <sz val="11"/>
        <color theme="1"/>
        <rFont val="Calibri"/>
        <scheme val="minor"/>
      </rPr>
      <t xml:space="preserve"> - Procurement of DRTB drugs, Local Procurement of second line drugs.
</t>
    </r>
    <r>
      <rPr>
        <b/>
        <sz val="11"/>
        <color theme="1"/>
        <rFont val="Calibri"/>
        <family val="2"/>
        <scheme val="minor"/>
      </rPr>
      <t>Capacity building Incl. training - Rs. 0.40 Lakhs</t>
    </r>
    <r>
      <rPr>
        <sz val="11"/>
        <color theme="1"/>
        <rFont val="Calibri"/>
        <scheme val="minor"/>
      </rPr>
      <t xml:space="preserve"> - Training for AIC, Cost for AIC related trainings.
 </t>
    </r>
    <r>
      <rPr>
        <b/>
        <sz val="11"/>
        <color theme="1"/>
        <rFont val="Calibri"/>
        <family val="2"/>
        <scheme val="minor"/>
      </rPr>
      <t xml:space="preserve">Surveillance, Research, Review, Evaluation (SRRE) - Rs 0.50 Lakhs - </t>
    </r>
    <r>
      <rPr>
        <sz val="11"/>
        <color theme="1"/>
        <rFont val="Calibri"/>
        <scheme val="minor"/>
      </rPr>
      <t>AIC Review Committee, Cost for Committee meeting &amp; etc.</t>
    </r>
  </si>
  <si>
    <r>
      <rPr>
        <b/>
        <sz val="11"/>
        <color theme="1"/>
        <rFont val="Calibri"/>
        <family val="2"/>
        <scheme val="minor"/>
      </rPr>
      <t>IEC &amp; Printing - Rs. 14.72 Lakhs</t>
    </r>
    <r>
      <rPr>
        <sz val="11"/>
        <color theme="1"/>
        <rFont val="Calibri"/>
        <scheme val="minor"/>
      </rPr>
      <t xml:space="preserve"> - Budget for activities for ACSM including media briefings with journalists, orientation meetings with key groups (e.g., PRIs, SHGs), sensitization session for elected leaders (e.g., MPs, MLAs, school / college-based activities, advocacy meeting with State and District authority, (outdoor publicity) folk, mela, street plays, signages, miking, TV/Radio campaign, cost, miking, exhibition/ “World TB Day “rally, etc &amp; Printing of Manuals, Guidelines, Forms,
Formats, Cards, etc. at district level</t>
    </r>
  </si>
  <si>
    <r>
      <rPr>
        <b/>
        <sz val="11"/>
        <color theme="1"/>
        <rFont val="Calibri"/>
        <family val="2"/>
        <scheme val="minor"/>
      </rPr>
      <t>DBT- 6.70 Lakhs</t>
    </r>
    <r>
      <rPr>
        <sz val="11"/>
        <color theme="1"/>
        <rFont val="Calibri"/>
        <scheme val="minor"/>
      </rPr>
      <t xml:space="preserve"> - Treatment Supporter Honorarium (Rs.1000) - one-time payment on the update of the Outcome of Treatment for drug sensitive TB patients
</t>
    </r>
    <r>
      <rPr>
        <b/>
        <sz val="11"/>
        <color theme="1"/>
        <rFont val="Calibri"/>
        <family val="2"/>
        <scheme val="minor"/>
      </rPr>
      <t xml:space="preserve">Infrastructure - Civil - Rs 2.50 lakhs - </t>
    </r>
    <r>
      <rPr>
        <sz val="11"/>
        <color theme="1"/>
        <rFont val="Calibri"/>
        <scheme val="minor"/>
      </rPr>
      <t xml:space="preserve">
Major &amp; minor civil works/ repairing &amp; maintenance at DOTs, DTC, TU &amp; DMC and X-ray facilities etc  based on need basis and for minor civil works.
</t>
    </r>
    <r>
      <rPr>
        <b/>
        <sz val="11"/>
        <color theme="1"/>
        <rFont val="Calibri"/>
        <family val="2"/>
        <scheme val="minor"/>
      </rPr>
      <t>Equipments  - Rs. 8.40 Lakhs -</t>
    </r>
    <r>
      <rPr>
        <sz val="11"/>
        <color theme="1"/>
        <rFont val="Calibri"/>
        <scheme val="minor"/>
      </rPr>
      <t xml:space="preserve"> Rs. 2.50 lakhs Procurement of equipment for District levels. (DMC, X-ray and ECG, etc for NTEP)
Procurement of Sleeves and drug boxes, Rs. 2.40 lakhs for Maintenance / up gradation costs for Laboratory equipment’s DMC, X-ray and ECG, etc for NTEP 
Rs. 2.00 lakhs for Procurement of office equipment and furniture for District levels. (Office Equipments)
Rs. 1.50 lakhs for Maintenance / up gradation costs for office equipment’s (Office Equipments) 
</t>
    </r>
    <r>
      <rPr>
        <b/>
        <sz val="11"/>
        <color theme="1"/>
        <rFont val="Calibri"/>
        <family val="2"/>
        <scheme val="minor"/>
      </rPr>
      <t>Drugs - Rs. 2.80 Lakhs</t>
    </r>
    <r>
      <rPr>
        <sz val="11"/>
        <color theme="1"/>
        <rFont val="Calibri"/>
        <scheme val="minor"/>
      </rPr>
      <t xml:space="preserve"> - Procurement of First line drugs, Local Procurement of first line Anti TB
drugs and Drug Transportation charges etc
</t>
    </r>
    <r>
      <rPr>
        <b/>
        <sz val="11"/>
        <color theme="1"/>
        <rFont val="Calibri"/>
        <family val="2"/>
        <scheme val="minor"/>
      </rPr>
      <t>Diagnostics (Consumbales, PPP, Sample Transportation) - Rs. 10.70 Lakhs</t>
    </r>
    <r>
      <rPr>
        <sz val="11"/>
        <color theme="1"/>
        <rFont val="Calibri"/>
        <scheme val="minor"/>
      </rPr>
      <t xml:space="preserve"> - Rs. 5.40 lakhs Patient Support &amp; Sample collection and Transport , Charges for transportation of samples for diagnosis, DST, follow-up &amp; Rs. 5.30 lakhs for Procurement of Lab consumables for DMCs, Procurement of Consumables for X-rays, ECG and etc.
</t>
    </r>
    <r>
      <rPr>
        <b/>
        <sz val="11"/>
        <color theme="1"/>
        <rFont val="Calibri"/>
        <family val="2"/>
        <scheme val="minor"/>
      </rPr>
      <t>Capacity building Incl. training - Rs. 7.10 Lakhs</t>
    </r>
    <r>
      <rPr>
        <sz val="11"/>
        <color theme="1"/>
        <rFont val="Calibri"/>
        <scheme val="minor"/>
      </rPr>
      <t xml:space="preserve"> - Rs. 4.40 lakhs for training cost (including TA/DA &amp; other course materials) for officers / staff/ TB Champions and all district staff at National level, State level and District level,  Rs. 2.00 lakhs Cost for conducting CME Training in Medical Colleges, Rs. 0.70 lakhs Community Engagement
Activities - Sensitization of TB survivors, sensitization of NGOs, PRIs meeting, TB survivor led activities, etc
</t>
    </r>
    <r>
      <rPr>
        <b/>
        <sz val="11"/>
        <color theme="1"/>
        <rFont val="Calibri"/>
        <family val="2"/>
        <scheme val="minor"/>
      </rPr>
      <t>Others including operating costs (OOC) - Rs. 2.95 Lakhs</t>
    </r>
    <r>
      <rPr>
        <sz val="11"/>
        <color theme="1"/>
        <rFont val="Calibri"/>
        <scheme val="minor"/>
      </rPr>
      <t xml:space="preserve"> - Rs. 1.20 lakhs Incentives for Active Case Finding/Akshaya Keralam Campaign/TB Elimination house to house visit , Rs 10/ for every household visit &amp; Rs 500/ for every new cases identified  -the unit cost shall preferably be budgeted as per household or per person screened., Rs. 0.25 lakhs Incentive to non-salaried person for injection prick, Rs. 1.50 lakhs Budget for Printing of Materials. 
</t>
    </r>
    <r>
      <rPr>
        <b/>
        <sz val="11"/>
        <color theme="1"/>
        <rFont val="Calibri"/>
        <family val="2"/>
        <scheme val="minor"/>
      </rPr>
      <t>Planning &amp; M&amp;E - Rs. 15.40 Lakhs</t>
    </r>
    <r>
      <rPr>
        <sz val="11"/>
        <color theme="1"/>
        <rFont val="Calibri"/>
        <scheme val="minor"/>
      </rPr>
      <t xml:space="preserve"> - Rs. 4.10 lakhs Supervision and Monitoring (District Level) - TA/DA cost of all officer/ staff working in NTEP,
review meetings, Cost of internal evaluation etc., Rs. 2.30 lakhs for POL for existing vehicles under NTEP and
mobility support for those field staff in lieu of
vehicles. Rs. 2.50 lakhs Vehicle hiring cost for Districts where
Govt vehicles are not available for supervision &amp;
monitoring. Rs. 2.00 lakhs Medical Colleges meetings, Rs. 3.30 lakhs Office operation includes office maintenance
expenditure, stationary, communication etc. Rs. 1.20 lakhs Maintenance cost for District vehicles
(including four-wheeler &amp; two wheelers)
</t>
    </r>
    <r>
      <rPr>
        <b/>
        <sz val="11"/>
        <color theme="1"/>
        <rFont val="Calibri"/>
        <family val="2"/>
        <scheme val="minor"/>
      </rPr>
      <t>Surveillance, Research, Review, Evaluation (SRRE) - Rs. 0.60 Lakhs</t>
    </r>
    <r>
      <rPr>
        <sz val="11"/>
        <color theme="1"/>
        <rFont val="Calibri"/>
        <scheme val="minor"/>
      </rPr>
      <t xml:space="preserve"> -  Support for State &amp; District level/TU/LSG TB Forums(Treatment Support Groups) functioning including meeting cost, travel support to community members attending meeting, etc.</t>
    </r>
  </si>
  <si>
    <r>
      <rPr>
        <b/>
        <sz val="11"/>
        <color theme="1"/>
        <rFont val="Calibri"/>
        <family val="2"/>
        <scheme val="minor"/>
      </rPr>
      <t>DBT - Rs. 63.10 Lakhs</t>
    </r>
    <r>
      <rPr>
        <sz val="11"/>
        <color theme="1"/>
        <rFont val="Calibri"/>
        <scheme val="minor"/>
      </rPr>
      <t xml:space="preserve"> - Nutrition support to TB patient Rs. 500 per month till the treatment is completed, by DBT for DSTB Patients for 6 months &amp; Nutrition support to TB patient Rs. 500 per month till the treatment is completed, by DBT for DRTB Patients for 12 months.</t>
    </r>
  </si>
  <si>
    <r>
      <rPr>
        <b/>
        <sz val="11"/>
        <color theme="1"/>
        <rFont val="Calibri"/>
        <family val="2"/>
        <scheme val="minor"/>
      </rPr>
      <t>DBT - Rs. 5.60 Lakhs</t>
    </r>
    <r>
      <rPr>
        <sz val="11"/>
        <color theme="1"/>
        <rFont val="Calibri"/>
        <scheme val="minor"/>
      </rPr>
      <t xml:space="preserve"> - Private Provider Incentives- NTEP DBT Scheme @Rs. 500/- per notification and Rs. 500/- when treatment outcome declared &amp; Incentives for first informant (20% of Public
notified case will be expected to be eligible for first informant incentive).
</t>
    </r>
    <r>
      <rPr>
        <b/>
        <sz val="11"/>
        <color theme="1"/>
        <rFont val="Calibri"/>
        <family val="2"/>
        <scheme val="minor"/>
      </rPr>
      <t>Others including operating costs (OOC) - Rs. 5.50 Lakhs</t>
    </r>
    <r>
      <rPr>
        <sz val="11"/>
        <color theme="1"/>
        <rFont val="Calibri"/>
        <scheme val="minor"/>
      </rPr>
      <t xml:space="preserve"> - Cost of existing NGO/ PP support schemes and new NGO/ PP support schemes proposed as per NTEP Public Private Partnership Guidance.</t>
    </r>
  </si>
  <si>
    <r>
      <t xml:space="preserve">Diagnostics (Consumbales, PPP, Sample Transportation) - Rs. 2.20 lakhs - </t>
    </r>
    <r>
      <rPr>
        <sz val="11"/>
        <color theme="1"/>
        <rFont val="Calibri"/>
        <scheme val="minor"/>
      </rPr>
      <t>Screening, referral linkages and follow-up under Latent TB Infection Management ,Cost for screening of LTBI such as incentives, sample collection &amp; transport, etc may be budgeted</t>
    </r>
  </si>
  <si>
    <r>
      <rPr>
        <b/>
        <sz val="11"/>
        <color theme="1"/>
        <rFont val="Calibri"/>
        <family val="2"/>
        <scheme val="minor"/>
      </rPr>
      <t>DBT - Rs. 2.10 Lakhs</t>
    </r>
    <r>
      <rPr>
        <sz val="11"/>
        <color theme="1"/>
        <rFont val="Calibri"/>
        <scheme val="minor"/>
      </rPr>
      <t xml:space="preserve"> - Treatment Supporter
Honorarium (Rs.5000), payment on the update of the Outcome of Treatment for drug resistant TB
patients.
</t>
    </r>
    <r>
      <rPr>
        <b/>
        <sz val="11"/>
        <color theme="1"/>
        <rFont val="Calibri"/>
        <family val="2"/>
        <scheme val="minor"/>
      </rPr>
      <t>Infrastructure- Civil works (I&amp;C) - Rs. 1.50 Lakhs</t>
    </r>
    <r>
      <rPr>
        <sz val="11"/>
        <color theme="1"/>
        <rFont val="Calibri"/>
        <scheme val="minor"/>
      </rPr>
      <t xml:space="preserve"> - Major &amp; minor civil works/ repairing &amp; maintenance of Nodal DRTB centre, CBNAAT,
TRUNAAT sites, IRL &amp; CDST labs on need basis.
</t>
    </r>
    <r>
      <rPr>
        <b/>
        <sz val="11"/>
        <color theme="1"/>
        <rFont val="Calibri"/>
        <family val="2"/>
        <scheme val="minor"/>
      </rPr>
      <t>Equipment - Rs. 2.00 Lakhs</t>
    </r>
    <r>
      <rPr>
        <sz val="11"/>
        <color theme="1"/>
        <rFont val="Calibri"/>
        <scheme val="minor"/>
      </rPr>
      <t xml:space="preserve"> - Procurement of equipment for District levels (DR TB Centre, IRL, C
&amp; DST Lab and Molecular Diagnostics), Maintenance / up gradation costs for Laboratory equipment’s for DR TB Centre, IRL, C&amp;DST Lab and Molecular Diagnostics Equipment for NTEP
</t>
    </r>
    <r>
      <rPr>
        <b/>
        <sz val="11"/>
        <color theme="1"/>
        <rFont val="Calibri"/>
        <family val="2"/>
        <scheme val="minor"/>
      </rPr>
      <t>Drugs - Rs. 1.40 Lakhs</t>
    </r>
    <r>
      <rPr>
        <sz val="11"/>
        <color theme="1"/>
        <rFont val="Calibri"/>
        <scheme val="minor"/>
      </rPr>
      <t xml:space="preserve"> - Procurement of DRTB drugs, Local Procurement of second line drugs.
</t>
    </r>
    <r>
      <rPr>
        <b/>
        <sz val="11"/>
        <color theme="1"/>
        <rFont val="Calibri"/>
        <family val="2"/>
        <scheme val="minor"/>
      </rPr>
      <t>Capacity building Incl. training - Rs. 0.40 Lakhs</t>
    </r>
    <r>
      <rPr>
        <sz val="11"/>
        <color theme="1"/>
        <rFont val="Calibri"/>
        <scheme val="minor"/>
      </rPr>
      <t xml:space="preserve"> - Training for AIC, Cost for AIC related trainings.
 </t>
    </r>
    <r>
      <rPr>
        <b/>
        <sz val="11"/>
        <color theme="1"/>
        <rFont val="Calibri"/>
        <family val="2"/>
        <scheme val="minor"/>
      </rPr>
      <t xml:space="preserve">Surveillance, Research, Review, Evaluation (SRRE) - Rs 0.50 Lakhs - </t>
    </r>
    <r>
      <rPr>
        <sz val="11"/>
        <color theme="1"/>
        <rFont val="Calibri"/>
        <scheme val="minor"/>
      </rPr>
      <t>AIC Review Committee, Cost for Committee meeting &amp; etc.</t>
    </r>
  </si>
  <si>
    <r>
      <rPr>
        <b/>
        <sz val="11"/>
        <color theme="1"/>
        <rFont val="Calibri"/>
        <family val="2"/>
        <scheme val="minor"/>
      </rPr>
      <t>IEC &amp; Printing - Rs. 11.29 Lakhs</t>
    </r>
    <r>
      <rPr>
        <sz val="11"/>
        <color theme="1"/>
        <rFont val="Calibri"/>
        <scheme val="minor"/>
      </rPr>
      <t xml:space="preserve"> - Budget for activities for ACSM including media briefings with journalists, orientation meetings with key groups (e.g., PRIs, SHGs), sensitization session for elected leaders (e.g., MPs, MLAs, school / college-based activities, advocacy meeting with State and District authority, (outdoor publicity) folk, mela, street plays, signages, miking, TV/Radio campaign, cost, miking, exhibition/ “World TB Day “rally, etc &amp; Printing of Manuals, Guidelines, Forms,
Formats, Cards, etc. at district level</t>
    </r>
  </si>
  <si>
    <r>
      <rPr>
        <b/>
        <sz val="11"/>
        <color theme="1"/>
        <rFont val="Calibri"/>
        <family val="2"/>
        <scheme val="minor"/>
      </rPr>
      <t>DBT- 5.40 Lakhs</t>
    </r>
    <r>
      <rPr>
        <sz val="11"/>
        <color theme="1"/>
        <rFont val="Calibri"/>
        <scheme val="minor"/>
      </rPr>
      <t xml:space="preserve"> - Treatment Supporter Honorarium (Rs.1000) - one-time payment on the update of the Outcome of Treatment for drug sensitive TB patients
</t>
    </r>
    <r>
      <rPr>
        <b/>
        <sz val="11"/>
        <color theme="1"/>
        <rFont val="Calibri"/>
        <family val="2"/>
        <scheme val="minor"/>
      </rPr>
      <t xml:space="preserve">Infrastructure - Civil - Rs 2.50 lakhs - </t>
    </r>
    <r>
      <rPr>
        <sz val="11"/>
        <color theme="1"/>
        <rFont val="Calibri"/>
        <scheme val="minor"/>
      </rPr>
      <t xml:space="preserve">
Rs. 2.50 lakhs - Major &amp; minor civil works/ repairing &amp; maintenance at DOTs, DTC, TU &amp; DMC and X-ray facilities etc  based on need basis and for minor civil works.
</t>
    </r>
    <r>
      <rPr>
        <b/>
        <sz val="11"/>
        <color theme="1"/>
        <rFont val="Calibri"/>
        <family val="2"/>
        <scheme val="minor"/>
      </rPr>
      <t>Equipments  - Rs. 8.40 Lakhs -</t>
    </r>
    <r>
      <rPr>
        <sz val="11"/>
        <color theme="1"/>
        <rFont val="Calibri"/>
        <scheme val="minor"/>
      </rPr>
      <t xml:space="preserve"> Rs. 2.50 lakhs Procurement of equipment for District levels. (DMC, X-ray and ECG, etc for NTEP)
Procurement of Sleeves and drug boxes,
Rs. 2.40 lakhs Maintenance / up gradation costs for Laboratory equipment’s DMC, X-ray and ECG, etc for NTEP 
Rs. 2.00 lakhs Procurement of office equipment and furniture for District levels. (Office Equipments)
Rs. 1.50 lakhs Maintenance / up gradation costs for office
equipment’s (Office Equipments) 
</t>
    </r>
    <r>
      <rPr>
        <b/>
        <sz val="11"/>
        <color theme="1"/>
        <rFont val="Calibri"/>
        <family val="2"/>
        <scheme val="minor"/>
      </rPr>
      <t>Drugs - Rs. 2.60 Lakhs</t>
    </r>
    <r>
      <rPr>
        <sz val="11"/>
        <color theme="1"/>
        <rFont val="Calibri"/>
        <scheme val="minor"/>
      </rPr>
      <t xml:space="preserve"> - Procurement of First line drugs, Local Procurement of first line Anti TB
drugs and Drug Transportation charges etc
</t>
    </r>
    <r>
      <rPr>
        <b/>
        <sz val="11"/>
        <color theme="1"/>
        <rFont val="Calibri"/>
        <family val="2"/>
        <scheme val="minor"/>
      </rPr>
      <t>Diagnostics (Consumbales, PPP, Sample Transportation) - Rs. 9.40 Lakhs</t>
    </r>
    <r>
      <rPr>
        <sz val="11"/>
        <color theme="1"/>
        <rFont val="Calibri"/>
        <scheme val="minor"/>
      </rPr>
      <t xml:space="preserve"> - Rs. 4.60 lakhs Patient Support &amp; Sample collection and Transport , Charges for transportation of samples for diagnosis, DST, follow-up &amp; Rs. 4.80 lakhs Procurement of Lab consumables for DMCs, Procurement of Consumables for X-rays, ECG and etc.
</t>
    </r>
    <r>
      <rPr>
        <b/>
        <sz val="11"/>
        <color theme="1"/>
        <rFont val="Calibri"/>
        <family val="2"/>
        <scheme val="minor"/>
      </rPr>
      <t>Capacity building Incl. training - Rs. 6.20 Lakhs</t>
    </r>
    <r>
      <rPr>
        <sz val="11"/>
        <color theme="1"/>
        <rFont val="Calibri"/>
        <scheme val="minor"/>
      </rPr>
      <t xml:space="preserve"> - Rs. 4.20 lakhs Training cost (including TA/DA &amp; other course materials) for officers / staff/ TB Champions and all district staff at National level, State level and District level,  Rs. 1.50 lakhs Cost for conducting CME Training in Medical Colleges, Rs. 0.50 lakhs Community Engagement
Activities - Sensitization of TB survivors, sensitization of NGOs, PRIs meeting, TB survivor led activities, etc
</t>
    </r>
    <r>
      <rPr>
        <b/>
        <sz val="11"/>
        <color theme="1"/>
        <rFont val="Calibri"/>
        <family val="2"/>
        <scheme val="minor"/>
      </rPr>
      <t>Others including operating costs (OOC) - Rs. 2.70 Lakhs</t>
    </r>
    <r>
      <rPr>
        <sz val="11"/>
        <color theme="1"/>
        <rFont val="Calibri"/>
        <scheme val="minor"/>
      </rPr>
      <t xml:space="preserve"> - Rs. 1.10 lakhs Incentives for Active Case Finding/Akshaya Keralam Campaign/TB Elimination house to house visit , Rs 10/ for every household visit &amp; Rs 500/ for every new cases identified  -the unit cost shall preferably be budgeted as per household or per person screened., Rs. 0.20 lakhs Incentive to non-salaried person for injection prick, Rs. 1.40 lakhs Budget for Printing of Materials. 
</t>
    </r>
    <r>
      <rPr>
        <b/>
        <sz val="11"/>
        <color theme="1"/>
        <rFont val="Calibri"/>
        <family val="2"/>
        <scheme val="minor"/>
      </rPr>
      <t>Planning &amp; M&amp;E - Rs. 14.50 Lakhs</t>
    </r>
    <r>
      <rPr>
        <sz val="11"/>
        <color theme="1"/>
        <rFont val="Calibri"/>
        <scheme val="minor"/>
      </rPr>
      <t xml:space="preserve"> - Rs. 3.90 lakhs Supervision and Monitoring (District Level) - TA/DA cost of all officer/ staff working in NTEP,
review meetings, Cost of internal evaluation etc., Rs. 2.10 lakhs POL for existing vehicles under NTEP and
mobility support for those field staff in lieu of
vehicles. Rs. 1.90 lakhs Vehicle hiring cost for Districts where
Govt vehicles are not available for supervision &amp;
monitoring. Rs. 2.40 lakhs Medical Colleges meetings, Rs. 3.10 lakhs Office operation includes office maintenance
expenditure, stationary, communication etc. Rs. 1.10 lakhs Maintenance cost for District vehicles
(including four-wheeler &amp; two wheelers)
</t>
    </r>
    <r>
      <rPr>
        <b/>
        <sz val="11"/>
        <color theme="1"/>
        <rFont val="Calibri"/>
        <family val="2"/>
        <scheme val="minor"/>
      </rPr>
      <t>Surveillance, Research, Review, Evaluation (SRRE) - Rs. 0.50 Lakhs</t>
    </r>
    <r>
      <rPr>
        <sz val="11"/>
        <color theme="1"/>
        <rFont val="Calibri"/>
        <scheme val="minor"/>
      </rPr>
      <t xml:space="preserve"> -  Support for State &amp; District level/TU/LSG TB Forums(Treatment Support Groups) functioning including meeting cost, travel support to community members attending meeting, etc.</t>
    </r>
  </si>
  <si>
    <r>
      <rPr>
        <b/>
        <sz val="11"/>
        <color theme="1"/>
        <rFont val="Calibri"/>
        <family val="2"/>
        <scheme val="minor"/>
      </rPr>
      <t>DBT - Rs. 43.50 Lakhs</t>
    </r>
    <r>
      <rPr>
        <sz val="11"/>
        <color theme="1"/>
        <rFont val="Calibri"/>
        <scheme val="minor"/>
      </rPr>
      <t xml:space="preserve"> - Nutrition support to TB patient Rs. 500 per month till the treatment is completed, by DBT for DSTB Patients for 6 months &amp; Nutrition support to TB patient Rs. 500 per month till the treatment is completed, by DBT for DRTB Patients for 12 months.</t>
    </r>
  </si>
  <si>
    <r>
      <rPr>
        <b/>
        <sz val="11"/>
        <color theme="1"/>
        <rFont val="Calibri"/>
        <family val="2"/>
        <scheme val="minor"/>
      </rPr>
      <t>DBT - Rs. 3.60 Lakhs</t>
    </r>
    <r>
      <rPr>
        <sz val="11"/>
        <color theme="1"/>
        <rFont val="Calibri"/>
        <scheme val="minor"/>
      </rPr>
      <t xml:space="preserve"> - Private Provider Incentives- NTEP DBT Scheme @Rs. 500/- per notification and Rs. 500/- when treatment outcome declared &amp; Incentives for first informant (20% of Public
notified case will be expected to be eligible for first informant incentive).
</t>
    </r>
    <r>
      <rPr>
        <b/>
        <sz val="11"/>
        <color theme="1"/>
        <rFont val="Calibri"/>
        <family val="2"/>
        <scheme val="minor"/>
      </rPr>
      <t>Others including operating costs (OOC) - Rs. 4.00 Lakhs</t>
    </r>
    <r>
      <rPr>
        <sz val="11"/>
        <color theme="1"/>
        <rFont val="Calibri"/>
        <scheme val="minor"/>
      </rPr>
      <t xml:space="preserve"> - Cost of existing NGO/ PP support schemes and new NGO/ PP support schemes proposed as per NTEP Public Private Partnership Guidance.</t>
    </r>
  </si>
  <si>
    <r>
      <t xml:space="preserve">Diagnostics (Consumbales, PPP, Sample Transportation) - Rs. 1.60 lakhs - </t>
    </r>
    <r>
      <rPr>
        <sz val="11"/>
        <color theme="1"/>
        <rFont val="Calibri"/>
        <scheme val="minor"/>
      </rPr>
      <t>Screening, referral linkages and follow-up under Latent TB Infection Management ,Cost for screening of LTBI such as incentives, sample collection &amp; transport, etc may be budgeted</t>
    </r>
  </si>
  <si>
    <r>
      <rPr>
        <b/>
        <sz val="11"/>
        <color theme="1"/>
        <rFont val="Calibri"/>
        <family val="2"/>
        <scheme val="minor"/>
      </rPr>
      <t>DBT - Rs. 1.60 Lakhs</t>
    </r>
    <r>
      <rPr>
        <sz val="11"/>
        <color theme="1"/>
        <rFont val="Calibri"/>
        <scheme val="minor"/>
      </rPr>
      <t xml:space="preserve"> - Treatment Supporter
Honorarium (Rs.5000), payment on the update of the Outcome of Treatment for drug resistant TB patients.
</t>
    </r>
    <r>
      <rPr>
        <b/>
        <sz val="11"/>
        <color theme="1"/>
        <rFont val="Calibri"/>
        <family val="2"/>
        <scheme val="minor"/>
      </rPr>
      <t>Infrastructure- Civil works (I&amp;C) - Rs. 1.50 Lakhs</t>
    </r>
    <r>
      <rPr>
        <sz val="11"/>
        <color theme="1"/>
        <rFont val="Calibri"/>
        <scheme val="minor"/>
      </rPr>
      <t xml:space="preserve"> - Major &amp; minor civil works/ repairing &amp; maintenance of Nodal DRTB centre, CBNAAT,
TRUNAAT sites, IRL &amp; CDST labs on need basis.
</t>
    </r>
    <r>
      <rPr>
        <b/>
        <sz val="11"/>
        <color theme="1"/>
        <rFont val="Calibri"/>
        <family val="2"/>
        <scheme val="minor"/>
      </rPr>
      <t>Equipment - Rs. 2.00 Lakhs</t>
    </r>
    <r>
      <rPr>
        <sz val="11"/>
        <color theme="1"/>
        <rFont val="Calibri"/>
        <scheme val="minor"/>
      </rPr>
      <t xml:space="preserve"> - Procurement of equipment for District levels (DR TB Centre, IRL, C&amp; DST Lab and Molecular Diagnostics), Maintenance / up gradation costs for Laboratory equipment’s for DR TB Centre, IRL, C&amp;DST Lab and Molecular Diagnostics Equipment for NTEP
</t>
    </r>
    <r>
      <rPr>
        <b/>
        <sz val="11"/>
        <color theme="1"/>
        <rFont val="Calibri"/>
        <family val="2"/>
        <scheme val="minor"/>
      </rPr>
      <t>Drugs - Rs. 1.20 Lakhs</t>
    </r>
    <r>
      <rPr>
        <sz val="11"/>
        <color theme="1"/>
        <rFont val="Calibri"/>
        <scheme val="minor"/>
      </rPr>
      <t xml:space="preserve"> - Procurement of DRTB drugs, Local Procurement of second line drugs.
</t>
    </r>
    <r>
      <rPr>
        <b/>
        <sz val="11"/>
        <color theme="1"/>
        <rFont val="Calibri"/>
        <family val="2"/>
        <scheme val="minor"/>
      </rPr>
      <t>Capacity building Incl. training - Rs. 0.40 Lakhs</t>
    </r>
    <r>
      <rPr>
        <sz val="11"/>
        <color theme="1"/>
        <rFont val="Calibri"/>
        <scheme val="minor"/>
      </rPr>
      <t xml:space="preserve"> - Training for AIC, Cost for AIC related trainings.
 </t>
    </r>
    <r>
      <rPr>
        <b/>
        <sz val="11"/>
        <color theme="1"/>
        <rFont val="Calibri"/>
        <family val="2"/>
        <scheme val="minor"/>
      </rPr>
      <t xml:space="preserve">Surveillance, Research, Review, Evaluation (SRRE) - Rs 0.50 Lakhs - </t>
    </r>
    <r>
      <rPr>
        <sz val="11"/>
        <color theme="1"/>
        <rFont val="Calibri"/>
        <scheme val="minor"/>
      </rPr>
      <t>AIC Review Committee, Cost for Committee meeting &amp; etc.</t>
    </r>
  </si>
  <si>
    <r>
      <rPr>
        <b/>
        <sz val="11"/>
        <color theme="1"/>
        <rFont val="Calibri"/>
        <family val="2"/>
        <scheme val="minor"/>
      </rPr>
      <t>IEC &amp; Printing - Rs. 10.02 Lakhs</t>
    </r>
    <r>
      <rPr>
        <sz val="11"/>
        <color theme="1"/>
        <rFont val="Calibri"/>
        <scheme val="minor"/>
      </rPr>
      <t xml:space="preserve"> - Budget for activities for ACSM including media briefings with journalists, orientation meetings with key groups (e.g., PRIs, SHGs), sensitization session for elected leaders (e.g., MPs, MLAs, school / college-based activities, advocacy meeting with State and District authority, (outdoor publicity) folk, mela, street plays, signages, miking, TV/Radio campaign, cost, miking, exhibition/ “World TB Day “rally, etc &amp; Printing of Manuals, Guidelines, Forms,
Formats, Cards, etc. at district level</t>
    </r>
  </si>
  <si>
    <r>
      <rPr>
        <b/>
        <sz val="11"/>
        <color theme="1"/>
        <rFont val="Calibri"/>
        <family val="2"/>
        <scheme val="minor"/>
      </rPr>
      <t>DBT- 5.90 Lakhs</t>
    </r>
    <r>
      <rPr>
        <sz val="11"/>
        <color theme="1"/>
        <rFont val="Calibri"/>
        <scheme val="minor"/>
      </rPr>
      <t xml:space="preserve"> - Treatment Supporter Honorarium (Rs.1000) - one-time payment on the update of the Outcome of Treatment for drug sensitive TB patients
</t>
    </r>
    <r>
      <rPr>
        <b/>
        <sz val="11"/>
        <color theme="1"/>
        <rFont val="Calibri"/>
        <family val="2"/>
        <scheme val="minor"/>
      </rPr>
      <t xml:space="preserve">Infrastructure - Civil - Rs 2.50 lakhs - </t>
    </r>
    <r>
      <rPr>
        <sz val="11"/>
        <color theme="1"/>
        <rFont val="Calibri"/>
        <scheme val="minor"/>
      </rPr>
      <t xml:space="preserve">
Major &amp; minor civil works/ repairing &amp; maintenance at DOTs, DTC, TU &amp; DMC and X-ray facilities etc  based on need basis and for minor civil works.
</t>
    </r>
    <r>
      <rPr>
        <b/>
        <sz val="11"/>
        <color theme="1"/>
        <rFont val="Calibri"/>
        <family val="2"/>
        <scheme val="minor"/>
      </rPr>
      <t>Equipments  - Rs. 8.40 Lakhs -</t>
    </r>
    <r>
      <rPr>
        <sz val="11"/>
        <color theme="1"/>
        <rFont val="Calibri"/>
        <scheme val="minor"/>
      </rPr>
      <t xml:space="preserve"> Rs. 2.50 lakhs Procurement of equipment for District levels. (DMC, X-ray and ECG, etc for NTEP)
Procurement of Sleeves and drug boxes
Rs. 2.40 lakhs Maintenance / up gradation costs for Laboratory equipment’s DMC, X-ray and ECG, etc for NTEP 
Rs. 2.00 lakhs Procurement of office equipment and furniture for District levels. (Office Equipments)
Rs. 1.50 lakhs Maintenance / up gradation costs for office
equipment’s (Office Equipments) 
</t>
    </r>
    <r>
      <rPr>
        <b/>
        <sz val="11"/>
        <color theme="1"/>
        <rFont val="Calibri"/>
        <family val="2"/>
        <scheme val="minor"/>
      </rPr>
      <t>Drugs - Rs. 2.50 Lakhs</t>
    </r>
    <r>
      <rPr>
        <sz val="11"/>
        <color theme="1"/>
        <rFont val="Calibri"/>
        <scheme val="minor"/>
      </rPr>
      <t xml:space="preserve"> - Procurement of First line drugs, Local Procurement of first line Anti TB
drugs and Drug Transportation charges etc
</t>
    </r>
    <r>
      <rPr>
        <b/>
        <sz val="11"/>
        <color theme="1"/>
        <rFont val="Calibri"/>
        <family val="2"/>
        <scheme val="minor"/>
      </rPr>
      <t>Diagnostics (Consumbales, PPP, Sample Transportation) - Rs. 9.80 Lakhs</t>
    </r>
    <r>
      <rPr>
        <sz val="11"/>
        <color theme="1"/>
        <rFont val="Calibri"/>
        <scheme val="minor"/>
      </rPr>
      <t xml:space="preserve"> - Rs. 4.80 lakhs Patient Support &amp; Sample collection and Transport , Charges for transportation of samples for diagnosis, DST, follow-up &amp; Rs. 5.00 lakhs Procurement of Lab consumables for DMCs, Procurement of Consumables for X-rays, ECG and etc.
</t>
    </r>
    <r>
      <rPr>
        <b/>
        <sz val="11"/>
        <color theme="1"/>
        <rFont val="Calibri"/>
        <family val="2"/>
        <scheme val="minor"/>
      </rPr>
      <t>Capacity building Incl. training - Rs. 6.70 Lakhs</t>
    </r>
    <r>
      <rPr>
        <sz val="11"/>
        <color theme="1"/>
        <rFont val="Calibri"/>
        <scheme val="minor"/>
      </rPr>
      <t xml:space="preserve"> - Rs. 4.40 lakhs Training cost (including TA/DA &amp; other course materials) for officers / staff/ TB Champions and all district staff at National level, State level and District level,  Rs. 1.80 lakhs Cost for conducting CME Training in Medical Colleges, Rs. 0.50 lakhs Community Engagement
Activities - Sensitization of TB survivors, sensitization of NGOs, PRIs meeting, TB survivor led activities, etc
</t>
    </r>
    <r>
      <rPr>
        <b/>
        <sz val="11"/>
        <color theme="1"/>
        <rFont val="Calibri"/>
        <family val="2"/>
        <scheme val="minor"/>
      </rPr>
      <t>Others including operating costs (OOC) - Rs. 3.00 Lakhs</t>
    </r>
    <r>
      <rPr>
        <sz val="11"/>
        <color theme="1"/>
        <rFont val="Calibri"/>
        <scheme val="minor"/>
      </rPr>
      <t xml:space="preserve"> - Rs. 1.30 lakhs Incentives for Active Case Finding/Akshaya Keralam Campaign/TB Elimination house to house visit , Rs 10/ for every household visit &amp; Rs 500/ for every new cases identified  -the unit cost shall preferably be budgeted as per household or per person screened., Rs. 0.20 lakhs Incentive to non-salaried person for injection prick, Rs. 1.50 lakhs Budget for Printing of Materials. 
</t>
    </r>
    <r>
      <rPr>
        <b/>
        <sz val="11"/>
        <color theme="1"/>
        <rFont val="Calibri"/>
        <family val="2"/>
        <scheme val="minor"/>
      </rPr>
      <t>Planning &amp; M&amp;E - Rs. 14.20 Lakhs</t>
    </r>
    <r>
      <rPr>
        <sz val="11"/>
        <color theme="1"/>
        <rFont val="Calibri"/>
        <scheme val="minor"/>
      </rPr>
      <t xml:space="preserve"> - Rs. 4.10 lakhs Supervision and Monitoring (District Level) - TA/DA cost of all officer/ staff working in NTEP,
review meetings, Cost of internal evaluation etc., Rs. 2.30 lakhs POL for existing vehicles under NTEP and
mobility support for those field staff in lieu of
vehicles. Rs. 2.40 lakhs Vehicle hiring cost for Districts where
Govt vehicles are not available for supervision &amp;
monitoring. Rs. 1.00 lakhs Medical Colleges meetings, Rs. 3.20 lakhs Office operation includes office maintenance
expenditure, stationary, communication etc. Rs. 1.20 lakhs Maintenance cost for District vehicles
(including four-wheeler &amp; two wheelers)
</t>
    </r>
    <r>
      <rPr>
        <b/>
        <sz val="11"/>
        <color theme="1"/>
        <rFont val="Calibri"/>
        <family val="2"/>
        <scheme val="minor"/>
      </rPr>
      <t>Surveillance, Research, Review, Evaluation (SRRE) - Rs. 0.50 Lakhs</t>
    </r>
    <r>
      <rPr>
        <sz val="11"/>
        <color theme="1"/>
        <rFont val="Calibri"/>
        <scheme val="minor"/>
      </rPr>
      <t xml:space="preserve"> -  District level/TU/LSG TB Forums(Treatment Support Groups) functioning including meeting cost, travel support to community members attending meeting, etc.</t>
    </r>
  </si>
  <si>
    <r>
      <rPr>
        <b/>
        <sz val="11"/>
        <color theme="1"/>
        <rFont val="Calibri"/>
        <family val="2"/>
        <scheme val="minor"/>
      </rPr>
      <t>DBT - Rs. 56.00 Lakhs</t>
    </r>
    <r>
      <rPr>
        <sz val="11"/>
        <color theme="1"/>
        <rFont val="Calibri"/>
        <scheme val="minor"/>
      </rPr>
      <t xml:space="preserve"> - Nutrition support to TB patient Rs. 500 per month till the treatment is completed, by DBT for DSTB Patients for 6 months &amp; Nutrition support to TB patient Rs. 500 per month till the treatment is completed, by DBT for DRTB Patients for 12 months.</t>
    </r>
  </si>
  <si>
    <r>
      <rPr>
        <b/>
        <sz val="11"/>
        <color theme="1"/>
        <rFont val="Calibri"/>
        <family val="2"/>
        <scheme val="minor"/>
      </rPr>
      <t>DBT - Rs. 4.70 Lakhs</t>
    </r>
    <r>
      <rPr>
        <sz val="11"/>
        <color theme="1"/>
        <rFont val="Calibri"/>
        <scheme val="minor"/>
      </rPr>
      <t xml:space="preserve"> - Private Provider Incentives- NTEP DBT Scheme @Rs. 500/- per notification and Rs. 500/- when treatment outcome declared &amp; Incentives for first informant (20% of Public
notified case will be expected to be eligible for first informant incentive).
</t>
    </r>
    <r>
      <rPr>
        <b/>
        <sz val="11"/>
        <color theme="1"/>
        <rFont val="Calibri"/>
        <family val="2"/>
        <scheme val="minor"/>
      </rPr>
      <t>Others including operating costs (OOC) - Rs. 8.00 Lakhs</t>
    </r>
    <r>
      <rPr>
        <sz val="11"/>
        <color theme="1"/>
        <rFont val="Calibri"/>
        <scheme val="minor"/>
      </rPr>
      <t xml:space="preserve"> - Cost of existing NGO/ PP support schemes and new NGO/ PP support schemes proposed as per NTEP Public Private Partnership Guidance.</t>
    </r>
  </si>
  <si>
    <r>
      <rPr>
        <b/>
        <sz val="11"/>
        <color theme="1"/>
        <rFont val="Calibri"/>
        <family val="2"/>
        <scheme val="minor"/>
      </rPr>
      <t>DBT - Rs. 1.90 Lakhs</t>
    </r>
    <r>
      <rPr>
        <sz val="11"/>
        <color theme="1"/>
        <rFont val="Calibri"/>
        <scheme val="minor"/>
      </rPr>
      <t xml:space="preserve"> - Treatment Supporter
Honorarium (Rs.5000), payment on the update of the Outcome of Treatment for drug resistant TB
patients.
</t>
    </r>
    <r>
      <rPr>
        <b/>
        <sz val="11"/>
        <color theme="1"/>
        <rFont val="Calibri"/>
        <family val="2"/>
        <scheme val="minor"/>
      </rPr>
      <t>Infrastructure- Civil works (I&amp;C) - Rs. 1.50 Lakhs</t>
    </r>
    <r>
      <rPr>
        <sz val="11"/>
        <color theme="1"/>
        <rFont val="Calibri"/>
        <scheme val="minor"/>
      </rPr>
      <t xml:space="preserve"> - Major &amp; minor civil works/ repairing &amp; maintenance of Nodal DRTB centre, CBNAAT,
TRUNAAT sites, IRL &amp; CDST labs on need basis.
</t>
    </r>
    <r>
      <rPr>
        <b/>
        <sz val="11"/>
        <color theme="1"/>
        <rFont val="Calibri"/>
        <family val="2"/>
        <scheme val="minor"/>
      </rPr>
      <t>Equipment - Rs. 2.00 Lakhs</t>
    </r>
    <r>
      <rPr>
        <sz val="11"/>
        <color theme="1"/>
        <rFont val="Calibri"/>
        <scheme val="minor"/>
      </rPr>
      <t xml:space="preserve"> - Procurement of equipment for District levels (DR TB Centre, IRL, C
&amp; DST Lab and Molecular Diagnostics), Maintenance / up gradation costs for Laboratory equipment’s for DR TB Centre, IRL, C&amp;DST Lab and Molecular Diagnostics Equipment for NTEP
</t>
    </r>
    <r>
      <rPr>
        <b/>
        <sz val="11"/>
        <color theme="1"/>
        <rFont val="Calibri"/>
        <family val="2"/>
        <scheme val="minor"/>
      </rPr>
      <t>Drugs - Rs. 1.40 Lakhs</t>
    </r>
    <r>
      <rPr>
        <sz val="11"/>
        <color theme="1"/>
        <rFont val="Calibri"/>
        <scheme val="minor"/>
      </rPr>
      <t xml:space="preserve"> - Procurement of DRTB drugs, Local Procurement of second line drugs.
</t>
    </r>
    <r>
      <rPr>
        <b/>
        <sz val="11"/>
        <color theme="1"/>
        <rFont val="Calibri"/>
        <family val="2"/>
        <scheme val="minor"/>
      </rPr>
      <t>Capacity building Incl. training - Rs. 0.40 Lakhs</t>
    </r>
    <r>
      <rPr>
        <sz val="11"/>
        <color theme="1"/>
        <rFont val="Calibri"/>
        <scheme val="minor"/>
      </rPr>
      <t xml:space="preserve"> - Training for AIC, Cost for AIC related trainings.
 </t>
    </r>
    <r>
      <rPr>
        <b/>
        <sz val="11"/>
        <color theme="1"/>
        <rFont val="Calibri"/>
        <family val="2"/>
        <scheme val="minor"/>
      </rPr>
      <t xml:space="preserve">Surveillance, Research, Review, Evaluation (SRRE) - Rs 0.50 Lakhs - </t>
    </r>
    <r>
      <rPr>
        <sz val="11"/>
        <color theme="1"/>
        <rFont val="Calibri"/>
        <scheme val="minor"/>
      </rPr>
      <t>AIC Review Committee, Cost for Committee meeting &amp; etc.</t>
    </r>
  </si>
  <si>
    <r>
      <rPr>
        <b/>
        <sz val="11"/>
        <color theme="1"/>
        <rFont val="Calibri"/>
        <family val="2"/>
        <scheme val="minor"/>
      </rPr>
      <t>IEC &amp; Printing - Rs. 11.65 Lakhs</t>
    </r>
    <r>
      <rPr>
        <sz val="11"/>
        <color theme="1"/>
        <rFont val="Calibri"/>
        <scheme val="minor"/>
      </rPr>
      <t xml:space="preserve"> - Budget for activities for ACSM including media briefings with journalists, orientation meetings with key groups (e.g., PRIs, SHGs), sensitization session for elected leaders (e.g., MPs, MLAs, school / college-based activities, advocacy meeting with State and District authority, (outdoor publicity) folk, mela, street plays, signages, miking, TV/Radio campaign, cost, miking, exhibition/ “World TB Day “rally, etc &amp; Printing of Manuals, Guidelines, Forms,
Formats, Cards, etc. at district level</t>
    </r>
  </si>
  <si>
    <r>
      <rPr>
        <b/>
        <sz val="11"/>
        <color theme="1"/>
        <rFont val="Calibri"/>
        <family val="2"/>
        <scheme val="minor"/>
      </rPr>
      <t>DBT- 5.60 Lakhs</t>
    </r>
    <r>
      <rPr>
        <sz val="11"/>
        <color theme="1"/>
        <rFont val="Calibri"/>
        <scheme val="minor"/>
      </rPr>
      <t xml:space="preserve"> - Treatment Supporter Honorarium (Rs.1000) - one-time payment on the update of the Outcome of Treatment for drug sensitive TB patients
</t>
    </r>
    <r>
      <rPr>
        <b/>
        <sz val="11"/>
        <color theme="1"/>
        <rFont val="Calibri"/>
        <family val="2"/>
        <scheme val="minor"/>
      </rPr>
      <t xml:space="preserve">Infrastructure - Civil - Rs 2.50 lakhs - </t>
    </r>
    <r>
      <rPr>
        <sz val="11"/>
        <color theme="1"/>
        <rFont val="Calibri"/>
        <scheme val="minor"/>
      </rPr>
      <t xml:space="preserve">
Major &amp; minor civil works/ repairing &amp; maintenance at DOTs, DTC, TU &amp; DMC and X-ray facilities etc  based on need basis and for minor civil works.
</t>
    </r>
    <r>
      <rPr>
        <b/>
        <sz val="11"/>
        <color theme="1"/>
        <rFont val="Calibri"/>
        <family val="2"/>
        <scheme val="minor"/>
      </rPr>
      <t>Equipments  - Rs. 8.40 Lakhs -</t>
    </r>
    <r>
      <rPr>
        <sz val="11"/>
        <color theme="1"/>
        <rFont val="Calibri"/>
        <scheme val="minor"/>
      </rPr>
      <t xml:space="preserve"> Rs. 2.50 lakhs Procurement of equipment for District levels. (DMC, X-ray and ECG, etc for NTEP)
Procurement of Sleeves and drug boxes
Rs. 2.40 lakhs Maintenance / up gradation costs for Laboratory equipment’s DMC, X-ray and ECG, etc for NTEP 
Rs. 2.00 lakhs Procurement of office equipment and furniture for District levels. (Office Equipments)
Rs. 1.50 lakhs Maintenance / up gradation costs for office
equipment’s (Office Equipments) 
</t>
    </r>
    <r>
      <rPr>
        <b/>
        <sz val="11"/>
        <color theme="1"/>
        <rFont val="Calibri"/>
        <family val="2"/>
        <scheme val="minor"/>
      </rPr>
      <t>Drugs - Rs. 2.80 Lakhs</t>
    </r>
    <r>
      <rPr>
        <sz val="11"/>
        <color theme="1"/>
        <rFont val="Calibri"/>
        <scheme val="minor"/>
      </rPr>
      <t xml:space="preserve"> - Procurement of First line drugs, Local Procurement of first line Anti TB
drugs and Drug Transportation charges etc
</t>
    </r>
    <r>
      <rPr>
        <b/>
        <sz val="11"/>
        <color theme="1"/>
        <rFont val="Calibri"/>
        <family val="2"/>
        <scheme val="minor"/>
      </rPr>
      <t>Diagnostics (Consumbales, PPP, Sample Transportation) - Rs. 10.20 Lakhs</t>
    </r>
    <r>
      <rPr>
        <sz val="11"/>
        <color theme="1"/>
        <rFont val="Calibri"/>
        <scheme val="minor"/>
      </rPr>
      <t xml:space="preserve"> - Rs. 5.10 lakhs Patient Support &amp; Sample collection and Transport , Charges for transportation of samples for diagnosis, DST, follow-up &amp; Rs. 5.10 lakhs Procurement of Lab consumables for DMCs, Procurement of Consumables for X-rays, ECG and etc.
</t>
    </r>
    <r>
      <rPr>
        <b/>
        <sz val="11"/>
        <color theme="1"/>
        <rFont val="Calibri"/>
        <family val="2"/>
        <scheme val="minor"/>
      </rPr>
      <t>Capacity building Incl. training - Rs. 6.70 Lakhs</t>
    </r>
    <r>
      <rPr>
        <sz val="11"/>
        <color theme="1"/>
        <rFont val="Calibri"/>
        <scheme val="minor"/>
      </rPr>
      <t xml:space="preserve"> - Rs. 4.30 lakhs Training cost (including TA/DA &amp; other course materials) for officers / staff/ TB Champions and all district staff at National level, State level and District level,  Rs. 1.90 lakhs Cost for conducting CME Training in Medical Colleges, Rs. 0.50 lakhs Community Engagement
Activities - Sensitization of TB survivors, sensitization of NGOs, PRIs meeting, TB survivor led activities, etc
</t>
    </r>
    <r>
      <rPr>
        <b/>
        <sz val="11"/>
        <color theme="1"/>
        <rFont val="Calibri"/>
        <family val="2"/>
        <scheme val="minor"/>
      </rPr>
      <t>Others including operating costs (OOC) - Rs. 2.95 Lakhs</t>
    </r>
    <r>
      <rPr>
        <sz val="11"/>
        <color theme="1"/>
        <rFont val="Calibri"/>
        <scheme val="minor"/>
      </rPr>
      <t xml:space="preserve"> - Rs. 1.20 lakhs Incentives for Active Case Finding/Akshaya Keralam Campaign/TB Elimination house to house visit , Rs 10/ for every household visit &amp; Rs 500/ for every new cases identified  -the unit cost shall preferably be budgeted as per household or per person screened., Rs. 0.25 lakhs Incentive to non-salaried person for injection prick, Rs. 1.50 lakhs Budget for Printing of Materials. 
</t>
    </r>
    <r>
      <rPr>
        <b/>
        <sz val="11"/>
        <color theme="1"/>
        <rFont val="Calibri"/>
        <family val="2"/>
        <scheme val="minor"/>
      </rPr>
      <t>Planning &amp; M&amp;E - Rs. 12.80 Lakhs</t>
    </r>
    <r>
      <rPr>
        <sz val="11"/>
        <color theme="1"/>
        <rFont val="Calibri"/>
        <scheme val="minor"/>
      </rPr>
      <t xml:space="preserve"> - Rs. 4.00 lakhs Supervision and Monitoring (District Level) - TA/DA cost of all officer/ staff working in NTEP,
review meetings, Cost of internal evaluation etc., Rs. 2.40 lakhs POL for existing vehicles under NTEP and
mobility support for those field staff in lieu of
vehicles. Rs. 1.30 lakhs Vehicle hiring cost for Districts where
Govt vehicles are not available for supervision &amp;
monitoring. Rs. 1.00 lakhs Medical Colleges meetings, Rs. 3.00 lakhs Office operation includes office maintenance
expenditure, stationary, communication etc. Rs. 1.10 lakhs Maintenance cost for District vehicles
(including four-wheeler &amp; two wheelers)
</t>
    </r>
    <r>
      <rPr>
        <b/>
        <sz val="11"/>
        <color theme="1"/>
        <rFont val="Calibri"/>
        <family val="2"/>
        <scheme val="minor"/>
      </rPr>
      <t>Surveillance, Research, Review, Evaluation (SRRE) - Rs. 0.60 Lakhs</t>
    </r>
    <r>
      <rPr>
        <sz val="11"/>
        <color theme="1"/>
        <rFont val="Calibri"/>
        <scheme val="minor"/>
      </rPr>
      <t xml:space="preserve"> -  Support for District level/TU/LSG TB Forums(Treatment Support Groups) functioning including meeting cost, travel support to community members attending meeting, etc.</t>
    </r>
  </si>
  <si>
    <r>
      <rPr>
        <b/>
        <sz val="11"/>
        <color theme="1"/>
        <rFont val="Calibri"/>
        <family val="2"/>
        <scheme val="minor"/>
      </rPr>
      <t>DBT - Rs. 57.00 Lakhs</t>
    </r>
    <r>
      <rPr>
        <sz val="11"/>
        <color theme="1"/>
        <rFont val="Calibri"/>
        <scheme val="minor"/>
      </rPr>
      <t xml:space="preserve"> - Nutrition support to TB patient Rs. 500 per month till the treatment is completed, by DBT for DSTB Patients for 6 months &amp; Nutrition support to TB patient Rs. 500 per month till the treatment is completed, by DBT for DRTB Patients for 12 months.</t>
    </r>
  </si>
  <si>
    <r>
      <rPr>
        <b/>
        <sz val="11"/>
        <color theme="1"/>
        <rFont val="Calibri"/>
        <family val="2"/>
        <scheme val="minor"/>
      </rPr>
      <t>DBT - Rs. 5.20 Lakhs</t>
    </r>
    <r>
      <rPr>
        <sz val="11"/>
        <color theme="1"/>
        <rFont val="Calibri"/>
        <scheme val="minor"/>
      </rPr>
      <t xml:space="preserve"> - Private Provider Incentives- NTEP DBT Scheme @Rs. 500/- per notification and Rs. 500/- when treatment outcome declared &amp; Incentives for first informant (20% of Public
notified case will be expected to be eligible for first informant incentive).
</t>
    </r>
    <r>
      <rPr>
        <b/>
        <sz val="11"/>
        <color theme="1"/>
        <rFont val="Calibri"/>
        <family val="2"/>
        <scheme val="minor"/>
      </rPr>
      <t>Others including operating costs (OOC) - Rs. 3.00 Lakhs</t>
    </r>
    <r>
      <rPr>
        <sz val="11"/>
        <color theme="1"/>
        <rFont val="Calibri"/>
        <scheme val="minor"/>
      </rPr>
      <t xml:space="preserve"> - Cost of existing NGO/ PP support schemes and new NGO/ PP support schemes proposed as per NTEP Public Private Partnership Guidance.</t>
    </r>
  </si>
  <si>
    <r>
      <rPr>
        <b/>
        <sz val="11"/>
        <color theme="1"/>
        <rFont val="Calibri"/>
        <family val="2"/>
        <scheme val="minor"/>
      </rPr>
      <t>DBT - Rs. 2.10 Lakhs</t>
    </r>
    <r>
      <rPr>
        <sz val="11"/>
        <color theme="1"/>
        <rFont val="Calibri"/>
        <scheme val="minor"/>
      </rPr>
      <t xml:space="preserve"> - Treatment Supporter
Honorarium (Rs.5000), payment on the update of the Outcome of Treatment for drug resistant TB
patients.
</t>
    </r>
    <r>
      <rPr>
        <b/>
        <sz val="11"/>
        <color theme="1"/>
        <rFont val="Calibri"/>
        <family val="2"/>
        <scheme val="minor"/>
      </rPr>
      <t>Infrastructure- Civil works (I&amp;C) - Rs. 1.50 Lakhs</t>
    </r>
    <r>
      <rPr>
        <sz val="11"/>
        <color theme="1"/>
        <rFont val="Calibri"/>
        <scheme val="minor"/>
      </rPr>
      <t xml:space="preserve"> - Major &amp; minor civil works/ repairing &amp; maintenance of Nodal DRTB centre, CBNAAT,
TRUNAAT sites, IRL &amp; CDST labs on need basis.
</t>
    </r>
    <r>
      <rPr>
        <b/>
        <sz val="11"/>
        <color theme="1"/>
        <rFont val="Calibri"/>
        <family val="2"/>
        <scheme val="minor"/>
      </rPr>
      <t>Equipment - Rs. 2.00 Lakhs</t>
    </r>
    <r>
      <rPr>
        <sz val="11"/>
        <color theme="1"/>
        <rFont val="Calibri"/>
        <scheme val="minor"/>
      </rPr>
      <t xml:space="preserve"> - Procurement of equipment for District levels (DR TB Centre, IRL, C
&amp; DST Lab and Molecular Diagnostics), Maintenance / up gradation costs for Laboratory equipment’s for DR TB Centre, IRL, C&amp;DST Lab and Molecular Diagnostics Equipment for NTEP
</t>
    </r>
    <r>
      <rPr>
        <b/>
        <sz val="11"/>
        <color theme="1"/>
        <rFont val="Calibri"/>
        <family val="2"/>
        <scheme val="minor"/>
      </rPr>
      <t>Drugs - Rs. 1.90 Lakhs</t>
    </r>
    <r>
      <rPr>
        <sz val="11"/>
        <color theme="1"/>
        <rFont val="Calibri"/>
        <scheme val="minor"/>
      </rPr>
      <t xml:space="preserve"> - Procurement of DRTB drugs, Local Procurement of second line drugs.
</t>
    </r>
    <r>
      <rPr>
        <b/>
        <sz val="11"/>
        <color theme="1"/>
        <rFont val="Calibri"/>
        <family val="2"/>
        <scheme val="minor"/>
      </rPr>
      <t>Capacity building Incl. training - Rs. 0.40 Lakhs</t>
    </r>
    <r>
      <rPr>
        <sz val="11"/>
        <color theme="1"/>
        <rFont val="Calibri"/>
        <scheme val="minor"/>
      </rPr>
      <t xml:space="preserve"> - Training for AIC, Cost for AIC related trainings.
 </t>
    </r>
    <r>
      <rPr>
        <b/>
        <sz val="11"/>
        <color theme="1"/>
        <rFont val="Calibri"/>
        <family val="2"/>
        <scheme val="minor"/>
      </rPr>
      <t xml:space="preserve">Surveillance, Research, Review, Evaluation (SRRE) - Rs 0.50 Lakhs - </t>
    </r>
    <r>
      <rPr>
        <sz val="11"/>
        <color theme="1"/>
        <rFont val="Calibri"/>
        <scheme val="minor"/>
      </rPr>
      <t>AIC Review Committee, Cost for Committee meeting &amp; etc.</t>
    </r>
  </si>
  <si>
    <r>
      <rPr>
        <b/>
        <sz val="11"/>
        <color theme="1"/>
        <rFont val="Calibri"/>
        <family val="2"/>
        <scheme val="minor"/>
      </rPr>
      <t>IEC &amp; Printing - Rs. 11.68 Lakhs</t>
    </r>
    <r>
      <rPr>
        <sz val="11"/>
        <color theme="1"/>
        <rFont val="Calibri"/>
        <scheme val="minor"/>
      </rPr>
      <t xml:space="preserve"> - Budget for activities for ACSM including media briefings with journalists, orientation meetings with key groups (e.g., PRIs, SHGs), sensitization session for elected leaders (e.g., MPs, MLAs, school / college-based activities, advocacy meeting with State and District authority, (outdoor publicity) folk, mela, street plays, signages, miking, TV/Radio campaign, cost, miking, exhibition/ “World TB Day “rally, etc &amp; Printing of Manuals, Guidelines, Forms,
Formats, Cards, etc. at district level</t>
    </r>
  </si>
  <si>
    <r>
      <rPr>
        <b/>
        <sz val="11"/>
        <color theme="1"/>
        <rFont val="Calibri"/>
        <family val="2"/>
        <scheme val="minor"/>
      </rPr>
      <t>DBT- 4.60 Lakhs</t>
    </r>
    <r>
      <rPr>
        <sz val="11"/>
        <color theme="1"/>
        <rFont val="Calibri"/>
        <scheme val="minor"/>
      </rPr>
      <t xml:space="preserve"> - Treatment Supporter Honorarium (Rs.1000) - one-time payment on the update of the Outcome of Treatment for drug sensitive TB patients
</t>
    </r>
    <r>
      <rPr>
        <b/>
        <sz val="11"/>
        <color theme="1"/>
        <rFont val="Calibri"/>
        <family val="2"/>
        <scheme val="minor"/>
      </rPr>
      <t xml:space="preserve">Infrastructure - Civil - Rs 2.50 lakhs - </t>
    </r>
    <r>
      <rPr>
        <sz val="11"/>
        <color theme="1"/>
        <rFont val="Calibri"/>
        <scheme val="minor"/>
      </rPr>
      <t xml:space="preserve">
Rs. 2.50 lakhs -Major &amp; minor civil works/ repairing &amp; maintenance at DOTs, DTC, TU &amp; DMC and X-ray facilities etc  based on need basis and for minor civil works.
Rs. 400 lakhs for Construction of TB Centre building with District Store for TB Drugs.
</t>
    </r>
    <r>
      <rPr>
        <b/>
        <sz val="11"/>
        <color theme="1"/>
        <rFont val="Calibri"/>
        <family val="2"/>
        <scheme val="minor"/>
      </rPr>
      <t>Equipments  - Rs. 8.40 Lakhs -</t>
    </r>
    <r>
      <rPr>
        <sz val="11"/>
        <color theme="1"/>
        <rFont val="Calibri"/>
        <scheme val="minor"/>
      </rPr>
      <t xml:space="preserve"> Rs. 2.50 lakhs Procurement of equipment for District levels. (DMC, X-ray and ECG, etc for NTEP)
Procurement of Sleeves and drug boxes
Rs. 2.40 lakhs Maintenance / up gradation costs for Laboratory equipment’s DMC, X-ray and ECG, etc for NTEP 
Rs. 2.00 lakhs Procurement of office equipment and furniture for District levels. (Office Equipments)
Rs. 1.50 lakhs Maintenance / up gradation costs for office
equipment’s (Office Equipments) 
</t>
    </r>
    <r>
      <rPr>
        <b/>
        <sz val="11"/>
        <color theme="1"/>
        <rFont val="Calibri"/>
        <family val="2"/>
        <scheme val="minor"/>
      </rPr>
      <t>Drugs - Rs. 2.40 Lakhs</t>
    </r>
    <r>
      <rPr>
        <sz val="11"/>
        <color theme="1"/>
        <rFont val="Calibri"/>
        <scheme val="minor"/>
      </rPr>
      <t xml:space="preserve"> - Procurement of First line drugs, Local Procurement of first line Anti TB
drugs and Drug Transportation charges etc
</t>
    </r>
    <r>
      <rPr>
        <b/>
        <sz val="11"/>
        <color theme="1"/>
        <rFont val="Calibri"/>
        <family val="2"/>
        <scheme val="minor"/>
      </rPr>
      <t>Diagnostics (Consumbales, PPP, Sample Transportation) - Rs. 8.30 Lakhs</t>
    </r>
    <r>
      <rPr>
        <sz val="11"/>
        <color theme="1"/>
        <rFont val="Calibri"/>
        <scheme val="minor"/>
      </rPr>
      <t xml:space="preserve"> - Rs. 4.30 lakhs Patient Support &amp; Sample collection and Transport , Charges for transportation of samples for diagnosis, DST, follow-up &amp; Rs. 4.00 lakhs Procurement of Lab consumables for DMCs, Procurement of Consumables for X-rays, ECG and etc.
</t>
    </r>
    <r>
      <rPr>
        <b/>
        <sz val="11"/>
        <color theme="1"/>
        <rFont val="Calibri"/>
        <family val="2"/>
        <scheme val="minor"/>
      </rPr>
      <t>Capacity building Incl. training - Rs. 5.60 Lakhs</t>
    </r>
    <r>
      <rPr>
        <sz val="11"/>
        <color theme="1"/>
        <rFont val="Calibri"/>
        <scheme val="minor"/>
      </rPr>
      <t xml:space="preserve"> - Rs. 3.90 lakhs Training cost (including TA/DA &amp; other course materials) for officers / staff/ TB Champions and all district staff at National level, State level and District level,  Rs. 1.20 lakhs Cost for conducting CME Training in Medical Colleges, Rs. 0.50 lakhs Community Engagement
Activities - Sensitization of TB survivors, sensitization of NGOs, PRIs meeting, TB survivor led activities, etc
</t>
    </r>
    <r>
      <rPr>
        <b/>
        <sz val="11"/>
        <color theme="1"/>
        <rFont val="Calibri"/>
        <family val="2"/>
        <scheme val="minor"/>
      </rPr>
      <t>Others including operating costs (OOC) - Rs. 2.65 Lakhs</t>
    </r>
    <r>
      <rPr>
        <sz val="11"/>
        <color theme="1"/>
        <rFont val="Calibri"/>
        <scheme val="minor"/>
      </rPr>
      <t xml:space="preserve"> - Rs. 1.10 lakhs Incentives for Active Case Finding/Akshaya Keralam Campaign/TB Elimination house to house visit , Rs 10/ for every household visit &amp; Rs 500/ for every new cases identified  -the unit cost shall preferably be budgeted as per household or per person screened., Rs. 0.15 lakhs Incentive to non-salaried person for injection prick, Rs. 1.40 lakhs Budget for Printing of Materials. 
</t>
    </r>
    <r>
      <rPr>
        <b/>
        <sz val="11"/>
        <color theme="1"/>
        <rFont val="Calibri"/>
        <family val="2"/>
        <scheme val="minor"/>
      </rPr>
      <t>Planning &amp; M&amp;E - Rs. 18.70 Lakhs</t>
    </r>
    <r>
      <rPr>
        <sz val="11"/>
        <color theme="1"/>
        <rFont val="Calibri"/>
        <scheme val="minor"/>
      </rPr>
      <t xml:space="preserve"> - Rs. 3.90 lakhs Supervision and Monitoring (District Level) - TA/DA cost of all officer/ staff working in NTEP,
review meetings, Cost of internal evaluation etc., Rs. 2.00 lakhs POL for existing vehicles under NTEP and
mobility support for those field staff in lieu of
vehicles. Rs. 7.40 lakhs Vehicle hiring cost for Districts where
Govt vehicles are not available for supervision &amp;
monitoring. Rs. 1.00 lakhs Medical Colleges meetings, Rs. 3.20 lakhs Office operation includes office maintenance
expenditure, stationary, communication etc. Rs. 1.20 lakhs Maintenance cost for District vehicles
(including four-wheeler &amp; two wheelers)
</t>
    </r>
    <r>
      <rPr>
        <b/>
        <sz val="11"/>
        <color theme="1"/>
        <rFont val="Calibri"/>
        <family val="2"/>
        <scheme val="minor"/>
      </rPr>
      <t>Surveillance, Research, Review, Evaluation (SRRE) - Rs.0.40 Lakhs</t>
    </r>
    <r>
      <rPr>
        <sz val="11"/>
        <color theme="1"/>
        <rFont val="Calibri"/>
        <scheme val="minor"/>
      </rPr>
      <t xml:space="preserve"> - Support for District level/TU/LSG TB Forums(Treatment Support Groups) functioning including meeting cost, travel support to community members attending meeting, etc.</t>
    </r>
  </si>
  <si>
    <r>
      <rPr>
        <b/>
        <sz val="11"/>
        <color theme="1"/>
        <rFont val="Calibri"/>
        <family val="2"/>
        <scheme val="minor"/>
      </rPr>
      <t>DBT - Rs. 29.40 Lakhs</t>
    </r>
    <r>
      <rPr>
        <sz val="11"/>
        <color theme="1"/>
        <rFont val="Calibri"/>
        <scheme val="minor"/>
      </rPr>
      <t xml:space="preserve"> - Nutrition support to TB patient Rs. 500 per month till the treatment is completed, by DBT for DSTB Patients for 6 months &amp; Nutrition support to TB patient Rs. 500 per month till the treatment is completed, by DBT for DRTB Patients for 12 months.</t>
    </r>
  </si>
  <si>
    <r>
      <rPr>
        <b/>
        <sz val="11"/>
        <color theme="1"/>
        <rFont val="Calibri"/>
        <family val="2"/>
        <scheme val="minor"/>
      </rPr>
      <t>DBT - Rs. 2.90 Lakhs</t>
    </r>
    <r>
      <rPr>
        <sz val="11"/>
        <color theme="1"/>
        <rFont val="Calibri"/>
        <scheme val="minor"/>
      </rPr>
      <t xml:space="preserve"> - Private Provider Incentives- NTEP DBT Scheme @Rs. 500/- per notification and Rs. 500/- when treatment outcome declared &amp; Incentives for first informant (20% of Public
notified case will be expected to be eligible for first informant incentive).
</t>
    </r>
    <r>
      <rPr>
        <b/>
        <sz val="11"/>
        <color theme="1"/>
        <rFont val="Calibri"/>
        <family val="2"/>
        <scheme val="minor"/>
      </rPr>
      <t>Others including operating costs (OOC) - Rs. 58.00 Lakhs</t>
    </r>
    <r>
      <rPr>
        <sz val="11"/>
        <color theme="1"/>
        <rFont val="Calibri"/>
        <scheme val="minor"/>
      </rPr>
      <t xml:space="preserve"> - Cost of existing NGO/ PP support schemes and new NGO/ PP support schemes proposed as per NTEP Public Private Partnership Guidance.</t>
    </r>
  </si>
  <si>
    <r>
      <t xml:space="preserve">Diagnostics (Consumbales, PPP, Sample Transportation) - Rs. 1.70 lakhs - </t>
    </r>
    <r>
      <rPr>
        <sz val="11"/>
        <color theme="1"/>
        <rFont val="Calibri"/>
        <scheme val="minor"/>
      </rPr>
      <t>Screening, referral linkages and follow-up under Latent TB Infection Management ,Cost for screening of LTBI such as incentives, sample collection &amp; transport, etc may be budgeted</t>
    </r>
  </si>
  <si>
    <r>
      <rPr>
        <b/>
        <sz val="11"/>
        <color theme="1"/>
        <rFont val="Calibri"/>
        <family val="2"/>
        <scheme val="minor"/>
      </rPr>
      <t>DBT - Rs. 1.50 Lakhs</t>
    </r>
    <r>
      <rPr>
        <sz val="11"/>
        <color theme="1"/>
        <rFont val="Calibri"/>
        <scheme val="minor"/>
      </rPr>
      <t xml:space="preserve"> - Treatment Supporter
Honorarium (Rs.5000), payment on the update of the Outcome of Treatment for drug resistant TB patients.
</t>
    </r>
    <r>
      <rPr>
        <b/>
        <sz val="11"/>
        <color theme="1"/>
        <rFont val="Calibri"/>
        <family val="2"/>
        <scheme val="minor"/>
      </rPr>
      <t>Infrastructure- Civil works (I&amp;C) - Rs. 1.50 Lakhs</t>
    </r>
    <r>
      <rPr>
        <sz val="11"/>
        <color theme="1"/>
        <rFont val="Calibri"/>
        <scheme val="minor"/>
      </rPr>
      <t xml:space="preserve"> - Major &amp; minor civil works/ repairing &amp; maintenance of Nodal DRTB centre, CBNAAT,
TRUNAAT sites, IRL &amp; CDST labs on need basis.
</t>
    </r>
    <r>
      <rPr>
        <b/>
        <sz val="11"/>
        <color theme="1"/>
        <rFont val="Calibri"/>
        <family val="2"/>
        <scheme val="minor"/>
      </rPr>
      <t>Equipment - Rs. 2.00 Lakhs</t>
    </r>
    <r>
      <rPr>
        <sz val="11"/>
        <color theme="1"/>
        <rFont val="Calibri"/>
        <scheme val="minor"/>
      </rPr>
      <t xml:space="preserve"> - Procurement of equipment for District levels (DR TB Centre, IRL, C&amp; DST Lab and Molecular Diagnostics), Maintenance / up gradation costs for Laboratory equipment’s for DR TB Centre, IRL, C&amp;DST Lab and Molecular Diagnostics Equipment for NTEP
</t>
    </r>
    <r>
      <rPr>
        <b/>
        <sz val="11"/>
        <color theme="1"/>
        <rFont val="Calibri"/>
        <family val="2"/>
        <scheme val="minor"/>
      </rPr>
      <t>Drugs - Rs. 1.10 Lakhs</t>
    </r>
    <r>
      <rPr>
        <sz val="11"/>
        <color theme="1"/>
        <rFont val="Calibri"/>
        <scheme val="minor"/>
      </rPr>
      <t xml:space="preserve"> - Procurement of DRTB drugs, Local Procurement of second line drugs.
</t>
    </r>
    <r>
      <rPr>
        <b/>
        <sz val="11"/>
        <color theme="1"/>
        <rFont val="Calibri"/>
        <family val="2"/>
        <scheme val="minor"/>
      </rPr>
      <t>Capacity building Incl. training - Rs. 0.40 Lakhs</t>
    </r>
    <r>
      <rPr>
        <sz val="11"/>
        <color theme="1"/>
        <rFont val="Calibri"/>
        <scheme val="minor"/>
      </rPr>
      <t xml:space="preserve"> - Training for AIC, Cost for AIC related trainings.
 </t>
    </r>
    <r>
      <rPr>
        <b/>
        <sz val="11"/>
        <color theme="1"/>
        <rFont val="Calibri"/>
        <family val="2"/>
        <scheme val="minor"/>
      </rPr>
      <t xml:space="preserve">Surveillance, Research, Review, Evaluation (SRRE) - Rs 0.50 Lakhs - </t>
    </r>
    <r>
      <rPr>
        <sz val="11"/>
        <color theme="1"/>
        <rFont val="Calibri"/>
        <scheme val="minor"/>
      </rPr>
      <t>AIC Review Committee, Cost for Committee meeting &amp; etc.</t>
    </r>
  </si>
  <si>
    <r>
      <rPr>
        <b/>
        <sz val="11"/>
        <color theme="1"/>
        <rFont val="Calibri"/>
        <family val="2"/>
        <scheme val="minor"/>
      </rPr>
      <t>IEC &amp; Printing - Rs. 11.04 Lakhs</t>
    </r>
    <r>
      <rPr>
        <sz val="11"/>
        <color theme="1"/>
        <rFont val="Calibri"/>
        <scheme val="minor"/>
      </rPr>
      <t xml:space="preserve"> - Budget for activities for ACSM including media briefings with journalists, orientation meetings with key groups (e.g., PRIs, SHGs), sensitization session for elected leaders (e.g., MPs, MLAs, school / college-based activities, advocacy meeting with State and District authority, (outdoor publicity) folk, mela, street plays, signages, miking, TV/Radio campaign, cost, miking, exhibition/ “World TB Day “rally, etc &amp; Printing of Manuals, Guidelines, Forms,
Formats, Cards, etc. at district level</t>
    </r>
  </si>
  <si>
    <r>
      <rPr>
        <b/>
        <sz val="11"/>
        <color theme="1"/>
        <rFont val="Calibri"/>
        <family val="2"/>
        <scheme val="minor"/>
      </rPr>
      <t>DBT- 6.70 Lakhs</t>
    </r>
    <r>
      <rPr>
        <sz val="11"/>
        <color theme="1"/>
        <rFont val="Calibri"/>
        <scheme val="minor"/>
      </rPr>
      <t xml:space="preserve"> - Treatment Supporter Honorarium (Rs.1000) - one-time payment on the update of the Outcome of Treatment for drug sensitive TB patients
</t>
    </r>
    <r>
      <rPr>
        <b/>
        <sz val="11"/>
        <color theme="1"/>
        <rFont val="Calibri"/>
        <family val="2"/>
        <scheme val="minor"/>
      </rPr>
      <t xml:space="preserve">Infrastructure - Civil - Rs 2.50 lakhs - </t>
    </r>
    <r>
      <rPr>
        <sz val="11"/>
        <color theme="1"/>
        <rFont val="Calibri"/>
        <scheme val="minor"/>
      </rPr>
      <t xml:space="preserve">
Major &amp; minor civil works/ repairing &amp; maintenance at DOTs, DTC, TU &amp; DMC and X-ray facilities etc  based on need basis and for minor civil works.
</t>
    </r>
    <r>
      <rPr>
        <b/>
        <sz val="11"/>
        <color theme="1"/>
        <rFont val="Calibri"/>
        <family val="2"/>
        <scheme val="minor"/>
      </rPr>
      <t>Equipments  - Rs. 8.40 Lakhs -</t>
    </r>
    <r>
      <rPr>
        <sz val="11"/>
        <color theme="1"/>
        <rFont val="Calibri"/>
        <scheme val="minor"/>
      </rPr>
      <t xml:space="preserve"> Rs. 2.50 lakhs Procurement of equipment for District levels. (DMC, X-ray and ECG, etc for NTEP)
Procurement of Sleeves and drug boxes
Rs. 2.40 lakhs Maintenance / up gradation costs for Laboratory equipment’s DMC, X-ray and ECG, etc for NTEP 
Rs. 2.00 lakhs Procurement of office equipment and furniture for District levels. (Office Equipments)
Rs. 1.50 lakhs Maintenance / up gradation costs for office
equipment’s (Office Equipments) 
</t>
    </r>
    <r>
      <rPr>
        <b/>
        <sz val="11"/>
        <color theme="1"/>
        <rFont val="Calibri"/>
        <family val="2"/>
        <scheme val="minor"/>
      </rPr>
      <t>Drugs - Rs. 3.20 Lakhs</t>
    </r>
    <r>
      <rPr>
        <sz val="11"/>
        <color theme="1"/>
        <rFont val="Calibri"/>
        <scheme val="minor"/>
      </rPr>
      <t xml:space="preserve"> - Procurement of First line drugs, Local Procurement of first line Anti TB
drugs and Drug Transportation charges etc
</t>
    </r>
    <r>
      <rPr>
        <b/>
        <sz val="11"/>
        <color theme="1"/>
        <rFont val="Calibri"/>
        <family val="2"/>
        <scheme val="minor"/>
      </rPr>
      <t>Diagnostics (Consumbales, PPP, Sample Transportation) - Rs. 11.70 Lakhs</t>
    </r>
    <r>
      <rPr>
        <sz val="11"/>
        <color theme="1"/>
        <rFont val="Calibri"/>
        <scheme val="minor"/>
      </rPr>
      <t xml:space="preserve"> - Rs. 5.80 lakhs Patient Support &amp; Sample collection and Transport , Charges for transportation of samples for diagnosis, DST, follow-up &amp; Rs. 5.90 lakhs Procurement of Lab consumables for DMCs, Procurement of Consumables for X-rays, ECG and etc.
</t>
    </r>
    <r>
      <rPr>
        <b/>
        <sz val="11"/>
        <color theme="1"/>
        <rFont val="Calibri"/>
        <family val="2"/>
        <scheme val="minor"/>
      </rPr>
      <t>Capacity building Incl. training - Rs. 7.70 Lakhs</t>
    </r>
    <r>
      <rPr>
        <sz val="11"/>
        <color theme="1"/>
        <rFont val="Calibri"/>
        <scheme val="minor"/>
      </rPr>
      <t xml:space="preserve"> - Rs. 4.30 lakhs Training cost (including TA/DA &amp; other course materials) for officers / staff/ TB Champions and all district staff at National level, State level and District level,  Rs. 2.40 lakhs Cost for conducting CME Training in Medical Colleges, Rs. 1.00 lakhs Community Engagement
Activities - Sensitization of TB survivors, sensitization of NGOs, PRIs meeting, TB survivor led activities, etc
</t>
    </r>
    <r>
      <rPr>
        <b/>
        <sz val="11"/>
        <color theme="1"/>
        <rFont val="Calibri"/>
        <family val="2"/>
        <scheme val="minor"/>
      </rPr>
      <t>Others including operating costs (OOC) - Rs. 3.35 Lakhs</t>
    </r>
    <r>
      <rPr>
        <sz val="11"/>
        <color theme="1"/>
        <rFont val="Calibri"/>
        <scheme val="minor"/>
      </rPr>
      <t xml:space="preserve"> - Rs. 1.40 lakhs Incentives for Active Case Finding/Akshaya Keralam Campaign/TB Elimination house to house visit , Rs 10/ for every household visit &amp; Rs 500/ for every new cases identified  -the unit cost shall preferably be budgeted as per household or per person screened., Rs. 0.25 lakhs Incentive to non-salaried person for injection prick, Rs. 1.70 lakhs Budget for Printing of Materials. 
</t>
    </r>
    <r>
      <rPr>
        <b/>
        <sz val="11"/>
        <color theme="1"/>
        <rFont val="Calibri"/>
        <family val="2"/>
        <scheme val="minor"/>
      </rPr>
      <t>Planning &amp; M&amp;E - Rs. 23.40 Lakhs</t>
    </r>
    <r>
      <rPr>
        <sz val="11"/>
        <color theme="1"/>
        <rFont val="Calibri"/>
        <scheme val="minor"/>
      </rPr>
      <t xml:space="preserve"> - Rs. 5.80 lakhs Supervision and Monitoring (District Level) - TA/DA cost of all officer/ staff working in NTEP,
review meetings, Cost of internal evaluation etc., Rs. 3.00 lakhs POL for existing vehicles under NTEP and
mobility support for those field staff in lieu of
vehicles. Rs. 8.00 lakhs Vehicle hiring cost for Districts where
Govt vehicles are not available for supervision &amp;
monitoring. Rs. 2.00 lakhs Medical Colleges meetings, Rs. 3.60 lakhs Office operation includes office maintenance
expenditure, stationary, communication etc. Rs. 1.00 lakhs Maintenance cost for District vehicles
(including four-wheeler &amp; two wheelers)
</t>
    </r>
    <r>
      <rPr>
        <b/>
        <sz val="11"/>
        <color theme="1"/>
        <rFont val="Calibri"/>
        <family val="2"/>
        <scheme val="minor"/>
      </rPr>
      <t>Surveillance, Research, Review, Evaluation (SRRE) - Rs. 0.90 Lakhs</t>
    </r>
    <r>
      <rPr>
        <sz val="11"/>
        <color theme="1"/>
        <rFont val="Calibri"/>
        <scheme val="minor"/>
      </rPr>
      <t xml:space="preserve"> - Support for  District level/TU/LSG TB Forums(Treatment Support Groups) functioning including meeting cost, travel support to community members attending meeting, etc.</t>
    </r>
  </si>
  <si>
    <r>
      <rPr>
        <b/>
        <sz val="11"/>
        <color theme="1"/>
        <rFont val="Calibri"/>
        <family val="2"/>
        <scheme val="minor"/>
      </rPr>
      <t>DBT - Rs. 66.40 Lakhs</t>
    </r>
    <r>
      <rPr>
        <sz val="11"/>
        <color theme="1"/>
        <rFont val="Calibri"/>
        <scheme val="minor"/>
      </rPr>
      <t xml:space="preserve"> - Nutrition support to TB patient Rs. 500 per month till the treatment is completed, by DBT for DSTB Patients for 6 months &amp; Nutrition support to TB patient Rs. 500 per month till the treatment is completed, by DBT for DRTB Patients for 12 months.</t>
    </r>
  </si>
  <si>
    <r>
      <rPr>
        <b/>
        <sz val="11"/>
        <color theme="1"/>
        <rFont val="Calibri"/>
        <family val="2"/>
        <scheme val="minor"/>
      </rPr>
      <t>DBT - Rs. 8.00 Lakhs</t>
    </r>
    <r>
      <rPr>
        <sz val="11"/>
        <color theme="1"/>
        <rFont val="Calibri"/>
        <scheme val="minor"/>
      </rPr>
      <t xml:space="preserve"> - Private Provider Incentives- NTEP DBT Scheme @Rs. 500/- per notification and Rs. 500/- when treatment outcome declared &amp; Incentives for first informant (20% of Public
notified case will be expected to be eligible for first informant incentive).
</t>
    </r>
    <r>
      <rPr>
        <b/>
        <sz val="11"/>
        <color theme="1"/>
        <rFont val="Calibri"/>
        <family val="2"/>
        <scheme val="minor"/>
      </rPr>
      <t>Others including operating costs (OOC) - Rs. 6.50 Lakhs</t>
    </r>
    <r>
      <rPr>
        <sz val="11"/>
        <color theme="1"/>
        <rFont val="Calibri"/>
        <scheme val="minor"/>
      </rPr>
      <t xml:space="preserve"> - Cost of existing NGO/ PP support schemes and new NGO/ PP support schemes proposed as per NTEP Public Private Partnership Guidance.</t>
    </r>
  </si>
  <si>
    <r>
      <t xml:space="preserve">Diagnostics (Consumbales, PPP, Sample Transportation) - Rs. 2.40 lakhs - </t>
    </r>
    <r>
      <rPr>
        <sz val="11"/>
        <color theme="1"/>
        <rFont val="Calibri"/>
        <scheme val="minor"/>
      </rPr>
      <t>Screening, referral linkages and follow-up under Latent TB Infection Management ,Cost for screening of LTBI such as incentives, sample collection &amp; transport, etc may be budgeted</t>
    </r>
  </si>
  <si>
    <r>
      <rPr>
        <b/>
        <sz val="11"/>
        <color theme="1"/>
        <rFont val="Calibri"/>
        <family val="2"/>
        <scheme val="minor"/>
      </rPr>
      <t>DBT - Rs. 2.30 Lakhs</t>
    </r>
    <r>
      <rPr>
        <sz val="11"/>
        <color theme="1"/>
        <rFont val="Calibri"/>
        <scheme val="minor"/>
      </rPr>
      <t xml:space="preserve"> - Treatment Supporter
Honorarium (Rs.5000), payment on the update of the Outcome of Treatment for drug resistant TB
patients.
</t>
    </r>
    <r>
      <rPr>
        <b/>
        <sz val="11"/>
        <color theme="1"/>
        <rFont val="Calibri"/>
        <family val="2"/>
        <scheme val="minor"/>
      </rPr>
      <t>Infrastructure- Civil works (I&amp;C) - Rs. 1.50 Lakhs</t>
    </r>
    <r>
      <rPr>
        <sz val="11"/>
        <color theme="1"/>
        <rFont val="Calibri"/>
        <scheme val="minor"/>
      </rPr>
      <t xml:space="preserve"> - Major &amp; minor civil works/ repairing &amp; maintenance of Nodal DRTB centre, CBNAAT,
TRUNAAT sites, IRL &amp; CDST labs on need basis.
</t>
    </r>
    <r>
      <rPr>
        <b/>
        <sz val="11"/>
        <color theme="1"/>
        <rFont val="Calibri"/>
        <family val="2"/>
        <scheme val="minor"/>
      </rPr>
      <t>Equipment - Rs. 2.00 Lakhs</t>
    </r>
    <r>
      <rPr>
        <sz val="11"/>
        <color theme="1"/>
        <rFont val="Calibri"/>
        <scheme val="minor"/>
      </rPr>
      <t xml:space="preserve"> - Procurement of equipment for District levels (DR TB Centre, IRL, C
&amp; DST Lab and Molecular Diagnostics), Maintenance / up gradation costs for Laboratory equipment’s for DR TB Centre, IRL, C&amp;DST Lab and Molecular Diagnostics Equipment for NTEP
</t>
    </r>
    <r>
      <rPr>
        <b/>
        <sz val="11"/>
        <color theme="1"/>
        <rFont val="Calibri"/>
        <family val="2"/>
        <scheme val="minor"/>
      </rPr>
      <t>Drugs - Rs. 2.40 Lakhs</t>
    </r>
    <r>
      <rPr>
        <sz val="11"/>
        <color theme="1"/>
        <rFont val="Calibri"/>
        <scheme val="minor"/>
      </rPr>
      <t xml:space="preserve"> - Procurement of DRTB drugs, Local Procurement of second line drugs.
</t>
    </r>
    <r>
      <rPr>
        <b/>
        <sz val="11"/>
        <color theme="1"/>
        <rFont val="Calibri"/>
        <family val="2"/>
        <scheme val="minor"/>
      </rPr>
      <t>Capacity building Incl. training - Rs. 0.40 Lakhs</t>
    </r>
    <r>
      <rPr>
        <sz val="11"/>
        <color theme="1"/>
        <rFont val="Calibri"/>
        <scheme val="minor"/>
      </rPr>
      <t xml:space="preserve"> - Training for AIC, Cost for AIC related trainings.
 </t>
    </r>
    <r>
      <rPr>
        <b/>
        <sz val="11"/>
        <color theme="1"/>
        <rFont val="Calibri"/>
        <family val="2"/>
        <scheme val="minor"/>
      </rPr>
      <t xml:space="preserve">Surveillance, Research, Review, Evaluation (SRRE) - Rs 0.50 Lakhs - </t>
    </r>
    <r>
      <rPr>
        <sz val="11"/>
        <color theme="1"/>
        <rFont val="Calibri"/>
        <scheme val="minor"/>
      </rPr>
      <t>AIC Review Committee, Cost for Committee meeting &amp; etc.</t>
    </r>
  </si>
  <si>
    <r>
      <rPr>
        <b/>
        <sz val="11"/>
        <color theme="1"/>
        <rFont val="Calibri"/>
        <family val="2"/>
        <scheme val="minor"/>
      </rPr>
      <t>IEC &amp; Printing - Rs. 12.20 Lakhs</t>
    </r>
    <r>
      <rPr>
        <sz val="11"/>
        <color theme="1"/>
        <rFont val="Calibri"/>
        <scheme val="minor"/>
      </rPr>
      <t xml:space="preserve"> - Budget for activities for ACSM including media briefings with journalists, orientation meetings with key groups (e.g., PRIs, SHGs), sensitization session for elected leaders (e.g., MPs, MLAs, school / college-based activities, advocacy meeting with State and District authority, (outdoor publicity) folk, mela, street plays, signages, miking, TV/Radio campaign, cost, miking, exhibition/ “World TB Day “rally, etc &amp; Printing of Manuals, Guidelines, Forms,
Formats, Cards, etc. at district level</t>
    </r>
  </si>
  <si>
    <r>
      <rPr>
        <b/>
        <sz val="11"/>
        <color theme="1"/>
        <rFont val="Calibri"/>
        <family val="2"/>
        <scheme val="minor"/>
      </rPr>
      <t>DBT- 6.10 Lakhs</t>
    </r>
    <r>
      <rPr>
        <sz val="11"/>
        <color theme="1"/>
        <rFont val="Calibri"/>
        <scheme val="minor"/>
      </rPr>
      <t xml:space="preserve"> - Treatment Supporter Honorarium (Rs.1000) - one-time payment on the update of the Outcome of Treatment for drug sensitive TB patients
</t>
    </r>
    <r>
      <rPr>
        <b/>
        <sz val="11"/>
        <color theme="1"/>
        <rFont val="Calibri"/>
        <family val="2"/>
        <scheme val="minor"/>
      </rPr>
      <t xml:space="preserve">Infrastructure - Civil - Rs 2.50 lakhs - </t>
    </r>
    <r>
      <rPr>
        <sz val="11"/>
        <color theme="1"/>
        <rFont val="Calibri"/>
        <scheme val="minor"/>
      </rPr>
      <t xml:space="preserve">
Major &amp; minor civil works/ repairing &amp; maintenance at DOTs, DTC, TU &amp; DMC and X-ray facilities etc  based on need basis and for minor civil works.
</t>
    </r>
    <r>
      <rPr>
        <b/>
        <sz val="11"/>
        <color theme="1"/>
        <rFont val="Calibri"/>
        <family val="2"/>
        <scheme val="minor"/>
      </rPr>
      <t>Equipments  - Rs. 8.40 Lakhs -</t>
    </r>
    <r>
      <rPr>
        <sz val="11"/>
        <color theme="1"/>
        <rFont val="Calibri"/>
        <scheme val="minor"/>
      </rPr>
      <t xml:space="preserve"> Rs. 2.50 lakhs Procurement of equipment for District levels. (DMC, X-ray and ECG, etc for NTEP)
Procurement of Sleeves and drug boxes
Rs. 2.40 lakhs Maintenance / up gradation costs for Laboratory equipment’s DMC, X-ray and ECG, etc for NTEP 
Rs. 2.00 lakhs Procurement of office equipment and furniture for District levels. (Office Equipments)
Rs. 1.50 lakhs Maintenance / up gradation costs for office
equipment’s (Office Equipments) 
</t>
    </r>
    <r>
      <rPr>
        <b/>
        <sz val="11"/>
        <color theme="1"/>
        <rFont val="Calibri"/>
        <family val="2"/>
        <scheme val="minor"/>
      </rPr>
      <t>Drugs - Rs. 2.80 Lakhs</t>
    </r>
    <r>
      <rPr>
        <sz val="11"/>
        <color theme="1"/>
        <rFont val="Calibri"/>
        <scheme val="minor"/>
      </rPr>
      <t xml:space="preserve"> - Procurement of First line drugs, Local Procurement of first line Anti TB
drugs and Drug Transportation charges etc
</t>
    </r>
    <r>
      <rPr>
        <b/>
        <sz val="11"/>
        <color theme="1"/>
        <rFont val="Calibri"/>
        <family val="2"/>
        <scheme val="minor"/>
      </rPr>
      <t>Diagnostics (Consumbales, PPP, Sample Transportation) - Rs. 10.10 Lakhs</t>
    </r>
    <r>
      <rPr>
        <sz val="11"/>
        <color theme="1"/>
        <rFont val="Calibri"/>
        <scheme val="minor"/>
      </rPr>
      <t xml:space="preserve"> - Rs. 4.90 lakhs Patient Support &amp; Sample collection and Transport , Charges for transportation of samples for diagnosis, DST, follow-up &amp; Rs. 5.20 lakhs Procurement of Lab consumables for DMCs, Procurement of Consumables for X-rays, ECG and etc.
</t>
    </r>
    <r>
      <rPr>
        <b/>
        <sz val="11"/>
        <color theme="1"/>
        <rFont val="Calibri"/>
        <family val="2"/>
        <scheme val="minor"/>
      </rPr>
      <t>Capacity building Incl. training - Rs. 6.60 Lakhs</t>
    </r>
    <r>
      <rPr>
        <sz val="11"/>
        <color theme="1"/>
        <rFont val="Calibri"/>
        <scheme val="minor"/>
      </rPr>
      <t xml:space="preserve"> - Rs. 4.00 lakhs Training cost (including TA/DA &amp; other course materials) for officers / staff/ TB Champions and all district staff at National level, State level and District level,  Rs. 1.90 lakhs Cost for conducting CME Training in Medical Colleges, Rs. 0.70 lakhs Community Engagement
Activities - Sensitization of TB survivors, sensitization of NGOs, PRIs meeting, TB survivor led activities, etc
</t>
    </r>
    <r>
      <rPr>
        <b/>
        <sz val="11"/>
        <color theme="1"/>
        <rFont val="Calibri"/>
        <family val="2"/>
        <scheme val="minor"/>
      </rPr>
      <t>Others including operating costs (OOC) - Rs. 3.00 Lakhs</t>
    </r>
    <r>
      <rPr>
        <sz val="11"/>
        <color theme="1"/>
        <rFont val="Calibri"/>
        <scheme val="minor"/>
      </rPr>
      <t xml:space="preserve"> - Rs. 1.30 lakhs Incentives for Active Case Finding/Akshaya Keralam Campaign/TB Elimination house to house visit , Rs 10/ for every household visit &amp; Rs 500/ for every new cases identified  -the unit cost shall preferably be budgeted as per household or per person screened., Rs. 0.20 lakhs Incentive to non-salaried person for injection prick, Rs. 1.50 lakhs Budget for Printing of Materials. 
</t>
    </r>
    <r>
      <rPr>
        <b/>
        <sz val="11"/>
        <color theme="1"/>
        <rFont val="Calibri"/>
        <family val="2"/>
        <scheme val="minor"/>
      </rPr>
      <t>Planning &amp; M&amp;E - Rs. 13.20 Lakhs</t>
    </r>
    <r>
      <rPr>
        <sz val="11"/>
        <color theme="1"/>
        <rFont val="Calibri"/>
        <scheme val="minor"/>
      </rPr>
      <t xml:space="preserve"> - Rs. 4.30 lakhs Supervision and Monitoring (District Level) - TA/DA cost of all officer/ staff working in NTEP,
review meetings, Cost of internal evaluation etc., Rs. 2.50 lakhs POL for existing vehicles under NTEP and
mobility support for those field staff in lieu of
vehicles. Rs. 1.40 lakhs Vehicle hiring cost for Districts where
Govt vehicles are not available for supervision &amp;
monitoring. Rs. 0.80 lakhs Medical Colleges meetings, Rs. 3.20 lakhs Office operation includes office maintenance
expenditure, stationary, communication etc. Rs. 1.00 lakhs Maintenance cost for District vehicles
(including four-wheeler &amp; two wheelers)
</t>
    </r>
    <r>
      <rPr>
        <b/>
        <sz val="11"/>
        <color theme="1"/>
        <rFont val="Calibri"/>
        <family val="2"/>
        <scheme val="minor"/>
      </rPr>
      <t>Surveillance, Research, Review, Evaluation (SRRE) - Rs. 0.50 Lakhs</t>
    </r>
    <r>
      <rPr>
        <sz val="11"/>
        <color theme="1"/>
        <rFont val="Calibri"/>
        <scheme val="minor"/>
      </rPr>
      <t xml:space="preserve"> - Support for District level/TU/LSG TB Forums(Treatment Support Groups) functioning including meeting cost, travel support to community members attending meeting, etc.</t>
    </r>
  </si>
  <si>
    <r>
      <rPr>
        <b/>
        <sz val="11"/>
        <color theme="1"/>
        <rFont val="Calibri"/>
        <family val="2"/>
        <scheme val="minor"/>
      </rPr>
      <t>DBT - Rs. 60.00 Lakhs</t>
    </r>
    <r>
      <rPr>
        <sz val="11"/>
        <color theme="1"/>
        <rFont val="Calibri"/>
        <scheme val="minor"/>
      </rPr>
      <t xml:space="preserve"> - Nutrition support to TB patient Rs. 500 per month till the treatment is completed, by DBT for DSTB Patients for 6 months &amp; Nutrition support to TB patient Rs. 500 per month till the treatment is completed, by DBT for DRTB Patients for 12 months.</t>
    </r>
  </si>
  <si>
    <r>
      <rPr>
        <b/>
        <sz val="11"/>
        <color theme="1"/>
        <rFont val="Calibri"/>
        <family val="2"/>
        <scheme val="minor"/>
      </rPr>
      <t>DBT - Rs. 5.90 Lakhs</t>
    </r>
    <r>
      <rPr>
        <sz val="11"/>
        <color theme="1"/>
        <rFont val="Calibri"/>
        <scheme val="minor"/>
      </rPr>
      <t xml:space="preserve"> - Private Provider Incentives- NTEP DBT Scheme @Rs. 500/- per notification and Rs. 500/- when treatment outcome declared &amp; Incentives for first informant (20% of Public
notified case will be expected to be eligible for first informant incentive).
</t>
    </r>
    <r>
      <rPr>
        <b/>
        <sz val="11"/>
        <color theme="1"/>
        <rFont val="Calibri"/>
        <family val="2"/>
        <scheme val="minor"/>
      </rPr>
      <t>Others including operating costs (OOC) - Rs. 2.80 Lakhs</t>
    </r>
    <r>
      <rPr>
        <sz val="11"/>
        <color theme="1"/>
        <rFont val="Calibri"/>
        <scheme val="minor"/>
      </rPr>
      <t xml:space="preserve"> - Cost of existing NGO/ PP support schemes and new NGO/ PP support schemes proposed as per NTEP Public Private Partnership Guidance.</t>
    </r>
  </si>
  <si>
    <r>
      <rPr>
        <b/>
        <sz val="11"/>
        <color theme="1"/>
        <rFont val="Calibri"/>
        <family val="2"/>
        <scheme val="minor"/>
      </rPr>
      <t>DBT - Rs. 2.00 Lakhs</t>
    </r>
    <r>
      <rPr>
        <sz val="11"/>
        <color theme="1"/>
        <rFont val="Calibri"/>
        <scheme val="minor"/>
      </rPr>
      <t xml:space="preserve"> - Treatment Supporter
Honorarium (Rs.5000), payment on the update of the Outcome of Treatment for drug resistant TB
patients.
</t>
    </r>
    <r>
      <rPr>
        <b/>
        <sz val="11"/>
        <color theme="1"/>
        <rFont val="Calibri"/>
        <family val="2"/>
        <scheme val="minor"/>
      </rPr>
      <t>Infrastructure- Civil works (I&amp;C) - Rs. 1.50 Lakhs</t>
    </r>
    <r>
      <rPr>
        <sz val="11"/>
        <color theme="1"/>
        <rFont val="Calibri"/>
        <scheme val="minor"/>
      </rPr>
      <t xml:space="preserve"> - Major &amp; minor civil works/ repairing &amp; maintenance of Nodal DRTB centre, CBNAAT,
TRUNAAT sites, IRL &amp; CDST labs on need basis.
</t>
    </r>
    <r>
      <rPr>
        <b/>
        <sz val="11"/>
        <color theme="1"/>
        <rFont val="Calibri"/>
        <family val="2"/>
        <scheme val="minor"/>
      </rPr>
      <t>Equipment - Rs. 2.00 Lakhs</t>
    </r>
    <r>
      <rPr>
        <sz val="11"/>
        <color theme="1"/>
        <rFont val="Calibri"/>
        <scheme val="minor"/>
      </rPr>
      <t xml:space="preserve"> - Procurement of equipment for District levels (DR TB Centre, IRL, C
&amp; DST Lab and Molecular Diagnostics), Maintenance / up gradation costs for Laboratory equipment’s for DR TB Centre, IRL, C&amp;DST Lab and Molecular Diagnostics Equipment for NTEP
</t>
    </r>
    <r>
      <rPr>
        <b/>
        <sz val="11"/>
        <color theme="1"/>
        <rFont val="Calibri"/>
        <family val="2"/>
        <scheme val="minor"/>
      </rPr>
      <t>Drugs - Rs. 1.80 Lakhs</t>
    </r>
    <r>
      <rPr>
        <sz val="11"/>
        <color theme="1"/>
        <rFont val="Calibri"/>
        <scheme val="minor"/>
      </rPr>
      <t xml:space="preserve"> - Procurement of DRTB drugs, Local Procurement of second line drugs.
</t>
    </r>
    <r>
      <rPr>
        <b/>
        <sz val="11"/>
        <color theme="1"/>
        <rFont val="Calibri"/>
        <family val="2"/>
        <scheme val="minor"/>
      </rPr>
      <t>Capacity building Incl. training - Rs. 0.40 Lakhs</t>
    </r>
    <r>
      <rPr>
        <sz val="11"/>
        <color theme="1"/>
        <rFont val="Calibri"/>
        <scheme val="minor"/>
      </rPr>
      <t xml:space="preserve"> - Training for AIC, Cost for AIC related trainings.
 </t>
    </r>
    <r>
      <rPr>
        <b/>
        <sz val="11"/>
        <color theme="1"/>
        <rFont val="Calibri"/>
        <family val="2"/>
        <scheme val="minor"/>
      </rPr>
      <t xml:space="preserve">Surveillance, Research, Review, Evaluation (SRRE) - Rs 0.50 Lakhs - </t>
    </r>
    <r>
      <rPr>
        <sz val="11"/>
        <color theme="1"/>
        <rFont val="Calibri"/>
        <scheme val="minor"/>
      </rPr>
      <t>AIC Review Committee, Cost for Committee meeting &amp; etc.</t>
    </r>
  </si>
  <si>
    <r>
      <rPr>
        <b/>
        <sz val="11"/>
        <color theme="1"/>
        <rFont val="Calibri"/>
        <family val="2"/>
        <scheme val="minor"/>
      </rPr>
      <t>IEC &amp; Printing - Rs. 12.00 Lakhs</t>
    </r>
    <r>
      <rPr>
        <sz val="11"/>
        <color theme="1"/>
        <rFont val="Calibri"/>
        <scheme val="minor"/>
      </rPr>
      <t xml:space="preserve"> - Budget for activities for ACSM including media briefings with journalists, orientation meetings with key groups (e.g., PRIs, SHGs), sensitization session for elected leaders (e.g., MPs, MLAs, school / college-based activities, advocacy meeting with State and District authority, (outdoor publicity) folk, mela, street plays, signages, miking, TV/Radio campaign, cost, miking, exhibition/ “World TB Day “rally, etc &amp; Printing of Manuals, Guidelines, Forms,
Formats, Cards, etc. at district level</t>
    </r>
  </si>
  <si>
    <r>
      <rPr>
        <b/>
        <sz val="11"/>
        <color theme="1"/>
        <rFont val="Calibri"/>
        <family val="2"/>
        <scheme val="minor"/>
      </rPr>
      <t>DBT- 5.90 Lakhs</t>
    </r>
    <r>
      <rPr>
        <sz val="11"/>
        <color theme="1"/>
        <rFont val="Calibri"/>
        <scheme val="minor"/>
      </rPr>
      <t xml:space="preserve"> - Treatment Supporter Honorarium (Rs.1000) - one-time payment on the update of the Outcome of Treatment for drug sensitive TB patients
</t>
    </r>
    <r>
      <rPr>
        <b/>
        <sz val="11"/>
        <color theme="1"/>
        <rFont val="Calibri"/>
        <family val="2"/>
        <scheme val="minor"/>
      </rPr>
      <t xml:space="preserve">Infrastructure - Civil - Rs 2.50 lakhs - </t>
    </r>
    <r>
      <rPr>
        <sz val="11"/>
        <color theme="1"/>
        <rFont val="Calibri"/>
        <scheme val="minor"/>
      </rPr>
      <t xml:space="preserve">
Major &amp; minor civil works/ repairing &amp; maintenance at DOTs, DTC, TU &amp; DMC and X-ray facilities etc  based on need basis and for minor civil works.
</t>
    </r>
    <r>
      <rPr>
        <b/>
        <sz val="11"/>
        <color theme="1"/>
        <rFont val="Calibri"/>
        <family val="2"/>
        <scheme val="minor"/>
      </rPr>
      <t>Equipments  - Rs. 8.40 Lakhs -</t>
    </r>
    <r>
      <rPr>
        <sz val="11"/>
        <color theme="1"/>
        <rFont val="Calibri"/>
        <scheme val="minor"/>
      </rPr>
      <t xml:space="preserve"> Rs. 2.50 lakhs Procurement of equipment for District levels. (DMC, X-ray and ECG, etc for NTEP)
Procurement of Sleeves and drug boxes
Rs. 2.40 lakhs Maintenance / up gradation costs for Laboratory equipment’s DMC, X-ray and ECG, etc for NTEP 
Rs. 2.00 lakhs Procurement of office equipment and furniture for District levels. (Office Equipments)
Rs. 1.50 lakhs Maintenance / up gradation costs for office
equipment’s (Office Equipments) 
</t>
    </r>
    <r>
      <rPr>
        <b/>
        <sz val="11"/>
        <color theme="1"/>
        <rFont val="Calibri"/>
        <family val="2"/>
        <scheme val="minor"/>
      </rPr>
      <t>Drugs - Rs. 2.70 Lakhs</t>
    </r>
    <r>
      <rPr>
        <sz val="11"/>
        <color theme="1"/>
        <rFont val="Calibri"/>
        <scheme val="minor"/>
      </rPr>
      <t xml:space="preserve"> - Procurement of First line drugs, Local Procurement of first line Anti TB
drugs and Drug Transportation charges etc
</t>
    </r>
    <r>
      <rPr>
        <b/>
        <sz val="11"/>
        <color theme="1"/>
        <rFont val="Calibri"/>
        <family val="2"/>
        <scheme val="minor"/>
      </rPr>
      <t>Diagnostics (Consumbales, PPP, Sample Transportation) - Rs. 9.20 Lakhs</t>
    </r>
    <r>
      <rPr>
        <sz val="11"/>
        <color theme="1"/>
        <rFont val="Calibri"/>
        <scheme val="minor"/>
      </rPr>
      <t xml:space="preserve"> - Rs. 4.20 lakhs Patient Support &amp; Sample collection and Transport , Charges for transportation of samples for diagnosis, DST, follow-up &amp; Procurement of Lab consumables for DMCs, Rs. 5.00 lakhs Procurement of Consumables for X-rays, ECG and etc.
</t>
    </r>
    <r>
      <rPr>
        <b/>
        <sz val="11"/>
        <color theme="1"/>
        <rFont val="Calibri"/>
        <family val="2"/>
        <scheme val="minor"/>
      </rPr>
      <t>Capacity building Incl. training - Rs. 6.40 Lakhs</t>
    </r>
    <r>
      <rPr>
        <sz val="11"/>
        <color theme="1"/>
        <rFont val="Calibri"/>
        <scheme val="minor"/>
      </rPr>
      <t xml:space="preserve"> - Rs. 4.00 lakhs Training cost (including TA/DA &amp; other course materials) for officers / staff/ TB Champions and all district staff at National level, State level and District level,  Rs. 1.80 lakhs Cost for conducting CME Training in Medical Colleges, Rs. 0.60 lakhs Community Engagement
Activities - Sensitization of TB survivors, sensitization of NGOs, PRIs meeting, TB survivor led activities, etc
</t>
    </r>
    <r>
      <rPr>
        <b/>
        <sz val="11"/>
        <color theme="1"/>
        <rFont val="Calibri"/>
        <family val="2"/>
        <scheme val="minor"/>
      </rPr>
      <t>Others including operating costs (OOC) - Rs. 2.80 Lakhs</t>
    </r>
    <r>
      <rPr>
        <sz val="11"/>
        <color theme="1"/>
        <rFont val="Calibri"/>
        <scheme val="minor"/>
      </rPr>
      <t xml:space="preserve"> - Rs. 1.20 lakhs Incentives for Active Case Finding/Akshaya Keralam Campaign/TB Elimination house to house visit , Rs 10/ for every household visit &amp; Rs 500/ for every new cases identified  -the unit cost shall preferably be budgeted as per household or per person screened., Rs. 0.20 lakhs Incentive to non-salaried person for injection prick, Rs. 1.40 lakhs Budget for Printing of Materials. 
</t>
    </r>
    <r>
      <rPr>
        <b/>
        <sz val="11"/>
        <color theme="1"/>
        <rFont val="Calibri"/>
        <family val="2"/>
        <scheme val="minor"/>
      </rPr>
      <t>Planning &amp; M&amp;E - Rs. 13.30 Lakhs</t>
    </r>
    <r>
      <rPr>
        <sz val="11"/>
        <color theme="1"/>
        <rFont val="Calibri"/>
        <scheme val="minor"/>
      </rPr>
      <t xml:space="preserve"> - Rs. 4.00 lakhs Supervision and Monitoring (District Level) - TA/DA cost of all officer/ staff working in NTEP,
review meetings, Cost of internal evaluation etc., Rs. 2.40 lakhs POL for existing vehicles under NTEP and
mobility support for those field staff in lieu of
vehicles. Rs. 1.00 lakhs Vehicle hiring cost for Districts where
Govt vehicles are not available for supervision &amp;
monitoring. Rs. 1.80 lakhs Medical Colleges meetings, Rs. 3.00 lakhs Office operation includes office maintenance
expenditure, stationary, communication etc. Rs. 1.10 lakhs Maintenance cost for District vehicles
(including four-wheeler &amp; two wheelers)
</t>
    </r>
    <r>
      <rPr>
        <b/>
        <sz val="11"/>
        <color theme="1"/>
        <rFont val="Calibri"/>
        <family val="2"/>
        <scheme val="minor"/>
      </rPr>
      <t>Surveillance, Research, Review, Evaluation (SRRE) - Rs. 0.40 Lakhs</t>
    </r>
    <r>
      <rPr>
        <sz val="11"/>
        <color theme="1"/>
        <rFont val="Calibri"/>
        <scheme val="minor"/>
      </rPr>
      <t xml:space="preserve"> - Support for District level/TU/LSG TB Forums(Treatment Support Groups) functioning including meeting cost, travel support to community members attending meeting, etc.</t>
    </r>
  </si>
  <si>
    <r>
      <rPr>
        <b/>
        <sz val="11"/>
        <color theme="1"/>
        <rFont val="Calibri"/>
        <family val="2"/>
        <scheme val="minor"/>
      </rPr>
      <t>DBT - Rs. 5.30 Lakhs</t>
    </r>
    <r>
      <rPr>
        <sz val="11"/>
        <color theme="1"/>
        <rFont val="Calibri"/>
        <scheme val="minor"/>
      </rPr>
      <t xml:space="preserve"> - Private Provider Incentives- NTEP DBT Scheme @Rs. 500/- per notification and Rs. 500/- when treatment outcome declared &amp; Incentives for first informant (20% of Public
notified case will be expected to be eligible for first informant incentive).
</t>
    </r>
    <r>
      <rPr>
        <b/>
        <sz val="11"/>
        <color theme="1"/>
        <rFont val="Calibri"/>
        <family val="2"/>
        <scheme val="minor"/>
      </rPr>
      <t>Others including operating costs (OOC) - Rs. 2.40 Lakhs</t>
    </r>
    <r>
      <rPr>
        <sz val="11"/>
        <color theme="1"/>
        <rFont val="Calibri"/>
        <scheme val="minor"/>
      </rPr>
      <t xml:space="preserve"> - Cost of existing NGO/ PP support schemes and new NGO/ PP support schemes proposed as per NTEP Public Private Partnership Guidance.</t>
    </r>
  </si>
  <si>
    <r>
      <rPr>
        <b/>
        <sz val="11"/>
        <color theme="1"/>
        <rFont val="Calibri"/>
        <family val="2"/>
        <scheme val="minor"/>
      </rPr>
      <t>DBT - Rs. 1.80 Lakhs</t>
    </r>
    <r>
      <rPr>
        <sz val="11"/>
        <color theme="1"/>
        <rFont val="Calibri"/>
        <scheme val="minor"/>
      </rPr>
      <t xml:space="preserve"> - Treatment Supporter
Honorarium (Rs.5000), payment on the update of the Outcome of Treatment for drug resistant TB
patients.
</t>
    </r>
    <r>
      <rPr>
        <b/>
        <sz val="11"/>
        <color theme="1"/>
        <rFont val="Calibri"/>
        <family val="2"/>
        <scheme val="minor"/>
      </rPr>
      <t>Infrastructure- Civil works (I&amp;C) - Rs. 1.50 Lakhs</t>
    </r>
    <r>
      <rPr>
        <sz val="11"/>
        <color theme="1"/>
        <rFont val="Calibri"/>
        <scheme val="minor"/>
      </rPr>
      <t xml:space="preserve"> - Major &amp; minor civil works/ repairing &amp; maintenance of Nodal DRTB centre, CBNAAT,
TRUNAAT sites, IRL &amp; CDST labs on need basis.
</t>
    </r>
    <r>
      <rPr>
        <b/>
        <sz val="11"/>
        <color theme="1"/>
        <rFont val="Calibri"/>
        <family val="2"/>
        <scheme val="minor"/>
      </rPr>
      <t>Equipment - Rs. 2.00 Lakhs</t>
    </r>
    <r>
      <rPr>
        <sz val="11"/>
        <color theme="1"/>
        <rFont val="Calibri"/>
        <scheme val="minor"/>
      </rPr>
      <t xml:space="preserve"> - Procurement of equipment for District levels (DR TB Centre, IRL, C
&amp; DST Lab and Molecular Diagnostics), Maintenance / up gradation costs for Laboratory equipment’s for DR TB Centre, IRL, C&amp;DST Lab and Molecular Diagnostics Equipment for NTEP
</t>
    </r>
    <r>
      <rPr>
        <b/>
        <sz val="11"/>
        <color theme="1"/>
        <rFont val="Calibri"/>
        <family val="2"/>
        <scheme val="minor"/>
      </rPr>
      <t>Drugs - Rs. 1.60 Lakhs</t>
    </r>
    <r>
      <rPr>
        <sz val="11"/>
        <color theme="1"/>
        <rFont val="Calibri"/>
        <scheme val="minor"/>
      </rPr>
      <t xml:space="preserve"> - Procurement of DRTB drugs, Local Procurement of second line drugs.
</t>
    </r>
    <r>
      <rPr>
        <b/>
        <sz val="11"/>
        <color theme="1"/>
        <rFont val="Calibri"/>
        <family val="2"/>
        <scheme val="minor"/>
      </rPr>
      <t>Capacity building Incl. training - Rs. 0.40 Lakhs</t>
    </r>
    <r>
      <rPr>
        <sz val="11"/>
        <color theme="1"/>
        <rFont val="Calibri"/>
        <scheme val="minor"/>
      </rPr>
      <t xml:space="preserve"> - Training for AIC, Cost for AIC related trainings.
 </t>
    </r>
    <r>
      <rPr>
        <b/>
        <sz val="11"/>
        <color theme="1"/>
        <rFont val="Calibri"/>
        <family val="2"/>
        <scheme val="minor"/>
      </rPr>
      <t xml:space="preserve">Surveillance, Research, Review, Evaluation (SRRE) - Rs 0.50 Lakhs - </t>
    </r>
    <r>
      <rPr>
        <sz val="11"/>
        <color theme="1"/>
        <rFont val="Calibri"/>
        <scheme val="minor"/>
      </rPr>
      <t>AIC Review Committee, Cost for Committee meeting &amp; etc.</t>
    </r>
  </si>
  <si>
    <r>
      <rPr>
        <b/>
        <sz val="11"/>
        <color theme="1"/>
        <rFont val="Calibri"/>
        <family val="2"/>
        <scheme val="minor"/>
      </rPr>
      <t>IEC &amp; Printing - Rs. 11.30 Lakhs</t>
    </r>
    <r>
      <rPr>
        <sz val="11"/>
        <color theme="1"/>
        <rFont val="Calibri"/>
        <scheme val="minor"/>
      </rPr>
      <t xml:space="preserve"> - Budget for activities for ACSM including media briefings with journalists, orientation meetings with key groups (e.g., PRIs, SHGs), sensitization session for elected leaders (e.g., MPs, MLAs, school / college-based activities, advocacy meeting with State and District authority, (outdoor publicity) folk, mela, street plays, signages, miking, TV/Radio campaign, cost, miking, exhibition/ “World TB Day “rally, etc &amp; Printing of Manuals, Guidelines, Forms,
Formats, Cards, etc. at district level</t>
    </r>
  </si>
  <si>
    <r>
      <rPr>
        <b/>
        <sz val="11"/>
        <color theme="1"/>
        <rFont val="Calibri"/>
        <family val="2"/>
        <scheme val="minor"/>
      </rPr>
      <t>DBT- 6.80 Lakhs</t>
    </r>
    <r>
      <rPr>
        <sz val="11"/>
        <color theme="1"/>
        <rFont val="Calibri"/>
        <scheme val="minor"/>
      </rPr>
      <t xml:space="preserve"> - Treatment Supporter Honorarium (Rs.1000) - one-time payment on the update of the Outcome of Treatment for drug sensitive TB patients
</t>
    </r>
    <r>
      <rPr>
        <b/>
        <sz val="11"/>
        <color theme="1"/>
        <rFont val="Calibri"/>
        <family val="2"/>
        <scheme val="minor"/>
      </rPr>
      <t xml:space="preserve">Infrastructure - Civil - Rs 2.50 lakhs - </t>
    </r>
    <r>
      <rPr>
        <sz val="11"/>
        <color theme="1"/>
        <rFont val="Calibri"/>
        <scheme val="minor"/>
      </rPr>
      <t xml:space="preserve">
Major &amp; minor civil works/ repairing &amp; maintenance at DOTs, DTC, TU &amp; DMC and X-ray facilities etc  based on need basis and for minor civil works.
</t>
    </r>
    <r>
      <rPr>
        <b/>
        <sz val="11"/>
        <color theme="1"/>
        <rFont val="Calibri"/>
        <family val="2"/>
        <scheme val="minor"/>
      </rPr>
      <t>Equipments  - Rs. 8.40 Lakhs -</t>
    </r>
    <r>
      <rPr>
        <sz val="11"/>
        <color theme="1"/>
        <rFont val="Calibri"/>
        <scheme val="minor"/>
      </rPr>
      <t xml:space="preserve"> Rs. 2.50 lakhs Procurement of equipment for District levels. (DMC, X-ray and ECG, etc for NTEP)
Procurement of Sleeves and drug boxes
Rs. 2.40 lakhs Maintenance / up gradation costs for Laboratory equipment’s DMC, X-ray and ECG, etc for NTEP 
Rs. 2.00 lakhs Procurement of office equipment and furniture for District levels. (Office Equipments)
Rs. 1.50 lakhs Maintenance / up gradation costs for office
equipment’s (Office Equipments) 
</t>
    </r>
    <r>
      <rPr>
        <b/>
        <sz val="11"/>
        <color theme="1"/>
        <rFont val="Calibri"/>
        <family val="2"/>
        <scheme val="minor"/>
      </rPr>
      <t>Drugs - Rs. 3.10 Lakhs</t>
    </r>
    <r>
      <rPr>
        <sz val="11"/>
        <color theme="1"/>
        <rFont val="Calibri"/>
        <scheme val="minor"/>
      </rPr>
      <t xml:space="preserve"> - Procurement of First line drugs, Local Procurement of first line Anti TB
drugs and Drug Transportation charges etc
</t>
    </r>
    <r>
      <rPr>
        <b/>
        <sz val="11"/>
        <color theme="1"/>
        <rFont val="Calibri"/>
        <family val="2"/>
        <scheme val="minor"/>
      </rPr>
      <t>Diagnostics (Consumbales, PPP, Sample Transportation) - Rs. 10.80 Lakhs</t>
    </r>
    <r>
      <rPr>
        <sz val="11"/>
        <color theme="1"/>
        <rFont val="Calibri"/>
        <scheme val="minor"/>
      </rPr>
      <t xml:space="preserve"> - Rs. 4.90 lakhs Patient Support &amp; Sample collection and Transport , Charges for transportation of samples for diagnosis, DST, follow-up &amp; Rs. 5.90 lakhs Procurement of Lab consumables for DMCs, Procurement of Consumables for X-rays, ECG and etc.
</t>
    </r>
    <r>
      <rPr>
        <b/>
        <sz val="11"/>
        <color theme="1"/>
        <rFont val="Calibri"/>
        <family val="2"/>
        <scheme val="minor"/>
      </rPr>
      <t>Capacity building Incl. training - Rs. 7.30 Lakhs</t>
    </r>
    <r>
      <rPr>
        <sz val="11"/>
        <color theme="1"/>
        <rFont val="Calibri"/>
        <scheme val="minor"/>
      </rPr>
      <t xml:space="preserve"> - Rs. 4.40 lakhs Training cost (including TA/DA &amp; other course materials) for officers / staff/ TB Champions and all district staff at National level, State level and District level, Rs. 2.20 lakhs Cost for conducting CME Training in Medical Colleges, Rs. 0.70 lakhs Community Engagement
Activities - Sensitization of TB survivors, sensitization of NGOs, PRIs meeting, TB survivor led activities, etc
</t>
    </r>
    <r>
      <rPr>
        <b/>
        <sz val="11"/>
        <color theme="1"/>
        <rFont val="Calibri"/>
        <family val="2"/>
        <scheme val="minor"/>
      </rPr>
      <t>Others including operating costs (OOC) - Rs. 3.25 Lakhs</t>
    </r>
    <r>
      <rPr>
        <sz val="11"/>
        <color theme="1"/>
        <rFont val="Calibri"/>
        <scheme val="minor"/>
      </rPr>
      <t xml:space="preserve"> - Rs. 1.30 lakhs Incentives for Active Case Finding/Akshaya Keralam Campaign/TB Elimination house to house visit , Rs 10/ for every household visit &amp; Rs 500/ for every new cases identified  -the unit cost shall preferably be budgeted as per household or per person screened., Rs. 0.25 lakhs Incentive to non-salaried person for injection prick, Rs. 1.70 lakhs Budget for Printing of Materials. 
</t>
    </r>
    <r>
      <rPr>
        <b/>
        <sz val="11"/>
        <color theme="1"/>
        <rFont val="Calibri"/>
        <family val="2"/>
        <scheme val="minor"/>
      </rPr>
      <t>Planning &amp; M&amp;E - Rs. 20.00 Lakhs</t>
    </r>
    <r>
      <rPr>
        <sz val="11"/>
        <color theme="1"/>
        <rFont val="Calibri"/>
        <scheme val="minor"/>
      </rPr>
      <t xml:space="preserve"> - Rs. 4.80 lakhs Supervision and Monitoring (District Level) - TA/DA cost of all officer/ staff working in NTEP,
review meetings, Cost of internal evaluation etc., Rs. 3.20 lakhs POL for existing vehicles under NTEP and
mobility support for those field staff in lieu of
vehicles. Rs. 5.20 lakhs Vehicle hiring cost for Districts where
Govt vehicles are not available for supervision &amp;
monitoring. Rs. 2.20 lakhs Medical Colleges meetings, Rs. 3.50 lakhs Office operation includes office maintenance
expenditure, stationary, communication etc. Rs. 1.10 lakhs Maintenance cost for District vehicles
(including four-wheeler &amp; two wheelers)
</t>
    </r>
    <r>
      <rPr>
        <b/>
        <sz val="11"/>
        <color theme="1"/>
        <rFont val="Calibri"/>
        <family val="2"/>
        <scheme val="minor"/>
      </rPr>
      <t>Surveillance, Research, Review, Evaluation (SRRE) - Rs. 0.70 Lakhs</t>
    </r>
    <r>
      <rPr>
        <sz val="11"/>
        <color theme="1"/>
        <rFont val="Calibri"/>
        <scheme val="minor"/>
      </rPr>
      <t xml:space="preserve"> -  Support for District level/TU/LSG TB Forums(Treatment Support Groups) functioning including meeting cost, travel support to community members attending meeting, etc.</t>
    </r>
  </si>
  <si>
    <r>
      <rPr>
        <b/>
        <sz val="11"/>
        <color theme="1"/>
        <rFont val="Calibri"/>
        <family val="2"/>
        <scheme val="minor"/>
      </rPr>
      <t>DBT - Rs. 64.60 Lakhs</t>
    </r>
    <r>
      <rPr>
        <sz val="11"/>
        <color theme="1"/>
        <rFont val="Calibri"/>
        <scheme val="minor"/>
      </rPr>
      <t xml:space="preserve"> - Nutrition support to TB patient Rs. 500 per month till the treatment is completed, by DBT for DSTB Patients for 6 months &amp; Nutrition support to TB patient Rs. 500 per month till the treatment is completed, by DBT for DRTB Patients for 12 months.</t>
    </r>
  </si>
  <si>
    <r>
      <rPr>
        <b/>
        <sz val="11"/>
        <color theme="1"/>
        <rFont val="Calibri"/>
        <family val="2"/>
        <scheme val="minor"/>
      </rPr>
      <t>DBT - Rs. 7.30 Lakhs</t>
    </r>
    <r>
      <rPr>
        <sz val="11"/>
        <color theme="1"/>
        <rFont val="Calibri"/>
        <scheme val="minor"/>
      </rPr>
      <t xml:space="preserve"> - Private Provider Incentives- NTEP DBT Scheme @Rs. 500/- per notification and Rs. 500/- when treatment outcome declared &amp; Incentives for first informant (20% of Public
notified case will be expected to be eligible for first informant incentive).
</t>
    </r>
    <r>
      <rPr>
        <b/>
        <sz val="11"/>
        <color theme="1"/>
        <rFont val="Calibri"/>
        <family val="2"/>
        <scheme val="minor"/>
      </rPr>
      <t>Others including operating costs (OOC) - Rs. 11.80 Lakhs</t>
    </r>
    <r>
      <rPr>
        <sz val="11"/>
        <color theme="1"/>
        <rFont val="Calibri"/>
        <scheme val="minor"/>
      </rPr>
      <t xml:space="preserve"> - Cost of existing NGO/ PP support schemes and new NGO/ PP support schemes proposed as per NTEP Public Private Partnership Guidance.</t>
    </r>
  </si>
  <si>
    <r>
      <rPr>
        <b/>
        <sz val="11"/>
        <color theme="1"/>
        <rFont val="Calibri"/>
        <family val="2"/>
        <scheme val="minor"/>
      </rPr>
      <t>DBT - Rs. 2.20 Lakhs</t>
    </r>
    <r>
      <rPr>
        <sz val="11"/>
        <color theme="1"/>
        <rFont val="Calibri"/>
        <scheme val="minor"/>
      </rPr>
      <t xml:space="preserve"> - Treatment Supporter Honorarium (Rs.5000), payment on the update of the Outcome of Treatment for drug resistant TB
patients.
</t>
    </r>
    <r>
      <rPr>
        <b/>
        <sz val="11"/>
        <color theme="1"/>
        <rFont val="Calibri"/>
        <family val="2"/>
        <scheme val="minor"/>
      </rPr>
      <t>Infrastructure- Civil works (I&amp;C) - Rs. 1.50 Lakhs</t>
    </r>
    <r>
      <rPr>
        <sz val="11"/>
        <color theme="1"/>
        <rFont val="Calibri"/>
        <scheme val="minor"/>
      </rPr>
      <t xml:space="preserve"> - Major &amp; minor civil works/ repairing &amp; maintenance of Nodal DRTB centre, CBNAAT,
TRUNAAT sites, IRL &amp; CDST labs on need basis.
</t>
    </r>
    <r>
      <rPr>
        <b/>
        <sz val="11"/>
        <color theme="1"/>
        <rFont val="Calibri"/>
        <family val="2"/>
        <scheme val="minor"/>
      </rPr>
      <t>Equipment - Rs. 2.00 Lakhs</t>
    </r>
    <r>
      <rPr>
        <sz val="11"/>
        <color theme="1"/>
        <rFont val="Calibri"/>
        <scheme val="minor"/>
      </rPr>
      <t xml:space="preserve"> - Procurement of equipment for District levels (DR TB Centre, IRL, C
&amp; DST Lab and Molecular Diagnostics), Maintenance / up gradation costs for Laboratory equipment’s for DR TB Centre, IRL, C&amp;DST Lab and Molecular Diagnostics Equipment for NTEP
</t>
    </r>
    <r>
      <rPr>
        <b/>
        <sz val="11"/>
        <color theme="1"/>
        <rFont val="Calibri"/>
        <family val="2"/>
        <scheme val="minor"/>
      </rPr>
      <t>Drugs - Rs. 2.30 Lakhs</t>
    </r>
    <r>
      <rPr>
        <sz val="11"/>
        <color theme="1"/>
        <rFont val="Calibri"/>
        <scheme val="minor"/>
      </rPr>
      <t xml:space="preserve"> - Procurement of DRTB drugs, Local Procurement of second line drugs.
</t>
    </r>
    <r>
      <rPr>
        <b/>
        <sz val="11"/>
        <color theme="1"/>
        <rFont val="Calibri"/>
        <family val="2"/>
        <scheme val="minor"/>
      </rPr>
      <t>Capacity building Incl. training - Rs. 0.40 Lakhs</t>
    </r>
    <r>
      <rPr>
        <sz val="11"/>
        <color theme="1"/>
        <rFont val="Calibri"/>
        <scheme val="minor"/>
      </rPr>
      <t xml:space="preserve"> - Training for AIC, Cost for AIC related trainings.
 </t>
    </r>
    <r>
      <rPr>
        <b/>
        <sz val="11"/>
        <color theme="1"/>
        <rFont val="Calibri"/>
        <family val="2"/>
        <scheme val="minor"/>
      </rPr>
      <t xml:space="preserve">Surveillance, Research, Review, Evaluation (SRRE) - Rs 0.50 Lakhs - </t>
    </r>
    <r>
      <rPr>
        <sz val="11"/>
        <color theme="1"/>
        <rFont val="Calibri"/>
        <scheme val="minor"/>
      </rPr>
      <t>AIC Review Committee, Cost for Committee meeting &amp; etc.</t>
    </r>
  </si>
  <si>
    <r>
      <rPr>
        <b/>
        <sz val="11"/>
        <color theme="1"/>
        <rFont val="Calibri"/>
        <family val="2"/>
        <scheme val="minor"/>
      </rPr>
      <t>IEC &amp; Printing - Rs. 14.10 Lakhs</t>
    </r>
    <r>
      <rPr>
        <sz val="11"/>
        <color theme="1"/>
        <rFont val="Calibri"/>
        <scheme val="minor"/>
      </rPr>
      <t xml:space="preserve"> - Budget for activities for ACSM including media briefings with journalists, orientation meetings with key groups (e.g., PRIs, SHGs), sensitization session for elected leaders (e.g., MPs, MLAs, school / college-based activities, advocacy meeting with State and District authority, (outdoor publicity) folk, mela, street plays, signages, miking, TV/Radio campaign, cost, miking, exhibition/ “World TB Day “rally, etc &amp; Printing of Manuals, Guidelines, Forms,
Formats, Cards, etc. at district level</t>
    </r>
  </si>
  <si>
    <r>
      <rPr>
        <b/>
        <sz val="11"/>
        <color theme="1"/>
        <rFont val="Calibri"/>
        <family val="2"/>
        <scheme val="minor"/>
      </rPr>
      <t>DBT- 6.40 Lakhs</t>
    </r>
    <r>
      <rPr>
        <sz val="11"/>
        <color theme="1"/>
        <rFont val="Calibri"/>
        <scheme val="minor"/>
      </rPr>
      <t xml:space="preserve"> - Treatment Supporter Honorarium (Rs.1000) - one-time payment on the update of the Outcome of Treatment for drug sensitive TB patients
</t>
    </r>
    <r>
      <rPr>
        <b/>
        <sz val="11"/>
        <color theme="1"/>
        <rFont val="Calibri"/>
        <family val="2"/>
        <scheme val="minor"/>
      </rPr>
      <t xml:space="preserve">Infrastructure - Civil - Rs 2.50 lakhs - </t>
    </r>
    <r>
      <rPr>
        <sz val="11"/>
        <color theme="1"/>
        <rFont val="Calibri"/>
        <scheme val="minor"/>
      </rPr>
      <t xml:space="preserve">
Rs. 2.50 lakhs - Major &amp; minor civil works/ repairing &amp; maintenance at DOTs, DTC, TU &amp; DMC and X-ray facilities etc  based on need basis and for minor civil works.
</t>
    </r>
    <r>
      <rPr>
        <b/>
        <sz val="11"/>
        <color theme="1"/>
        <rFont val="Calibri"/>
        <family val="2"/>
        <scheme val="minor"/>
      </rPr>
      <t>Equipments  - Rs. 8.40 Lakhs -</t>
    </r>
    <r>
      <rPr>
        <sz val="11"/>
        <color theme="1"/>
        <rFont val="Calibri"/>
        <scheme val="minor"/>
      </rPr>
      <t xml:space="preserve"> Rs. 2.50 lakhs Procurement of equipment for District levels. (DMC, X-ray and ECG, etc for NTEP)
Procurement of Sleeves and drug boxes
Rs. 2.40 lakhs Maintenance / up gradation costs for Laboratory equipment’s DMC, X-ray and ECG, etc for NTEP 
Rs. 2.00 lakhs Procurement of office equipment and furniture for District levels. (Office Equipments)
Rs. 1.50 lakhs Maintenance / up gradation costs for office
equipment’s (Office Equipments) 
</t>
    </r>
    <r>
      <rPr>
        <b/>
        <sz val="11"/>
        <color theme="1"/>
        <rFont val="Calibri"/>
        <family val="2"/>
        <scheme val="minor"/>
      </rPr>
      <t>Drugs - Rs. 2.80 Lakhs</t>
    </r>
    <r>
      <rPr>
        <sz val="11"/>
        <color theme="1"/>
        <rFont val="Calibri"/>
        <scheme val="minor"/>
      </rPr>
      <t xml:space="preserve"> - Procurement of First line drugs, Local Procurement of first line Anti TB
drugs and Drug Transportation charges etc
</t>
    </r>
    <r>
      <rPr>
        <b/>
        <sz val="11"/>
        <color theme="1"/>
        <rFont val="Calibri"/>
        <family val="2"/>
        <scheme val="minor"/>
      </rPr>
      <t>Diagnostics (Consumbales, PPP, Sample Transportation) - Rs. 9.80 Lakhs</t>
    </r>
    <r>
      <rPr>
        <sz val="11"/>
        <color theme="1"/>
        <rFont val="Calibri"/>
        <scheme val="minor"/>
      </rPr>
      <t xml:space="preserve"> - Rs. 4.40 lakhs Patient Support &amp; Sample collection and Transport , Charges for transportation of samples for diagnosis, DST, follow-up &amp; Rs. 5.40 lakhs Procurement of Lab consumables for DMCs, Procurement of Consumables for X-rays, ECG and etc.
</t>
    </r>
    <r>
      <rPr>
        <b/>
        <sz val="11"/>
        <color theme="1"/>
        <rFont val="Calibri"/>
        <family val="2"/>
        <scheme val="minor"/>
      </rPr>
      <t>Capacity building Incl. training - Rs. 7.30 Lakhs</t>
    </r>
    <r>
      <rPr>
        <sz val="11"/>
        <color theme="1"/>
        <rFont val="Calibri"/>
        <scheme val="minor"/>
      </rPr>
      <t xml:space="preserve"> - Rs. 4.20 lakhs Training cost (including TA/DA &amp; other course materials) for officers / staff/ TB Champions and all district staff at National level, State level and District level,  Rs. 2.30 lakhs Cost for conducting CME Training in Medical Colleges, Rs. 0.80 lakhs Community Engagement
Activities - Sensitization of TB survivors, sensitization of NGOs, PRIs meeting, TB survivor led activities, etc
</t>
    </r>
    <r>
      <rPr>
        <b/>
        <sz val="11"/>
        <color theme="1"/>
        <rFont val="Calibri"/>
        <family val="2"/>
        <scheme val="minor"/>
      </rPr>
      <t>Others including operating costs (OOC) - Rs. 3.15 Lakhs</t>
    </r>
    <r>
      <rPr>
        <sz val="11"/>
        <color theme="1"/>
        <rFont val="Calibri"/>
        <scheme val="minor"/>
      </rPr>
      <t xml:space="preserve"> - Rs. 1.30 lakhs Incentives for Active Case Finding/Akshaya Keralam Campaign/TB Elimination house to house visit , Rs 10/ for every household visit &amp; Rs 500/ for every new cases identified  -the unit cost shall preferably be budgeted as per household or per person screened., Rs. 0.25 lakhs Incentive to non-salaried person for injection prick, Rs. 1.60 lakhs Budget for Printing of Materials. 
</t>
    </r>
    <r>
      <rPr>
        <b/>
        <sz val="11"/>
        <color theme="1"/>
        <rFont val="Calibri"/>
        <family val="2"/>
        <scheme val="minor"/>
      </rPr>
      <t>Planning &amp; M&amp;E - Rs. 16.00 Lakhs</t>
    </r>
    <r>
      <rPr>
        <sz val="11"/>
        <color theme="1"/>
        <rFont val="Calibri"/>
        <scheme val="minor"/>
      </rPr>
      <t xml:space="preserve"> - Rs. 4.40 lakhs Supervision and Monitoring (District Level) - TA/DA cost of all officer/ staff working in NTEP,
review meetings, Cost of internal evaluation etc., Rs. 2.90 lakhs POL for existing vehicles under NTEP and
mobility support for those field staff in lieu of
vehicles. Rs. 1.50 lakhs Vehicle hiring cost for Districts where
Govt vehicles are not available for supervision &amp;
monitoring. Rs. 2.40 lakhs Medical Colleges meetings, Rs. 3.70 lakhs Office operation includes office maintenance
expenditure, stationary, communication etc. Rs. 1.10 lakhs Maintenance cost for District vehicles
(including four-wheeler &amp; two wheelers)
</t>
    </r>
    <r>
      <rPr>
        <b/>
        <sz val="11"/>
        <color theme="1"/>
        <rFont val="Calibri"/>
        <family val="2"/>
        <scheme val="minor"/>
      </rPr>
      <t>Surveillance, Research, Review, Evaluation (SRRE) - Rs. 0.80 Lakhs</t>
    </r>
    <r>
      <rPr>
        <sz val="11"/>
        <color theme="1"/>
        <rFont val="Calibri"/>
        <scheme val="minor"/>
      </rPr>
      <t xml:space="preserve"> - Support for District level/TU/LSG TB Forums(Treatment Support Groups) functioning including meeting cost, travel support to community members attending meeting, etc.</t>
    </r>
  </si>
  <si>
    <r>
      <rPr>
        <b/>
        <sz val="11"/>
        <color theme="1"/>
        <rFont val="Calibri"/>
        <family val="2"/>
        <scheme val="minor"/>
      </rPr>
      <t>DBT - Rs. 63.40 Lakhs</t>
    </r>
    <r>
      <rPr>
        <sz val="11"/>
        <color theme="1"/>
        <rFont val="Calibri"/>
        <scheme val="minor"/>
      </rPr>
      <t xml:space="preserve"> - Nutrition support to TB patient Rs. 500 per month till the treatment is completed, by DBT for DSTB Patients for 6 months &amp; Nutrition support to TB patient Rs. 500 per month till the treatment is completed, by DBT for DRTB Patients for 12 months.</t>
    </r>
  </si>
  <si>
    <r>
      <rPr>
        <b/>
        <sz val="11"/>
        <color theme="1"/>
        <rFont val="Calibri"/>
        <family val="2"/>
        <scheme val="minor"/>
      </rPr>
      <t>DBT - Rs. 6.90 Lakhs</t>
    </r>
    <r>
      <rPr>
        <sz val="11"/>
        <color theme="1"/>
        <rFont val="Calibri"/>
        <scheme val="minor"/>
      </rPr>
      <t xml:space="preserve"> - Private Provider Incentives- NTEP DBT Scheme @Rs. 500/- per notification and Rs. 500/- when treatment outcome declared &amp; Incentives for first informant (20% of Public
notified case will be expected to be eligible for first informant incentive).
</t>
    </r>
    <r>
      <rPr>
        <b/>
        <sz val="11"/>
        <color theme="1"/>
        <rFont val="Calibri"/>
        <family val="2"/>
        <scheme val="minor"/>
      </rPr>
      <t>Others including operating costs (OOC) - Rs. 15.00 Lakhs</t>
    </r>
    <r>
      <rPr>
        <sz val="11"/>
        <color theme="1"/>
        <rFont val="Calibri"/>
        <scheme val="minor"/>
      </rPr>
      <t xml:space="preserve"> - Cost of existing NGO/ PP support schemes and new NGO/ PP support schemes proposed as per NTEP Public Private Partnership Guidance.</t>
    </r>
  </si>
  <si>
    <r>
      <rPr>
        <b/>
        <sz val="11"/>
        <color theme="1"/>
        <rFont val="Calibri"/>
        <family val="2"/>
        <scheme val="minor"/>
      </rPr>
      <t>DBT - Rs. 2.10 Lakhs</t>
    </r>
    <r>
      <rPr>
        <sz val="11"/>
        <color theme="1"/>
        <rFont val="Calibri"/>
        <scheme val="minor"/>
      </rPr>
      <t xml:space="preserve"> - Treatment Supporter
Honorarium (Rs.5000), payment on the update of the Outcome of Treatment for drug resistant TB
patients.
</t>
    </r>
    <r>
      <rPr>
        <b/>
        <sz val="11"/>
        <color theme="1"/>
        <rFont val="Calibri"/>
        <family val="2"/>
        <scheme val="minor"/>
      </rPr>
      <t>Infrastructure- Civil works (I&amp;C) - Rs. 7.00 Lakhs</t>
    </r>
    <r>
      <rPr>
        <sz val="11"/>
        <color theme="1"/>
        <rFont val="Calibri"/>
        <scheme val="minor"/>
      </rPr>
      <t xml:space="preserve"> - Major &amp; minor civil works/ repairing &amp; maintenance of Nodal DRTB centre, CBNAAT,
TRUNAAT sites, IRL &amp; CDST labs on need basis.
</t>
    </r>
    <r>
      <rPr>
        <b/>
        <sz val="11"/>
        <color theme="1"/>
        <rFont val="Calibri"/>
        <family val="2"/>
        <scheme val="minor"/>
      </rPr>
      <t>Equipment - Rs. 12.00 Lakhs</t>
    </r>
    <r>
      <rPr>
        <sz val="11"/>
        <color theme="1"/>
        <rFont val="Calibri"/>
        <scheme val="minor"/>
      </rPr>
      <t xml:space="preserve"> - Procurement of equipment for District levels (DR TB Centre, IRL, C
&amp; DST Lab and Molecular Diagnostics), Maintenance / up gradation costs for Laboratory equipment’s for DR TB Centre, IRL, C&amp;DST Lab and Molecular Diagnostics Equipment for NTEP
</t>
    </r>
    <r>
      <rPr>
        <b/>
        <sz val="11"/>
        <color theme="1"/>
        <rFont val="Calibri"/>
        <family val="2"/>
        <scheme val="minor"/>
      </rPr>
      <t>Drugs - Rs. 2.30 Lakhs</t>
    </r>
    <r>
      <rPr>
        <sz val="11"/>
        <color theme="1"/>
        <rFont val="Calibri"/>
        <scheme val="minor"/>
      </rPr>
      <t xml:space="preserve"> - Procurement of DRTB drugs, Local Procurement of second line drugs.
</t>
    </r>
    <r>
      <rPr>
        <b/>
        <sz val="11"/>
        <color theme="1"/>
        <rFont val="Calibri"/>
        <family val="2"/>
        <scheme val="minor"/>
      </rPr>
      <t xml:space="preserve">Diagnostics (Consumbales, PPP, Sample Transportation) - Rs. 15.00 Lakhs - </t>
    </r>
    <r>
      <rPr>
        <sz val="11"/>
        <color theme="1"/>
        <rFont val="Calibri"/>
        <scheme val="minor"/>
      </rPr>
      <t xml:space="preserve">Procurement of Lab Materials and consumables for molecular diagnostics and CDST
</t>
    </r>
    <r>
      <rPr>
        <b/>
        <sz val="11"/>
        <color theme="1"/>
        <rFont val="Calibri"/>
        <family val="2"/>
        <scheme val="minor"/>
      </rPr>
      <t>Capacity building Incl. training - Rs. 0.40 Lakhs</t>
    </r>
    <r>
      <rPr>
        <sz val="11"/>
        <color theme="1"/>
        <rFont val="Calibri"/>
        <scheme val="minor"/>
      </rPr>
      <t xml:space="preserve"> - Training for AIC, Cost for AIC related trainings.
 </t>
    </r>
    <r>
      <rPr>
        <b/>
        <sz val="11"/>
        <color theme="1"/>
        <rFont val="Calibri"/>
        <family val="2"/>
        <scheme val="minor"/>
      </rPr>
      <t xml:space="preserve">Surveillance, Research, Review, Evaluation (SRRE) - Rs 0.50 Lakhs - </t>
    </r>
    <r>
      <rPr>
        <sz val="11"/>
        <color theme="1"/>
        <rFont val="Calibri"/>
        <scheme val="minor"/>
      </rPr>
      <t>AIC Review Committee, Cost for Committee meeting &amp; etc.</t>
    </r>
  </si>
  <si>
    <r>
      <rPr>
        <b/>
        <sz val="11"/>
        <color theme="1"/>
        <rFont val="Calibri"/>
        <family val="2"/>
        <scheme val="minor"/>
      </rPr>
      <t>IEC &amp; Printing - Rs. 14.39 Lakhs</t>
    </r>
    <r>
      <rPr>
        <sz val="11"/>
        <color theme="1"/>
        <rFont val="Calibri"/>
        <scheme val="minor"/>
      </rPr>
      <t xml:space="preserve"> - Budget for activities for ACSM including media briefings with journalists, orientation meetings with key groups (e.g., PRIs, SHGs), sensitization session for elected leaders (e.g., MPs, MLAs, school / college-based activities, advocacy meeting with State and District authority, (outdoor publicity) folk, mela, street plays, signages, miking, TV/Radio campaign, cost, miking, exhibition/ “World TB Day “rally, etc &amp; Printing of Manuals, Guidelines, Forms,
Formats, Cards, etc. at district level</t>
    </r>
  </si>
  <si>
    <r>
      <rPr>
        <b/>
        <sz val="11"/>
        <color theme="1"/>
        <rFont val="Calibri"/>
        <family val="2"/>
        <scheme val="minor"/>
      </rPr>
      <t>DBT- 4.10 Lakhs</t>
    </r>
    <r>
      <rPr>
        <sz val="11"/>
        <color theme="1"/>
        <rFont val="Calibri"/>
        <scheme val="minor"/>
      </rPr>
      <t xml:space="preserve"> - Treatment Supporter Honorarium (Rs.1000) - one-time payment on the update of the Outcome of Treatment for drug sensitive TB patients
</t>
    </r>
    <r>
      <rPr>
        <b/>
        <sz val="11"/>
        <color theme="1"/>
        <rFont val="Calibri"/>
        <family val="2"/>
        <scheme val="minor"/>
      </rPr>
      <t xml:space="preserve">Infrastructure - Civil - Rs 2.50 lakhs - </t>
    </r>
    <r>
      <rPr>
        <sz val="11"/>
        <color theme="1"/>
        <rFont val="Calibri"/>
        <scheme val="minor"/>
      </rPr>
      <t xml:space="preserve">
Major &amp; minor civil works/ repairing &amp; maintenance at DOTs, DTC, TU &amp; DMC and X-ray facilities etc  based on need basis and for minor civil works.
</t>
    </r>
    <r>
      <rPr>
        <b/>
        <sz val="11"/>
        <color theme="1"/>
        <rFont val="Calibri"/>
        <family val="2"/>
        <scheme val="minor"/>
      </rPr>
      <t>Equipments  - Rs. 8.40 Lakhs -</t>
    </r>
    <r>
      <rPr>
        <sz val="11"/>
        <color theme="1"/>
        <rFont val="Calibri"/>
        <scheme val="minor"/>
      </rPr>
      <t xml:space="preserve"> Rs. 2.50 lakhs Procurement of equipment for District levels. (DMC, X-ray and ECG, etc for NTEP)
Procurement of Sleeves and drug boxes
Rs. 2.40 lakhs Maintenance / up gradation costs for Laboratory equipment’s DMC, X-ray and ECG, etc for NTEP 
Rs. 2.00 lakhs Procurement of office equipment and furniture for District levels. (Office Equipments)
Rs. 1.50 lakhs Maintenance / up gradation costs for office
equipment’s (Office Equipments) 
</t>
    </r>
    <r>
      <rPr>
        <b/>
        <sz val="11"/>
        <color theme="1"/>
        <rFont val="Calibri"/>
        <family val="2"/>
        <scheme val="minor"/>
      </rPr>
      <t>Drugs - Rs. 2.20 Lakhs</t>
    </r>
    <r>
      <rPr>
        <sz val="11"/>
        <color theme="1"/>
        <rFont val="Calibri"/>
        <scheme val="minor"/>
      </rPr>
      <t xml:space="preserve"> - Procurement of First line drugs, Local Procurement of first line Anti TB
drugs and Drug Transportation charges etc
</t>
    </r>
    <r>
      <rPr>
        <b/>
        <sz val="11"/>
        <color theme="1"/>
        <rFont val="Calibri"/>
        <family val="2"/>
        <scheme val="minor"/>
      </rPr>
      <t>Diagnostics (Consumbales, PPP, Sample Transportation) - Rs. 7.70 Lakhs</t>
    </r>
    <r>
      <rPr>
        <sz val="11"/>
        <color theme="1"/>
        <rFont val="Calibri"/>
        <scheme val="minor"/>
      </rPr>
      <t xml:space="preserve"> - Rs. 3.70 lakhs Patient Support &amp; Sample collection and Transport , Charges for transportation of samples for diagnosis, DST, follow-up &amp; Rs. 4.00 lakhs Procurement of Lab consumables for DMCs, Procurement of Consumables for X-rays, ECG and etc.
</t>
    </r>
    <r>
      <rPr>
        <b/>
        <sz val="11"/>
        <color theme="1"/>
        <rFont val="Calibri"/>
        <family val="2"/>
        <scheme val="minor"/>
      </rPr>
      <t>Capacity building Incl. training - Rs. 5.20 Lakhs</t>
    </r>
    <r>
      <rPr>
        <sz val="11"/>
        <color theme="1"/>
        <rFont val="Calibri"/>
        <scheme val="minor"/>
      </rPr>
      <t xml:space="preserve"> - Rs. 3.60 lakhs Training cost (including TA/DA &amp; other course materials) for officers / staff/ TB Champions and all district staff at National level, State level and District level,  Rs. 1.10 lakhs Cost for conducting CME Training in Medical Colleges, Rs. 0.50 lakhs Community Engagement
Activities - Sensitization of TB survivors, sensitization of NGOs, PRIs meeting, TB survivor led activities, etc
</t>
    </r>
    <r>
      <rPr>
        <b/>
        <sz val="11"/>
        <color theme="1"/>
        <rFont val="Calibri"/>
        <family val="2"/>
        <scheme val="minor"/>
      </rPr>
      <t>Others including operating costs (OOC) - Rs. 2.45 Lakhs</t>
    </r>
    <r>
      <rPr>
        <sz val="11"/>
        <color theme="1"/>
        <rFont val="Calibri"/>
        <scheme val="minor"/>
      </rPr>
      <t xml:space="preserve"> - Rs. 1.10 lakhs Incentives for Active Case Finding/Akshaya Keralam Campaign/TB Elimination house to house visit , Rs 10/ for every household visit &amp; Rs 500/ for every new cases identified  -the unit cost shall preferably be budgeted as per household or per person screened., Rs. 0.15 lakhs Incentive to non-salaried person for injection prick, Rs. 1.20 lakhs Budget for Printing of Materials. 
</t>
    </r>
    <r>
      <rPr>
        <b/>
        <sz val="11"/>
        <color theme="1"/>
        <rFont val="Calibri"/>
        <family val="2"/>
        <scheme val="minor"/>
      </rPr>
      <t>Planning &amp; M&amp;E - Rs. 11.90 Lakhs</t>
    </r>
    <r>
      <rPr>
        <sz val="11"/>
        <color theme="1"/>
        <rFont val="Calibri"/>
        <scheme val="minor"/>
      </rPr>
      <t xml:space="preserve"> - Rs. 3.30 lakhs Supervision and Monitoring (District Level) - TA/DA cost of all officer/ staff working in NTEP,
review meetings, Cost of internal evaluation etc., Rs. 2.30 lakhs POL for existing vehicles under NTEP and
mobility support for those field staff in lieu of
vehicles. Rs. 1.20 lakhs Vehicle hiring cost for Districts where
Govt vehicles are not available for supervision &amp;
monitoring. Rs. 1.20 lakhs Medical Colleges meetings, Rs. 2.90 lakhs Office operation includes office maintenance
expenditure, stationary, communication etc. Rs. 1.00 lakhs Maintenance cost for District vehicles
(including four-wheeler &amp; two wheelers)
</t>
    </r>
    <r>
      <rPr>
        <b/>
        <sz val="11"/>
        <color theme="1"/>
        <rFont val="Calibri"/>
        <family val="2"/>
        <scheme val="minor"/>
      </rPr>
      <t>Surveillance, Research, Review, Evaluation (SRRE) - Rs. 0.50 Lakhs</t>
    </r>
    <r>
      <rPr>
        <sz val="11"/>
        <color theme="1"/>
        <rFont val="Calibri"/>
        <scheme val="minor"/>
      </rPr>
      <t xml:space="preserve"> -  Support for District level/TU/LSG TB Forums(Treatment Support Groups) functioning including meeting cost, travel support to community members attending meeting, etc.</t>
    </r>
  </si>
  <si>
    <r>
      <rPr>
        <b/>
        <sz val="11"/>
        <color theme="1"/>
        <rFont val="Calibri"/>
        <family val="2"/>
        <scheme val="minor"/>
      </rPr>
      <t>DBT - Rs. 33.60 Lakhs</t>
    </r>
    <r>
      <rPr>
        <sz val="11"/>
        <color theme="1"/>
        <rFont val="Calibri"/>
        <scheme val="minor"/>
      </rPr>
      <t xml:space="preserve"> - Nutrition support to TB patient Rs. 500 per month till the treatment is completed, by DBT for DSTB Patients for 6 months &amp; Nutrition support to TB patient Rs. 500 per month till the treatment is completed, by DBT for DRTB Patients for 12 months.</t>
    </r>
  </si>
  <si>
    <r>
      <rPr>
        <b/>
        <sz val="11"/>
        <color theme="1"/>
        <rFont val="Calibri"/>
        <family val="2"/>
        <scheme val="minor"/>
      </rPr>
      <t>DBT - Rs. 2.80 Lakhs</t>
    </r>
    <r>
      <rPr>
        <sz val="11"/>
        <color theme="1"/>
        <rFont val="Calibri"/>
        <scheme val="minor"/>
      </rPr>
      <t xml:space="preserve"> - Private Provider Incentives- NTEP DBT Scheme @Rs. 500/- per notification and Rs. 500/- when treatment outcome declared &amp; Incentives for first informant (20% of Public
notified case will be expected to be eligible for first informant incentive).
</t>
    </r>
    <r>
      <rPr>
        <b/>
        <sz val="11"/>
        <color theme="1"/>
        <rFont val="Calibri"/>
        <family val="2"/>
        <scheme val="minor"/>
      </rPr>
      <t>Others including operating costs (OOC) - Rs. 4.50 Lakhs</t>
    </r>
    <r>
      <rPr>
        <sz val="11"/>
        <color theme="1"/>
        <rFont val="Calibri"/>
        <scheme val="minor"/>
      </rPr>
      <t xml:space="preserve"> - Cost of existing NGO/ PP support schemes and new NGO/ PP support schemes proposed as per NTEP Public Private Partnership Guidance.</t>
    </r>
  </si>
  <si>
    <r>
      <rPr>
        <b/>
        <sz val="11"/>
        <color theme="1"/>
        <rFont val="Calibri"/>
        <family val="2"/>
        <scheme val="minor"/>
      </rPr>
      <t>DBT - Rs. 1.00 Lakhs</t>
    </r>
    <r>
      <rPr>
        <sz val="11"/>
        <color theme="1"/>
        <rFont val="Calibri"/>
        <scheme val="minor"/>
      </rPr>
      <t xml:space="preserve"> - Treatment Supporter
Honorarium (Rs.5000), payment on the update of the Outcome of Treatment for drug resistant TB
patients.
</t>
    </r>
    <r>
      <rPr>
        <b/>
        <sz val="11"/>
        <color theme="1"/>
        <rFont val="Calibri"/>
        <family val="2"/>
        <scheme val="minor"/>
      </rPr>
      <t>Infrastructure- Civil works (I&amp;C) - Rs. 1.50 Lakhs</t>
    </r>
    <r>
      <rPr>
        <sz val="11"/>
        <color theme="1"/>
        <rFont val="Calibri"/>
        <scheme val="minor"/>
      </rPr>
      <t xml:space="preserve"> - Major &amp; minor civil works/ repairing &amp; maintenance of Nodal DRTB centre, CBNAAT,
TRUNAAT sites, IRL &amp; CDST labs on need basis.
</t>
    </r>
    <r>
      <rPr>
        <b/>
        <sz val="11"/>
        <color theme="1"/>
        <rFont val="Calibri"/>
        <family val="2"/>
        <scheme val="minor"/>
      </rPr>
      <t>Equipment - Rs. 2.00 Lakhs</t>
    </r>
    <r>
      <rPr>
        <sz val="11"/>
        <color theme="1"/>
        <rFont val="Calibri"/>
        <scheme val="minor"/>
      </rPr>
      <t xml:space="preserve"> - Procurement of equipment for District levels (DR TB Centre, IRL, C
&amp; DST Lab and Molecular Diagnostics), Maintenance / up gradation costs for Laboratory equipment’s for DR TB Centre, IRL, C&amp;DST Lab and Molecular Diagnostics Equipment for NTEP
</t>
    </r>
    <r>
      <rPr>
        <b/>
        <sz val="11"/>
        <color theme="1"/>
        <rFont val="Calibri"/>
        <family val="2"/>
        <scheme val="minor"/>
      </rPr>
      <t>Drugs - Rs. 1.10 Lakhs</t>
    </r>
    <r>
      <rPr>
        <sz val="11"/>
        <color theme="1"/>
        <rFont val="Calibri"/>
        <scheme val="minor"/>
      </rPr>
      <t xml:space="preserve"> - Procurement of DRTB drugs, Local Procurement of second line drugs.
</t>
    </r>
    <r>
      <rPr>
        <b/>
        <sz val="11"/>
        <color theme="1"/>
        <rFont val="Calibri"/>
        <family val="2"/>
        <scheme val="minor"/>
      </rPr>
      <t>Capacity building Incl. training - Rs. 0.40 Lakhs</t>
    </r>
    <r>
      <rPr>
        <sz val="11"/>
        <color theme="1"/>
        <rFont val="Calibri"/>
        <scheme val="minor"/>
      </rPr>
      <t xml:space="preserve"> - Training for AIC, Cost for AIC related trainings.
 </t>
    </r>
    <r>
      <rPr>
        <b/>
        <sz val="11"/>
        <color theme="1"/>
        <rFont val="Calibri"/>
        <family val="2"/>
        <scheme val="minor"/>
      </rPr>
      <t xml:space="preserve">Surveillance, Research, Review, Evaluation (SRRE) - Rs 0.50 Lakhs - </t>
    </r>
    <r>
      <rPr>
        <sz val="11"/>
        <color theme="1"/>
        <rFont val="Calibri"/>
        <scheme val="minor"/>
      </rPr>
      <t>AIC Review Committee, Cost for Committee meeting &amp; etc.</t>
    </r>
  </si>
  <si>
    <r>
      <rPr>
        <b/>
        <sz val="11"/>
        <color theme="1"/>
        <rFont val="Calibri"/>
        <family val="2"/>
        <scheme val="minor"/>
      </rPr>
      <t>IEC &amp; Printing - Rs. 9.58 Lakhs</t>
    </r>
    <r>
      <rPr>
        <sz val="11"/>
        <color theme="1"/>
        <rFont val="Calibri"/>
        <scheme val="minor"/>
      </rPr>
      <t xml:space="preserve"> - Budget for activities for ACSM including media briefings with journalists, orientation meetings with key groups (e.g., PRIs, SHGs), sensitization session for elected leaders (e.g., MPs, MLAs, school / college-based activities, advocacy meeting with State and District authority, (outdoor publicity) folk, mela, street plays, signages, miking, TV/Radio campaign, cost, miking, exhibition/ “World TB Day “rally, etc &amp; Printing of Manuals, Guidelines, Forms,
Formats, Cards, etc. at district level</t>
    </r>
  </si>
  <si>
    <r>
      <rPr>
        <b/>
        <sz val="11"/>
        <color theme="1"/>
        <rFont val="Calibri"/>
        <family val="2"/>
        <scheme val="minor"/>
      </rPr>
      <t>DBT- 6.30 Lakhs</t>
    </r>
    <r>
      <rPr>
        <sz val="11"/>
        <color theme="1"/>
        <rFont val="Calibri"/>
        <scheme val="minor"/>
      </rPr>
      <t xml:space="preserve"> - Treatment Supporter Honorarium (Rs.1000) - one-time payment on the update of the Outcome of Treatment for drug sensitive TB patients
</t>
    </r>
    <r>
      <rPr>
        <b/>
        <sz val="11"/>
        <color theme="1"/>
        <rFont val="Calibri"/>
        <family val="2"/>
        <scheme val="minor"/>
      </rPr>
      <t xml:space="preserve">Infrastructure - Civil - Rs 2.50 lakhs - </t>
    </r>
    <r>
      <rPr>
        <sz val="11"/>
        <color theme="1"/>
        <rFont val="Calibri"/>
        <scheme val="minor"/>
      </rPr>
      <t xml:space="preserve">
Major &amp; minor civil works/ repairing &amp; maintenance at DOTs, DTC, TU &amp; DMC and X-ray facilities etc  based on need basis and for minor civil works.
</t>
    </r>
    <r>
      <rPr>
        <b/>
        <sz val="11"/>
        <color theme="1"/>
        <rFont val="Calibri"/>
        <family val="2"/>
        <scheme val="minor"/>
      </rPr>
      <t>Equipments  - Rs. 8.40 Lakhs -</t>
    </r>
    <r>
      <rPr>
        <sz val="11"/>
        <color theme="1"/>
        <rFont val="Calibri"/>
        <scheme val="minor"/>
      </rPr>
      <t xml:space="preserve"> Rs. 2.50 lakhs Procurement of equipment for District levels. (DMC, X-ray and ECG, etc for NTEP)
Procurement of Sleeves and drug boxes
Rs. 2.40 lakhs Maintenance / up gradation costs for Laboratory equipment’s DMC, X-ray and ECG, etc for NTEP 
Rs. 2.00 lakhs Procurement of office equipment and furniture for District levels. (Office Equipments)
Rs. 1.50 lakhs Maintenance / up gradation costs for office
equipment’s (Office Equipments) 
</t>
    </r>
    <r>
      <rPr>
        <b/>
        <sz val="11"/>
        <color theme="1"/>
        <rFont val="Calibri"/>
        <family val="2"/>
        <scheme val="minor"/>
      </rPr>
      <t>Drugs - Rs. 3.20 Lakhs</t>
    </r>
    <r>
      <rPr>
        <sz val="11"/>
        <color theme="1"/>
        <rFont val="Calibri"/>
        <scheme val="minor"/>
      </rPr>
      <t xml:space="preserve"> - Procurement of First line drugs, Local Procurement of first line Anti TB
drugs and Drug Transportation charges etc
</t>
    </r>
    <r>
      <rPr>
        <b/>
        <sz val="11"/>
        <color theme="1"/>
        <rFont val="Calibri"/>
        <family val="2"/>
        <scheme val="minor"/>
      </rPr>
      <t>Diagnostics (Consumbales, PPP, Sample Transportation) - Rs. 11.10 Lakhs</t>
    </r>
    <r>
      <rPr>
        <sz val="11"/>
        <color theme="1"/>
        <rFont val="Calibri"/>
        <scheme val="minor"/>
      </rPr>
      <t xml:space="preserve"> - Rs. 5.60 lakhs Patient Support &amp; Sample collection and Transport , Charges for transportation of samples for diagnosis, DST, follow-up &amp; Rs. 5.50 lakhs Procurement of Lab consumables for DMCs, Procurement of Consumables for X-rays, ECG and etc.
</t>
    </r>
    <r>
      <rPr>
        <b/>
        <sz val="11"/>
        <color theme="1"/>
        <rFont val="Calibri"/>
        <family val="2"/>
        <scheme val="minor"/>
      </rPr>
      <t>Capacity building Incl. training - Rs. 7.90 Lakhs</t>
    </r>
    <r>
      <rPr>
        <sz val="11"/>
        <color theme="1"/>
        <rFont val="Calibri"/>
        <scheme val="minor"/>
      </rPr>
      <t xml:space="preserve"> - Rs. 4.80 lakhs Training cost (including TA/DA &amp; other course materials) for officers / staff/ TB Champions and all district staff at National level, State level and District level,  Rs. 2.40 lakhs Cost for conducting CME Training in Medical Colleges, Rs. 0.70 lakhs Community Engagement
Activities - Sensitization of TB survivors, sensitization of NGOs, PRIs meeting, TB survivor led activities, etc
</t>
    </r>
    <r>
      <rPr>
        <b/>
        <sz val="11"/>
        <color theme="1"/>
        <rFont val="Calibri"/>
        <family val="2"/>
        <scheme val="minor"/>
      </rPr>
      <t>Others including operating costs (OOC) - Rs. 3.40 Lakhs</t>
    </r>
    <r>
      <rPr>
        <sz val="11"/>
        <color theme="1"/>
        <rFont val="Calibri"/>
        <scheme val="minor"/>
      </rPr>
      <t xml:space="preserve"> - Rs. 1.40 lakhs Incentives for Active Case Finding/Akshaya Keralam Campaign/TB Elimination house to house visit , Rs 10/ for every household visit &amp; Rs 500/ for every new cases identified  -the unit cost shall preferably be budgeted as per household or per person screened., Rs. 0.20 lakhs Incentive to non-salaried person for injection prick, Rs. 1.80 lakhs Budget for Printing of Materials. 
</t>
    </r>
    <r>
      <rPr>
        <b/>
        <sz val="11"/>
        <color theme="1"/>
        <rFont val="Calibri"/>
        <family val="2"/>
        <scheme val="minor"/>
      </rPr>
      <t>Planning &amp; M&amp;E - Rs. 20.90 Lakhs</t>
    </r>
    <r>
      <rPr>
        <sz val="11"/>
        <color theme="1"/>
        <rFont val="Calibri"/>
        <scheme val="minor"/>
      </rPr>
      <t xml:space="preserve"> - Rs. 4.90 lakhs Supervision and Monitoring (District Level) - TA/DA cost of all officer/ staff working in NTEP,
review meetings, Cost of internal evaluation etc., Rs. 3.20 lakhs POL for existing vehicles under NTEP and
mobility support for those field staff in lieu of
vehicles. Rs. 6.00 lakhs Vehicle hiring cost for Districts where
Govt vehicles are not available for supervision &amp;
monitoring. Rs. 1.60 lakhs Medical Colleges meetings, Rs. 3.90 lakhs Office operation includes office maintenance
expenditure, stationary, communication etc. Rs. 1.30 lakhs Maintenance cost for District vehicles
(including four-wheeler &amp; two wheelers)
</t>
    </r>
    <r>
      <rPr>
        <b/>
        <sz val="11"/>
        <color theme="1"/>
        <rFont val="Calibri"/>
        <family val="2"/>
        <scheme val="minor"/>
      </rPr>
      <t>Surveillance, Research, Review, Evaluation (SRRE) - Rs. 0.70 Lakhs</t>
    </r>
    <r>
      <rPr>
        <sz val="11"/>
        <color theme="1"/>
        <rFont val="Calibri"/>
        <scheme val="minor"/>
      </rPr>
      <t xml:space="preserve"> -  Support for District level/TU/LSG TB Forums(Treatment Support Groups) functioning including meeting cost, travel support to community members attending meeting, etc.</t>
    </r>
  </si>
  <si>
    <r>
      <rPr>
        <b/>
        <sz val="11"/>
        <color theme="1"/>
        <rFont val="Calibri"/>
        <family val="2"/>
        <scheme val="minor"/>
      </rPr>
      <t>DBT - Rs. 63.80 Lakhs</t>
    </r>
    <r>
      <rPr>
        <sz val="11"/>
        <color theme="1"/>
        <rFont val="Calibri"/>
        <scheme val="minor"/>
      </rPr>
      <t xml:space="preserve"> - Nutrition support to TB patient Rs. 500 per month till the treatment is completed, by DBT for DSTB Patients for 6 months &amp; Nutrition support to TB patient Rs. 500 per month till the treatment is completed, by DBT for DRTB Patients for 12 months.</t>
    </r>
  </si>
  <si>
    <r>
      <rPr>
        <b/>
        <sz val="11"/>
        <color theme="1"/>
        <rFont val="Calibri"/>
        <family val="2"/>
        <scheme val="minor"/>
      </rPr>
      <t>DBT - Rs. 6.90 Lakhs</t>
    </r>
    <r>
      <rPr>
        <sz val="11"/>
        <color theme="1"/>
        <rFont val="Calibri"/>
        <scheme val="minor"/>
      </rPr>
      <t xml:space="preserve"> - Private Provider Incentives- NTEP DBT Scheme @Rs. 500/- per notification and Rs. 500/- when treatment outcome declared &amp; Incentives for first informant (20% of Public
notified case will be expected to be eligible for first informant incentive).
</t>
    </r>
    <r>
      <rPr>
        <b/>
        <sz val="11"/>
        <color theme="1"/>
        <rFont val="Calibri"/>
        <family val="2"/>
        <scheme val="minor"/>
      </rPr>
      <t>Others including operating costs (OOC) - Rs. 3.80 Lakhs</t>
    </r>
    <r>
      <rPr>
        <sz val="11"/>
        <color theme="1"/>
        <rFont val="Calibri"/>
        <scheme val="minor"/>
      </rPr>
      <t xml:space="preserve"> - Cost of existing NGO/ PP support schemes and new NGO/ PP support schemes proposed as per NTEP Public Private Partnership Guidance.</t>
    </r>
  </si>
  <si>
    <r>
      <rPr>
        <b/>
        <sz val="11"/>
        <color theme="1"/>
        <rFont val="Calibri"/>
        <family val="2"/>
        <scheme val="minor"/>
      </rPr>
      <t>DBT - Rs. 2.20 Lakhs</t>
    </r>
    <r>
      <rPr>
        <sz val="11"/>
        <color theme="1"/>
        <rFont val="Calibri"/>
        <scheme val="minor"/>
      </rPr>
      <t xml:space="preserve"> - Treatment Supporter
Honorarium (Rs.5000), payment on the update of the Outcome of Treatment for drug resistant TB
patients.
</t>
    </r>
    <r>
      <rPr>
        <b/>
        <sz val="11"/>
        <color theme="1"/>
        <rFont val="Calibri"/>
        <family val="2"/>
        <scheme val="minor"/>
      </rPr>
      <t>Infrastructure- Civil works (I&amp;C) - Rs. 1.50 Lakhs</t>
    </r>
    <r>
      <rPr>
        <sz val="11"/>
        <color theme="1"/>
        <rFont val="Calibri"/>
        <scheme val="minor"/>
      </rPr>
      <t xml:space="preserve"> - Major &amp; minor civil works/ repairing &amp; maintenance of Nodal DRTB centre, CBNAAT,
TRUNAAT sites, IRL &amp; CDST labs on need basis.
</t>
    </r>
    <r>
      <rPr>
        <b/>
        <sz val="11"/>
        <color theme="1"/>
        <rFont val="Calibri"/>
        <family val="2"/>
        <scheme val="minor"/>
      </rPr>
      <t>Equipment - Rs. 2.00 Lakhs</t>
    </r>
    <r>
      <rPr>
        <sz val="11"/>
        <color theme="1"/>
        <rFont val="Calibri"/>
        <scheme val="minor"/>
      </rPr>
      <t xml:space="preserve"> - Procurement of equipment for District levels (DR TB Centre, IRL, C&amp; DST Lab and Molecular Diagnostics), Maintenance / up gradation costs for Laboratory equipment’s for DR TB Centre, IRL, C&amp;DST Lab and Molecular Diagnostics Equipment for NTEP
</t>
    </r>
    <r>
      <rPr>
        <b/>
        <sz val="11"/>
        <color theme="1"/>
        <rFont val="Calibri"/>
        <family val="2"/>
        <scheme val="minor"/>
      </rPr>
      <t>Drugs - Rs. 2.30 Lakhs</t>
    </r>
    <r>
      <rPr>
        <sz val="11"/>
        <color theme="1"/>
        <rFont val="Calibri"/>
        <scheme val="minor"/>
      </rPr>
      <t xml:space="preserve"> - Procurement of DRTB drugs, Local Procurement of second line drugs.
</t>
    </r>
    <r>
      <rPr>
        <b/>
        <sz val="11"/>
        <color theme="1"/>
        <rFont val="Calibri"/>
        <family val="2"/>
        <scheme val="minor"/>
      </rPr>
      <t>Capacity building Incl. training - Rs. 0.40 Lakhs</t>
    </r>
    <r>
      <rPr>
        <sz val="11"/>
        <color theme="1"/>
        <rFont val="Calibri"/>
        <scheme val="minor"/>
      </rPr>
      <t xml:space="preserve"> - Training for AIC, Cost for AIC related trainings.
 </t>
    </r>
    <r>
      <rPr>
        <b/>
        <sz val="11"/>
        <color theme="1"/>
        <rFont val="Calibri"/>
        <family val="2"/>
        <scheme val="minor"/>
      </rPr>
      <t xml:space="preserve">Surveillance, Research, Review, Evaluation (SRRE) - Rs 0.50 Lakhs - </t>
    </r>
    <r>
      <rPr>
        <sz val="11"/>
        <color theme="1"/>
        <rFont val="Calibri"/>
        <scheme val="minor"/>
      </rPr>
      <t>AIC Review Committee, Cost for Committee meeting &amp; etc.</t>
    </r>
  </si>
  <si>
    <r>
      <rPr>
        <b/>
        <sz val="11"/>
        <color theme="1"/>
        <rFont val="Calibri"/>
        <family val="2"/>
        <scheme val="minor"/>
      </rPr>
      <t>IEC &amp; Printing - Rs. 12.62 Lakhs</t>
    </r>
    <r>
      <rPr>
        <sz val="11"/>
        <color theme="1"/>
        <rFont val="Calibri"/>
        <scheme val="minor"/>
      </rPr>
      <t xml:space="preserve"> - Budget for activities for ACSM including media briefings with journalists, orientation meetings with key groups (e.g., PRIs, SHGs), sensitization session for elected leaders (e.g., MPs, MLAs, school / college-based activities, advocacy meeting with State and District authority, (outdoor publicity) folk, mela, street plays, signages, miking, TV/Radio campaign, cost, miking, exhibition/ “World TB Day “rally, etc &amp; Printing of Manuals, Guidelines, Forms,
Formats, Cards, etc. at district level</t>
    </r>
  </si>
  <si>
    <r>
      <rPr>
        <b/>
        <sz val="11"/>
        <color theme="1"/>
        <rFont val="Calibri"/>
        <family val="2"/>
        <scheme val="minor"/>
      </rPr>
      <t>DBT- 4.40 Lakhs</t>
    </r>
    <r>
      <rPr>
        <sz val="11"/>
        <color theme="1"/>
        <rFont val="Calibri"/>
        <scheme val="minor"/>
      </rPr>
      <t xml:space="preserve"> - Treatment Supporter Honorarium (Rs.1000) - one-time payment on the update of the Outcome of Treatment for drug sensitive TB patients
</t>
    </r>
    <r>
      <rPr>
        <b/>
        <sz val="11"/>
        <color theme="1"/>
        <rFont val="Calibri"/>
        <family val="2"/>
        <scheme val="minor"/>
      </rPr>
      <t xml:space="preserve">Infrastructure - Civil - Rs 2.50 lakhs - </t>
    </r>
    <r>
      <rPr>
        <sz val="11"/>
        <color theme="1"/>
        <rFont val="Calibri"/>
        <scheme val="minor"/>
      </rPr>
      <t xml:space="preserve">
Rs. 2.50 Lakhs - Major &amp; minor civil works/ repairing &amp; maintenance at DOTs, DTC, TU &amp; DMC and X-ray facilities etc  based on need basis and for minor civil works.
</t>
    </r>
    <r>
      <rPr>
        <b/>
        <sz val="11"/>
        <color theme="1"/>
        <rFont val="Calibri"/>
        <family val="2"/>
        <scheme val="minor"/>
      </rPr>
      <t>Equipments  - Rs. 8.40 Lakhs -</t>
    </r>
    <r>
      <rPr>
        <sz val="11"/>
        <color theme="1"/>
        <rFont val="Calibri"/>
        <scheme val="minor"/>
      </rPr>
      <t xml:space="preserve"> Rs. 2.50 lakhs Procurement of equipment for District levels. (DMC, X-ray and ECG, etc for NTEP)
Procurement of Sleeves and drug boxes
Rs. 2.40 lakhs Maintenance / up gradation costs for Laboratory equipment’s DMC, X-ray and ECG, etc for NTEP 
Rs. 2.00 lakhs Procurement of office equipment and furniture for District levels. (Office Equipments)
Rs. 1.50 lakhs Maintenance / up gradation costs for office
equipment’s (Office Equipments) 
</t>
    </r>
    <r>
      <rPr>
        <b/>
        <sz val="11"/>
        <color theme="1"/>
        <rFont val="Calibri"/>
        <family val="2"/>
        <scheme val="minor"/>
      </rPr>
      <t>Drugs - Rs. 2.20 Lakhs</t>
    </r>
    <r>
      <rPr>
        <sz val="11"/>
        <color theme="1"/>
        <rFont val="Calibri"/>
        <scheme val="minor"/>
      </rPr>
      <t xml:space="preserve"> - Procurement of First line drugs, Local Procurement of first line Anti TB
drugs and Drug Transportation charges etc
</t>
    </r>
    <r>
      <rPr>
        <b/>
        <sz val="11"/>
        <color theme="1"/>
        <rFont val="Calibri"/>
        <family val="2"/>
        <scheme val="minor"/>
      </rPr>
      <t>Diagnostics (Consumbales, PPP, Sample Transportation) - Rs. 7.90 Lakhs</t>
    </r>
    <r>
      <rPr>
        <sz val="11"/>
        <color theme="1"/>
        <rFont val="Calibri"/>
        <scheme val="minor"/>
      </rPr>
      <t xml:space="preserve"> - Rs. 3.90 lakhs Patient Support &amp; Sample collection and Transport , Charges for transportation of samples for diagnosis, DST, follow-up &amp; Rs. 4.00 lakhs Procurement of Lab consumables for DMCs, Procurement of Consumables for X-rays, ECG and etc.
</t>
    </r>
    <r>
      <rPr>
        <b/>
        <sz val="11"/>
        <color theme="1"/>
        <rFont val="Calibri"/>
        <family val="2"/>
        <scheme val="minor"/>
      </rPr>
      <t>Capacity building Incl. training - Rs. 3.90 Lakhs</t>
    </r>
    <r>
      <rPr>
        <sz val="11"/>
        <color theme="1"/>
        <rFont val="Calibri"/>
        <scheme val="minor"/>
      </rPr>
      <t xml:space="preserve"> - Rs. 3.50 lakhs Training cost (including TA/DA &amp; other course materials) for officers / staff/ TB Champions and all district staff at National level, State level and District level,  Rs. 0.40 lakhs Community Engagement
Activities - Sensitization of TB survivors, sensitization of NGOs, PRIs meeting, TB survivor led activities, etc
</t>
    </r>
    <r>
      <rPr>
        <b/>
        <sz val="11"/>
        <color theme="1"/>
        <rFont val="Calibri"/>
        <family val="2"/>
        <scheme val="minor"/>
      </rPr>
      <t>Others including operating costs (OOC) - Rs. 2.75 Lakhs</t>
    </r>
    <r>
      <rPr>
        <sz val="11"/>
        <color theme="1"/>
        <rFont val="Calibri"/>
        <scheme val="minor"/>
      </rPr>
      <t xml:space="preserve"> - Rs. 1.20 lakhs Incentives for Active Case Finding/Akshaya Keralam Campaign/TB Elimination house to house visit , Rs 10/ for every household visit &amp; Rs 500/ for every new cases identified  -the unit cost shall preferably be budgeted as per household or per person screened., Rs. 0.15 lakhs Incentive to non-salaried person for injection prick, Rs. 1.40 lakhs Budget for Printing of Materials. 
</t>
    </r>
    <r>
      <rPr>
        <b/>
        <sz val="11"/>
        <color theme="1"/>
        <rFont val="Calibri"/>
        <family val="2"/>
        <scheme val="minor"/>
      </rPr>
      <t>Planning &amp; M&amp;E - Rs. 9.80 Lakhs</t>
    </r>
    <r>
      <rPr>
        <sz val="11"/>
        <color theme="1"/>
        <rFont val="Calibri"/>
        <scheme val="minor"/>
      </rPr>
      <t xml:space="preserve"> - Rs. 3.50 lakhs Supervision and Monitoring (District Level) - TA/DA cost of all officer/ staff working in NTEP,
review meetings, Cost of internal evaluation etc., Rs. 2.20 lakhs POL for existing vehicles under NTEP and
mobility support for those field staff in lieu of
vehicles. Rs. 0.90 lakhs Vehicle hiring cost for Districts where
Govt vehicles are not available for supervision &amp;
monitoring. Rs. 2.40 lakhs Office operation includes office maintenance
expenditure, stationary, communication etc. Rs. 0.80 lakhs Maintenance cost for District vehicles
(including four-wheeler &amp; two wheelers)
</t>
    </r>
    <r>
      <rPr>
        <b/>
        <sz val="11"/>
        <color theme="1"/>
        <rFont val="Calibri"/>
        <family val="2"/>
        <scheme val="minor"/>
      </rPr>
      <t>Surveillance, Research, Review, Evaluation (SRRE) - Rs. 0.40 Lakhs</t>
    </r>
    <r>
      <rPr>
        <sz val="11"/>
        <color theme="1"/>
        <rFont val="Calibri"/>
        <scheme val="minor"/>
      </rPr>
      <t xml:space="preserve"> -  Support for District level/TU/LSG TB Forums(Treatment Support Groups) functioning including meeting cost, travel support to community members attending meeting, etc.</t>
    </r>
  </si>
  <si>
    <r>
      <rPr>
        <b/>
        <sz val="11"/>
        <color theme="1"/>
        <rFont val="Calibri"/>
        <family val="2"/>
        <scheme val="minor"/>
      </rPr>
      <t>DBT - Rs. 35.40 Lakhs</t>
    </r>
    <r>
      <rPr>
        <sz val="11"/>
        <color theme="1"/>
        <rFont val="Calibri"/>
        <scheme val="minor"/>
      </rPr>
      <t xml:space="preserve"> - Nutrition support to TB patient Rs. 500 per month till the treatment is completed, by DBT for DSTB Patients for 6 months &amp; Nutrition support to TB patient Rs. 500 per month till the treatment is completed, by DBT for DRTB Patients for 12 months.</t>
    </r>
  </si>
  <si>
    <r>
      <rPr>
        <b/>
        <sz val="11"/>
        <color theme="1"/>
        <rFont val="Calibri"/>
        <family val="2"/>
        <scheme val="minor"/>
      </rPr>
      <t>DBT - Rs. 2.40 Lakhs</t>
    </r>
    <r>
      <rPr>
        <sz val="11"/>
        <color theme="1"/>
        <rFont val="Calibri"/>
        <scheme val="minor"/>
      </rPr>
      <t xml:space="preserve"> - Private Provider Incentives- NTEP DBT Scheme @Rs. 500/- per notification and Rs. 500/- when treatment outcome declared &amp; Incentives for first informant (20% of Public
notified case will be expected to be eligible for first informant incentive).
</t>
    </r>
    <r>
      <rPr>
        <b/>
        <sz val="11"/>
        <color theme="1"/>
        <rFont val="Calibri"/>
        <family val="2"/>
        <scheme val="minor"/>
      </rPr>
      <t>Others including operating costs (OOC) - Rs. 3.50 Lakhs</t>
    </r>
    <r>
      <rPr>
        <sz val="11"/>
        <color theme="1"/>
        <rFont val="Calibri"/>
        <scheme val="minor"/>
      </rPr>
      <t xml:space="preserve"> - Cost of existing NGO/ PP support schemes and new NGO/ PP support schemes proposed as per NTEP Public Private Partnership Guidance.</t>
    </r>
  </si>
  <si>
    <r>
      <rPr>
        <b/>
        <sz val="11"/>
        <color theme="1"/>
        <rFont val="Calibri"/>
        <family val="2"/>
        <scheme val="minor"/>
      </rPr>
      <t>DBT - Rs. 1.10 Lakhs</t>
    </r>
    <r>
      <rPr>
        <sz val="11"/>
        <color theme="1"/>
        <rFont val="Calibri"/>
        <scheme val="minor"/>
      </rPr>
      <t xml:space="preserve"> - Treatment Supporter
Honorarium (Rs.5000), payment on the update of the Outcome of Treatment for drug resistant TB
patients.
</t>
    </r>
    <r>
      <rPr>
        <b/>
        <sz val="11"/>
        <color theme="1"/>
        <rFont val="Calibri"/>
        <family val="2"/>
        <scheme val="minor"/>
      </rPr>
      <t>Infrastructure- Civil works (I&amp;C) - Rs. 1.50 Lakhs</t>
    </r>
    <r>
      <rPr>
        <sz val="11"/>
        <color theme="1"/>
        <rFont val="Calibri"/>
        <scheme val="minor"/>
      </rPr>
      <t xml:space="preserve"> - Major &amp; minor civil works/ repairing &amp; maintenance of Nodal DRTB centre, CBNAAT,
TRUNAAT sites, IRL &amp; CDST labs on need basis.
</t>
    </r>
    <r>
      <rPr>
        <b/>
        <sz val="11"/>
        <color theme="1"/>
        <rFont val="Calibri"/>
        <family val="2"/>
        <scheme val="minor"/>
      </rPr>
      <t>Equipment - Rs. 2.00 Lakhs</t>
    </r>
    <r>
      <rPr>
        <sz val="11"/>
        <color theme="1"/>
        <rFont val="Calibri"/>
        <scheme val="minor"/>
      </rPr>
      <t xml:space="preserve"> - Procurement of equipment for District levels (DR TB Centre, IRL, C
&amp; DST Lab and Molecular Diagnostics), Maintenance / up gradation costs for Laboratory equipment’s for DR TB Centre, IRL, C&amp;DST Lab and Molecular Diagnostics Equipment for NTEP
</t>
    </r>
    <r>
      <rPr>
        <b/>
        <sz val="11"/>
        <color theme="1"/>
        <rFont val="Calibri"/>
        <family val="2"/>
        <scheme val="minor"/>
      </rPr>
      <t>Drugs - Rs. 1.10 Lakhs</t>
    </r>
    <r>
      <rPr>
        <sz val="11"/>
        <color theme="1"/>
        <rFont val="Calibri"/>
        <scheme val="minor"/>
      </rPr>
      <t xml:space="preserve"> - Procurement of DRTB drugs, Local Procurement of second line drugs.
</t>
    </r>
    <r>
      <rPr>
        <b/>
        <sz val="11"/>
        <color theme="1"/>
        <rFont val="Calibri"/>
        <family val="2"/>
        <scheme val="minor"/>
      </rPr>
      <t>Capacity building Incl. training - Rs. 0.40 Lakhs</t>
    </r>
    <r>
      <rPr>
        <sz val="11"/>
        <color theme="1"/>
        <rFont val="Calibri"/>
        <scheme val="minor"/>
      </rPr>
      <t xml:space="preserve"> - Training for AIC, Cost for AIC related trainings.
 </t>
    </r>
    <r>
      <rPr>
        <b/>
        <sz val="11"/>
        <color theme="1"/>
        <rFont val="Calibri"/>
        <family val="2"/>
        <scheme val="minor"/>
      </rPr>
      <t xml:space="preserve">Surveillance, Research, Review, Evaluation (SRRE) - Rs 0.50 Lakhs - </t>
    </r>
    <r>
      <rPr>
        <sz val="11"/>
        <color theme="1"/>
        <rFont val="Calibri"/>
        <scheme val="minor"/>
      </rPr>
      <t>AIC Review Committee, Cost for Committee meeting &amp; etc.</t>
    </r>
  </si>
  <si>
    <r>
      <rPr>
        <b/>
        <sz val="11"/>
        <color theme="1"/>
        <rFont val="Calibri"/>
        <family val="2"/>
        <scheme val="minor"/>
      </rPr>
      <t>IEC &amp; Printing - Rs. 10.61 Lakhs</t>
    </r>
    <r>
      <rPr>
        <sz val="11"/>
        <color theme="1"/>
        <rFont val="Calibri"/>
        <scheme val="minor"/>
      </rPr>
      <t xml:space="preserve"> - Budget for activities for ACSM including media briefings with journalists, orientation meetings with key groups (e.g., PRIs, SHGs), sensitization session for elected leaders (e.g., MPs, MLAs, school / college-based activities, advocacy meeting with State and District authority, (outdoor publicity) folk, mela, street plays, signages, miking, TV/Radio campaign, cost, miking, exhibition/ “World TB Day “rally, etc &amp; Printing of Manuals, Guidelines, Forms,
Formats, Cards, etc. at district level</t>
    </r>
  </si>
  <si>
    <r>
      <rPr>
        <b/>
        <sz val="11"/>
        <color theme="1"/>
        <rFont val="Calibri"/>
        <family val="2"/>
        <scheme val="minor"/>
      </rPr>
      <t xml:space="preserve">Infrastructure - Civil - Rs 7.00 lakhs - </t>
    </r>
    <r>
      <rPr>
        <sz val="11"/>
        <color theme="1"/>
        <rFont val="Calibri"/>
        <scheme val="minor"/>
      </rPr>
      <t xml:space="preserve">
Rs. 2.50 lakhs - STC,  Rs. 1.50 lakhs for STDC office, Rs. 3.00 lakhs for State Drug Store  - Major &amp; minor civil works/ repairing &amp; maintenance based on need basis and for minor civil works.
</t>
    </r>
    <r>
      <rPr>
        <b/>
        <sz val="11"/>
        <color theme="1"/>
        <rFont val="Calibri"/>
        <family val="2"/>
        <scheme val="minor"/>
      </rPr>
      <t>Equipments  - Rs. 13.20 Lakhs -</t>
    </r>
    <r>
      <rPr>
        <sz val="11"/>
        <color theme="1"/>
        <rFont val="Calibri"/>
        <scheme val="minor"/>
      </rPr>
      <t xml:space="preserve"> Procurement of equipment for State levels, STC, SDS STDC.
Procurement of office equipment and furniture for State levels STC, SDS, STDC etc. (Office Equipments)
Maintenance / up gradation costs for office
equipment’s (Office Equipments) State levels STC, SDS, STDC etc 
</t>
    </r>
    <r>
      <rPr>
        <b/>
        <sz val="11"/>
        <color theme="1"/>
        <rFont val="Calibri"/>
        <family val="2"/>
        <scheme val="minor"/>
      </rPr>
      <t>Drugs - Rs. 19.80 Lakhs</t>
    </r>
    <r>
      <rPr>
        <sz val="11"/>
        <color theme="1"/>
        <rFont val="Calibri"/>
        <scheme val="minor"/>
      </rPr>
      <t xml:space="preserve"> - Procurement of First line drugs, Local Procurement of first line Anti TB
drugs and HR for NTEP Drug Store and Drug Transportation charges etc
</t>
    </r>
    <r>
      <rPr>
        <b/>
        <sz val="11"/>
        <color theme="1"/>
        <rFont val="Calibri"/>
        <family val="2"/>
        <scheme val="minor"/>
      </rPr>
      <t>Capacity building Incl. training - Rs. 9.20 Lakhs</t>
    </r>
    <r>
      <rPr>
        <sz val="11"/>
        <color theme="1"/>
        <rFont val="Calibri"/>
        <scheme val="minor"/>
      </rPr>
      <t xml:space="preserve"> - Training cost (including TA/DA &amp; other course materials) for officers / staff/ TB Champions and  at National level, State level and District level,  
Activities - Sensitization of TB survivors, sensitization of NGOs, PRIs meeting, TB survivor led activities, etc
</t>
    </r>
    <r>
      <rPr>
        <b/>
        <sz val="11"/>
        <color theme="1"/>
        <rFont val="Calibri"/>
        <family val="2"/>
        <scheme val="minor"/>
      </rPr>
      <t>Others including operating costs (OOC) - Rs. 16.10 Lakhs</t>
    </r>
    <r>
      <rPr>
        <sz val="11"/>
        <color theme="1"/>
        <rFont val="Calibri"/>
        <scheme val="minor"/>
      </rPr>
      <t xml:space="preserve"> - 
Rs. 3.60 Lakhs Budget for Printing of Materials. 
Rs. 12.50 Lakhs for procurement of 125 Nos of computer tablet @ Rs. 10000/-
</t>
    </r>
    <r>
      <rPr>
        <b/>
        <sz val="11"/>
        <color theme="1"/>
        <rFont val="Calibri"/>
        <family val="2"/>
        <scheme val="minor"/>
      </rPr>
      <t>Planning &amp; M&amp;E - Rs. 32.10 Lakhs</t>
    </r>
    <r>
      <rPr>
        <sz val="11"/>
        <color theme="1"/>
        <rFont val="Calibri"/>
        <scheme val="minor"/>
      </rPr>
      <t xml:space="preserve"> - Rs. 5.80 lakhs for Supervision and Monitoring (State Level Level) - TA/DA cost of all officer/ staff working in NTEP,
review meetings, Cost of internal evaluation etc., Rs. 0.50 lakhs for POL for existing vehicles under NTEP at State Level, Rs. 1.00 lakhs for Vehicle hiring cost for State where
Govt vehicles are not available for supervision &amp;
monitoring. Rs. 11.20 lakhs for Medical Colleges meetings, Rs. 12.10 lakhs for Office operation includes office maintenance
expenditure, stationary, communication etc. Rs. 1.50 lakhs for maintenance cost for State level vehicles
(including four-wheeler &amp; two wheelers)
</t>
    </r>
    <r>
      <rPr>
        <b/>
        <sz val="11"/>
        <color theme="1"/>
        <rFont val="Calibri"/>
        <family val="2"/>
        <scheme val="minor"/>
      </rPr>
      <t>Surveillance, Research, Review, Evaluation (SRRE) - Rs. 49.00 Lakhs</t>
    </r>
    <r>
      <rPr>
        <sz val="11"/>
        <color theme="1"/>
        <rFont val="Calibri"/>
        <scheme val="minor"/>
      </rPr>
      <t xml:space="preserve"> - 
Rs. 4.00 lakhs -TA/DA cost of all officer/ staff working in NTEP,
review meetings, Cost of internal evaluation
etc. 
Rs. 7.00 lakhs for Cost of Zonal Task Force, State Task Force meetings.
Rs. 38.00 lakhs - Research &amp; Studies and
consultancy/PG Thesis</t>
    </r>
  </si>
  <si>
    <r>
      <rPr>
        <b/>
        <sz val="11"/>
        <color theme="1"/>
        <rFont val="Calibri"/>
        <family val="2"/>
        <scheme val="minor"/>
      </rPr>
      <t>Others including operating costs (OOC) - Rs. 29.18 Lakhs</t>
    </r>
    <r>
      <rPr>
        <sz val="11"/>
        <color theme="1"/>
        <rFont val="Calibri"/>
        <scheme val="minor"/>
      </rPr>
      <t xml:space="preserve"> - State level IMA supported LT Scheme in the 14 CBNAAT Sites in Districts.</t>
    </r>
  </si>
  <si>
    <r>
      <t xml:space="preserve">Drugs - 225.00 Lakhs - </t>
    </r>
    <r>
      <rPr>
        <sz val="11"/>
        <color theme="1"/>
        <rFont val="Calibri"/>
        <scheme val="minor"/>
      </rPr>
      <t xml:space="preserve">Treatment of LTBI - Local procurement of approved LTBI drugs. </t>
    </r>
    <r>
      <rPr>
        <b/>
        <sz val="11"/>
        <color theme="1"/>
        <rFont val="Calibri"/>
        <family val="2"/>
        <scheme val="minor"/>
      </rPr>
      <t xml:space="preserve">
Diagnostics (Consumbales, PPP, Sample Transportation) - Rs. 720.00 lakhs - 
</t>
    </r>
    <r>
      <rPr>
        <sz val="11"/>
        <color theme="1"/>
        <rFont val="Calibri"/>
        <scheme val="minor"/>
      </rPr>
      <t>Diagnosis of LTBI - Procurement of Lab Materials and consumables for IGRA test.</t>
    </r>
  </si>
  <si>
    <r>
      <rPr>
        <b/>
        <sz val="11"/>
        <color theme="1"/>
        <rFont val="Calibri"/>
        <family val="2"/>
        <scheme val="minor"/>
      </rPr>
      <t>Infrastructure- Civil works (I&amp;C) - Rs. 9.00 Lakhs</t>
    </r>
    <r>
      <rPr>
        <sz val="11"/>
        <color theme="1"/>
        <rFont val="Calibri"/>
        <scheme val="minor"/>
      </rPr>
      <t xml:space="preserve"> - Rs. 6.50 lakhs for IRL Trivandrum and Rs. 2.50 lakhs for Nodal DR TB Centre, Trivandrum.
</t>
    </r>
    <r>
      <rPr>
        <b/>
        <sz val="11"/>
        <color theme="1"/>
        <rFont val="Calibri"/>
        <family val="2"/>
        <scheme val="minor"/>
      </rPr>
      <t>Equipment - Rs. 530.35 Lakhs</t>
    </r>
    <r>
      <rPr>
        <sz val="11"/>
        <color theme="1"/>
        <rFont val="Calibri"/>
        <scheme val="minor"/>
      </rPr>
      <t xml:space="preserve"> - 
Rs. 380.00 lakhs - Procurement of equipment for State levels - IRL Tvm - 3.00 lakhs, 2.00 lakhs for DR TB Centre, Tvm ,  Rs. 375.00 Lakhs for procurement of 25 nos of TrueNaat Machines @ Rs. 15 lakhs estimated.
Rs. 150.35 Lakhs - Maintenance / up gradation costs for Laboratory equipment’s for DR TB Centre, IRL  (IRL Tvm - 7.00 lakhs, Nodal DR TB Centre, Tvm - Rs. 1.50 lakhs, CMC for CBNAAT &amp; Trunaat Machines  - Rs. 141.85 Lakhs  - (i.e.Rs. 25.49 lakhs for 54 Nos ofTrunaat Duo &amp; Rs. 14.16 lakhs for 20 Nos of Trunaat Quattro + Rs. 100.30 lakhs for 34 CBNAAT Machines + Rs. 1.90 lakhs for CBNAAT 1 machine in IRL) 
</t>
    </r>
    <r>
      <rPr>
        <b/>
        <sz val="11"/>
        <color theme="1"/>
        <rFont val="Calibri"/>
        <family val="2"/>
        <scheme val="minor"/>
      </rPr>
      <t>Drugs - Rs. 3.50 Lakhs</t>
    </r>
    <r>
      <rPr>
        <sz val="11"/>
        <color theme="1"/>
        <rFont val="Calibri"/>
        <scheme val="minor"/>
      </rPr>
      <t xml:space="preserve"> - Procurement of DRTB drugs, Local Procurement of second line drugs., Procurement of Delamind @ Rs. 1.10 lakhs per course for 25 Nos.
</t>
    </r>
    <r>
      <rPr>
        <b/>
        <sz val="11"/>
        <color theme="1"/>
        <rFont val="Calibri"/>
        <family val="2"/>
        <scheme val="minor"/>
      </rPr>
      <t xml:space="preserve">Diagnostics (Consumbales, PPP, Sample Transportation) - Rs. 3212.67 Lakhs
</t>
    </r>
    <r>
      <rPr>
        <sz val="11"/>
        <color theme="1"/>
        <rFont val="Calibri"/>
        <scheme val="minor"/>
      </rPr>
      <t xml:space="preserve">Rs. 312.67 Lakhs for LPA Kits, MGIT Kits &amp; Xpert XDR Cartridges for the use in IRL &amp; C&amp;DST Lab kzk,, 
Rs. 1680.00 Lakhs for approximately 100000 Nos of CBNAAT MTB/RIF PCR Test Kit, 
Rs. 1200.00 lakhs for approximatley 150000 Nos of  TrueNat Micro PCR MTB Test Kit., 
Rs. 20 Lakhs for other Lab Consumbales &amp; Reagents for IRL. </t>
    </r>
    <r>
      <rPr>
        <b/>
        <sz val="11"/>
        <color theme="1"/>
        <rFont val="Calibri"/>
        <family val="2"/>
        <scheme val="minor"/>
      </rPr>
      <t/>
    </r>
  </si>
  <si>
    <r>
      <rPr>
        <b/>
        <sz val="11"/>
        <color theme="1"/>
        <rFont val="Calibri"/>
        <family val="2"/>
        <scheme val="minor"/>
      </rPr>
      <t>IEC &amp; Printing - Rs. 57.80 Lakhs</t>
    </r>
    <r>
      <rPr>
        <sz val="11"/>
        <color theme="1"/>
        <rFont val="Calibri"/>
        <scheme val="minor"/>
      </rPr>
      <t xml:space="preserve"> - Budget for activities for ACSM including media briefings with journalists, orientation meetings with key groups (e.g., PRIs, SHGs), sensitization session for elected leaders (e.g., MPs, MLAs, school / college-based activities, advocacy meeting with State and District authority, (outdoor publicity) folk, mela, street plays, signages, miking, TV/Radio campaign, cost, miking, exhibition/ “World TB Day “rally, etc &amp; Printing of Manuals, Guidelines, Forms, Formats, Cards, etc. at State level</t>
    </r>
  </si>
  <si>
    <t>Training - 2.05 L for FPLMIS training</t>
  </si>
  <si>
    <t>DBT - 15.42 L  
Rs.4.78 L for compensation for IUCD insertion
Rs.9.42 L for compensation for PPIUCD insertion @ Rs 300/ beneficiary/ insertion
Rs.1.22 L for compensation for PAIUCD insertion  @ Rs 300/ beneficiary/ insertion
Capacity Building  - Rs.40.62 L
Rs.1.73 L for TOT for IUCD insertion training
Rs.6.42 L for training of MO in IUCD insertion training
Rs.13.22 L for training fo SN /ANM/LHV in IUCD insertion training
Rs.1 L for TOT PPIUCD insertion training
Rs.7.5 L for training of MO in PPIUCD insertion training
Rs.10.75 L for training of SN/LHV/ANM in PPIUCD insertion training
ASHA incentives - Rs.5.32 L
Rs.4.71 L for ASHA PPIUCD incentives
Rs.0.61 L for ASHA PAIUCD incentives
OOC - Rs.5.39 L for IUCD fixed day services</t>
  </si>
  <si>
    <t>DBT - Rs.15.59 L for compensation for male sterilisation @ 1500/ case
Training - 8.14 L 
Rs.1.73 L for state level TOT on NSV
Rs.6.41 L for refresher training on NSC
OOC - Rs.14 L - Male sterlisation fixed day services</t>
  </si>
  <si>
    <t>DBT - Rs.157.74 L for compensation for female sterilisation
Training - Rs.21.92 L 
Rs.1 L for TOT on laproscopic sterilisation
Rs.12.81 L for Laproscopic sterlisation training for MO, SN 
Rs.0.55 L for refresher training on Laproscopic sterilisation
Rs.1 L for TO T on minilap
Rs.6.41 L for minilap trianing for MOs
Rs.0.15 L for refreher training on Minilap sterilisiation
OOC Rs.20.40 L
Rs.16 L for female sterilisation fixe day services
Rs. 2.3 L for processing accreditation  / empnelment for private facilities to provide sterilisation services 
Rs.2.10 L for institutions conducting CAC in private sector</t>
  </si>
  <si>
    <r>
      <rPr>
        <u/>
        <sz val="11"/>
        <rFont val="Calibri"/>
        <family val="2"/>
      </rPr>
      <t xml:space="preserve">IEC &amp; Printing </t>
    </r>
    <r>
      <rPr>
        <sz val="11"/>
        <rFont val="Calibri"/>
        <family val="2"/>
      </rPr>
      <t>-  For creation of IEC materials like posters, short awarenes films, social media, radiosports etc. on six thematic areas of RKSK @ Rs. 50 lakhs</t>
    </r>
  </si>
  <si>
    <r>
      <rPr>
        <u/>
        <sz val="11"/>
        <rFont val="Calibri"/>
        <family val="2"/>
      </rPr>
      <t>Capacity building including Training</t>
    </r>
    <r>
      <rPr>
        <sz val="11"/>
        <rFont val="Calibri"/>
        <family val="2"/>
      </rPr>
      <t xml:space="preserve"> -Organising 2 district level coordination and dissemination workshop for RKSK and AB_SHWP @Rs 5460/workshop
</t>
    </r>
    <r>
      <rPr>
        <u/>
        <sz val="11"/>
        <rFont val="Calibri"/>
        <family val="2"/>
      </rPr>
      <t>OOC</t>
    </r>
    <r>
      <rPr>
        <sz val="11"/>
        <rFont val="Calibri"/>
        <family val="2"/>
      </rPr>
      <t xml:space="preserve"> - Recognition and reward for RKSK stakeholders at AFHCs @3000/AFHC
</t>
    </r>
    <r>
      <rPr>
        <u/>
        <sz val="11"/>
        <rFont val="Calibri"/>
        <family val="2"/>
      </rPr>
      <t xml:space="preserve">IEC &amp; Printing </t>
    </r>
    <r>
      <rPr>
        <sz val="11"/>
        <rFont val="Calibri"/>
        <family val="2"/>
      </rPr>
      <t xml:space="preserve">-1. a) For printing of AFHC forms for AFHCs  b) For printing of AFHS Training manuals for MO, ANM, Counsellors and training manual for PE training @Rs.200 / manual for all Dists. (160 nos. per dist.)
</t>
    </r>
    <r>
      <rPr>
        <u/>
        <sz val="11"/>
        <rFont val="Calibri"/>
        <family val="2"/>
      </rPr>
      <t>Planning and M&amp;E</t>
    </r>
    <r>
      <rPr>
        <sz val="11"/>
        <rFont val="Calibri"/>
        <family val="2"/>
      </rPr>
      <t xml:space="preserve"> : Rewards and recognition of good performing Pes and HWAs @ Rs.2 lakh per dist.</t>
    </r>
  </si>
  <si>
    <r>
      <rPr>
        <u/>
        <sz val="11"/>
        <rFont val="Calibri"/>
        <family val="2"/>
      </rPr>
      <t>Capacity building including Training</t>
    </r>
    <r>
      <rPr>
        <sz val="11"/>
        <rFont val="Calibri"/>
        <family val="2"/>
      </rPr>
      <t xml:space="preserve"> -Organising 2 district level coordination and dissemination workshop for RKSK and AB_SHWP @Rs 5460/workshop
</t>
    </r>
    <r>
      <rPr>
        <u/>
        <sz val="11"/>
        <rFont val="Calibri"/>
        <family val="2"/>
      </rPr>
      <t xml:space="preserve"> OOC</t>
    </r>
    <r>
      <rPr>
        <sz val="11"/>
        <rFont val="Calibri"/>
        <family val="2"/>
      </rPr>
      <t xml:space="preserve"> - Recognition and reward for RKSK stakeholders at AFHCs @3000/AFHC
</t>
    </r>
    <r>
      <rPr>
        <u/>
        <sz val="11"/>
        <rFont val="Calibri"/>
        <family val="2"/>
      </rPr>
      <t xml:space="preserve"> IEC &amp; Printing</t>
    </r>
    <r>
      <rPr>
        <sz val="11"/>
        <rFont val="Calibri"/>
        <family val="2"/>
      </rPr>
      <t xml:space="preserve"> -1. a) For printing of AFHC forms for AFHCs  b) For printing of AFHS Training manuals for MO, ANM, Counsellors and training manual for PE training @Rs.200 / manual for all Dists. (160 nos. per dist.)
</t>
    </r>
    <r>
      <rPr>
        <u/>
        <sz val="11"/>
        <rFont val="Calibri"/>
        <family val="2"/>
      </rPr>
      <t>Planning and M&amp;E</t>
    </r>
    <r>
      <rPr>
        <sz val="11"/>
        <rFont val="Calibri"/>
        <family val="2"/>
      </rPr>
      <t xml:space="preserve"> : Rewards and recognition of good performing Pes and HWAs @ Rs.2 lakh per dist.
</t>
    </r>
  </si>
  <si>
    <r>
      <rPr>
        <u/>
        <sz val="11"/>
        <rFont val="Calibri"/>
        <family val="2"/>
      </rPr>
      <t>Capacity building including Training</t>
    </r>
    <r>
      <rPr>
        <sz val="11"/>
        <rFont val="Calibri"/>
        <family val="2"/>
      </rPr>
      <t xml:space="preserve"> -Organising 2 district level coordination and dissemination workshop for RKSK and AB_SHWP @Rs 5460/workshop
</t>
    </r>
    <r>
      <rPr>
        <u/>
        <sz val="11"/>
        <rFont val="Calibri"/>
        <family val="2"/>
      </rPr>
      <t>OOC</t>
    </r>
    <r>
      <rPr>
        <sz val="11"/>
        <rFont val="Calibri"/>
        <family val="2"/>
      </rPr>
      <t xml:space="preserve"> - Recognition and reward for RKSK stakeholders at AFHCs @3000/AFHC
</t>
    </r>
    <r>
      <rPr>
        <u/>
        <sz val="11"/>
        <rFont val="Calibri"/>
        <family val="2"/>
      </rPr>
      <t xml:space="preserve"> IEC &amp; Printing</t>
    </r>
    <r>
      <rPr>
        <sz val="11"/>
        <rFont val="Calibri"/>
        <family val="2"/>
      </rPr>
      <t xml:space="preserve"> -1. a) For printing of AFHC forms for AFHCs  b) For printing of AFHS Training manuals for MO, ANM, Counsellors and training manual for PE training @Rs.200 / manual for all Dists. (160 nos. per dist.)
</t>
    </r>
    <r>
      <rPr>
        <u/>
        <sz val="11"/>
        <rFont val="Calibri"/>
        <family val="2"/>
      </rPr>
      <t>Planning and M&amp;E</t>
    </r>
    <r>
      <rPr>
        <sz val="11"/>
        <rFont val="Calibri"/>
        <family val="2"/>
      </rPr>
      <t xml:space="preserve"> : Rewards and recognition of good performing Pes and HWAs @ Rs.2 lakh per dist.</t>
    </r>
  </si>
  <si>
    <r>
      <t xml:space="preserve">Capacity building including Training -Organising 2 district level coordination and dissemination workshop for RKSK and AB_SHWP @Rs 5460/workshop
</t>
    </r>
    <r>
      <rPr>
        <u/>
        <sz val="11"/>
        <rFont val="Calibri"/>
        <family val="2"/>
      </rPr>
      <t xml:space="preserve"> OOC</t>
    </r>
    <r>
      <rPr>
        <sz val="11"/>
        <rFont val="Calibri"/>
        <family val="2"/>
      </rPr>
      <t xml:space="preserve"> - Recognition and reward for RKSK stakeholders at AFHCs @3000/AFHC
</t>
    </r>
    <r>
      <rPr>
        <u/>
        <sz val="11"/>
        <rFont val="Calibri"/>
        <family val="2"/>
      </rPr>
      <t xml:space="preserve"> IEC &amp; Printing</t>
    </r>
    <r>
      <rPr>
        <sz val="11"/>
        <rFont val="Calibri"/>
        <family val="2"/>
      </rPr>
      <t xml:space="preserve"> -1.  b) For printing of AFHS Training manuals for MO, ANM, Counsellors and training manual for PE training @Rs.200 / manual for all Dists. (160 nos. per dist.)
</t>
    </r>
    <r>
      <rPr>
        <u/>
        <sz val="11"/>
        <rFont val="Calibri"/>
        <family val="2"/>
      </rPr>
      <t>Planning and M&amp;E</t>
    </r>
    <r>
      <rPr>
        <sz val="11"/>
        <rFont val="Calibri"/>
        <family val="2"/>
      </rPr>
      <t xml:space="preserve"> : Rewards and recognition of good performing Pes and HWAs @ Rs.2 lakh per dist.</t>
    </r>
  </si>
  <si>
    <r>
      <rPr>
        <u/>
        <sz val="11"/>
        <rFont val="Calibri"/>
        <family val="2"/>
      </rPr>
      <t>Capacity building including Training</t>
    </r>
    <r>
      <rPr>
        <sz val="11"/>
        <rFont val="Calibri"/>
        <family val="2"/>
      </rPr>
      <t xml:space="preserve"> -Organising 2 district level coordination and dissemination workshop for RKSK and AB_SHWP @Rs 5460/workshop
</t>
    </r>
    <r>
      <rPr>
        <u/>
        <sz val="11"/>
        <rFont val="Calibri"/>
        <family val="2"/>
      </rPr>
      <t xml:space="preserve">OOC </t>
    </r>
    <r>
      <rPr>
        <sz val="11"/>
        <rFont val="Calibri"/>
        <family val="2"/>
      </rPr>
      <t xml:space="preserve">- Recognition and reward for RKSK stakeholders at AFHCs @3000/AFHC
</t>
    </r>
    <r>
      <rPr>
        <u/>
        <sz val="11"/>
        <rFont val="Calibri"/>
        <family val="2"/>
      </rPr>
      <t xml:space="preserve">IEC &amp; Printing </t>
    </r>
    <r>
      <rPr>
        <sz val="11"/>
        <rFont val="Calibri"/>
        <family val="2"/>
      </rPr>
      <t xml:space="preserve">-1. b) For printing of AFHS Training manuals for MO, ANM, Counsellors and training manual for PE training @Rs.200 / manual for all Dists. (160 nos. per dist.)
</t>
    </r>
    <r>
      <rPr>
        <u/>
        <sz val="11"/>
        <rFont val="Calibri"/>
        <family val="2"/>
      </rPr>
      <t>Planning and M&amp;E</t>
    </r>
    <r>
      <rPr>
        <sz val="11"/>
        <rFont val="Calibri"/>
        <family val="2"/>
      </rPr>
      <t xml:space="preserve"> : Rewards and recognition of good performing Pes and HWAs @ Rs.2 lakh per dist.</t>
    </r>
  </si>
  <si>
    <r>
      <rPr>
        <u/>
        <sz val="11"/>
        <rFont val="Calibri"/>
        <family val="2"/>
      </rPr>
      <t xml:space="preserve">Capacity building including Training </t>
    </r>
    <r>
      <rPr>
        <sz val="11"/>
        <rFont val="Calibri"/>
        <family val="2"/>
      </rPr>
      <t xml:space="preserve">-Organising 2 district level coordination and dissemination workshop for RKSK and AB_SHWP @Rs 5460/workshop
</t>
    </r>
    <r>
      <rPr>
        <u/>
        <sz val="11"/>
        <rFont val="Calibri"/>
        <family val="2"/>
      </rPr>
      <t xml:space="preserve">OOC </t>
    </r>
    <r>
      <rPr>
        <sz val="11"/>
        <rFont val="Calibri"/>
        <family val="2"/>
      </rPr>
      <t xml:space="preserve">- Recognition and reward for RKSK stakeholders at AFHCs @3000/AFHC
</t>
    </r>
    <r>
      <rPr>
        <u/>
        <sz val="11"/>
        <rFont val="Calibri"/>
        <family val="2"/>
      </rPr>
      <t>IEC &amp; Printing</t>
    </r>
    <r>
      <rPr>
        <sz val="11"/>
        <rFont val="Calibri"/>
        <family val="2"/>
      </rPr>
      <t xml:space="preserve"> -1. a) For printing of AFHC forms for AFHCs  b) For printing of AFHS Training manuals for MO, ANM, Counsellors and training manual for PE training @Rs.200 / manual for all Dists. (160 nos. per dist.)</t>
    </r>
    <r>
      <rPr>
        <u/>
        <sz val="11"/>
        <rFont val="Calibri"/>
        <family val="2"/>
      </rPr>
      <t xml:space="preserve">
Planning and M&amp;E</t>
    </r>
    <r>
      <rPr>
        <sz val="11"/>
        <rFont val="Calibri"/>
        <family val="2"/>
      </rPr>
      <t xml:space="preserve"> : Rewards and recognition of good performing Pes and HWAs @ Rs.2 lakh per dist.</t>
    </r>
  </si>
  <si>
    <r>
      <rPr>
        <u/>
        <sz val="11"/>
        <rFont val="Calibri"/>
        <family val="2"/>
      </rPr>
      <t>Capacity building including Training</t>
    </r>
    <r>
      <rPr>
        <sz val="11"/>
        <rFont val="Calibri"/>
        <family val="2"/>
      </rPr>
      <t xml:space="preserve"> -Organising 2 district level coordination and dissemination workshop for RKSK and AB_SHWP @Rs 5460/workshop
</t>
    </r>
    <r>
      <rPr>
        <u/>
        <sz val="11"/>
        <rFont val="Calibri"/>
        <family val="2"/>
      </rPr>
      <t xml:space="preserve">OOC </t>
    </r>
    <r>
      <rPr>
        <sz val="11"/>
        <rFont val="Calibri"/>
        <family val="2"/>
      </rPr>
      <t xml:space="preserve">- Recognition and reward for RKSK stakeholders at AFHCs @3000/AFHC
</t>
    </r>
    <r>
      <rPr>
        <u/>
        <sz val="11"/>
        <rFont val="Calibri"/>
        <family val="2"/>
      </rPr>
      <t xml:space="preserve">IEC &amp; Printing </t>
    </r>
    <r>
      <rPr>
        <sz val="11"/>
        <rFont val="Calibri"/>
        <family val="2"/>
      </rPr>
      <t xml:space="preserve">-1. b) For printing of AFHS Training manuals for MO, ANM, Counsellors and training manual for PE training @Rs.200 / manual for all Dists. (160 nos. per dist.)
</t>
    </r>
    <r>
      <rPr>
        <u/>
        <sz val="11"/>
        <rFont val="Calibri"/>
        <family val="2"/>
      </rPr>
      <t>Planning and M&amp;E :</t>
    </r>
    <r>
      <rPr>
        <sz val="11"/>
        <rFont val="Calibri"/>
        <family val="2"/>
      </rPr>
      <t xml:space="preserve"> Rewards and recognition of good performing Pes and HWAs @ Rs.2 lakh per dist.</t>
    </r>
  </si>
  <si>
    <r>
      <rPr>
        <u/>
        <sz val="11"/>
        <rFont val="Calibri"/>
        <family val="2"/>
      </rPr>
      <t>Capacity building including Training</t>
    </r>
    <r>
      <rPr>
        <sz val="11"/>
        <rFont val="Calibri"/>
        <family val="2"/>
      </rPr>
      <t xml:space="preserve"> -Organising 2 district level coordination and dissemination workshop for RKSK and AB_SHWP @Rs 5460/workshop
</t>
    </r>
    <r>
      <rPr>
        <u/>
        <sz val="11"/>
        <rFont val="Calibri"/>
        <family val="2"/>
      </rPr>
      <t>OOC</t>
    </r>
    <r>
      <rPr>
        <sz val="11"/>
        <rFont val="Calibri"/>
        <family val="2"/>
      </rPr>
      <t xml:space="preserve"> - Recognition and reward for RKSK stakeholders at AFHCs @3000/AFHC
</t>
    </r>
    <r>
      <rPr>
        <u/>
        <sz val="11"/>
        <rFont val="Calibri"/>
        <family val="2"/>
      </rPr>
      <t xml:space="preserve"> IEC &amp; Printing </t>
    </r>
    <r>
      <rPr>
        <sz val="11"/>
        <rFont val="Calibri"/>
        <family val="2"/>
      </rPr>
      <t xml:space="preserve">-1. a) For printing of AFHC forms for AFHCs  b) For printing of AFHS Training manuals for MO, ANM, Counsellors and training manual for PE training @Rs.200 / manual for all Dists. (160 nos. per dist.)
</t>
    </r>
    <r>
      <rPr>
        <u/>
        <sz val="11"/>
        <rFont val="Calibri"/>
        <family val="2"/>
      </rPr>
      <t>Planning and M&amp;E</t>
    </r>
    <r>
      <rPr>
        <sz val="11"/>
        <rFont val="Calibri"/>
        <family val="2"/>
      </rPr>
      <t xml:space="preserve"> : Rewards and recognition of good performing Pes and HWAs @ Rs.2 lakh per dist.</t>
    </r>
  </si>
  <si>
    <r>
      <rPr>
        <u/>
        <sz val="11"/>
        <rFont val="Calibri"/>
        <family val="2"/>
      </rPr>
      <t>Capacity building including Training</t>
    </r>
    <r>
      <rPr>
        <sz val="11"/>
        <rFont val="Calibri"/>
        <family val="2"/>
      </rPr>
      <t xml:space="preserve"> -Organising 2 district level coordination and dissemination workshop for RKSK and AB_SHWP @Rs 5460/workshop
</t>
    </r>
    <r>
      <rPr>
        <u/>
        <sz val="11"/>
        <rFont val="Calibri"/>
        <family val="2"/>
      </rPr>
      <t>OOC</t>
    </r>
    <r>
      <rPr>
        <sz val="11"/>
        <rFont val="Calibri"/>
        <family val="2"/>
      </rPr>
      <t xml:space="preserve"> - Recognition and reward for RKSK stakeholders at AFHCs @3000/AFHC
</t>
    </r>
    <r>
      <rPr>
        <u/>
        <sz val="11"/>
        <rFont val="Calibri"/>
        <family val="2"/>
      </rPr>
      <t xml:space="preserve"> IEC &amp; Printing </t>
    </r>
    <r>
      <rPr>
        <sz val="11"/>
        <rFont val="Calibri"/>
        <family val="2"/>
      </rPr>
      <t xml:space="preserve">-1. a) For printing of AFHC forms for AFHCs  b) For printing of AFHS Training manuals for MO, ANM, Counsellors and training manual for PE training @Rs.200 / </t>
    </r>
    <r>
      <rPr>
        <u/>
        <sz val="11"/>
        <rFont val="Calibri"/>
        <family val="2"/>
      </rPr>
      <t>manual for all Dists. (160 nos. per dist.)
Planning and M&amp;E</t>
    </r>
    <r>
      <rPr>
        <sz val="11"/>
        <rFont val="Calibri"/>
        <family val="2"/>
      </rPr>
      <t xml:space="preserve"> : Rewards and recognition of good performing Pes and HWAs @ Rs.2 lakh per dist.</t>
    </r>
  </si>
  <si>
    <r>
      <rPr>
        <u/>
        <sz val="11"/>
        <rFont val="Calibri"/>
        <family val="2"/>
      </rPr>
      <t>Capacity building including Training</t>
    </r>
    <r>
      <rPr>
        <sz val="11"/>
        <rFont val="Calibri"/>
        <family val="2"/>
      </rPr>
      <t xml:space="preserve"> -Organising 2 district level coordination and dissemination workshop for RKSK and AB_SHWP @Rs 5460/workshop
</t>
    </r>
    <r>
      <rPr>
        <u/>
        <sz val="11"/>
        <rFont val="Calibri"/>
        <family val="2"/>
      </rPr>
      <t xml:space="preserve">OOC </t>
    </r>
    <r>
      <rPr>
        <sz val="11"/>
        <rFont val="Calibri"/>
        <family val="2"/>
      </rPr>
      <t xml:space="preserve">- Recognition and reward for RKSK stakeholders at AFHCs @3000/AFHC
</t>
    </r>
    <r>
      <rPr>
        <u/>
        <sz val="11"/>
        <rFont val="Calibri"/>
        <family val="2"/>
      </rPr>
      <t>IEC &amp; Printing</t>
    </r>
    <r>
      <rPr>
        <sz val="11"/>
        <rFont val="Calibri"/>
        <family val="2"/>
      </rPr>
      <t xml:space="preserve"> -1.  b) For printing of AFHS Training manuals for MO, ANM, Counsellors and training manual for PE training @Rs.200 / manual for all Dists. (160 nos. per dist.)
</t>
    </r>
    <r>
      <rPr>
        <u/>
        <sz val="11"/>
        <rFont val="Calibri"/>
        <family val="2"/>
      </rPr>
      <t>Planning and M&amp;E</t>
    </r>
    <r>
      <rPr>
        <sz val="11"/>
        <rFont val="Calibri"/>
        <family val="2"/>
      </rPr>
      <t xml:space="preserve"> : Rewards and recognition of good performing Pes and HWAs @ Rs.2 lakh per dist.</t>
    </r>
  </si>
  <si>
    <r>
      <rPr>
        <u/>
        <sz val="11"/>
        <rFont val="Calibri"/>
        <family val="2"/>
      </rPr>
      <t>Capacity building including Training</t>
    </r>
    <r>
      <rPr>
        <sz val="11"/>
        <rFont val="Calibri"/>
        <family val="2"/>
      </rPr>
      <t xml:space="preserve"> -Organising 2 district level coordination and dissemination workshop for RKSK and AB_SHWP @Rs 5460/workshop</t>
    </r>
    <r>
      <rPr>
        <u/>
        <sz val="11"/>
        <rFont val="Calibri"/>
        <family val="2"/>
      </rPr>
      <t xml:space="preserve">
OOC</t>
    </r>
    <r>
      <rPr>
        <sz val="11"/>
        <rFont val="Calibri"/>
        <family val="2"/>
      </rPr>
      <t xml:space="preserve"> - Recognition and reward for RKSK stakeholders at AFHCs @3000/AFHC
</t>
    </r>
    <r>
      <rPr>
        <u/>
        <sz val="11"/>
        <rFont val="Calibri"/>
        <family val="2"/>
      </rPr>
      <t xml:space="preserve">IEC &amp; Printing </t>
    </r>
    <r>
      <rPr>
        <sz val="11"/>
        <rFont val="Calibri"/>
        <family val="2"/>
      </rPr>
      <t xml:space="preserve">-1.  b) For printing of AFHS Training manuals for MO, ANM, Counsellors and training manual for PE training @Rs.200 / manual for all Dists. (160 nos. per dist.)
</t>
    </r>
    <r>
      <rPr>
        <u/>
        <sz val="11"/>
        <rFont val="Calibri"/>
        <family val="2"/>
      </rPr>
      <t>Planning and M&amp;E</t>
    </r>
    <r>
      <rPr>
        <sz val="11"/>
        <rFont val="Calibri"/>
        <family val="2"/>
      </rPr>
      <t xml:space="preserve"> : Rewards and recognition of good performing Pes and HWAs @ Rs.2 lakh per dist.</t>
    </r>
  </si>
  <si>
    <r>
      <rPr>
        <u/>
        <sz val="11"/>
        <rFont val="Calibri"/>
        <family val="2"/>
      </rPr>
      <t>Capacity building including Training</t>
    </r>
    <r>
      <rPr>
        <sz val="11"/>
        <rFont val="Calibri"/>
        <family val="2"/>
      </rPr>
      <t xml:space="preserve"> -Organising 2 district level coordination and dissemination workshop for RKSK and AB_SHWP @Rs 5460/workshop
</t>
    </r>
    <r>
      <rPr>
        <u/>
        <sz val="11"/>
        <rFont val="Calibri"/>
        <family val="2"/>
      </rPr>
      <t xml:space="preserve">OOC </t>
    </r>
    <r>
      <rPr>
        <sz val="11"/>
        <rFont val="Calibri"/>
        <family val="2"/>
      </rPr>
      <t xml:space="preserve">- Recognition and reward for RKSK stakeholders at AFHCs @3000/AFHC
</t>
    </r>
    <r>
      <rPr>
        <u/>
        <sz val="11"/>
        <rFont val="Calibri"/>
        <family val="2"/>
      </rPr>
      <t xml:space="preserve"> IEC &amp; Printing</t>
    </r>
    <r>
      <rPr>
        <sz val="11"/>
        <rFont val="Calibri"/>
        <family val="2"/>
      </rPr>
      <t xml:space="preserve"> -1. a) For printing of AFHC forms for AFHCs  b) For printing of AFHS Training manuals for MO, ANM, Counsellors and training manual for PE training @Rs.200 / manual for all Dists. (160 nos. per dist.)
</t>
    </r>
    <r>
      <rPr>
        <u/>
        <sz val="11"/>
        <rFont val="Calibri"/>
        <family val="2"/>
      </rPr>
      <t>Planning and M&amp;E</t>
    </r>
    <r>
      <rPr>
        <sz val="11"/>
        <rFont val="Calibri"/>
        <family val="2"/>
      </rPr>
      <t xml:space="preserve"> : Rewards and recognition of good performing Pes and HWAs @ Rs.2 lakh per dist.</t>
    </r>
  </si>
  <si>
    <r>
      <rPr>
        <u/>
        <sz val="11"/>
        <rFont val="Calibri"/>
        <family val="2"/>
      </rPr>
      <t>Capacity building including Training</t>
    </r>
    <r>
      <rPr>
        <sz val="11"/>
        <rFont val="Calibri"/>
        <family val="2"/>
      </rPr>
      <t xml:space="preserve"> -Organising 2 district level coordination and dissemination workshop for RKSK and AB_SHWP @Rs 5460/workshop
</t>
    </r>
    <r>
      <rPr>
        <u/>
        <sz val="11"/>
        <rFont val="Calibri"/>
        <family val="2"/>
      </rPr>
      <t>OOC</t>
    </r>
    <r>
      <rPr>
        <sz val="11"/>
        <rFont val="Calibri"/>
        <family val="2"/>
      </rPr>
      <t xml:space="preserve"> - Recognition and reward for RKSK stakeholders at AFHCs @3000/AFHC</t>
    </r>
    <r>
      <rPr>
        <u/>
        <sz val="11"/>
        <rFont val="Calibri"/>
        <family val="2"/>
      </rPr>
      <t xml:space="preserve">
IEC &amp; Printing</t>
    </r>
    <r>
      <rPr>
        <sz val="11"/>
        <rFont val="Calibri"/>
        <family val="2"/>
      </rPr>
      <t xml:space="preserve"> -1. a) For printing of AFHC forms for AFHCs  b) For printing of AFHS Training manuals for MO, ANM, Counsellors and training manual for PE training @Rs.200 / manual for all Dists. (160 nos. per dist.)
</t>
    </r>
    <r>
      <rPr>
        <u/>
        <sz val="11"/>
        <rFont val="Calibri"/>
        <family val="2"/>
      </rPr>
      <t>Planning and M&amp;E</t>
    </r>
    <r>
      <rPr>
        <sz val="11"/>
        <rFont val="Calibri"/>
        <family val="2"/>
      </rPr>
      <t xml:space="preserve"> : Rewards and recognition of good performing Pes and HWAs @ Rs.2 lakh per dist.</t>
    </r>
  </si>
  <si>
    <t>Sanitary napkins for 76,923 adolescent girls @Rs.1.33/napkin.</t>
  </si>
  <si>
    <t>ASHA incentives for full Immunisation -1030.04 L;  555.26 L - Incentives for mobilisation of children ; 474.78 L - Mobilisation of children 
Equipment - Procurement of Hub Cutter as per norms @ Rs.1500/- for 1125 institutions - Rs.16.875 L; 
Training - Cold chain handlers training 26 L - 52 batches - 20 participants - 2 days training @ Rs.50000 per batch
TOT for technicians - Rs.36000/-
TOT for vaccine store custodians - Rs.36000/-
Orientation training for MO and dist level officers - 5.18 L - Rs.37000/dist, 14 district
OOC - 228.42 L
AVD in hard to reach areas @ Rs.200/- for 14768 sessions - Rs.29.54 L
AVD in very hard to reach areas @ Rs.450/- for 7384 session - Rs.33.23 L
AVD in other areas @ Rs.90/- for 125536 sessions - Rs.112.98 L
POL for vaccine delivery as per norms - 34 L
Cold chain maintenance as per norms - Rs.18.67 L
IEC Activities - 79.85 L 
Printing and dissemination of Immunisation cards - 17 L 
Planning &amp; M&amp;E - 69.71 L
Consumables for computers @ 1000/dist &amp; state per month - 1.8 L
Mobility support for MHT - Rs.2.58 L
Developing micro plan at SHC level - 5.412 L 
For micro plans at block level - 2.17 L
Quarterly state levle meetings - 2.152 L
Quarterly review meetings at dist level - 5.67 L
Quarterly review meetings at block level - 7.56 L
Mobility support at dist level - 42 L</t>
  </si>
  <si>
    <r>
      <t xml:space="preserve">Equipment- Rs12.10L                                                                   </t>
    </r>
    <r>
      <rPr>
        <sz val="11"/>
        <color rgb="FF000000"/>
        <rFont val="Calibri"/>
        <family val="2"/>
      </rPr>
      <t xml:space="preserve"> 
EQAS for Labs (Bio Chemistry &amp; Haemotology MOU for EQAS  from CMC Vellore and AIIMS Delhi)  </t>
    </r>
    <r>
      <rPr>
        <b/>
        <sz val="11"/>
        <color rgb="FF000000"/>
        <rFont val="Calibri"/>
        <family val="2"/>
      </rPr>
      <t xml:space="preserve">                                                       </t>
    </r>
    <r>
      <rPr>
        <sz val="11"/>
        <color rgb="FF000000"/>
        <rFont val="Calibri"/>
        <family val="2"/>
      </rPr>
      <t xml:space="preserve">DH6x0.20L=1.2L                                                                      TH8x0.20L=1.6L                                                                      CHC22x0.10L=2.2L                                                                   PHC71x0.10L=7.1L   </t>
    </r>
    <r>
      <rPr>
        <b/>
        <sz val="11"/>
        <color rgb="FF000000"/>
        <rFont val="Calibri"/>
        <family val="2"/>
      </rPr>
      <t xml:space="preserve">                                                                               Capacity Building Training - Rs.11.96                           </t>
    </r>
    <r>
      <rPr>
        <sz val="11"/>
        <color rgb="FF000000"/>
        <rFont val="Calibri"/>
        <family val="2"/>
      </rPr>
      <t>1.Staff of New Instituions going for NQAS Accreditation should be trained in NQAS District Level Training NQAS -Rs.1.50                                       2. Every year Staff of Instituions should be given refresher training                                                                a.Regional/District Level Trainings under kayakalp -Rs.0.50                                                                  b.Facility Level Training on "Swachh Bharat Abhiyan" for Distrct Hospitals- Rs.1.2 (0.20*6 DH).                                                                                 c.Facility Level Training on "Swachh Bharat Abhiyan" for SDH and CHC -Rs.4.5 (0.15*30 SDH&amp;CHC)                                                                               d.Facility Level Training on "Swachh Bharat Abhiyan" for PHCs -Rs.4.26 (0.06*71 PHC/FHC)</t>
    </r>
    <r>
      <rPr>
        <b/>
        <sz val="11"/>
        <color rgb="FF000000"/>
        <rFont val="Calibri"/>
        <family val="2"/>
      </rPr>
      <t xml:space="preserve">
Others including Operating Costs -Rs.4L                   </t>
    </r>
    <r>
      <rPr>
        <sz val="11"/>
        <color rgb="FF000000"/>
        <rFont val="Calibri"/>
        <family val="2"/>
      </rPr>
      <t xml:space="preserve">               
Rs.4L for District Level Assessment &amp; Mentoring Visit (Quality Vehicle for Districts)</t>
    </r>
    <r>
      <rPr>
        <b/>
        <sz val="11"/>
        <color rgb="FF000000"/>
        <rFont val="Calibri"/>
        <family val="2"/>
      </rPr>
      <t xml:space="preserve">                         </t>
    </r>
    <r>
      <rPr>
        <b/>
        <sz val="11"/>
        <color rgb="FFFF0000"/>
        <rFont val="Calibri"/>
        <family val="2"/>
      </rPr>
      <t xml:space="preserve">IEC &amp; Printing -Rs.5L                                                           </t>
    </r>
    <r>
      <rPr>
        <sz val="11"/>
        <color rgb="FFFF0000"/>
        <rFont val="Calibri"/>
        <family val="2"/>
      </rPr>
      <t>Signages- Approach road, departmental, directional and any other facility level signages
(DH @ 1L,CHC@0.50L,7 PHC*0.50L=3.5L)</t>
    </r>
    <r>
      <rPr>
        <sz val="11"/>
        <color rgb="FF000000"/>
        <rFont val="Calibri"/>
        <family val="2"/>
      </rPr>
      <t xml:space="preserve">
</t>
    </r>
    <r>
      <rPr>
        <b/>
        <sz val="11"/>
        <color rgb="FF000000"/>
        <rFont val="Calibri"/>
        <family val="2"/>
      </rPr>
      <t xml:space="preserve">Planning and Monitoring -0.72 L                                    </t>
    </r>
    <r>
      <rPr>
        <sz val="11"/>
        <color rgb="FF000000"/>
        <rFont val="Calibri"/>
        <family val="2"/>
      </rPr>
      <t xml:space="preserve">• Rs.0.24 Lakhs is proposed for District Quality Assurance Committee (Review Meeting) @.02*12=0.24L      </t>
    </r>
    <r>
      <rPr>
        <b/>
        <sz val="11"/>
        <color rgb="FF000000"/>
        <rFont val="Calibri"/>
        <family val="2"/>
      </rPr>
      <t xml:space="preserve">                                                                 </t>
    </r>
    <r>
      <rPr>
        <sz val="11"/>
        <color rgb="FF000000"/>
        <rFont val="Calibri"/>
        <family val="2"/>
      </rPr>
      <t xml:space="preserve">• Rs. 0.48 Lakhs is proposed for Contingency &amp; Misc. 4000*12 months=0.48L  </t>
    </r>
    <r>
      <rPr>
        <b/>
        <sz val="11"/>
        <color rgb="FF000000"/>
        <rFont val="Calibri"/>
        <family val="2"/>
      </rPr>
      <t xml:space="preserve">                                                                          
</t>
    </r>
    <r>
      <rPr>
        <sz val="11"/>
        <color rgb="FF000000"/>
        <rFont val="Calibri"/>
        <family val="2"/>
      </rPr>
      <t xml:space="preserve">                              </t>
    </r>
    <r>
      <rPr>
        <b/>
        <sz val="11"/>
        <color rgb="FF000000"/>
        <rFont val="Calibri"/>
        <family val="2"/>
      </rPr>
      <t xml:space="preserve">                                               
                                                                                                               </t>
    </r>
  </si>
  <si>
    <r>
      <t xml:space="preserve">Diagnostics (consumbales,PPP,Sample Transport) -Rs.37L                                                                              </t>
    </r>
    <r>
      <rPr>
        <sz val="11"/>
        <color rgb="FF000000"/>
        <rFont val="Calibri"/>
        <family val="2"/>
      </rPr>
      <t xml:space="preserve">                                      6DHx1L=6L                                                           8THx1L=8L                                                        22CHCx0.40=8.8L                                        71FHCx0.20L=14.2L                                                 </t>
    </r>
    <r>
      <rPr>
        <b/>
        <sz val="11"/>
        <color rgb="FF000000"/>
        <rFont val="Calibri"/>
        <family val="2"/>
      </rPr>
      <t xml:space="preserve">Others including Operating Cost - Rs.62.13L          Kayakalp  Internal Assessment- Total 0.775L                                         </t>
    </r>
    <r>
      <rPr>
        <sz val="11"/>
        <color rgb="FF000000"/>
        <rFont val="Calibri"/>
        <family val="2"/>
      </rPr>
      <t xml:space="preserve">District Level Hospital Internal Assessment- Rs.0.12L  (6DH*0.02)                                          SDH/CHC Internal Assessment Rs.0.3L (30SDH/CHC*0.01)                                                       PHC Internal Assessment @ Rs.0.355L(71 PHC*0.005=0.355L)  </t>
    </r>
    <r>
      <rPr>
        <b/>
        <sz val="11"/>
        <color rgb="FF000000"/>
        <rFont val="Calibri"/>
        <family val="2"/>
      </rPr>
      <t xml:space="preserve">                                                            Kayakalp Peer Assessment -Total 7.15L                     </t>
    </r>
    <r>
      <rPr>
        <sz val="11"/>
        <color rgb="FF000000"/>
        <rFont val="Calibri"/>
        <family val="2"/>
      </rPr>
      <t xml:space="preserve">District Level Hospital Peer Assessment -Rs.0.6L (6DH*0.10L)                                                                            SDH/CHC Hospital Peer Assessment-Rs.3L(30CHC/SDH*0.10L)                                                  PHC Peer Assessment @ Rs.3.55L(71PHC*0.05L)     </t>
    </r>
    <r>
      <rPr>
        <b/>
        <sz val="11"/>
        <color rgb="FF000000"/>
        <rFont val="Calibri"/>
        <family val="2"/>
      </rPr>
      <t xml:space="preserve"> </t>
    </r>
    <r>
      <rPr>
        <b/>
        <sz val="11"/>
        <color rgb="FFFF0000"/>
        <rFont val="Calibri"/>
        <family val="2"/>
      </rPr>
      <t xml:space="preserve"> </t>
    </r>
    <r>
      <rPr>
        <b/>
        <sz val="11"/>
        <color theme="1"/>
        <rFont val="Calibri"/>
        <family val="2"/>
      </rPr>
      <t xml:space="preserve">BIOMEDICAL WASTE MANAGEMENT- Total Rs.29.2L (Includes purchase of colour coded bins,puncture proof box,colour coded bags,payment to biomedical waste treatment facility etc)                                                                             </t>
    </r>
    <r>
      <rPr>
        <sz val="11"/>
        <color theme="1"/>
        <rFont val="Calibri"/>
        <family val="2"/>
      </rPr>
      <t xml:space="preserve">*6DHx0.60L=3.6L                                                                    *8 SDHx0.60L=4.8L                                                               *22 CHC x0.30L=6.6L                                                     *71PHCx0.20=14.2L                                                                                   </t>
    </r>
    <r>
      <rPr>
        <b/>
        <sz val="11"/>
        <color theme="1"/>
        <rFont val="Calibri"/>
        <family val="2"/>
      </rPr>
      <t xml:space="preserve">PEST CONTROL MEASURES - Rs.18L                              </t>
    </r>
    <r>
      <rPr>
        <sz val="11"/>
        <color theme="1"/>
        <rFont val="Calibri"/>
        <family val="2"/>
      </rPr>
      <t xml:space="preserve">6DH x 0.50=3L                                                                        8TH x 0.30=2.4L                                                                     22 CHC x 0.25=5.5L                                                               71 PHC x 0.10=7.1L  </t>
    </r>
    <r>
      <rPr>
        <b/>
        <sz val="11"/>
        <color theme="1"/>
        <rFont val="Calibri"/>
        <family val="2"/>
      </rPr>
      <t xml:space="preserve"> </t>
    </r>
    <r>
      <rPr>
        <b/>
        <sz val="11"/>
        <color rgb="FFFF0000"/>
        <rFont val="Calibri"/>
        <family val="2"/>
      </rPr>
      <t xml:space="preserve">                  </t>
    </r>
    <r>
      <rPr>
        <b/>
        <sz val="11"/>
        <color theme="1"/>
        <rFont val="Calibri"/>
        <family val="2"/>
      </rPr>
      <t xml:space="preserve">                           Support for KASH Implementation-Rs.7L                                                IEC &amp; Printing - Total 7.13L                                               </t>
    </r>
    <r>
      <rPr>
        <sz val="11"/>
        <color theme="1"/>
        <rFont val="Calibri"/>
        <family val="2"/>
      </rPr>
      <t xml:space="preserve">(Printing of SOPs for Implementation of NQAS,Kayakalp,LaQshya)   </t>
    </r>
    <r>
      <rPr>
        <b/>
        <sz val="11"/>
        <color theme="1"/>
        <rFont val="Calibri"/>
        <family val="2"/>
      </rPr>
      <t xml:space="preserve">                                              </t>
    </r>
    <r>
      <rPr>
        <sz val="11"/>
        <color theme="1"/>
        <rFont val="Calibri"/>
        <family val="2"/>
      </rPr>
      <t xml:space="preserve">DH/GH/W&amp;C 6x 0.20L=1.2                                                TH 8x0.20L=1.6L                                                                    CHC22x0.10L=2.2L                                                                PHC 71x0.03L=2.13L   </t>
    </r>
  </si>
  <si>
    <t xml:space="preserve">Capacity Building (SSS) - Rs.1L                                   Training for infection control </t>
  </si>
  <si>
    <r>
      <rPr>
        <b/>
        <sz val="11"/>
        <color rgb="FFFF0000"/>
        <rFont val="Calibri"/>
        <family val="2"/>
      </rPr>
      <t xml:space="preserve">Equipment- Rs9.6L                                                                    
</t>
    </r>
    <r>
      <rPr>
        <sz val="11"/>
        <color rgb="FFFF0000"/>
        <rFont val="Calibri"/>
        <family val="2"/>
      </rPr>
      <t xml:space="preserve">EQAS for Labs (Bio Chemistry &amp; Haemotology MOU for EQAS  from CMC Vellore and AIIMS Delhi)                                                         DH2x0.20L=0.4L                                                                      TH9x0.20L=1.8L                                                                      CHC16x0.10L=1.6L                                                                   PHC58x0.10L=5.8L  </t>
    </r>
    <r>
      <rPr>
        <sz val="11"/>
        <color rgb="FF000000"/>
        <rFont val="Calibri"/>
        <family val="2"/>
      </rPr>
      <t xml:space="preserve">   </t>
    </r>
    <r>
      <rPr>
        <b/>
        <sz val="11"/>
        <color rgb="FF000000"/>
        <rFont val="Calibri"/>
        <family val="2"/>
      </rPr>
      <t xml:space="preserve">                                                                                   Capacity Building Training - Rs.9.63L                           </t>
    </r>
    <r>
      <rPr>
        <sz val="11"/>
        <color rgb="FF000000"/>
        <rFont val="Calibri"/>
        <family val="2"/>
      </rPr>
      <t>1.Staff of New Instituions going for NQAS Accreditation should be trained in NQAS District Level Training NQAS -Rs.1.50                                       2. Every year Staff of Instituions should be given refresher training                                                                a.Regional/District Level Trainings under kayakalp -Rs.0.50                                                                  b.Facility Level Training on "Swachh Bharat Abhiyan" for Distrct Hospitals- Rs.0.4 (0.20*2 DH).                                                                                 c.Facility Level Training on "Swachh Bharat Abhiyan" for SDH and CHC -Rs.3.75 (0.15*25 SDH&amp;CHC)                                                                               d.Facility Level Training on "Swachh Bharat Abhiyan" for PHCs -Rs.3.48 (0.06*58 PHC/FHC)</t>
    </r>
    <r>
      <rPr>
        <b/>
        <sz val="11"/>
        <color rgb="FF000000"/>
        <rFont val="Calibri"/>
        <family val="2"/>
      </rPr>
      <t xml:space="preserve">
Others including Operating Costs -Rs.4L                                              </t>
    </r>
    <r>
      <rPr>
        <sz val="11"/>
        <color rgb="FF000000"/>
        <rFont val="Calibri"/>
        <family val="2"/>
      </rPr>
      <t xml:space="preserve">              
Rs.4L for District Level Assessment &amp; Mentoring Visit (Quality Vehicle for Districts)</t>
    </r>
    <r>
      <rPr>
        <b/>
        <sz val="11"/>
        <color rgb="FF000000"/>
        <rFont val="Calibri"/>
        <family val="2"/>
      </rPr>
      <t xml:space="preserve">                                          </t>
    </r>
    <r>
      <rPr>
        <b/>
        <sz val="11"/>
        <color rgb="FFFF0000"/>
        <rFont val="Calibri"/>
        <family val="2"/>
      </rPr>
      <t xml:space="preserve">IEC &amp; Printing -Rs.5L                                                           </t>
    </r>
    <r>
      <rPr>
        <sz val="11"/>
        <color rgb="FFFF0000"/>
        <rFont val="Calibri"/>
        <family val="2"/>
      </rPr>
      <t>Signages- Approach road, departmental, directional and any other facility level signages
(DH @ 1L,CHC@0.50L,7 PHC*0.50L=3.5L)</t>
    </r>
    <r>
      <rPr>
        <sz val="11"/>
        <color rgb="FF000000"/>
        <rFont val="Calibri"/>
        <family val="2"/>
      </rPr>
      <t xml:space="preserve">
</t>
    </r>
    <r>
      <rPr>
        <b/>
        <sz val="11"/>
        <color rgb="FF000000"/>
        <rFont val="Calibri"/>
        <family val="2"/>
      </rPr>
      <t xml:space="preserve">Planning and Monitoring -0.72 L                                    </t>
    </r>
    <r>
      <rPr>
        <sz val="11"/>
        <color rgb="FF000000"/>
        <rFont val="Calibri"/>
        <family val="2"/>
      </rPr>
      <t xml:space="preserve">• Rs.0.24 Lakhs is proposed for District Quality Assurance Committee (Review Meeting) @.02*12=0.24L      </t>
    </r>
    <r>
      <rPr>
        <b/>
        <sz val="11"/>
        <color rgb="FF000000"/>
        <rFont val="Calibri"/>
        <family val="2"/>
      </rPr>
      <t xml:space="preserve">                                                                 </t>
    </r>
    <r>
      <rPr>
        <sz val="11"/>
        <color rgb="FF000000"/>
        <rFont val="Calibri"/>
        <family val="2"/>
      </rPr>
      <t xml:space="preserve">• Rs. 0.48 Lakhs is proposed for Contingency &amp; Misc. 4000*12 months=0.48L  </t>
    </r>
    <r>
      <rPr>
        <b/>
        <sz val="11"/>
        <color rgb="FF000000"/>
        <rFont val="Calibri"/>
        <family val="2"/>
      </rPr>
      <t xml:space="preserve">                                                                          
</t>
    </r>
    <r>
      <rPr>
        <sz val="11"/>
        <color rgb="FF000000"/>
        <rFont val="Calibri"/>
        <family val="2"/>
      </rPr>
      <t xml:space="preserve">                              </t>
    </r>
    <r>
      <rPr>
        <b/>
        <sz val="11"/>
        <color rgb="FF000000"/>
        <rFont val="Calibri"/>
        <family val="2"/>
      </rPr>
      <t xml:space="preserve">                                               
                                                                                                               </t>
    </r>
  </si>
  <si>
    <r>
      <t xml:space="preserve">Diagnostics (consumbales,PPP,Sample Transport) -Rs.29L                                                                              </t>
    </r>
    <r>
      <rPr>
        <sz val="11"/>
        <color rgb="FF000000"/>
        <rFont val="Calibri"/>
        <family val="2"/>
      </rPr>
      <t xml:space="preserve">2DHx1L=2L                                                    9THx1L=9L                                                        16CHCx0.40=6.4L                                        58FHCx0.20L=11.6L                                      </t>
    </r>
    <r>
      <rPr>
        <b/>
        <sz val="11"/>
        <color rgb="FF000000"/>
        <rFont val="Calibri"/>
        <family val="2"/>
      </rPr>
      <t xml:space="preserve">Others including Operating Cost - Rs. 49.68  L                                             Kayakalp  Internal Assessment- Total 0.58L                                         </t>
    </r>
    <r>
      <rPr>
        <sz val="11"/>
        <color rgb="FF000000"/>
        <rFont val="Calibri"/>
        <family val="2"/>
      </rPr>
      <t xml:space="preserve">District Level Hospital Internal Assessment- Rs.0.04L  (2DH*0.02)                                          SDH/CHC Internal Assessment Rs.0.25L (25SDH/CHC*0.01)                                                       PHC Internal Assessment @ Rs.0.29L(58 PHC*0.005=0.355L)  </t>
    </r>
    <r>
      <rPr>
        <b/>
        <sz val="11"/>
        <color rgb="FF000000"/>
        <rFont val="Calibri"/>
        <family val="2"/>
      </rPr>
      <t xml:space="preserve">                                                            Kayakalp Peer Assessment -Total 5.6L                                                   </t>
    </r>
    <r>
      <rPr>
        <sz val="11"/>
        <color rgb="FF000000"/>
        <rFont val="Calibri"/>
        <family val="2"/>
      </rPr>
      <t xml:space="preserve">District Level Hospital Peer Assessment -Rs.0.2L (2DH*0.10L)                                                                            SDH/CHC Hospital Peer Assessment-Rs.2.5L(25CHC/SDH*0.10L)                                                  PHC Peer Assessment @ Rs.2.9L(58PHC*0.05L)     </t>
    </r>
    <r>
      <rPr>
        <b/>
        <sz val="11"/>
        <color rgb="FF000000"/>
        <rFont val="Calibri"/>
        <family val="2"/>
      </rPr>
      <t xml:space="preserve"> </t>
    </r>
    <r>
      <rPr>
        <b/>
        <sz val="11"/>
        <color rgb="FFFF0000"/>
        <rFont val="Calibri"/>
        <family val="2"/>
      </rPr>
      <t xml:space="preserve"> </t>
    </r>
    <r>
      <rPr>
        <b/>
        <sz val="11"/>
        <color theme="1"/>
        <rFont val="Calibri"/>
        <family val="2"/>
      </rPr>
      <t xml:space="preserve">BIOMEDICAL WASTE MANAGEMENT- Total Rs.23 L </t>
    </r>
    <r>
      <rPr>
        <sz val="11"/>
        <color theme="1"/>
        <rFont val="Calibri"/>
        <family val="2"/>
      </rPr>
      <t xml:space="preserve">(Includes purchase of colour coded bins,puncture proof box,colour coded bags,payment to biomedical waste treatment facility etc)      </t>
    </r>
    <r>
      <rPr>
        <b/>
        <sz val="11"/>
        <color theme="1"/>
        <rFont val="Calibri"/>
        <family val="2"/>
      </rPr>
      <t xml:space="preserve">                                                                       </t>
    </r>
    <r>
      <rPr>
        <sz val="11"/>
        <color theme="1"/>
        <rFont val="Calibri"/>
        <family val="2"/>
      </rPr>
      <t xml:space="preserve">*2DHx0.60L=1.2L                                                                    *9 SDHx0.60L=5.4L                                                               *16 CHC x0.30L=4.8L                                                     *58 PHCx0.20=11.6L                                                             </t>
    </r>
    <r>
      <rPr>
        <b/>
        <sz val="11"/>
        <color theme="1"/>
        <rFont val="Calibri"/>
        <family val="2"/>
      </rPr>
      <t>PEST CONTROL MEASURES - Rs.13.5L</t>
    </r>
    <r>
      <rPr>
        <sz val="11"/>
        <color theme="1"/>
        <rFont val="Calibri"/>
        <family val="2"/>
      </rPr>
      <t xml:space="preserve">                                                  2DH x 0.50=1L                                                                        9TH x 0.30=2.7L                                                                     16 CHC x 0.25=4L                                                               58PHC x 0.10=5.8L</t>
    </r>
    <r>
      <rPr>
        <b/>
        <sz val="11"/>
        <color theme="1"/>
        <rFont val="Calibri"/>
        <family val="2"/>
      </rPr>
      <t xml:space="preserve">                                      Support for KASH Implementation-Rs.7L                                                          IEC &amp; Printing - Total 5.54L                                               </t>
    </r>
    <r>
      <rPr>
        <sz val="11"/>
        <color theme="1"/>
        <rFont val="Calibri"/>
        <family val="2"/>
      </rPr>
      <t xml:space="preserve">(Printing of SOPs for Implementation of NQAS,Kayakalp,LaQshya)   </t>
    </r>
    <r>
      <rPr>
        <b/>
        <sz val="11"/>
        <color theme="1"/>
        <rFont val="Calibri"/>
        <family val="2"/>
      </rPr>
      <t xml:space="preserve">                                              </t>
    </r>
    <r>
      <rPr>
        <sz val="11"/>
        <color theme="1"/>
        <rFont val="Calibri"/>
        <family val="2"/>
      </rPr>
      <t xml:space="preserve">DH/GH/W&amp;C 2x 0.20L=0.4L                                                TH 9x0.20L=1.8L                                                                    CHC16x0.10L=1.6L                                                                PHC 58x0.03L=1.74L   </t>
    </r>
  </si>
  <si>
    <r>
      <t xml:space="preserve">Equipment- Rs6.8L                                                                    
</t>
    </r>
    <r>
      <rPr>
        <sz val="11"/>
        <color rgb="FF000000"/>
        <rFont val="Calibri"/>
        <family val="2"/>
      </rPr>
      <t xml:space="preserve">EQAS for Labs (Bio Chemistry &amp; Haemotology MOU for EQAS  from CMC Vellore and AIIMS Delhi)                                                         DH3x0.20L=0.6L                                                                      TH4x0.20L=0.8L                                                                      CHC12x0.10L=1.2L                                                                   PHC42x0.10L=4.2L  </t>
    </r>
    <r>
      <rPr>
        <b/>
        <sz val="11"/>
        <color rgb="FF000000"/>
        <rFont val="Calibri"/>
        <family val="2"/>
      </rPr>
      <t xml:space="preserve">                                                                                  Capacity Building Training - Rs.7.58L                           </t>
    </r>
    <r>
      <rPr>
        <sz val="11"/>
        <color rgb="FF000000"/>
        <rFont val="Calibri"/>
        <family val="2"/>
      </rPr>
      <t>1.Staff of New Instituions going for NQAS Accreditation should be trained in NQAS District Level Training NQAS -Rs.1.50                                       2. Every year Staff of Instituions should be given refresher training                                                                a.Regional/District Level Trainings under kayakalp -Rs.0.50                                                                  b.Facility Level Training on "Swachh Bharat Abhiyan" for Distrct Hospitals- Rs.0.6L (0.20*3 DH).                                                                                 c.Facility Level Training on "Swachh Bharat Abhiyan" for SDH and CHC -Rs.2.4L (0.15*16 SDH&amp;CHC)                                                                               d.Facility Level Training on "Swachh Bharat Abhiyan" for PHCs -Rs.2.58L (0.06*43PHC/FHC)</t>
    </r>
    <r>
      <rPr>
        <b/>
        <sz val="11"/>
        <color rgb="FF000000"/>
        <rFont val="Calibri"/>
        <family val="2"/>
      </rPr>
      <t xml:space="preserve">
Others including Operating Costs -Rs.4L                                                      </t>
    </r>
    <r>
      <rPr>
        <sz val="11"/>
        <color rgb="FF000000"/>
        <rFont val="Calibri"/>
        <family val="2"/>
      </rPr>
      <t>Rs.4L for District Level Assessment &amp; Mentoring Visit (Quality Vehicle for Districts)</t>
    </r>
    <r>
      <rPr>
        <b/>
        <sz val="11"/>
        <color rgb="FF000000"/>
        <rFont val="Calibri"/>
        <family val="2"/>
      </rPr>
      <t xml:space="preserve">                                           </t>
    </r>
    <r>
      <rPr>
        <b/>
        <sz val="11"/>
        <color rgb="FFFF0000"/>
        <rFont val="Calibri"/>
        <family val="2"/>
      </rPr>
      <t xml:space="preserve">IEC &amp; Printing -Rs.5L                                                           </t>
    </r>
    <r>
      <rPr>
        <sz val="11"/>
        <color rgb="FFFF0000"/>
        <rFont val="Calibri"/>
        <family val="2"/>
      </rPr>
      <t>Signages- Approach road, departmental, directional and any other facility level signages
(DH @ 1L,CHC@0.50L,7 PHC*0.50L=3.5L)</t>
    </r>
    <r>
      <rPr>
        <sz val="11"/>
        <color rgb="FF000000"/>
        <rFont val="Calibri"/>
        <family val="2"/>
      </rPr>
      <t xml:space="preserve">
</t>
    </r>
    <r>
      <rPr>
        <b/>
        <sz val="11"/>
        <color rgb="FF000000"/>
        <rFont val="Calibri"/>
        <family val="2"/>
      </rPr>
      <t xml:space="preserve">Planning and Monitoring -0.72 L                                    </t>
    </r>
    <r>
      <rPr>
        <sz val="11"/>
        <color rgb="FF000000"/>
        <rFont val="Calibri"/>
        <family val="2"/>
      </rPr>
      <t xml:space="preserve">• Rs.0.24 Lakhs is proposed for District Quality Assurance Committee (Review Meeting) @.02*12=0.24L      </t>
    </r>
    <r>
      <rPr>
        <b/>
        <sz val="11"/>
        <color rgb="FF000000"/>
        <rFont val="Calibri"/>
        <family val="2"/>
      </rPr>
      <t xml:space="preserve">                                                                 </t>
    </r>
    <r>
      <rPr>
        <sz val="11"/>
        <color rgb="FF000000"/>
        <rFont val="Calibri"/>
        <family val="2"/>
      </rPr>
      <t xml:space="preserve">• Rs. 0.48 Lakhs is proposed for Contingency &amp; Misc. 4000*12 months=0.48L  </t>
    </r>
    <r>
      <rPr>
        <b/>
        <sz val="11"/>
        <color rgb="FF000000"/>
        <rFont val="Calibri"/>
        <family val="2"/>
      </rPr>
      <t xml:space="preserve">                                                                          
</t>
    </r>
    <r>
      <rPr>
        <sz val="11"/>
        <color rgb="FF000000"/>
        <rFont val="Calibri"/>
        <family val="2"/>
      </rPr>
      <t xml:space="preserve">                              </t>
    </r>
    <r>
      <rPr>
        <b/>
        <sz val="11"/>
        <color rgb="FF000000"/>
        <rFont val="Calibri"/>
        <family val="2"/>
      </rPr>
      <t xml:space="preserve">                                               
                                                                                                               </t>
    </r>
  </si>
  <si>
    <r>
      <t xml:space="preserve">Diagnostics (consumbales,PPP,Sample Transport) -Rs.20.40L                                                                              </t>
    </r>
    <r>
      <rPr>
        <sz val="11"/>
        <color rgb="FF000000"/>
        <rFont val="Calibri"/>
        <family val="2"/>
      </rPr>
      <t xml:space="preserve">3DHx1L=3L                                                    4THx1L=4L                                                        12CHCx0.40=4.8L                                        43FHCx0.20L=8.6L   </t>
    </r>
    <r>
      <rPr>
        <b/>
        <sz val="11"/>
        <color rgb="FF000000"/>
        <rFont val="Calibri"/>
        <family val="2"/>
      </rPr>
      <t xml:space="preserve">  </t>
    </r>
    <r>
      <rPr>
        <sz val="11"/>
        <color rgb="FF000000"/>
        <rFont val="Calibri"/>
        <family val="2"/>
      </rPr>
      <t xml:space="preserve">                                      </t>
    </r>
    <r>
      <rPr>
        <b/>
        <sz val="11"/>
        <color rgb="FF000000"/>
        <rFont val="Calibri"/>
        <family val="2"/>
      </rPr>
      <t xml:space="preserve">Others including Operating Cost - Rs.37.89L                                                 Kayakalp  Internal Assessment- Total 0.435L                                               </t>
    </r>
    <r>
      <rPr>
        <sz val="11"/>
        <color rgb="FF000000"/>
        <rFont val="Calibri"/>
        <family val="2"/>
      </rPr>
      <t xml:space="preserve">District Level Hospital Internal Assessment- Rs.0.06L  (3DH*0.02)                                          SDH/CHC Internal Assessment Rs.0.16L (16SDH/CHC*0.01)                                                       PHC Internal Assessment @ Rs.0.215L(43PHC*0.005)  </t>
    </r>
    <r>
      <rPr>
        <b/>
        <sz val="11"/>
        <color rgb="FF000000"/>
        <rFont val="Calibri"/>
        <family val="2"/>
      </rPr>
      <t xml:space="preserve">                                                            Kayakalp Peer Assessment -Total 4.05L                                                  </t>
    </r>
    <r>
      <rPr>
        <sz val="11"/>
        <color rgb="FF000000"/>
        <rFont val="Calibri"/>
        <family val="2"/>
      </rPr>
      <t xml:space="preserve">District Level Hospital Peer Assessment -Rs.0.3L (3DH*0.10L)                                                                            SDH/CHC Hospital Peer Assessment-Rs.1.6L(16CHC/SDH*0.10L)                                                  PHC Peer Assessment @ Rs.2.15L(43PHC*0.05L)     </t>
    </r>
    <r>
      <rPr>
        <b/>
        <sz val="11"/>
        <color rgb="FF000000"/>
        <rFont val="Calibri"/>
        <family val="2"/>
      </rPr>
      <t xml:space="preserve"> </t>
    </r>
    <r>
      <rPr>
        <b/>
        <sz val="11"/>
        <color rgb="FFFF0000"/>
        <rFont val="Calibri"/>
        <family val="2"/>
      </rPr>
      <t xml:space="preserve"> </t>
    </r>
    <r>
      <rPr>
        <b/>
        <sz val="11"/>
        <color theme="1"/>
        <rFont val="Calibri"/>
        <family val="2"/>
      </rPr>
      <t xml:space="preserve">BIOMEDICAL WASTE MANAGEMENT- Total Rs.16.4L (Includes purchase of colour coded bins,puncture proof box,colour coded bags,payment to biomedical waste treatment facility etc)                                                                             </t>
    </r>
    <r>
      <rPr>
        <sz val="11"/>
        <color theme="1"/>
        <rFont val="Calibri"/>
        <family val="2"/>
      </rPr>
      <t xml:space="preserve">*3DHx0.60L=1.8L                                                                    *4SDHx0.60L=2.4L                                                               *12CHC x0.30L=3.6L                                                     *43PHCx0.20=8.6L                                                             </t>
    </r>
    <r>
      <rPr>
        <b/>
        <sz val="11"/>
        <color theme="1"/>
        <rFont val="Calibri"/>
        <family val="2"/>
      </rPr>
      <t xml:space="preserve">PEST CONTROL MEASURES - Rs.10L                              3DH x 0.50=1.5L                                                                        4TH x 0.30=1.2L                                                                     12 CHC x 0.25=3L                                                               43PHC x 0.10=4.3L                                 Support for KASH Implementation-Rs.7L                                                         IEC &amp; Printing - Total 3.89L                                               </t>
    </r>
    <r>
      <rPr>
        <sz val="11"/>
        <color theme="1"/>
        <rFont val="Calibri"/>
        <family val="2"/>
      </rPr>
      <t xml:space="preserve">(Printing of SOPs for Implementation of NQAS,Kayakalp,LaQshya)   </t>
    </r>
    <r>
      <rPr>
        <b/>
        <sz val="11"/>
        <color theme="1"/>
        <rFont val="Calibri"/>
        <family val="2"/>
      </rPr>
      <t xml:space="preserve">                                              </t>
    </r>
    <r>
      <rPr>
        <sz val="11"/>
        <color theme="1"/>
        <rFont val="Calibri"/>
        <family val="2"/>
      </rPr>
      <t xml:space="preserve">DH/GH/W&amp;C 3x 0.20L=0.6L                                               TH 4x0.20L=0.8L                                                                    CHC12x0.10L=1.2L                                                                PHC 43x0.03L=1.29LL   </t>
    </r>
  </si>
  <si>
    <r>
      <t xml:space="preserve">Equipment- Rs9.5L                                                                    
</t>
    </r>
    <r>
      <rPr>
        <sz val="11"/>
        <color rgb="FF000000"/>
        <rFont val="Calibri"/>
        <family val="2"/>
      </rPr>
      <t xml:space="preserve">EQAS for Labs (Bio Chemistry &amp; Haemotology MOU for EQAS  from CMC Vellore and AIIMS Delhi)                                                         DH4x0.20L=0.8L                                                                      TH6x0.20L=1.2L                                                                      CHC16x0.10L=1.6L                                                                   PHC59x0.10L=5.9L    </t>
    </r>
    <r>
      <rPr>
        <b/>
        <sz val="11"/>
        <color rgb="FF000000"/>
        <rFont val="Calibri"/>
        <family val="2"/>
      </rPr>
      <t xml:space="preserve">                                                                                Capacity Building Training - Rs.9.64L                           </t>
    </r>
    <r>
      <rPr>
        <sz val="11"/>
        <color rgb="FF000000"/>
        <rFont val="Calibri"/>
        <family val="2"/>
      </rPr>
      <t>1.Staff of New Instituions going for NQAS Accreditation should be trained in NQAS District Level Training NQAS -Rs.1.50                                       2. Every year Staff of Instituions should be given refresher training                                                                a.Regional/District Level Trainings under kayakalp -Rs.0.50                                                                  b.Facility Level Training on "Swachh Bharat Abhiyan" for Distrct Hospitals- Rs.0.8L (0.20*4DH).                                                                                 c.Facility Level Training on "Swachh Bharat Abhiyan" for SDH and CHC -Rs.3.3L (0.15*22 SDH&amp;CHC)                                                                               d.Facility Level Training on "Swachh Bharat Abhiyan" for PHCs -Rs.3.54(0.06*59PHC/FHC)</t>
    </r>
    <r>
      <rPr>
        <b/>
        <sz val="11"/>
        <color rgb="FF000000"/>
        <rFont val="Calibri"/>
        <family val="2"/>
      </rPr>
      <t xml:space="preserve">
Others including Operating Costs -Rs.4L                                                      </t>
    </r>
    <r>
      <rPr>
        <sz val="11"/>
        <color rgb="FF000000"/>
        <rFont val="Calibri"/>
        <family val="2"/>
      </rPr>
      <t>Rs.4L for District Level Assessment &amp; Mentoring Visit (Quality Vehicle for Districts)</t>
    </r>
    <r>
      <rPr>
        <b/>
        <sz val="11"/>
        <color rgb="FF000000"/>
        <rFont val="Calibri"/>
        <family val="2"/>
      </rPr>
      <t xml:space="preserve">                                           </t>
    </r>
    <r>
      <rPr>
        <b/>
        <sz val="11"/>
        <color rgb="FFFF0000"/>
        <rFont val="Calibri"/>
        <family val="2"/>
      </rPr>
      <t xml:space="preserve">IEC &amp; Printing -Rs.5L                                                           </t>
    </r>
    <r>
      <rPr>
        <sz val="11"/>
        <color rgb="FFFF0000"/>
        <rFont val="Calibri"/>
        <family val="2"/>
      </rPr>
      <t>Signages- Approach road, departmental, directional and any other facility level signages
(DH @ 1L,CHC@0.50L,7 PHC*0.50L=3.5L)</t>
    </r>
    <r>
      <rPr>
        <sz val="11"/>
        <color rgb="FF000000"/>
        <rFont val="Calibri"/>
        <family val="2"/>
      </rPr>
      <t xml:space="preserve">
</t>
    </r>
    <r>
      <rPr>
        <b/>
        <sz val="11"/>
        <color rgb="FF000000"/>
        <rFont val="Calibri"/>
        <family val="2"/>
      </rPr>
      <t xml:space="preserve">Planning and Monitoring -0.72 L                                    </t>
    </r>
    <r>
      <rPr>
        <sz val="11"/>
        <color rgb="FF000000"/>
        <rFont val="Calibri"/>
        <family val="2"/>
      </rPr>
      <t xml:space="preserve">• Rs.0.24 Lakhs is proposed for District Quality Assurance Committee (Review Meeting) @.02*12=0.24L      </t>
    </r>
    <r>
      <rPr>
        <b/>
        <sz val="11"/>
        <color rgb="FF000000"/>
        <rFont val="Calibri"/>
        <family val="2"/>
      </rPr>
      <t xml:space="preserve">                                                                 </t>
    </r>
    <r>
      <rPr>
        <sz val="11"/>
        <color rgb="FF000000"/>
        <rFont val="Calibri"/>
        <family val="2"/>
      </rPr>
      <t xml:space="preserve">• Rs. 0.48 Lakhs is proposed for Contingency &amp; Misc. 4000*12 months=0.48L  </t>
    </r>
    <r>
      <rPr>
        <b/>
        <sz val="11"/>
        <color rgb="FF000000"/>
        <rFont val="Calibri"/>
        <family val="2"/>
      </rPr>
      <t xml:space="preserve">                                                                          
</t>
    </r>
    <r>
      <rPr>
        <sz val="11"/>
        <color rgb="FF000000"/>
        <rFont val="Calibri"/>
        <family val="2"/>
      </rPr>
      <t xml:space="preserve">                              </t>
    </r>
    <r>
      <rPr>
        <b/>
        <sz val="11"/>
        <color rgb="FF000000"/>
        <rFont val="Calibri"/>
        <family val="2"/>
      </rPr>
      <t xml:space="preserve">                                               
                                                                                                               </t>
    </r>
  </si>
  <si>
    <r>
      <t xml:space="preserve">Diagnostics </t>
    </r>
    <r>
      <rPr>
        <sz val="11"/>
        <color rgb="FF000000"/>
        <rFont val="Calibri"/>
        <family val="2"/>
      </rPr>
      <t xml:space="preserve">(consumbales,PPP,Sample Transport) -Rs.28.2L                                                                              4DHx1L=4L                                                    6THx1L=6L                                                        16CHCx0.40=6.4L                                        59FHCx0.20L=11.8L </t>
    </r>
    <r>
      <rPr>
        <b/>
        <sz val="11"/>
        <color rgb="FF000000"/>
        <rFont val="Calibri"/>
        <family val="2"/>
      </rPr>
      <t xml:space="preserve">    </t>
    </r>
    <r>
      <rPr>
        <sz val="11"/>
        <color rgb="FF000000"/>
        <rFont val="Calibri"/>
        <family val="2"/>
      </rPr>
      <t xml:space="preserve">                                </t>
    </r>
    <r>
      <rPr>
        <b/>
        <sz val="11"/>
        <color rgb="FF000000"/>
        <rFont val="Calibri"/>
        <family val="2"/>
      </rPr>
      <t xml:space="preserve">Others including Operating Cost - Rs.49.45L                                      Kayakalp  Internal Assessment- Total 0.595L                                         </t>
    </r>
    <r>
      <rPr>
        <sz val="11"/>
        <color rgb="FF000000"/>
        <rFont val="Calibri"/>
        <family val="2"/>
      </rPr>
      <t xml:space="preserve">District Level Hospital Internal Assessment- Rs.0.08L  (4DH*0.02)                                          SDH/CHC Internal Assessment Rs.0.22L (22SDH/CHC*0.01)                                                       PHC Internal Assessment @ Rs.0.295L(59 PHC*0.005)  </t>
    </r>
    <r>
      <rPr>
        <b/>
        <sz val="11"/>
        <color rgb="FF000000"/>
        <rFont val="Calibri"/>
        <family val="2"/>
      </rPr>
      <t xml:space="preserve">                                                            Kayakalp Peer Assessment -Total 5.55L                                                  </t>
    </r>
    <r>
      <rPr>
        <sz val="11"/>
        <color rgb="FF000000"/>
        <rFont val="Calibri"/>
        <family val="2"/>
      </rPr>
      <t xml:space="preserve">District Level Hospital Peer Assessment -Rs.0.4L (4DH*0.10L)                                                                            SDH/CHC Hospital Peer Assessment-Rs.2.2L(22CHC/SDH*0.10L)                                                  PHC Peer Assessment @ Rs.2.95L(59PHC*0.05L)     </t>
    </r>
    <r>
      <rPr>
        <b/>
        <sz val="11"/>
        <color rgb="FF000000"/>
        <rFont val="Calibri"/>
        <family val="2"/>
      </rPr>
      <t xml:space="preserve"> </t>
    </r>
    <r>
      <rPr>
        <b/>
        <sz val="11"/>
        <color rgb="FFFF0000"/>
        <rFont val="Calibri"/>
        <family val="2"/>
      </rPr>
      <t xml:space="preserve"> </t>
    </r>
    <r>
      <rPr>
        <b/>
        <sz val="11"/>
        <color theme="1"/>
        <rFont val="Calibri"/>
        <family val="2"/>
      </rPr>
      <t xml:space="preserve">BIOMEDICAL WASTE MANAGEMENT- Total Rs.22.6L (Includes purchase of colour coded bins,puncture proof box,colour coded bags,payment to biomedical waste treatment facility etc)                                                                             </t>
    </r>
    <r>
      <rPr>
        <sz val="11"/>
        <color theme="1"/>
        <rFont val="Calibri"/>
        <family val="2"/>
      </rPr>
      <t xml:space="preserve">*4DHx0.60L=2.4L                                                                    *6 SDHx0.60L=3.6L                                                               *16CHC x0.30L=4.8L                                                     *59PHCx0.20=11.8L                                                             </t>
    </r>
    <r>
      <rPr>
        <b/>
        <sz val="11"/>
        <color theme="1"/>
        <rFont val="Calibri"/>
        <family val="2"/>
      </rPr>
      <t xml:space="preserve">PEST CONTROL MEASURES - Rs.13.7L                                                  </t>
    </r>
    <r>
      <rPr>
        <sz val="11"/>
        <color theme="1"/>
        <rFont val="Calibri"/>
        <family val="2"/>
      </rPr>
      <t xml:space="preserve">4DH x 0.50=2L                                                                        6TH x 0.30=1.8L                                                                     16 CHC x 0.25=4L                                                               59 PHC x 0.10=5.9L   </t>
    </r>
    <r>
      <rPr>
        <b/>
        <sz val="11"/>
        <color theme="1"/>
        <rFont val="Calibri"/>
        <family val="2"/>
      </rPr>
      <t xml:space="preserve">                            Support for KASH Implementation-Rs.7L                                                         </t>
    </r>
    <r>
      <rPr>
        <b/>
        <sz val="11"/>
        <rFont val="Calibri"/>
        <family val="2"/>
      </rPr>
      <t xml:space="preserve">IEC &amp; Printing - Total 5..37L                                               </t>
    </r>
    <r>
      <rPr>
        <sz val="11"/>
        <rFont val="Calibri"/>
        <family val="2"/>
      </rPr>
      <t xml:space="preserve">(Printing of SOPs for Implementation of NQAS,Kayakalp,LaQshya)   </t>
    </r>
    <r>
      <rPr>
        <b/>
        <sz val="11"/>
        <rFont val="Calibri"/>
        <family val="2"/>
      </rPr>
      <t xml:space="preserve">                                              </t>
    </r>
    <r>
      <rPr>
        <sz val="11"/>
        <rFont val="Calibri"/>
        <family val="2"/>
      </rPr>
      <t xml:space="preserve">DH/GH/W&amp;C 4x 0.20L=0.08L                                               TH 6x0.20L=1.2L                                                                    CHC16x0.10L=1.6L                                                                PHC 59x0.03L=1.77L   </t>
    </r>
  </si>
  <si>
    <r>
      <t xml:space="preserve">Equipment- Rs8.9L                                                                    
EQAS for Labs (Bio Chemistry &amp; Haemotology MOU for EQAS  from CMC Vellore and AIIMS Delhi)                                                         DH4x0.20L=0.8L                                                                      TH3x0.20L=0.6L                                                                      CHC20x0.10L=2L                                                                   PHC55x0.10L=5.5L   </t>
    </r>
    <r>
      <rPr>
        <b/>
        <sz val="11"/>
        <color rgb="FF000000"/>
        <rFont val="Calibri"/>
        <family val="2"/>
      </rPr>
      <t xml:space="preserve">                                                                           Capacity Building Training - Rs.9.55L                           </t>
    </r>
    <r>
      <rPr>
        <sz val="11"/>
        <color rgb="FF000000"/>
        <rFont val="Calibri"/>
        <family val="2"/>
      </rPr>
      <t>1.Staff of New Instituions going for NQAS Accreditation should be trained in NQAS District Level Training NQAS -Rs.1.50                                       2. Every year Staff of Instituions should be given refresher training                                                                a.Regional/District Level Trainings under kayakalp -Rs.0.50                                                                  b.Facility Level Training on "Swachh Bharat Abhiyan" for Distrct Hospitals- Rs. 0.8L(0.20*4 DH).                                                                                 c.Facility Level Training on "Swachh Bharat Abhiyan" for SDH and CHC -Rs.3.45L (0.15*23 SDH&amp;CHC)                                                                               d.Facility Level Training on "Swachh Bharat Abhiyan" for PHCs -Rs.3.3L(0.06*55 PHC/FHC)</t>
    </r>
    <r>
      <rPr>
        <b/>
        <sz val="11"/>
        <color rgb="FF000000"/>
        <rFont val="Calibri"/>
        <family val="2"/>
      </rPr>
      <t xml:space="preserve">
Others including Operating Costs -Rs.4L                                             </t>
    </r>
    <r>
      <rPr>
        <sz val="11"/>
        <color rgb="FF000000"/>
        <rFont val="Calibri"/>
        <family val="2"/>
      </rPr>
      <t xml:space="preserve">
Rs.4L for District Level Assessment &amp; Mentoring Visit (Quality Vehicle for Districts)</t>
    </r>
    <r>
      <rPr>
        <b/>
        <sz val="11"/>
        <color rgb="FF000000"/>
        <rFont val="Calibri"/>
        <family val="2"/>
      </rPr>
      <t xml:space="preserve">        </t>
    </r>
    <r>
      <rPr>
        <b/>
        <sz val="11"/>
        <color rgb="FFFF0000"/>
        <rFont val="Calibri"/>
        <family val="2"/>
      </rPr>
      <t xml:space="preserve">IEC &amp; Printing -Rs.5L                                                           </t>
    </r>
    <r>
      <rPr>
        <sz val="11"/>
        <color rgb="FFFF0000"/>
        <rFont val="Calibri"/>
        <family val="2"/>
      </rPr>
      <t>Signages- Approach road, departmental, directional and any other facility level signages
(DH @ 1L,CHC@0.50L,7 PHC*0.50L=3.5L)</t>
    </r>
    <r>
      <rPr>
        <sz val="11"/>
        <color rgb="FF000000"/>
        <rFont val="Calibri"/>
        <family val="2"/>
      </rPr>
      <t xml:space="preserve">
</t>
    </r>
    <r>
      <rPr>
        <b/>
        <sz val="11"/>
        <color rgb="FF000000"/>
        <rFont val="Calibri"/>
        <family val="2"/>
      </rPr>
      <t xml:space="preserve">Planning and Monitoring -0.72 L                                    </t>
    </r>
    <r>
      <rPr>
        <sz val="11"/>
        <color rgb="FF000000"/>
        <rFont val="Calibri"/>
        <family val="2"/>
      </rPr>
      <t xml:space="preserve">• Rs.0.24 Lakhs is proposed for District Quality Assurance Committee (Review Meeting) @.02*12=0.24L      </t>
    </r>
    <r>
      <rPr>
        <b/>
        <sz val="11"/>
        <color rgb="FF000000"/>
        <rFont val="Calibri"/>
        <family val="2"/>
      </rPr>
      <t xml:space="preserve">                                                                 </t>
    </r>
    <r>
      <rPr>
        <sz val="11"/>
        <color rgb="FF000000"/>
        <rFont val="Calibri"/>
        <family val="2"/>
      </rPr>
      <t xml:space="preserve">• Rs. 0.48 Lakhs is proposed for Contingency &amp; Misc. 4000*12 months=0.48L  </t>
    </r>
    <r>
      <rPr>
        <b/>
        <sz val="11"/>
        <color rgb="FF000000"/>
        <rFont val="Calibri"/>
        <family val="2"/>
      </rPr>
      <t xml:space="preserve">                                                                          
</t>
    </r>
    <r>
      <rPr>
        <sz val="11"/>
        <color rgb="FF000000"/>
        <rFont val="Calibri"/>
        <family val="2"/>
      </rPr>
      <t xml:space="preserve">                              </t>
    </r>
    <r>
      <rPr>
        <b/>
        <sz val="11"/>
        <color rgb="FF000000"/>
        <rFont val="Calibri"/>
        <family val="2"/>
      </rPr>
      <t xml:space="preserve">                                               
                                                                                                               </t>
    </r>
  </si>
  <si>
    <r>
      <t xml:space="preserve">Diagnostics (consumbales,PPP,Sample Transport) -Rs.26L                                                                              </t>
    </r>
    <r>
      <rPr>
        <sz val="11"/>
        <color rgb="FF000000"/>
        <rFont val="Calibri"/>
        <family val="2"/>
      </rPr>
      <t xml:space="preserve">4DHx1L=4L                                                    3THx1L=3L                                                        20CHCx0.40=8L                                        55FHCx0.20L=11L </t>
    </r>
    <r>
      <rPr>
        <b/>
        <sz val="11"/>
        <color rgb="FF000000"/>
        <rFont val="Calibri"/>
        <family val="2"/>
      </rPr>
      <t xml:space="preserve">    </t>
    </r>
    <r>
      <rPr>
        <sz val="11"/>
        <color rgb="FF000000"/>
        <rFont val="Calibri"/>
        <family val="2"/>
      </rPr>
      <t xml:space="preserve">                                  </t>
    </r>
    <r>
      <rPr>
        <b/>
        <sz val="11"/>
        <color rgb="FF000000"/>
        <rFont val="Calibri"/>
        <family val="2"/>
      </rPr>
      <t xml:space="preserve">Others including Operating Cost - Rs.47.64L                                       Kayakalp  Internal Assessment- Total 0.585L                                         </t>
    </r>
    <r>
      <rPr>
        <sz val="11"/>
        <color rgb="FF000000"/>
        <rFont val="Calibri"/>
        <family val="2"/>
      </rPr>
      <t xml:space="preserve">District Level Hospital Internal Assessment- Rs.0.08L  (4DH*0.02)                                          SDH/CHC Internal Assessment Rs.0.23L (23SDH/CHC*0.01)                                                       PHC Internal Assessment @ Rs.0.275L(55 PHC*0.005)  </t>
    </r>
    <r>
      <rPr>
        <b/>
        <sz val="11"/>
        <color rgb="FF000000"/>
        <rFont val="Calibri"/>
        <family val="2"/>
      </rPr>
      <t xml:space="preserve">                                                            Kayakalp Peer Assessment -Total 5.45L                                                  </t>
    </r>
    <r>
      <rPr>
        <sz val="11"/>
        <color rgb="FF000000"/>
        <rFont val="Calibri"/>
        <family val="2"/>
      </rPr>
      <t xml:space="preserve">District Level Hospital Peer Assessment -Rs.0.4L (4DH*0.10L)                                                                            SDH/CHC Hospital Peer Assessment-Rs.2.3L(23CHC/SDH*0.10L)                                                  PHC Peer Assessment @ Rs.2.75L(55PHC*0.05L)     </t>
    </r>
    <r>
      <rPr>
        <b/>
        <sz val="11"/>
        <color rgb="FF000000"/>
        <rFont val="Calibri"/>
        <family val="2"/>
      </rPr>
      <t xml:space="preserve"> </t>
    </r>
    <r>
      <rPr>
        <b/>
        <sz val="11"/>
        <color rgb="FFFF0000"/>
        <rFont val="Calibri"/>
        <family val="2"/>
      </rPr>
      <t xml:space="preserve"> </t>
    </r>
    <r>
      <rPr>
        <b/>
        <sz val="11"/>
        <color theme="1"/>
        <rFont val="Calibri"/>
        <family val="2"/>
      </rPr>
      <t xml:space="preserve">BIOMEDICAL WASTE MANAGEMENT- Total Rs.21.2L (Includes purchase of colour coded bins,puncture proof box,colour coded bags,payment to biomedical waste treatment facility etc)                                                                             </t>
    </r>
    <r>
      <rPr>
        <sz val="11"/>
        <color theme="1"/>
        <rFont val="Calibri"/>
        <family val="2"/>
      </rPr>
      <t xml:space="preserve">*4DHx0.60L=2.4L                                                                    *3SDHx0.60L=1.8L                                                               *20CHC x0.30L=6L                                                     *55PHCx0.20=11L                                                             </t>
    </r>
    <r>
      <rPr>
        <b/>
        <sz val="11"/>
        <color theme="1"/>
        <rFont val="Calibri"/>
        <family val="2"/>
      </rPr>
      <t xml:space="preserve">PEST CONTROL MEASURES - Rs.13.4L                                                  4DH x 0.50=2L                                                                        3TH x 0.30=0.9L                                                                     20 CHC x 0.25=5L                                                               55 PHC x 0.10=5.5L                                Support for KASH Implementation-Rs.7L                                                         </t>
    </r>
    <r>
      <rPr>
        <b/>
        <sz val="11"/>
        <color rgb="FFFF0000"/>
        <rFont val="Calibri"/>
        <family val="2"/>
      </rPr>
      <t xml:space="preserve">IEC &amp; Printing - Total 5.37L                                               </t>
    </r>
    <r>
      <rPr>
        <sz val="11"/>
        <color rgb="FFFF0000"/>
        <rFont val="Calibri"/>
        <family val="2"/>
      </rPr>
      <t xml:space="preserve">(Printing of SOPs for Implementation of NQAS,Kayakalp,LaQshya)   </t>
    </r>
    <r>
      <rPr>
        <b/>
        <sz val="11"/>
        <color rgb="FFFF0000"/>
        <rFont val="Calibri"/>
        <family val="2"/>
      </rPr>
      <t xml:space="preserve">                                              </t>
    </r>
    <r>
      <rPr>
        <sz val="11"/>
        <color rgb="FFFF0000"/>
        <rFont val="Calibri"/>
        <family val="2"/>
      </rPr>
      <t xml:space="preserve">DH/GH/W&amp;C 4x 0.20L=0.8                                               TH 6x0.20L=1.2L                                                                    CHC16x0.10L=1.6L                                                                PHC 59x0.03L=1.77L   </t>
    </r>
  </si>
  <si>
    <r>
      <t xml:space="preserve">Equipment- Rs6.4L                                                                    
EQAS for Labs (Bio Chemistry &amp; Haemotology MOU for EQAS  from CMC Vellore and AIIMS Delhi)                                                         </t>
    </r>
    <r>
      <rPr>
        <sz val="11"/>
        <color rgb="FF000000"/>
        <rFont val="Calibri"/>
        <family val="2"/>
      </rPr>
      <t xml:space="preserve">DH2x0.20L=0.4L                                                                      TH4x0.20L=0.8L                                                                      CHC13x0.10L=1.3L                                                                   PHC39x0.10L=3.9L     </t>
    </r>
    <r>
      <rPr>
        <b/>
        <sz val="11"/>
        <color rgb="FF000000"/>
        <rFont val="Calibri"/>
        <family val="2"/>
      </rPr>
      <t xml:space="preserve">                                                                                 Capacity Building Training - Rs.7.29L                           </t>
    </r>
    <r>
      <rPr>
        <sz val="11"/>
        <color rgb="FF000000"/>
        <rFont val="Calibri"/>
        <family val="2"/>
      </rPr>
      <t>1.Staff of New Instituions going for NQAS Accreditation should be trained in NQAS District Level Training NQAS -Rs.1.50                                       2. Every year Staff of Instituions should be given refresher training                                                                a.Regional/District Level Trainings under kayakalp -Rs.0.50                                                                  b.Facility Level Training on "Swachh Bharat Abhiyan" for Distrct Hospitals- Rs.0.4L (0.20*2 DH).                                                                                 c.Facility Level Training on "Swachh Bharat Abhiyan" for SDH and CHC -Rs.2.55L (0.15*17 SDH&amp;CHC)                                                                               d.Facility Level Training on "Swachh Bharat Abhiyan" for PHCs -Rs.2.34L(0.06*39 PHC/FHC)</t>
    </r>
    <r>
      <rPr>
        <b/>
        <sz val="11"/>
        <color rgb="FF000000"/>
        <rFont val="Calibri"/>
        <family val="2"/>
      </rPr>
      <t xml:space="preserve">
Others including Operating Costs -Rs.4L                                                      </t>
    </r>
    <r>
      <rPr>
        <sz val="11"/>
        <color rgb="FF000000"/>
        <rFont val="Calibri"/>
        <family val="2"/>
      </rPr>
      <t>Rs.4L for District Level Assessment &amp; Mentoring Visit (Quality Vehicle for Districts)</t>
    </r>
    <r>
      <rPr>
        <b/>
        <sz val="11"/>
        <color rgb="FF000000"/>
        <rFont val="Calibri"/>
        <family val="2"/>
      </rPr>
      <t xml:space="preserve">        </t>
    </r>
    <r>
      <rPr>
        <b/>
        <sz val="11"/>
        <color rgb="FFFF0000"/>
        <rFont val="Calibri"/>
        <family val="2"/>
      </rPr>
      <t xml:space="preserve">IEC &amp; Printing -Rs.5L                                                           </t>
    </r>
    <r>
      <rPr>
        <sz val="11"/>
        <color rgb="FFFF0000"/>
        <rFont val="Calibri"/>
        <family val="2"/>
      </rPr>
      <t>Signages- Approach road, departmental, directional and any other facility level signages
(DH @ 1L,CHC@0.50L,7 PHC*0.50L=3.5L)</t>
    </r>
    <r>
      <rPr>
        <sz val="11"/>
        <color rgb="FF000000"/>
        <rFont val="Calibri"/>
        <family val="2"/>
      </rPr>
      <t xml:space="preserve">
</t>
    </r>
    <r>
      <rPr>
        <b/>
        <sz val="11"/>
        <color rgb="FF000000"/>
        <rFont val="Calibri"/>
        <family val="2"/>
      </rPr>
      <t xml:space="preserve">Planning and Monitoring -0.72 L                                    </t>
    </r>
    <r>
      <rPr>
        <sz val="11"/>
        <color rgb="FF000000"/>
        <rFont val="Calibri"/>
        <family val="2"/>
      </rPr>
      <t xml:space="preserve">• Rs.0.24 Lakhs is proposed for District Quality Assurance Committee (Review Meeting) @.02*12=0.24L      </t>
    </r>
    <r>
      <rPr>
        <b/>
        <sz val="11"/>
        <color rgb="FF000000"/>
        <rFont val="Calibri"/>
        <family val="2"/>
      </rPr>
      <t xml:space="preserve">                                                                 </t>
    </r>
    <r>
      <rPr>
        <sz val="11"/>
        <color rgb="FF000000"/>
        <rFont val="Calibri"/>
        <family val="2"/>
      </rPr>
      <t xml:space="preserve">• Rs. 0.48 Lakhs is proposed for Contingency &amp; Misc. 4000*12 months=0.48L  </t>
    </r>
    <r>
      <rPr>
        <b/>
        <sz val="11"/>
        <color rgb="FF000000"/>
        <rFont val="Calibri"/>
        <family val="2"/>
      </rPr>
      <t xml:space="preserve">                                                                          
</t>
    </r>
    <r>
      <rPr>
        <sz val="11"/>
        <color rgb="FF000000"/>
        <rFont val="Calibri"/>
        <family val="2"/>
      </rPr>
      <t xml:space="preserve">                              </t>
    </r>
    <r>
      <rPr>
        <b/>
        <sz val="11"/>
        <color rgb="FF000000"/>
        <rFont val="Calibri"/>
        <family val="2"/>
      </rPr>
      <t xml:space="preserve">                                               
                                                                                                               </t>
    </r>
  </si>
  <si>
    <r>
      <t xml:space="preserve">Diagnostics (consumbales,PPP,Sample Transport) -Rs.19L                                                                              </t>
    </r>
    <r>
      <rPr>
        <sz val="11"/>
        <color rgb="FF000000"/>
        <rFont val="Calibri"/>
        <family val="2"/>
      </rPr>
      <t xml:space="preserve">2DHx1L=2L                                                    4THx1L=4L                                                        13CHCx0.40=5.2L                                        39FHCx0.20L=7.8L </t>
    </r>
    <r>
      <rPr>
        <b/>
        <sz val="11"/>
        <color rgb="FF000000"/>
        <rFont val="Calibri"/>
        <family val="2"/>
      </rPr>
      <t xml:space="preserve">    </t>
    </r>
    <r>
      <rPr>
        <sz val="11"/>
        <color rgb="FF000000"/>
        <rFont val="Calibri"/>
        <family val="2"/>
      </rPr>
      <t xml:space="preserve">                                     </t>
    </r>
    <r>
      <rPr>
        <b/>
        <sz val="11"/>
        <color theme="1"/>
        <rFont val="Calibri"/>
        <family val="2"/>
      </rPr>
      <t xml:space="preserve">Others including Operating Cost - Rs.35.91L </t>
    </r>
    <r>
      <rPr>
        <b/>
        <sz val="11"/>
        <color rgb="FFFF0000"/>
        <rFont val="Calibri"/>
        <family val="2"/>
      </rPr>
      <t xml:space="preserve">  </t>
    </r>
    <r>
      <rPr>
        <b/>
        <sz val="11"/>
        <color rgb="FF000000"/>
        <rFont val="Calibri"/>
        <family val="2"/>
      </rPr>
      <t xml:space="preserve">                                   Kayakalp  Internal Assessment- Total 0.405L                                         </t>
    </r>
    <r>
      <rPr>
        <sz val="11"/>
        <color rgb="FF000000"/>
        <rFont val="Calibri"/>
        <family val="2"/>
      </rPr>
      <t xml:space="preserve">District Level Hospital Internal Assessment- Rs.0.04L  (2DH*0.02)                                          SDH/CHC Internal Assessment Rs.0.17L (17SDH/CHC*0.01)                                                       PHC Internal Assessment @ Rs0.195L(39 PHC*0.005)  </t>
    </r>
    <r>
      <rPr>
        <b/>
        <sz val="11"/>
        <color rgb="FF000000"/>
        <rFont val="Calibri"/>
        <family val="2"/>
      </rPr>
      <t xml:space="preserve">                                                            Kayakalp Peer Assessment -Total 3.85L                                                  </t>
    </r>
    <r>
      <rPr>
        <sz val="11"/>
        <color rgb="FF000000"/>
        <rFont val="Calibri"/>
        <family val="2"/>
      </rPr>
      <t xml:space="preserve">District Level Hospital Peer Assessment -Rs.0.2L (2DH*0.10L)                                                                            SDH/CHC Hospital Peer Assessment-Rs.1.7L(17CHC/SDH*0.10L)                                                  PHC Peer Assessment @ Rs.1.95L(39PHC*0.05L)     </t>
    </r>
    <r>
      <rPr>
        <b/>
        <sz val="11"/>
        <color rgb="FF000000"/>
        <rFont val="Calibri"/>
        <family val="2"/>
      </rPr>
      <t xml:space="preserve"> </t>
    </r>
    <r>
      <rPr>
        <b/>
        <sz val="11"/>
        <color rgb="FFFF0000"/>
        <rFont val="Calibri"/>
        <family val="2"/>
      </rPr>
      <t xml:space="preserve"> </t>
    </r>
    <r>
      <rPr>
        <b/>
        <sz val="11"/>
        <color theme="1"/>
        <rFont val="Calibri"/>
        <family val="2"/>
      </rPr>
      <t xml:space="preserve">BIOMEDICAL WASTE MANAGEMENT- Total Rs.15.3L (Includes purchase of colour coded bins,puncture proof box,colour coded bags,payment to biomedical waste treatment facility etc)                                                                             </t>
    </r>
    <r>
      <rPr>
        <sz val="11"/>
        <color theme="1"/>
        <rFont val="Calibri"/>
        <family val="2"/>
      </rPr>
      <t xml:space="preserve">*2DHx0.60L=1.2L                                                                    *4SDHx0.60L=2.4L                                                               *13 CHC x0.30L=3.9L                                                     *39PHCx0.20=7.8L                                                             </t>
    </r>
    <r>
      <rPr>
        <b/>
        <sz val="11"/>
        <color theme="1"/>
        <rFont val="Calibri"/>
        <family val="2"/>
      </rPr>
      <t xml:space="preserve">PEST CONTROL MEASURES - Rs.9.35L                                                  </t>
    </r>
    <r>
      <rPr>
        <sz val="11"/>
        <color theme="1"/>
        <rFont val="Calibri"/>
        <family val="2"/>
      </rPr>
      <t xml:space="preserve">2DH x 0.50=1L                                                                        4TH x 0.30=1.2L                                                                     13CHC x 0.25=3.25L                                                               39PHC x 0.10=3.9L     </t>
    </r>
    <r>
      <rPr>
        <b/>
        <sz val="11"/>
        <color theme="1"/>
        <rFont val="Calibri"/>
        <family val="2"/>
      </rPr>
      <t xml:space="preserve">                            Support for KASH Implementation-Rs.7L                                                          IEC &amp; Printing - Total 3.67L                                               </t>
    </r>
    <r>
      <rPr>
        <sz val="11"/>
        <color theme="1"/>
        <rFont val="Calibri"/>
        <family val="2"/>
      </rPr>
      <t xml:space="preserve">(Printing of SOPs for Implementation of NQAS,Kayakalp,LaQshya)   </t>
    </r>
    <r>
      <rPr>
        <b/>
        <sz val="11"/>
        <color theme="1"/>
        <rFont val="Calibri"/>
        <family val="2"/>
      </rPr>
      <t xml:space="preserve">                                              </t>
    </r>
    <r>
      <rPr>
        <sz val="11"/>
        <color theme="1"/>
        <rFont val="Calibri"/>
        <family val="2"/>
      </rPr>
      <t xml:space="preserve">DH/GH/W&amp;C 2x 0.20L=0.4                                              TH 4x0.20L=0.8L                                                                    CHC13x0.10L=1.3L                                                                PHC 39x0.03L=1.17L   </t>
    </r>
  </si>
  <si>
    <r>
      <t xml:space="preserve">Equipment- Rs12.80L                                                                    
</t>
    </r>
    <r>
      <rPr>
        <sz val="11"/>
        <color rgb="FF000000"/>
        <rFont val="Calibri"/>
        <family val="2"/>
      </rPr>
      <t>EQAS for Labs (Bio Chemistry &amp; Haemotology MOU for EQAS  from CMC Vellore and AIIMS Delhi)                                                         DH4x0.20L=0.8L                                                                      TH11x0.20L=2.2L                                                                      CHC23x0.10L=2.3L                                                                   PHC75x0.10L=7.5L</t>
    </r>
    <r>
      <rPr>
        <b/>
        <sz val="11"/>
        <color rgb="FF000000"/>
        <rFont val="Calibri"/>
        <family val="2"/>
      </rPr>
      <t xml:space="preserve">                                                                                  Capacity Building Training - Rs.12.40L                                           </t>
    </r>
    <r>
      <rPr>
        <sz val="11"/>
        <color rgb="FF000000"/>
        <rFont val="Calibri"/>
        <family val="2"/>
      </rPr>
      <t>1.Staff of New Instituions going for NQAS Accreditation should be trained in NQAS District Level Training NQAS -Rs.1.50                                       2. Every year Staff of Instituions should be given refresher training                                                                a.Regional/District Level Trainings under kayakalp -Rs.0.50                                                                  b.Facility Level Training on "Swachh Bharat Abhiyan" for Distrct Hospitals- Rs.0.8 (0.20*4 DH).                                                                                 c.Facility Level Training on "Swachh Bharat Abhiyan" for SDH and CHC -Rs.5.1 (0.15*34 SDH&amp;CHC)                                                                               d.Facility Level Training on "Swachh Bharat Abhiyan" for PHCs -Rs.4.5 (0.06*75 PHC/FHC)</t>
    </r>
    <r>
      <rPr>
        <b/>
        <sz val="11"/>
        <color rgb="FF000000"/>
        <rFont val="Calibri"/>
        <family val="2"/>
      </rPr>
      <t xml:space="preserve">
Others including Operating Costs -Rs.4L                                               </t>
    </r>
    <r>
      <rPr>
        <sz val="11"/>
        <color rgb="FF000000"/>
        <rFont val="Calibri"/>
        <family val="2"/>
      </rPr>
      <t xml:space="preserve">
Rs.4L for District Level Assessment &amp; Mentoring Visit (Quality Vehicle for Districts)</t>
    </r>
    <r>
      <rPr>
        <b/>
        <sz val="11"/>
        <color rgb="FF000000"/>
        <rFont val="Calibri"/>
        <family val="2"/>
      </rPr>
      <t xml:space="preserve">        </t>
    </r>
    <r>
      <rPr>
        <b/>
        <sz val="11"/>
        <color rgb="FFFF0000"/>
        <rFont val="Calibri"/>
        <family val="2"/>
      </rPr>
      <t xml:space="preserve">IEC &amp; Printing -Rs.5L                                                           </t>
    </r>
    <r>
      <rPr>
        <sz val="11"/>
        <color rgb="FFFF0000"/>
        <rFont val="Calibri"/>
        <family val="2"/>
      </rPr>
      <t>Signages- Approach road, departmental, directional and any other facility level signages
(DH @ 1L,CHC@0.50L,7 PHC*0.50L=3.5L)</t>
    </r>
    <r>
      <rPr>
        <sz val="11"/>
        <color rgb="FF000000"/>
        <rFont val="Calibri"/>
        <family val="2"/>
      </rPr>
      <t xml:space="preserve">
</t>
    </r>
    <r>
      <rPr>
        <b/>
        <sz val="11"/>
        <color rgb="FF000000"/>
        <rFont val="Calibri"/>
        <family val="2"/>
      </rPr>
      <t xml:space="preserve">Planning and Monitoring -0.72 L                                    </t>
    </r>
    <r>
      <rPr>
        <sz val="11"/>
        <color rgb="FF000000"/>
        <rFont val="Calibri"/>
        <family val="2"/>
      </rPr>
      <t xml:space="preserve">• Rs.0.24 Lakhs is proposed for District Quality Assurance Committee (Review Meeting) @.02*12=0.24L      </t>
    </r>
    <r>
      <rPr>
        <b/>
        <sz val="11"/>
        <color rgb="FF000000"/>
        <rFont val="Calibri"/>
        <family val="2"/>
      </rPr>
      <t xml:space="preserve">                                                                 </t>
    </r>
    <r>
      <rPr>
        <sz val="11"/>
        <color rgb="FF000000"/>
        <rFont val="Calibri"/>
        <family val="2"/>
      </rPr>
      <t xml:space="preserve">• Rs. 0.48 Lakhs is proposed for Contingency &amp; Misc. 4000*12 months=0.48L  </t>
    </r>
    <r>
      <rPr>
        <b/>
        <sz val="11"/>
        <color rgb="FF000000"/>
        <rFont val="Calibri"/>
        <family val="2"/>
      </rPr>
      <t xml:space="preserve">                                                                          
</t>
    </r>
    <r>
      <rPr>
        <sz val="11"/>
        <color rgb="FF000000"/>
        <rFont val="Calibri"/>
        <family val="2"/>
      </rPr>
      <t xml:space="preserve">                              </t>
    </r>
    <r>
      <rPr>
        <b/>
        <sz val="11"/>
        <color rgb="FF000000"/>
        <rFont val="Calibri"/>
        <family val="2"/>
      </rPr>
      <t xml:space="preserve">                                               
                                                                                                               </t>
    </r>
  </si>
  <si>
    <r>
      <t xml:space="preserve">Diagnostics (consumbales,PPP,Sample Transport) -Rs.39.2L                                                                              </t>
    </r>
    <r>
      <rPr>
        <sz val="11"/>
        <color rgb="FF000000"/>
        <rFont val="Calibri"/>
        <family val="2"/>
      </rPr>
      <t xml:space="preserve">4DHx1L=4L                                                    11THx1L=11L                                                        23CHCx0.40=9.2L                                        75FHCx0.20L=15L                                     </t>
    </r>
    <r>
      <rPr>
        <b/>
        <sz val="11"/>
        <color rgb="FF000000"/>
        <rFont val="Calibri"/>
        <family val="2"/>
      </rPr>
      <t xml:space="preserve">Others including Operating Cost - Rs.64.8L                                      Kayakalp  Internal Assessment- Total 0.795L                                         </t>
    </r>
    <r>
      <rPr>
        <sz val="11"/>
        <color rgb="FF000000"/>
        <rFont val="Calibri"/>
        <family val="2"/>
      </rPr>
      <t xml:space="preserve">District Level Hospital Internal Assessment- Rs.0.08L  (4DH*0.02)                                          SDH/CHC Internal Assessment Rs.0.34L (34SDH/CHC*0.01)                                                       PHC Internal Assessment @ Rs.0.375L(75 PHC*0.005)  </t>
    </r>
    <r>
      <rPr>
        <b/>
        <sz val="11"/>
        <color rgb="FF000000"/>
        <rFont val="Calibri"/>
        <family val="2"/>
      </rPr>
      <t xml:space="preserve">                                                            Kayakalp Peer Assessment -Total 7.55L                                                  </t>
    </r>
    <r>
      <rPr>
        <sz val="11"/>
        <color rgb="FF000000"/>
        <rFont val="Calibri"/>
        <family val="2"/>
      </rPr>
      <t xml:space="preserve">District Level Hospital Peer Assessment -Rs.0.4L (4DH*0.10L)                                                                            SDH/CHC Hospital Peer Assessment-Rs.3.4L(34CHC/SDH*0.10L)                                                  PHC Peer Assessment @ Rs.3.75L(75PHC*0.05L)     </t>
    </r>
    <r>
      <rPr>
        <b/>
        <sz val="11"/>
        <color rgb="FF000000"/>
        <rFont val="Calibri"/>
        <family val="2"/>
      </rPr>
      <t xml:space="preserve"> </t>
    </r>
    <r>
      <rPr>
        <b/>
        <sz val="11"/>
        <color rgb="FFFF0000"/>
        <rFont val="Calibri"/>
        <family val="2"/>
      </rPr>
      <t xml:space="preserve"> </t>
    </r>
    <r>
      <rPr>
        <b/>
        <sz val="11"/>
        <color theme="1"/>
        <rFont val="Calibri"/>
        <family val="2"/>
      </rPr>
      <t xml:space="preserve">BIOMEDICAL WASTE MANAGEMENT- Total Rs.30.9L (Includes purchase of colour coded bins,puncture proof box,colour coded bags,payment to biomedical waste treatment facility etc)                                                                             </t>
    </r>
    <r>
      <rPr>
        <sz val="11"/>
        <color theme="1"/>
        <rFont val="Calibri"/>
        <family val="2"/>
      </rPr>
      <t xml:space="preserve">*4DHx0.60L=2.4L                                                                    *11SDHx0.60L=6.6L                                                               *23CHC x0.30L=6.9L                                                     *75PHCx0.20=15L                                                             </t>
    </r>
    <r>
      <rPr>
        <b/>
        <sz val="11"/>
        <color theme="1"/>
        <rFont val="Calibri"/>
        <family val="2"/>
      </rPr>
      <t xml:space="preserve">PEST CONTROL MEASURES - Rs.18.55L                                                </t>
    </r>
    <r>
      <rPr>
        <sz val="11"/>
        <color theme="1"/>
        <rFont val="Calibri"/>
        <family val="2"/>
      </rPr>
      <t xml:space="preserve">4DH x 0.50=2L                                                                        11TH x 0.30=3.3L                                                                      23CHC x 0.25=5.75L                                                               75PHC x 0.10=7.5L   </t>
    </r>
    <r>
      <rPr>
        <b/>
        <sz val="11"/>
        <color theme="1"/>
        <rFont val="Calibri"/>
        <family val="2"/>
      </rPr>
      <t xml:space="preserve">                             Support for KASH Implementation-Rs.7L                                                          IEC &amp; Printing - Total 7.55L                                               </t>
    </r>
    <r>
      <rPr>
        <sz val="11"/>
        <color theme="1"/>
        <rFont val="Calibri"/>
        <family val="2"/>
      </rPr>
      <t xml:space="preserve">(Printing of SOPs for Implementation of NQAS,Kayakalp,LaQshya)   </t>
    </r>
    <r>
      <rPr>
        <b/>
        <sz val="11"/>
        <color theme="1"/>
        <rFont val="Calibri"/>
        <family val="2"/>
      </rPr>
      <t xml:space="preserve">                                              </t>
    </r>
    <r>
      <rPr>
        <sz val="11"/>
        <color theme="1"/>
        <rFont val="Calibri"/>
        <family val="2"/>
      </rPr>
      <t xml:space="preserve">DH/GH/W&amp;C 4x 0.20L=0.8L                                                TH 11x0.20L=2.2L                                                                    CHC23x0.10L=2.3L                                                                PHC 75x0.03L=2.25L   </t>
    </r>
  </si>
  <si>
    <r>
      <t xml:space="preserve">Equipment- Rs12.10L                                                                    
</t>
    </r>
    <r>
      <rPr>
        <sz val="11"/>
        <color rgb="FF000000"/>
        <rFont val="Calibri"/>
        <family val="2"/>
      </rPr>
      <t xml:space="preserve">EQAS for Labs (Bio Chemistry &amp; Haemotology MOU for EQAS  from CMC Vellore and AIIMS Delhi)                                                         DH3x0.20L=0.6L                                                                      TH6x0.20L=1.2L                                                                      CHC24x0.10L=2.4L                                                                   PHC79x0.10L=7.9L     </t>
    </r>
    <r>
      <rPr>
        <b/>
        <sz val="11"/>
        <color rgb="FF000000"/>
        <rFont val="Calibri"/>
        <family val="2"/>
      </rPr>
      <t xml:space="preserve">                                                                                 Capacity Building Training - Rs.11.84L                                           </t>
    </r>
    <r>
      <rPr>
        <sz val="11"/>
        <color rgb="FF000000"/>
        <rFont val="Calibri"/>
        <family val="2"/>
      </rPr>
      <t>1.Staff of New Instituions going for NQAS Accreditation should be trained in NQAS District Level Training NQAS -Rs.1.50                                       2. Every year Staff of Instituions should be given refresher training                                                                a.Regional/District Level Trainings under kayakalp -Rs.0.50                                                                  b.Facility Level Training on "Swachh Bharat Abhiyan" for Distrct Hospitals- Rs.0.6 (0.20*3 DH).                                                                                 c.Facility Level Training on "Swachh Bharat Abhiyan" for SDH and CHC -Rs.4.5 (0.15*30 SDH&amp;CHC)                                                                               d.Facility Level Training on "Swachh Bharat Abhiyan" for PHCs -Rs.4.74 (0.06*79PHC/FHC)</t>
    </r>
    <r>
      <rPr>
        <b/>
        <sz val="11"/>
        <color rgb="FF000000"/>
        <rFont val="Calibri"/>
        <family val="2"/>
      </rPr>
      <t xml:space="preserve">
Others including Operating Costs -Rs.4L                                               </t>
    </r>
    <r>
      <rPr>
        <sz val="11"/>
        <color rgb="FF000000"/>
        <rFont val="Calibri"/>
        <family val="2"/>
      </rPr>
      <t xml:space="preserve">               
Rs.4L for District Level Assessment &amp; Mentoring Visit (Quality Vehicle for Districts)</t>
    </r>
    <r>
      <rPr>
        <b/>
        <sz val="11"/>
        <color rgb="FF000000"/>
        <rFont val="Calibri"/>
        <family val="2"/>
      </rPr>
      <t xml:space="preserve">                                          </t>
    </r>
    <r>
      <rPr>
        <b/>
        <sz val="11"/>
        <color rgb="FFFF0000"/>
        <rFont val="Calibri"/>
        <family val="2"/>
      </rPr>
      <t xml:space="preserve">IEC &amp; Printing -Rs.5L                                                           </t>
    </r>
    <r>
      <rPr>
        <sz val="11"/>
        <color rgb="FFFF0000"/>
        <rFont val="Calibri"/>
        <family val="2"/>
      </rPr>
      <t>Signages- Approach road, departmental, directional and any other facility level signages
(DH @ 1L,CHC@0.50L,7 PHC*0.50L=3.5L)</t>
    </r>
    <r>
      <rPr>
        <sz val="11"/>
        <color rgb="FF000000"/>
        <rFont val="Calibri"/>
        <family val="2"/>
      </rPr>
      <t xml:space="preserve">
</t>
    </r>
    <r>
      <rPr>
        <b/>
        <sz val="11"/>
        <color rgb="FF000000"/>
        <rFont val="Calibri"/>
        <family val="2"/>
      </rPr>
      <t xml:space="preserve">Planning and Monitoring -0.72 L                                    </t>
    </r>
    <r>
      <rPr>
        <sz val="11"/>
        <color rgb="FF000000"/>
        <rFont val="Calibri"/>
        <family val="2"/>
      </rPr>
      <t xml:space="preserve">• Rs.0.24 Lakhs is proposed for District Quality Assurance Committee (Review Meeting) @.02*12=0.24L      </t>
    </r>
    <r>
      <rPr>
        <b/>
        <sz val="11"/>
        <color rgb="FF000000"/>
        <rFont val="Calibri"/>
        <family val="2"/>
      </rPr>
      <t xml:space="preserve">                                                                 </t>
    </r>
    <r>
      <rPr>
        <sz val="11"/>
        <color rgb="FF000000"/>
        <rFont val="Calibri"/>
        <family val="2"/>
      </rPr>
      <t xml:space="preserve">• Rs. 0.48 Lakhs is proposed for Contingency &amp; Misc. 4000*12 months=0.48L  </t>
    </r>
    <r>
      <rPr>
        <b/>
        <sz val="11"/>
        <color rgb="FF000000"/>
        <rFont val="Calibri"/>
        <family val="2"/>
      </rPr>
      <t xml:space="preserve">                                                                          
</t>
    </r>
    <r>
      <rPr>
        <sz val="11"/>
        <color rgb="FF000000"/>
        <rFont val="Calibri"/>
        <family val="2"/>
      </rPr>
      <t xml:space="preserve">                              </t>
    </r>
    <r>
      <rPr>
        <b/>
        <sz val="11"/>
        <color rgb="FF000000"/>
        <rFont val="Calibri"/>
        <family val="2"/>
      </rPr>
      <t xml:space="preserve">                                               
                                                                                                               </t>
    </r>
  </si>
  <si>
    <r>
      <t xml:space="preserve">Diagnostics (consumbales,PPP,Sample Transport) -Rs.34.4L                                                                              </t>
    </r>
    <r>
      <rPr>
        <sz val="11"/>
        <color rgb="FF000000"/>
        <rFont val="Calibri"/>
        <family val="2"/>
      </rPr>
      <t>3DHx1L=3L                                                    6THx1L=6L                                                        24CHCx0.40=9.6L                                        79FHCx0.20L=15.8L</t>
    </r>
    <r>
      <rPr>
        <b/>
        <sz val="11"/>
        <color rgb="FF000000"/>
        <rFont val="Calibri"/>
        <family val="2"/>
      </rPr>
      <t xml:space="preserve">     </t>
    </r>
    <r>
      <rPr>
        <sz val="11"/>
        <color rgb="FF000000"/>
        <rFont val="Calibri"/>
        <family val="2"/>
      </rPr>
      <t xml:space="preserve">                                 </t>
    </r>
    <r>
      <rPr>
        <b/>
        <sz val="11"/>
        <color rgb="FF000000"/>
        <rFont val="Calibri"/>
        <family val="2"/>
      </rPr>
      <t xml:space="preserve">Others including Operating Cost - Rs.60.61L                                      Kayakalp  Internal Assessment- Total 0.755L                                         </t>
    </r>
    <r>
      <rPr>
        <sz val="11"/>
        <color rgb="FF000000"/>
        <rFont val="Calibri"/>
        <family val="2"/>
      </rPr>
      <t xml:space="preserve">District Level Hospital Internal Assessment- Rs.0.06L  (3DH*0.02)                                          SDH/CHC Internal Assessment Rs.0.3L (30SDH/CHC*0.01)                                                       PHC Internal Assessment @ Rs.0.395L(79 PHC*0.005)  </t>
    </r>
    <r>
      <rPr>
        <b/>
        <sz val="11"/>
        <color rgb="FF000000"/>
        <rFont val="Calibri"/>
        <family val="2"/>
      </rPr>
      <t xml:space="preserve">                                                            Kayakalp Peer Assessment -Total 7.25L                                                  </t>
    </r>
    <r>
      <rPr>
        <sz val="11"/>
        <color rgb="FF000000"/>
        <rFont val="Calibri"/>
        <family val="2"/>
      </rPr>
      <t xml:space="preserve">District Level Hospital Peer Assessment -Rs.0.3L (3DH*0.10L)                                                                            SDH/CHC Hospital Peer Assessment-Rs.3L(30CHC/SDH*0.10L)                                                  PHC Peer Assessment @ Rs.3.95L(79PHC*0.05L)     </t>
    </r>
    <r>
      <rPr>
        <b/>
        <sz val="11"/>
        <color rgb="FF000000"/>
        <rFont val="Calibri"/>
        <family val="2"/>
      </rPr>
      <t xml:space="preserve"> </t>
    </r>
    <r>
      <rPr>
        <b/>
        <sz val="11"/>
        <color rgb="FFFF0000"/>
        <rFont val="Calibri"/>
        <family val="2"/>
      </rPr>
      <t xml:space="preserve"> </t>
    </r>
    <r>
      <rPr>
        <b/>
        <sz val="11"/>
        <color theme="1"/>
        <rFont val="Calibri"/>
        <family val="2"/>
      </rPr>
      <t xml:space="preserve">BIOMEDICAL WASTE MANAGEMENT- Total Rs.28.4L (Includes purchase of colour coded bins,puncture proof box,colour coded bags,payment to biomedical waste treatment facility etc)                                                                             </t>
    </r>
    <r>
      <rPr>
        <sz val="11"/>
        <color theme="1"/>
        <rFont val="Calibri"/>
        <family val="2"/>
      </rPr>
      <t xml:space="preserve">*3DHx0.60L=1.8L                                                                    *6SDHx0.60L=3.6L                                                               *24CHC x0.30L=7.2L                                                     *79PHCx0.20=15.8L                                                             </t>
    </r>
    <r>
      <rPr>
        <b/>
        <sz val="11"/>
        <color theme="1"/>
        <rFont val="Calibri"/>
        <family val="2"/>
      </rPr>
      <t xml:space="preserve">PEST CONTROL MEASURES - Rs.17.2L                                                  3DH x 0.50=1.5L                                                                        6TH x 0.30=1.8L                                                                     24CHC x 0.25=6L                                                               79PHC x 0.10=7.9L                            Support for KASH Implementation-Rs.7L                                                IEC &amp; Printing - Total 6.57L                                               </t>
    </r>
    <r>
      <rPr>
        <sz val="11"/>
        <color theme="1"/>
        <rFont val="Calibri"/>
        <family val="2"/>
      </rPr>
      <t xml:space="preserve">(Printing of SOPs for Implementation of NQAS,Kayakalp,LaQshya)   </t>
    </r>
    <r>
      <rPr>
        <b/>
        <sz val="11"/>
        <color theme="1"/>
        <rFont val="Calibri"/>
        <family val="2"/>
      </rPr>
      <t xml:space="preserve">                                              </t>
    </r>
    <r>
      <rPr>
        <sz val="11"/>
        <color theme="1"/>
        <rFont val="Calibri"/>
        <family val="2"/>
      </rPr>
      <t xml:space="preserve">DH/GH/W&amp;C 3x 0.20L=0.6                                               TH 6x0.20L=1.2L                                                                    CHC24x0.10L=2.4L                                                                PHC 79x0.03L=2.37L   </t>
    </r>
  </si>
  <si>
    <r>
      <t xml:space="preserve">Equipment- Rs11.30L                                                                    
EQAS for Labs (Bio Chemistry &amp; Haemotology MOU for EQAS  from CMC Vellore and AIIMS Delhi)                                                         </t>
    </r>
    <r>
      <rPr>
        <sz val="11"/>
        <color rgb="FF000000"/>
        <rFont val="Calibri"/>
        <family val="2"/>
      </rPr>
      <t xml:space="preserve">DH2x0.20L=0.4L                                                                      TH7x0.20L=1.4L                                                                      CHC19x0.10L=1.9L                                                                   PHC76x0.10L=7.6L  </t>
    </r>
    <r>
      <rPr>
        <b/>
        <sz val="11"/>
        <color rgb="FF000000"/>
        <rFont val="Calibri"/>
        <family val="2"/>
      </rPr>
      <t xml:space="preserve">                                                                            Capacity Building Training - Rs.10.86L                                           </t>
    </r>
    <r>
      <rPr>
        <sz val="11"/>
        <color rgb="FF000000"/>
        <rFont val="Calibri"/>
        <family val="2"/>
      </rPr>
      <t>1.Staff of New Instituions going for NQAS Accreditation should be trained in NQAS District Level Training NQAS -Rs.1.50                                       2. Every year Staff of Instituions should be given refresher training                                                                a.Regional/District Level Trainings under kayakalp -Rs.0.50                                                                  b.Facility Level Training on "Swachh Bharat Abhiyan" for Distrct Hospitals- Rs.0.4L(0.20*2DH).                                                                                 c.Facility Level Training on "Swachh Bharat Abhiyan" for SDH and CHC -Rs.3.9L (0.15*26SDH&amp;CHC)                                                                               d.Facility Level Training on "Swachh Bharat Abhiyan" for PHCs -Rs.4.56L(0.06*76 PHC/FHC)</t>
    </r>
    <r>
      <rPr>
        <b/>
        <sz val="11"/>
        <color rgb="FF000000"/>
        <rFont val="Calibri"/>
        <family val="2"/>
      </rPr>
      <t xml:space="preserve">
Others including Operating Costs -Rs.4L                                                      </t>
    </r>
    <r>
      <rPr>
        <sz val="11"/>
        <color rgb="FF000000"/>
        <rFont val="Calibri"/>
        <family val="2"/>
      </rPr>
      <t>Rs.4L for District Level Assessment &amp; Mentoring Visit (Quality Vehicle for Districts)</t>
    </r>
    <r>
      <rPr>
        <b/>
        <sz val="11"/>
        <color rgb="FF000000"/>
        <rFont val="Calibri"/>
        <family val="2"/>
      </rPr>
      <t xml:space="preserve">                                           </t>
    </r>
    <r>
      <rPr>
        <b/>
        <sz val="11"/>
        <color rgb="FFFF0000"/>
        <rFont val="Calibri"/>
        <family val="2"/>
      </rPr>
      <t xml:space="preserve">IEC &amp; Printing -Rs.5L                                                           </t>
    </r>
    <r>
      <rPr>
        <sz val="11"/>
        <color rgb="FFFF0000"/>
        <rFont val="Calibri"/>
        <family val="2"/>
      </rPr>
      <t>Signages- Approach road, departmental, directional and any other facility level signages
(DH @ 1L,CHC@0.50L,7 PHC*0.50L=3.5L)</t>
    </r>
    <r>
      <rPr>
        <sz val="11"/>
        <color rgb="FF000000"/>
        <rFont val="Calibri"/>
        <family val="2"/>
      </rPr>
      <t xml:space="preserve">
</t>
    </r>
    <r>
      <rPr>
        <b/>
        <sz val="11"/>
        <color rgb="FF000000"/>
        <rFont val="Calibri"/>
        <family val="2"/>
      </rPr>
      <t xml:space="preserve">Planning and Monitoring -0.72 L                                    </t>
    </r>
    <r>
      <rPr>
        <sz val="11"/>
        <color rgb="FF000000"/>
        <rFont val="Calibri"/>
        <family val="2"/>
      </rPr>
      <t xml:space="preserve">• Rs.0.24 Lakhs is proposed for District Quality Assurance Committee (Review Meeting) @.02*12=0.24L      </t>
    </r>
    <r>
      <rPr>
        <b/>
        <sz val="11"/>
        <color rgb="FF000000"/>
        <rFont val="Calibri"/>
        <family val="2"/>
      </rPr>
      <t xml:space="preserve">                                                                 </t>
    </r>
    <r>
      <rPr>
        <sz val="11"/>
        <color rgb="FF000000"/>
        <rFont val="Calibri"/>
        <family val="2"/>
      </rPr>
      <t xml:space="preserve">• Rs. 0.48 Lakhs is proposed for Contingency &amp; Misc. 4000*12 months=0.48L  </t>
    </r>
    <r>
      <rPr>
        <b/>
        <sz val="11"/>
        <color rgb="FF000000"/>
        <rFont val="Calibri"/>
        <family val="2"/>
      </rPr>
      <t xml:space="preserve">                                                                          
</t>
    </r>
    <r>
      <rPr>
        <sz val="11"/>
        <color rgb="FF000000"/>
        <rFont val="Calibri"/>
        <family val="2"/>
      </rPr>
      <t xml:space="preserve">                              </t>
    </r>
    <r>
      <rPr>
        <b/>
        <sz val="11"/>
        <color rgb="FF000000"/>
        <rFont val="Calibri"/>
        <family val="2"/>
      </rPr>
      <t xml:space="preserve">                                               
                                                                                                               </t>
    </r>
  </si>
  <si>
    <r>
      <t xml:space="preserve">Diagnostics (consumbales,PPP,Sample Transport) -Rs.31.80L                                                                              2DHx1L=2L                                                    7THx1L=7L                                                        19CHCx0.40=7.6L                                        76FHCx0.20L=15.2L     </t>
    </r>
    <r>
      <rPr>
        <sz val="11"/>
        <color rgb="FF000000"/>
        <rFont val="Calibri"/>
        <family val="2"/>
      </rPr>
      <t xml:space="preserve">                                      </t>
    </r>
    <r>
      <rPr>
        <b/>
        <sz val="11"/>
        <color rgb="FFFF0000"/>
        <rFont val="Calibri"/>
        <family val="2"/>
      </rPr>
      <t xml:space="preserve">Others including Operating Cost - Rs.55.74L                                      Kayakalp  Internal Assessment- Total 0.395L                                         </t>
    </r>
    <r>
      <rPr>
        <sz val="11"/>
        <color rgb="FFFF0000"/>
        <rFont val="Calibri"/>
        <family val="2"/>
      </rPr>
      <t xml:space="preserve">District Level Hospital Internal Assessment- Rs.0.04L  (2DH*0.02)                                          SDH/CHC Internal Assessment Rs.0.26L (26SDH/CHC*0.01)                                                       PHC Internal Assessment @ Rs.0.095L(19 PHC*0.005)  </t>
    </r>
    <r>
      <rPr>
        <b/>
        <sz val="11"/>
        <color rgb="FFFF0000"/>
        <rFont val="Calibri"/>
        <family val="2"/>
      </rPr>
      <t xml:space="preserve">                                                            Kayakalp Peer Assessment -Total 6.6L                                                  </t>
    </r>
    <r>
      <rPr>
        <sz val="11"/>
        <color rgb="FFFF0000"/>
        <rFont val="Calibri"/>
        <family val="2"/>
      </rPr>
      <t xml:space="preserve">District Level Hospital Peer Assessment -Rs.0.2L (2DH*0.10L)                                                                            SDH/CHC Hospital Peer Assessment-Rs.2.6L(26CHC/SDH*0.10L)                                                  PHC Peer Assessment @ Rs.3.8L(76PHC*0.05L)     </t>
    </r>
    <r>
      <rPr>
        <b/>
        <sz val="11"/>
        <color rgb="FFFF0000"/>
        <rFont val="Calibri"/>
        <family val="2"/>
      </rPr>
      <t xml:space="preserve">  BIOMEDICAL WASTE MANAGEMENT- Total Rs.26.3L (Includes purchase of colour coded bins,puncture proof box,colour coded bags,payment to biomedical waste treatment facility etc)                                                                             </t>
    </r>
    <r>
      <rPr>
        <sz val="11"/>
        <color rgb="FFFF0000"/>
        <rFont val="Calibri"/>
        <family val="2"/>
      </rPr>
      <t xml:space="preserve">*2DHx0.60L=1.2L                                                                    *7SDHx0.60L=4.2L                                                               *19 CHC x0.30L=5.7L                                                     *76PHCx0.20=15.2L                                                             </t>
    </r>
    <r>
      <rPr>
        <b/>
        <sz val="11"/>
        <color rgb="FFFF0000"/>
        <rFont val="Calibri"/>
        <family val="2"/>
      </rPr>
      <t xml:space="preserve">PEST CONTROL MEASURES - Rs.15.45L                                                2DH x 0.50=1L                                                                        7TH x 0.30=2.1L                                                                     19 CHC x 0.25=4.75L                                                               76 PHC x 0.10=7.6L                              Support for KASH Implementation-Rs.7L                 </t>
    </r>
    <r>
      <rPr>
        <b/>
        <sz val="11"/>
        <color theme="1"/>
        <rFont val="Calibri"/>
        <family val="2"/>
      </rPr>
      <t xml:space="preserve">                                        IEC &amp; Printing - Total 5.98L                                               </t>
    </r>
    <r>
      <rPr>
        <sz val="11"/>
        <color theme="1"/>
        <rFont val="Calibri"/>
        <family val="2"/>
      </rPr>
      <t xml:space="preserve">(Printing of SOPs for Implementation of NQAS,Kayakalp,LaQshya)   </t>
    </r>
    <r>
      <rPr>
        <b/>
        <sz val="11"/>
        <color theme="1"/>
        <rFont val="Calibri"/>
        <family val="2"/>
      </rPr>
      <t xml:space="preserve">                                              </t>
    </r>
    <r>
      <rPr>
        <sz val="11"/>
        <color theme="1"/>
        <rFont val="Calibri"/>
        <family val="2"/>
      </rPr>
      <t xml:space="preserve">DH/GH/W&amp;C 2x 0.20L=0.4L                                               TH 7x0.20L=1.4L                                                                    CHC19x0.10L=1.9L                                                                PHC 76x0.03L=2.28L   </t>
    </r>
  </si>
  <si>
    <r>
      <rPr>
        <sz val="11"/>
        <color rgb="FFFF0000"/>
        <rFont val="Calibri"/>
        <family val="2"/>
      </rPr>
      <t xml:space="preserve">Equipment- Rs12.9L                                                                    
EQAS for Labs (Bio Chemistry &amp; Haemotology MOU for EQAS  from CMC Vellore and AIIMS Delhi)                                                         DH5x0.20L=1L                                                                      TH7x0.20L=1.4L                                                                      CHC21x0.10L=2.1L                                                                   PHC84x0.10L=8.4L     </t>
    </r>
    <r>
      <rPr>
        <sz val="11"/>
        <color rgb="FF000000"/>
        <rFont val="Calibri"/>
        <family val="2"/>
      </rPr>
      <t xml:space="preserve">                                                                                 Capacity Building Training - Rs.12.24L                           1.Staff of New Instituions going for NQAS Accreditation should be trained in NQAS District Level Training NQAS -Rs.1.50                                       2. Every year Staff of Instituions should be given refresher training                                                                a.Regional/District Level Trainings under kayakalp -Rs.0.50                                                                  b.Facility Level Training on "Swachh Bharat Abhiyan" for Distrct Hospitals- Rs.1 (0.20*5 DH).                                                                                 c.Facility Level Training on "Swachh Bharat Abhiyan" for SDH and CHC -Rs.4.2L(0.15*28SDH&amp;CHC)                                                                               d.Facility Level Training on "Swachh Bharat Abhiyan" for PHCs -Rs.5.04L (0.06*84 PHC/FHC)
Others including Operating Costs -Rs.4L                  
Rs.4L for District Level Assessment &amp; Mentoring Visit (Quality Vehicle for Districts)        </t>
    </r>
    <r>
      <rPr>
        <sz val="11"/>
        <color rgb="FFFF0000"/>
        <rFont val="Calibri"/>
        <family val="2"/>
      </rPr>
      <t>IEC &amp; Printing -Rs.5L                                                           Signages- Approach road, departmental, directional and any other facility level signages
(DH @ 1L,CHC@0.50L,7 PHC*0.50L=3.5L)</t>
    </r>
    <r>
      <rPr>
        <sz val="11"/>
        <color rgb="FF000000"/>
        <rFont val="Calibri"/>
        <family val="2"/>
      </rPr>
      <t xml:space="preserve">
Planning and Monitoring -0.72 L                                    • Rs.0.24 Lakhs is proposed for District Quality Assurance Committee (Review Meeting) @.02*12=0.24L                                                                       • Rs. 0.48 Lakhs is proposed for Contingency &amp; Misc. 4000*12 months=0.48L                                                                            
                                                                                                               </t>
    </r>
  </si>
  <si>
    <r>
      <t xml:space="preserve">Diagnostics (consumbales,PPP,Sample Transport) -Rs.37.20L                                                                              5DHx1L=5L                                                    7THx1L=7L                                                        21CHCx0.40=8.4L                                        84FHCx0.20L=16.8L                                     Others including Operating Cost - Rs.63.85L          Kayakalp  Internal Assessment- Total 0.8L                                         District Level Hospital Internal Assessment- Rs.0.1L  (5DH*0.02)                                          SDH/CHC Internal Assessment Rs.0.28L (28SDH/CHC*0.01)                                                       PHC Internal Assessment @ Rs.0.42L(84 PHC*0.005=0.355L)                                                              Kayakalp Peer Assessment -Total 7.5L                     District Level Hospital Peer Assessment -Rs.0.5L (5DH*0.10L)                                                                            SDH/CHC Hospital Peer Assessment-Rs.2.8L(28CHC/SDH*0.10L)                                                  PHC Peer Assessment @ Rs.4.2L(84PHC*0.05L)      </t>
    </r>
    <r>
      <rPr>
        <sz val="11"/>
        <color rgb="FFFF0000"/>
        <rFont val="Calibri"/>
        <family val="2"/>
      </rPr>
      <t xml:space="preserve"> </t>
    </r>
    <r>
      <rPr>
        <sz val="11"/>
        <color theme="1"/>
        <rFont val="Calibri"/>
        <family val="2"/>
      </rPr>
      <t xml:space="preserve">BIOMEDICAL WASTE MANAGEMENT- Total Rs.30.3L (Includes purchase of colour coded bins,puncture proof box,colour coded bags,payment to biomedical waste treatment facility etc)                                                                             *5DHx0.60L=3L                                                                    *7 SDHx0.60L=4.2L                                                               *21CHC x0.30L=6.3L                                                     *84PHCx0.20=16.8L                                                             PEST CONTROL MEASURES - Rs.18.25L                              5DH x 0.50=2.5L                                                                        7TH x 0.30=2.1L                                                                     21CHC x 0.25=5.25L                                                               84 PHC x 0.10=8.4L                                 Support for KASH Implementation-Rs.7L                                                IEC &amp; Printing - Total 7.02L                                               (Printing of SOPs for Implementation of NQAS,Kayakalp,LaQshya)                                                 DH/GH/W&amp;C 5x 0.20L=1L                                                TH 7x0.20L=1.4L                                                                    CHC21x0.10L=2.1L                                                                PHC 84x0.03L=2.52L   </t>
    </r>
  </si>
  <si>
    <r>
      <t xml:space="preserve">Equipment- Rs10L                                                                    
EQAS for Labs (Bio Chemistry &amp; Haemotology MOU for EQAS  from CMC Vellore and AIIMS Delhi)                                                         DH3x0.20L=0.6L                                                                      TH7x0.20L=1.4L                                                                      CHC16x0.10L=1.6L                                                                   PHC64x0.10L=6.4L                                                                                       Capacity Building Training - Rs.9.89                           1.Staff of New Instituions going for NQAS Accreditation should be trained in NQAS District Level Training NQAS -Rs.1.50                                       2. Every year Staff of Instituions should be given refresher training                                                                a.Regional/District Level Trainings under kayakalp -Rs.0.50                                                                  b.Facility Level Training on "Swachh Bharat Abhiyan" for Distrct Hospitals- Rs.0.6 (0.20*3DH).                                                                                 c.Facility Level Training on "Swachh Bharat Abhiyan" for SDH and CHC -Rs.3.45 (0.15*23SDH&amp;CHC)                                                                               d.Facility Level Training on "Swachh Bharat Abhiyan" for PHCs -Rs.3.84(0.06*64 PHC/FHC)
Others including Operating Costs -Rs.4L                                               
Rs.4L for District Level Assessment &amp; Mentoring Visit (Quality Vehicle for Districts)                                           </t>
    </r>
    <r>
      <rPr>
        <sz val="11"/>
        <color rgb="FFFF0000"/>
        <rFont val="Calibri"/>
        <family val="2"/>
      </rPr>
      <t>IEC &amp; Printing -Rs.5L                                                           Signages- Approach road, departmental, directional and any other facility level signages
(DH @ 1L,CHC@0.50L,7 PHC*0.50L=3.5L)</t>
    </r>
    <r>
      <rPr>
        <sz val="11"/>
        <color rgb="FF000000"/>
        <rFont val="Calibri"/>
        <family val="2"/>
      </rPr>
      <t xml:space="preserve">
Planning and Monitoring -0.72 L                                    • Rs.0.24 Lakhs is proposed for District Quality Assurance Committee (Review Meeting) @.02*12=0.24L                                                                       • Rs. 0.48 Lakhs is proposed for Contingency &amp; Misc. 4000*12 months=0.48L                                                                            
                                                                                                               </t>
    </r>
  </si>
  <si>
    <r>
      <t xml:space="preserve">Diagnostics (consumbales,PPP,Sample Transport) -Rs.29.20L                                                                              3DHx1L=3L                                                    7THx1L=7L                                                        16CHCx0.40=6.4L                                        64FHCx0.20L=12.8L                                       </t>
    </r>
    <r>
      <rPr>
        <sz val="11"/>
        <color rgb="FFFF0000"/>
        <rFont val="Calibri"/>
        <family val="2"/>
      </rPr>
      <t>Others including Operating Cost - Rs.48.61L                                      Kayakalp  Internal Assessment- Total 0.61L                                         District Level Hospital Internal Assessment- Rs.0.06L  (3DH*0.02)                                          SDH/CHC Internal Assessment Rs.0.23L (23SDH/CHC*0.01)                                                       PHC Internal Assessment @ Rs.0.32L(64 PHC*0.005)                                                              Kayakalp Peer Assessment -Total 5.8L                                                   District Level Hospital Peer Assessment -Rs.0.3L (3DH*0.10L)                                                                            SDH/CHC Hospital Peer Assessment-Rs.2.3L(23CHC/SDH*0.10L)                                                  PHC Peer Assessment @ Rs.3.2L(64PHC*0.05L)       BIOMEDICAL WASTE MANAGEMENT- Total Rs.23.6L (Includes purchase of colour coded bins,puncture proof box,colour coded bags,payment to biomedical waste treatment facility etc)                                                                             *3DHx0.60L=1.8L                                                                    *7SDHx0.60L=4.2L                                                               *16CHC x0.30L=4.8L                                                     *64PHCx0.20=12.8L                                                             PEST CONTROL MEASURES - Rs.11.6L                                                  3DH x 0.50=1.5L                                                                        7TH x 0.30=2.1L                                                                     16 CHC x 0.25=4L                                                               64 PHC x 0.10=6.4L                               Support for KASH Implementation-Rs.7L</t>
    </r>
    <r>
      <rPr>
        <sz val="11"/>
        <color theme="1"/>
        <rFont val="Calibri"/>
        <family val="2"/>
      </rPr>
      <t xml:space="preserve">                                                         IEC &amp; Printing - Total 5.52L                                               (Printing of SOPs for Implementation of NQAS,Kayakalp,LaQshya)                                                 DH/GH/W&amp;C 3x 0.20L=0.6L                                              TH 7x0.20L=1.4L                                                                   CHC16x0.10L=1.6L                                                                PHC 64x0.03L=1.92L   </t>
    </r>
  </si>
  <si>
    <r>
      <t xml:space="preserve">Equipment- Rs4L                                                                    
EQAS for Labs (Bio Chemistry &amp; Haemotology MOU for EQAS  from CMC Vellore and AIIMS Delhi)                                                         DH2x0.20L=0.4L                                                                      TH2x0.20L=0.4L                                                                      CHC9x0.10L=0.9L                                                                   PHC23x0.10L=2.3L   </t>
    </r>
    <r>
      <rPr>
        <b/>
        <sz val="11"/>
        <color rgb="FF000000"/>
        <rFont val="Calibri"/>
        <family val="2"/>
      </rPr>
      <t xml:space="preserve">                                                                          Capacity Building Training - Rs.5.58                           </t>
    </r>
    <r>
      <rPr>
        <sz val="11"/>
        <color rgb="FF000000"/>
        <rFont val="Calibri"/>
        <family val="2"/>
      </rPr>
      <t xml:space="preserve">1.Staff of New Instituions going for NQAS Accreditation should be trained in NQAS District Level Training NQAS -Rs.1.50                                       2. Every year Staff of Instituions should be given refresher training                                                                a.Regional/District Level Trainings under kayakalp -Rs.0.50                                                                  b.Facility Level Training on "Swachh Bharat Abhiyan" for Distrct Hospitals- Rs.0.4(0.20*2 DH).                                                                                 c.Facility Level Training on "Swachh Bharat Abhiyan" for SDH and CHC -Rs.1.8 </t>
    </r>
    <r>
      <rPr>
        <sz val="11"/>
        <color rgb="FFFF0000"/>
        <rFont val="Calibri"/>
        <family val="2"/>
      </rPr>
      <t>(0.15*12 SDH&amp;CHC)</t>
    </r>
    <r>
      <rPr>
        <sz val="11"/>
        <color rgb="FF000000"/>
        <rFont val="Calibri"/>
        <family val="2"/>
      </rPr>
      <t xml:space="preserve">                                                                               d.Facility Level Training on "Swachh Bharat Abhiyan" for PHCs -Rs.1.38 (0.06*23 PHC/FHC)</t>
    </r>
    <r>
      <rPr>
        <b/>
        <sz val="11"/>
        <color rgb="FF000000"/>
        <rFont val="Calibri"/>
        <family val="2"/>
      </rPr>
      <t xml:space="preserve">
Others including Operating Costs -Rs.4L                   </t>
    </r>
    <r>
      <rPr>
        <sz val="11"/>
        <color rgb="FF000000"/>
        <rFont val="Calibri"/>
        <family val="2"/>
      </rPr>
      <t xml:space="preserve">
Rs.4L for District Level Assessment &amp; Mentoring Visit (Quality Vehicle for Districts)</t>
    </r>
    <r>
      <rPr>
        <b/>
        <sz val="11"/>
        <color rgb="FF000000"/>
        <rFont val="Calibri"/>
        <family val="2"/>
      </rPr>
      <t xml:space="preserve">        </t>
    </r>
    <r>
      <rPr>
        <b/>
        <sz val="11"/>
        <color rgb="FFFF0000"/>
        <rFont val="Calibri"/>
        <family val="2"/>
      </rPr>
      <t xml:space="preserve">IEC &amp; Printing -Rs.5L                                                           </t>
    </r>
    <r>
      <rPr>
        <sz val="11"/>
        <color rgb="FFFF0000"/>
        <rFont val="Calibri"/>
        <family val="2"/>
      </rPr>
      <t>Signages- Approach road, departmental, directional and any other facility level signages
(DH @ 1L,CHC@0.50L,7 PHC*0.50L=3.5L)</t>
    </r>
    <r>
      <rPr>
        <sz val="11"/>
        <color rgb="FF000000"/>
        <rFont val="Calibri"/>
        <family val="2"/>
      </rPr>
      <t xml:space="preserve">
</t>
    </r>
    <r>
      <rPr>
        <b/>
        <sz val="11"/>
        <color rgb="FF000000"/>
        <rFont val="Calibri"/>
        <family val="2"/>
      </rPr>
      <t xml:space="preserve">Planning and Monitoring -0.72 L                                    </t>
    </r>
    <r>
      <rPr>
        <sz val="11"/>
        <color rgb="FF000000"/>
        <rFont val="Calibri"/>
        <family val="2"/>
      </rPr>
      <t xml:space="preserve">• Rs.0.24 Lakhs is proposed for District Quality Assurance Committee (Review Meeting) @.02*12=0.24L      </t>
    </r>
    <r>
      <rPr>
        <b/>
        <sz val="11"/>
        <color rgb="FF000000"/>
        <rFont val="Calibri"/>
        <family val="2"/>
      </rPr>
      <t xml:space="preserve">                                                                 </t>
    </r>
    <r>
      <rPr>
        <sz val="11"/>
        <color rgb="FF000000"/>
        <rFont val="Calibri"/>
        <family val="2"/>
      </rPr>
      <t xml:space="preserve">• Rs. 0.48 Lakhs is proposed for Contingency &amp; Misc. 4000*12 months=0.48L  </t>
    </r>
    <r>
      <rPr>
        <b/>
        <sz val="11"/>
        <color rgb="FF000000"/>
        <rFont val="Calibri"/>
        <family val="2"/>
      </rPr>
      <t xml:space="preserve">                                                                          
</t>
    </r>
    <r>
      <rPr>
        <sz val="11"/>
        <color rgb="FF000000"/>
        <rFont val="Calibri"/>
        <family val="2"/>
      </rPr>
      <t xml:space="preserve">                              </t>
    </r>
    <r>
      <rPr>
        <b/>
        <sz val="11"/>
        <color rgb="FF000000"/>
        <rFont val="Calibri"/>
        <family val="2"/>
      </rPr>
      <t xml:space="preserve">                                               
                                                                                                               </t>
    </r>
  </si>
  <si>
    <r>
      <t xml:space="preserve">Diagnostics (consumbales,PPP,Sample Transport) -Rs.12.60L                                                                              2DHx1L=2L                                                    2THx1L=2L                                                        10CHCx0.40=4L                                        23FHCx0.20L=4.6L     </t>
    </r>
    <r>
      <rPr>
        <sz val="11"/>
        <color rgb="FF000000"/>
        <rFont val="Calibri"/>
        <family val="2"/>
      </rPr>
      <t xml:space="preserve">                                  </t>
    </r>
    <r>
      <rPr>
        <b/>
        <sz val="11"/>
        <color rgb="FF000000"/>
        <rFont val="Calibri"/>
        <family val="2"/>
      </rPr>
      <t xml:space="preserve">Others including Operating Cost - Rs.26.23L          Kayakalp  Internal Assessment- Total 0.275L                                         </t>
    </r>
    <r>
      <rPr>
        <sz val="11"/>
        <color rgb="FF000000"/>
        <rFont val="Calibri"/>
        <family val="2"/>
      </rPr>
      <t xml:space="preserve">District Level Hospital Internal Assessment- Rs.0.04L  (2DH*0.02)                                          SDH/CHC Internal Assessment Rs.0.12L (12SDH/CHC*0.01)                                                       PHC Internal Assessment @ Rs.0.115L(23 PHC*0.005)  </t>
    </r>
    <r>
      <rPr>
        <b/>
        <sz val="11"/>
        <color rgb="FF000000"/>
        <rFont val="Calibri"/>
        <family val="2"/>
      </rPr>
      <t xml:space="preserve">                                                            Kayakalp Peer Assessment -Total 2.55L                     </t>
    </r>
    <r>
      <rPr>
        <sz val="11"/>
        <color rgb="FF000000"/>
        <rFont val="Calibri"/>
        <family val="2"/>
      </rPr>
      <t xml:space="preserve">District Level Hospital Peer Assessment -Rs.0.2L (2DH*0.10L)                                                                            SDH/CHC Hospital Peer Assessment-Rs.1.2L(12CHC/SDH*0.10L)                                                  PHC Peer Assessment @ Rs.1.15L(23PHC*0.05L)     </t>
    </r>
    <r>
      <rPr>
        <b/>
        <sz val="11"/>
        <color rgb="FF000000"/>
        <rFont val="Calibri"/>
        <family val="2"/>
      </rPr>
      <t xml:space="preserve"> </t>
    </r>
    <r>
      <rPr>
        <b/>
        <sz val="11"/>
        <color rgb="FFFF0000"/>
        <rFont val="Calibri"/>
        <family val="2"/>
      </rPr>
      <t xml:space="preserve"> </t>
    </r>
    <r>
      <rPr>
        <b/>
        <sz val="11"/>
        <color theme="1"/>
        <rFont val="Calibri"/>
        <family val="2"/>
      </rPr>
      <t xml:space="preserve">BIOMEDICAL WASTE MANAGEMENT- Total Rs.10L (Includes purchase of colour coded bins,puncture proof box,colour coded bags,payment to biomedical waste treatment facility etc)                                                                             </t>
    </r>
    <r>
      <rPr>
        <sz val="11"/>
        <color theme="1"/>
        <rFont val="Calibri"/>
        <family val="2"/>
      </rPr>
      <t xml:space="preserve">*2DHx0.60L=1.2L                                                                    *2 SDHx0.60L=1.2L                                                               *10 CHC x0.30L=3L                                                     *23PHCx0.20=4.6L                                                             </t>
    </r>
    <r>
      <rPr>
        <b/>
        <sz val="11"/>
        <color theme="1"/>
        <rFont val="Calibri"/>
        <family val="2"/>
      </rPr>
      <t xml:space="preserve">PEST CONTROL MEASURES - Rs.6.4L                              2DH x 0.50=1L                                                                        2TH x 0.30=0.6L                                                                     10 CHC x 0.25=2.5L                                                               23 PHC x 0.10=2.3L                               Support for KASH Implementation-Rs.7L                                                IEC &amp; Printing - Total 2.49L                                               </t>
    </r>
    <r>
      <rPr>
        <sz val="11"/>
        <color theme="1"/>
        <rFont val="Calibri"/>
        <family val="2"/>
      </rPr>
      <t xml:space="preserve">(Printing of SOPs for Implementation of NQAS,Kayakalp,LaQshya)   </t>
    </r>
    <r>
      <rPr>
        <b/>
        <sz val="11"/>
        <color theme="1"/>
        <rFont val="Calibri"/>
        <family val="2"/>
      </rPr>
      <t xml:space="preserve">                                              </t>
    </r>
    <r>
      <rPr>
        <sz val="11"/>
        <color theme="1"/>
        <rFont val="Calibri"/>
        <family val="2"/>
      </rPr>
      <t xml:space="preserve">DH/GH/W&amp;C 2x 0.20L=0.4L                                         TH 2x0.20L=0.4                                                                   CHC10x0.10L=1L                                                                PHC 23x0.03L=0.69L   </t>
    </r>
  </si>
  <si>
    <r>
      <rPr>
        <b/>
        <sz val="11"/>
        <color rgb="FFFF0000"/>
        <rFont val="Calibri"/>
        <family val="2"/>
      </rPr>
      <t xml:space="preserve">Equipment- Rs11.4L                                                                    
EQAS for Labs (Bio Chemistry &amp; Haemotology MOU for EQAS  from CMC Vellore and AIIMS Delhi)                                                         DH3x0.20L=0.6L                                                                      TH9x0.20L=1.8L                                                                      CHC10x0.10L=1L                                                                   PHC80x0.10L=8L </t>
    </r>
    <r>
      <rPr>
        <b/>
        <sz val="11"/>
        <color rgb="FF000000"/>
        <rFont val="Calibri"/>
        <family val="2"/>
      </rPr>
      <t xml:space="preserve">   </t>
    </r>
    <r>
      <rPr>
        <sz val="11"/>
        <color rgb="FF000000"/>
        <rFont val="Calibri"/>
        <family val="2"/>
      </rPr>
      <t xml:space="preserve"> </t>
    </r>
    <r>
      <rPr>
        <b/>
        <sz val="11"/>
        <color rgb="FF000000"/>
        <rFont val="Calibri"/>
        <family val="2"/>
      </rPr>
      <t xml:space="preserve">                                                                                   Capacity Building Training - Rs.10.25L                                           </t>
    </r>
    <r>
      <rPr>
        <sz val="11"/>
        <color rgb="FF000000"/>
        <rFont val="Calibri"/>
        <family val="2"/>
      </rPr>
      <t>1.Staff of New Instituions going for NQAS Accreditation should be trained in NQAS District Level Training NQAS -Rs.1.50                                       2. Every year Staff of Instituions should be given refresher training                                                                a.Regional/District Level Trainings under kayakalp -Rs.0.50                                                                  b.Facility Level Training on "Swachh Bharat Abhiyan" for Distrct Hospitals- Rs.0.6(0.20*3 DH).                                                                                 c.Facility Level Training on "Swachh Bharat Abhiyan" for SDH and CHC -Rs.2.85 (0.15*19 SDH&amp;CHC)                                                                               d.Facility Level Training on "Swachh Bharat Abhiyan" for PHCs -Rs.4.8L (0.06*80PHC/FHC)</t>
    </r>
    <r>
      <rPr>
        <b/>
        <sz val="11"/>
        <color rgb="FF000000"/>
        <rFont val="Calibri"/>
        <family val="2"/>
      </rPr>
      <t xml:space="preserve">
Others including Operating Costs -Rs.4L                  </t>
    </r>
    <r>
      <rPr>
        <sz val="11"/>
        <color rgb="FF000000"/>
        <rFont val="Calibri"/>
        <family val="2"/>
      </rPr>
      <t xml:space="preserve">
Rs.4L for District Level Assessment &amp; Mentoring Visit (Quality Vehicle for Districts)</t>
    </r>
    <r>
      <rPr>
        <b/>
        <sz val="11"/>
        <color rgb="FF000000"/>
        <rFont val="Calibri"/>
        <family val="2"/>
      </rPr>
      <t xml:space="preserve">        </t>
    </r>
    <r>
      <rPr>
        <b/>
        <sz val="11"/>
        <color rgb="FFFF0000"/>
        <rFont val="Calibri"/>
        <family val="2"/>
      </rPr>
      <t xml:space="preserve">IEC &amp; Printing -Rs.5L                                                           </t>
    </r>
    <r>
      <rPr>
        <sz val="11"/>
        <color rgb="FFFF0000"/>
        <rFont val="Calibri"/>
        <family val="2"/>
      </rPr>
      <t>Signages- Approach road, departmental, directional and any other facility level signages
(DH @ 1L,CHC@0.50L,7 PHC*0.50L=3.5L)</t>
    </r>
    <r>
      <rPr>
        <sz val="11"/>
        <color rgb="FF000000"/>
        <rFont val="Calibri"/>
        <family val="2"/>
      </rPr>
      <t xml:space="preserve">
</t>
    </r>
    <r>
      <rPr>
        <b/>
        <sz val="11"/>
        <color rgb="FF000000"/>
        <rFont val="Calibri"/>
        <family val="2"/>
      </rPr>
      <t xml:space="preserve">Planning and Monitoring -0.72 L                                    </t>
    </r>
    <r>
      <rPr>
        <sz val="11"/>
        <color rgb="FF000000"/>
        <rFont val="Calibri"/>
        <family val="2"/>
      </rPr>
      <t xml:space="preserve">• Rs.0.24 Lakhs is proposed for District Quality Assurance Committee (Review Meeting) @.02*12=0.24L      </t>
    </r>
    <r>
      <rPr>
        <b/>
        <sz val="11"/>
        <color rgb="FF000000"/>
        <rFont val="Calibri"/>
        <family val="2"/>
      </rPr>
      <t xml:space="preserve">                                                                 </t>
    </r>
    <r>
      <rPr>
        <sz val="11"/>
        <color rgb="FF000000"/>
        <rFont val="Calibri"/>
        <family val="2"/>
      </rPr>
      <t xml:space="preserve">• Rs. 0.48 Lakhs is proposed for Contingency &amp; Misc. 4000*12 months=0.48L  </t>
    </r>
    <r>
      <rPr>
        <b/>
        <sz val="11"/>
        <color rgb="FF000000"/>
        <rFont val="Calibri"/>
        <family val="2"/>
      </rPr>
      <t xml:space="preserve">                                                                          
</t>
    </r>
    <r>
      <rPr>
        <sz val="11"/>
        <color rgb="FF000000"/>
        <rFont val="Calibri"/>
        <family val="2"/>
      </rPr>
      <t xml:space="preserve">                              </t>
    </r>
    <r>
      <rPr>
        <b/>
        <sz val="11"/>
        <color rgb="FF000000"/>
        <rFont val="Calibri"/>
        <family val="2"/>
      </rPr>
      <t xml:space="preserve">                                               
                                                                                                               </t>
    </r>
  </si>
  <si>
    <r>
      <t xml:space="preserve">Diagnostics (consumbales,PPP,Sample Transport) -Rs.32L                                                                              3DHx1L=3L                                                    9THx1L=9L                                                        10CHCx0.40=4L                                        80FHCx0.20L=16L     </t>
    </r>
    <r>
      <rPr>
        <sz val="11"/>
        <color rgb="FF000000"/>
        <rFont val="Calibri"/>
        <family val="2"/>
      </rPr>
      <t xml:space="preserve">                                 </t>
    </r>
    <r>
      <rPr>
        <b/>
        <sz val="11"/>
        <color rgb="FF000000"/>
        <rFont val="Calibri"/>
        <family val="2"/>
      </rPr>
      <t xml:space="preserve">Others including Operating Cost - Rs.54.75L          Kayakalp  Internal Assessment- Total 0.65L                                         </t>
    </r>
    <r>
      <rPr>
        <sz val="11"/>
        <color rgb="FF000000"/>
        <rFont val="Calibri"/>
        <family val="2"/>
      </rPr>
      <t xml:space="preserve">District Level Hospital Internal Assessment- Rs.0.06L  (3DH*0.02)                                          SDH/CHC Internal Assessment Rs.0.19L (19SDH/CHC*0.01)                                                       PHC Internal Assessment @ Rs.0.4L(80 PHC*0.005)  </t>
    </r>
    <r>
      <rPr>
        <b/>
        <sz val="11"/>
        <color rgb="FF000000"/>
        <rFont val="Calibri"/>
        <family val="2"/>
      </rPr>
      <t xml:space="preserve">                                                            Kayakalp Peer Assessment -Total 6.2L                     </t>
    </r>
    <r>
      <rPr>
        <sz val="11"/>
        <color rgb="FF000000"/>
        <rFont val="Calibri"/>
        <family val="2"/>
      </rPr>
      <t xml:space="preserve">District Level Hospital Peer Assessment -Rs.0.3L (3DH*0.10L)                                                                            SDH/CHC Hospital Peer Assessment-Rs.1.9L(19CHC/SDH*0.10L)                                                  PHC Peer Assessment @ Rs.4L(80PHC*0.05L)     </t>
    </r>
    <r>
      <rPr>
        <b/>
        <sz val="11"/>
        <color rgb="FF000000"/>
        <rFont val="Calibri"/>
        <family val="2"/>
      </rPr>
      <t xml:space="preserve"> </t>
    </r>
    <r>
      <rPr>
        <b/>
        <sz val="11"/>
        <color rgb="FFFF0000"/>
        <rFont val="Calibri"/>
        <family val="2"/>
      </rPr>
      <t xml:space="preserve"> </t>
    </r>
    <r>
      <rPr>
        <b/>
        <sz val="11"/>
        <color theme="1"/>
        <rFont val="Calibri"/>
        <family val="2"/>
      </rPr>
      <t xml:space="preserve">BIOMEDICAL WASTE MANAGEMENT- Total Rs.26.2L (Includes purchase of colour coded bins,puncture proof box,colour coded bags,payment to biomedical waste treatment facility etc)                                                                             </t>
    </r>
    <r>
      <rPr>
        <sz val="11"/>
        <color theme="1"/>
        <rFont val="Calibri"/>
        <family val="2"/>
      </rPr>
      <t xml:space="preserve">*3DHx0.60L=1.8L                                                                    *9 SDHx0.60L=5.4L                                                               *10 CHC x0.30L=3L                                                     *80PHCx0.20=16L                                                             </t>
    </r>
    <r>
      <rPr>
        <b/>
        <sz val="11"/>
        <color theme="1"/>
        <rFont val="Calibri"/>
        <family val="2"/>
      </rPr>
      <t xml:space="preserve">PEST CONTROL MEASURES - Rs.14.7L                              3DH x 0.50=1.5L                                                                        9TH x 0.30=2.7L                                                                     10CHC x 0.25=2.5L                                                               80PHC x 0.10=8L                               Support for KASH Implementation-Rs.7L                                                IEC &amp; Printing - Total 5.80L                                               </t>
    </r>
    <r>
      <rPr>
        <sz val="11"/>
        <color theme="1"/>
        <rFont val="Calibri"/>
        <family val="2"/>
      </rPr>
      <t xml:space="preserve">(Printing of SOPs for Implementation of NQAS,Kayakalp,LaQshya)   </t>
    </r>
    <r>
      <rPr>
        <b/>
        <sz val="11"/>
        <color theme="1"/>
        <rFont val="Calibri"/>
        <family val="2"/>
      </rPr>
      <t xml:space="preserve">                                              </t>
    </r>
    <r>
      <rPr>
        <sz val="11"/>
        <color theme="1"/>
        <rFont val="Calibri"/>
        <family val="2"/>
      </rPr>
      <t xml:space="preserve">DH/GH/W&amp;C 3x 0.20L=0.6L                                                TH 9x0.20L=1.8L                                                                    CHC10x0.10L=1L                                                                PHC 80x0.03L=2.4L   </t>
    </r>
  </si>
  <si>
    <r>
      <t xml:space="preserve">Equipment- Rs6L                                                                    
EQAS for Labs (Bio Chemistry &amp; Haemotology MOU for EQAS  from CMC Vellore and AIIMS Delhi)                                                         DH2x0.20L=0.4L                                                                      TH5x0.20L=1L                                                                      CHC6x0.10L=0.6L                                                                   PHC40x0.10L=4L    </t>
    </r>
    <r>
      <rPr>
        <b/>
        <sz val="11"/>
        <color rgb="FF000000"/>
        <rFont val="Calibri"/>
        <family val="2"/>
      </rPr>
      <t xml:space="preserve">                                                                                Capacity Building Training - Rs.6.45L                           </t>
    </r>
    <r>
      <rPr>
        <sz val="11"/>
        <color rgb="FF000000"/>
        <rFont val="Calibri"/>
        <family val="2"/>
      </rPr>
      <t>1.Staff of New Instituions going for NQAS Accreditation should be trained in NQAS District Level Training NQAS -Rs.1.50                                       2. Every year Staff of Instituions should be given refresher training                                                                a.Regional/District Level Trainings under kayakalp -Rs.0.50                                                                  b.Facility Level Training on "Swachh Bharat Abhiyan" for Distrct Hospitals- Rs.0.4L (0.20*2 DH).                                                                                 c.Facility Level Training on "Swachh Bharat Abhiyan" for SDH and CHC -Rs.1.65(0.15*11SDH&amp;CHC)                                                                               d.Facility Level Training on "Swachh Bharat Abhiyan" for PHCs -Rs.2.4L (0.06*40PHC/FHC)</t>
    </r>
    <r>
      <rPr>
        <b/>
        <sz val="11"/>
        <color rgb="FF000000"/>
        <rFont val="Calibri"/>
        <family val="2"/>
      </rPr>
      <t xml:space="preserve">
Others including Operating Costs -Rs.4L                   </t>
    </r>
    <r>
      <rPr>
        <sz val="11"/>
        <color rgb="FF000000"/>
        <rFont val="Calibri"/>
        <family val="2"/>
      </rPr>
      <t xml:space="preserve">
Rs.4L for District Level Assessment &amp; Mentoring Visit (Quality Vehicle for Districts)</t>
    </r>
    <r>
      <rPr>
        <b/>
        <sz val="11"/>
        <color rgb="FF000000"/>
        <rFont val="Calibri"/>
        <family val="2"/>
      </rPr>
      <t xml:space="preserve">        </t>
    </r>
    <r>
      <rPr>
        <b/>
        <sz val="11"/>
        <color rgb="FFFF0000"/>
        <rFont val="Calibri"/>
        <family val="2"/>
      </rPr>
      <t xml:space="preserve">IEC &amp; Printing -Rs.5L                                                           </t>
    </r>
    <r>
      <rPr>
        <sz val="11"/>
        <color rgb="FFFF0000"/>
        <rFont val="Calibri"/>
        <family val="2"/>
      </rPr>
      <t>Signages- Approach road, departmental, directional and any other facility level signages
(DH @ 1L,CHC@0.50L,7 PHC*0.50L=3.5L)</t>
    </r>
    <r>
      <rPr>
        <sz val="11"/>
        <color rgb="FF000000"/>
        <rFont val="Calibri"/>
        <family val="2"/>
      </rPr>
      <t xml:space="preserve">
</t>
    </r>
    <r>
      <rPr>
        <b/>
        <sz val="11"/>
        <color rgb="FF000000"/>
        <rFont val="Calibri"/>
        <family val="2"/>
      </rPr>
      <t xml:space="preserve">Planning and Monitoring -0.72 L                                    </t>
    </r>
    <r>
      <rPr>
        <sz val="11"/>
        <color rgb="FF000000"/>
        <rFont val="Calibri"/>
        <family val="2"/>
      </rPr>
      <t xml:space="preserve">• Rs.0.24 Lakhs is proposed for District Quality Assurance Committee (Review Meeting) @.02*12=0.24L      </t>
    </r>
    <r>
      <rPr>
        <b/>
        <sz val="11"/>
        <color rgb="FF000000"/>
        <rFont val="Calibri"/>
        <family val="2"/>
      </rPr>
      <t xml:space="preserve">                                                                 </t>
    </r>
    <r>
      <rPr>
        <sz val="11"/>
        <color rgb="FF000000"/>
        <rFont val="Calibri"/>
        <family val="2"/>
      </rPr>
      <t xml:space="preserve">• Rs. 0.48 Lakhs is proposed for Contingency &amp; Misc. 4000*12 months=0.48L  </t>
    </r>
    <r>
      <rPr>
        <b/>
        <sz val="11"/>
        <color rgb="FF000000"/>
        <rFont val="Calibri"/>
        <family val="2"/>
      </rPr>
      <t xml:space="preserve">                                                                          
</t>
    </r>
    <r>
      <rPr>
        <sz val="11"/>
        <color rgb="FF000000"/>
        <rFont val="Calibri"/>
        <family val="2"/>
      </rPr>
      <t xml:space="preserve">                              </t>
    </r>
    <r>
      <rPr>
        <b/>
        <sz val="11"/>
        <color rgb="FF000000"/>
        <rFont val="Calibri"/>
        <family val="2"/>
      </rPr>
      <t xml:space="preserve">                                               
                                                                                                               </t>
    </r>
  </si>
  <si>
    <r>
      <t xml:space="preserve">Diagnostics (consumbales,PPP,Sample Transport) -Rs.17.40L                                                                              2DHx1L=2L                                                    5THx1L=5L                                                        6CHCx0.40=2.4L                                        40FHCx0.20L=8L     </t>
    </r>
    <r>
      <rPr>
        <sz val="11"/>
        <color rgb="FF000000"/>
        <rFont val="Calibri"/>
        <family val="2"/>
      </rPr>
      <t xml:space="preserve">                                   </t>
    </r>
    <r>
      <rPr>
        <b/>
        <sz val="11"/>
        <color rgb="FF000000"/>
        <rFont val="Calibri"/>
        <family val="2"/>
      </rPr>
      <t xml:space="preserve">Others including Operating Cost - Rs.32.65L          Kayakalp  Internal Assessment- Total 0.35L                                         </t>
    </r>
    <r>
      <rPr>
        <sz val="11"/>
        <color rgb="FF000000"/>
        <rFont val="Calibri"/>
        <family val="2"/>
      </rPr>
      <t xml:space="preserve">District Level Hospital Internal Assessment- Rs.0.04L  (2DH*0.02)                                          SDH/CHC Internal Assessment Rs.0.11L (11SDH/CHC*0.01)                                                       PHC Internal Assessment @ Rs.0.2L(40 PHC*0.005)  </t>
    </r>
    <r>
      <rPr>
        <b/>
        <sz val="11"/>
        <color rgb="FF000000"/>
        <rFont val="Calibri"/>
        <family val="2"/>
      </rPr>
      <t xml:space="preserve">                                                            Kayakalp Peer Assessment -TotalRs.3.3 L                     </t>
    </r>
    <r>
      <rPr>
        <sz val="11"/>
        <color rgb="FF000000"/>
        <rFont val="Calibri"/>
        <family val="2"/>
      </rPr>
      <t xml:space="preserve">District Level Hospital Peer Assessment -Rs.0.2L (2DH*0.10L)                                                                            SDH/CHC Hospital Peer Assessment-Rs.1.1L(11CHC/SDH*0.10L)                                                  PHC Peer Assessment @ Rs.2L(40PHC*0.05L)     </t>
    </r>
    <r>
      <rPr>
        <b/>
        <sz val="11"/>
        <color rgb="FF000000"/>
        <rFont val="Calibri"/>
        <family val="2"/>
      </rPr>
      <t xml:space="preserve"> </t>
    </r>
    <r>
      <rPr>
        <b/>
        <sz val="11"/>
        <color rgb="FFFF0000"/>
        <rFont val="Calibri"/>
        <family val="2"/>
      </rPr>
      <t xml:space="preserve">    </t>
    </r>
    <r>
      <rPr>
        <b/>
        <sz val="11"/>
        <color theme="1"/>
        <rFont val="Calibri"/>
        <family val="2"/>
      </rPr>
      <t xml:space="preserve">BIOMEDICAL WASTE MANAGEMENT- Total Rs.14L (Includes purchase of colour coded bins,puncture proof box,colour coded bags,payment to biomedical waste treatment facility etc)                                                                             </t>
    </r>
    <r>
      <rPr>
        <sz val="11"/>
        <color theme="1"/>
        <rFont val="Calibri"/>
        <family val="2"/>
      </rPr>
      <t xml:space="preserve">*2DHx0.60L=1.2L                                                                    *5 SDHx0.60L=3L                                                               *6CHC x0.30L=1.8L                                                     *40PHCx0.20=8L                                                             </t>
    </r>
    <r>
      <rPr>
        <b/>
        <sz val="11"/>
        <color theme="1"/>
        <rFont val="Calibri"/>
        <family val="2"/>
      </rPr>
      <t xml:space="preserve">PEST CONTROL MEASURES - Rs.8L                              2DH x 0.50=1L                                                                        5TH x 0.30=1.5L                                                                     6 CHC x 0.25=1.5L                                                               40 PHC x 0.10=4L                              Support for KASH Implementation-Rs.7L                                                IEC &amp; Printing - Total 3.20L                                               </t>
    </r>
    <r>
      <rPr>
        <sz val="11"/>
        <color theme="1"/>
        <rFont val="Calibri"/>
        <family val="2"/>
      </rPr>
      <t xml:space="preserve">(Printing of SOPs for Implementation of NQAS,Kayakalp,LaQshya)   </t>
    </r>
    <r>
      <rPr>
        <b/>
        <sz val="11"/>
        <color theme="1"/>
        <rFont val="Calibri"/>
        <family val="2"/>
      </rPr>
      <t xml:space="preserve">                                              </t>
    </r>
    <r>
      <rPr>
        <sz val="11"/>
        <color theme="1"/>
        <rFont val="Calibri"/>
        <family val="2"/>
      </rPr>
      <t xml:space="preserve">DH/GH/W&amp;C 2x 0.20L=0.4L                                                TH 5x0.20L=1L                                                                    CHC6x0.10L=0.6L                                                                PHC 40x0.03L=1.2L   </t>
    </r>
  </si>
  <si>
    <r>
      <rPr>
        <b/>
        <sz val="10"/>
        <color rgb="FF00B0F0"/>
        <rFont val="Calibri"/>
        <family val="2"/>
        <scheme val="minor"/>
      </rPr>
      <t>Others including operating costs(OOC)</t>
    </r>
    <r>
      <rPr>
        <sz val="10"/>
        <color rgb="FF00B0F0"/>
        <rFont val="Calibri"/>
        <family val="2"/>
        <scheme val="minor"/>
      </rPr>
      <t xml:space="preserve">  </t>
    </r>
    <r>
      <rPr>
        <b/>
        <sz val="10"/>
        <color rgb="FF00B0F0"/>
        <rFont val="Calibri"/>
        <family val="2"/>
        <scheme val="minor"/>
      </rPr>
      <t>Rs.3.6 Lakhs</t>
    </r>
    <r>
      <rPr>
        <sz val="10"/>
        <color rgb="FF00B0F0"/>
        <rFont val="Calibri"/>
        <family val="2"/>
        <scheme val="minor"/>
      </rPr>
      <t xml:space="preserve">  (</t>
    </r>
    <r>
      <rPr>
        <b/>
        <sz val="10"/>
        <color rgb="FF00B0F0"/>
        <rFont val="Calibri"/>
        <family val="2"/>
        <scheme val="minor"/>
      </rPr>
      <t xml:space="preserve">Rs. 3.6 Lakhs </t>
    </r>
    <r>
      <rPr>
        <sz val="10"/>
        <color theme="1"/>
        <rFont val="Calibri"/>
        <family val="2"/>
        <scheme val="minor"/>
      </rPr>
      <t>Incentives for Peer Educators under NVHCP  Rs 10,000/- per month (We already have 1 MTC at Govt.MCH Thiruvananthapuram &amp; 2 TC at GH Thiruvananthapuram &amp; (THQH Chirayinkeezhu)  for the financial year,2023-24</t>
    </r>
    <r>
      <rPr>
        <sz val="10"/>
        <color rgb="FFFF0000"/>
        <rFont val="Calibri"/>
        <family val="2"/>
        <scheme val="minor"/>
      </rPr>
      <t xml:space="preserve">                                                                                                                                                                                    </t>
    </r>
    <r>
      <rPr>
        <sz val="10"/>
        <color theme="1"/>
        <rFont val="Calibri"/>
        <family val="2"/>
        <scheme val="minor"/>
      </rPr>
      <t xml:space="preserve">                                                                                                                                                                                                                                                    </t>
    </r>
    <r>
      <rPr>
        <b/>
        <sz val="10"/>
        <color rgb="FFFF0000"/>
        <rFont val="Calibri"/>
        <family val="2"/>
        <scheme val="minor"/>
      </rPr>
      <t>I</t>
    </r>
    <r>
      <rPr>
        <b/>
        <sz val="10"/>
        <color rgb="FF7030A0"/>
        <rFont val="Calibri"/>
        <family val="2"/>
        <scheme val="minor"/>
      </rPr>
      <t>EC &amp; Printing  Rs. 1 Lakhs - IEC/BCC for NVHCP</t>
    </r>
    <r>
      <rPr>
        <b/>
        <sz val="10"/>
        <color rgb="FFFF0000"/>
        <rFont val="Calibri"/>
        <family val="2"/>
        <scheme val="minor"/>
      </rPr>
      <t>-</t>
    </r>
    <r>
      <rPr>
        <b/>
        <sz val="10"/>
        <color theme="1"/>
        <rFont val="Calibri"/>
        <family val="2"/>
        <scheme val="minor"/>
      </rPr>
      <t xml:space="preserve">( </t>
    </r>
    <r>
      <rPr>
        <sz val="10"/>
        <color theme="1"/>
        <rFont val="Calibri"/>
        <family val="2"/>
        <scheme val="minor"/>
      </rPr>
      <t xml:space="preserve">Rs .1,00,000/- Per District  for State Level activities ( Local TV Campaign, Digital posters, Social media campaign, 1 min Advt video, animation and graphical video, FM Radio Campaign, Online news portal campaign)                  
                </t>
    </r>
  </si>
  <si>
    <r>
      <rPr>
        <b/>
        <sz val="10"/>
        <color rgb="FF00B050"/>
        <rFont val="Calibri"/>
        <family val="2"/>
        <scheme val="minor"/>
      </rPr>
      <t xml:space="preserve">Others including operating costs(OOC)Rs. 3 Lakhs </t>
    </r>
    <r>
      <rPr>
        <b/>
        <sz val="10"/>
        <color theme="1"/>
        <rFont val="Calibri"/>
        <family val="2"/>
        <scheme val="minor"/>
      </rPr>
      <t xml:space="preserve">- </t>
    </r>
    <r>
      <rPr>
        <sz val="10"/>
        <color theme="1"/>
        <rFont val="Calibri"/>
        <family val="2"/>
        <scheme val="minor"/>
      </rPr>
      <t xml:space="preserve">Meeting Costs/Office expenses/Contingency (photocopy, internet/communication/ Printing M &amp; E tools/ Tablets for M &amp; E if needed) etc) Cash Grant- Rs 3 lakhs per center (MTC) (TA/DA as per state norms; contingency cost including postage, photocopy paper, stationary, internet etc)                                                                                                                                                                                                                                                                                                                                             </t>
    </r>
  </si>
  <si>
    <r>
      <rPr>
        <b/>
        <sz val="10"/>
        <color rgb="FF00B050"/>
        <rFont val="Calibri"/>
        <family val="2"/>
        <scheme val="minor"/>
      </rPr>
      <t xml:space="preserve">Drugs and supplies Rs. 2 Lakhs  - </t>
    </r>
    <r>
      <rPr>
        <b/>
        <sz val="10"/>
        <rFont val="Calibri"/>
        <family val="2"/>
        <scheme val="minor"/>
      </rPr>
      <t xml:space="preserve">Management of Hep A &amp; E Rs 2 Lakhs Cash Grant- 1 lakh per centre  - Flexible E.g. 5000 (Diagnosis) and 95000(T/t) (for 2 treatment centres) (We already have 2 TC GH Thiruvananthapuram and THQH Chirayinkeezhu  </t>
    </r>
    <r>
      <rPr>
        <sz val="10"/>
        <color theme="1"/>
        <rFont val="Calibri"/>
        <family val="2"/>
        <scheme val="minor"/>
      </rPr>
      <t xml:space="preserve">                                                                                                                                                                                                                                                                                                                                                                                    </t>
    </r>
    <r>
      <rPr>
        <b/>
        <sz val="10"/>
        <color theme="9" tint="-0.249977111117893"/>
        <rFont val="Calibri"/>
        <family val="2"/>
        <scheme val="minor"/>
      </rPr>
      <t>Others including operating costs(OOC) Rs. 2 Lakhs -</t>
    </r>
    <r>
      <rPr>
        <b/>
        <sz val="10"/>
        <color theme="1"/>
        <rFont val="Calibri"/>
        <family val="2"/>
        <scheme val="minor"/>
      </rPr>
      <t xml:space="preserve"> </t>
    </r>
    <r>
      <rPr>
        <b/>
        <sz val="10"/>
        <color theme="9" tint="-0.249977111117893"/>
        <rFont val="Calibri"/>
        <family val="2"/>
        <scheme val="minor"/>
      </rPr>
      <t xml:space="preserve">Rs. 1 Lakhs </t>
    </r>
    <r>
      <rPr>
        <b/>
        <sz val="10"/>
        <color theme="1"/>
        <rFont val="Calibri"/>
        <family val="2"/>
        <scheme val="minor"/>
      </rPr>
      <t xml:space="preserve"> for  MTC - Management of Hep A &amp; E</t>
    </r>
    <r>
      <rPr>
        <sz val="10"/>
        <color theme="1"/>
        <rFont val="Calibri"/>
        <family val="2"/>
        <scheme val="minor"/>
      </rPr>
      <t xml:space="preserve">  (Cash Grant- 1 lakh per centre Cash Grant- 1 lakh per centre  - Flexible E.g. 5000 (Diagnosis) and 95000(T/t)(We already have 1 MTC at Govt.MCH Thiruvananthapuram. 
</t>
    </r>
    <r>
      <rPr>
        <b/>
        <sz val="10"/>
        <color rgb="FF00B050"/>
        <rFont val="Calibri"/>
        <family val="2"/>
        <scheme val="minor"/>
      </rPr>
      <t xml:space="preserve"> </t>
    </r>
    <r>
      <rPr>
        <b/>
        <sz val="10"/>
        <color theme="9" tint="-0.249977111117893"/>
        <rFont val="Calibri"/>
        <family val="2"/>
        <scheme val="minor"/>
      </rPr>
      <t>Rs. 1 Lakhs for</t>
    </r>
    <r>
      <rPr>
        <b/>
        <sz val="10"/>
        <color rgb="FF00B050"/>
        <rFont val="Calibri"/>
        <family val="2"/>
        <scheme val="minor"/>
      </rPr>
      <t xml:space="preserve"> </t>
    </r>
    <r>
      <rPr>
        <b/>
        <sz val="10"/>
        <rFont val="Calibri"/>
        <family val="2"/>
        <scheme val="minor"/>
      </rPr>
      <t>TC- Meeting Costs/Office expenses/Contingency Cash Grant- Rs 50,000/- per centre,  We already have 2 TC  (GH Thiruvananthapuram &amp; THQH Chirayinkeezhu</t>
    </r>
  </si>
  <si>
    <r>
      <rPr>
        <b/>
        <sz val="10"/>
        <color rgb="FF00B0F0"/>
        <rFont val="Calibri"/>
        <family val="2"/>
        <scheme val="minor"/>
      </rPr>
      <t>Others including operating costs(OOC)</t>
    </r>
    <r>
      <rPr>
        <sz val="10"/>
        <color rgb="FF00B0F0"/>
        <rFont val="Calibri"/>
        <family val="2"/>
        <scheme val="minor"/>
      </rPr>
      <t xml:space="preserve">  </t>
    </r>
    <r>
      <rPr>
        <b/>
        <sz val="10"/>
        <color rgb="FF00B0F0"/>
        <rFont val="Calibri"/>
        <family val="2"/>
        <scheme val="minor"/>
      </rPr>
      <t>Rs.3.6 Lakhs</t>
    </r>
    <r>
      <rPr>
        <sz val="10"/>
        <color rgb="FF00B0F0"/>
        <rFont val="Calibri"/>
        <family val="2"/>
        <scheme val="minor"/>
      </rPr>
      <t xml:space="preserve">  (</t>
    </r>
    <r>
      <rPr>
        <b/>
        <sz val="10"/>
        <color rgb="FF00B0F0"/>
        <rFont val="Calibri"/>
        <family val="2"/>
        <scheme val="minor"/>
      </rPr>
      <t xml:space="preserve">Rs. 3.6 Lakhs </t>
    </r>
    <r>
      <rPr>
        <sz val="10"/>
        <color theme="1"/>
        <rFont val="Calibri"/>
        <family val="2"/>
        <scheme val="minor"/>
      </rPr>
      <t xml:space="preserve">Incentives for Peer Educators under NVHCP  Rs 10,000/- per month (We already have 3 TCs </t>
    </r>
    <r>
      <rPr>
        <sz val="10"/>
        <color rgb="FFFF0000"/>
        <rFont val="Calibri"/>
        <family val="2"/>
        <scheme val="minor"/>
      </rPr>
      <t xml:space="preserve">                                                                                                                                                                                                                                                                                                                                                                                                                                                     </t>
    </r>
    <r>
      <rPr>
        <sz val="10"/>
        <color theme="1"/>
        <rFont val="Calibri"/>
        <family val="2"/>
        <scheme val="minor"/>
      </rPr>
      <t xml:space="preserve">                                                                                                                                                                                                           </t>
    </r>
    <r>
      <rPr>
        <b/>
        <sz val="10"/>
        <color rgb="FFFF0000"/>
        <rFont val="Calibri"/>
        <family val="2"/>
        <scheme val="minor"/>
      </rPr>
      <t>I</t>
    </r>
    <r>
      <rPr>
        <b/>
        <sz val="10"/>
        <color rgb="FF7030A0"/>
        <rFont val="Calibri"/>
        <family val="2"/>
        <scheme val="minor"/>
      </rPr>
      <t>EC &amp; Printing  Rs. 1Lakhs - IEC/BCC for NVHCP</t>
    </r>
    <r>
      <rPr>
        <b/>
        <sz val="10"/>
        <color rgb="FFFF0000"/>
        <rFont val="Calibri"/>
        <family val="2"/>
        <scheme val="minor"/>
      </rPr>
      <t>-</t>
    </r>
    <r>
      <rPr>
        <b/>
        <sz val="10"/>
        <color theme="1"/>
        <rFont val="Calibri"/>
        <family val="2"/>
        <scheme val="minor"/>
      </rPr>
      <t xml:space="preserve">( </t>
    </r>
    <r>
      <rPr>
        <sz val="10"/>
        <color theme="1"/>
        <rFont val="Calibri"/>
        <family val="2"/>
        <scheme val="minor"/>
      </rPr>
      <t xml:space="preserve">Rs .1,00,000/- Per District   ( Local TV Campaign, Digital posters, Social media campaign, 1 min Advt video, animation and graphical video, FM Radio Campaign, Online news portal campaign)                  
                </t>
    </r>
  </si>
  <si>
    <r>
      <rPr>
        <sz val="10"/>
        <color theme="1"/>
        <rFont val="Calibri"/>
        <family val="2"/>
        <scheme val="minor"/>
      </rPr>
      <t xml:space="preserve">                                                                                                                                                                                                                                                                                          </t>
    </r>
    <r>
      <rPr>
        <b/>
        <sz val="12"/>
        <color rgb="FF7030A0"/>
        <rFont val="Calibri"/>
        <family val="2"/>
        <scheme val="minor"/>
      </rPr>
      <t/>
    </r>
  </si>
  <si>
    <r>
      <rPr>
        <b/>
        <sz val="10"/>
        <color rgb="FF00B050"/>
        <rFont val="Calibri"/>
        <family val="2"/>
        <scheme val="minor"/>
      </rPr>
      <t xml:space="preserve">Drugs and supplies Rs. 3 Lakhs  - Management of Hep A &amp; E Rs 3 Lakhs </t>
    </r>
    <r>
      <rPr>
        <sz val="10"/>
        <color theme="1"/>
        <rFont val="Calibri"/>
        <family val="2"/>
        <scheme val="minor"/>
      </rPr>
      <t xml:space="preserve">Cash Grant- 1 lakh per centre  - Flexible E.g. 5000 (Diagnosis) and 95000(T/t) (for 3 treatment centres) We already have 3 TCs  MCH Kollam, DH Kollam &amp; THQH Punalur 
                                                                                                                                                                                                                                                                                                                                                                                                                                                                                                                    </t>
    </r>
    <r>
      <rPr>
        <b/>
        <sz val="10"/>
        <color rgb="FF00B050"/>
        <rFont val="Calibri"/>
        <family val="2"/>
        <scheme val="minor"/>
      </rPr>
      <t>Others including operating costs(OOC) Rs. 1.538 Lakhs</t>
    </r>
    <r>
      <rPr>
        <b/>
        <sz val="10"/>
        <color theme="1"/>
        <rFont val="Calibri"/>
        <family val="2"/>
        <scheme val="minor"/>
      </rPr>
      <t xml:space="preserve"> - </t>
    </r>
    <r>
      <rPr>
        <b/>
        <sz val="10"/>
        <color rgb="FF00B050"/>
        <rFont val="Calibri"/>
        <family val="2"/>
        <scheme val="minor"/>
      </rPr>
      <t>Rs. 1.5 Lakh</t>
    </r>
    <r>
      <rPr>
        <b/>
        <sz val="10"/>
        <color theme="1"/>
        <rFont val="Calibri"/>
        <family val="2"/>
        <scheme val="minor"/>
      </rPr>
      <t xml:space="preserve">s for TC- Meeting Costs/Office expenses/Contingency </t>
    </r>
    <r>
      <rPr>
        <sz val="10"/>
        <color theme="1"/>
        <rFont val="Calibri"/>
        <family val="2"/>
        <scheme val="minor"/>
      </rPr>
      <t xml:space="preserve">Cash Grant- Rs 50,000/- per centre,   (for 3 treatment centres) We already have 3 TCs  MCH Kollam, DH Kollam &amp; THQH Punalur, </t>
    </r>
    <r>
      <rPr>
        <b/>
        <sz val="10"/>
        <color rgb="FF00B050"/>
        <rFont val="Calibri"/>
        <family val="2"/>
        <scheme val="minor"/>
      </rPr>
      <t>Rs. 0.038 Lakhs</t>
    </r>
    <r>
      <rPr>
        <b/>
        <sz val="10"/>
        <color theme="1"/>
        <rFont val="Calibri"/>
        <family val="2"/>
        <scheme val="minor"/>
      </rPr>
      <t xml:space="preserve"> for Transport of Samples for viral load testing.</t>
    </r>
  </si>
  <si>
    <r>
      <rPr>
        <b/>
        <sz val="10"/>
        <color rgb="FF00B050"/>
        <rFont val="Calibri"/>
        <family val="2"/>
        <scheme val="minor"/>
      </rPr>
      <t xml:space="preserve">Drugs and supplies Rs. 3 Lakhs  - Management of Hep A &amp; E Rs 3 Lakhs </t>
    </r>
    <r>
      <rPr>
        <sz val="10"/>
        <color theme="1"/>
        <rFont val="Calibri"/>
        <family val="2"/>
        <scheme val="minor"/>
      </rPr>
      <t xml:space="preserve">Cash Grant- 1 lakh per centre  - Flexible E.g. 5000 (Diagnosis) and 95000(T/t) (for 3 treatment centres) (We already have 2 TCs (MCH Alappuzha &amp; GH Alappuzha) and plan to start 1 TC ( DH Mavalikkara)
</t>
    </r>
    <r>
      <rPr>
        <b/>
        <sz val="10"/>
        <color rgb="FF00B050"/>
        <rFont val="Calibri"/>
        <family val="2"/>
        <scheme val="minor"/>
      </rPr>
      <t>Others including operating costs(OOC) Rs. 1.538 Lakhs</t>
    </r>
    <r>
      <rPr>
        <b/>
        <sz val="10"/>
        <color theme="1"/>
        <rFont val="Calibri"/>
        <family val="2"/>
        <scheme val="minor"/>
      </rPr>
      <t xml:space="preserve"> -  </t>
    </r>
    <r>
      <rPr>
        <b/>
        <sz val="10"/>
        <color rgb="FF00B050"/>
        <rFont val="Calibri"/>
        <family val="2"/>
        <scheme val="minor"/>
      </rPr>
      <t>Rs. 1.5Lakh</t>
    </r>
    <r>
      <rPr>
        <b/>
        <sz val="10"/>
        <color theme="1"/>
        <rFont val="Calibri"/>
        <family val="2"/>
        <scheme val="minor"/>
      </rPr>
      <t xml:space="preserve">s for TC- Meeting Costs/Office expenses/Contingency </t>
    </r>
    <r>
      <rPr>
        <sz val="10"/>
        <color theme="1"/>
        <rFont val="Calibri"/>
        <family val="2"/>
        <scheme val="minor"/>
      </rPr>
      <t>Cash Grant- Rs 50,000/- per centre,  (We already have 3 TCs  (MCH Alappuzha &amp; GH Alappuzha)  and plan to start 1 TC ( DH Mavalikkara)
 .</t>
    </r>
    <r>
      <rPr>
        <b/>
        <sz val="10"/>
        <color theme="1"/>
        <rFont val="Calibri"/>
        <family val="2"/>
        <scheme val="minor"/>
      </rPr>
      <t xml:space="preserve"> </t>
    </r>
    <r>
      <rPr>
        <b/>
        <sz val="10"/>
        <color rgb="FF00B050"/>
        <rFont val="Calibri"/>
        <family val="2"/>
        <scheme val="minor"/>
      </rPr>
      <t>Rs. 0.038 Lakhs</t>
    </r>
    <r>
      <rPr>
        <b/>
        <sz val="10"/>
        <color theme="1"/>
        <rFont val="Calibri"/>
        <family val="2"/>
        <scheme val="minor"/>
      </rPr>
      <t xml:space="preserve"> for Transport of Samples for viral load testing.</t>
    </r>
  </si>
  <si>
    <r>
      <rPr>
        <b/>
        <sz val="10"/>
        <color rgb="FF00B050"/>
        <rFont val="Calibri"/>
        <family val="2"/>
        <scheme val="minor"/>
      </rPr>
      <t xml:space="preserve">Drugs and supplies Rs. 2 Lakhs  - Management of Hep A &amp; E Rs 2 Lakhs </t>
    </r>
    <r>
      <rPr>
        <sz val="10"/>
        <color theme="1"/>
        <rFont val="Calibri"/>
        <family val="2"/>
        <scheme val="minor"/>
      </rPr>
      <t xml:space="preserve">Cash Grant- 1 lakh per centre  - Flexible E.g. 5000 (Diagnosis) and 95000(T/t) for 1 treatment centres (GH Kottayam)   and plan to start 1 TC ( GH Kanjirappally)                                                                                                                                                                                                                                                                                                                                                                                                                                                                             </t>
    </r>
    <r>
      <rPr>
        <b/>
        <sz val="10"/>
        <color rgb="FF00B050"/>
        <rFont val="Calibri"/>
        <family val="2"/>
        <scheme val="minor"/>
      </rPr>
      <t>Others including operating costs(OOC) Rs. 1.538 Lakhs</t>
    </r>
    <r>
      <rPr>
        <b/>
        <sz val="10"/>
        <color theme="1"/>
        <rFont val="Calibri"/>
        <family val="2"/>
        <scheme val="minor"/>
      </rPr>
      <t xml:space="preserve"> - </t>
    </r>
    <r>
      <rPr>
        <b/>
        <sz val="10"/>
        <color rgb="FF00B050"/>
        <rFont val="Calibri"/>
        <family val="2"/>
        <scheme val="minor"/>
      </rPr>
      <t>Rs. 1</t>
    </r>
    <r>
      <rPr>
        <b/>
        <sz val="10"/>
        <color theme="1"/>
        <rFont val="Calibri"/>
        <family val="2"/>
        <scheme val="minor"/>
      </rPr>
      <t xml:space="preserve"> Lakhs  for  MTC - Management of Hep A &amp; E  (Cash Grant- 1 lakh per centre Cash Grant- 1 lakh per centre  - Flexible E.g. 5000 (Diagnosis) and 95000(T/t)(We already have  2 TCs  (MCH Kottayam &amp; GH Kottayam) and  planing to convert 1 TC (MCH Kottayam to MTC for the current financial year, 2023-24
 </t>
    </r>
    <r>
      <rPr>
        <b/>
        <sz val="10"/>
        <color rgb="FF00B050"/>
        <rFont val="Calibri"/>
        <family val="2"/>
        <scheme val="minor"/>
      </rPr>
      <t>Rs. .5 Lakh</t>
    </r>
    <r>
      <rPr>
        <b/>
        <sz val="10"/>
        <color theme="1"/>
        <rFont val="Calibri"/>
        <family val="2"/>
        <scheme val="minor"/>
      </rPr>
      <t xml:space="preserve">s for TC- Meeting Costs/Office expenses/Contingency </t>
    </r>
    <r>
      <rPr>
        <sz val="10"/>
        <color theme="1"/>
        <rFont val="Calibri"/>
        <family val="2"/>
        <scheme val="minor"/>
      </rPr>
      <t xml:space="preserve">Cash Grant- Rs 50,000/- per centre,  (We already have 2 TCs  (MCH Kottayam &amp; GH Kottayam)  &amp; </t>
    </r>
    <r>
      <rPr>
        <b/>
        <sz val="10"/>
        <color theme="1"/>
        <rFont val="Calibri"/>
        <family val="2"/>
        <scheme val="minor"/>
      </rPr>
      <t xml:space="preserve"> </t>
    </r>
    <r>
      <rPr>
        <b/>
        <sz val="10"/>
        <color rgb="FF00B050"/>
        <rFont val="Calibri"/>
        <family val="2"/>
        <scheme val="minor"/>
      </rPr>
      <t>Rs. 0.038 Lakhs</t>
    </r>
    <r>
      <rPr>
        <b/>
        <sz val="10"/>
        <color theme="1"/>
        <rFont val="Calibri"/>
        <family val="2"/>
        <scheme val="minor"/>
      </rPr>
      <t xml:space="preserve"> for Transport of Samples for viral load testing.</t>
    </r>
  </si>
  <si>
    <r>
      <t xml:space="preserve"> </t>
    </r>
    <r>
      <rPr>
        <b/>
        <sz val="10"/>
        <color rgb="FF00B0F0"/>
        <rFont val="Calibri"/>
        <family val="2"/>
        <scheme val="minor"/>
      </rPr>
      <t>Others including operating costs(OOC)</t>
    </r>
    <r>
      <rPr>
        <sz val="10"/>
        <color rgb="FF00B0F0"/>
        <rFont val="Calibri"/>
        <family val="2"/>
        <scheme val="minor"/>
      </rPr>
      <t xml:space="preserve">  </t>
    </r>
    <r>
      <rPr>
        <b/>
        <sz val="10"/>
        <color rgb="FF00B0F0"/>
        <rFont val="Calibri"/>
        <family val="2"/>
        <scheme val="minor"/>
      </rPr>
      <t>Rs. 3.6 Lakhs</t>
    </r>
    <r>
      <rPr>
        <sz val="10"/>
        <color rgb="FF00B0F0"/>
        <rFont val="Calibri"/>
        <family val="2"/>
        <scheme val="minor"/>
      </rPr>
      <t xml:space="preserve">  (</t>
    </r>
    <r>
      <rPr>
        <b/>
        <sz val="10"/>
        <color rgb="FF00B0F0"/>
        <rFont val="Calibri"/>
        <family val="2"/>
        <scheme val="minor"/>
      </rPr>
      <t xml:space="preserve">Rs. 3.6 Lakhs </t>
    </r>
    <r>
      <rPr>
        <sz val="10"/>
        <color theme="1"/>
        <rFont val="Calibri"/>
        <family val="2"/>
        <scheme val="minor"/>
      </rPr>
      <t>Incentives for Peer Educators under NVHCP  Rs 10,000/- per month (We already have 3 TCs (MCH Ernakulam, GH Muvattupuzha &amp; GH Ernakulam)</t>
    </r>
    <r>
      <rPr>
        <sz val="10"/>
        <color rgb="FFFF0000"/>
        <rFont val="Calibri"/>
        <family val="2"/>
        <scheme val="minor"/>
      </rPr>
      <t>,</t>
    </r>
    <r>
      <rPr>
        <sz val="10"/>
        <color theme="1"/>
        <rFont val="Calibri"/>
        <family val="2"/>
        <scheme val="minor"/>
      </rPr>
      <t xml:space="preserve">  </t>
    </r>
    <r>
      <rPr>
        <b/>
        <sz val="10"/>
        <color rgb="FFFF0000"/>
        <rFont val="Calibri"/>
        <family val="2"/>
        <scheme val="minor"/>
      </rPr>
      <t>I</t>
    </r>
    <r>
      <rPr>
        <b/>
        <sz val="10"/>
        <color rgb="FF7030A0"/>
        <rFont val="Calibri"/>
        <family val="2"/>
        <scheme val="minor"/>
      </rPr>
      <t>EC &amp; Printing  Rs. 1 Lakhs - IEC/BCC for NVHCP</t>
    </r>
    <r>
      <rPr>
        <b/>
        <sz val="10"/>
        <color rgb="FFFF0000"/>
        <rFont val="Calibri"/>
        <family val="2"/>
        <scheme val="minor"/>
      </rPr>
      <t>-</t>
    </r>
    <r>
      <rPr>
        <b/>
        <sz val="10"/>
        <color theme="1"/>
        <rFont val="Calibri"/>
        <family val="2"/>
        <scheme val="minor"/>
      </rPr>
      <t xml:space="preserve">( </t>
    </r>
    <r>
      <rPr>
        <sz val="10"/>
        <color theme="1"/>
        <rFont val="Calibri"/>
        <family val="2"/>
        <scheme val="minor"/>
      </rPr>
      <t xml:space="preserve">Rs .1,00,000/- Per District ( Local TV Campaign, Digital posters, Social media campaign, 1 min Advt video, animation and graphical video, FM Radio Campaign, Online news portal campaign)                  
                </t>
    </r>
  </si>
  <si>
    <r>
      <rPr>
        <b/>
        <sz val="10"/>
        <color rgb="FFFF0000"/>
        <rFont val="Calibri"/>
        <family val="2"/>
        <scheme val="minor"/>
      </rPr>
      <t>Drugs and supplies</t>
    </r>
    <r>
      <rPr>
        <sz val="10"/>
        <color rgb="FFFF0000"/>
        <rFont val="Calibri"/>
        <family val="2"/>
        <scheme val="minor"/>
      </rPr>
      <t xml:space="preserve"> </t>
    </r>
    <r>
      <rPr>
        <b/>
        <sz val="10"/>
        <color rgb="FFFF0000"/>
        <rFont val="Calibri"/>
        <family val="2"/>
        <scheme val="minor"/>
      </rPr>
      <t>Rs. 56 lakhs</t>
    </r>
    <r>
      <rPr>
        <sz val="10"/>
        <color theme="1"/>
        <rFont val="Calibri"/>
        <family val="2"/>
        <scheme val="minor"/>
      </rPr>
      <t xml:space="preserve"> [Hepatitis B Vaccination - HRG, Vaccinating 20000 HRG in 2022-23 @ Rs 28 lakhs(20000 X 140)] &amp; Vaccinating 20000 HCW in 2023 @ Rs 28 lakhs(20000 X 140).
</t>
    </r>
    <r>
      <rPr>
        <b/>
        <sz val="10"/>
        <color rgb="FF00B0F0"/>
        <rFont val="Calibri"/>
        <family val="2"/>
        <scheme val="minor"/>
      </rPr>
      <t>Others including operating costs(OOC)</t>
    </r>
    <r>
      <rPr>
        <sz val="10"/>
        <color rgb="FF00B0F0"/>
        <rFont val="Calibri"/>
        <family val="2"/>
        <scheme val="minor"/>
      </rPr>
      <t xml:space="preserve">  </t>
    </r>
    <r>
      <rPr>
        <b/>
        <sz val="10"/>
        <color rgb="FF00B0F0"/>
        <rFont val="Calibri"/>
        <family val="2"/>
        <scheme val="minor"/>
      </rPr>
      <t>Rs. 11.67 Lakhs</t>
    </r>
    <r>
      <rPr>
        <sz val="10"/>
        <color rgb="FF00B0F0"/>
        <rFont val="Calibri"/>
        <family val="2"/>
        <scheme val="minor"/>
      </rPr>
      <t xml:space="preserve">  (</t>
    </r>
    <r>
      <rPr>
        <b/>
        <sz val="10"/>
        <color rgb="FF00B0F0"/>
        <rFont val="Calibri"/>
        <family val="2"/>
        <scheme val="minor"/>
      </rPr>
      <t>Rs.2 Lakhs for SVHMU: Cost of travel for supervision and monitoring</t>
    </r>
    <r>
      <rPr>
        <sz val="10"/>
        <color rgb="FF00B0F0"/>
        <rFont val="Calibri"/>
        <family val="2"/>
        <scheme val="minor"/>
      </rPr>
      <t xml:space="preserve"> </t>
    </r>
    <r>
      <rPr>
        <sz val="10"/>
        <color rgb="FFFF0000"/>
        <rFont val="Calibri"/>
        <family val="2"/>
        <scheme val="minor"/>
      </rPr>
      <t xml:space="preserve"> </t>
    </r>
    <r>
      <rPr>
        <sz val="10"/>
        <color theme="1"/>
        <rFont val="Calibri"/>
        <family val="2"/>
        <scheme val="minor"/>
      </rPr>
      <t xml:space="preserve">( (TA/DA as per state norms; cost for food @750/- per person for the entire day including tea twice, water, lunch). Rs 60,000/- for contingency cost including postage, photocopy paper, stationary, internet etc.), 
</t>
    </r>
    <r>
      <rPr>
        <b/>
        <sz val="10"/>
        <color rgb="FF00B0F0"/>
        <rFont val="Calibri"/>
        <family val="2"/>
        <scheme val="minor"/>
      </rPr>
      <t>Rs.2.77 Lakhs for SVHMU: Meeting Costs/Office expenses/Contingency</t>
    </r>
    <r>
      <rPr>
        <b/>
        <sz val="10"/>
        <color theme="1"/>
        <rFont val="Calibri"/>
        <family val="2"/>
        <scheme val="minor"/>
      </rPr>
      <t xml:space="preserve"> </t>
    </r>
    <r>
      <rPr>
        <sz val="10"/>
        <color theme="1"/>
        <rFont val="Calibri"/>
        <family val="2"/>
        <scheme val="minor"/>
      </rPr>
      <t xml:space="preserve"> (TA/DA as per state norms; cost for food @750/- per person for the entire day including tea twice, water, lunch). Rs 60,000/- for contingency cost including ),  
</t>
    </r>
    <r>
      <rPr>
        <b/>
        <sz val="10"/>
        <color rgb="FF00B0F0"/>
        <rFont val="Calibri"/>
        <family val="2"/>
        <scheme val="minor"/>
      </rPr>
      <t>Non-recurring Equipment Rs. 3 Lakhs</t>
    </r>
    <r>
      <rPr>
        <sz val="10"/>
        <color rgb="FF00B0F0"/>
        <rFont val="Calibri"/>
        <family val="2"/>
        <scheme val="minor"/>
      </rPr>
      <t xml:space="preserve"> for </t>
    </r>
    <r>
      <rPr>
        <b/>
        <sz val="10"/>
        <color rgb="FF00B0F0"/>
        <rFont val="Calibri"/>
        <family val="2"/>
        <scheme val="minor"/>
      </rPr>
      <t>Model Treatment Centres</t>
    </r>
    <r>
      <rPr>
        <sz val="10"/>
        <color rgb="FF00B0F0"/>
        <rFont val="Calibri"/>
        <family val="2"/>
        <scheme val="minor"/>
      </rPr>
      <t xml:space="preserve"> </t>
    </r>
    <r>
      <rPr>
        <sz val="10"/>
        <color theme="1"/>
        <rFont val="Calibri"/>
        <family val="2"/>
        <scheme val="minor"/>
      </rPr>
      <t>Rs 1.5 lakhs for computer printer scanner photocopier per MTC.  (We already have 1 MTC at Govt.MCH Thiruvananthapuram and  planing to start 2  MTC for the financial year,2023-24  in 2 Govt. Medical Colleges) &amp;</t>
    </r>
    <r>
      <rPr>
        <b/>
        <sz val="10"/>
        <color rgb="FF00B0F0"/>
        <rFont val="Calibri"/>
        <family val="2"/>
        <scheme val="minor"/>
      </rPr>
      <t xml:space="preserve"> 
</t>
    </r>
    <r>
      <rPr>
        <b/>
        <sz val="10"/>
        <color rgb="FFFF0000"/>
        <rFont val="Calibri"/>
        <family val="2"/>
        <scheme val="minor"/>
      </rPr>
      <t xml:space="preserve">Rs. 3.9 Lakhs for Treatment Centres </t>
    </r>
    <r>
      <rPr>
        <b/>
        <sz val="10"/>
        <rFont val="Calibri"/>
        <family val="2"/>
        <scheme val="minor"/>
      </rPr>
      <t>Rs. 0.3 Lakhs - One common printer &amp; tablet for service delivery points (10 TCs and 3 district laboratory).  TCs -(We already have 29 TCs at 14 districts and  planing to start 5 TCs  for the financial year, 2023-24) For District Laboratories  - (We already have  6 district laboratories  at 6 districts and  planing to start 3 district laboratories( RPH Lab Kollam, RPH Lab Alappuzha &amp; RPH Lab Malappuram) for the financial year 2023-24).</t>
    </r>
    <r>
      <rPr>
        <b/>
        <sz val="10"/>
        <color rgb="FF00B0F0"/>
        <rFont val="Calibri"/>
        <family val="2"/>
        <scheme val="minor"/>
      </rPr>
      <t xml:space="preserve">
</t>
    </r>
    <r>
      <rPr>
        <sz val="10"/>
        <color theme="1"/>
        <rFont val="Calibri"/>
        <family val="2"/>
        <scheme val="minor"/>
      </rPr>
      <t xml:space="preserve">
</t>
    </r>
    <r>
      <rPr>
        <b/>
        <sz val="10"/>
        <color rgb="FFFF0000"/>
        <rFont val="Calibri"/>
        <family val="2"/>
        <scheme val="minor"/>
      </rPr>
      <t>I</t>
    </r>
    <r>
      <rPr>
        <b/>
        <sz val="10"/>
        <color rgb="FF7030A0"/>
        <rFont val="Calibri"/>
        <family val="2"/>
        <scheme val="minor"/>
      </rPr>
      <t>EC &amp; Printing  Rs. 20 Lakhs - IEC/BCC for NVHCP</t>
    </r>
    <r>
      <rPr>
        <b/>
        <sz val="10"/>
        <color rgb="FFFF0000"/>
        <rFont val="Calibri"/>
        <family val="2"/>
        <scheme val="minor"/>
      </rPr>
      <t>-</t>
    </r>
    <r>
      <rPr>
        <b/>
        <sz val="10"/>
        <color theme="1"/>
        <rFont val="Calibri"/>
        <family val="2"/>
        <scheme val="minor"/>
      </rPr>
      <t>(</t>
    </r>
    <r>
      <rPr>
        <sz val="10"/>
        <color theme="1"/>
        <rFont val="Calibri"/>
        <family val="2"/>
        <scheme val="minor"/>
      </rPr>
      <t xml:space="preserve"> Rs.20,00,000 for State Level activities ( Local TV Campaign, Digital posters, Social media campaign, 1 min Advt video, animation and graphical video, FM Radio Campaign, Online news portal campaign)  
                </t>
    </r>
  </si>
  <si>
    <r>
      <rPr>
        <b/>
        <sz val="10"/>
        <color rgb="FF00B0F0"/>
        <rFont val="Calibri"/>
        <family val="2"/>
        <scheme val="minor"/>
      </rPr>
      <t xml:space="preserve">Diagnostics (Consumables, PPP, Sample Transport) Rs. 143.51 </t>
    </r>
    <r>
      <rPr>
        <b/>
        <sz val="10"/>
        <rFont val="Calibri"/>
        <family val="2"/>
        <scheme val="minor"/>
      </rPr>
      <t xml:space="preserve"> - ( Rs. 138.5125 Lakhs for Screening Screening (Hep B-  Rs.24.3 Lakhs, Hep C- Rs. 62.5 Lakhs, ANC- Rs. 22.5 Lakhs ),  Viral Load (950/Patient)  (Hep C- Rs.3.5625 Lakhs (for 705 Tests) , Hep B- Rs. 25.65 Lakhs (for 5300 Tests) Rs. 5 Lakhs for Consumables for laboratory under NVHCP  (plastic-ware, RUP, evacuated vacuum tubes, waste disposal bags, Kit for HBsAg titre, grant for calibration of small equipment, money for EQAS) </t>
    </r>
    <r>
      <rPr>
        <sz val="10"/>
        <rFont val="Calibri"/>
        <family val="2"/>
        <scheme val="minor"/>
      </rPr>
      <t xml:space="preserve">         </t>
    </r>
    <r>
      <rPr>
        <sz val="10"/>
        <color theme="1"/>
        <rFont val="Calibri"/>
        <family val="2"/>
        <scheme val="minor"/>
      </rPr>
      <t xml:space="preserve">                                                                                                                                                                                                                                                                                                       </t>
    </r>
    <r>
      <rPr>
        <b/>
        <sz val="10"/>
        <color rgb="FF00B050"/>
        <rFont val="Calibri"/>
        <family val="2"/>
        <scheme val="minor"/>
      </rPr>
      <t>Capacity building incl. Training Rs.5 Lakhs</t>
    </r>
    <r>
      <rPr>
        <b/>
        <sz val="10"/>
        <color theme="1"/>
        <rFont val="Calibri"/>
        <family val="2"/>
        <scheme val="minor"/>
      </rPr>
      <t xml:space="preserve"> - </t>
    </r>
    <r>
      <rPr>
        <sz val="10"/>
        <color theme="1"/>
        <rFont val="Calibri"/>
        <family val="2"/>
        <scheme val="minor"/>
      </rPr>
      <t xml:space="preserve">5 day training of the lab technicians (15 Lab Technicians in each batch ) (Rs 2.5 lakhs per training (Rs 1,500/- per person TA/DA per day or as per state norms*5 days; Rs 750/- per person for lunch, tea twice and water per day) for Two batchs.                                                                                                                                                                                                                                                                                             </t>
    </r>
    <r>
      <rPr>
        <b/>
        <sz val="10"/>
        <color rgb="FF7030A0"/>
        <rFont val="Calibri"/>
        <family val="2"/>
        <scheme val="minor"/>
      </rPr>
      <t>Others including operating costs(OOC)   Rs. 1 Lakh  for Meeting Costs/Office expenses/Contingency</t>
    </r>
    <r>
      <rPr>
        <b/>
        <sz val="10"/>
        <color theme="1"/>
        <rFont val="Calibri"/>
        <family val="2"/>
        <scheme val="minor"/>
      </rPr>
      <t xml:space="preserve"> </t>
    </r>
    <r>
      <rPr>
        <sz val="10"/>
        <color theme="1"/>
        <rFont val="Calibri"/>
        <family val="2"/>
        <scheme val="minor"/>
      </rPr>
      <t xml:space="preserve">( Cash Grant- Rs 1 lakh (TA/DA as per state norms; contingency cost including postage, photocopy paper, stationary, internet etc.) 
 </t>
    </r>
    <r>
      <rPr>
        <b/>
        <sz val="10"/>
        <color rgb="FFFF0000"/>
        <rFont val="Calibri"/>
        <family val="2"/>
        <scheme val="minor"/>
      </rPr>
      <t>IEC &amp; Printing for RS. 1 Lakh</t>
    </r>
    <r>
      <rPr>
        <b/>
        <sz val="10"/>
        <color theme="1"/>
        <rFont val="Calibri"/>
        <family val="2"/>
        <scheme val="minor"/>
      </rPr>
      <t xml:space="preserve"> </t>
    </r>
    <r>
      <rPr>
        <sz val="10"/>
        <color theme="1"/>
        <rFont val="Calibri"/>
        <family val="2"/>
        <scheme val="minor"/>
      </rPr>
      <t xml:space="preserve">for Treatment cards, registers for state &amp; districts   </t>
    </r>
  </si>
  <si>
    <r>
      <rPr>
        <b/>
        <sz val="10"/>
        <color rgb="FFFF0000"/>
        <rFont val="Calibri"/>
        <family val="2"/>
        <scheme val="minor"/>
      </rPr>
      <t>Drugs and supplies for NVHCP Rs. 55.75 Lakhs</t>
    </r>
    <r>
      <rPr>
        <b/>
        <sz val="10"/>
        <color theme="1"/>
        <rFont val="Calibri"/>
        <family val="2"/>
        <scheme val="minor"/>
      </rPr>
      <t xml:space="preserve"> (</t>
    </r>
    <r>
      <rPr>
        <sz val="10"/>
        <color theme="1"/>
        <rFont val="Calibri"/>
        <family val="2"/>
        <scheme val="minor"/>
      </rPr>
      <t xml:space="preserve">Drugs will be provided as Cash Grant  for procuring Medicins for Hepatitis B Tratment( Tenofovir 300mg &amp; Entecavir 0.5) for 2022-23 &amp; 2023-24) ( Medicins for Hepatitis C Tratment( Sofosbuvir 400mg, Daclatasvir 30mg, Sofosbuvir 400mg+ Velpatasvir  100mg &amp; Ribavirin 200mg)  for 2022-23 &amp; 2023-24)  &amp; 1000 Neonates may require HBIg (1000*2000= 20 Lakhs)                                                                                                                                                                     </t>
    </r>
    <r>
      <rPr>
        <b/>
        <sz val="10"/>
        <color rgb="FF002060"/>
        <rFont val="Calibri"/>
        <family val="2"/>
        <scheme val="minor"/>
      </rPr>
      <t xml:space="preserve">Capacity building incl. Training Rs. 6.5 Lakhs </t>
    </r>
    <r>
      <rPr>
        <b/>
        <sz val="10"/>
        <color theme="1"/>
        <rFont val="Calibri"/>
        <family val="2"/>
        <scheme val="minor"/>
      </rPr>
      <t xml:space="preserve">- Rs. 5 Lakhs </t>
    </r>
    <r>
      <rPr>
        <sz val="10"/>
        <color theme="1"/>
        <rFont val="Calibri"/>
        <family val="2"/>
        <scheme val="minor"/>
      </rPr>
      <t xml:space="preserve">3 day training of Medical Officer of the Model Treatment Centre  (15 Medical officers in each batch),
 </t>
    </r>
    <r>
      <rPr>
        <b/>
        <sz val="10"/>
        <color theme="1"/>
        <rFont val="Calibri"/>
        <family val="2"/>
        <scheme val="minor"/>
      </rPr>
      <t>Rs. 0.5 Lakhs</t>
    </r>
    <r>
      <rPr>
        <sz val="10"/>
        <color theme="1"/>
        <rFont val="Calibri"/>
        <family val="2"/>
        <scheme val="minor"/>
      </rPr>
      <t xml:space="preserve"> for 1 day training of Peer support of the Treatment sites (MTC/TCs),
 </t>
    </r>
    <r>
      <rPr>
        <b/>
        <sz val="10"/>
        <color theme="1"/>
        <rFont val="Calibri"/>
        <family val="2"/>
        <scheme val="minor"/>
      </rPr>
      <t>Rs.0.5 Lakhs</t>
    </r>
    <r>
      <rPr>
        <sz val="10"/>
        <color theme="1"/>
        <rFont val="Calibri"/>
        <family val="2"/>
        <scheme val="minor"/>
      </rPr>
      <t xml:space="preserve"> for 1 day training of pharmacist of the Treatment sites (MTC/TCs) &amp;
 </t>
    </r>
    <r>
      <rPr>
        <b/>
        <sz val="10"/>
        <color theme="1"/>
        <rFont val="Calibri"/>
        <family val="2"/>
        <scheme val="minor"/>
      </rPr>
      <t xml:space="preserve">Rs.0.5 Lakhs </t>
    </r>
    <r>
      <rPr>
        <sz val="10"/>
        <color theme="1"/>
        <rFont val="Calibri"/>
        <family val="2"/>
        <scheme val="minor"/>
      </rPr>
      <t xml:space="preserve">for 1 day training of DEO of the Treatment sites (MTC/TCs). 
</t>
    </r>
  </si>
  <si>
    <t>OOC - 170.75 L
Rs.15 L for integration of ASHA software into ehealth
Rs.30 l for digitalisation of Medical Records
Rs.21.70 L for LMS
Rs.10 L for Monotiring and Evaluation - Developing of integated dashboard incorporating data from all sources
Rs.7.88 L for DDFS software AMC
Rs.4.54 L for AMC for servers/UPS/Copier
Rs.9.52 L for leased line internet connection in Hqrs office
Rs.2.50 L for procurment of 5 Desktop computers
Rs.6 L for procurment of 10 laptops
Rs.6.1 L for procurment of bulk SMS
Rs.7.50 L for mathrudwani mobile app and voice messages
Rs.50 L for maintenance of softwarde developed by NHZM viz.Hridyam, Shalabham, Anemia screening
45 lakhs committed</t>
  </si>
</sst>
</file>

<file path=xl/styles.xml><?xml version="1.0" encoding="utf-8"?>
<styleSheet xmlns="http://schemas.openxmlformats.org/spreadsheetml/2006/main">
  <numFmts count="7">
    <numFmt numFmtId="43" formatCode="_(* #,##0.00_);_(* \(#,##0.00\);_(* &quot;-&quot;??_);_(@_)"/>
    <numFmt numFmtId="164" formatCode="_ * #,##0.00_ ;_ * \-#,##0.00_ ;_ * &quot;-&quot;??_ ;_ @_ "/>
    <numFmt numFmtId="165" formatCode="&quot;$&quot;#,##0.00"/>
    <numFmt numFmtId="166" formatCode="_ * #,##0.00_ ;_ * \-#,##0.00_ ;_ * \-??_ ;_ @_ "/>
    <numFmt numFmtId="167" formatCode="0.000"/>
    <numFmt numFmtId="168" formatCode="0.0000"/>
    <numFmt numFmtId="169" formatCode="0.00000"/>
  </numFmts>
  <fonts count="43">
    <font>
      <sz val="11"/>
      <color theme="1"/>
      <name val="Calibri"/>
      <scheme val="minor"/>
    </font>
    <font>
      <sz val="11"/>
      <name val="Calibri"/>
      <family val="2"/>
    </font>
    <font>
      <b/>
      <sz val="14"/>
      <name val="Calibri"/>
      <family val="2"/>
    </font>
    <font>
      <sz val="11"/>
      <name val="Calibri"/>
      <family val="2"/>
      <scheme val="minor"/>
    </font>
    <font>
      <b/>
      <sz val="11"/>
      <name val="Calibri"/>
      <family val="2"/>
    </font>
    <font>
      <u/>
      <sz val="11"/>
      <name val="Calibri"/>
      <family val="2"/>
    </font>
    <font>
      <sz val="14"/>
      <name val="&quot;Times New Roman&quot;"/>
    </font>
    <font>
      <b/>
      <sz val="12"/>
      <name val="Calibri"/>
      <family val="2"/>
    </font>
    <font>
      <sz val="14"/>
      <name val="Calibri"/>
      <family val="2"/>
    </font>
    <font>
      <sz val="12"/>
      <name val="Calibri"/>
      <family val="2"/>
    </font>
    <font>
      <sz val="11"/>
      <name val="Inconsolata"/>
    </font>
    <font>
      <sz val="12"/>
      <name val="&quot;Times New Roman&quot;"/>
    </font>
    <font>
      <sz val="11"/>
      <name val="&quot;Times New Roman&quot;"/>
    </font>
    <font>
      <b/>
      <sz val="11"/>
      <name val="Calibri"/>
      <family val="2"/>
      <scheme val="minor"/>
    </font>
    <font>
      <b/>
      <sz val="11"/>
      <color rgb="FFFF0000"/>
      <name val="Calibri"/>
      <family val="2"/>
    </font>
    <font>
      <sz val="11"/>
      <color rgb="FFFF0000"/>
      <name val="Calibri"/>
      <family val="2"/>
    </font>
    <font>
      <sz val="10"/>
      <color rgb="FF000000"/>
      <name val="Arial"/>
      <family val="2"/>
    </font>
    <font>
      <b/>
      <sz val="11"/>
      <color rgb="FF000000"/>
      <name val="Calibri"/>
      <family val="2"/>
    </font>
    <font>
      <sz val="11"/>
      <color rgb="FF000000"/>
      <name val="Calibri"/>
      <family val="2"/>
    </font>
    <font>
      <sz val="11"/>
      <color rgb="FF000000"/>
      <name val="Calibri"/>
      <family val="2"/>
      <scheme val="minor"/>
    </font>
    <font>
      <b/>
      <sz val="10"/>
      <color theme="1"/>
      <name val="Arial"/>
      <family val="2"/>
    </font>
    <font>
      <sz val="11"/>
      <color theme="1"/>
      <name val="Calibri"/>
      <family val="2"/>
    </font>
    <font>
      <b/>
      <sz val="11"/>
      <color theme="1"/>
      <name val="Calibri"/>
      <family val="2"/>
    </font>
    <font>
      <sz val="11"/>
      <color indexed="10"/>
      <name val="Calibri"/>
      <family val="2"/>
    </font>
    <font>
      <sz val="11"/>
      <color indexed="8"/>
      <name val="Calibri"/>
      <family val="2"/>
    </font>
    <font>
      <sz val="12"/>
      <color theme="1"/>
      <name val="Calibri"/>
      <family val="2"/>
      <scheme val="minor"/>
    </font>
    <font>
      <sz val="11"/>
      <color theme="1"/>
      <name val="Calibri"/>
      <scheme val="minor"/>
    </font>
    <font>
      <b/>
      <sz val="11"/>
      <color theme="1"/>
      <name val="Calibri"/>
      <family val="2"/>
      <scheme val="minor"/>
    </font>
    <font>
      <sz val="10"/>
      <color theme="1"/>
      <name val="Calibri"/>
      <family val="2"/>
      <scheme val="minor"/>
    </font>
    <font>
      <b/>
      <sz val="10"/>
      <color rgb="FF00B0F0"/>
      <name val="Calibri"/>
      <family val="2"/>
      <scheme val="minor"/>
    </font>
    <font>
      <sz val="10"/>
      <color rgb="FF00B0F0"/>
      <name val="Calibri"/>
      <family val="2"/>
      <scheme val="minor"/>
    </font>
    <font>
      <sz val="10"/>
      <color rgb="FFFF0000"/>
      <name val="Calibri"/>
      <family val="2"/>
      <scheme val="minor"/>
    </font>
    <font>
      <b/>
      <sz val="10"/>
      <color rgb="FFFF0000"/>
      <name val="Calibri"/>
      <family val="2"/>
      <scheme val="minor"/>
    </font>
    <font>
      <b/>
      <sz val="10"/>
      <color rgb="FF7030A0"/>
      <name val="Calibri"/>
      <family val="2"/>
      <scheme val="minor"/>
    </font>
    <font>
      <b/>
      <sz val="10"/>
      <color theme="1"/>
      <name val="Calibri"/>
      <family val="2"/>
      <scheme val="minor"/>
    </font>
    <font>
      <b/>
      <sz val="10"/>
      <color rgb="FF00B050"/>
      <name val="Calibri"/>
      <family val="2"/>
      <scheme val="minor"/>
    </font>
    <font>
      <b/>
      <sz val="10"/>
      <name val="Calibri"/>
      <family val="2"/>
      <scheme val="minor"/>
    </font>
    <font>
      <b/>
      <sz val="10"/>
      <color theme="9" tint="-0.249977111117893"/>
      <name val="Calibri"/>
      <family val="2"/>
      <scheme val="minor"/>
    </font>
    <font>
      <b/>
      <sz val="12"/>
      <color rgb="FF7030A0"/>
      <name val="Calibri"/>
      <family val="2"/>
      <scheme val="minor"/>
    </font>
    <font>
      <sz val="10"/>
      <name val="Calibri"/>
      <family val="2"/>
      <scheme val="minor"/>
    </font>
    <font>
      <b/>
      <sz val="10"/>
      <color rgb="FF002060"/>
      <name val="Calibri"/>
      <family val="2"/>
      <scheme val="minor"/>
    </font>
    <font>
      <sz val="10"/>
      <name val="Calibri"/>
      <family val="2"/>
    </font>
    <font>
      <sz val="13"/>
      <name val="Arial"/>
      <family val="2"/>
    </font>
  </fonts>
  <fills count="7">
    <fill>
      <patternFill patternType="none"/>
    </fill>
    <fill>
      <patternFill patternType="gray125"/>
    </fill>
    <fill>
      <patternFill patternType="solid">
        <fgColor rgb="FFFFC000"/>
        <bgColor indexed="64"/>
      </patternFill>
    </fill>
    <fill>
      <patternFill patternType="solid">
        <fgColor theme="0"/>
        <bgColor indexed="64"/>
      </patternFill>
    </fill>
    <fill>
      <patternFill patternType="solid">
        <fgColor rgb="FF92D050"/>
        <bgColor indexed="64"/>
      </patternFill>
    </fill>
    <fill>
      <patternFill patternType="solid">
        <fgColor theme="0"/>
        <bgColor rgb="FFFFFFFF"/>
      </patternFill>
    </fill>
    <fill>
      <patternFill patternType="solid">
        <fgColor theme="0"/>
        <bgColor theme="0"/>
      </patternFill>
    </fill>
  </fills>
  <borders count="18">
    <border>
      <left/>
      <right/>
      <top/>
      <bottom/>
      <diagonal/>
    </border>
    <border>
      <left/>
      <right/>
      <top/>
      <bottom/>
      <diagonal/>
    </border>
    <border>
      <left/>
      <right/>
      <top/>
      <bottom/>
      <diagonal/>
    </border>
    <border>
      <left/>
      <right/>
      <top/>
      <bottom/>
      <diagonal/>
    </border>
    <border>
      <left/>
      <right/>
      <top/>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right/>
      <top/>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diagonal/>
    </border>
  </borders>
  <cellStyleXfs count="3">
    <xf numFmtId="0" fontId="0" fillId="0" borderId="0"/>
    <xf numFmtId="0" fontId="16" fillId="0" borderId="15"/>
    <xf numFmtId="43" fontId="26" fillId="0" borderId="0" applyFont="0" applyFill="0" applyBorder="0" applyAlignment="0" applyProtection="0"/>
  </cellStyleXfs>
  <cellXfs count="187">
    <xf numFmtId="0" fontId="0" fillId="0" borderId="0" xfId="0" applyFont="1" applyAlignment="1"/>
    <xf numFmtId="0" fontId="1" fillId="0" borderId="4" xfId="0" applyFont="1" applyFill="1" applyBorder="1" applyAlignment="1">
      <alignment horizontal="center" vertical="center" wrapText="1"/>
    </xf>
    <xf numFmtId="0" fontId="1" fillId="0" borderId="4" xfId="0" applyFont="1" applyFill="1" applyBorder="1" applyAlignment="1">
      <alignment horizontal="left" vertical="center" wrapText="1"/>
    </xf>
    <xf numFmtId="0" fontId="3" fillId="0" borderId="0" xfId="0" applyFont="1" applyFill="1" applyAlignment="1"/>
    <xf numFmtId="0" fontId="2" fillId="0" borderId="5" xfId="0" applyFont="1" applyFill="1" applyBorder="1" applyAlignment="1">
      <alignment horizontal="center" vertical="center" wrapText="1"/>
    </xf>
    <xf numFmtId="0" fontId="4" fillId="0" borderId="10" xfId="0" applyFont="1" applyFill="1" applyBorder="1" applyAlignment="1">
      <alignment horizontal="center" vertical="center" wrapText="1"/>
    </xf>
    <xf numFmtId="2" fontId="4" fillId="0" borderId="10" xfId="0" applyNumberFormat="1" applyFont="1" applyFill="1" applyBorder="1" applyAlignment="1">
      <alignment horizontal="center" vertical="center" wrapText="1"/>
    </xf>
    <xf numFmtId="0" fontId="4" fillId="0" borderId="10" xfId="0" applyFont="1" applyFill="1" applyBorder="1" applyAlignment="1">
      <alignment horizontal="left" vertical="center" wrapText="1"/>
    </xf>
    <xf numFmtId="164" fontId="4" fillId="0" borderId="10" xfId="0" applyNumberFormat="1" applyFont="1" applyFill="1" applyBorder="1" applyAlignment="1">
      <alignment horizontal="center" vertical="center" wrapText="1"/>
    </xf>
    <xf numFmtId="0" fontId="1" fillId="0" borderId="10" xfId="0" applyFont="1" applyFill="1" applyBorder="1" applyAlignment="1">
      <alignment horizontal="left" vertical="center" wrapText="1"/>
    </xf>
    <xf numFmtId="0" fontId="1" fillId="0" borderId="10" xfId="0" applyFont="1" applyFill="1" applyBorder="1" applyAlignment="1">
      <alignment wrapText="1"/>
    </xf>
    <xf numFmtId="165" fontId="1" fillId="0" borderId="10" xfId="0" applyNumberFormat="1" applyFont="1" applyFill="1" applyBorder="1" applyAlignment="1">
      <alignment horizontal="left" vertical="center" wrapText="1"/>
    </xf>
    <xf numFmtId="0" fontId="1" fillId="0" borderId="0" xfId="0" applyFont="1" applyFill="1" applyAlignment="1">
      <alignment horizontal="left" wrapText="1"/>
    </xf>
    <xf numFmtId="0" fontId="6" fillId="0" borderId="0" xfId="0" applyFont="1" applyFill="1" applyAlignment="1"/>
    <xf numFmtId="0" fontId="1" fillId="0" borderId="0" xfId="0" applyFont="1" applyFill="1"/>
    <xf numFmtId="0" fontId="4" fillId="0" borderId="10" xfId="0" applyFont="1" applyFill="1" applyBorder="1" applyAlignment="1">
      <alignment vertical="center" wrapText="1"/>
    </xf>
    <xf numFmtId="164" fontId="4" fillId="0" borderId="10" xfId="0" applyNumberFormat="1" applyFont="1" applyFill="1" applyBorder="1" applyAlignment="1">
      <alignment vertical="center" wrapText="1"/>
    </xf>
    <xf numFmtId="2" fontId="4" fillId="0" borderId="10" xfId="0" applyNumberFormat="1" applyFont="1" applyFill="1" applyBorder="1" applyAlignment="1">
      <alignment vertical="center" wrapText="1"/>
    </xf>
    <xf numFmtId="0" fontId="1" fillId="0" borderId="3" xfId="0" applyFont="1" applyFill="1" applyBorder="1" applyAlignment="1">
      <alignment horizontal="center" vertical="center" wrapText="1"/>
    </xf>
    <xf numFmtId="166" fontId="7" fillId="0" borderId="10" xfId="0" applyNumberFormat="1" applyFont="1" applyFill="1" applyBorder="1" applyAlignment="1">
      <alignment horizontal="center" vertical="center" wrapText="1"/>
    </xf>
    <xf numFmtId="0" fontId="1" fillId="0" borderId="10" xfId="0" applyFont="1" applyFill="1" applyBorder="1" applyAlignment="1">
      <alignment vertical="center" wrapText="1"/>
    </xf>
    <xf numFmtId="0" fontId="1" fillId="0" borderId="0" xfId="0" applyFont="1" applyFill="1" applyAlignment="1"/>
    <xf numFmtId="167" fontId="1" fillId="0" borderId="10" xfId="0" applyNumberFormat="1" applyFont="1" applyFill="1" applyBorder="1" applyAlignment="1">
      <alignment vertical="center" wrapText="1"/>
    </xf>
    <xf numFmtId="0" fontId="1" fillId="0" borderId="6" xfId="0" applyFont="1" applyFill="1" applyBorder="1" applyAlignment="1">
      <alignment vertical="center" wrapText="1"/>
    </xf>
    <xf numFmtId="0" fontId="1" fillId="0" borderId="10" xfId="0" applyFont="1" applyFill="1" applyBorder="1" applyAlignment="1">
      <alignment horizontal="center" vertical="center" wrapText="1"/>
    </xf>
    <xf numFmtId="167" fontId="4" fillId="0" borderId="10" xfId="0" applyNumberFormat="1" applyFont="1" applyFill="1" applyBorder="1" applyAlignment="1">
      <alignment horizontal="center" vertical="center" wrapText="1"/>
    </xf>
    <xf numFmtId="0" fontId="1" fillId="0" borderId="0" xfId="0" applyFont="1" applyFill="1" applyAlignment="1">
      <alignment horizontal="center" vertical="center" wrapText="1"/>
    </xf>
    <xf numFmtId="2" fontId="1" fillId="0" borderId="10" xfId="0" applyNumberFormat="1" applyFont="1" applyFill="1" applyBorder="1" applyAlignment="1">
      <alignment horizontal="center" vertical="center" wrapText="1"/>
    </xf>
    <xf numFmtId="0" fontId="4" fillId="0" borderId="13" xfId="0" applyFont="1" applyFill="1" applyBorder="1" applyAlignment="1">
      <alignment horizontal="center" vertical="center" wrapText="1"/>
    </xf>
    <xf numFmtId="0" fontId="4" fillId="0" borderId="4" xfId="0" applyFont="1" applyFill="1" applyBorder="1" applyAlignment="1">
      <alignment horizontal="center" vertical="center" wrapText="1"/>
    </xf>
    <xf numFmtId="0" fontId="1" fillId="0" borderId="8" xfId="0" applyFont="1" applyFill="1" applyBorder="1" applyAlignment="1">
      <alignment vertical="top"/>
    </xf>
    <xf numFmtId="164" fontId="1" fillId="0" borderId="10" xfId="0" applyNumberFormat="1" applyFont="1" applyFill="1" applyBorder="1" applyAlignment="1">
      <alignment horizontal="center" vertical="center" wrapText="1"/>
    </xf>
    <xf numFmtId="2" fontId="1" fillId="0" borderId="4" xfId="0" applyNumberFormat="1" applyFont="1" applyFill="1" applyBorder="1" applyAlignment="1">
      <alignment horizontal="center" vertical="center" wrapText="1"/>
    </xf>
    <xf numFmtId="0" fontId="10" fillId="0" borderId="0" xfId="0" applyFont="1" applyFill="1" applyAlignment="1">
      <alignment wrapText="1"/>
    </xf>
    <xf numFmtId="166" fontId="9" fillId="0" borderId="10" xfId="0" applyNumberFormat="1" applyFont="1" applyFill="1" applyBorder="1" applyAlignment="1">
      <alignment horizontal="center" vertical="center" wrapText="1"/>
    </xf>
    <xf numFmtId="0" fontId="1" fillId="0" borderId="0" xfId="0" applyFont="1" applyFill="1" applyAlignment="1">
      <alignment vertical="center" wrapText="1"/>
    </xf>
    <xf numFmtId="0" fontId="1" fillId="0" borderId="11" xfId="0" applyFont="1" applyFill="1" applyBorder="1" applyAlignment="1">
      <alignment horizontal="left" wrapText="1"/>
    </xf>
    <xf numFmtId="0" fontId="1" fillId="0" borderId="4" xfId="0" applyFont="1" applyFill="1" applyBorder="1" applyAlignment="1">
      <alignment vertical="center" wrapText="1"/>
    </xf>
    <xf numFmtId="0" fontId="11" fillId="0" borderId="0" xfId="0" applyFont="1" applyFill="1" applyAlignment="1"/>
    <xf numFmtId="0" fontId="4" fillId="0" borderId="12" xfId="0" applyFont="1" applyFill="1" applyBorder="1" applyAlignment="1">
      <alignment horizontal="center" vertical="center" textRotation="90" wrapText="1"/>
    </xf>
    <xf numFmtId="0" fontId="4" fillId="0" borderId="11" xfId="0" applyFont="1" applyFill="1" applyBorder="1" applyAlignment="1">
      <alignment horizontal="center" vertical="center" textRotation="90" wrapText="1"/>
    </xf>
    <xf numFmtId="167" fontId="4" fillId="0" borderId="10" xfId="0" applyNumberFormat="1" applyFont="1" applyFill="1" applyBorder="1" applyAlignment="1">
      <alignment vertical="center" wrapText="1"/>
    </xf>
    <xf numFmtId="166" fontId="1" fillId="0" borderId="10" xfId="0" applyNumberFormat="1" applyFont="1" applyFill="1" applyBorder="1" applyAlignment="1">
      <alignment horizontal="center" vertical="center" wrapText="1"/>
    </xf>
    <xf numFmtId="167" fontId="1" fillId="0" borderId="10" xfId="0" applyNumberFormat="1" applyFont="1" applyFill="1" applyBorder="1" applyAlignment="1">
      <alignment horizontal="center" vertical="center" wrapText="1"/>
    </xf>
    <xf numFmtId="43" fontId="1" fillId="0" borderId="10" xfId="0" applyNumberFormat="1" applyFont="1" applyFill="1" applyBorder="1" applyAlignment="1">
      <alignment horizontal="center" vertical="center" wrapText="1"/>
    </xf>
    <xf numFmtId="0" fontId="1" fillId="0" borderId="10" xfId="0" applyFont="1" applyFill="1" applyBorder="1" applyAlignment="1">
      <alignment horizontal="left" wrapText="1"/>
    </xf>
    <xf numFmtId="0" fontId="1" fillId="0" borderId="11" xfId="0" applyFont="1" applyFill="1" applyBorder="1" applyAlignment="1">
      <alignment wrapText="1"/>
    </xf>
    <xf numFmtId="0" fontId="7" fillId="0" borderId="10" xfId="0" applyFont="1" applyFill="1" applyBorder="1" applyAlignment="1">
      <alignment vertical="center" wrapText="1"/>
    </xf>
    <xf numFmtId="0" fontId="9" fillId="0" borderId="4" xfId="0" applyFont="1" applyFill="1" applyBorder="1" applyAlignment="1">
      <alignment vertical="center" wrapText="1"/>
    </xf>
    <xf numFmtId="2" fontId="7" fillId="0" borderId="10" xfId="0" applyNumberFormat="1" applyFont="1" applyFill="1" applyBorder="1" applyAlignment="1">
      <alignment vertical="center" wrapText="1"/>
    </xf>
    <xf numFmtId="164" fontId="7" fillId="0" borderId="10" xfId="0" applyNumberFormat="1" applyFont="1" applyFill="1" applyBorder="1" applyAlignment="1">
      <alignment vertical="center" wrapText="1"/>
    </xf>
    <xf numFmtId="0" fontId="4" fillId="2" borderId="10" xfId="0" applyFont="1" applyFill="1" applyBorder="1" applyAlignment="1">
      <alignment horizontal="center" vertical="center" wrapText="1"/>
    </xf>
    <xf numFmtId="2" fontId="4" fillId="2" borderId="10" xfId="0" applyNumberFormat="1" applyFont="1" applyFill="1" applyBorder="1" applyAlignment="1">
      <alignment horizontal="center" vertical="center" wrapText="1"/>
    </xf>
    <xf numFmtId="0" fontId="12" fillId="0" borderId="0" xfId="0" applyFont="1" applyFill="1" applyAlignment="1">
      <alignment wrapText="1"/>
    </xf>
    <xf numFmtId="0" fontId="1" fillId="2" borderId="10" xfId="0" applyFont="1" applyFill="1" applyBorder="1" applyAlignment="1">
      <alignment horizontal="center" vertical="center" wrapText="1"/>
    </xf>
    <xf numFmtId="2" fontId="1" fillId="2" borderId="10" xfId="0" applyNumberFormat="1" applyFont="1" applyFill="1" applyBorder="1" applyAlignment="1">
      <alignment horizontal="center" vertical="center" wrapText="1"/>
    </xf>
    <xf numFmtId="164" fontId="4" fillId="2" borderId="10" xfId="0" applyNumberFormat="1" applyFont="1" applyFill="1" applyBorder="1" applyAlignment="1">
      <alignment horizontal="center" vertical="center" wrapText="1"/>
    </xf>
    <xf numFmtId="164" fontId="1" fillId="2" borderId="10" xfId="0" applyNumberFormat="1" applyFont="1" applyFill="1" applyBorder="1" applyAlignment="1">
      <alignment horizontal="center" vertical="center" wrapText="1"/>
    </xf>
    <xf numFmtId="0" fontId="13" fillId="0" borderId="0" xfId="0" applyFont="1" applyFill="1" applyAlignment="1"/>
    <xf numFmtId="0" fontId="8" fillId="0" borderId="5" xfId="0" applyFont="1" applyFill="1" applyBorder="1" applyAlignment="1">
      <alignment horizontal="center" vertical="center" wrapText="1"/>
    </xf>
    <xf numFmtId="0" fontId="1" fillId="0" borderId="5" xfId="0" applyFont="1" applyFill="1" applyBorder="1" applyAlignment="1">
      <alignment horizontal="center" vertical="center" wrapText="1"/>
    </xf>
    <xf numFmtId="0" fontId="1" fillId="0" borderId="0" xfId="0" applyFont="1" applyFill="1" applyAlignment="1">
      <alignment wrapText="1"/>
    </xf>
    <xf numFmtId="0" fontId="1" fillId="0" borderId="4" xfId="0" applyFont="1" applyFill="1" applyBorder="1" applyAlignment="1">
      <alignment wrapText="1"/>
    </xf>
    <xf numFmtId="0" fontId="1" fillId="0" borderId="10" xfId="0" applyFont="1" applyFill="1" applyBorder="1" applyAlignment="1">
      <alignment vertical="top" wrapText="1"/>
    </xf>
    <xf numFmtId="0" fontId="1" fillId="4" borderId="10" xfId="0" applyFont="1" applyFill="1" applyBorder="1" applyAlignment="1">
      <alignment horizontal="center" vertical="center" wrapText="1"/>
    </xf>
    <xf numFmtId="0" fontId="4" fillId="4" borderId="10" xfId="0" applyFont="1" applyFill="1" applyBorder="1" applyAlignment="1">
      <alignment horizontal="center" vertical="center" wrapText="1"/>
    </xf>
    <xf numFmtId="164" fontId="4" fillId="4" borderId="10" xfId="0" applyNumberFormat="1" applyFont="1" applyFill="1" applyBorder="1" applyAlignment="1">
      <alignment horizontal="center" vertical="center" wrapText="1"/>
    </xf>
    <xf numFmtId="2" fontId="4" fillId="4" borderId="10" xfId="0" applyNumberFormat="1" applyFont="1" applyFill="1" applyBorder="1" applyAlignment="1">
      <alignment horizontal="center" vertical="center" wrapText="1"/>
    </xf>
    <xf numFmtId="0" fontId="1" fillId="0" borderId="11" xfId="0" applyFont="1" applyFill="1" applyBorder="1" applyAlignment="1">
      <alignment horizontal="center" wrapText="1"/>
    </xf>
    <xf numFmtId="0" fontId="1" fillId="0" borderId="15" xfId="0" applyFont="1" applyFill="1" applyBorder="1" applyAlignment="1">
      <alignment wrapText="1"/>
    </xf>
    <xf numFmtId="0" fontId="1" fillId="2" borderId="10" xfId="0" applyFont="1" applyFill="1" applyBorder="1" applyAlignment="1">
      <alignment horizontal="left" vertical="center" wrapText="1"/>
    </xf>
    <xf numFmtId="0" fontId="1" fillId="0" borderId="15" xfId="0" applyFont="1" applyFill="1" applyBorder="1" applyAlignment="1">
      <alignment horizontal="center" vertical="center" wrapText="1"/>
    </xf>
    <xf numFmtId="0" fontId="4" fillId="0" borderId="7" xfId="0" applyFont="1" applyFill="1" applyBorder="1" applyAlignment="1">
      <alignment horizontal="center" vertical="center" wrapText="1"/>
    </xf>
    <xf numFmtId="2" fontId="4" fillId="0" borderId="7" xfId="0" applyNumberFormat="1" applyFont="1" applyFill="1" applyBorder="1" applyAlignment="1">
      <alignment horizontal="center" vertical="center" wrapText="1"/>
    </xf>
    <xf numFmtId="2" fontId="4" fillId="2" borderId="7" xfId="0" applyNumberFormat="1" applyFont="1" applyFill="1" applyBorder="1" applyAlignment="1">
      <alignment horizontal="center" vertical="center" wrapText="1"/>
    </xf>
    <xf numFmtId="2" fontId="4" fillId="4" borderId="7" xfId="0" applyNumberFormat="1" applyFont="1" applyFill="1" applyBorder="1" applyAlignment="1">
      <alignment horizontal="center" vertical="center" wrapText="1"/>
    </xf>
    <xf numFmtId="0" fontId="1" fillId="0" borderId="16" xfId="0" applyFont="1" applyFill="1" applyBorder="1" applyAlignment="1">
      <alignment horizontal="left" vertical="center" wrapText="1"/>
    </xf>
    <xf numFmtId="0" fontId="1" fillId="0" borderId="16" xfId="0" applyFont="1" applyFill="1" applyBorder="1" applyAlignment="1">
      <alignment horizontal="center" vertical="center" wrapText="1"/>
    </xf>
    <xf numFmtId="0" fontId="1" fillId="0" borderId="16" xfId="0" applyFont="1" applyFill="1" applyBorder="1" applyAlignment="1">
      <alignment horizontal="left" vertical="center" wrapText="1"/>
    </xf>
    <xf numFmtId="0" fontId="1" fillId="2" borderId="16" xfId="0" applyFont="1" applyFill="1" applyBorder="1" applyAlignment="1">
      <alignment horizontal="left" vertical="center" wrapText="1"/>
    </xf>
    <xf numFmtId="0" fontId="1" fillId="0" borderId="16" xfId="0" applyFont="1" applyFill="1" applyBorder="1" applyAlignment="1">
      <alignment horizontal="left" wrapText="1"/>
    </xf>
    <xf numFmtId="0" fontId="1" fillId="0" borderId="16" xfId="0" applyFont="1" applyFill="1" applyBorder="1" applyAlignment="1">
      <alignment wrapText="1"/>
    </xf>
    <xf numFmtId="0" fontId="1" fillId="4" borderId="10" xfId="0" applyFont="1" applyFill="1" applyBorder="1" applyAlignment="1">
      <alignment horizontal="left" vertical="center" wrapText="1"/>
    </xf>
    <xf numFmtId="0" fontId="1" fillId="4" borderId="16" xfId="0" applyFont="1" applyFill="1" applyBorder="1" applyAlignment="1">
      <alignment horizontal="left" vertical="center" wrapText="1"/>
    </xf>
    <xf numFmtId="0" fontId="1" fillId="0" borderId="16" xfId="0" applyFont="1" applyFill="1" applyBorder="1" applyAlignment="1">
      <alignment horizontal="left" vertical="center" wrapText="1"/>
    </xf>
    <xf numFmtId="0" fontId="18" fillId="3" borderId="16" xfId="1" applyFont="1" applyFill="1" applyBorder="1" applyAlignment="1">
      <alignment vertical="center" wrapText="1"/>
    </xf>
    <xf numFmtId="164" fontId="18" fillId="3" borderId="16" xfId="1" applyNumberFormat="1" applyFont="1" applyFill="1" applyBorder="1" applyAlignment="1">
      <alignment vertical="center" wrapText="1"/>
    </xf>
    <xf numFmtId="0" fontId="17" fillId="3" borderId="16" xfId="1" applyFont="1" applyFill="1" applyBorder="1" applyAlignment="1">
      <alignment horizontal="left" vertical="center" wrapText="1"/>
    </xf>
    <xf numFmtId="0" fontId="18" fillId="3" borderId="16" xfId="1" applyFont="1" applyFill="1" applyBorder="1" applyAlignment="1">
      <alignment horizontal="left" vertical="center" wrapText="1"/>
    </xf>
    <xf numFmtId="0" fontId="1" fillId="0" borderId="6" xfId="0" applyFont="1" applyFill="1" applyBorder="1" applyAlignment="1">
      <alignment horizontal="left" vertical="center" wrapText="1"/>
    </xf>
    <xf numFmtId="0" fontId="1" fillId="0" borderId="11" xfId="0" applyFont="1" applyFill="1" applyBorder="1" applyAlignment="1">
      <alignment wrapText="1"/>
    </xf>
    <xf numFmtId="0" fontId="1" fillId="0" borderId="16" xfId="0" applyFont="1" applyFill="1" applyBorder="1" applyAlignment="1">
      <alignment horizontal="left" vertical="center" wrapText="1"/>
    </xf>
    <xf numFmtId="0" fontId="17" fillId="3" borderId="16" xfId="1" applyFont="1" applyFill="1" applyBorder="1" applyAlignment="1">
      <alignment vertical="center" wrapText="1"/>
    </xf>
    <xf numFmtId="0" fontId="19" fillId="3" borderId="15" xfId="0" applyFont="1" applyFill="1" applyBorder="1" applyAlignment="1"/>
    <xf numFmtId="0" fontId="1" fillId="0" borderId="7" xfId="0" applyFont="1" applyFill="1" applyBorder="1" applyAlignment="1">
      <alignment horizontal="center" vertical="center" wrapText="1"/>
    </xf>
    <xf numFmtId="2" fontId="4" fillId="0" borderId="17" xfId="0" applyNumberFormat="1" applyFont="1" applyFill="1" applyBorder="1" applyAlignment="1">
      <alignment horizontal="center" vertical="center" wrapText="1"/>
    </xf>
    <xf numFmtId="2" fontId="4" fillId="0" borderId="16" xfId="0" applyNumberFormat="1" applyFont="1" applyFill="1" applyBorder="1" applyAlignment="1">
      <alignment horizontal="center" vertical="center" wrapText="1"/>
    </xf>
    <xf numFmtId="0" fontId="20" fillId="0" borderId="0" xfId="0" applyFont="1" applyAlignment="1"/>
    <xf numFmtId="0" fontId="17" fillId="0" borderId="16" xfId="1" applyFont="1" applyFill="1" applyBorder="1" applyAlignment="1">
      <alignment horizontal="center" vertical="center" wrapText="1"/>
    </xf>
    <xf numFmtId="2" fontId="17" fillId="0" borderId="16" xfId="1" applyNumberFormat="1" applyFont="1" applyFill="1" applyBorder="1" applyAlignment="1">
      <alignment horizontal="center" vertical="center" wrapText="1"/>
    </xf>
    <xf numFmtId="0" fontId="17" fillId="0" borderId="16" xfId="1" applyFont="1" applyFill="1" applyBorder="1" applyAlignment="1">
      <alignment horizontal="left" vertical="center" wrapText="1"/>
    </xf>
    <xf numFmtId="0" fontId="18" fillId="0" borderId="16" xfId="1" applyFont="1" applyFill="1" applyBorder="1" applyAlignment="1">
      <alignment vertical="center" wrapText="1"/>
    </xf>
    <xf numFmtId="0" fontId="17" fillId="0" borderId="16" xfId="1" applyFont="1" applyFill="1" applyBorder="1" applyAlignment="1">
      <alignment vertical="center" wrapText="1"/>
    </xf>
    <xf numFmtId="0" fontId="4" fillId="0" borderId="16" xfId="1" applyFont="1" applyFill="1" applyBorder="1" applyAlignment="1">
      <alignment horizontal="center" vertical="center" wrapText="1"/>
    </xf>
    <xf numFmtId="2" fontId="4" fillId="0" borderId="16" xfId="1" applyNumberFormat="1" applyFont="1" applyFill="1" applyBorder="1" applyAlignment="1">
      <alignment horizontal="center" vertical="center" wrapText="1"/>
    </xf>
    <xf numFmtId="0" fontId="1" fillId="0" borderId="16" xfId="1" applyFont="1" applyFill="1" applyBorder="1" applyAlignment="1">
      <alignment vertical="center" wrapText="1"/>
    </xf>
    <xf numFmtId="0" fontId="21" fillId="0" borderId="16" xfId="1" applyFont="1" applyFill="1" applyBorder="1" applyAlignment="1">
      <alignment horizontal="center" vertical="center" wrapText="1"/>
    </xf>
    <xf numFmtId="0" fontId="22" fillId="0" borderId="16" xfId="1" applyFont="1" applyFill="1" applyBorder="1" applyAlignment="1">
      <alignment horizontal="center" vertical="center" wrapText="1"/>
    </xf>
    <xf numFmtId="2" fontId="22" fillId="0" borderId="16" xfId="1" applyNumberFormat="1" applyFont="1" applyFill="1" applyBorder="1" applyAlignment="1">
      <alignment horizontal="center" vertical="center" wrapText="1"/>
    </xf>
    <xf numFmtId="0" fontId="22" fillId="0" borderId="16" xfId="1" applyFont="1" applyFill="1" applyBorder="1" applyAlignment="1">
      <alignment horizontal="left" vertical="center" wrapText="1"/>
    </xf>
    <xf numFmtId="0" fontId="18" fillId="0" borderId="15" xfId="1" applyFont="1" applyFill="1" applyAlignment="1">
      <alignment horizontal="center" vertical="center" wrapText="1"/>
    </xf>
    <xf numFmtId="0" fontId="0" fillId="0" borderId="16" xfId="0" applyFill="1" applyBorder="1" applyAlignment="1">
      <alignment vertical="center" wrapText="1"/>
    </xf>
    <xf numFmtId="0" fontId="0" fillId="0" borderId="16" xfId="0" applyBorder="1" applyAlignment="1">
      <alignment horizontal="center" vertical="center"/>
    </xf>
    <xf numFmtId="0" fontId="25" fillId="0" borderId="16" xfId="0" applyFont="1" applyBorder="1" applyAlignment="1">
      <alignment vertical="center" wrapText="1"/>
    </xf>
    <xf numFmtId="0" fontId="1" fillId="0" borderId="16" xfId="1" applyFont="1" applyBorder="1" applyAlignment="1">
      <alignment vertical="center" wrapText="1"/>
    </xf>
    <xf numFmtId="2" fontId="1" fillId="0" borderId="16" xfId="1" applyNumberFormat="1" applyFont="1" applyBorder="1" applyAlignment="1">
      <alignment vertical="center" wrapText="1"/>
    </xf>
    <xf numFmtId="0" fontId="18" fillId="0" borderId="16" xfId="1" applyFont="1" applyBorder="1" applyAlignment="1">
      <alignment vertical="center" wrapText="1"/>
    </xf>
    <xf numFmtId="2" fontId="18" fillId="0" borderId="16" xfId="1" applyNumberFormat="1" applyFont="1" applyBorder="1" applyAlignment="1">
      <alignment vertical="center" wrapText="1"/>
    </xf>
    <xf numFmtId="164" fontId="1" fillId="0" borderId="16" xfId="1" applyNumberFormat="1" applyFont="1" applyBorder="1" applyAlignment="1">
      <alignment vertical="center" wrapText="1"/>
    </xf>
    <xf numFmtId="0" fontId="18" fillId="3" borderId="16" xfId="0" applyFont="1" applyFill="1" applyBorder="1" applyAlignment="1">
      <alignment horizontal="justify" vertical="center"/>
    </xf>
    <xf numFmtId="0" fontId="1" fillId="3" borderId="16" xfId="0" applyFont="1" applyFill="1" applyBorder="1"/>
    <xf numFmtId="0" fontId="18" fillId="3" borderId="16" xfId="0" applyFont="1" applyFill="1" applyBorder="1" applyAlignment="1">
      <alignment horizontal="justify" vertical="center" wrapText="1"/>
    </xf>
    <xf numFmtId="0" fontId="1" fillId="3" borderId="16" xfId="0" applyFont="1" applyFill="1" applyBorder="1" applyAlignment="1">
      <alignment wrapText="1"/>
    </xf>
    <xf numFmtId="0" fontId="17" fillId="3" borderId="16" xfId="1" applyFont="1" applyFill="1" applyBorder="1" applyAlignment="1">
      <alignment horizontal="center" vertical="center" wrapText="1"/>
    </xf>
    <xf numFmtId="164" fontId="17" fillId="3" borderId="16" xfId="1" applyNumberFormat="1" applyFont="1" applyFill="1" applyBorder="1" applyAlignment="1">
      <alignment horizontal="center" vertical="center" wrapText="1"/>
    </xf>
    <xf numFmtId="2" fontId="17" fillId="3" borderId="16" xfId="1" applyNumberFormat="1" applyFont="1" applyFill="1" applyBorder="1" applyAlignment="1">
      <alignment horizontal="center" vertical="center" wrapText="1"/>
    </xf>
    <xf numFmtId="2" fontId="18" fillId="3" borderId="16" xfId="1" applyNumberFormat="1" applyFont="1" applyFill="1" applyBorder="1" applyAlignment="1">
      <alignment horizontal="center" vertical="center" wrapText="1"/>
    </xf>
    <xf numFmtId="0" fontId="18" fillId="3" borderId="15" xfId="1" applyFont="1" applyFill="1" applyAlignment="1">
      <alignment horizontal="center" vertical="center" wrapText="1"/>
    </xf>
    <xf numFmtId="43" fontId="0" fillId="0" borderId="16" xfId="0" applyNumberFormat="1" applyBorder="1" applyAlignment="1">
      <alignment horizontal="center" vertical="center"/>
    </xf>
    <xf numFmtId="43" fontId="0" fillId="0" borderId="16" xfId="2" applyFont="1" applyBorder="1" applyAlignment="1">
      <alignment horizontal="center" vertical="center"/>
    </xf>
    <xf numFmtId="0" fontId="0" fillId="0" borderId="16" xfId="0" applyBorder="1" applyAlignment="1">
      <alignment horizontal="left" vertical="center" wrapText="1"/>
    </xf>
    <xf numFmtId="0" fontId="27" fillId="0" borderId="16" xfId="0" applyFont="1" applyBorder="1" applyAlignment="1">
      <alignment horizontal="left" vertical="center" wrapText="1"/>
    </xf>
    <xf numFmtId="0" fontId="27" fillId="0" borderId="16" xfId="0" applyFont="1" applyBorder="1" applyAlignment="1">
      <alignment horizontal="center" vertical="center"/>
    </xf>
    <xf numFmtId="0" fontId="18" fillId="5" borderId="16" xfId="1" applyFont="1" applyFill="1" applyBorder="1" applyAlignment="1">
      <alignment horizontal="left" vertical="center" wrapText="1"/>
    </xf>
    <xf numFmtId="0" fontId="17" fillId="6" borderId="10" xfId="0" applyFont="1" applyFill="1" applyBorder="1" applyAlignment="1">
      <alignment horizontal="center" vertical="center" wrapText="1"/>
    </xf>
    <xf numFmtId="164" fontId="17" fillId="6" borderId="10" xfId="0" applyNumberFormat="1" applyFont="1" applyFill="1" applyBorder="1" applyAlignment="1">
      <alignment horizontal="center" vertical="center" wrapText="1"/>
    </xf>
    <xf numFmtId="2" fontId="17" fillId="6" borderId="10" xfId="0" applyNumberFormat="1" applyFont="1" applyFill="1" applyBorder="1" applyAlignment="1">
      <alignment horizontal="center" vertical="center" wrapText="1"/>
    </xf>
    <xf numFmtId="2" fontId="14" fillId="6" borderId="10" xfId="0" applyNumberFormat="1" applyFont="1" applyFill="1" applyBorder="1" applyAlignment="1">
      <alignment horizontal="center" vertical="center" wrapText="1"/>
    </xf>
    <xf numFmtId="0" fontId="17" fillId="6" borderId="10" xfId="0" applyFont="1" applyFill="1" applyBorder="1" applyAlignment="1">
      <alignment horizontal="left" vertical="center" wrapText="1"/>
    </xf>
    <xf numFmtId="164" fontId="22" fillId="6" borderId="10" xfId="0" applyNumberFormat="1" applyFont="1" applyFill="1" applyBorder="1" applyAlignment="1">
      <alignment horizontal="center" vertical="center" wrapText="1"/>
    </xf>
    <xf numFmtId="164" fontId="14" fillId="6" borderId="10" xfId="0" applyNumberFormat="1" applyFont="1" applyFill="1" applyBorder="1" applyAlignment="1">
      <alignment horizontal="center" vertical="center" wrapText="1"/>
    </xf>
    <xf numFmtId="0" fontId="18" fillId="6" borderId="10" xfId="0" applyFont="1" applyFill="1" applyBorder="1" applyAlignment="1">
      <alignment horizontal="center" vertical="center" wrapText="1"/>
    </xf>
    <xf numFmtId="164" fontId="18" fillId="6" borderId="10" xfId="0" applyNumberFormat="1" applyFont="1" applyFill="1" applyBorder="1" applyAlignment="1">
      <alignment horizontal="center" vertical="center" wrapText="1"/>
    </xf>
    <xf numFmtId="2" fontId="18" fillId="6" borderId="10" xfId="0" applyNumberFormat="1" applyFont="1" applyFill="1" applyBorder="1" applyAlignment="1">
      <alignment horizontal="center" vertical="center" wrapText="1"/>
    </xf>
    <xf numFmtId="2" fontId="15" fillId="6" borderId="10" xfId="0" applyNumberFormat="1" applyFont="1" applyFill="1" applyBorder="1" applyAlignment="1">
      <alignment horizontal="center" vertical="center" wrapText="1"/>
    </xf>
    <xf numFmtId="0" fontId="18" fillId="6" borderId="10" xfId="0" applyFont="1" applyFill="1" applyBorder="1" applyAlignment="1">
      <alignment horizontal="left" vertical="center" wrapText="1"/>
    </xf>
    <xf numFmtId="2" fontId="9" fillId="0" borderId="10" xfId="0" applyNumberFormat="1" applyFont="1" applyFill="1" applyBorder="1" applyAlignment="1">
      <alignment vertical="center" wrapText="1"/>
    </xf>
    <xf numFmtId="164" fontId="9" fillId="0" borderId="10" xfId="0" applyNumberFormat="1" applyFont="1" applyFill="1" applyBorder="1" applyAlignment="1">
      <alignment vertical="center" wrapText="1"/>
    </xf>
    <xf numFmtId="0" fontId="28" fillId="3" borderId="16" xfId="0" applyFont="1" applyFill="1" applyBorder="1" applyAlignment="1">
      <alignment horizontal="left" vertical="center" wrapText="1"/>
    </xf>
    <xf numFmtId="0" fontId="34" fillId="3" borderId="16" xfId="0" applyFont="1" applyFill="1" applyBorder="1" applyAlignment="1">
      <alignment horizontal="left" vertical="center" wrapText="1"/>
    </xf>
    <xf numFmtId="0" fontId="31" fillId="3" borderId="16" xfId="0" applyFont="1" applyFill="1" applyBorder="1" applyAlignment="1">
      <alignment horizontal="left" vertical="center" wrapText="1"/>
    </xf>
    <xf numFmtId="0" fontId="34" fillId="3" borderId="16" xfId="0" applyFont="1" applyFill="1" applyBorder="1" applyAlignment="1">
      <alignment horizontal="center" vertical="center" wrapText="1"/>
    </xf>
    <xf numFmtId="168" fontId="4" fillId="2" borderId="10" xfId="0" applyNumberFormat="1" applyFont="1" applyFill="1" applyBorder="1" applyAlignment="1">
      <alignment horizontal="center" vertical="center" wrapText="1"/>
    </xf>
    <xf numFmtId="167" fontId="1" fillId="0" borderId="10" xfId="0" applyNumberFormat="1" applyFont="1" applyFill="1" applyBorder="1" applyAlignment="1">
      <alignment horizontal="left" vertical="center" wrapText="1"/>
    </xf>
    <xf numFmtId="2" fontId="1" fillId="0" borderId="10" xfId="0" applyNumberFormat="1" applyFont="1" applyFill="1" applyBorder="1" applyAlignment="1">
      <alignment horizontal="left" vertical="center" wrapText="1"/>
    </xf>
    <xf numFmtId="167" fontId="1" fillId="2" borderId="10" xfId="0" applyNumberFormat="1" applyFont="1" applyFill="1" applyBorder="1" applyAlignment="1">
      <alignment horizontal="center" vertical="center" wrapText="1"/>
    </xf>
    <xf numFmtId="169" fontId="4" fillId="2" borderId="10" xfId="0" applyNumberFormat="1" applyFont="1" applyFill="1" applyBorder="1" applyAlignment="1">
      <alignment horizontal="center" vertical="center" wrapText="1"/>
    </xf>
    <xf numFmtId="169" fontId="4" fillId="0" borderId="10" xfId="0" applyNumberFormat="1" applyFont="1" applyFill="1" applyBorder="1" applyAlignment="1">
      <alignment horizontal="center" vertical="center" wrapText="1"/>
    </xf>
    <xf numFmtId="167" fontId="1" fillId="0" borderId="10" xfId="0" applyNumberFormat="1" applyFont="1" applyFill="1" applyBorder="1" applyAlignment="1">
      <alignment horizontal="left" wrapText="1"/>
    </xf>
    <xf numFmtId="167" fontId="1" fillId="0" borderId="11" xfId="0" applyNumberFormat="1" applyFont="1" applyFill="1" applyBorder="1" applyAlignment="1">
      <alignment horizontal="left" wrapText="1"/>
    </xf>
    <xf numFmtId="167" fontId="41" fillId="0" borderId="10" xfId="0" applyNumberFormat="1" applyFont="1" applyFill="1" applyBorder="1" applyAlignment="1">
      <alignment horizontal="left" vertical="center" wrapText="1"/>
    </xf>
    <xf numFmtId="0" fontId="9" fillId="0" borderId="4" xfId="0" applyFont="1" applyFill="1" applyBorder="1" applyAlignment="1">
      <alignment wrapText="1"/>
    </xf>
    <xf numFmtId="0" fontId="42" fillId="0" borderId="16" xfId="0" applyFont="1" applyFill="1" applyBorder="1" applyAlignment="1">
      <alignment wrapText="1"/>
    </xf>
    <xf numFmtId="0" fontId="1" fillId="0" borderId="13" xfId="0" applyFont="1" applyFill="1" applyBorder="1" applyAlignment="1">
      <alignment horizontal="left" vertical="center" wrapText="1"/>
    </xf>
    <xf numFmtId="0" fontId="1" fillId="0" borderId="6" xfId="0" applyFont="1" applyFill="1" applyBorder="1" applyAlignment="1">
      <alignment horizontal="left" vertical="center" wrapText="1"/>
    </xf>
    <xf numFmtId="0" fontId="1" fillId="0" borderId="11" xfId="0" applyFont="1" applyFill="1" applyBorder="1" applyAlignment="1">
      <alignment wrapText="1"/>
    </xf>
    <xf numFmtId="0" fontId="4" fillId="0" borderId="7" xfId="0" applyFont="1" applyFill="1" applyBorder="1" applyAlignment="1">
      <alignment horizontal="center" vertical="center" wrapText="1"/>
    </xf>
    <xf numFmtId="0" fontId="1" fillId="0" borderId="8" xfId="0" applyFont="1" applyFill="1" applyBorder="1"/>
    <xf numFmtId="0" fontId="4" fillId="0" borderId="6" xfId="0" applyFont="1" applyFill="1" applyBorder="1" applyAlignment="1">
      <alignment horizontal="center" vertical="center" wrapText="1"/>
    </xf>
    <xf numFmtId="0" fontId="1" fillId="0" borderId="11" xfId="0" applyFont="1" applyFill="1" applyBorder="1"/>
    <xf numFmtId="0" fontId="1" fillId="0" borderId="9" xfId="0" applyFont="1" applyFill="1" applyBorder="1"/>
    <xf numFmtId="0" fontId="1" fillId="0" borderId="12" xfId="0" applyFont="1" applyFill="1" applyBorder="1"/>
    <xf numFmtId="0" fontId="2" fillId="0" borderId="1" xfId="0" applyFont="1" applyFill="1" applyBorder="1" applyAlignment="1">
      <alignment horizontal="center" vertical="center" wrapText="1"/>
    </xf>
    <xf numFmtId="0" fontId="1" fillId="0" borderId="2" xfId="0" applyFont="1" applyFill="1" applyBorder="1"/>
    <xf numFmtId="0" fontId="1" fillId="0" borderId="3" xfId="0" applyFont="1" applyFill="1" applyBorder="1"/>
    <xf numFmtId="0" fontId="4" fillId="0" borderId="6" xfId="0" applyFont="1" applyFill="1" applyBorder="1" applyAlignment="1">
      <alignment horizontal="center" vertical="center" textRotation="90" wrapText="1"/>
    </xf>
    <xf numFmtId="0" fontId="4" fillId="2" borderId="7" xfId="0" applyFont="1" applyFill="1" applyBorder="1" applyAlignment="1">
      <alignment horizontal="center" vertical="center" wrapText="1"/>
    </xf>
    <xf numFmtId="0" fontId="1" fillId="2" borderId="9" xfId="0" applyFont="1" applyFill="1" applyBorder="1"/>
    <xf numFmtId="0" fontId="1" fillId="2" borderId="8" xfId="0" applyFont="1" applyFill="1" applyBorder="1"/>
    <xf numFmtId="0" fontId="1" fillId="0" borderId="14" xfId="0" applyFont="1" applyFill="1" applyBorder="1"/>
    <xf numFmtId="0" fontId="4" fillId="4" borderId="7" xfId="0" applyFont="1" applyFill="1" applyBorder="1" applyAlignment="1">
      <alignment horizontal="center" vertical="center" wrapText="1"/>
    </xf>
    <xf numFmtId="0" fontId="1" fillId="4" borderId="9" xfId="0" applyFont="1" applyFill="1" applyBorder="1"/>
    <xf numFmtId="0" fontId="1" fillId="4" borderId="8" xfId="0" applyFont="1" applyFill="1" applyBorder="1"/>
    <xf numFmtId="0" fontId="4" fillId="2" borderId="9" xfId="0" applyFont="1" applyFill="1" applyBorder="1"/>
    <xf numFmtId="0" fontId="4" fillId="2" borderId="8" xfId="0" applyFont="1" applyFill="1" applyBorder="1"/>
    <xf numFmtId="0" fontId="1" fillId="0" borderId="16" xfId="0" applyFont="1" applyFill="1" applyBorder="1" applyAlignment="1">
      <alignment horizontal="left" vertical="center" wrapText="1"/>
    </xf>
    <xf numFmtId="0" fontId="1" fillId="0" borderId="16" xfId="0" applyFont="1" applyFill="1" applyBorder="1" applyAlignment="1">
      <alignment wrapText="1"/>
    </xf>
  </cellXfs>
  <cellStyles count="3">
    <cellStyle name="Comma" xfId="2" builtinId="3"/>
    <cellStyle name="Normal" xfId="0" builtinId="0"/>
    <cellStyle name="Normal 10" xfId="1"/>
  </cellStyles>
  <dxfs count="1">
    <dxf>
      <fill>
        <patternFill patternType="solid">
          <fgColor rgb="FFB7E1CD"/>
          <bgColor rgb="FFB7E1CD"/>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Z1000"/>
  <sheetViews>
    <sheetView workbookViewId="0">
      <pane xSplit="3" ySplit="5" topLeftCell="D6" activePane="bottomRight" state="frozen"/>
      <selection pane="topRight" activeCell="D1" sqref="D1"/>
      <selection pane="bottomLeft" activeCell="A6" sqref="A6"/>
      <selection pane="bottomRight" activeCell="P89" sqref="P89"/>
    </sheetView>
  </sheetViews>
  <sheetFormatPr defaultColWidth="14.42578125" defaultRowHeight="15" customHeight="1"/>
  <cols>
    <col min="1" max="1" width="6.7109375" style="3" customWidth="1"/>
    <col min="2" max="2" width="7.28515625" style="3" customWidth="1"/>
    <col min="3" max="3" width="11.28515625" style="3" customWidth="1"/>
    <col min="4" max="4" width="5.85546875" style="3" customWidth="1"/>
    <col min="5" max="5" width="35.85546875" style="3" customWidth="1"/>
    <col min="6" max="6" width="7.42578125" style="3" customWidth="1"/>
    <col min="7" max="7" width="10.7109375" style="3" customWidth="1"/>
    <col min="8" max="8" width="8.28515625" style="3" customWidth="1"/>
    <col min="9" max="9" width="10.5703125" style="3" customWidth="1"/>
    <col min="10" max="10" width="11.85546875" style="3" customWidth="1"/>
    <col min="11" max="11" width="9.28515625" style="3" customWidth="1"/>
    <col min="12" max="12" width="6.7109375" style="3" customWidth="1"/>
    <col min="13" max="13" width="9" style="3" customWidth="1"/>
    <col min="14" max="14" width="9.7109375" style="3" customWidth="1"/>
    <col min="15" max="15" width="7.140625" style="3" customWidth="1"/>
    <col min="16" max="16" width="12.140625" style="3" customWidth="1"/>
    <col min="17" max="17" width="8.28515625" style="3" customWidth="1"/>
    <col min="18" max="18" width="9" style="3" customWidth="1"/>
    <col min="19" max="19" width="10.42578125" style="3" customWidth="1"/>
    <col min="20" max="20" width="12.5703125" style="3" customWidth="1"/>
    <col min="21" max="21" width="63.42578125" style="61" customWidth="1"/>
    <col min="22" max="16384" width="14.42578125" style="3"/>
  </cols>
  <sheetData>
    <row r="1" spans="1:26" ht="15" customHeight="1">
      <c r="A1" s="172" t="s">
        <v>0</v>
      </c>
      <c r="B1" s="173"/>
      <c r="C1" s="173"/>
      <c r="D1" s="173"/>
      <c r="E1" s="174"/>
      <c r="F1" s="1"/>
      <c r="G1" s="1"/>
      <c r="H1" s="1"/>
      <c r="I1" s="1"/>
      <c r="J1" s="1"/>
      <c r="K1" s="1"/>
      <c r="L1" s="1"/>
      <c r="M1" s="1"/>
      <c r="N1" s="1"/>
      <c r="O1" s="1"/>
      <c r="P1" s="1"/>
      <c r="Q1" s="1"/>
      <c r="R1" s="1"/>
      <c r="S1" s="1"/>
      <c r="T1" s="1"/>
      <c r="U1" s="2"/>
      <c r="V1" s="1"/>
      <c r="W1" s="1"/>
      <c r="X1" s="1"/>
      <c r="Y1" s="1"/>
      <c r="Z1" s="1"/>
    </row>
    <row r="2" spans="1:26" ht="2.25" customHeight="1">
      <c r="A2" s="1"/>
      <c r="B2" s="1"/>
      <c r="C2" s="1"/>
      <c r="D2" s="1"/>
      <c r="E2" s="1"/>
      <c r="F2" s="1"/>
      <c r="G2" s="1"/>
      <c r="H2" s="1"/>
      <c r="I2" s="1"/>
      <c r="J2" s="1"/>
      <c r="K2" s="1"/>
      <c r="L2" s="1"/>
      <c r="M2" s="1"/>
      <c r="N2" s="1"/>
      <c r="O2" s="1"/>
      <c r="P2" s="1"/>
      <c r="Q2" s="1"/>
      <c r="R2" s="1"/>
      <c r="S2" s="1"/>
      <c r="T2" s="1"/>
      <c r="U2" s="2"/>
      <c r="V2" s="1"/>
      <c r="W2" s="1"/>
      <c r="X2" s="1"/>
      <c r="Y2" s="1"/>
      <c r="Z2" s="1"/>
    </row>
    <row r="3" spans="1:26" ht="18.75" hidden="1" customHeight="1">
      <c r="A3" s="1"/>
      <c r="B3" s="4"/>
      <c r="C3" s="4"/>
      <c r="D3" s="4"/>
      <c r="E3" s="4"/>
      <c r="F3" s="4"/>
      <c r="G3" s="4"/>
      <c r="H3" s="4"/>
      <c r="I3" s="4"/>
      <c r="J3" s="4"/>
      <c r="K3" s="4"/>
      <c r="L3" s="4"/>
      <c r="M3" s="4"/>
      <c r="N3" s="4"/>
      <c r="O3" s="4"/>
      <c r="P3" s="4"/>
      <c r="Q3" s="4"/>
      <c r="R3" s="4"/>
      <c r="S3" s="4"/>
      <c r="T3" s="4"/>
      <c r="U3" s="60" t="s">
        <v>1</v>
      </c>
      <c r="V3" s="1"/>
      <c r="W3" s="1"/>
      <c r="X3" s="1"/>
      <c r="Y3" s="1"/>
      <c r="Z3" s="1"/>
    </row>
    <row r="4" spans="1:26" ht="15" customHeight="1">
      <c r="A4" s="168" t="s">
        <v>2</v>
      </c>
      <c r="B4" s="168" t="s">
        <v>3</v>
      </c>
      <c r="C4" s="168" t="s">
        <v>4</v>
      </c>
      <c r="D4" s="168" t="s">
        <v>5</v>
      </c>
      <c r="E4" s="168" t="s">
        <v>6</v>
      </c>
      <c r="F4" s="168" t="s">
        <v>7</v>
      </c>
      <c r="G4" s="166" t="s">
        <v>8</v>
      </c>
      <c r="H4" s="167"/>
      <c r="I4" s="168" t="s">
        <v>9</v>
      </c>
      <c r="J4" s="166" t="s">
        <v>10</v>
      </c>
      <c r="K4" s="170"/>
      <c r="L4" s="167"/>
      <c r="M4" s="168" t="s">
        <v>570</v>
      </c>
      <c r="N4" s="168" t="s">
        <v>11</v>
      </c>
      <c r="O4" s="168" t="s">
        <v>12</v>
      </c>
      <c r="P4" s="168" t="s">
        <v>13</v>
      </c>
      <c r="Q4" s="168" t="s">
        <v>14</v>
      </c>
      <c r="R4" s="168" t="s">
        <v>15</v>
      </c>
      <c r="S4" s="168" t="s">
        <v>16</v>
      </c>
      <c r="T4" s="5" t="s">
        <v>597</v>
      </c>
      <c r="U4" s="164" t="s">
        <v>17</v>
      </c>
      <c r="V4" s="1"/>
      <c r="W4" s="1"/>
      <c r="X4" s="1"/>
      <c r="Y4" s="1"/>
      <c r="Z4" s="1"/>
    </row>
    <row r="5" spans="1:26" ht="44.25" customHeight="1">
      <c r="A5" s="169"/>
      <c r="B5" s="169"/>
      <c r="C5" s="169"/>
      <c r="D5" s="169"/>
      <c r="E5" s="169"/>
      <c r="F5" s="169"/>
      <c r="G5" s="5" t="s">
        <v>18</v>
      </c>
      <c r="H5" s="5" t="s">
        <v>19</v>
      </c>
      <c r="I5" s="169"/>
      <c r="J5" s="5" t="s">
        <v>571</v>
      </c>
      <c r="K5" s="5" t="s">
        <v>20</v>
      </c>
      <c r="L5" s="5" t="s">
        <v>21</v>
      </c>
      <c r="M5" s="169"/>
      <c r="N5" s="169"/>
      <c r="O5" s="169"/>
      <c r="P5" s="169"/>
      <c r="Q5" s="169"/>
      <c r="R5" s="169"/>
      <c r="S5" s="169"/>
      <c r="T5" s="5" t="s">
        <v>22</v>
      </c>
      <c r="U5" s="165"/>
      <c r="V5" s="1"/>
      <c r="W5" s="1"/>
      <c r="X5" s="1"/>
      <c r="Y5" s="1"/>
      <c r="Z5" s="1"/>
    </row>
    <row r="6" spans="1:26" ht="20.25" customHeight="1">
      <c r="A6" s="175" t="s">
        <v>23</v>
      </c>
      <c r="B6" s="168" t="s">
        <v>24</v>
      </c>
      <c r="C6" s="168" t="s">
        <v>25</v>
      </c>
      <c r="D6" s="5">
        <v>1</v>
      </c>
      <c r="E6" s="5" t="s">
        <v>26</v>
      </c>
      <c r="F6" s="5"/>
      <c r="G6" s="5"/>
      <c r="H6" s="5"/>
      <c r="I6" s="5"/>
      <c r="J6" s="5"/>
      <c r="K6" s="5"/>
      <c r="L6" s="5"/>
      <c r="M6" s="5"/>
      <c r="N6" s="5"/>
      <c r="O6" s="5"/>
      <c r="P6" s="5"/>
      <c r="Q6" s="5"/>
      <c r="R6" s="5"/>
      <c r="S6" s="5"/>
      <c r="T6" s="6">
        <f t="shared" ref="T6:T69" si="0">SUM(F6:S6)</f>
        <v>0</v>
      </c>
      <c r="U6" s="9"/>
      <c r="V6" s="1"/>
      <c r="W6" s="1"/>
      <c r="X6" s="1"/>
      <c r="Y6" s="1"/>
      <c r="Z6" s="1"/>
    </row>
    <row r="7" spans="1:26" ht="24.75" customHeight="1">
      <c r="A7" s="171"/>
      <c r="B7" s="171"/>
      <c r="C7" s="171"/>
      <c r="D7" s="5">
        <v>2</v>
      </c>
      <c r="E7" s="5" t="s">
        <v>27</v>
      </c>
      <c r="F7" s="5"/>
      <c r="G7" s="5"/>
      <c r="H7" s="5"/>
      <c r="I7" s="5"/>
      <c r="J7" s="5"/>
      <c r="K7" s="6">
        <v>165.5</v>
      </c>
      <c r="L7" s="5"/>
      <c r="M7" s="5"/>
      <c r="N7" s="5"/>
      <c r="O7" s="5"/>
      <c r="P7" s="8">
        <v>1.75</v>
      </c>
      <c r="Q7" s="5"/>
      <c r="R7" s="5"/>
      <c r="S7" s="5"/>
      <c r="T7" s="6">
        <f t="shared" si="0"/>
        <v>167.25</v>
      </c>
      <c r="U7" s="9" t="s">
        <v>28</v>
      </c>
      <c r="V7" s="1"/>
      <c r="W7" s="1"/>
      <c r="X7" s="1"/>
      <c r="Y7" s="1"/>
      <c r="Z7" s="1"/>
    </row>
    <row r="8" spans="1:26" ht="24.75" customHeight="1">
      <c r="A8" s="171"/>
      <c r="B8" s="171"/>
      <c r="C8" s="171"/>
      <c r="D8" s="5">
        <v>3</v>
      </c>
      <c r="E8" s="5" t="s">
        <v>29</v>
      </c>
      <c r="F8" s="8">
        <v>112.34</v>
      </c>
      <c r="G8" s="5"/>
      <c r="H8" s="5"/>
      <c r="I8" s="5"/>
      <c r="J8" s="5"/>
      <c r="K8" s="5"/>
      <c r="L8" s="5"/>
      <c r="M8" s="5"/>
      <c r="N8" s="5"/>
      <c r="O8" s="8">
        <v>89.79</v>
      </c>
      <c r="P8" s="5"/>
      <c r="Q8" s="5"/>
      <c r="R8" s="8">
        <v>5.17</v>
      </c>
      <c r="S8" s="5"/>
      <c r="T8" s="6">
        <f t="shared" si="0"/>
        <v>207.29999999999998</v>
      </c>
      <c r="U8" s="9" t="s">
        <v>30</v>
      </c>
      <c r="V8" s="1"/>
      <c r="W8" s="1"/>
      <c r="X8" s="1"/>
      <c r="Y8" s="1"/>
      <c r="Z8" s="1"/>
    </row>
    <row r="9" spans="1:26" ht="24.75" customHeight="1">
      <c r="A9" s="171"/>
      <c r="B9" s="171"/>
      <c r="C9" s="171"/>
      <c r="D9" s="5">
        <v>4</v>
      </c>
      <c r="E9" s="5" t="s">
        <v>31</v>
      </c>
      <c r="F9" s="5"/>
      <c r="G9" s="5"/>
      <c r="H9" s="5"/>
      <c r="I9" s="5"/>
      <c r="J9" s="5"/>
      <c r="K9" s="5"/>
      <c r="L9" s="5"/>
      <c r="M9" s="6">
        <v>56.42</v>
      </c>
      <c r="N9" s="5"/>
      <c r="O9" s="5"/>
      <c r="P9" s="8">
        <v>2.82</v>
      </c>
      <c r="Q9" s="5"/>
      <c r="R9" s="5"/>
      <c r="S9" s="5"/>
      <c r="T9" s="6">
        <f t="shared" si="0"/>
        <v>59.24</v>
      </c>
      <c r="U9" s="9" t="s">
        <v>32</v>
      </c>
      <c r="V9" s="1"/>
      <c r="W9" s="1"/>
      <c r="X9" s="1"/>
      <c r="Y9" s="1"/>
      <c r="Z9" s="1"/>
    </row>
    <row r="10" spans="1:26" ht="24.75" customHeight="1">
      <c r="A10" s="171"/>
      <c r="B10" s="171"/>
      <c r="C10" s="171"/>
      <c r="D10" s="5">
        <v>5</v>
      </c>
      <c r="E10" s="5" t="s">
        <v>33</v>
      </c>
      <c r="F10" s="5"/>
      <c r="G10" s="5"/>
      <c r="H10" s="5"/>
      <c r="I10" s="5"/>
      <c r="J10" s="5"/>
      <c r="K10" s="5"/>
      <c r="L10" s="5"/>
      <c r="M10" s="5"/>
      <c r="N10" s="5"/>
      <c r="O10" s="5"/>
      <c r="P10" s="6">
        <v>94.03</v>
      </c>
      <c r="Q10" s="5"/>
      <c r="R10" s="5"/>
      <c r="S10" s="5"/>
      <c r="T10" s="6">
        <f t="shared" si="0"/>
        <v>94.03</v>
      </c>
      <c r="U10" s="9" t="s">
        <v>34</v>
      </c>
      <c r="V10" s="1"/>
      <c r="W10" s="1"/>
      <c r="X10" s="1"/>
      <c r="Y10" s="1"/>
      <c r="Z10" s="1"/>
    </row>
    <row r="11" spans="1:26" ht="24.75" customHeight="1">
      <c r="A11" s="171"/>
      <c r="B11" s="171"/>
      <c r="C11" s="171"/>
      <c r="D11" s="5">
        <v>6</v>
      </c>
      <c r="E11" s="5" t="s">
        <v>35</v>
      </c>
      <c r="F11" s="5"/>
      <c r="G11" s="5"/>
      <c r="H11" s="5"/>
      <c r="I11" s="5"/>
      <c r="J11" s="5"/>
      <c r="K11" s="5"/>
      <c r="L11" s="5"/>
      <c r="M11" s="5"/>
      <c r="N11" s="8"/>
      <c r="O11" s="5"/>
      <c r="P11" s="8">
        <v>0.6</v>
      </c>
      <c r="Q11" s="5"/>
      <c r="R11" s="5"/>
      <c r="S11" s="5"/>
      <c r="T11" s="6">
        <f t="shared" si="0"/>
        <v>0.6</v>
      </c>
      <c r="U11" s="9" t="s">
        <v>36</v>
      </c>
      <c r="V11" s="1"/>
      <c r="W11" s="1"/>
      <c r="X11" s="1"/>
      <c r="Y11" s="1"/>
      <c r="Z11" s="1"/>
    </row>
    <row r="12" spans="1:26" ht="36.75" customHeight="1">
      <c r="A12" s="171"/>
      <c r="B12" s="171"/>
      <c r="C12" s="171"/>
      <c r="D12" s="5">
        <v>7</v>
      </c>
      <c r="E12" s="5" t="s">
        <v>37</v>
      </c>
      <c r="F12" s="5"/>
      <c r="G12" s="5"/>
      <c r="H12" s="5"/>
      <c r="I12" s="5"/>
      <c r="J12" s="5"/>
      <c r="K12" s="5"/>
      <c r="L12" s="5"/>
      <c r="M12" s="5"/>
      <c r="N12" s="5"/>
      <c r="O12" s="5"/>
      <c r="P12" s="8">
        <v>0.06</v>
      </c>
      <c r="Q12" s="8"/>
      <c r="R12" s="5"/>
      <c r="S12" s="5"/>
      <c r="T12" s="6">
        <f t="shared" si="0"/>
        <v>0.06</v>
      </c>
      <c r="U12" s="9" t="s">
        <v>38</v>
      </c>
      <c r="V12" s="1"/>
      <c r="W12" s="1"/>
      <c r="X12" s="1"/>
      <c r="Y12" s="1"/>
      <c r="Z12" s="1"/>
    </row>
    <row r="13" spans="1:26" ht="24.75" customHeight="1">
      <c r="A13" s="171"/>
      <c r="B13" s="171"/>
      <c r="C13" s="171"/>
      <c r="D13" s="5">
        <v>8</v>
      </c>
      <c r="E13" s="5" t="s">
        <v>39</v>
      </c>
      <c r="F13" s="5"/>
      <c r="G13" s="5"/>
      <c r="H13" s="5"/>
      <c r="I13" s="5"/>
      <c r="J13" s="5"/>
      <c r="K13" s="5"/>
      <c r="L13" s="5"/>
      <c r="M13" s="5"/>
      <c r="N13" s="6"/>
      <c r="O13" s="5"/>
      <c r="P13" s="5"/>
      <c r="Q13" s="5"/>
      <c r="R13" s="5"/>
      <c r="S13" s="5"/>
      <c r="T13" s="6">
        <f t="shared" si="0"/>
        <v>0</v>
      </c>
      <c r="U13" s="9"/>
      <c r="V13" s="1"/>
      <c r="W13" s="1"/>
      <c r="X13" s="1"/>
      <c r="Y13" s="1"/>
      <c r="Z13" s="1"/>
    </row>
    <row r="14" spans="1:26" ht="96" customHeight="1">
      <c r="A14" s="171"/>
      <c r="B14" s="171"/>
      <c r="C14" s="171"/>
      <c r="D14" s="5">
        <v>9</v>
      </c>
      <c r="E14" s="5" t="s">
        <v>40</v>
      </c>
      <c r="F14" s="5"/>
      <c r="G14" s="5"/>
      <c r="H14" s="5"/>
      <c r="I14" s="5"/>
      <c r="J14" s="5"/>
      <c r="K14" s="5"/>
      <c r="L14" s="5"/>
      <c r="M14" s="5"/>
      <c r="N14" s="6">
        <v>0.18</v>
      </c>
      <c r="O14" s="5"/>
      <c r="P14" s="5"/>
      <c r="Q14" s="8"/>
      <c r="R14" s="5"/>
      <c r="S14" s="8">
        <v>0.4</v>
      </c>
      <c r="T14" s="6">
        <f t="shared" si="0"/>
        <v>0.58000000000000007</v>
      </c>
      <c r="U14" s="9" t="s">
        <v>41</v>
      </c>
      <c r="V14" s="1"/>
      <c r="W14" s="1"/>
      <c r="X14" s="1"/>
      <c r="Y14" s="1"/>
      <c r="Z14" s="1"/>
    </row>
    <row r="15" spans="1:26" ht="24.75" customHeight="1">
      <c r="A15" s="171"/>
      <c r="B15" s="171"/>
      <c r="C15" s="171"/>
      <c r="D15" s="5">
        <v>10</v>
      </c>
      <c r="E15" s="5" t="s">
        <v>42</v>
      </c>
      <c r="F15" s="5"/>
      <c r="G15" s="5"/>
      <c r="H15" s="5"/>
      <c r="I15" s="6"/>
      <c r="J15" s="5"/>
      <c r="K15" s="5"/>
      <c r="L15" s="5"/>
      <c r="M15" s="5"/>
      <c r="N15" s="6">
        <v>0.45750000000000002</v>
      </c>
      <c r="O15" s="5"/>
      <c r="P15" s="5"/>
      <c r="Q15" s="5"/>
      <c r="R15" s="5"/>
      <c r="S15" s="5"/>
      <c r="T15" s="6">
        <f t="shared" si="0"/>
        <v>0.45750000000000002</v>
      </c>
      <c r="U15" s="10" t="s">
        <v>43</v>
      </c>
      <c r="V15" s="1"/>
      <c r="W15" s="1"/>
      <c r="X15" s="1"/>
      <c r="Y15" s="1"/>
      <c r="Z15" s="1"/>
    </row>
    <row r="16" spans="1:26" ht="24.75" customHeight="1">
      <c r="A16" s="171"/>
      <c r="B16" s="171"/>
      <c r="C16" s="171"/>
      <c r="D16" s="5">
        <v>11</v>
      </c>
      <c r="E16" s="5" t="s">
        <v>44</v>
      </c>
      <c r="F16" s="5"/>
      <c r="G16" s="8"/>
      <c r="H16" s="8"/>
      <c r="I16" s="5"/>
      <c r="J16" s="5"/>
      <c r="K16" s="5"/>
      <c r="L16" s="5"/>
      <c r="M16" s="5"/>
      <c r="N16" s="5"/>
      <c r="O16" s="5"/>
      <c r="P16" s="5"/>
      <c r="Q16" s="5"/>
      <c r="R16" s="5"/>
      <c r="S16" s="5"/>
      <c r="T16" s="6">
        <f t="shared" si="0"/>
        <v>0</v>
      </c>
      <c r="U16" s="9"/>
      <c r="V16" s="1"/>
      <c r="W16" s="1"/>
      <c r="X16" s="1"/>
      <c r="Y16" s="1"/>
      <c r="Z16" s="1"/>
    </row>
    <row r="17" spans="1:26" ht="24.75" customHeight="1">
      <c r="A17" s="171"/>
      <c r="B17" s="171"/>
      <c r="C17" s="171"/>
      <c r="D17" s="5">
        <v>12</v>
      </c>
      <c r="E17" s="5" t="s">
        <v>45</v>
      </c>
      <c r="F17" s="5"/>
      <c r="G17" s="5"/>
      <c r="H17" s="5"/>
      <c r="I17" s="5"/>
      <c r="J17" s="5"/>
      <c r="K17" s="5"/>
      <c r="L17" s="5"/>
      <c r="M17" s="5"/>
      <c r="N17" s="6">
        <v>3.4950000000000001</v>
      </c>
      <c r="O17" s="5"/>
      <c r="P17" s="5"/>
      <c r="Q17" s="5"/>
      <c r="R17" s="5"/>
      <c r="S17" s="5"/>
      <c r="T17" s="6">
        <f t="shared" si="0"/>
        <v>3.4950000000000001</v>
      </c>
      <c r="U17" s="9" t="s">
        <v>46</v>
      </c>
      <c r="V17" s="1"/>
      <c r="W17" s="1"/>
      <c r="X17" s="1"/>
      <c r="Y17" s="1"/>
      <c r="Z17" s="1"/>
    </row>
    <row r="18" spans="1:26" ht="24.75" customHeight="1">
      <c r="A18" s="171"/>
      <c r="B18" s="171"/>
      <c r="C18" s="171"/>
      <c r="D18" s="5">
        <v>13</v>
      </c>
      <c r="E18" s="5" t="s">
        <v>47</v>
      </c>
      <c r="F18" s="5"/>
      <c r="G18" s="5"/>
      <c r="H18" s="5"/>
      <c r="I18" s="5"/>
      <c r="J18" s="5"/>
      <c r="K18" s="5"/>
      <c r="L18" s="5"/>
      <c r="M18" s="5"/>
      <c r="N18" s="5"/>
      <c r="O18" s="5"/>
      <c r="P18" s="8"/>
      <c r="Q18" s="5"/>
      <c r="R18" s="5"/>
      <c r="S18" s="5"/>
      <c r="T18" s="6">
        <f t="shared" si="0"/>
        <v>0</v>
      </c>
      <c r="U18" s="9"/>
      <c r="V18" s="1"/>
      <c r="W18" s="1"/>
      <c r="X18" s="1"/>
      <c r="Y18" s="1"/>
      <c r="Z18" s="1"/>
    </row>
    <row r="19" spans="1:26" ht="24.75" customHeight="1">
      <c r="A19" s="171"/>
      <c r="B19" s="171"/>
      <c r="C19" s="171"/>
      <c r="D19" s="5">
        <v>14</v>
      </c>
      <c r="E19" s="5" t="s">
        <v>48</v>
      </c>
      <c r="F19" s="5"/>
      <c r="G19" s="5"/>
      <c r="H19" s="5"/>
      <c r="I19" s="5"/>
      <c r="J19" s="5"/>
      <c r="K19" s="5"/>
      <c r="L19" s="5"/>
      <c r="M19" s="5"/>
      <c r="N19" s="5"/>
      <c r="O19" s="5"/>
      <c r="P19" s="5"/>
      <c r="Q19" s="5"/>
      <c r="R19" s="5"/>
      <c r="S19" s="5"/>
      <c r="T19" s="6">
        <f t="shared" si="0"/>
        <v>0</v>
      </c>
      <c r="U19" s="9"/>
      <c r="V19" s="1"/>
      <c r="W19" s="1"/>
      <c r="X19" s="1"/>
      <c r="Y19" s="1"/>
      <c r="Z19" s="1"/>
    </row>
    <row r="20" spans="1:26" ht="24.75" customHeight="1">
      <c r="A20" s="171"/>
      <c r="B20" s="171"/>
      <c r="C20" s="171"/>
      <c r="D20" s="5">
        <v>15</v>
      </c>
      <c r="E20" s="5" t="s">
        <v>49</v>
      </c>
      <c r="F20" s="5"/>
      <c r="G20" s="5"/>
      <c r="H20" s="5"/>
      <c r="I20" s="8">
        <v>15</v>
      </c>
      <c r="J20" s="5"/>
      <c r="K20" s="5"/>
      <c r="L20" s="5"/>
      <c r="M20" s="5"/>
      <c r="N20" s="6">
        <v>0.74785000000000001</v>
      </c>
      <c r="O20" s="5"/>
      <c r="P20" s="8"/>
      <c r="Q20" s="8"/>
      <c r="R20" s="5"/>
      <c r="S20" s="5"/>
      <c r="T20" s="6">
        <f t="shared" si="0"/>
        <v>15.74785</v>
      </c>
      <c r="U20" s="9" t="s">
        <v>50</v>
      </c>
      <c r="V20" s="1"/>
      <c r="W20" s="1"/>
      <c r="X20" s="1"/>
      <c r="Y20" s="1"/>
      <c r="Z20" s="1"/>
    </row>
    <row r="21" spans="1:26" ht="24.75" customHeight="1">
      <c r="A21" s="171"/>
      <c r="B21" s="171"/>
      <c r="C21" s="171"/>
      <c r="D21" s="5">
        <v>16</v>
      </c>
      <c r="E21" s="5" t="s">
        <v>51</v>
      </c>
      <c r="F21" s="5"/>
      <c r="G21" s="5"/>
      <c r="H21" s="5"/>
      <c r="I21" s="5"/>
      <c r="J21" s="5"/>
      <c r="K21" s="5"/>
      <c r="L21" s="5"/>
      <c r="M21" s="5"/>
      <c r="N21" s="5"/>
      <c r="O21" s="5"/>
      <c r="P21" s="5"/>
      <c r="Q21" s="5"/>
      <c r="R21" s="5"/>
      <c r="S21" s="5"/>
      <c r="T21" s="6">
        <f t="shared" si="0"/>
        <v>0</v>
      </c>
      <c r="U21" s="9"/>
      <c r="V21" s="1"/>
      <c r="W21" s="1"/>
      <c r="X21" s="1"/>
      <c r="Y21" s="1"/>
      <c r="Z21" s="1"/>
    </row>
    <row r="22" spans="1:26" ht="59.25" customHeight="1">
      <c r="A22" s="171"/>
      <c r="B22" s="171"/>
      <c r="C22" s="171"/>
      <c r="D22" s="5">
        <v>17</v>
      </c>
      <c r="E22" s="5" t="s">
        <v>52</v>
      </c>
      <c r="F22" s="5"/>
      <c r="G22" s="5"/>
      <c r="H22" s="5"/>
      <c r="I22" s="6"/>
      <c r="J22" s="5"/>
      <c r="K22" s="5"/>
      <c r="L22" s="5"/>
      <c r="M22" s="5"/>
      <c r="N22" s="6">
        <v>1.179</v>
      </c>
      <c r="O22" s="5"/>
      <c r="P22" s="8">
        <v>0.9</v>
      </c>
      <c r="Q22" s="6">
        <v>4</v>
      </c>
      <c r="R22" s="5"/>
      <c r="S22" s="8"/>
      <c r="T22" s="6">
        <f t="shared" si="0"/>
        <v>6.0790000000000006</v>
      </c>
      <c r="U22" s="9" t="s">
        <v>53</v>
      </c>
      <c r="V22" s="1"/>
      <c r="W22" s="1"/>
      <c r="X22" s="1"/>
      <c r="Y22" s="1"/>
      <c r="Z22" s="1"/>
    </row>
    <row r="23" spans="1:26" ht="24.75" customHeight="1">
      <c r="A23" s="171"/>
      <c r="B23" s="169"/>
      <c r="C23" s="169"/>
      <c r="D23" s="5">
        <v>18</v>
      </c>
      <c r="E23" s="5" t="s">
        <v>54</v>
      </c>
      <c r="F23" s="5"/>
      <c r="G23" s="5"/>
      <c r="H23" s="5"/>
      <c r="I23" s="5"/>
      <c r="J23" s="5"/>
      <c r="K23" s="5"/>
      <c r="L23" s="5"/>
      <c r="M23" s="5"/>
      <c r="N23" s="5"/>
      <c r="O23" s="5"/>
      <c r="P23" s="8">
        <f>0.79+0.15</f>
        <v>0.94000000000000006</v>
      </c>
      <c r="Q23" s="8"/>
      <c r="R23" s="5"/>
      <c r="S23" s="8"/>
      <c r="T23" s="6">
        <f t="shared" si="0"/>
        <v>0.94000000000000006</v>
      </c>
      <c r="U23" s="9" t="s">
        <v>55</v>
      </c>
      <c r="V23" s="1"/>
      <c r="W23" s="1"/>
      <c r="X23" s="1"/>
      <c r="Y23" s="1"/>
      <c r="Z23" s="1"/>
    </row>
    <row r="24" spans="1:26" ht="24.75" customHeight="1">
      <c r="A24" s="171"/>
      <c r="B24" s="168" t="s">
        <v>56</v>
      </c>
      <c r="C24" s="168" t="s">
        <v>57</v>
      </c>
      <c r="D24" s="5">
        <v>19</v>
      </c>
      <c r="E24" s="5" t="s">
        <v>57</v>
      </c>
      <c r="F24" s="5"/>
      <c r="G24" s="5"/>
      <c r="H24" s="5"/>
      <c r="I24" s="5"/>
      <c r="J24" s="5"/>
      <c r="K24" s="5"/>
      <c r="L24" s="5"/>
      <c r="M24" s="5"/>
      <c r="N24" s="5"/>
      <c r="O24" s="5"/>
      <c r="P24" s="5"/>
      <c r="Q24" s="5"/>
      <c r="R24" s="5"/>
      <c r="S24" s="5"/>
      <c r="T24" s="6">
        <f t="shared" si="0"/>
        <v>0</v>
      </c>
      <c r="U24" s="9"/>
      <c r="V24" s="1"/>
      <c r="W24" s="1"/>
      <c r="X24" s="1"/>
      <c r="Y24" s="1"/>
      <c r="Z24" s="1"/>
    </row>
    <row r="25" spans="1:26" ht="24.75" customHeight="1">
      <c r="A25" s="171"/>
      <c r="B25" s="169"/>
      <c r="C25" s="169"/>
      <c r="D25" s="5">
        <v>20</v>
      </c>
      <c r="E25" s="5" t="s">
        <v>58</v>
      </c>
      <c r="F25" s="5"/>
      <c r="G25" s="5"/>
      <c r="H25" s="5"/>
      <c r="I25" s="5"/>
      <c r="J25" s="5"/>
      <c r="K25" s="5"/>
      <c r="L25" s="5"/>
      <c r="M25" s="5"/>
      <c r="N25" s="5"/>
      <c r="O25" s="5"/>
      <c r="P25" s="5"/>
      <c r="Q25" s="6">
        <v>1</v>
      </c>
      <c r="R25" s="5"/>
      <c r="S25" s="5"/>
      <c r="T25" s="6">
        <f t="shared" si="0"/>
        <v>1</v>
      </c>
      <c r="U25" s="9" t="s">
        <v>59</v>
      </c>
      <c r="V25" s="1"/>
      <c r="W25" s="1"/>
      <c r="X25" s="1"/>
      <c r="Y25" s="1"/>
      <c r="Z25" s="1"/>
    </row>
    <row r="26" spans="1:26" ht="39.75" customHeight="1">
      <c r="A26" s="171"/>
      <c r="B26" s="168" t="s">
        <v>60</v>
      </c>
      <c r="C26" s="168" t="s">
        <v>61</v>
      </c>
      <c r="D26" s="5">
        <v>21</v>
      </c>
      <c r="E26" s="5" t="s">
        <v>62</v>
      </c>
      <c r="F26" s="123"/>
      <c r="G26" s="123"/>
      <c r="H26" s="124"/>
      <c r="I26" s="125">
        <f>3.5</f>
        <v>3.5</v>
      </c>
      <c r="J26" s="123"/>
      <c r="K26" s="125"/>
      <c r="L26" s="123"/>
      <c r="M26" s="123"/>
      <c r="N26" s="125">
        <f xml:space="preserve"> 0.992+0.4565+0.475+1</f>
        <v>2.9235000000000002</v>
      </c>
      <c r="O26" s="123"/>
      <c r="P26" s="124">
        <f>17.28+3.852</f>
        <v>21.132000000000001</v>
      </c>
      <c r="Q26" s="124">
        <f>0.25</f>
        <v>0.25</v>
      </c>
      <c r="R26" s="125">
        <f>0.5+0.35</f>
        <v>0.85</v>
      </c>
      <c r="S26" s="123"/>
      <c r="T26" s="125">
        <f t="shared" si="0"/>
        <v>28.655500000000004</v>
      </c>
      <c r="U26" s="9" t="s">
        <v>63</v>
      </c>
      <c r="V26" s="1"/>
      <c r="W26" s="1"/>
      <c r="X26" s="1"/>
      <c r="Y26" s="1"/>
      <c r="Z26" s="1"/>
    </row>
    <row r="27" spans="1:26" ht="24.75" customHeight="1">
      <c r="A27" s="171"/>
      <c r="B27" s="171"/>
      <c r="C27" s="171"/>
      <c r="D27" s="5">
        <v>22</v>
      </c>
      <c r="E27" s="5" t="s">
        <v>64</v>
      </c>
      <c r="F27" s="124"/>
      <c r="G27" s="123"/>
      <c r="H27" s="124"/>
      <c r="I27" s="125"/>
      <c r="J27" s="123"/>
      <c r="K27" s="123"/>
      <c r="L27" s="123"/>
      <c r="M27" s="124">
        <v>0.75</v>
      </c>
      <c r="N27" s="123"/>
      <c r="O27" s="123"/>
      <c r="P27" s="124">
        <f>200-0.1+1.2</f>
        <v>201.1</v>
      </c>
      <c r="Q27" s="124"/>
      <c r="R27" s="125"/>
      <c r="S27" s="123"/>
      <c r="T27" s="125">
        <f t="shared" si="0"/>
        <v>201.85</v>
      </c>
      <c r="U27" s="9" t="s">
        <v>65</v>
      </c>
      <c r="V27" s="1"/>
      <c r="W27" s="1"/>
      <c r="X27" s="1"/>
      <c r="Y27" s="1"/>
      <c r="Z27" s="1"/>
    </row>
    <row r="28" spans="1:26" ht="24.75" customHeight="1">
      <c r="A28" s="171"/>
      <c r="B28" s="171"/>
      <c r="C28" s="171"/>
      <c r="D28" s="5">
        <v>23</v>
      </c>
      <c r="E28" s="5" t="s">
        <v>66</v>
      </c>
      <c r="F28" s="123"/>
      <c r="G28" s="123"/>
      <c r="H28" s="123"/>
      <c r="I28" s="123"/>
      <c r="J28" s="123"/>
      <c r="K28" s="125"/>
      <c r="L28" s="123"/>
      <c r="M28" s="123"/>
      <c r="N28" s="123"/>
      <c r="O28" s="124">
        <f>45.8165+4.38</f>
        <v>50.1965</v>
      </c>
      <c r="P28" s="123"/>
      <c r="Q28" s="124"/>
      <c r="R28" s="123"/>
      <c r="S28" s="123"/>
      <c r="T28" s="125">
        <f t="shared" si="0"/>
        <v>50.1965</v>
      </c>
      <c r="U28" s="9" t="s">
        <v>65</v>
      </c>
      <c r="V28" s="1"/>
      <c r="W28" s="1"/>
      <c r="X28" s="1"/>
      <c r="Y28" s="1"/>
      <c r="Z28" s="1"/>
    </row>
    <row r="29" spans="1:26" ht="24.75" customHeight="1">
      <c r="A29" s="171"/>
      <c r="B29" s="171"/>
      <c r="C29" s="171"/>
      <c r="D29" s="5">
        <v>24</v>
      </c>
      <c r="E29" s="5" t="s">
        <v>67</v>
      </c>
      <c r="F29" s="123"/>
      <c r="G29" s="123"/>
      <c r="H29" s="124"/>
      <c r="I29" s="123"/>
      <c r="J29" s="123"/>
      <c r="K29" s="123"/>
      <c r="L29" s="123"/>
      <c r="M29" s="123"/>
      <c r="N29" s="125">
        <f>1.72+1.72+1+1</f>
        <v>5.4399999999999995</v>
      </c>
      <c r="O29" s="124"/>
      <c r="P29" s="123">
        <f>2+10+1.2+17.5</f>
        <v>30.7</v>
      </c>
      <c r="Q29" s="125"/>
      <c r="R29" s="123"/>
      <c r="S29" s="123"/>
      <c r="T29" s="125">
        <f t="shared" si="0"/>
        <v>36.14</v>
      </c>
      <c r="U29" s="9" t="s">
        <v>68</v>
      </c>
      <c r="V29" s="1"/>
      <c r="W29" s="1"/>
      <c r="X29" s="1"/>
      <c r="Y29" s="1"/>
      <c r="Z29" s="1"/>
    </row>
    <row r="30" spans="1:26" ht="24.75" customHeight="1">
      <c r="A30" s="171"/>
      <c r="B30" s="171"/>
      <c r="C30" s="171"/>
      <c r="D30" s="5">
        <v>25</v>
      </c>
      <c r="E30" s="5" t="s">
        <v>69</v>
      </c>
      <c r="F30" s="123"/>
      <c r="G30" s="123"/>
      <c r="H30" s="123"/>
      <c r="I30" s="123"/>
      <c r="J30" s="123"/>
      <c r="K30" s="123"/>
      <c r="L30" s="123"/>
      <c r="M30" s="123"/>
      <c r="N30" s="125">
        <v>0.5</v>
      </c>
      <c r="O30" s="123"/>
      <c r="P30" s="123"/>
      <c r="Q30" s="123"/>
      <c r="R30" s="123"/>
      <c r="S30" s="123"/>
      <c r="T30" s="125">
        <f t="shared" si="0"/>
        <v>0.5</v>
      </c>
      <c r="U30" s="9" t="s">
        <v>65</v>
      </c>
      <c r="V30" s="1"/>
      <c r="W30" s="1"/>
      <c r="X30" s="1"/>
      <c r="Y30" s="1"/>
      <c r="Z30" s="1"/>
    </row>
    <row r="31" spans="1:26" ht="24.75" customHeight="1">
      <c r="A31" s="171"/>
      <c r="B31" s="171"/>
      <c r="C31" s="171"/>
      <c r="D31" s="5">
        <v>26</v>
      </c>
      <c r="E31" s="5" t="s">
        <v>70</v>
      </c>
      <c r="F31" s="123"/>
      <c r="G31" s="123"/>
      <c r="H31" s="123"/>
      <c r="I31" s="125"/>
      <c r="J31" s="123"/>
      <c r="K31" s="123"/>
      <c r="L31" s="123"/>
      <c r="M31" s="123"/>
      <c r="N31" s="125">
        <v>4.08</v>
      </c>
      <c r="O31" s="123"/>
      <c r="P31" s="123"/>
      <c r="Q31" s="125">
        <v>0.5</v>
      </c>
      <c r="R31" s="124"/>
      <c r="S31" s="123"/>
      <c r="T31" s="125">
        <f t="shared" si="0"/>
        <v>4.58</v>
      </c>
      <c r="U31" s="9" t="s">
        <v>71</v>
      </c>
      <c r="V31" s="1"/>
      <c r="W31" s="1"/>
      <c r="X31" s="1"/>
      <c r="Y31" s="1"/>
      <c r="Z31" s="1"/>
    </row>
    <row r="32" spans="1:26" ht="32.25" customHeight="1">
      <c r="A32" s="171"/>
      <c r="B32" s="171"/>
      <c r="C32" s="171"/>
      <c r="D32" s="5">
        <v>27</v>
      </c>
      <c r="E32" s="5" t="s">
        <v>72</v>
      </c>
      <c r="F32" s="123"/>
      <c r="G32" s="123"/>
      <c r="H32" s="124"/>
      <c r="I32" s="125"/>
      <c r="J32" s="123"/>
      <c r="K32" s="123"/>
      <c r="L32" s="123"/>
      <c r="M32" s="123"/>
      <c r="N32" s="125"/>
      <c r="O32" s="124"/>
      <c r="P32" s="124"/>
      <c r="Q32" s="123"/>
      <c r="R32" s="123"/>
      <c r="S32" s="123"/>
      <c r="T32" s="125">
        <f t="shared" si="0"/>
        <v>0</v>
      </c>
      <c r="U32" s="9"/>
      <c r="V32" s="1"/>
      <c r="W32" s="1"/>
      <c r="X32" s="1"/>
      <c r="Y32" s="1"/>
      <c r="Z32" s="1"/>
    </row>
    <row r="33" spans="1:26" ht="24.75" customHeight="1">
      <c r="A33" s="171"/>
      <c r="B33" s="171"/>
      <c r="C33" s="171"/>
      <c r="D33" s="5">
        <v>28</v>
      </c>
      <c r="E33" s="5" t="s">
        <v>31</v>
      </c>
      <c r="F33" s="123"/>
      <c r="G33" s="123"/>
      <c r="H33" s="123"/>
      <c r="I33" s="123"/>
      <c r="J33" s="123"/>
      <c r="K33" s="125">
        <v>5.6420000000000003</v>
      </c>
      <c r="L33" s="123"/>
      <c r="M33" s="125">
        <v>5.6420000000000003</v>
      </c>
      <c r="N33" s="123"/>
      <c r="O33" s="123"/>
      <c r="P33" s="123"/>
      <c r="Q33" s="123"/>
      <c r="R33" s="123"/>
      <c r="S33" s="123"/>
      <c r="T33" s="125">
        <f t="shared" si="0"/>
        <v>11.284000000000001</v>
      </c>
      <c r="U33" s="9" t="s">
        <v>65</v>
      </c>
      <c r="V33" s="1"/>
      <c r="W33" s="1"/>
      <c r="X33" s="1"/>
      <c r="Y33" s="1"/>
      <c r="Z33" s="1"/>
    </row>
    <row r="34" spans="1:26" ht="24.75" customHeight="1">
      <c r="A34" s="171"/>
      <c r="B34" s="171"/>
      <c r="C34" s="171"/>
      <c r="D34" s="5">
        <v>29</v>
      </c>
      <c r="E34" s="5" t="s">
        <v>33</v>
      </c>
      <c r="F34" s="123"/>
      <c r="G34" s="123"/>
      <c r="H34" s="123"/>
      <c r="I34" s="123"/>
      <c r="J34" s="123"/>
      <c r="K34" s="123"/>
      <c r="L34" s="123"/>
      <c r="M34" s="123"/>
      <c r="N34" s="123"/>
      <c r="O34" s="123"/>
      <c r="P34" s="125">
        <v>14.105</v>
      </c>
      <c r="Q34" s="123"/>
      <c r="R34" s="123"/>
      <c r="S34" s="123"/>
      <c r="T34" s="125">
        <f t="shared" si="0"/>
        <v>14.105</v>
      </c>
      <c r="U34" s="9" t="s">
        <v>65</v>
      </c>
      <c r="V34" s="1"/>
      <c r="W34" s="1"/>
      <c r="X34" s="1"/>
      <c r="Y34" s="1"/>
      <c r="Z34" s="1"/>
    </row>
    <row r="35" spans="1:26" ht="24.75" customHeight="1">
      <c r="A35" s="171"/>
      <c r="B35" s="171"/>
      <c r="C35" s="171"/>
      <c r="D35" s="5">
        <v>30</v>
      </c>
      <c r="E35" s="5" t="s">
        <v>73</v>
      </c>
      <c r="F35" s="123"/>
      <c r="G35" s="123"/>
      <c r="H35" s="123"/>
      <c r="I35" s="125"/>
      <c r="J35" s="123"/>
      <c r="K35" s="123"/>
      <c r="L35" s="123"/>
      <c r="M35" s="123"/>
      <c r="N35" s="123"/>
      <c r="O35" s="123"/>
      <c r="P35" s="123"/>
      <c r="Q35" s="125">
        <v>3.63</v>
      </c>
      <c r="R35" s="124">
        <v>1.66</v>
      </c>
      <c r="S35" s="123"/>
      <c r="T35" s="125">
        <f t="shared" si="0"/>
        <v>5.29</v>
      </c>
      <c r="U35" s="9" t="s">
        <v>74</v>
      </c>
      <c r="V35" s="1"/>
      <c r="W35" s="1"/>
      <c r="X35" s="1"/>
      <c r="Y35" s="1"/>
      <c r="Z35" s="1"/>
    </row>
    <row r="36" spans="1:26" ht="24.75" customHeight="1">
      <c r="A36" s="171"/>
      <c r="B36" s="169"/>
      <c r="C36" s="169"/>
      <c r="D36" s="5">
        <v>31</v>
      </c>
      <c r="E36" s="5" t="s">
        <v>54</v>
      </c>
      <c r="F36" s="123"/>
      <c r="G36" s="123"/>
      <c r="H36" s="123"/>
      <c r="I36" s="123"/>
      <c r="J36" s="123"/>
      <c r="K36" s="123"/>
      <c r="L36" s="123"/>
      <c r="M36" s="123"/>
      <c r="N36" s="123"/>
      <c r="O36" s="123"/>
      <c r="P36" s="123"/>
      <c r="Q36" s="123"/>
      <c r="R36" s="123"/>
      <c r="S36" s="123"/>
      <c r="T36" s="125">
        <f t="shared" si="0"/>
        <v>0</v>
      </c>
      <c r="U36" s="9"/>
      <c r="V36" s="1"/>
      <c r="W36" s="1"/>
      <c r="X36" s="1"/>
      <c r="Y36" s="1"/>
      <c r="Z36" s="1"/>
    </row>
    <row r="37" spans="1:26" ht="24.75" customHeight="1">
      <c r="A37" s="171"/>
      <c r="B37" s="168" t="s">
        <v>75</v>
      </c>
      <c r="C37" s="168" t="s">
        <v>76</v>
      </c>
      <c r="D37" s="5">
        <v>32</v>
      </c>
      <c r="E37" s="5" t="s">
        <v>77</v>
      </c>
      <c r="F37" s="5"/>
      <c r="G37" s="5"/>
      <c r="H37" s="5"/>
      <c r="I37" s="6"/>
      <c r="J37" s="5"/>
      <c r="K37" s="5"/>
      <c r="L37" s="5"/>
      <c r="M37" s="6"/>
      <c r="N37" s="6">
        <v>2.37</v>
      </c>
      <c r="O37" s="8">
        <v>85</v>
      </c>
      <c r="P37" s="8">
        <v>30.61</v>
      </c>
      <c r="Q37" s="6">
        <v>1</v>
      </c>
      <c r="R37" s="8">
        <v>5.4269999999999996</v>
      </c>
      <c r="S37" s="5"/>
      <c r="T37" s="6">
        <f t="shared" si="0"/>
        <v>124.40700000000001</v>
      </c>
      <c r="U37" s="9" t="s">
        <v>78</v>
      </c>
      <c r="V37" s="1"/>
      <c r="W37" s="1"/>
      <c r="X37" s="1"/>
      <c r="Y37" s="1"/>
      <c r="Z37" s="1"/>
    </row>
    <row r="38" spans="1:26" ht="24.75" customHeight="1">
      <c r="A38" s="171"/>
      <c r="B38" s="171"/>
      <c r="C38" s="171"/>
      <c r="D38" s="5">
        <v>33</v>
      </c>
      <c r="E38" s="5" t="s">
        <v>79</v>
      </c>
      <c r="F38" s="5"/>
      <c r="G38" s="5"/>
      <c r="H38" s="5"/>
      <c r="I38" s="5"/>
      <c r="J38" s="5"/>
      <c r="K38" s="5"/>
      <c r="L38" s="5"/>
      <c r="M38" s="5"/>
      <c r="N38" s="5"/>
      <c r="O38" s="5"/>
      <c r="P38" s="5"/>
      <c r="Q38" s="5"/>
      <c r="R38" s="5"/>
      <c r="S38" s="5"/>
      <c r="T38" s="6">
        <f t="shared" si="0"/>
        <v>0</v>
      </c>
      <c r="U38" s="9"/>
      <c r="V38" s="1"/>
      <c r="W38" s="1"/>
      <c r="X38" s="1"/>
      <c r="Y38" s="1"/>
      <c r="Z38" s="1"/>
    </row>
    <row r="39" spans="1:26" ht="24.75" customHeight="1">
      <c r="A39" s="171"/>
      <c r="B39" s="169"/>
      <c r="C39" s="169"/>
      <c r="D39" s="5">
        <v>34</v>
      </c>
      <c r="E39" s="5" t="s">
        <v>80</v>
      </c>
      <c r="F39" s="5"/>
      <c r="G39" s="5"/>
      <c r="H39" s="5"/>
      <c r="I39" s="5"/>
      <c r="J39" s="5"/>
      <c r="K39" s="5"/>
      <c r="L39" s="5"/>
      <c r="M39" s="5"/>
      <c r="N39" s="6"/>
      <c r="O39" s="5"/>
      <c r="P39" s="8"/>
      <c r="Q39" s="5"/>
      <c r="R39" s="5"/>
      <c r="S39" s="5"/>
      <c r="T39" s="6">
        <f t="shared" si="0"/>
        <v>0</v>
      </c>
      <c r="U39" s="9"/>
      <c r="V39" s="1"/>
      <c r="W39" s="1"/>
      <c r="X39" s="1"/>
      <c r="Y39" s="1"/>
      <c r="Z39" s="1"/>
    </row>
    <row r="40" spans="1:26" ht="24.75" customHeight="1">
      <c r="A40" s="171"/>
      <c r="B40" s="168" t="s">
        <v>81</v>
      </c>
      <c r="C40" s="168" t="s">
        <v>82</v>
      </c>
      <c r="D40" s="5">
        <v>35</v>
      </c>
      <c r="E40" s="5" t="s">
        <v>83</v>
      </c>
      <c r="F40" s="5"/>
      <c r="G40" s="5"/>
      <c r="H40" s="5"/>
      <c r="I40" s="6"/>
      <c r="J40" s="5"/>
      <c r="K40" s="5"/>
      <c r="L40" s="5"/>
      <c r="M40" s="5"/>
      <c r="N40" s="6">
        <v>2.75</v>
      </c>
      <c r="O40" s="5"/>
      <c r="P40" s="8">
        <v>1.63</v>
      </c>
      <c r="Q40" s="8"/>
      <c r="R40" s="5">
        <v>0.1</v>
      </c>
      <c r="S40" s="5"/>
      <c r="T40" s="6">
        <f t="shared" si="0"/>
        <v>4.4799999999999995</v>
      </c>
      <c r="U40" s="11" t="s">
        <v>578</v>
      </c>
      <c r="V40" s="1"/>
      <c r="W40" s="1"/>
      <c r="X40" s="1"/>
      <c r="Y40" s="1"/>
      <c r="Z40" s="1"/>
    </row>
    <row r="41" spans="1:26" ht="24.75" customHeight="1">
      <c r="A41" s="171"/>
      <c r="B41" s="171"/>
      <c r="C41" s="171"/>
      <c r="D41" s="5">
        <v>36</v>
      </c>
      <c r="E41" s="5" t="s">
        <v>84</v>
      </c>
      <c r="F41" s="5"/>
      <c r="G41" s="5"/>
      <c r="H41" s="5"/>
      <c r="I41" s="5"/>
      <c r="J41" s="5"/>
      <c r="K41" s="6"/>
      <c r="L41" s="5"/>
      <c r="M41" s="5"/>
      <c r="N41" s="6">
        <v>0.95</v>
      </c>
      <c r="O41" s="5"/>
      <c r="P41" s="5"/>
      <c r="Q41" s="5"/>
      <c r="R41" s="5"/>
      <c r="S41" s="5"/>
      <c r="T41" s="6">
        <f t="shared" si="0"/>
        <v>0.95</v>
      </c>
      <c r="U41" s="9" t="s">
        <v>85</v>
      </c>
      <c r="V41" s="1"/>
      <c r="W41" s="1"/>
      <c r="X41" s="1"/>
      <c r="Y41" s="1"/>
      <c r="Z41" s="1"/>
    </row>
    <row r="42" spans="1:26" ht="24.75" customHeight="1">
      <c r="A42" s="171"/>
      <c r="B42" s="171"/>
      <c r="C42" s="171"/>
      <c r="D42" s="5">
        <v>37</v>
      </c>
      <c r="E42" s="5" t="s">
        <v>86</v>
      </c>
      <c r="F42" s="5"/>
      <c r="G42" s="5"/>
      <c r="H42" s="5"/>
      <c r="I42" s="5"/>
      <c r="J42" s="5"/>
      <c r="K42" s="6"/>
      <c r="L42" s="5"/>
      <c r="M42" s="5"/>
      <c r="N42" s="5"/>
      <c r="O42" s="5"/>
      <c r="P42" s="5"/>
      <c r="Q42" s="5"/>
      <c r="R42" s="5"/>
      <c r="S42" s="5"/>
      <c r="T42" s="6">
        <f t="shared" si="0"/>
        <v>0</v>
      </c>
      <c r="U42" s="9"/>
      <c r="V42" s="1"/>
      <c r="W42" s="1"/>
      <c r="X42" s="1"/>
      <c r="Y42" s="1"/>
      <c r="Z42" s="1"/>
    </row>
    <row r="43" spans="1:26" ht="24.75" customHeight="1">
      <c r="A43" s="171"/>
      <c r="B43" s="171"/>
      <c r="C43" s="171"/>
      <c r="D43" s="5">
        <v>38</v>
      </c>
      <c r="E43" s="5" t="s">
        <v>87</v>
      </c>
      <c r="F43" s="5"/>
      <c r="G43" s="5"/>
      <c r="H43" s="5"/>
      <c r="I43" s="5"/>
      <c r="J43" s="5"/>
      <c r="K43" s="5"/>
      <c r="L43" s="5"/>
      <c r="M43" s="5"/>
      <c r="N43" s="6">
        <v>3.9249999999999998</v>
      </c>
      <c r="O43" s="8">
        <v>0.128</v>
      </c>
      <c r="P43" s="8">
        <v>6.4</v>
      </c>
      <c r="Q43" s="8">
        <v>0.7</v>
      </c>
      <c r="R43" s="5">
        <v>1</v>
      </c>
      <c r="S43" s="5"/>
      <c r="T43" s="6">
        <f t="shared" si="0"/>
        <v>12.152999999999999</v>
      </c>
      <c r="U43" s="12" t="s">
        <v>579</v>
      </c>
      <c r="V43" s="1"/>
      <c r="W43" s="1"/>
      <c r="X43" s="1"/>
      <c r="Y43" s="1"/>
      <c r="Z43" s="1"/>
    </row>
    <row r="44" spans="1:26" ht="24.75" customHeight="1">
      <c r="A44" s="171"/>
      <c r="B44" s="171"/>
      <c r="C44" s="171"/>
      <c r="D44" s="5">
        <v>39</v>
      </c>
      <c r="E44" s="5" t="s">
        <v>88</v>
      </c>
      <c r="F44" s="5"/>
      <c r="G44" s="5"/>
      <c r="H44" s="5"/>
      <c r="I44" s="5"/>
      <c r="J44" s="5"/>
      <c r="K44" s="5"/>
      <c r="L44" s="5"/>
      <c r="M44" s="5"/>
      <c r="N44" s="5"/>
      <c r="O44" s="5"/>
      <c r="P44" s="8">
        <v>0.7</v>
      </c>
      <c r="Q44" s="8">
        <v>15.5</v>
      </c>
      <c r="R44" s="5"/>
      <c r="S44" s="5"/>
      <c r="T44" s="6">
        <f t="shared" si="0"/>
        <v>16.2</v>
      </c>
      <c r="U44" s="9" t="s">
        <v>580</v>
      </c>
      <c r="V44" s="1"/>
      <c r="W44" s="1"/>
      <c r="X44" s="1"/>
      <c r="Y44" s="1"/>
      <c r="Z44" s="1"/>
    </row>
    <row r="45" spans="1:26" ht="138.75" customHeight="1">
      <c r="A45" s="171"/>
      <c r="B45" s="171"/>
      <c r="C45" s="171"/>
      <c r="D45" s="5">
        <v>40</v>
      </c>
      <c r="E45" s="5" t="s">
        <v>89</v>
      </c>
      <c r="F45" s="5"/>
      <c r="G45" s="5"/>
      <c r="H45" s="5"/>
      <c r="I45" s="5"/>
      <c r="J45" s="5"/>
      <c r="K45" s="5"/>
      <c r="L45" s="5"/>
      <c r="M45" s="5"/>
      <c r="N45" s="6">
        <v>0.10920000000000001</v>
      </c>
      <c r="O45" s="5"/>
      <c r="P45" s="8">
        <v>0.12</v>
      </c>
      <c r="Q45" s="6">
        <v>0.47</v>
      </c>
      <c r="R45" s="8">
        <v>2</v>
      </c>
      <c r="S45" s="5"/>
      <c r="T45" s="6">
        <f t="shared" si="0"/>
        <v>2.6992000000000003</v>
      </c>
      <c r="U45" s="12" t="s">
        <v>823</v>
      </c>
      <c r="V45" s="1"/>
      <c r="W45" s="1"/>
      <c r="X45" s="1"/>
      <c r="Y45" s="1"/>
      <c r="Z45" s="1"/>
    </row>
    <row r="46" spans="1:26" ht="24.75" customHeight="1">
      <c r="A46" s="171"/>
      <c r="B46" s="169"/>
      <c r="C46" s="169"/>
      <c r="D46" s="5">
        <v>41</v>
      </c>
      <c r="E46" s="5" t="s">
        <v>54</v>
      </c>
      <c r="F46" s="5"/>
      <c r="G46" s="5"/>
      <c r="H46" s="5"/>
      <c r="I46" s="5"/>
      <c r="J46" s="5"/>
      <c r="K46" s="5"/>
      <c r="L46" s="5"/>
      <c r="M46" s="5"/>
      <c r="N46" s="5"/>
      <c r="O46" s="5"/>
      <c r="P46" s="5"/>
      <c r="Q46" s="5"/>
      <c r="R46" s="5"/>
      <c r="S46" s="5"/>
      <c r="T46" s="6">
        <f t="shared" si="0"/>
        <v>0</v>
      </c>
      <c r="U46" s="9"/>
      <c r="V46" s="1"/>
      <c r="W46" s="1"/>
      <c r="X46" s="1"/>
      <c r="Y46" s="1"/>
      <c r="Z46" s="1"/>
    </row>
    <row r="47" spans="1:26" ht="24.75" customHeight="1">
      <c r="A47" s="171"/>
      <c r="B47" s="168" t="s">
        <v>90</v>
      </c>
      <c r="C47" s="168" t="s">
        <v>91</v>
      </c>
      <c r="D47" s="5">
        <v>42</v>
      </c>
      <c r="E47" s="5" t="s">
        <v>92</v>
      </c>
      <c r="F47" s="8">
        <v>23.3</v>
      </c>
      <c r="G47" s="5"/>
      <c r="H47" s="5"/>
      <c r="I47" s="6"/>
      <c r="J47" s="5"/>
      <c r="K47" s="5"/>
      <c r="L47" s="5"/>
      <c r="M47" s="5"/>
      <c r="N47" s="6">
        <v>1.37</v>
      </c>
      <c r="O47" s="5"/>
      <c r="P47" s="8">
        <v>1.3</v>
      </c>
      <c r="Q47" s="5"/>
      <c r="R47" s="5"/>
      <c r="S47" s="5"/>
      <c r="T47" s="6">
        <f t="shared" si="0"/>
        <v>25.970000000000002</v>
      </c>
      <c r="U47" s="9"/>
      <c r="V47" s="1"/>
      <c r="W47" s="1"/>
      <c r="X47" s="1"/>
      <c r="Y47" s="1"/>
      <c r="Z47" s="1"/>
    </row>
    <row r="48" spans="1:26" ht="24.75" customHeight="1">
      <c r="A48" s="171"/>
      <c r="B48" s="171"/>
      <c r="C48" s="171"/>
      <c r="D48" s="5">
        <v>43</v>
      </c>
      <c r="E48" s="5" t="s">
        <v>93</v>
      </c>
      <c r="F48" s="8">
        <v>0.38</v>
      </c>
      <c r="G48" s="5"/>
      <c r="H48" s="5"/>
      <c r="I48" s="6"/>
      <c r="J48" s="5"/>
      <c r="K48" s="5"/>
      <c r="L48" s="5"/>
      <c r="M48" s="5"/>
      <c r="N48" s="6">
        <v>0.45750000000000002</v>
      </c>
      <c r="O48" s="5"/>
      <c r="P48" s="8">
        <v>0.8</v>
      </c>
      <c r="Q48" s="5"/>
      <c r="R48" s="5"/>
      <c r="S48" s="5"/>
      <c r="T48" s="6">
        <f t="shared" si="0"/>
        <v>1.6375000000000002</v>
      </c>
      <c r="U48" s="9"/>
      <c r="V48" s="1"/>
      <c r="W48" s="1"/>
      <c r="X48" s="1"/>
      <c r="Y48" s="1"/>
      <c r="Z48" s="1"/>
    </row>
    <row r="49" spans="1:26" ht="24.75" customHeight="1">
      <c r="A49" s="171"/>
      <c r="B49" s="171"/>
      <c r="C49" s="171"/>
      <c r="D49" s="5">
        <v>44</v>
      </c>
      <c r="E49" s="5" t="s">
        <v>94</v>
      </c>
      <c r="F49" s="8">
        <v>0.43</v>
      </c>
      <c r="G49" s="5"/>
      <c r="H49" s="5"/>
      <c r="I49" s="6"/>
      <c r="J49" s="5"/>
      <c r="K49" s="5"/>
      <c r="L49" s="5"/>
      <c r="M49" s="5"/>
      <c r="N49" s="6">
        <v>3.63</v>
      </c>
      <c r="O49" s="8">
        <v>0.38</v>
      </c>
      <c r="P49" s="8">
        <v>0.5</v>
      </c>
      <c r="Q49" s="5"/>
      <c r="R49" s="5"/>
      <c r="S49" s="5"/>
      <c r="T49" s="6">
        <f t="shared" si="0"/>
        <v>4.9399999999999995</v>
      </c>
      <c r="U49" s="9" t="s">
        <v>95</v>
      </c>
      <c r="V49" s="1"/>
      <c r="W49" s="1"/>
      <c r="X49" s="1"/>
      <c r="Y49" s="1"/>
      <c r="Z49" s="1"/>
    </row>
    <row r="50" spans="1:26" ht="24.75" customHeight="1">
      <c r="A50" s="171"/>
      <c r="B50" s="171"/>
      <c r="C50" s="171"/>
      <c r="D50" s="5">
        <v>45</v>
      </c>
      <c r="E50" s="5" t="s">
        <v>96</v>
      </c>
      <c r="F50" s="8">
        <v>0.1</v>
      </c>
      <c r="G50" s="5"/>
      <c r="H50" s="5"/>
      <c r="I50" s="5"/>
      <c r="J50" s="5"/>
      <c r="K50" s="5"/>
      <c r="L50" s="5"/>
      <c r="M50" s="5"/>
      <c r="N50" s="6">
        <v>1</v>
      </c>
      <c r="O50" s="8">
        <v>0.1</v>
      </c>
      <c r="P50" s="5"/>
      <c r="Q50" s="5"/>
      <c r="R50" s="5"/>
      <c r="S50" s="5"/>
      <c r="T50" s="6">
        <f t="shared" si="0"/>
        <v>1.2000000000000002</v>
      </c>
      <c r="U50" s="9"/>
      <c r="V50" s="1"/>
      <c r="W50" s="1"/>
      <c r="X50" s="1"/>
      <c r="Y50" s="1"/>
      <c r="Z50" s="1"/>
    </row>
    <row r="51" spans="1:26" ht="24.75" customHeight="1">
      <c r="A51" s="171"/>
      <c r="B51" s="171"/>
      <c r="C51" s="171"/>
      <c r="D51" s="5">
        <v>46</v>
      </c>
      <c r="E51" s="5" t="s">
        <v>97</v>
      </c>
      <c r="F51" s="5"/>
      <c r="G51" s="5"/>
      <c r="H51" s="5"/>
      <c r="I51" s="5"/>
      <c r="J51" s="5"/>
      <c r="K51" s="5"/>
      <c r="L51" s="5"/>
      <c r="M51" s="5"/>
      <c r="N51" s="5"/>
      <c r="O51" s="5"/>
      <c r="P51" s="5"/>
      <c r="Q51" s="5"/>
      <c r="R51" s="5"/>
      <c r="S51" s="5"/>
      <c r="T51" s="6">
        <f t="shared" si="0"/>
        <v>0</v>
      </c>
      <c r="U51" s="9"/>
      <c r="V51" s="1"/>
      <c r="W51" s="1"/>
      <c r="X51" s="1"/>
      <c r="Y51" s="1"/>
      <c r="Z51" s="1"/>
    </row>
    <row r="52" spans="1:26" ht="24.75" customHeight="1">
      <c r="A52" s="171"/>
      <c r="B52" s="171"/>
      <c r="C52" s="171"/>
      <c r="D52" s="5">
        <v>47</v>
      </c>
      <c r="E52" s="5" t="s">
        <v>98</v>
      </c>
      <c r="F52" s="8">
        <v>4.3</v>
      </c>
      <c r="G52" s="5"/>
      <c r="H52" s="5"/>
      <c r="I52" s="5"/>
      <c r="J52" s="5"/>
      <c r="K52" s="5"/>
      <c r="L52" s="5"/>
      <c r="M52" s="5"/>
      <c r="N52" s="5"/>
      <c r="O52" s="5"/>
      <c r="P52" s="5"/>
      <c r="Q52" s="5"/>
      <c r="R52" s="5"/>
      <c r="S52" s="5"/>
      <c r="T52" s="6">
        <f t="shared" si="0"/>
        <v>4.3</v>
      </c>
      <c r="U52" s="9"/>
      <c r="V52" s="1"/>
      <c r="W52" s="1"/>
      <c r="X52" s="1"/>
      <c r="Y52" s="1"/>
      <c r="Z52" s="1"/>
    </row>
    <row r="53" spans="1:26" ht="24.75" customHeight="1">
      <c r="A53" s="171"/>
      <c r="B53" s="171"/>
      <c r="C53" s="171"/>
      <c r="D53" s="5">
        <v>48</v>
      </c>
      <c r="E53" s="5" t="s">
        <v>99</v>
      </c>
      <c r="F53" s="5"/>
      <c r="G53" s="5"/>
      <c r="H53" s="5"/>
      <c r="I53" s="5"/>
      <c r="J53" s="5"/>
      <c r="K53" s="5"/>
      <c r="L53" s="5"/>
      <c r="M53" s="5"/>
      <c r="N53" s="6">
        <v>0.1</v>
      </c>
      <c r="O53" s="5"/>
      <c r="P53" s="8"/>
      <c r="Q53" s="5"/>
      <c r="R53" s="5"/>
      <c r="S53" s="5"/>
      <c r="T53" s="6">
        <f t="shared" si="0"/>
        <v>0.1</v>
      </c>
      <c r="U53" s="9"/>
      <c r="V53" s="1"/>
      <c r="W53" s="1"/>
      <c r="X53" s="1"/>
      <c r="Y53" s="1"/>
      <c r="Z53" s="1"/>
    </row>
    <row r="54" spans="1:26" ht="24.75" customHeight="1">
      <c r="A54" s="171"/>
      <c r="B54" s="171"/>
      <c r="C54" s="171"/>
      <c r="D54" s="5">
        <v>49</v>
      </c>
      <c r="E54" s="5" t="s">
        <v>100</v>
      </c>
      <c r="F54" s="5"/>
      <c r="G54" s="5"/>
      <c r="H54" s="5"/>
      <c r="I54" s="5"/>
      <c r="J54" s="5"/>
      <c r="K54" s="5"/>
      <c r="L54" s="5"/>
      <c r="M54" s="5"/>
      <c r="N54" s="5"/>
      <c r="O54" s="5"/>
      <c r="P54" s="5"/>
      <c r="Q54" s="6">
        <v>2.17</v>
      </c>
      <c r="R54" s="8">
        <v>1.76</v>
      </c>
      <c r="S54" s="5"/>
      <c r="T54" s="6">
        <f t="shared" si="0"/>
        <v>3.9299999999999997</v>
      </c>
      <c r="U54" s="12" t="s">
        <v>101</v>
      </c>
      <c r="V54" s="1"/>
      <c r="W54" s="1"/>
      <c r="X54" s="1"/>
      <c r="Y54" s="1"/>
      <c r="Z54" s="1"/>
    </row>
    <row r="55" spans="1:26" ht="24.75" customHeight="1">
      <c r="A55" s="171"/>
      <c r="B55" s="171"/>
      <c r="C55" s="171"/>
      <c r="D55" s="5">
        <v>50</v>
      </c>
      <c r="E55" s="5" t="s">
        <v>102</v>
      </c>
      <c r="F55" s="5"/>
      <c r="G55" s="5"/>
      <c r="H55" s="5"/>
      <c r="I55" s="6"/>
      <c r="J55" s="5"/>
      <c r="K55" s="5"/>
      <c r="L55" s="5"/>
      <c r="M55" s="5"/>
      <c r="N55" s="6">
        <v>1.1399999999999999</v>
      </c>
      <c r="O55" s="5"/>
      <c r="P55" s="8">
        <v>0.92</v>
      </c>
      <c r="Q55" s="6">
        <v>0.88</v>
      </c>
      <c r="R55" s="8">
        <v>0.113</v>
      </c>
      <c r="S55" s="5"/>
      <c r="T55" s="6">
        <f t="shared" si="0"/>
        <v>3.0529999999999999</v>
      </c>
      <c r="U55" s="12" t="s">
        <v>101</v>
      </c>
      <c r="V55" s="1"/>
      <c r="W55" s="1"/>
      <c r="X55" s="1"/>
      <c r="Y55" s="1"/>
      <c r="Z55" s="1"/>
    </row>
    <row r="56" spans="1:26" ht="24.75" customHeight="1">
      <c r="A56" s="171"/>
      <c r="B56" s="169"/>
      <c r="C56" s="169"/>
      <c r="D56" s="5">
        <v>51</v>
      </c>
      <c r="E56" s="5" t="s">
        <v>54</v>
      </c>
      <c r="F56" s="5"/>
      <c r="G56" s="5"/>
      <c r="H56" s="5"/>
      <c r="I56" s="5"/>
      <c r="J56" s="5"/>
      <c r="K56" s="5"/>
      <c r="L56" s="5"/>
      <c r="M56" s="5"/>
      <c r="N56" s="8"/>
      <c r="O56" s="5"/>
      <c r="P56" s="5">
        <v>1</v>
      </c>
      <c r="Q56" s="5"/>
      <c r="R56" s="5"/>
      <c r="S56" s="5"/>
      <c r="T56" s="6">
        <f t="shared" si="0"/>
        <v>1</v>
      </c>
      <c r="U56" s="9"/>
      <c r="V56" s="1"/>
      <c r="W56" s="1"/>
      <c r="X56" s="1"/>
      <c r="Y56" s="1"/>
      <c r="Z56" s="1"/>
    </row>
    <row r="57" spans="1:26" ht="24.75" customHeight="1">
      <c r="A57" s="171"/>
      <c r="B57" s="168" t="s">
        <v>103</v>
      </c>
      <c r="C57" s="168" t="s">
        <v>104</v>
      </c>
      <c r="D57" s="5">
        <v>52</v>
      </c>
      <c r="E57" s="5" t="s">
        <v>105</v>
      </c>
      <c r="F57" s="123"/>
      <c r="G57" s="123"/>
      <c r="H57" s="123"/>
      <c r="I57" s="125"/>
      <c r="J57" s="123"/>
      <c r="K57" s="125"/>
      <c r="L57" s="123"/>
      <c r="M57" s="123"/>
      <c r="N57" s="125">
        <v>2</v>
      </c>
      <c r="O57" s="124">
        <v>47.09</v>
      </c>
      <c r="P57" s="123"/>
      <c r="Q57" s="123"/>
      <c r="R57" s="123"/>
      <c r="S57" s="123"/>
      <c r="T57" s="125">
        <f t="shared" si="0"/>
        <v>49.09</v>
      </c>
      <c r="U57" s="9" t="s">
        <v>65</v>
      </c>
      <c r="V57" s="1"/>
      <c r="W57" s="1"/>
      <c r="X57" s="1"/>
      <c r="Y57" s="1"/>
      <c r="Z57" s="1"/>
    </row>
    <row r="58" spans="1:26" ht="24.75" customHeight="1">
      <c r="A58" s="171"/>
      <c r="B58" s="171"/>
      <c r="C58" s="171"/>
      <c r="D58" s="5">
        <v>53</v>
      </c>
      <c r="E58" s="5" t="s">
        <v>106</v>
      </c>
      <c r="F58" s="123"/>
      <c r="G58" s="123"/>
      <c r="H58" s="123"/>
      <c r="I58" s="123"/>
      <c r="J58" s="123"/>
      <c r="K58" s="125"/>
      <c r="L58" s="123"/>
      <c r="M58" s="123"/>
      <c r="N58" s="125"/>
      <c r="O58" s="124">
        <v>5.23</v>
      </c>
      <c r="P58" s="123"/>
      <c r="Q58" s="124">
        <v>3</v>
      </c>
      <c r="R58" s="123"/>
      <c r="S58" s="123"/>
      <c r="T58" s="125">
        <f t="shared" si="0"/>
        <v>8.23</v>
      </c>
      <c r="U58" s="9" t="s">
        <v>65</v>
      </c>
      <c r="V58" s="1"/>
      <c r="W58" s="1"/>
      <c r="X58" s="1"/>
      <c r="Y58" s="1"/>
      <c r="Z58" s="1"/>
    </row>
    <row r="59" spans="1:26" ht="24.75" customHeight="1">
      <c r="A59" s="171"/>
      <c r="B59" s="171"/>
      <c r="C59" s="171"/>
      <c r="D59" s="5">
        <v>54</v>
      </c>
      <c r="E59" s="5" t="s">
        <v>107</v>
      </c>
      <c r="F59" s="123"/>
      <c r="G59" s="123"/>
      <c r="H59" s="124"/>
      <c r="I59" s="123"/>
      <c r="J59" s="123"/>
      <c r="K59" s="123"/>
      <c r="L59" s="123"/>
      <c r="M59" s="123"/>
      <c r="N59" s="123"/>
      <c r="O59" s="124"/>
      <c r="P59" s="124"/>
      <c r="Q59" s="123"/>
      <c r="R59" s="123"/>
      <c r="S59" s="123"/>
      <c r="T59" s="125">
        <f t="shared" si="0"/>
        <v>0</v>
      </c>
      <c r="U59" s="9"/>
      <c r="V59" s="1"/>
      <c r="W59" s="1"/>
      <c r="X59" s="1"/>
      <c r="Y59" s="1"/>
      <c r="Z59" s="1"/>
    </row>
    <row r="60" spans="1:26" ht="24.75" customHeight="1">
      <c r="A60" s="171"/>
      <c r="B60" s="171"/>
      <c r="C60" s="171"/>
      <c r="D60" s="5">
        <v>55</v>
      </c>
      <c r="E60" s="5" t="s">
        <v>108</v>
      </c>
      <c r="F60" s="123"/>
      <c r="G60" s="123"/>
      <c r="H60" s="123"/>
      <c r="I60" s="123"/>
      <c r="J60" s="123"/>
      <c r="K60" s="125"/>
      <c r="L60" s="123"/>
      <c r="M60" s="123"/>
      <c r="N60" s="123"/>
      <c r="O60" s="123"/>
      <c r="P60" s="123"/>
      <c r="Q60" s="123"/>
      <c r="R60" s="123"/>
      <c r="S60" s="123"/>
      <c r="T60" s="125">
        <f t="shared" si="0"/>
        <v>0</v>
      </c>
      <c r="U60" s="9"/>
      <c r="V60" s="1"/>
      <c r="W60" s="1"/>
      <c r="X60" s="1"/>
      <c r="Y60" s="1"/>
      <c r="Z60" s="1"/>
    </row>
    <row r="61" spans="1:26" ht="24.75" customHeight="1">
      <c r="A61" s="171"/>
      <c r="B61" s="171"/>
      <c r="C61" s="171"/>
      <c r="D61" s="5">
        <v>56</v>
      </c>
      <c r="E61" s="5" t="s">
        <v>109</v>
      </c>
      <c r="F61" s="123"/>
      <c r="G61" s="123"/>
      <c r="H61" s="123"/>
      <c r="I61" s="123"/>
      <c r="J61" s="123"/>
      <c r="K61" s="123"/>
      <c r="L61" s="123"/>
      <c r="M61" s="123"/>
      <c r="N61" s="123"/>
      <c r="O61" s="124">
        <v>10.46</v>
      </c>
      <c r="P61" s="123"/>
      <c r="Q61" s="123"/>
      <c r="R61" s="123"/>
      <c r="S61" s="123"/>
      <c r="T61" s="125">
        <f t="shared" si="0"/>
        <v>10.46</v>
      </c>
      <c r="U61" s="9" t="s">
        <v>65</v>
      </c>
      <c r="V61" s="1"/>
      <c r="W61" s="1"/>
      <c r="X61" s="1"/>
      <c r="Y61" s="1"/>
      <c r="Z61" s="1"/>
    </row>
    <row r="62" spans="1:26" ht="24.75" customHeight="1">
      <c r="A62" s="171"/>
      <c r="B62" s="171"/>
      <c r="C62" s="171"/>
      <c r="D62" s="5">
        <v>57</v>
      </c>
      <c r="E62" s="5" t="s">
        <v>110</v>
      </c>
      <c r="F62" s="123"/>
      <c r="G62" s="123"/>
      <c r="H62" s="124"/>
      <c r="I62" s="123"/>
      <c r="J62" s="123"/>
      <c r="K62" s="123"/>
      <c r="L62" s="123"/>
      <c r="M62" s="124">
        <f>1.05*2</f>
        <v>2.1</v>
      </c>
      <c r="N62" s="123"/>
      <c r="O62" s="123"/>
      <c r="P62" s="123"/>
      <c r="Q62" s="123"/>
      <c r="R62" s="123"/>
      <c r="S62" s="123"/>
      <c r="T62" s="125">
        <f t="shared" si="0"/>
        <v>2.1</v>
      </c>
      <c r="U62" s="9" t="s">
        <v>65</v>
      </c>
      <c r="V62" s="1"/>
      <c r="W62" s="1"/>
      <c r="X62" s="1"/>
      <c r="Y62" s="1"/>
      <c r="Z62" s="1"/>
    </row>
    <row r="63" spans="1:26" ht="24.75" customHeight="1">
      <c r="A63" s="171"/>
      <c r="B63" s="171"/>
      <c r="C63" s="171"/>
      <c r="D63" s="5">
        <v>58</v>
      </c>
      <c r="E63" s="5" t="s">
        <v>111</v>
      </c>
      <c r="F63" s="123"/>
      <c r="G63" s="123"/>
      <c r="H63" s="123"/>
      <c r="I63" s="123"/>
      <c r="J63" s="123"/>
      <c r="K63" s="125"/>
      <c r="L63" s="123"/>
      <c r="M63" s="123"/>
      <c r="N63" s="123"/>
      <c r="O63" s="124">
        <v>2.62</v>
      </c>
      <c r="P63" s="123"/>
      <c r="Q63" s="124">
        <v>0.75</v>
      </c>
      <c r="R63" s="123"/>
      <c r="S63" s="123"/>
      <c r="T63" s="125">
        <f t="shared" si="0"/>
        <v>3.37</v>
      </c>
      <c r="U63" s="9" t="s">
        <v>65</v>
      </c>
      <c r="V63" s="1"/>
      <c r="W63" s="1"/>
      <c r="X63" s="1"/>
      <c r="Y63" s="1"/>
      <c r="Z63" s="1"/>
    </row>
    <row r="64" spans="1:26" ht="24.75" customHeight="1">
      <c r="A64" s="171"/>
      <c r="B64" s="171"/>
      <c r="C64" s="171"/>
      <c r="D64" s="5">
        <v>59</v>
      </c>
      <c r="E64" s="5" t="s">
        <v>112</v>
      </c>
      <c r="F64" s="123"/>
      <c r="G64" s="123"/>
      <c r="H64" s="123"/>
      <c r="I64" s="123"/>
      <c r="J64" s="123"/>
      <c r="K64" s="123"/>
      <c r="L64" s="123"/>
      <c r="M64" s="123"/>
      <c r="N64" s="123"/>
      <c r="O64" s="123"/>
      <c r="P64" s="123"/>
      <c r="Q64" s="123"/>
      <c r="R64" s="123"/>
      <c r="S64" s="123"/>
      <c r="T64" s="125">
        <f t="shared" si="0"/>
        <v>0</v>
      </c>
      <c r="U64" s="9"/>
      <c r="V64" s="1"/>
      <c r="W64" s="1"/>
      <c r="X64" s="1"/>
      <c r="Y64" s="1"/>
      <c r="Z64" s="1"/>
    </row>
    <row r="65" spans="1:26" ht="24.75" customHeight="1">
      <c r="A65" s="171"/>
      <c r="B65" s="171"/>
      <c r="C65" s="171"/>
      <c r="D65" s="5">
        <v>60</v>
      </c>
      <c r="E65" s="5" t="s">
        <v>113</v>
      </c>
      <c r="F65" s="123"/>
      <c r="G65" s="123"/>
      <c r="H65" s="123"/>
      <c r="I65" s="123"/>
      <c r="J65" s="123"/>
      <c r="K65" s="123"/>
      <c r="L65" s="123"/>
      <c r="M65" s="123"/>
      <c r="N65" s="123"/>
      <c r="O65" s="123"/>
      <c r="P65" s="123"/>
      <c r="Q65" s="123"/>
      <c r="R65" s="123"/>
      <c r="S65" s="123"/>
      <c r="T65" s="125">
        <f t="shared" si="0"/>
        <v>0</v>
      </c>
      <c r="U65" s="9"/>
      <c r="V65" s="1"/>
      <c r="W65" s="1"/>
      <c r="X65" s="1"/>
      <c r="Y65" s="1"/>
      <c r="Z65" s="1"/>
    </row>
    <row r="66" spans="1:26" ht="24.75" customHeight="1">
      <c r="A66" s="171"/>
      <c r="B66" s="169"/>
      <c r="C66" s="169"/>
      <c r="D66" s="5">
        <v>61</v>
      </c>
      <c r="E66" s="5" t="s">
        <v>54</v>
      </c>
      <c r="F66" s="123"/>
      <c r="G66" s="123"/>
      <c r="H66" s="123"/>
      <c r="I66" s="123"/>
      <c r="J66" s="123"/>
      <c r="K66" s="123"/>
      <c r="L66" s="123"/>
      <c r="M66" s="123"/>
      <c r="N66" s="123"/>
      <c r="O66" s="123"/>
      <c r="P66" s="123"/>
      <c r="Q66" s="123"/>
      <c r="R66" s="123"/>
      <c r="S66" s="123"/>
      <c r="T66" s="125">
        <f t="shared" si="0"/>
        <v>0</v>
      </c>
      <c r="U66" s="9"/>
      <c r="V66" s="1"/>
      <c r="W66" s="1"/>
      <c r="X66" s="1"/>
      <c r="Y66" s="1"/>
      <c r="Z66" s="1"/>
    </row>
    <row r="67" spans="1:26" ht="59.25" customHeight="1">
      <c r="A67" s="171"/>
      <c r="B67" s="5" t="s">
        <v>114</v>
      </c>
      <c r="C67" s="5" t="s">
        <v>115</v>
      </c>
      <c r="D67" s="5">
        <v>62</v>
      </c>
      <c r="E67" s="5" t="s">
        <v>116</v>
      </c>
      <c r="F67" s="5"/>
      <c r="G67" s="5"/>
      <c r="H67" s="5"/>
      <c r="I67" s="5"/>
      <c r="J67" s="5"/>
      <c r="K67" s="5"/>
      <c r="L67" s="5"/>
      <c r="M67" s="6"/>
      <c r="N67" s="5"/>
      <c r="O67" s="8">
        <v>1</v>
      </c>
      <c r="P67" s="8"/>
      <c r="Q67" s="6">
        <v>0.25</v>
      </c>
      <c r="R67" s="5"/>
      <c r="S67" s="8"/>
      <c r="T67" s="6">
        <f t="shared" si="0"/>
        <v>1.25</v>
      </c>
      <c r="U67" s="61" t="s">
        <v>577</v>
      </c>
      <c r="V67" s="13"/>
      <c r="W67" s="1"/>
      <c r="X67" s="1"/>
      <c r="Y67" s="1"/>
      <c r="Z67" s="1"/>
    </row>
    <row r="68" spans="1:26" ht="27" customHeight="1">
      <c r="A68" s="169"/>
      <c r="B68" s="176" t="s">
        <v>117</v>
      </c>
      <c r="C68" s="177"/>
      <c r="D68" s="178"/>
      <c r="E68" s="51"/>
      <c r="F68" s="51">
        <f t="shared" ref="F68:S68" si="1">SUM(F6:F67)</f>
        <v>140.85000000000002</v>
      </c>
      <c r="G68" s="51">
        <f t="shared" si="1"/>
        <v>0</v>
      </c>
      <c r="H68" s="52">
        <f t="shared" si="1"/>
        <v>0</v>
      </c>
      <c r="I68" s="51">
        <f t="shared" si="1"/>
        <v>18.5</v>
      </c>
      <c r="J68" s="51">
        <f t="shared" si="1"/>
        <v>0</v>
      </c>
      <c r="K68" s="51">
        <f t="shared" si="1"/>
        <v>171.142</v>
      </c>
      <c r="L68" s="51">
        <f t="shared" si="1"/>
        <v>0</v>
      </c>
      <c r="M68" s="51">
        <f t="shared" si="1"/>
        <v>64.912000000000006</v>
      </c>
      <c r="N68" s="51">
        <f t="shared" si="1"/>
        <v>38.804550000000006</v>
      </c>
      <c r="O68" s="51">
        <f t="shared" si="1"/>
        <v>291.99449999999996</v>
      </c>
      <c r="P68" s="51">
        <f t="shared" si="1"/>
        <v>412.11700000000002</v>
      </c>
      <c r="Q68" s="51">
        <f t="shared" si="1"/>
        <v>34.099999999999994</v>
      </c>
      <c r="R68" s="51">
        <f t="shared" si="1"/>
        <v>18.080000000000002</v>
      </c>
      <c r="S68" s="51">
        <f t="shared" si="1"/>
        <v>0.4</v>
      </c>
      <c r="T68" s="52">
        <f t="shared" si="0"/>
        <v>1190.90005</v>
      </c>
      <c r="V68" s="1"/>
      <c r="W68" s="1"/>
      <c r="X68" s="1"/>
      <c r="Y68" s="1"/>
      <c r="Z68" s="1"/>
    </row>
    <row r="69" spans="1:26" ht="39.75" customHeight="1">
      <c r="A69" s="175" t="s">
        <v>118</v>
      </c>
      <c r="B69" s="5" t="s">
        <v>119</v>
      </c>
      <c r="C69" s="5" t="s">
        <v>120</v>
      </c>
      <c r="D69" s="5">
        <v>63</v>
      </c>
      <c r="E69" s="5" t="s">
        <v>121</v>
      </c>
      <c r="F69" s="5"/>
      <c r="G69" s="5"/>
      <c r="H69" s="5"/>
      <c r="I69" s="5"/>
      <c r="J69" s="5"/>
      <c r="K69" s="5"/>
      <c r="L69" s="5"/>
      <c r="M69" s="8"/>
      <c r="N69" s="6">
        <v>9.9499999999999993</v>
      </c>
      <c r="O69" s="5"/>
      <c r="P69" s="6"/>
      <c r="Q69" s="5"/>
      <c r="R69" s="8">
        <v>5</v>
      </c>
      <c r="S69" s="8"/>
      <c r="T69" s="6">
        <f t="shared" si="0"/>
        <v>14.95</v>
      </c>
      <c r="V69" s="1"/>
      <c r="W69" s="1"/>
      <c r="X69" s="1"/>
      <c r="Y69" s="1"/>
      <c r="Z69" s="1"/>
    </row>
    <row r="70" spans="1:26" ht="58.5" customHeight="1">
      <c r="A70" s="171"/>
      <c r="B70" s="168" t="s">
        <v>122</v>
      </c>
      <c r="C70" s="168" t="s">
        <v>123</v>
      </c>
      <c r="D70" s="5">
        <v>64</v>
      </c>
      <c r="E70" s="5" t="s">
        <v>124</v>
      </c>
      <c r="F70" s="15"/>
      <c r="G70" s="15"/>
      <c r="H70" s="16"/>
      <c r="I70" s="17"/>
      <c r="J70" s="15"/>
      <c r="K70" s="17"/>
      <c r="L70" s="15"/>
      <c r="M70" s="15"/>
      <c r="N70" s="17">
        <v>18.260000000000002</v>
      </c>
      <c r="O70" s="16">
        <v>0.5625</v>
      </c>
      <c r="P70" s="17">
        <f>70.965+2.48</f>
        <v>73.445000000000007</v>
      </c>
      <c r="Q70" s="17">
        <f>0.75+0.5</f>
        <v>1.25</v>
      </c>
      <c r="R70" s="16">
        <v>3</v>
      </c>
      <c r="S70" s="16">
        <v>5</v>
      </c>
      <c r="T70" s="6">
        <f t="shared" ref="T70:T133" si="2">SUM(F70:S70)</f>
        <v>101.51750000000001</v>
      </c>
      <c r="U70" s="10" t="s">
        <v>125</v>
      </c>
      <c r="V70" s="18"/>
      <c r="W70" s="1"/>
      <c r="X70" s="1"/>
      <c r="Y70" s="1"/>
      <c r="Z70" s="1"/>
    </row>
    <row r="71" spans="1:26" ht="39.75" customHeight="1">
      <c r="A71" s="171"/>
      <c r="B71" s="171"/>
      <c r="C71" s="171"/>
      <c r="D71" s="5">
        <v>65</v>
      </c>
      <c r="E71" s="5" t="s">
        <v>126</v>
      </c>
      <c r="F71" s="15"/>
      <c r="G71" s="15"/>
      <c r="H71" s="15"/>
      <c r="I71" s="15"/>
      <c r="J71" s="15"/>
      <c r="K71" s="15"/>
      <c r="L71" s="15"/>
      <c r="M71" s="15"/>
      <c r="N71" s="17"/>
      <c r="O71" s="15"/>
      <c r="P71" s="16">
        <v>0.17</v>
      </c>
      <c r="Q71" s="15"/>
      <c r="R71" s="15"/>
      <c r="S71" s="16"/>
      <c r="T71" s="6">
        <f t="shared" si="2"/>
        <v>0.17</v>
      </c>
      <c r="U71" s="20" t="s">
        <v>127</v>
      </c>
      <c r="V71" s="18"/>
      <c r="W71" s="1"/>
      <c r="X71" s="1"/>
      <c r="Y71" s="1"/>
      <c r="Z71" s="1"/>
    </row>
    <row r="72" spans="1:26" ht="39.75" customHeight="1">
      <c r="A72" s="171"/>
      <c r="B72" s="171"/>
      <c r="C72" s="171"/>
      <c r="D72" s="5">
        <v>66</v>
      </c>
      <c r="E72" s="5" t="s">
        <v>128</v>
      </c>
      <c r="F72" s="15"/>
      <c r="G72" s="15"/>
      <c r="H72" s="15"/>
      <c r="I72" s="15"/>
      <c r="J72" s="15"/>
      <c r="K72" s="17"/>
      <c r="L72" s="15"/>
      <c r="M72" s="15"/>
      <c r="N72" s="17">
        <v>0.2</v>
      </c>
      <c r="O72" s="15"/>
      <c r="P72" s="16"/>
      <c r="Q72" s="17">
        <v>0.05</v>
      </c>
      <c r="R72" s="19">
        <v>0.15</v>
      </c>
      <c r="S72" s="15"/>
      <c r="T72" s="6">
        <f t="shared" si="2"/>
        <v>0.4</v>
      </c>
      <c r="U72" s="10" t="s">
        <v>129</v>
      </c>
      <c r="V72" s="18"/>
      <c r="W72" s="1"/>
      <c r="X72" s="13" t="s">
        <v>130</v>
      </c>
      <c r="Y72" s="1"/>
    </row>
    <row r="73" spans="1:26" ht="39.75" customHeight="1">
      <c r="A73" s="171"/>
      <c r="B73" s="171"/>
      <c r="C73" s="171"/>
      <c r="D73" s="5">
        <v>67</v>
      </c>
      <c r="E73" s="5" t="s">
        <v>131</v>
      </c>
      <c r="F73" s="15"/>
      <c r="G73" s="15"/>
      <c r="H73" s="15"/>
      <c r="I73" s="15">
        <v>1.075</v>
      </c>
      <c r="J73" s="15"/>
      <c r="K73" s="17"/>
      <c r="L73" s="15"/>
      <c r="M73" s="15"/>
      <c r="N73" s="17">
        <v>0.6</v>
      </c>
      <c r="O73" s="15">
        <v>1.75</v>
      </c>
      <c r="P73" s="16">
        <v>2</v>
      </c>
      <c r="Q73" s="17">
        <v>1.145</v>
      </c>
      <c r="R73" s="16">
        <v>3.75</v>
      </c>
      <c r="S73" s="16"/>
      <c r="T73" s="6">
        <f t="shared" si="2"/>
        <v>10.32</v>
      </c>
      <c r="U73" s="20" t="s">
        <v>132</v>
      </c>
      <c r="V73" s="18"/>
      <c r="W73" s="1"/>
      <c r="X73" s="21"/>
      <c r="Y73" s="1"/>
    </row>
    <row r="74" spans="1:26" ht="39.75" customHeight="1">
      <c r="A74" s="171"/>
      <c r="B74" s="169"/>
      <c r="C74" s="169"/>
      <c r="D74" s="5">
        <v>68</v>
      </c>
      <c r="E74" s="5" t="s">
        <v>133</v>
      </c>
      <c r="F74" s="16"/>
      <c r="G74" s="15"/>
      <c r="H74" s="15"/>
      <c r="I74" s="17"/>
      <c r="J74" s="15"/>
      <c r="K74" s="17"/>
      <c r="L74" s="15"/>
      <c r="M74" s="15"/>
      <c r="N74" s="17">
        <v>1.1000000000000001</v>
      </c>
      <c r="O74" s="16"/>
      <c r="P74" s="16">
        <v>8.0950000000000006</v>
      </c>
      <c r="Q74" s="17">
        <v>3.5</v>
      </c>
      <c r="R74" s="16">
        <v>5.9</v>
      </c>
      <c r="S74" s="16">
        <v>6.4</v>
      </c>
      <c r="T74" s="6">
        <f t="shared" si="2"/>
        <v>24.994999999999997</v>
      </c>
      <c r="U74" s="10" t="s">
        <v>134</v>
      </c>
      <c r="V74" s="18"/>
      <c r="W74" s="1"/>
      <c r="X74" s="13" t="s">
        <v>135</v>
      </c>
      <c r="Y74" s="1"/>
    </row>
    <row r="75" spans="1:26" ht="39.75" customHeight="1">
      <c r="A75" s="171"/>
      <c r="B75" s="168" t="s">
        <v>136</v>
      </c>
      <c r="C75" s="168" t="s">
        <v>137</v>
      </c>
      <c r="D75" s="5">
        <v>69</v>
      </c>
      <c r="E75" s="5" t="s">
        <v>138</v>
      </c>
      <c r="F75" s="20"/>
      <c r="G75" s="20"/>
      <c r="H75" s="20"/>
      <c r="I75" s="20"/>
      <c r="J75" s="20"/>
      <c r="K75" s="20"/>
      <c r="L75" s="20"/>
      <c r="M75" s="20">
        <v>0.68</v>
      </c>
      <c r="N75" s="20"/>
      <c r="O75" s="20">
        <v>96.311999999999998</v>
      </c>
      <c r="P75" s="20">
        <v>2.4</v>
      </c>
      <c r="Q75" s="20"/>
      <c r="R75" s="20"/>
      <c r="S75" s="20"/>
      <c r="T75" s="6">
        <f t="shared" si="2"/>
        <v>99.39200000000001</v>
      </c>
      <c r="U75" s="10" t="s">
        <v>139</v>
      </c>
      <c r="V75" s="1"/>
      <c r="W75" s="1"/>
      <c r="X75" s="1"/>
      <c r="Y75" s="1"/>
      <c r="Z75" s="1"/>
    </row>
    <row r="76" spans="1:26" ht="39.75" customHeight="1">
      <c r="A76" s="171"/>
      <c r="B76" s="171"/>
      <c r="C76" s="171"/>
      <c r="D76" s="5">
        <v>70</v>
      </c>
      <c r="E76" s="5" t="s">
        <v>140</v>
      </c>
      <c r="F76" s="20">
        <v>2.4</v>
      </c>
      <c r="G76" s="20"/>
      <c r="H76" s="20"/>
      <c r="I76" s="22">
        <v>0.44</v>
      </c>
      <c r="J76" s="20"/>
      <c r="K76" s="20"/>
      <c r="L76" s="20"/>
      <c r="M76" s="20"/>
      <c r="N76" s="20"/>
      <c r="O76" s="20"/>
      <c r="P76" s="20">
        <v>0.3</v>
      </c>
      <c r="Q76" s="20"/>
      <c r="R76" s="20"/>
      <c r="S76" s="20"/>
      <c r="T76" s="6">
        <f t="shared" si="2"/>
        <v>3.1399999999999997</v>
      </c>
      <c r="U76" s="46" t="s">
        <v>141</v>
      </c>
      <c r="V76" s="1"/>
      <c r="W76" s="1"/>
      <c r="X76" s="1"/>
      <c r="Y76" s="1"/>
      <c r="Z76" s="1"/>
    </row>
    <row r="77" spans="1:26" ht="39.75" customHeight="1">
      <c r="A77" s="171"/>
      <c r="B77" s="171"/>
      <c r="C77" s="171"/>
      <c r="D77" s="5">
        <v>71</v>
      </c>
      <c r="E77" s="5" t="s">
        <v>142</v>
      </c>
      <c r="F77" s="20"/>
      <c r="G77" s="20"/>
      <c r="H77" s="20"/>
      <c r="I77" s="20"/>
      <c r="J77" s="20"/>
      <c r="K77" s="20"/>
      <c r="L77" s="20"/>
      <c r="M77" s="20"/>
      <c r="N77" s="20"/>
      <c r="O77" s="20"/>
      <c r="P77" s="20"/>
      <c r="Q77" s="20"/>
      <c r="R77" s="20"/>
      <c r="S77" s="20"/>
      <c r="T77" s="6">
        <f t="shared" si="2"/>
        <v>0</v>
      </c>
      <c r="U77" s="46"/>
      <c r="V77" s="1"/>
      <c r="W77" s="1"/>
      <c r="X77" s="1"/>
      <c r="Y77" s="1"/>
      <c r="Z77" s="1"/>
    </row>
    <row r="78" spans="1:26" ht="39.75" customHeight="1">
      <c r="A78" s="171"/>
      <c r="B78" s="169"/>
      <c r="C78" s="169"/>
      <c r="D78" s="5">
        <v>72</v>
      </c>
      <c r="E78" s="5" t="s">
        <v>143</v>
      </c>
      <c r="F78" s="23"/>
      <c r="G78" s="23"/>
      <c r="H78" s="23"/>
      <c r="I78" s="23"/>
      <c r="J78" s="23"/>
      <c r="K78" s="23"/>
      <c r="L78" s="23"/>
      <c r="M78" s="23"/>
      <c r="N78" s="23">
        <v>5.62</v>
      </c>
      <c r="O78" s="23"/>
      <c r="P78" s="23">
        <v>7</v>
      </c>
      <c r="Q78" s="23">
        <v>3.4860000000000002</v>
      </c>
      <c r="R78" s="23">
        <v>2.802</v>
      </c>
      <c r="S78" s="23"/>
      <c r="T78" s="6">
        <f t="shared" si="2"/>
        <v>18.908000000000001</v>
      </c>
      <c r="U78" s="46" t="s">
        <v>144</v>
      </c>
      <c r="V78" s="1"/>
      <c r="W78" s="1"/>
      <c r="X78" s="1"/>
      <c r="Y78" s="1"/>
      <c r="Z78" s="1"/>
    </row>
    <row r="79" spans="1:26" ht="39.75" customHeight="1">
      <c r="A79" s="171"/>
      <c r="B79" s="168" t="s">
        <v>145</v>
      </c>
      <c r="C79" s="168" t="s">
        <v>146</v>
      </c>
      <c r="D79" s="5">
        <v>73</v>
      </c>
      <c r="E79" s="5" t="s">
        <v>147</v>
      </c>
      <c r="F79" s="128">
        <v>7.1</v>
      </c>
      <c r="G79" s="128"/>
      <c r="H79" s="128">
        <v>2.5</v>
      </c>
      <c r="I79" s="128">
        <f>2.5+2.4+2+1.5</f>
        <v>8.4</v>
      </c>
      <c r="J79" s="112"/>
      <c r="K79" s="128">
        <v>2.9</v>
      </c>
      <c r="L79" s="112"/>
      <c r="M79" s="128">
        <f>6.4+5.9</f>
        <v>12.3</v>
      </c>
      <c r="N79" s="128">
        <f>4.8+2.5+1.2</f>
        <v>8.5</v>
      </c>
      <c r="O79" s="128"/>
      <c r="P79" s="128">
        <f>1.4+0.3+1.8</f>
        <v>3.5</v>
      </c>
      <c r="Q79" s="112"/>
      <c r="R79" s="128">
        <f>5.2+2.7+3.3+2.4+3.9+1.3</f>
        <v>18.8</v>
      </c>
      <c r="S79" s="128">
        <f>1</f>
        <v>1</v>
      </c>
      <c r="T79" s="129">
        <f>SUM(F79:S79)</f>
        <v>65</v>
      </c>
      <c r="U79" s="130" t="s">
        <v>738</v>
      </c>
      <c r="V79" s="1"/>
      <c r="W79" s="1"/>
      <c r="X79" s="1"/>
      <c r="Y79" s="1"/>
      <c r="Z79" s="1"/>
    </row>
    <row r="80" spans="1:26" ht="39.75" customHeight="1">
      <c r="A80" s="171"/>
      <c r="B80" s="171"/>
      <c r="C80" s="171"/>
      <c r="D80" s="5">
        <v>74</v>
      </c>
      <c r="E80" s="5" t="s">
        <v>148</v>
      </c>
      <c r="F80" s="128">
        <f>64+4.8</f>
        <v>68.8</v>
      </c>
      <c r="G80" s="128"/>
      <c r="H80" s="112"/>
      <c r="I80" s="112"/>
      <c r="J80" s="112"/>
      <c r="K80" s="112"/>
      <c r="L80" s="112"/>
      <c r="M80" s="112"/>
      <c r="N80" s="112"/>
      <c r="O80" s="112"/>
      <c r="P80" s="112"/>
      <c r="Q80" s="112"/>
      <c r="R80" s="112"/>
      <c r="S80" s="112"/>
      <c r="T80" s="129">
        <f t="shared" ref="T80:T84" si="3">SUM(F80:S80)</f>
        <v>68.8</v>
      </c>
      <c r="U80" s="130" t="s">
        <v>739</v>
      </c>
      <c r="V80" s="1"/>
      <c r="W80" s="1"/>
      <c r="X80" s="1"/>
      <c r="Y80" s="1"/>
      <c r="Z80" s="1"/>
    </row>
    <row r="81" spans="1:26" ht="39.75" customHeight="1">
      <c r="A81" s="171"/>
      <c r="B81" s="171"/>
      <c r="C81" s="171"/>
      <c r="D81" s="5">
        <v>75</v>
      </c>
      <c r="E81" s="5" t="s">
        <v>149</v>
      </c>
      <c r="F81" s="128">
        <f>5.2+2.3</f>
        <v>7.5</v>
      </c>
      <c r="G81" s="128"/>
      <c r="H81" s="112"/>
      <c r="I81" s="112"/>
      <c r="J81" s="112"/>
      <c r="K81" s="112"/>
      <c r="L81" s="112"/>
      <c r="M81" s="112"/>
      <c r="N81" s="112"/>
      <c r="O81" s="112"/>
      <c r="P81" s="128">
        <f>7.5</f>
        <v>7.5</v>
      </c>
      <c r="Q81" s="112"/>
      <c r="R81" s="112"/>
      <c r="S81" s="112"/>
      <c r="T81" s="129">
        <f t="shared" si="3"/>
        <v>15</v>
      </c>
      <c r="U81" s="130" t="s">
        <v>740</v>
      </c>
      <c r="V81" s="1"/>
      <c r="W81" s="1"/>
      <c r="X81" s="1"/>
      <c r="Y81" s="1"/>
      <c r="Z81" s="1"/>
    </row>
    <row r="82" spans="1:26" ht="39.75" customHeight="1">
      <c r="A82" s="171"/>
      <c r="B82" s="171"/>
      <c r="C82" s="171"/>
      <c r="D82" s="5">
        <v>76</v>
      </c>
      <c r="E82" s="5" t="s">
        <v>150</v>
      </c>
      <c r="F82" s="112"/>
      <c r="G82" s="112"/>
      <c r="H82" s="112"/>
      <c r="I82" s="112"/>
      <c r="J82" s="112"/>
      <c r="K82" s="128"/>
      <c r="L82" s="112"/>
      <c r="M82" s="128">
        <f>2.6</f>
        <v>2.6</v>
      </c>
      <c r="N82" s="112"/>
      <c r="O82" s="112"/>
      <c r="P82" s="112"/>
      <c r="Q82" s="112"/>
      <c r="R82" s="112"/>
      <c r="S82" s="112"/>
      <c r="T82" s="129">
        <f t="shared" si="3"/>
        <v>2.6</v>
      </c>
      <c r="U82" s="131" t="s">
        <v>741</v>
      </c>
      <c r="V82" s="1"/>
      <c r="W82" s="1"/>
      <c r="X82" s="1"/>
      <c r="Y82" s="1"/>
      <c r="Z82" s="1"/>
    </row>
    <row r="83" spans="1:26" ht="39.75" customHeight="1">
      <c r="A83" s="171"/>
      <c r="B83" s="171"/>
      <c r="C83" s="171"/>
      <c r="D83" s="5">
        <v>77</v>
      </c>
      <c r="E83" s="5" t="s">
        <v>151</v>
      </c>
      <c r="F83" s="128">
        <f>2.6</f>
        <v>2.6</v>
      </c>
      <c r="G83" s="128"/>
      <c r="H83" s="128">
        <f>1.5</f>
        <v>1.5</v>
      </c>
      <c r="I83" s="128">
        <f>1+1</f>
        <v>2</v>
      </c>
      <c r="J83" s="112"/>
      <c r="K83" s="128">
        <f>2.1</f>
        <v>2.1</v>
      </c>
      <c r="L83" s="112"/>
      <c r="M83" s="128"/>
      <c r="N83" s="128">
        <f>0.4</f>
        <v>0.4</v>
      </c>
      <c r="O83" s="112"/>
      <c r="P83" s="112"/>
      <c r="Q83" s="112"/>
      <c r="R83" s="112"/>
      <c r="S83" s="128">
        <f>0.5</f>
        <v>0.5</v>
      </c>
      <c r="T83" s="129">
        <f t="shared" si="3"/>
        <v>9.1</v>
      </c>
      <c r="U83" s="130" t="s">
        <v>742</v>
      </c>
      <c r="V83" s="1"/>
      <c r="W83" s="1"/>
      <c r="X83" s="1"/>
      <c r="Y83" s="1"/>
      <c r="Z83" s="1"/>
    </row>
    <row r="84" spans="1:26" ht="39.75" customHeight="1">
      <c r="A84" s="171"/>
      <c r="B84" s="171"/>
      <c r="C84" s="171"/>
      <c r="D84" s="5">
        <v>78</v>
      </c>
      <c r="E84" s="5" t="s">
        <v>152</v>
      </c>
      <c r="F84" s="112"/>
      <c r="G84" s="112"/>
      <c r="H84" s="112"/>
      <c r="I84" s="112"/>
      <c r="J84" s="112"/>
      <c r="K84" s="112"/>
      <c r="L84" s="112"/>
      <c r="M84" s="112"/>
      <c r="N84" s="112"/>
      <c r="O84" s="112"/>
      <c r="P84" s="112"/>
      <c r="Q84" s="128">
        <f>11.72+3</f>
        <v>14.72</v>
      </c>
      <c r="R84" s="112"/>
      <c r="S84" s="112"/>
      <c r="T84" s="129">
        <f t="shared" si="3"/>
        <v>14.72</v>
      </c>
      <c r="U84" s="130" t="s">
        <v>743</v>
      </c>
      <c r="V84" s="1"/>
      <c r="W84" s="1"/>
      <c r="X84" s="1"/>
      <c r="Y84" s="1"/>
      <c r="Z84" s="1"/>
    </row>
    <row r="85" spans="1:26" ht="39.75" customHeight="1">
      <c r="A85" s="171"/>
      <c r="B85" s="169"/>
      <c r="C85" s="169"/>
      <c r="D85" s="5">
        <v>79</v>
      </c>
      <c r="E85" s="5" t="s">
        <v>54</v>
      </c>
      <c r="F85" s="112"/>
      <c r="G85" s="112"/>
      <c r="H85" s="112"/>
      <c r="I85" s="112"/>
      <c r="J85" s="112"/>
      <c r="K85" s="112"/>
      <c r="L85" s="112"/>
      <c r="M85" s="112"/>
      <c r="N85" s="112"/>
      <c r="O85" s="112"/>
      <c r="P85" s="112"/>
      <c r="Q85" s="112"/>
      <c r="R85" s="112"/>
      <c r="S85" s="112"/>
      <c r="T85" s="129"/>
      <c r="U85" s="112"/>
      <c r="V85" s="1"/>
      <c r="W85" s="1"/>
      <c r="X85" s="1"/>
      <c r="Y85" s="1"/>
      <c r="Z85" s="1"/>
    </row>
    <row r="86" spans="1:26" ht="39.75" customHeight="1">
      <c r="A86" s="171"/>
      <c r="B86" s="168" t="s">
        <v>153</v>
      </c>
      <c r="C86" s="168" t="s">
        <v>154</v>
      </c>
      <c r="D86" s="5">
        <v>80</v>
      </c>
      <c r="E86" s="5" t="s">
        <v>155</v>
      </c>
      <c r="F86" s="5"/>
      <c r="G86" s="5"/>
      <c r="H86" s="5"/>
      <c r="I86" s="5"/>
      <c r="J86" s="5"/>
      <c r="K86" s="25"/>
      <c r="L86" s="5"/>
      <c r="M86" s="6"/>
      <c r="N86" s="5"/>
      <c r="O86" s="5"/>
      <c r="P86" s="8">
        <v>3.6</v>
      </c>
      <c r="Q86" s="6">
        <v>1</v>
      </c>
      <c r="R86" s="8"/>
      <c r="S86" s="5"/>
      <c r="T86" s="6">
        <f t="shared" si="2"/>
        <v>4.5999999999999996</v>
      </c>
      <c r="U86" s="148" t="s">
        <v>866</v>
      </c>
      <c r="V86" s="1"/>
      <c r="W86" s="1"/>
      <c r="X86" s="1"/>
      <c r="Y86" s="1"/>
      <c r="Z86" s="1"/>
    </row>
    <row r="87" spans="1:26" ht="39.75" customHeight="1">
      <c r="A87" s="171"/>
      <c r="B87" s="171"/>
      <c r="C87" s="171"/>
      <c r="D87" s="5">
        <v>81</v>
      </c>
      <c r="E87" s="5" t="s">
        <v>156</v>
      </c>
      <c r="F87" s="5"/>
      <c r="G87" s="5"/>
      <c r="H87" s="5"/>
      <c r="I87" s="5"/>
      <c r="J87" s="5"/>
      <c r="K87" s="5"/>
      <c r="L87" s="5"/>
      <c r="M87" s="6"/>
      <c r="N87" s="6"/>
      <c r="O87" s="5"/>
      <c r="P87" s="8"/>
      <c r="Q87" s="8"/>
      <c r="R87" s="5"/>
      <c r="S87" s="5"/>
      <c r="T87" s="6">
        <f t="shared" si="2"/>
        <v>0</v>
      </c>
      <c r="U87" s="36"/>
      <c r="V87" s="1"/>
      <c r="W87" s="1"/>
      <c r="X87" s="1"/>
      <c r="Y87" s="1"/>
      <c r="Z87" s="1"/>
    </row>
    <row r="88" spans="1:26" ht="39.75" customHeight="1">
      <c r="A88" s="171"/>
      <c r="B88" s="171"/>
      <c r="C88" s="171"/>
      <c r="D88" s="5">
        <v>82</v>
      </c>
      <c r="E88" s="5" t="s">
        <v>157</v>
      </c>
      <c r="F88" s="5"/>
      <c r="G88" s="5"/>
      <c r="H88" s="5"/>
      <c r="I88" s="5"/>
      <c r="J88" s="5"/>
      <c r="K88" s="5"/>
      <c r="L88" s="5"/>
      <c r="M88" s="5"/>
      <c r="N88" s="5"/>
      <c r="O88" s="5"/>
      <c r="P88" s="8">
        <v>3</v>
      </c>
      <c r="Q88" s="5"/>
      <c r="R88" s="5"/>
      <c r="S88" s="5"/>
      <c r="T88" s="6">
        <f t="shared" si="2"/>
        <v>3</v>
      </c>
      <c r="U88" s="149" t="s">
        <v>867</v>
      </c>
      <c r="V88" s="1"/>
      <c r="W88" s="1"/>
      <c r="X88" s="1"/>
      <c r="Y88" s="1"/>
      <c r="Z88" s="1"/>
    </row>
    <row r="89" spans="1:26" ht="39.75" customHeight="1">
      <c r="A89" s="171"/>
      <c r="B89" s="169"/>
      <c r="C89" s="169"/>
      <c r="D89" s="5">
        <v>83</v>
      </c>
      <c r="E89" s="5" t="s">
        <v>158</v>
      </c>
      <c r="F89" s="5"/>
      <c r="G89" s="5"/>
      <c r="H89" s="5"/>
      <c r="I89" s="5"/>
      <c r="J89" s="5"/>
      <c r="K89" s="6">
        <v>2</v>
      </c>
      <c r="L89" s="5"/>
      <c r="M89" s="8"/>
      <c r="N89" s="6"/>
      <c r="O89" s="5"/>
      <c r="P89" s="8">
        <v>2</v>
      </c>
      <c r="Q89" s="6"/>
      <c r="R89" s="8"/>
      <c r="S89" s="5"/>
      <c r="T89" s="6">
        <f t="shared" si="2"/>
        <v>4</v>
      </c>
      <c r="U89" s="149" t="s">
        <v>868</v>
      </c>
      <c r="V89" s="1"/>
      <c r="W89" s="1"/>
      <c r="X89" s="1"/>
      <c r="Y89" s="1"/>
      <c r="Z89" s="1"/>
    </row>
    <row r="90" spans="1:26" ht="39.75" customHeight="1">
      <c r="A90" s="171"/>
      <c r="B90" s="5" t="s">
        <v>159</v>
      </c>
      <c r="C90" s="5" t="s">
        <v>160</v>
      </c>
      <c r="D90" s="5">
        <v>84</v>
      </c>
      <c r="E90" s="5" t="s">
        <v>161</v>
      </c>
      <c r="F90" s="5"/>
      <c r="G90" s="5"/>
      <c r="H90" s="5"/>
      <c r="I90" s="6"/>
      <c r="J90" s="5"/>
      <c r="K90" s="6"/>
      <c r="L90" s="5"/>
      <c r="M90" s="5"/>
      <c r="N90" s="6">
        <v>0.78</v>
      </c>
      <c r="O90" s="5"/>
      <c r="P90" s="5"/>
      <c r="Q90" s="6">
        <v>2.5</v>
      </c>
      <c r="R90" s="8">
        <v>0.2</v>
      </c>
      <c r="S90" s="5"/>
      <c r="T90" s="6">
        <f t="shared" si="2"/>
        <v>3.4800000000000004</v>
      </c>
      <c r="U90" s="9" t="s">
        <v>581</v>
      </c>
      <c r="V90" s="1"/>
      <c r="W90" s="1"/>
      <c r="X90" s="1"/>
      <c r="Y90" s="1"/>
      <c r="Z90" s="1"/>
    </row>
    <row r="91" spans="1:26" ht="39.75" customHeight="1">
      <c r="A91" s="171"/>
      <c r="B91" s="5" t="s">
        <v>162</v>
      </c>
      <c r="C91" s="5" t="s">
        <v>163</v>
      </c>
      <c r="D91" s="5">
        <v>85</v>
      </c>
      <c r="E91" s="5" t="s">
        <v>164</v>
      </c>
      <c r="F91" s="5"/>
      <c r="G91" s="5"/>
      <c r="H91" s="5"/>
      <c r="I91" s="5"/>
      <c r="J91" s="5"/>
      <c r="K91" s="6"/>
      <c r="L91" s="5"/>
      <c r="M91" s="5"/>
      <c r="N91" s="6">
        <v>0.25</v>
      </c>
      <c r="O91" s="5"/>
      <c r="P91" s="5"/>
      <c r="Q91" s="6">
        <v>1</v>
      </c>
      <c r="R91" s="8"/>
      <c r="S91" s="5"/>
      <c r="T91" s="6">
        <f t="shared" si="2"/>
        <v>1.25</v>
      </c>
      <c r="U91" s="9" t="s">
        <v>165</v>
      </c>
      <c r="V91" s="1"/>
      <c r="W91" s="1"/>
      <c r="X91" s="1"/>
      <c r="Y91" s="1"/>
      <c r="Z91" s="1"/>
    </row>
    <row r="92" spans="1:26" ht="39.75" customHeight="1">
      <c r="A92" s="171"/>
      <c r="B92" s="5" t="s">
        <v>166</v>
      </c>
      <c r="C92" s="5" t="s">
        <v>54</v>
      </c>
      <c r="D92" s="5">
        <v>86</v>
      </c>
      <c r="E92" s="5" t="s">
        <v>167</v>
      </c>
      <c r="F92" s="5"/>
      <c r="G92" s="5"/>
      <c r="H92" s="5"/>
      <c r="I92" s="5"/>
      <c r="J92" s="5"/>
      <c r="K92" s="5"/>
      <c r="L92" s="5"/>
      <c r="M92" s="5"/>
      <c r="N92" s="5"/>
      <c r="O92" s="5"/>
      <c r="P92" s="5"/>
      <c r="Q92" s="5"/>
      <c r="R92" s="5"/>
      <c r="S92" s="5"/>
      <c r="T92" s="6">
        <f t="shared" si="2"/>
        <v>0</v>
      </c>
      <c r="U92" s="9"/>
      <c r="V92" s="1"/>
      <c r="W92" s="1"/>
      <c r="X92" s="1"/>
      <c r="Y92" s="1"/>
      <c r="Z92" s="1"/>
    </row>
    <row r="93" spans="1:26" ht="39.75" customHeight="1">
      <c r="A93" s="169"/>
      <c r="B93" s="176" t="s">
        <v>168</v>
      </c>
      <c r="C93" s="177"/>
      <c r="D93" s="178"/>
      <c r="E93" s="51"/>
      <c r="F93" s="51">
        <f t="shared" ref="F93:S93" si="4">SUM(F69:F92)</f>
        <v>88.399999999999991</v>
      </c>
      <c r="G93" s="51">
        <f t="shared" si="4"/>
        <v>0</v>
      </c>
      <c r="H93" s="51">
        <f t="shared" si="4"/>
        <v>4</v>
      </c>
      <c r="I93" s="51">
        <f t="shared" si="4"/>
        <v>11.915000000000001</v>
      </c>
      <c r="J93" s="51">
        <f t="shared" si="4"/>
        <v>0</v>
      </c>
      <c r="K93" s="51">
        <f t="shared" si="4"/>
        <v>7</v>
      </c>
      <c r="L93" s="51">
        <f t="shared" si="4"/>
        <v>0</v>
      </c>
      <c r="M93" s="56">
        <f t="shared" si="4"/>
        <v>15.58</v>
      </c>
      <c r="N93" s="52">
        <f t="shared" si="4"/>
        <v>45.660000000000004</v>
      </c>
      <c r="O93" s="51">
        <f t="shared" si="4"/>
        <v>98.624499999999998</v>
      </c>
      <c r="P93" s="52">
        <f t="shared" si="4"/>
        <v>113.01</v>
      </c>
      <c r="Q93" s="51">
        <f t="shared" si="4"/>
        <v>28.651000000000003</v>
      </c>
      <c r="R93" s="56">
        <f t="shared" si="4"/>
        <v>39.602000000000004</v>
      </c>
      <c r="S93" s="56">
        <f t="shared" si="4"/>
        <v>12.9</v>
      </c>
      <c r="T93" s="52">
        <f t="shared" si="2"/>
        <v>465.34249999999997</v>
      </c>
      <c r="U93" s="9"/>
      <c r="V93" s="1"/>
      <c r="W93" s="1"/>
      <c r="X93" s="1"/>
      <c r="Y93" s="1"/>
      <c r="Z93" s="1"/>
    </row>
    <row r="94" spans="1:26" ht="48" customHeight="1">
      <c r="A94" s="175" t="s">
        <v>169</v>
      </c>
      <c r="B94" s="168" t="s">
        <v>170</v>
      </c>
      <c r="C94" s="168" t="s">
        <v>171</v>
      </c>
      <c r="D94" s="5">
        <v>87</v>
      </c>
      <c r="E94" s="5" t="s">
        <v>172</v>
      </c>
      <c r="F94" s="114"/>
      <c r="G94" s="114"/>
      <c r="H94" s="114"/>
      <c r="I94" s="114"/>
      <c r="J94" s="114"/>
      <c r="K94" s="115">
        <v>17</v>
      </c>
      <c r="L94" s="114"/>
      <c r="M94" s="114"/>
      <c r="N94" s="114"/>
      <c r="O94" s="114"/>
      <c r="P94" s="114"/>
      <c r="Q94" s="114"/>
      <c r="R94" s="114"/>
      <c r="S94" s="116"/>
      <c r="T94" s="117">
        <f>SUM(F94:S94)</f>
        <v>17</v>
      </c>
      <c r="U94" s="88" t="s">
        <v>696</v>
      </c>
      <c r="V94" s="1"/>
      <c r="W94" s="1"/>
      <c r="X94" s="1"/>
      <c r="Y94" s="1"/>
      <c r="Z94" s="1"/>
    </row>
    <row r="95" spans="1:26" ht="39.75" customHeight="1">
      <c r="A95" s="171"/>
      <c r="B95" s="171"/>
      <c r="C95" s="171"/>
      <c r="D95" s="5">
        <v>88</v>
      </c>
      <c r="E95" s="5" t="s">
        <v>173</v>
      </c>
      <c r="F95" s="114"/>
      <c r="G95" s="114"/>
      <c r="H95" s="114"/>
      <c r="I95" s="114"/>
      <c r="J95" s="114"/>
      <c r="K95" s="114"/>
      <c r="L95" s="114"/>
      <c r="M95" s="114"/>
      <c r="N95" s="114"/>
      <c r="O95" s="114"/>
      <c r="P95" s="118">
        <v>5</v>
      </c>
      <c r="Q95" s="114"/>
      <c r="R95" s="114"/>
      <c r="S95" s="116"/>
      <c r="T95" s="117">
        <f t="shared" ref="T95:T103" si="5">SUM(F95:S95)</f>
        <v>5</v>
      </c>
      <c r="U95" s="88" t="s">
        <v>697</v>
      </c>
      <c r="V95" s="1"/>
      <c r="W95" s="1"/>
      <c r="X95" s="1"/>
      <c r="Y95" s="1"/>
      <c r="Z95" s="1"/>
    </row>
    <row r="96" spans="1:26" ht="39.75" customHeight="1">
      <c r="A96" s="171"/>
      <c r="B96" s="171"/>
      <c r="C96" s="171"/>
      <c r="D96" s="5">
        <v>89</v>
      </c>
      <c r="E96" s="5" t="s">
        <v>174</v>
      </c>
      <c r="F96" s="114"/>
      <c r="G96" s="114"/>
      <c r="H96" s="114"/>
      <c r="I96" s="114"/>
      <c r="J96" s="114"/>
      <c r="K96" s="114"/>
      <c r="L96" s="114"/>
      <c r="M96" s="114"/>
      <c r="N96" s="114"/>
      <c r="O96" s="114"/>
      <c r="P96" s="114"/>
      <c r="Q96" s="114"/>
      <c r="R96" s="114"/>
      <c r="S96" s="116"/>
      <c r="T96" s="117">
        <f t="shared" si="5"/>
        <v>0</v>
      </c>
      <c r="U96" s="88"/>
      <c r="V96" s="1"/>
      <c r="W96" s="1"/>
      <c r="X96" s="1"/>
      <c r="Y96" s="1"/>
      <c r="Z96" s="1"/>
    </row>
    <row r="97" spans="1:26" ht="39.75" customHeight="1">
      <c r="A97" s="171"/>
      <c r="B97" s="171"/>
      <c r="C97" s="171"/>
      <c r="D97" s="5">
        <v>90</v>
      </c>
      <c r="E97" s="5" t="s">
        <v>175</v>
      </c>
      <c r="F97" s="114"/>
      <c r="G97" s="114"/>
      <c r="H97" s="114"/>
      <c r="I97" s="114"/>
      <c r="J97" s="114"/>
      <c r="K97" s="114"/>
      <c r="L97" s="114"/>
      <c r="M97" s="114"/>
      <c r="N97" s="114"/>
      <c r="O97" s="114"/>
      <c r="P97" s="118"/>
      <c r="Q97" s="114"/>
      <c r="R97" s="114"/>
      <c r="S97" s="116"/>
      <c r="T97" s="117">
        <f t="shared" si="5"/>
        <v>0</v>
      </c>
      <c r="U97" s="88"/>
      <c r="V97" s="1"/>
      <c r="W97" s="1"/>
      <c r="X97" s="1"/>
      <c r="Y97" s="1"/>
      <c r="Z97" s="1"/>
    </row>
    <row r="98" spans="1:26" ht="39.75" customHeight="1">
      <c r="A98" s="171"/>
      <c r="B98" s="171"/>
      <c r="C98" s="171"/>
      <c r="D98" s="5">
        <v>91</v>
      </c>
      <c r="E98" s="5" t="s">
        <v>176</v>
      </c>
      <c r="F98" s="114"/>
      <c r="G98" s="114"/>
      <c r="H98" s="114"/>
      <c r="I98" s="114"/>
      <c r="J98" s="114"/>
      <c r="K98" s="115">
        <v>0</v>
      </c>
      <c r="L98" s="114"/>
      <c r="M98" s="114"/>
      <c r="N98" s="114"/>
      <c r="O98" s="114"/>
      <c r="P98" s="118">
        <v>2</v>
      </c>
      <c r="Q98" s="114"/>
      <c r="R98" s="114"/>
      <c r="S98" s="116"/>
      <c r="T98" s="117">
        <f t="shared" si="5"/>
        <v>2</v>
      </c>
      <c r="U98" s="119" t="s">
        <v>469</v>
      </c>
      <c r="V98" s="1"/>
      <c r="W98" s="1"/>
      <c r="X98" s="1"/>
      <c r="Y98" s="1"/>
      <c r="Z98" s="1"/>
    </row>
    <row r="99" spans="1:26" ht="39.75" customHeight="1">
      <c r="A99" s="171"/>
      <c r="B99" s="171"/>
      <c r="C99" s="171"/>
      <c r="D99" s="5">
        <v>92</v>
      </c>
      <c r="E99" s="5" t="s">
        <v>178</v>
      </c>
      <c r="F99" s="114"/>
      <c r="G99" s="114"/>
      <c r="H99" s="114"/>
      <c r="I99" s="114"/>
      <c r="J99" s="114"/>
      <c r="K99" s="114"/>
      <c r="L99" s="114"/>
      <c r="M99" s="114"/>
      <c r="N99" s="114"/>
      <c r="O99" s="114"/>
      <c r="P99" s="118">
        <v>2</v>
      </c>
      <c r="Q99" s="114"/>
      <c r="R99" s="114"/>
      <c r="S99" s="116"/>
      <c r="T99" s="117">
        <f t="shared" si="5"/>
        <v>2</v>
      </c>
      <c r="U99" s="120" t="s">
        <v>179</v>
      </c>
      <c r="V99" s="1"/>
      <c r="W99" s="1"/>
      <c r="X99" s="1"/>
      <c r="Y99" s="1"/>
      <c r="Z99" s="1"/>
    </row>
    <row r="100" spans="1:26" ht="39.75" customHeight="1">
      <c r="A100" s="171"/>
      <c r="B100" s="171"/>
      <c r="C100" s="171"/>
      <c r="D100" s="5">
        <v>93</v>
      </c>
      <c r="E100" s="5" t="s">
        <v>180</v>
      </c>
      <c r="F100" s="114"/>
      <c r="G100" s="114"/>
      <c r="H100" s="114"/>
      <c r="I100" s="118"/>
      <c r="J100" s="114"/>
      <c r="K100" s="114"/>
      <c r="L100" s="114"/>
      <c r="M100" s="114"/>
      <c r="N100" s="114"/>
      <c r="O100" s="114"/>
      <c r="P100" s="114"/>
      <c r="Q100" s="114"/>
      <c r="R100" s="114"/>
      <c r="S100" s="116"/>
      <c r="T100" s="117">
        <f t="shared" si="5"/>
        <v>0</v>
      </c>
      <c r="U100" s="119"/>
      <c r="V100" s="1"/>
      <c r="W100" s="1"/>
      <c r="X100" s="1"/>
      <c r="Y100" s="1"/>
      <c r="Z100" s="1"/>
    </row>
    <row r="101" spans="1:26" ht="39.75" customHeight="1">
      <c r="A101" s="171"/>
      <c r="B101" s="171"/>
      <c r="C101" s="171"/>
      <c r="D101" s="5">
        <v>94</v>
      </c>
      <c r="E101" s="5" t="s">
        <v>181</v>
      </c>
      <c r="F101" s="114"/>
      <c r="G101" s="114"/>
      <c r="H101" s="114"/>
      <c r="I101" s="118"/>
      <c r="J101" s="114"/>
      <c r="K101" s="114"/>
      <c r="L101" s="114"/>
      <c r="M101" s="114"/>
      <c r="N101" s="114"/>
      <c r="O101" s="114"/>
      <c r="P101" s="114"/>
      <c r="Q101" s="114"/>
      <c r="R101" s="114"/>
      <c r="S101" s="116"/>
      <c r="T101" s="117">
        <f t="shared" si="5"/>
        <v>0</v>
      </c>
      <c r="U101" s="120"/>
      <c r="V101" s="1"/>
      <c r="W101" s="1"/>
      <c r="X101" s="1"/>
      <c r="Y101" s="1"/>
      <c r="Z101" s="1"/>
    </row>
    <row r="102" spans="1:26" ht="39.75" customHeight="1">
      <c r="A102" s="171"/>
      <c r="B102" s="171"/>
      <c r="C102" s="171"/>
      <c r="D102" s="5">
        <v>95</v>
      </c>
      <c r="E102" s="5" t="s">
        <v>182</v>
      </c>
      <c r="F102" s="114"/>
      <c r="G102" s="114"/>
      <c r="H102" s="118"/>
      <c r="I102" s="115">
        <v>9</v>
      </c>
      <c r="J102" s="114"/>
      <c r="K102" s="114"/>
      <c r="L102" s="114"/>
      <c r="M102" s="114"/>
      <c r="N102" s="114"/>
      <c r="O102" s="114"/>
      <c r="P102" s="114"/>
      <c r="Q102" s="114"/>
      <c r="R102" s="114"/>
      <c r="S102" s="116"/>
      <c r="T102" s="117">
        <f t="shared" si="5"/>
        <v>9</v>
      </c>
      <c r="U102" s="88" t="s">
        <v>698</v>
      </c>
      <c r="V102" s="1"/>
      <c r="W102" s="1"/>
      <c r="X102" s="1"/>
      <c r="Y102" s="1"/>
      <c r="Z102" s="1"/>
    </row>
    <row r="103" spans="1:26" ht="39.75" customHeight="1">
      <c r="A103" s="171"/>
      <c r="B103" s="169"/>
      <c r="C103" s="169"/>
      <c r="D103" s="5">
        <v>96</v>
      </c>
      <c r="E103" s="5" t="s">
        <v>183</v>
      </c>
      <c r="F103" s="114"/>
      <c r="G103" s="114"/>
      <c r="H103" s="114"/>
      <c r="I103" s="114"/>
      <c r="J103" s="114"/>
      <c r="K103" s="114"/>
      <c r="L103" s="114"/>
      <c r="M103" s="114"/>
      <c r="N103" s="115"/>
      <c r="O103" s="114"/>
      <c r="P103" s="114"/>
      <c r="Q103" s="115">
        <v>1</v>
      </c>
      <c r="R103" s="118">
        <v>1</v>
      </c>
      <c r="S103" s="116"/>
      <c r="T103" s="117">
        <f t="shared" si="5"/>
        <v>2</v>
      </c>
      <c r="U103" s="88" t="s">
        <v>699</v>
      </c>
      <c r="V103" s="1"/>
      <c r="W103" s="1"/>
      <c r="X103" s="1"/>
      <c r="Y103" s="1"/>
      <c r="Z103" s="1"/>
    </row>
    <row r="104" spans="1:26" ht="39.75" customHeight="1">
      <c r="A104" s="171"/>
      <c r="B104" s="168" t="s">
        <v>184</v>
      </c>
      <c r="C104" s="168" t="s">
        <v>185</v>
      </c>
      <c r="D104" s="5">
        <v>97</v>
      </c>
      <c r="E104" s="5" t="s">
        <v>186</v>
      </c>
      <c r="F104" s="5"/>
      <c r="G104" s="5"/>
      <c r="H104" s="5"/>
      <c r="I104" s="6"/>
      <c r="J104" s="5"/>
      <c r="K104" s="6"/>
      <c r="L104" s="5"/>
      <c r="M104" s="6">
        <v>2.85</v>
      </c>
      <c r="N104" s="6">
        <v>5.5</v>
      </c>
      <c r="O104" s="5"/>
      <c r="P104" s="8">
        <v>26.6</v>
      </c>
      <c r="Q104" s="6">
        <v>4</v>
      </c>
      <c r="R104" s="8">
        <v>17.55</v>
      </c>
      <c r="S104" s="5"/>
      <c r="T104" s="6">
        <f t="shared" si="2"/>
        <v>56.5</v>
      </c>
      <c r="U104" s="10" t="s">
        <v>187</v>
      </c>
      <c r="V104" s="1"/>
      <c r="W104" s="1"/>
      <c r="X104" s="1"/>
      <c r="Y104" s="1"/>
      <c r="Z104" s="1"/>
    </row>
    <row r="105" spans="1:26" ht="39.75" customHeight="1">
      <c r="A105" s="171"/>
      <c r="B105" s="169"/>
      <c r="C105" s="169"/>
      <c r="D105" s="5">
        <v>98</v>
      </c>
      <c r="E105" s="5" t="s">
        <v>54</v>
      </c>
      <c r="F105" s="5"/>
      <c r="G105" s="5"/>
      <c r="H105" s="5"/>
      <c r="I105" s="5"/>
      <c r="J105" s="5"/>
      <c r="K105" s="5"/>
      <c r="L105" s="5"/>
      <c r="M105" s="5"/>
      <c r="N105" s="5"/>
      <c r="O105" s="5"/>
      <c r="P105" s="5"/>
      <c r="Q105" s="5"/>
      <c r="R105" s="5"/>
      <c r="S105" s="5"/>
      <c r="T105" s="6">
        <f t="shared" si="2"/>
        <v>0</v>
      </c>
      <c r="U105" s="9"/>
      <c r="V105" s="1"/>
      <c r="W105" s="1"/>
      <c r="X105" s="1"/>
      <c r="Y105" s="1"/>
      <c r="Z105" s="1"/>
    </row>
    <row r="106" spans="1:26" ht="39.75" customHeight="1">
      <c r="A106" s="171"/>
      <c r="B106" s="168" t="s">
        <v>188</v>
      </c>
      <c r="C106" s="168" t="s">
        <v>189</v>
      </c>
      <c r="D106" s="5">
        <v>99</v>
      </c>
      <c r="E106" s="5" t="s">
        <v>190</v>
      </c>
      <c r="F106" s="5"/>
      <c r="G106" s="5"/>
      <c r="H106" s="8"/>
      <c r="I106" s="6">
        <v>2</v>
      </c>
      <c r="J106" s="5"/>
      <c r="K106" s="6"/>
      <c r="L106" s="5"/>
      <c r="M106" s="5"/>
      <c r="N106" s="6">
        <v>0.8</v>
      </c>
      <c r="O106" s="5"/>
      <c r="P106" s="5"/>
      <c r="Q106" s="6">
        <v>2</v>
      </c>
      <c r="R106" s="5"/>
      <c r="S106" s="5"/>
      <c r="T106" s="6">
        <f t="shared" si="2"/>
        <v>4.8</v>
      </c>
      <c r="U106" s="10" t="s">
        <v>191</v>
      </c>
      <c r="V106" s="1"/>
      <c r="W106" s="1"/>
      <c r="X106" s="1"/>
      <c r="Y106" s="1"/>
      <c r="Z106" s="1"/>
    </row>
    <row r="107" spans="1:26" ht="39.75" customHeight="1">
      <c r="A107" s="171"/>
      <c r="B107" s="171"/>
      <c r="C107" s="171"/>
      <c r="D107" s="5">
        <v>100</v>
      </c>
      <c r="E107" s="5" t="s">
        <v>192</v>
      </c>
      <c r="F107" s="5"/>
      <c r="G107" s="5"/>
      <c r="H107" s="5"/>
      <c r="I107" s="6">
        <v>1.1000000000000001</v>
      </c>
      <c r="J107" s="5"/>
      <c r="K107" s="6"/>
      <c r="L107" s="5"/>
      <c r="M107" s="5"/>
      <c r="N107" s="5"/>
      <c r="O107" s="5"/>
      <c r="P107" s="5"/>
      <c r="Q107" s="5"/>
      <c r="R107" s="5"/>
      <c r="S107" s="5"/>
      <c r="T107" s="6">
        <f t="shared" si="2"/>
        <v>1.1000000000000001</v>
      </c>
      <c r="U107" s="10" t="s">
        <v>193</v>
      </c>
      <c r="V107" s="1"/>
      <c r="W107" s="1"/>
      <c r="X107" s="1"/>
      <c r="Y107" s="1"/>
      <c r="Z107" s="1"/>
    </row>
    <row r="108" spans="1:26" ht="39.75" customHeight="1">
      <c r="A108" s="171"/>
      <c r="B108" s="171"/>
      <c r="C108" s="171"/>
      <c r="D108" s="5">
        <v>101</v>
      </c>
      <c r="E108" s="5" t="s">
        <v>194</v>
      </c>
      <c r="F108" s="5"/>
      <c r="G108" s="5"/>
      <c r="H108" s="5"/>
      <c r="I108" s="5"/>
      <c r="J108" s="5"/>
      <c r="K108" s="5"/>
      <c r="L108" s="5"/>
      <c r="M108" s="5"/>
      <c r="N108" s="5"/>
      <c r="O108" s="5"/>
      <c r="P108" s="5"/>
      <c r="Q108" s="5"/>
      <c r="R108" s="5"/>
      <c r="S108" s="5"/>
      <c r="T108" s="6">
        <f t="shared" si="2"/>
        <v>0</v>
      </c>
      <c r="U108" s="9"/>
      <c r="V108" s="1"/>
      <c r="W108" s="1"/>
      <c r="X108" s="1"/>
      <c r="Y108" s="1"/>
      <c r="Z108" s="1"/>
    </row>
    <row r="109" spans="1:26" ht="39.75" customHeight="1">
      <c r="A109" s="171"/>
      <c r="B109" s="171"/>
      <c r="C109" s="171"/>
      <c r="D109" s="5">
        <v>102</v>
      </c>
      <c r="E109" s="5" t="s">
        <v>195</v>
      </c>
      <c r="F109" s="5"/>
      <c r="G109" s="5"/>
      <c r="H109" s="5"/>
      <c r="I109" s="5"/>
      <c r="J109" s="5"/>
      <c r="K109" s="5"/>
      <c r="L109" s="5"/>
      <c r="M109" s="5"/>
      <c r="N109" s="5"/>
      <c r="O109" s="5"/>
      <c r="P109" s="5"/>
      <c r="Q109" s="6"/>
      <c r="R109" s="5"/>
      <c r="S109" s="5"/>
      <c r="T109" s="6">
        <f t="shared" si="2"/>
        <v>0</v>
      </c>
      <c r="U109" s="9"/>
      <c r="V109" s="1"/>
      <c r="W109" s="1"/>
      <c r="X109" s="1"/>
      <c r="Y109" s="1"/>
      <c r="Z109" s="1"/>
    </row>
    <row r="110" spans="1:26" ht="39.75" customHeight="1">
      <c r="A110" s="171"/>
      <c r="B110" s="169"/>
      <c r="C110" s="169"/>
      <c r="D110" s="5">
        <v>103</v>
      </c>
      <c r="E110" s="5" t="s">
        <v>54</v>
      </c>
      <c r="F110" s="5"/>
      <c r="G110" s="5"/>
      <c r="H110" s="5"/>
      <c r="I110" s="5"/>
      <c r="J110" s="5"/>
      <c r="K110" s="5"/>
      <c r="L110" s="5"/>
      <c r="M110" s="5"/>
      <c r="N110" s="5"/>
      <c r="O110" s="5"/>
      <c r="P110" s="8">
        <v>5.6</v>
      </c>
      <c r="Q110" s="5"/>
      <c r="R110" s="8"/>
      <c r="S110" s="8"/>
      <c r="T110" s="6">
        <f t="shared" si="2"/>
        <v>5.6</v>
      </c>
      <c r="U110" s="10" t="s">
        <v>196</v>
      </c>
      <c r="V110" s="1"/>
      <c r="W110" s="1"/>
      <c r="X110" s="1"/>
      <c r="Y110" s="1"/>
      <c r="Z110" s="1"/>
    </row>
    <row r="111" spans="1:26" ht="39.75" customHeight="1">
      <c r="A111" s="171"/>
      <c r="B111" s="168" t="s">
        <v>197</v>
      </c>
      <c r="C111" s="168" t="s">
        <v>198</v>
      </c>
      <c r="D111" s="5">
        <v>104</v>
      </c>
      <c r="E111" s="5" t="s">
        <v>199</v>
      </c>
      <c r="F111" s="5"/>
      <c r="G111" s="5"/>
      <c r="H111" s="5"/>
      <c r="I111" s="5"/>
      <c r="J111" s="5"/>
      <c r="K111" s="5"/>
      <c r="L111" s="5"/>
      <c r="M111" s="5"/>
      <c r="N111" s="8">
        <v>2</v>
      </c>
      <c r="O111" s="5"/>
      <c r="P111" s="8">
        <v>3</v>
      </c>
      <c r="Q111" s="8">
        <v>1</v>
      </c>
      <c r="R111" s="8"/>
      <c r="S111" s="8"/>
      <c r="T111" s="6">
        <f t="shared" si="2"/>
        <v>6</v>
      </c>
      <c r="U111" s="113" t="s">
        <v>691</v>
      </c>
      <c r="V111" s="1"/>
      <c r="W111" s="1"/>
      <c r="X111" s="1"/>
      <c r="Y111" s="1"/>
      <c r="Z111" s="1"/>
    </row>
    <row r="112" spans="1:26" ht="39.75" customHeight="1">
      <c r="A112" s="171"/>
      <c r="B112" s="171"/>
      <c r="C112" s="171"/>
      <c r="D112" s="5">
        <v>105</v>
      </c>
      <c r="E112" s="5" t="s">
        <v>200</v>
      </c>
      <c r="F112" s="5"/>
      <c r="G112" s="5"/>
      <c r="H112" s="5"/>
      <c r="I112" s="5"/>
      <c r="J112" s="5"/>
      <c r="K112" s="5"/>
      <c r="L112" s="5"/>
      <c r="M112" s="5"/>
      <c r="N112" s="5"/>
      <c r="O112" s="5"/>
      <c r="P112" s="5"/>
      <c r="Q112" s="5"/>
      <c r="R112" s="5"/>
      <c r="S112" s="5"/>
      <c r="T112" s="6">
        <f t="shared" si="2"/>
        <v>0</v>
      </c>
      <c r="U112" s="9"/>
      <c r="V112" s="1"/>
      <c r="W112" s="1"/>
      <c r="X112" s="1"/>
      <c r="Y112" s="1"/>
      <c r="Z112" s="1"/>
    </row>
    <row r="113" spans="1:26" ht="138.75" customHeight="1">
      <c r="A113" s="171"/>
      <c r="B113" s="169"/>
      <c r="C113" s="169"/>
      <c r="D113" s="5">
        <v>106</v>
      </c>
      <c r="E113" s="5" t="s">
        <v>201</v>
      </c>
      <c r="F113" s="5"/>
      <c r="G113" s="5"/>
      <c r="H113" s="5"/>
      <c r="I113" s="6"/>
      <c r="J113" s="5"/>
      <c r="K113" s="6"/>
      <c r="L113" s="5"/>
      <c r="M113" s="5"/>
      <c r="N113" s="6"/>
      <c r="O113" s="5"/>
      <c r="P113" s="8"/>
      <c r="Q113" s="112">
        <v>2</v>
      </c>
      <c r="R113" s="112">
        <v>3</v>
      </c>
      <c r="S113" s="112"/>
      <c r="T113" s="6">
        <f t="shared" si="2"/>
        <v>5</v>
      </c>
      <c r="U113" s="113" t="s">
        <v>689</v>
      </c>
      <c r="V113" s="1"/>
      <c r="W113" s="1"/>
      <c r="X113" s="1"/>
      <c r="Y113" s="1"/>
      <c r="Z113" s="1"/>
    </row>
    <row r="114" spans="1:26" ht="39.75" customHeight="1">
      <c r="A114" s="171"/>
      <c r="B114" s="168" t="s">
        <v>202</v>
      </c>
      <c r="C114" s="168" t="s">
        <v>203</v>
      </c>
      <c r="D114" s="5">
        <v>107</v>
      </c>
      <c r="E114" s="5" t="s">
        <v>204</v>
      </c>
      <c r="F114" s="5"/>
      <c r="G114" s="5"/>
      <c r="H114" s="5"/>
      <c r="I114" s="6"/>
      <c r="J114" s="5"/>
      <c r="K114" s="6"/>
      <c r="L114" s="5"/>
      <c r="M114" s="5"/>
      <c r="N114" s="6"/>
      <c r="O114" s="5"/>
      <c r="P114" s="8">
        <v>3.5</v>
      </c>
      <c r="Q114" s="5"/>
      <c r="R114" s="8"/>
      <c r="S114" s="5"/>
      <c r="T114" s="6">
        <f t="shared" si="2"/>
        <v>3.5</v>
      </c>
      <c r="U114" s="10" t="s">
        <v>205</v>
      </c>
      <c r="V114" s="1"/>
      <c r="W114" s="1"/>
      <c r="X114" s="1"/>
      <c r="Y114" s="1"/>
      <c r="Z114" s="1"/>
    </row>
    <row r="115" spans="1:26" ht="39.75" customHeight="1">
      <c r="A115" s="171"/>
      <c r="B115" s="171"/>
      <c r="C115" s="171"/>
      <c r="D115" s="5">
        <v>108</v>
      </c>
      <c r="E115" s="5" t="s">
        <v>206</v>
      </c>
      <c r="F115" s="5"/>
      <c r="G115" s="5"/>
      <c r="H115" s="5"/>
      <c r="I115" s="6"/>
      <c r="J115" s="5"/>
      <c r="K115" s="6"/>
      <c r="L115" s="5"/>
      <c r="M115" s="5"/>
      <c r="N115" s="5"/>
      <c r="O115" s="5"/>
      <c r="P115" s="8">
        <v>17.600000000000001</v>
      </c>
      <c r="Q115" s="5"/>
      <c r="R115" s="5"/>
      <c r="S115" s="5"/>
      <c r="T115" s="6">
        <f t="shared" si="2"/>
        <v>17.600000000000001</v>
      </c>
      <c r="U115" s="10" t="s">
        <v>207</v>
      </c>
      <c r="V115" s="1"/>
      <c r="W115" s="1"/>
      <c r="X115" s="1"/>
      <c r="Y115" s="1"/>
      <c r="Z115" s="1"/>
    </row>
    <row r="116" spans="1:26" ht="39.75" customHeight="1">
      <c r="A116" s="171"/>
      <c r="B116" s="171"/>
      <c r="C116" s="171"/>
      <c r="D116" s="5">
        <v>109</v>
      </c>
      <c r="E116" s="5" t="s">
        <v>208</v>
      </c>
      <c r="F116" s="5"/>
      <c r="G116" s="5"/>
      <c r="H116" s="8"/>
      <c r="I116" s="6"/>
      <c r="J116" s="5"/>
      <c r="K116" s="6"/>
      <c r="L116" s="5"/>
      <c r="M116" s="5"/>
      <c r="N116" s="5"/>
      <c r="O116" s="5"/>
      <c r="P116" s="5"/>
      <c r="Q116" s="5"/>
      <c r="R116" s="5"/>
      <c r="S116" s="5"/>
      <c r="T116" s="6">
        <f t="shared" si="2"/>
        <v>0</v>
      </c>
      <c r="U116" s="9"/>
      <c r="V116" s="1"/>
      <c r="W116" s="1"/>
      <c r="X116" s="1"/>
      <c r="Y116" s="1"/>
      <c r="Z116" s="1"/>
    </row>
    <row r="117" spans="1:26" ht="90.75" customHeight="1">
      <c r="A117" s="171"/>
      <c r="B117" s="171"/>
      <c r="C117" s="171"/>
      <c r="D117" s="5">
        <v>110</v>
      </c>
      <c r="E117" s="5" t="s">
        <v>209</v>
      </c>
      <c r="F117" s="5"/>
      <c r="G117" s="5"/>
      <c r="H117" s="5"/>
      <c r="I117" s="6"/>
      <c r="J117" s="5"/>
      <c r="K117" s="6"/>
      <c r="L117" s="5"/>
      <c r="M117" s="8"/>
      <c r="N117" s="6">
        <v>3</v>
      </c>
      <c r="O117" s="8">
        <v>15.696</v>
      </c>
      <c r="P117" s="6"/>
      <c r="Q117" s="8">
        <v>6.77</v>
      </c>
      <c r="R117" s="8">
        <v>10.1</v>
      </c>
      <c r="S117" s="5"/>
      <c r="T117" s="6">
        <f t="shared" si="2"/>
        <v>35.565999999999995</v>
      </c>
      <c r="U117" s="9" t="s">
        <v>210</v>
      </c>
      <c r="V117" s="1"/>
      <c r="W117" s="1"/>
      <c r="X117" s="1"/>
      <c r="Y117" s="1"/>
      <c r="Z117" s="1"/>
    </row>
    <row r="118" spans="1:26" ht="39.75" customHeight="1">
      <c r="A118" s="171"/>
      <c r="B118" s="169"/>
      <c r="C118" s="169"/>
      <c r="D118" s="5">
        <v>111</v>
      </c>
      <c r="E118" s="5" t="s">
        <v>54</v>
      </c>
      <c r="F118" s="5"/>
      <c r="G118" s="5"/>
      <c r="H118" s="5"/>
      <c r="I118" s="8"/>
      <c r="J118" s="5"/>
      <c r="K118" s="8"/>
      <c r="L118" s="5"/>
      <c r="M118" s="5">
        <v>6</v>
      </c>
      <c r="N118" s="5"/>
      <c r="O118" s="5"/>
      <c r="P118" s="8"/>
      <c r="Q118" s="6"/>
      <c r="R118" s="5"/>
      <c r="S118" s="8"/>
      <c r="T118" s="6">
        <f t="shared" si="2"/>
        <v>6</v>
      </c>
      <c r="U118" s="113" t="s">
        <v>683</v>
      </c>
      <c r="V118" s="1"/>
      <c r="W118" s="1"/>
      <c r="X118" s="1"/>
      <c r="Y118" s="1"/>
      <c r="Z118" s="1"/>
    </row>
    <row r="119" spans="1:26" ht="39.75" customHeight="1">
      <c r="A119" s="171"/>
      <c r="B119" s="168" t="s">
        <v>211</v>
      </c>
      <c r="C119" s="168" t="s">
        <v>212</v>
      </c>
      <c r="D119" s="5">
        <v>112</v>
      </c>
      <c r="E119" s="5" t="s">
        <v>213</v>
      </c>
      <c r="F119" s="5"/>
      <c r="G119" s="5"/>
      <c r="H119" s="5"/>
      <c r="I119" s="6"/>
      <c r="J119" s="5"/>
      <c r="K119" s="6"/>
      <c r="L119" s="5"/>
      <c r="M119" s="5"/>
      <c r="N119" s="5"/>
      <c r="O119" s="5"/>
      <c r="P119" s="5"/>
      <c r="Q119" s="6"/>
      <c r="R119" s="5"/>
      <c r="S119" s="5"/>
      <c r="T119" s="6">
        <f t="shared" si="2"/>
        <v>0</v>
      </c>
      <c r="U119" s="9"/>
      <c r="V119" s="1"/>
      <c r="W119" s="1"/>
      <c r="X119" s="1"/>
      <c r="Y119" s="1"/>
      <c r="Z119" s="1"/>
    </row>
    <row r="120" spans="1:26" ht="39.75" customHeight="1">
      <c r="A120" s="171"/>
      <c r="B120" s="169"/>
      <c r="C120" s="169"/>
      <c r="D120" s="5">
        <v>113</v>
      </c>
      <c r="E120" s="5" t="s">
        <v>214</v>
      </c>
      <c r="F120" s="5"/>
      <c r="G120" s="5"/>
      <c r="H120" s="5"/>
      <c r="I120" s="6"/>
      <c r="J120" s="5"/>
      <c r="K120" s="6"/>
      <c r="L120" s="5"/>
      <c r="M120" s="6"/>
      <c r="N120" s="6">
        <v>0.5</v>
      </c>
      <c r="O120" s="5"/>
      <c r="P120" s="5"/>
      <c r="Q120" s="6">
        <v>0.5</v>
      </c>
      <c r="R120" s="5"/>
      <c r="S120" s="5"/>
      <c r="T120" s="6">
        <f t="shared" si="2"/>
        <v>1</v>
      </c>
      <c r="U120" s="10" t="s">
        <v>215</v>
      </c>
      <c r="V120" s="1"/>
      <c r="W120" s="1"/>
      <c r="X120" s="1"/>
      <c r="Y120" s="1"/>
      <c r="Z120" s="1"/>
    </row>
    <row r="121" spans="1:26" ht="70.5" customHeight="1">
      <c r="A121" s="171"/>
      <c r="B121" s="5" t="s">
        <v>216</v>
      </c>
      <c r="C121" s="5" t="s">
        <v>217</v>
      </c>
      <c r="D121" s="5">
        <v>114</v>
      </c>
      <c r="E121" s="5" t="s">
        <v>218</v>
      </c>
      <c r="F121" s="5"/>
      <c r="G121" s="5"/>
      <c r="H121" s="8"/>
      <c r="I121" s="5"/>
      <c r="J121" s="5"/>
      <c r="K121" s="5"/>
      <c r="L121" s="5"/>
      <c r="M121" s="5"/>
      <c r="N121" s="8">
        <v>1.5</v>
      </c>
      <c r="O121" s="5"/>
      <c r="P121" s="8">
        <v>7</v>
      </c>
      <c r="Q121" s="6">
        <v>2</v>
      </c>
      <c r="R121" s="8">
        <v>1</v>
      </c>
      <c r="S121" s="8"/>
      <c r="T121" s="6">
        <f t="shared" si="2"/>
        <v>11.5</v>
      </c>
      <c r="U121" s="113" t="s">
        <v>681</v>
      </c>
      <c r="V121" s="1"/>
      <c r="W121" s="1"/>
      <c r="X121" s="1"/>
      <c r="Y121" s="1"/>
      <c r="Z121" s="1"/>
    </row>
    <row r="122" spans="1:26" ht="39.75" customHeight="1">
      <c r="A122" s="171"/>
      <c r="B122" s="168" t="s">
        <v>219</v>
      </c>
      <c r="C122" s="168" t="s">
        <v>220</v>
      </c>
      <c r="D122" s="5">
        <v>115</v>
      </c>
      <c r="E122" s="5" t="s">
        <v>221</v>
      </c>
      <c r="F122" s="5"/>
      <c r="G122" s="5"/>
      <c r="H122" s="5"/>
      <c r="I122" s="5"/>
      <c r="J122" s="5"/>
      <c r="K122" s="5"/>
      <c r="L122" s="5"/>
      <c r="M122" s="6"/>
      <c r="N122" s="5"/>
      <c r="O122" s="5"/>
      <c r="P122" s="5"/>
      <c r="Q122" s="5"/>
      <c r="R122" s="5"/>
      <c r="S122" s="5"/>
      <c r="T122" s="6">
        <f t="shared" si="2"/>
        <v>0</v>
      </c>
      <c r="U122" s="9"/>
      <c r="V122" s="1"/>
      <c r="W122" s="1"/>
      <c r="X122" s="1"/>
      <c r="Y122" s="1"/>
      <c r="Z122" s="1"/>
    </row>
    <row r="123" spans="1:26" ht="77.25" customHeight="1">
      <c r="A123" s="171"/>
      <c r="B123" s="171"/>
      <c r="C123" s="171"/>
      <c r="D123" s="5">
        <v>116</v>
      </c>
      <c r="E123" s="5" t="s">
        <v>222</v>
      </c>
      <c r="F123" s="5"/>
      <c r="G123" s="5"/>
      <c r="H123" s="5"/>
      <c r="I123" s="5"/>
      <c r="J123" s="5"/>
      <c r="K123" s="5"/>
      <c r="L123" s="5"/>
      <c r="M123" s="6">
        <v>17.7</v>
      </c>
      <c r="N123" s="5"/>
      <c r="O123" s="5"/>
      <c r="P123" s="5"/>
      <c r="Q123" s="6">
        <v>6.7</v>
      </c>
      <c r="R123" s="5"/>
      <c r="S123" s="5"/>
      <c r="T123" s="6">
        <f t="shared" si="2"/>
        <v>24.4</v>
      </c>
      <c r="U123" s="113" t="s">
        <v>679</v>
      </c>
      <c r="V123" s="1"/>
      <c r="W123" s="1"/>
      <c r="X123" s="1"/>
      <c r="Y123" s="1"/>
      <c r="Z123" s="1"/>
    </row>
    <row r="124" spans="1:26" ht="39.75" customHeight="1">
      <c r="A124" s="171"/>
      <c r="B124" s="171"/>
      <c r="C124" s="171"/>
      <c r="D124" s="5">
        <v>117</v>
      </c>
      <c r="E124" s="5" t="s">
        <v>224</v>
      </c>
      <c r="F124" s="5"/>
      <c r="G124" s="5"/>
      <c r="H124" s="5"/>
      <c r="I124" s="5"/>
      <c r="J124" s="5"/>
      <c r="K124" s="5"/>
      <c r="L124" s="5"/>
      <c r="M124" s="5"/>
      <c r="N124" s="5"/>
      <c r="O124" s="5"/>
      <c r="P124" s="5"/>
      <c r="Q124" s="5"/>
      <c r="R124" s="5"/>
      <c r="S124" s="5"/>
      <c r="T124" s="6">
        <f t="shared" si="2"/>
        <v>0</v>
      </c>
      <c r="U124" s="9"/>
      <c r="V124" s="1"/>
      <c r="W124" s="1"/>
      <c r="X124" s="1"/>
      <c r="Y124" s="1"/>
      <c r="Z124" s="1"/>
    </row>
    <row r="125" spans="1:26" ht="39.75" customHeight="1">
      <c r="A125" s="171"/>
      <c r="B125" s="169"/>
      <c r="C125" s="169"/>
      <c r="D125" s="5">
        <v>118</v>
      </c>
      <c r="E125" s="5" t="s">
        <v>54</v>
      </c>
      <c r="F125" s="5"/>
      <c r="G125" s="5"/>
      <c r="H125" s="5"/>
      <c r="I125" s="5"/>
      <c r="J125" s="5"/>
      <c r="K125" s="5"/>
      <c r="L125" s="5"/>
      <c r="M125" s="5"/>
      <c r="N125" s="5"/>
      <c r="O125" s="5"/>
      <c r="P125" s="5"/>
      <c r="Q125" s="6"/>
      <c r="R125" s="5"/>
      <c r="S125" s="5"/>
      <c r="T125" s="6">
        <f t="shared" si="2"/>
        <v>0</v>
      </c>
      <c r="U125" s="9"/>
      <c r="V125" s="1"/>
      <c r="W125" s="1"/>
      <c r="X125" s="1"/>
      <c r="Y125" s="1"/>
      <c r="Z125" s="1"/>
    </row>
    <row r="126" spans="1:26" ht="101.25" customHeight="1">
      <c r="A126" s="171"/>
      <c r="B126" s="5" t="s">
        <v>225</v>
      </c>
      <c r="C126" s="5" t="s">
        <v>226</v>
      </c>
      <c r="D126" s="5">
        <v>119</v>
      </c>
      <c r="E126" s="5" t="s">
        <v>227</v>
      </c>
      <c r="F126" s="5"/>
      <c r="G126" s="5"/>
      <c r="H126" s="8">
        <v>6</v>
      </c>
      <c r="I126" s="6">
        <v>1</v>
      </c>
      <c r="J126" s="5"/>
      <c r="K126" s="5"/>
      <c r="L126" s="5"/>
      <c r="M126" s="5"/>
      <c r="N126" s="6">
        <v>1</v>
      </c>
      <c r="O126" s="5"/>
      <c r="P126" s="8">
        <v>8</v>
      </c>
      <c r="Q126" s="6">
        <v>2</v>
      </c>
      <c r="R126" s="5"/>
      <c r="S126" s="5"/>
      <c r="T126" s="6">
        <f t="shared" si="2"/>
        <v>18</v>
      </c>
      <c r="U126" s="113" t="s">
        <v>678</v>
      </c>
      <c r="V126" s="1"/>
      <c r="W126" s="1"/>
      <c r="X126" s="1"/>
      <c r="Y126" s="1"/>
      <c r="Z126" s="1"/>
    </row>
    <row r="127" spans="1:26" ht="39.75" customHeight="1">
      <c r="A127" s="171"/>
      <c r="B127" s="5" t="s">
        <v>228</v>
      </c>
      <c r="C127" s="5" t="s">
        <v>229</v>
      </c>
      <c r="D127" s="5">
        <v>120</v>
      </c>
      <c r="E127" s="5" t="s">
        <v>230</v>
      </c>
      <c r="F127" s="5"/>
      <c r="G127" s="5"/>
      <c r="H127" s="5"/>
      <c r="I127" s="5"/>
      <c r="J127" s="5"/>
      <c r="K127" s="8"/>
      <c r="L127" s="5"/>
      <c r="M127" s="8"/>
      <c r="N127" s="6"/>
      <c r="O127" s="5"/>
      <c r="P127" s="8"/>
      <c r="Q127" s="6"/>
      <c r="R127" s="8"/>
      <c r="S127" s="5"/>
      <c r="T127" s="6">
        <f t="shared" si="2"/>
        <v>0</v>
      </c>
      <c r="U127" s="9"/>
      <c r="V127" s="1"/>
      <c r="W127" s="1"/>
      <c r="X127" s="1"/>
      <c r="Y127" s="1"/>
      <c r="Z127" s="1"/>
    </row>
    <row r="128" spans="1:26" ht="39.75" customHeight="1">
      <c r="A128" s="171"/>
      <c r="B128" s="168" t="s">
        <v>231</v>
      </c>
      <c r="C128" s="168" t="s">
        <v>232</v>
      </c>
      <c r="D128" s="5">
        <v>121</v>
      </c>
      <c r="E128" s="5" t="s">
        <v>233</v>
      </c>
      <c r="F128" s="5"/>
      <c r="G128" s="5"/>
      <c r="H128" s="5"/>
      <c r="I128" s="6"/>
      <c r="J128" s="5"/>
      <c r="K128" s="5"/>
      <c r="L128" s="5"/>
      <c r="M128" s="5"/>
      <c r="N128" s="5"/>
      <c r="O128" s="5"/>
      <c r="P128" s="5"/>
      <c r="Q128" s="5"/>
      <c r="R128" s="5"/>
      <c r="S128" s="5"/>
      <c r="T128" s="6">
        <f t="shared" si="2"/>
        <v>0</v>
      </c>
      <c r="U128" s="10"/>
      <c r="V128" s="1"/>
      <c r="W128" s="1"/>
      <c r="X128" s="1"/>
      <c r="Y128" s="1"/>
      <c r="Z128" s="1"/>
    </row>
    <row r="129" spans="1:26" ht="39.75" customHeight="1">
      <c r="A129" s="171"/>
      <c r="B129" s="171"/>
      <c r="C129" s="171"/>
      <c r="D129" s="5">
        <v>122</v>
      </c>
      <c r="E129" s="5" t="s">
        <v>234</v>
      </c>
      <c r="F129" s="5"/>
      <c r="G129" s="5"/>
      <c r="H129" s="5"/>
      <c r="I129" s="5"/>
      <c r="J129" s="5"/>
      <c r="K129" s="5"/>
      <c r="L129" s="5"/>
      <c r="M129" s="5"/>
      <c r="N129" s="5"/>
      <c r="O129" s="5"/>
      <c r="P129" s="5"/>
      <c r="Q129" s="5"/>
      <c r="R129" s="5"/>
      <c r="S129" s="5"/>
      <c r="T129" s="6">
        <f t="shared" si="2"/>
        <v>0</v>
      </c>
      <c r="U129" s="46"/>
      <c r="V129" s="1"/>
      <c r="W129" s="1"/>
      <c r="X129" s="1"/>
      <c r="Y129" s="1"/>
      <c r="Z129" s="1"/>
    </row>
    <row r="130" spans="1:26" ht="39.75" customHeight="1">
      <c r="A130" s="171"/>
      <c r="B130" s="169"/>
      <c r="C130" s="169"/>
      <c r="D130" s="5">
        <v>123</v>
      </c>
      <c r="E130" s="5" t="s">
        <v>235</v>
      </c>
      <c r="F130" s="5"/>
      <c r="G130" s="5"/>
      <c r="H130" s="5"/>
      <c r="I130" s="5"/>
      <c r="J130" s="5"/>
      <c r="K130" s="5"/>
      <c r="L130" s="5"/>
      <c r="M130" s="5"/>
      <c r="N130" s="5"/>
      <c r="O130" s="5"/>
      <c r="P130" s="8">
        <v>0</v>
      </c>
      <c r="Q130" s="6">
        <v>2</v>
      </c>
      <c r="R130" s="5"/>
      <c r="S130" s="5"/>
      <c r="T130" s="6">
        <f t="shared" si="2"/>
        <v>2</v>
      </c>
      <c r="U130" s="46" t="s">
        <v>236</v>
      </c>
      <c r="V130" s="1"/>
      <c r="W130" s="1"/>
      <c r="X130" s="1"/>
      <c r="Y130" s="1"/>
      <c r="Z130" s="1"/>
    </row>
    <row r="131" spans="1:26" ht="39.75" customHeight="1">
      <c r="A131" s="171"/>
      <c r="B131" s="168" t="s">
        <v>237</v>
      </c>
      <c r="C131" s="168" t="s">
        <v>238</v>
      </c>
      <c r="D131" s="5">
        <v>124</v>
      </c>
      <c r="E131" s="5" t="s">
        <v>239</v>
      </c>
      <c r="F131" s="5"/>
      <c r="G131" s="5"/>
      <c r="H131" s="8"/>
      <c r="I131" s="5"/>
      <c r="J131" s="5"/>
      <c r="K131" s="5"/>
      <c r="L131" s="5"/>
      <c r="M131" s="5"/>
      <c r="N131" s="5"/>
      <c r="O131" s="5"/>
      <c r="P131" s="5"/>
      <c r="Q131" s="8">
        <v>2</v>
      </c>
      <c r="R131" s="5"/>
      <c r="S131" s="5"/>
      <c r="T131" s="6">
        <f t="shared" si="2"/>
        <v>2</v>
      </c>
      <c r="U131" s="10" t="s">
        <v>240</v>
      </c>
      <c r="V131" s="1"/>
      <c r="W131" s="1"/>
      <c r="X131" s="1"/>
      <c r="Y131" s="1"/>
      <c r="Z131" s="1"/>
    </row>
    <row r="132" spans="1:26" ht="39.75" customHeight="1">
      <c r="A132" s="171"/>
      <c r="B132" s="169"/>
      <c r="C132" s="169"/>
      <c r="D132" s="5">
        <v>125</v>
      </c>
      <c r="E132" s="5" t="s">
        <v>241</v>
      </c>
      <c r="F132" s="5"/>
      <c r="G132" s="5"/>
      <c r="H132" s="8"/>
      <c r="I132" s="5"/>
      <c r="J132" s="5"/>
      <c r="K132" s="5"/>
      <c r="L132" s="5"/>
      <c r="M132" s="5"/>
      <c r="N132" s="5"/>
      <c r="O132" s="5"/>
      <c r="P132" s="5"/>
      <c r="Q132" s="5"/>
      <c r="R132" s="5"/>
      <c r="S132" s="5"/>
      <c r="T132" s="6">
        <f t="shared" si="2"/>
        <v>0</v>
      </c>
      <c r="U132" s="9"/>
      <c r="V132" s="1"/>
      <c r="W132" s="1"/>
      <c r="X132" s="1"/>
      <c r="Y132" s="1"/>
      <c r="Z132" s="1"/>
    </row>
    <row r="133" spans="1:26" ht="39.75" customHeight="1">
      <c r="A133" s="171"/>
      <c r="B133" s="5" t="s">
        <v>242</v>
      </c>
      <c r="C133" s="5" t="s">
        <v>243</v>
      </c>
      <c r="D133" s="5">
        <v>126</v>
      </c>
      <c r="E133" s="5" t="s">
        <v>167</v>
      </c>
      <c r="F133" s="5"/>
      <c r="G133" s="5"/>
      <c r="H133" s="5"/>
      <c r="I133" s="5"/>
      <c r="J133" s="5"/>
      <c r="K133" s="5"/>
      <c r="L133" s="5"/>
      <c r="M133" s="5"/>
      <c r="N133" s="5"/>
      <c r="O133" s="5"/>
      <c r="P133" s="5"/>
      <c r="Q133" s="5"/>
      <c r="R133" s="5"/>
      <c r="S133" s="5"/>
      <c r="T133" s="6">
        <f t="shared" si="2"/>
        <v>0</v>
      </c>
      <c r="U133" s="9"/>
      <c r="V133" s="1"/>
      <c r="W133" s="1"/>
      <c r="X133" s="1"/>
      <c r="Y133" s="1"/>
      <c r="Z133" s="1"/>
    </row>
    <row r="134" spans="1:26" ht="39.75" customHeight="1">
      <c r="A134" s="169"/>
      <c r="B134" s="176" t="s">
        <v>244</v>
      </c>
      <c r="C134" s="177"/>
      <c r="D134" s="178"/>
      <c r="E134" s="51"/>
      <c r="F134" s="51">
        <f t="shared" ref="F134:S134" si="6">SUM(F94:F133)</f>
        <v>0</v>
      </c>
      <c r="G134" s="51">
        <f t="shared" si="6"/>
        <v>0</v>
      </c>
      <c r="H134" s="51">
        <f t="shared" si="6"/>
        <v>6</v>
      </c>
      <c r="I134" s="51">
        <f t="shared" si="6"/>
        <v>13.1</v>
      </c>
      <c r="J134" s="51">
        <f t="shared" si="6"/>
        <v>0</v>
      </c>
      <c r="K134" s="52">
        <f t="shared" si="6"/>
        <v>17</v>
      </c>
      <c r="L134" s="51">
        <f t="shared" si="6"/>
        <v>0</v>
      </c>
      <c r="M134" s="51">
        <f t="shared" si="6"/>
        <v>26.549999999999997</v>
      </c>
      <c r="N134" s="51">
        <f t="shared" si="6"/>
        <v>14.3</v>
      </c>
      <c r="O134" s="51">
        <f t="shared" si="6"/>
        <v>15.696</v>
      </c>
      <c r="P134" s="51">
        <f t="shared" si="6"/>
        <v>80.300000000000011</v>
      </c>
      <c r="Q134" s="51">
        <f t="shared" si="6"/>
        <v>31.97</v>
      </c>
      <c r="R134" s="51">
        <f t="shared" si="6"/>
        <v>32.65</v>
      </c>
      <c r="S134" s="51">
        <f t="shared" si="6"/>
        <v>0</v>
      </c>
      <c r="T134" s="52">
        <f t="shared" ref="T134:T197" si="7">SUM(F134:S134)</f>
        <v>237.56600000000003</v>
      </c>
      <c r="U134" s="9"/>
      <c r="V134" s="26"/>
      <c r="W134" s="26"/>
      <c r="X134" s="26"/>
      <c r="Y134" s="26"/>
      <c r="Z134" s="26"/>
    </row>
    <row r="135" spans="1:26" ht="39.75" customHeight="1">
      <c r="A135" s="175" t="s">
        <v>245</v>
      </c>
      <c r="B135" s="168" t="s">
        <v>246</v>
      </c>
      <c r="C135" s="168" t="s">
        <v>247</v>
      </c>
      <c r="D135" s="5">
        <v>127</v>
      </c>
      <c r="E135" s="5" t="s">
        <v>248</v>
      </c>
      <c r="F135" s="98"/>
      <c r="G135" s="98"/>
      <c r="H135" s="98"/>
      <c r="I135" s="98"/>
      <c r="J135" s="98"/>
      <c r="K135" s="98"/>
      <c r="L135" s="98"/>
      <c r="M135" s="98"/>
      <c r="N135" s="98"/>
      <c r="O135" s="98"/>
      <c r="P135" s="98"/>
      <c r="Q135" s="98"/>
      <c r="R135" s="98"/>
      <c r="S135" s="98"/>
      <c r="T135" s="99">
        <f t="shared" ref="T135:T157" si="8">SUM(F135:S135)</f>
        <v>0</v>
      </c>
      <c r="U135" s="100"/>
      <c r="V135" s="1"/>
      <c r="W135" s="1"/>
      <c r="X135" s="1"/>
      <c r="Y135" s="1"/>
      <c r="Z135" s="1"/>
    </row>
    <row r="136" spans="1:26" ht="39.75" customHeight="1">
      <c r="A136" s="171"/>
      <c r="B136" s="169"/>
      <c r="C136" s="169"/>
      <c r="D136" s="5">
        <v>128</v>
      </c>
      <c r="E136" s="5" t="s">
        <v>249</v>
      </c>
      <c r="F136" s="98"/>
      <c r="G136" s="98"/>
      <c r="H136" s="98"/>
      <c r="I136" s="98"/>
      <c r="J136" s="98"/>
      <c r="K136" s="99"/>
      <c r="L136" s="98"/>
      <c r="M136" s="98"/>
      <c r="N136" s="99"/>
      <c r="O136" s="98"/>
      <c r="P136" s="99"/>
      <c r="Q136" s="99">
        <f>(18*0.75)+(18*0.1)</f>
        <v>15.3</v>
      </c>
      <c r="R136" s="98"/>
      <c r="S136" s="98"/>
      <c r="T136" s="99">
        <f t="shared" si="8"/>
        <v>15.3</v>
      </c>
      <c r="U136" s="101" t="s">
        <v>662</v>
      </c>
      <c r="V136" s="1"/>
      <c r="W136" s="1"/>
      <c r="X136" s="1"/>
      <c r="Y136" s="1"/>
      <c r="Z136" s="1"/>
    </row>
    <row r="137" spans="1:26" ht="61.5" customHeight="1">
      <c r="A137" s="171"/>
      <c r="B137" s="28"/>
      <c r="C137" s="28"/>
      <c r="D137" s="5">
        <v>129</v>
      </c>
      <c r="E137" s="5" t="s">
        <v>250</v>
      </c>
      <c r="F137" s="98"/>
      <c r="G137" s="98"/>
      <c r="H137" s="98"/>
      <c r="I137" s="98"/>
      <c r="J137" s="98"/>
      <c r="K137" s="98"/>
      <c r="L137" s="98"/>
      <c r="M137" s="98"/>
      <c r="N137" s="98"/>
      <c r="O137" s="98"/>
      <c r="P137" s="98"/>
      <c r="Q137" s="98"/>
      <c r="R137" s="98"/>
      <c r="S137" s="98"/>
      <c r="T137" s="99">
        <f t="shared" si="8"/>
        <v>0</v>
      </c>
      <c r="U137" s="100"/>
      <c r="V137" s="1"/>
      <c r="W137" s="1"/>
      <c r="X137" s="1"/>
      <c r="Y137" s="1"/>
      <c r="Z137" s="1"/>
    </row>
    <row r="138" spans="1:26" ht="39.75" customHeight="1">
      <c r="A138" s="171"/>
      <c r="B138" s="168" t="s">
        <v>251</v>
      </c>
      <c r="C138" s="168" t="s">
        <v>252</v>
      </c>
      <c r="D138" s="5">
        <v>130</v>
      </c>
      <c r="E138" s="5" t="s">
        <v>253</v>
      </c>
      <c r="F138" s="98"/>
      <c r="G138" s="98"/>
      <c r="H138" s="98"/>
      <c r="I138" s="98"/>
      <c r="J138" s="98"/>
      <c r="K138" s="98"/>
      <c r="L138" s="98"/>
      <c r="M138" s="98"/>
      <c r="N138" s="98"/>
      <c r="O138" s="98"/>
      <c r="P138" s="98"/>
      <c r="Q138" s="98"/>
      <c r="R138" s="98"/>
      <c r="S138" s="98"/>
      <c r="T138" s="99">
        <f t="shared" si="8"/>
        <v>0</v>
      </c>
      <c r="U138" s="100"/>
      <c r="V138" s="1"/>
      <c r="W138" s="1"/>
      <c r="X138" s="1"/>
      <c r="Y138" s="1"/>
      <c r="Z138" s="1"/>
    </row>
    <row r="139" spans="1:26" ht="39.75" customHeight="1">
      <c r="A139" s="171"/>
      <c r="B139" s="171"/>
      <c r="C139" s="171"/>
      <c r="D139" s="5">
        <v>131</v>
      </c>
      <c r="E139" s="5" t="s">
        <v>254</v>
      </c>
      <c r="F139" s="98"/>
      <c r="G139" s="98"/>
      <c r="H139" s="98"/>
      <c r="I139" s="98"/>
      <c r="J139" s="98"/>
      <c r="K139" s="98"/>
      <c r="L139" s="98"/>
      <c r="M139" s="98"/>
      <c r="N139" s="99">
        <f>0.01*399</f>
        <v>3.99</v>
      </c>
      <c r="O139" s="98"/>
      <c r="P139" s="98"/>
      <c r="Q139" s="98"/>
      <c r="R139" s="98"/>
      <c r="S139" s="98"/>
      <c r="T139" s="99">
        <f t="shared" si="8"/>
        <v>3.99</v>
      </c>
      <c r="U139" s="102" t="s">
        <v>663</v>
      </c>
      <c r="V139" s="1"/>
      <c r="W139" s="1"/>
      <c r="X139" s="1"/>
      <c r="Y139" s="1"/>
      <c r="Z139" s="1"/>
    </row>
    <row r="140" spans="1:26" ht="39.75" customHeight="1">
      <c r="A140" s="171"/>
      <c r="B140" s="171"/>
      <c r="C140" s="171"/>
      <c r="D140" s="5">
        <v>132</v>
      </c>
      <c r="E140" s="5" t="s">
        <v>255</v>
      </c>
      <c r="F140" s="98"/>
      <c r="G140" s="98"/>
      <c r="H140" s="98"/>
      <c r="I140" s="98"/>
      <c r="J140" s="98"/>
      <c r="K140" s="98"/>
      <c r="L140" s="98"/>
      <c r="M140" s="98"/>
      <c r="N140" s="98"/>
      <c r="O140" s="98"/>
      <c r="P140" s="98"/>
      <c r="Q140" s="98"/>
      <c r="R140" s="98"/>
      <c r="S140" s="98"/>
      <c r="T140" s="99">
        <f t="shared" si="8"/>
        <v>0</v>
      </c>
      <c r="U140" s="100"/>
      <c r="V140" s="1"/>
      <c r="W140" s="1"/>
      <c r="X140" s="1"/>
      <c r="Y140" s="1"/>
      <c r="Z140" s="1"/>
    </row>
    <row r="141" spans="1:26" ht="39.75" customHeight="1">
      <c r="A141" s="171"/>
      <c r="B141" s="171"/>
      <c r="C141" s="171"/>
      <c r="D141" s="5">
        <v>133</v>
      </c>
      <c r="E141" s="5" t="s">
        <v>256</v>
      </c>
      <c r="F141" s="98"/>
      <c r="G141" s="98"/>
      <c r="H141" s="98"/>
      <c r="I141" s="98"/>
      <c r="J141" s="98"/>
      <c r="K141" s="98"/>
      <c r="L141" s="98"/>
      <c r="M141" s="98"/>
      <c r="N141" s="98"/>
      <c r="O141" s="98"/>
      <c r="P141" s="98"/>
      <c r="Q141" s="98"/>
      <c r="R141" s="98"/>
      <c r="S141" s="98"/>
      <c r="T141" s="99">
        <f t="shared" si="8"/>
        <v>0</v>
      </c>
      <c r="U141" s="100"/>
      <c r="V141" s="1"/>
      <c r="W141" s="1"/>
      <c r="X141" s="1"/>
      <c r="Y141" s="1"/>
      <c r="Z141" s="1"/>
    </row>
    <row r="142" spans="1:26" ht="39.75" customHeight="1">
      <c r="A142" s="171"/>
      <c r="B142" s="171"/>
      <c r="C142" s="171"/>
      <c r="D142" s="5">
        <v>134</v>
      </c>
      <c r="E142" s="5" t="s">
        <v>257</v>
      </c>
      <c r="F142" s="98"/>
      <c r="G142" s="98"/>
      <c r="H142" s="98"/>
      <c r="I142" s="98"/>
      <c r="J142" s="98"/>
      <c r="K142" s="98"/>
      <c r="L142" s="98"/>
      <c r="M142" s="98"/>
      <c r="N142" s="98"/>
      <c r="O142" s="98"/>
      <c r="P142" s="99">
        <f>(85*0.005*12)+(85*0.0025*12)+(18*4*0.1)</f>
        <v>14.85</v>
      </c>
      <c r="Q142" s="98"/>
      <c r="R142" s="98"/>
      <c r="S142" s="98"/>
      <c r="T142" s="99">
        <f t="shared" si="8"/>
        <v>14.85</v>
      </c>
      <c r="U142" s="100" t="s">
        <v>258</v>
      </c>
      <c r="V142" s="1"/>
      <c r="W142" s="1"/>
      <c r="X142" s="1"/>
      <c r="Y142" s="1"/>
      <c r="Z142" s="1"/>
    </row>
    <row r="143" spans="1:26" ht="39.75" customHeight="1">
      <c r="A143" s="171"/>
      <c r="B143" s="171"/>
      <c r="C143" s="171"/>
      <c r="D143" s="5">
        <v>135</v>
      </c>
      <c r="E143" s="5" t="s">
        <v>259</v>
      </c>
      <c r="F143" s="98"/>
      <c r="G143" s="98"/>
      <c r="H143" s="98"/>
      <c r="I143" s="98"/>
      <c r="J143" s="98"/>
      <c r="K143" s="98"/>
      <c r="L143" s="98"/>
      <c r="M143" s="98"/>
      <c r="N143" s="98"/>
      <c r="O143" s="98"/>
      <c r="P143" s="98"/>
      <c r="Q143" s="98"/>
      <c r="R143" s="98"/>
      <c r="S143" s="98"/>
      <c r="T143" s="99">
        <f t="shared" si="8"/>
        <v>0</v>
      </c>
      <c r="U143" s="100"/>
      <c r="V143" s="1"/>
      <c r="W143" s="1"/>
      <c r="X143" s="1"/>
      <c r="Y143" s="1"/>
      <c r="Z143" s="1"/>
    </row>
    <row r="144" spans="1:26" ht="39.75" customHeight="1">
      <c r="A144" s="171"/>
      <c r="B144" s="169"/>
      <c r="C144" s="169"/>
      <c r="D144" s="5">
        <v>136</v>
      </c>
      <c r="E144" s="5" t="s">
        <v>260</v>
      </c>
      <c r="F144" s="98"/>
      <c r="G144" s="98"/>
      <c r="H144" s="98"/>
      <c r="I144" s="98"/>
      <c r="J144" s="98"/>
      <c r="K144" s="98"/>
      <c r="L144" s="98"/>
      <c r="M144" s="98"/>
      <c r="N144" s="98"/>
      <c r="O144" s="98"/>
      <c r="P144" s="99"/>
      <c r="Q144" s="98"/>
      <c r="R144" s="98"/>
      <c r="S144" s="98"/>
      <c r="T144" s="99">
        <f t="shared" si="8"/>
        <v>0</v>
      </c>
      <c r="U144" s="101"/>
      <c r="V144" s="1"/>
      <c r="W144" s="1"/>
      <c r="X144" s="1"/>
      <c r="Y144" s="1"/>
      <c r="Z144" s="1"/>
    </row>
    <row r="145" spans="1:26" ht="39.75" customHeight="1">
      <c r="A145" s="171"/>
      <c r="B145" s="168" t="s">
        <v>261</v>
      </c>
      <c r="C145" s="168" t="s">
        <v>262</v>
      </c>
      <c r="D145" s="5">
        <v>137</v>
      </c>
      <c r="E145" s="5" t="s">
        <v>263</v>
      </c>
      <c r="F145" s="98"/>
      <c r="G145" s="98"/>
      <c r="H145" s="98"/>
      <c r="I145" s="98"/>
      <c r="J145" s="98"/>
      <c r="K145" s="98"/>
      <c r="L145" s="98"/>
      <c r="M145" s="99"/>
      <c r="N145" s="98"/>
      <c r="O145" s="98"/>
      <c r="P145" s="99">
        <f>(0.24*18)</f>
        <v>4.32</v>
      </c>
      <c r="Q145" s="98"/>
      <c r="R145" s="98"/>
      <c r="S145" s="98"/>
      <c r="T145" s="99">
        <f t="shared" si="8"/>
        <v>4.32</v>
      </c>
      <c r="U145" s="101" t="s">
        <v>264</v>
      </c>
      <c r="V145" s="1"/>
      <c r="W145" s="1"/>
      <c r="X145" s="1"/>
      <c r="Y145" s="1"/>
      <c r="Z145" s="1"/>
    </row>
    <row r="146" spans="1:26" ht="75" customHeight="1">
      <c r="A146" s="171"/>
      <c r="B146" s="169"/>
      <c r="C146" s="169"/>
      <c r="D146" s="5">
        <v>138</v>
      </c>
      <c r="E146" s="5" t="s">
        <v>265</v>
      </c>
      <c r="F146" s="103"/>
      <c r="G146" s="103"/>
      <c r="H146" s="104"/>
      <c r="I146" s="104"/>
      <c r="J146" s="103"/>
      <c r="K146" s="104"/>
      <c r="L146" s="103"/>
      <c r="M146" s="104">
        <v>0.5</v>
      </c>
      <c r="N146" s="103"/>
      <c r="O146" s="103"/>
      <c r="P146" s="103">
        <v>0.24</v>
      </c>
      <c r="Q146" s="103"/>
      <c r="R146" s="103"/>
      <c r="S146" s="103"/>
      <c r="T146" s="104">
        <f t="shared" si="8"/>
        <v>0.74</v>
      </c>
      <c r="U146" s="105" t="s">
        <v>664</v>
      </c>
      <c r="V146" s="1"/>
      <c r="W146" s="1"/>
      <c r="X146" s="1"/>
      <c r="Y146" s="1"/>
      <c r="Z146" s="1"/>
    </row>
    <row r="147" spans="1:26" ht="83.25" customHeight="1">
      <c r="A147" s="171"/>
      <c r="B147" s="168" t="s">
        <v>266</v>
      </c>
      <c r="C147" s="168" t="s">
        <v>267</v>
      </c>
      <c r="D147" s="5">
        <v>139</v>
      </c>
      <c r="E147" s="5" t="s">
        <v>268</v>
      </c>
      <c r="F147" s="98"/>
      <c r="G147" s="98"/>
      <c r="H147" s="98"/>
      <c r="I147" s="98"/>
      <c r="J147" s="98"/>
      <c r="K147" s="98"/>
      <c r="L147" s="98"/>
      <c r="M147" s="98"/>
      <c r="N147" s="99"/>
      <c r="O147" s="98"/>
      <c r="P147" s="99">
        <v>18</v>
      </c>
      <c r="Q147" s="98"/>
      <c r="R147" s="99">
        <v>1.2</v>
      </c>
      <c r="S147" s="98"/>
      <c r="T147" s="99">
        <f t="shared" si="8"/>
        <v>19.2</v>
      </c>
      <c r="U147" s="101" t="s">
        <v>665</v>
      </c>
      <c r="V147" s="1"/>
      <c r="W147" s="1"/>
      <c r="X147" s="1"/>
      <c r="Y147" s="1"/>
      <c r="Z147" s="1"/>
    </row>
    <row r="148" spans="1:26" ht="81" customHeight="1">
      <c r="A148" s="171"/>
      <c r="B148" s="171"/>
      <c r="C148" s="171"/>
      <c r="D148" s="5">
        <v>140</v>
      </c>
      <c r="E148" s="5" t="s">
        <v>269</v>
      </c>
      <c r="F148" s="98"/>
      <c r="G148" s="98"/>
      <c r="H148" s="98"/>
      <c r="I148" s="98"/>
      <c r="J148" s="98"/>
      <c r="K148" s="98"/>
      <c r="L148" s="98"/>
      <c r="M148" s="98"/>
      <c r="N148" s="98"/>
      <c r="O148" s="98"/>
      <c r="P148" s="99">
        <f>18+( 18* 0.055)+(10*0.08)</f>
        <v>19.79</v>
      </c>
      <c r="Q148" s="98"/>
      <c r="R148" s="98"/>
      <c r="S148" s="98"/>
      <c r="T148" s="99">
        <f t="shared" si="8"/>
        <v>19.79</v>
      </c>
      <c r="U148" s="101" t="s">
        <v>666</v>
      </c>
      <c r="V148" s="1"/>
      <c r="W148" s="1"/>
      <c r="X148" s="1"/>
      <c r="Y148" s="1"/>
      <c r="Z148" s="1"/>
    </row>
    <row r="149" spans="1:26" ht="39.75" customHeight="1">
      <c r="A149" s="171"/>
      <c r="B149" s="169"/>
      <c r="C149" s="169"/>
      <c r="D149" s="5">
        <v>141</v>
      </c>
      <c r="E149" s="5" t="s">
        <v>270</v>
      </c>
      <c r="F149" s="98"/>
      <c r="G149" s="98"/>
      <c r="H149" s="98"/>
      <c r="I149" s="98"/>
      <c r="J149" s="98"/>
      <c r="K149" s="98"/>
      <c r="L149" s="98"/>
      <c r="M149" s="98"/>
      <c r="N149" s="98"/>
      <c r="O149" s="98"/>
      <c r="P149" s="98"/>
      <c r="Q149" s="98"/>
      <c r="R149" s="98"/>
      <c r="S149" s="98"/>
      <c r="T149" s="99">
        <f t="shared" si="8"/>
        <v>0</v>
      </c>
      <c r="U149" s="100"/>
      <c r="V149" s="1"/>
      <c r="W149" s="1"/>
      <c r="X149" s="1"/>
      <c r="Y149" s="1"/>
      <c r="Z149" s="1"/>
    </row>
    <row r="150" spans="1:26" ht="39.75" customHeight="1">
      <c r="A150" s="171"/>
      <c r="B150" s="168" t="s">
        <v>271</v>
      </c>
      <c r="C150" s="168" t="s">
        <v>272</v>
      </c>
      <c r="D150" s="5">
        <v>142</v>
      </c>
      <c r="E150" s="5" t="s">
        <v>273</v>
      </c>
      <c r="F150" s="98"/>
      <c r="G150" s="98"/>
      <c r="H150" s="98"/>
      <c r="I150" s="98"/>
      <c r="J150" s="98"/>
      <c r="K150" s="98"/>
      <c r="L150" s="98"/>
      <c r="M150" s="98"/>
      <c r="N150" s="98"/>
      <c r="O150" s="98"/>
      <c r="P150" s="98"/>
      <c r="Q150" s="98"/>
      <c r="R150" s="98">
        <v>823.22429214000022</v>
      </c>
      <c r="S150" s="98"/>
      <c r="T150" s="99">
        <f t="shared" si="8"/>
        <v>823.22429214000022</v>
      </c>
      <c r="U150" s="100"/>
      <c r="V150" s="1"/>
      <c r="W150" s="1"/>
      <c r="X150" s="1"/>
      <c r="Y150" s="1"/>
      <c r="Z150" s="1"/>
    </row>
    <row r="151" spans="1:26" ht="39.75" customHeight="1">
      <c r="A151" s="171"/>
      <c r="B151" s="171"/>
      <c r="C151" s="171"/>
      <c r="D151" s="5">
        <v>143</v>
      </c>
      <c r="E151" s="5" t="s">
        <v>274</v>
      </c>
      <c r="F151" s="98"/>
      <c r="G151" s="98"/>
      <c r="H151" s="98"/>
      <c r="I151" s="98"/>
      <c r="J151" s="98"/>
      <c r="K151" s="98"/>
      <c r="L151" s="98"/>
      <c r="M151" s="98"/>
      <c r="N151" s="98"/>
      <c r="O151" s="98"/>
      <c r="P151" s="98"/>
      <c r="Q151" s="98"/>
      <c r="R151" s="98"/>
      <c r="S151" s="98"/>
      <c r="T151" s="99">
        <f t="shared" si="8"/>
        <v>0</v>
      </c>
      <c r="U151" s="100"/>
      <c r="V151" s="1"/>
      <c r="W151" s="1"/>
      <c r="X151" s="1"/>
      <c r="Y151" s="1"/>
      <c r="Z151" s="1"/>
    </row>
    <row r="152" spans="1:26" ht="39.75" customHeight="1">
      <c r="A152" s="171"/>
      <c r="B152" s="171"/>
      <c r="C152" s="171"/>
      <c r="D152" s="5">
        <v>144</v>
      </c>
      <c r="E152" s="5" t="s">
        <v>275</v>
      </c>
      <c r="F152" s="98"/>
      <c r="G152" s="98"/>
      <c r="H152" s="98"/>
      <c r="I152" s="98"/>
      <c r="J152" s="98"/>
      <c r="K152" s="98"/>
      <c r="L152" s="98"/>
      <c r="M152" s="98"/>
      <c r="N152" s="98"/>
      <c r="O152" s="98"/>
      <c r="P152" s="98"/>
      <c r="Q152" s="98"/>
      <c r="R152" s="98"/>
      <c r="S152" s="98"/>
      <c r="T152" s="99">
        <f t="shared" si="8"/>
        <v>0</v>
      </c>
      <c r="U152" s="100"/>
      <c r="V152" s="1"/>
      <c r="W152" s="1"/>
      <c r="X152" s="1"/>
      <c r="Y152" s="1"/>
      <c r="Z152" s="1"/>
    </row>
    <row r="153" spans="1:26" ht="39.75" customHeight="1">
      <c r="A153" s="171"/>
      <c r="B153" s="169"/>
      <c r="C153" s="169"/>
      <c r="D153" s="5">
        <v>145</v>
      </c>
      <c r="E153" s="5" t="s">
        <v>276</v>
      </c>
      <c r="F153" s="98"/>
      <c r="G153" s="98"/>
      <c r="H153" s="98"/>
      <c r="I153" s="98"/>
      <c r="J153" s="98"/>
      <c r="K153" s="98"/>
      <c r="L153" s="98"/>
      <c r="M153" s="98"/>
      <c r="N153" s="98"/>
      <c r="O153" s="98"/>
      <c r="P153" s="98"/>
      <c r="Q153" s="98"/>
      <c r="R153" s="98"/>
      <c r="S153" s="98"/>
      <c r="T153" s="99">
        <f t="shared" si="8"/>
        <v>0</v>
      </c>
      <c r="U153" s="100"/>
      <c r="V153" s="1"/>
      <c r="W153" s="1"/>
      <c r="X153" s="1"/>
      <c r="Y153" s="1"/>
      <c r="Z153" s="1"/>
    </row>
    <row r="154" spans="1:26" ht="39.75" customHeight="1">
      <c r="A154" s="171"/>
      <c r="B154" s="5" t="s">
        <v>277</v>
      </c>
      <c r="C154" s="5" t="s">
        <v>278</v>
      </c>
      <c r="D154" s="5">
        <v>146</v>
      </c>
      <c r="E154" s="5" t="s">
        <v>279</v>
      </c>
      <c r="F154" s="98"/>
      <c r="G154" s="98"/>
      <c r="H154" s="98"/>
      <c r="I154" s="98"/>
      <c r="J154" s="98"/>
      <c r="K154" s="98"/>
      <c r="L154" s="98"/>
      <c r="M154" s="98"/>
      <c r="N154" s="98"/>
      <c r="O154" s="98"/>
      <c r="P154" s="98"/>
      <c r="Q154" s="98"/>
      <c r="R154" s="99">
        <v>5.4</v>
      </c>
      <c r="S154" s="98"/>
      <c r="T154" s="99">
        <f t="shared" si="8"/>
        <v>5.4</v>
      </c>
      <c r="U154" s="102" t="s">
        <v>280</v>
      </c>
      <c r="V154" s="1"/>
      <c r="W154" s="1"/>
      <c r="X154" s="1"/>
      <c r="Y154" s="1"/>
      <c r="Z154" s="1"/>
    </row>
    <row r="155" spans="1:26" ht="39.75" customHeight="1">
      <c r="A155" s="171"/>
      <c r="B155" s="5" t="s">
        <v>281</v>
      </c>
      <c r="C155" s="5" t="s">
        <v>282</v>
      </c>
      <c r="D155" s="5">
        <v>147</v>
      </c>
      <c r="E155" s="5" t="s">
        <v>149</v>
      </c>
      <c r="F155" s="98"/>
      <c r="G155" s="98"/>
      <c r="H155" s="98"/>
      <c r="I155" s="98"/>
      <c r="J155" s="98"/>
      <c r="K155" s="98"/>
      <c r="L155" s="98"/>
      <c r="M155" s="98"/>
      <c r="N155" s="98"/>
      <c r="O155" s="98"/>
      <c r="P155" s="98"/>
      <c r="Q155" s="98"/>
      <c r="R155" s="98"/>
      <c r="S155" s="98"/>
      <c r="T155" s="99">
        <f t="shared" si="8"/>
        <v>0</v>
      </c>
      <c r="U155" s="100"/>
      <c r="V155" s="1"/>
      <c r="W155" s="1"/>
      <c r="X155" s="1"/>
      <c r="Y155" s="1"/>
      <c r="Z155" s="1"/>
    </row>
    <row r="156" spans="1:26" ht="39.75" customHeight="1">
      <c r="A156" s="171"/>
      <c r="B156" s="5" t="s">
        <v>283</v>
      </c>
      <c r="C156" s="5" t="s">
        <v>284</v>
      </c>
      <c r="D156" s="5">
        <v>148</v>
      </c>
      <c r="E156" s="5" t="s">
        <v>285</v>
      </c>
      <c r="F156" s="98"/>
      <c r="G156" s="98"/>
      <c r="H156" s="98"/>
      <c r="I156" s="98"/>
      <c r="J156" s="98"/>
      <c r="K156" s="98"/>
      <c r="L156" s="98"/>
      <c r="M156" s="98"/>
      <c r="N156" s="99"/>
      <c r="O156" s="98"/>
      <c r="P156" s="99"/>
      <c r="Q156" s="98"/>
      <c r="R156" s="98"/>
      <c r="S156" s="98"/>
      <c r="T156" s="99">
        <f t="shared" si="8"/>
        <v>0</v>
      </c>
      <c r="U156" s="101"/>
      <c r="V156" s="1"/>
      <c r="W156" s="1"/>
      <c r="X156" s="1"/>
      <c r="Y156" s="1"/>
      <c r="Z156" s="1"/>
    </row>
    <row r="157" spans="1:26" ht="61.5" customHeight="1">
      <c r="A157" s="171"/>
      <c r="B157" s="5" t="s">
        <v>286</v>
      </c>
      <c r="C157" s="5" t="s">
        <v>287</v>
      </c>
      <c r="D157" s="5">
        <v>149</v>
      </c>
      <c r="E157" s="5" t="s">
        <v>288</v>
      </c>
      <c r="F157" s="106"/>
      <c r="G157" s="106"/>
      <c r="H157" s="106"/>
      <c r="I157" s="106"/>
      <c r="J157" s="106"/>
      <c r="K157" s="106"/>
      <c r="L157" s="106"/>
      <c r="M157" s="106"/>
      <c r="N157" s="106"/>
      <c r="O157" s="106"/>
      <c r="P157" s="99">
        <f>(18*1.75)+(2.5*1)+(0.05*399)</f>
        <v>53.95</v>
      </c>
      <c r="Q157" s="106"/>
      <c r="R157" s="106"/>
      <c r="S157" s="106"/>
      <c r="T157" s="99">
        <f t="shared" si="8"/>
        <v>53.95</v>
      </c>
      <c r="U157" s="101"/>
      <c r="V157" s="1"/>
      <c r="W157" s="1"/>
      <c r="X157" s="1"/>
      <c r="Y157" s="1"/>
      <c r="Z157" s="1"/>
    </row>
    <row r="158" spans="1:26" ht="39.75" customHeight="1">
      <c r="A158" s="169"/>
      <c r="B158" s="176" t="s">
        <v>289</v>
      </c>
      <c r="C158" s="177"/>
      <c r="D158" s="178"/>
      <c r="E158" s="51"/>
      <c r="F158" s="107">
        <f t="shared" ref="F158:K158" si="9">SUM(F135:F157)</f>
        <v>0</v>
      </c>
      <c r="G158" s="107">
        <f t="shared" si="9"/>
        <v>0</v>
      </c>
      <c r="H158" s="107">
        <f t="shared" si="9"/>
        <v>0</v>
      </c>
      <c r="I158" s="107">
        <f t="shared" si="9"/>
        <v>0</v>
      </c>
      <c r="J158" s="107">
        <f t="shared" si="9"/>
        <v>0</v>
      </c>
      <c r="K158" s="107">
        <f t="shared" si="9"/>
        <v>0</v>
      </c>
      <c r="L158" s="107">
        <f>SUM(L135:L157)</f>
        <v>0</v>
      </c>
      <c r="M158" s="107">
        <f t="shared" ref="M158:S158" si="10">SUM(M135:M157)</f>
        <v>0.5</v>
      </c>
      <c r="N158" s="107">
        <f t="shared" si="10"/>
        <v>3.99</v>
      </c>
      <c r="O158" s="107">
        <f t="shared" si="10"/>
        <v>0</v>
      </c>
      <c r="P158" s="107">
        <f t="shared" si="10"/>
        <v>111.15</v>
      </c>
      <c r="Q158" s="107">
        <f t="shared" si="10"/>
        <v>15.3</v>
      </c>
      <c r="R158" s="107">
        <f t="shared" si="10"/>
        <v>829.82429214000024</v>
      </c>
      <c r="S158" s="107">
        <f t="shared" si="10"/>
        <v>0</v>
      </c>
      <c r="T158" s="108">
        <f>SUM(T135:T157)</f>
        <v>960.76429214000029</v>
      </c>
      <c r="U158" s="109"/>
      <c r="V158" s="29"/>
      <c r="W158" s="29"/>
      <c r="X158" s="29"/>
      <c r="Y158" s="29"/>
      <c r="Z158" s="29"/>
    </row>
    <row r="159" spans="1:26" ht="244.5" customHeight="1">
      <c r="A159" s="175" t="s">
        <v>290</v>
      </c>
      <c r="B159" s="168" t="s">
        <v>291</v>
      </c>
      <c r="C159" s="168" t="s">
        <v>247</v>
      </c>
      <c r="D159" s="5">
        <v>150</v>
      </c>
      <c r="E159" s="5" t="s">
        <v>292</v>
      </c>
      <c r="F159" s="5"/>
      <c r="G159" s="8">
        <v>640.5</v>
      </c>
      <c r="H159" s="8">
        <v>854</v>
      </c>
      <c r="I159" s="5"/>
      <c r="J159" s="5"/>
      <c r="K159" s="5"/>
      <c r="L159" s="5"/>
      <c r="M159" s="5"/>
      <c r="N159" s="6">
        <v>2.5</v>
      </c>
      <c r="O159" s="5"/>
      <c r="P159" s="8"/>
      <c r="Q159" s="5"/>
      <c r="R159" s="5"/>
      <c r="S159" s="5"/>
      <c r="T159" s="6">
        <f t="shared" si="7"/>
        <v>1497</v>
      </c>
      <c r="U159" s="62" t="s">
        <v>293</v>
      </c>
      <c r="V159" s="1"/>
      <c r="W159" s="1"/>
      <c r="X159" s="1"/>
      <c r="Y159" s="1"/>
      <c r="Z159" s="1"/>
    </row>
    <row r="160" spans="1:26" ht="70.5" customHeight="1">
      <c r="A160" s="171"/>
      <c r="B160" s="171"/>
      <c r="C160" s="171"/>
      <c r="D160" s="5">
        <v>151</v>
      </c>
      <c r="E160" s="5" t="s">
        <v>294</v>
      </c>
      <c r="F160" s="5"/>
      <c r="G160" s="8"/>
      <c r="H160" s="8"/>
      <c r="I160" s="6"/>
      <c r="J160" s="5"/>
      <c r="K160" s="5"/>
      <c r="L160" s="5"/>
      <c r="M160" s="5"/>
      <c r="N160" s="6"/>
      <c r="O160" s="8"/>
      <c r="P160" s="8"/>
      <c r="Q160" s="6"/>
      <c r="R160" s="8">
        <v>6</v>
      </c>
      <c r="S160" s="5"/>
      <c r="T160" s="6">
        <f t="shared" si="7"/>
        <v>6</v>
      </c>
      <c r="U160" s="9" t="s">
        <v>640</v>
      </c>
      <c r="V160" s="1"/>
      <c r="W160" s="1"/>
      <c r="X160" s="1"/>
      <c r="Y160" s="1"/>
      <c r="Z160" s="1"/>
    </row>
    <row r="161" spans="1:26" ht="76.5" customHeight="1">
      <c r="A161" s="171"/>
      <c r="B161" s="171"/>
      <c r="C161" s="171"/>
      <c r="D161" s="5">
        <v>152</v>
      </c>
      <c r="E161" s="5" t="s">
        <v>295</v>
      </c>
      <c r="F161" s="5"/>
      <c r="G161" s="5"/>
      <c r="H161" s="5"/>
      <c r="I161" s="5"/>
      <c r="J161" s="5"/>
      <c r="K161" s="5"/>
      <c r="L161" s="5"/>
      <c r="M161" s="5"/>
      <c r="N161" s="5"/>
      <c r="O161" s="5"/>
      <c r="P161" s="8">
        <v>15</v>
      </c>
      <c r="Q161" s="5"/>
      <c r="R161" s="5"/>
      <c r="S161" s="5"/>
      <c r="T161" s="6">
        <f t="shared" si="7"/>
        <v>15</v>
      </c>
      <c r="U161" s="9" t="s">
        <v>296</v>
      </c>
      <c r="V161" s="1"/>
      <c r="W161" s="1"/>
      <c r="X161" s="1"/>
      <c r="Y161" s="1"/>
      <c r="Z161" s="1"/>
    </row>
    <row r="162" spans="1:26" ht="39.75" customHeight="1">
      <c r="A162" s="171"/>
      <c r="B162" s="179"/>
      <c r="C162" s="179"/>
      <c r="D162" s="5">
        <v>153</v>
      </c>
      <c r="E162" s="5" t="s">
        <v>297</v>
      </c>
      <c r="F162" s="24"/>
      <c r="G162" s="24"/>
      <c r="H162" s="24"/>
      <c r="I162" s="24"/>
      <c r="J162" s="24"/>
      <c r="K162" s="24"/>
      <c r="L162" s="24"/>
      <c r="M162" s="24"/>
      <c r="N162" s="6"/>
      <c r="O162" s="24"/>
      <c r="P162" s="24"/>
      <c r="Q162" s="24"/>
      <c r="R162" s="24"/>
      <c r="S162" s="24"/>
      <c r="T162" s="6">
        <f t="shared" si="7"/>
        <v>0</v>
      </c>
      <c r="U162" s="9"/>
      <c r="V162" s="1"/>
      <c r="W162" s="1"/>
      <c r="X162" s="1"/>
      <c r="Y162" s="1"/>
      <c r="Z162" s="1"/>
    </row>
    <row r="163" spans="1:26" ht="39.75" customHeight="1">
      <c r="A163" s="171"/>
      <c r="B163" s="168" t="s">
        <v>299</v>
      </c>
      <c r="C163" s="168" t="s">
        <v>300</v>
      </c>
      <c r="D163" s="5">
        <v>154</v>
      </c>
      <c r="E163" s="5" t="s">
        <v>301</v>
      </c>
      <c r="F163" s="5"/>
      <c r="G163" s="5"/>
      <c r="H163" s="5"/>
      <c r="I163" s="5"/>
      <c r="J163" s="5"/>
      <c r="K163" s="6"/>
      <c r="L163" s="5"/>
      <c r="M163" s="6"/>
      <c r="N163" s="5"/>
      <c r="O163" s="5"/>
      <c r="P163" s="5"/>
      <c r="Q163" s="8"/>
      <c r="R163" s="5"/>
      <c r="S163" s="5"/>
      <c r="T163" s="6">
        <f t="shared" si="7"/>
        <v>0</v>
      </c>
      <c r="U163" s="9"/>
      <c r="V163" s="1"/>
      <c r="W163" s="1"/>
      <c r="X163" s="1"/>
      <c r="Y163" s="1"/>
      <c r="Z163" s="1"/>
    </row>
    <row r="164" spans="1:26" ht="39.75" customHeight="1">
      <c r="A164" s="171"/>
      <c r="B164" s="171"/>
      <c r="C164" s="171"/>
      <c r="D164" s="5">
        <v>155</v>
      </c>
      <c r="E164" s="5" t="s">
        <v>302</v>
      </c>
      <c r="F164" s="5"/>
      <c r="G164" s="5"/>
      <c r="H164" s="5"/>
      <c r="I164" s="5"/>
      <c r="J164" s="5"/>
      <c r="K164" s="5"/>
      <c r="L164" s="5"/>
      <c r="M164" s="5"/>
      <c r="N164" s="5"/>
      <c r="O164" s="5"/>
      <c r="P164" s="8"/>
      <c r="Q164" s="5"/>
      <c r="R164" s="5"/>
      <c r="S164" s="5"/>
      <c r="T164" s="6">
        <f t="shared" si="7"/>
        <v>0</v>
      </c>
      <c r="U164" s="9"/>
      <c r="V164" s="1"/>
      <c r="W164" s="1"/>
      <c r="X164" s="1"/>
      <c r="Y164" s="1"/>
      <c r="Z164" s="1"/>
    </row>
    <row r="165" spans="1:26" ht="39.75" customHeight="1">
      <c r="A165" s="171"/>
      <c r="B165" s="171"/>
      <c r="C165" s="171"/>
      <c r="D165" s="5">
        <v>156</v>
      </c>
      <c r="E165" s="5" t="s">
        <v>303</v>
      </c>
      <c r="F165" s="5"/>
      <c r="G165" s="5"/>
      <c r="H165" s="8"/>
      <c r="I165" s="6"/>
      <c r="J165" s="5"/>
      <c r="K165" s="5"/>
      <c r="L165" s="5"/>
      <c r="M165" s="5"/>
      <c r="N165" s="5"/>
      <c r="O165" s="5"/>
      <c r="P165" s="8">
        <v>2.1</v>
      </c>
      <c r="Q165" s="5"/>
      <c r="R165" s="5"/>
      <c r="S165" s="5"/>
      <c r="T165" s="6">
        <f t="shared" si="7"/>
        <v>2.1</v>
      </c>
      <c r="U165" s="9" t="s">
        <v>65</v>
      </c>
      <c r="V165" s="1"/>
      <c r="W165" s="1"/>
      <c r="X165" s="1"/>
      <c r="Y165" s="1"/>
      <c r="Z165" s="1"/>
    </row>
    <row r="166" spans="1:26" ht="39.75" customHeight="1">
      <c r="A166" s="171"/>
      <c r="B166" s="171"/>
      <c r="C166" s="171"/>
      <c r="D166" s="5">
        <v>157</v>
      </c>
      <c r="E166" s="5" t="s">
        <v>304</v>
      </c>
      <c r="F166" s="5"/>
      <c r="G166" s="5"/>
      <c r="H166" s="5"/>
      <c r="I166" s="5"/>
      <c r="J166" s="5"/>
      <c r="K166" s="5"/>
      <c r="L166" s="5"/>
      <c r="M166" s="5"/>
      <c r="N166" s="5"/>
      <c r="O166" s="5"/>
      <c r="P166" s="5"/>
      <c r="Q166" s="5"/>
      <c r="R166" s="5"/>
      <c r="S166" s="5"/>
      <c r="T166" s="6">
        <f t="shared" si="7"/>
        <v>0</v>
      </c>
      <c r="U166" s="9"/>
      <c r="V166" s="1"/>
      <c r="W166" s="1"/>
      <c r="X166" s="1"/>
      <c r="Y166" s="1"/>
      <c r="Z166" s="1"/>
    </row>
    <row r="167" spans="1:26" ht="39.75" customHeight="1">
      <c r="A167" s="171"/>
      <c r="B167" s="169"/>
      <c r="C167" s="169"/>
      <c r="D167" s="5">
        <v>158</v>
      </c>
      <c r="E167" s="5" t="s">
        <v>305</v>
      </c>
      <c r="F167" s="5"/>
      <c r="G167" s="5"/>
      <c r="H167" s="5"/>
      <c r="I167" s="5"/>
      <c r="J167" s="5"/>
      <c r="K167" s="5"/>
      <c r="L167" s="5"/>
      <c r="M167" s="5"/>
      <c r="N167" s="5"/>
      <c r="O167" s="5"/>
      <c r="P167" s="5"/>
      <c r="Q167" s="6"/>
      <c r="R167" s="5"/>
      <c r="S167" s="5"/>
      <c r="T167" s="6">
        <f t="shared" si="7"/>
        <v>0</v>
      </c>
      <c r="U167" s="9"/>
      <c r="V167" s="1"/>
      <c r="W167" s="1"/>
      <c r="X167" s="1"/>
      <c r="Y167" s="1"/>
      <c r="Z167" s="1"/>
    </row>
    <row r="168" spans="1:26" ht="135">
      <c r="A168" s="171"/>
      <c r="B168" s="168" t="s">
        <v>306</v>
      </c>
      <c r="C168" s="168" t="s">
        <v>252</v>
      </c>
      <c r="D168" s="5">
        <v>159</v>
      </c>
      <c r="E168" s="5" t="s">
        <v>253</v>
      </c>
      <c r="F168" s="5"/>
      <c r="G168" s="5"/>
      <c r="H168" s="5"/>
      <c r="I168" s="5"/>
      <c r="J168" s="5"/>
      <c r="K168" s="6"/>
      <c r="L168" s="5"/>
      <c r="M168" s="5"/>
      <c r="N168" s="8">
        <v>37.69</v>
      </c>
      <c r="O168" s="8">
        <v>690.62</v>
      </c>
      <c r="P168" s="8">
        <v>68.849999999999994</v>
      </c>
      <c r="Q168" s="6">
        <v>3.62</v>
      </c>
      <c r="R168" s="5"/>
      <c r="S168" s="5"/>
      <c r="T168" s="6">
        <f t="shared" si="7"/>
        <v>800.78</v>
      </c>
      <c r="U168" s="9" t="s">
        <v>307</v>
      </c>
      <c r="V168" s="1"/>
      <c r="W168" s="1"/>
      <c r="X168" s="1"/>
      <c r="Y168" s="1"/>
      <c r="Z168" s="1"/>
    </row>
    <row r="169" spans="1:26" ht="39.75" customHeight="1">
      <c r="A169" s="171"/>
      <c r="B169" s="171"/>
      <c r="C169" s="171"/>
      <c r="D169" s="5">
        <v>160</v>
      </c>
      <c r="E169" s="5" t="s">
        <v>308</v>
      </c>
      <c r="F169" s="5"/>
      <c r="G169" s="5"/>
      <c r="H169" s="5"/>
      <c r="I169" s="5"/>
      <c r="J169" s="5"/>
      <c r="K169" s="5"/>
      <c r="L169" s="5"/>
      <c r="M169" s="5"/>
      <c r="N169" s="5"/>
      <c r="O169" s="5"/>
      <c r="P169" s="5"/>
      <c r="Q169" s="5"/>
      <c r="R169" s="5"/>
      <c r="S169" s="5"/>
      <c r="T169" s="6">
        <f t="shared" si="7"/>
        <v>0</v>
      </c>
      <c r="U169" s="9"/>
      <c r="V169" s="1"/>
      <c r="W169" s="1"/>
      <c r="X169" s="1"/>
      <c r="Y169" s="1"/>
      <c r="Z169" s="1"/>
    </row>
    <row r="170" spans="1:26" ht="39.75" customHeight="1">
      <c r="A170" s="171"/>
      <c r="B170" s="171"/>
      <c r="C170" s="171"/>
      <c r="D170" s="5">
        <v>161</v>
      </c>
      <c r="E170" s="5" t="s">
        <v>255</v>
      </c>
      <c r="F170" s="5"/>
      <c r="G170" s="5"/>
      <c r="H170" s="5"/>
      <c r="I170" s="5"/>
      <c r="J170" s="5"/>
      <c r="K170" s="5"/>
      <c r="L170" s="5"/>
      <c r="M170" s="5"/>
      <c r="N170" s="5"/>
      <c r="O170" s="5"/>
      <c r="P170" s="5"/>
      <c r="Q170" s="5"/>
      <c r="R170" s="5"/>
      <c r="S170" s="5"/>
      <c r="T170" s="6">
        <f t="shared" si="7"/>
        <v>0</v>
      </c>
      <c r="U170" s="9"/>
      <c r="V170" s="1"/>
      <c r="W170" s="1"/>
      <c r="X170" s="1"/>
      <c r="Y170" s="1"/>
      <c r="Z170" s="1"/>
    </row>
    <row r="171" spans="1:26" ht="39.75" customHeight="1">
      <c r="A171" s="171"/>
      <c r="B171" s="171"/>
      <c r="C171" s="171"/>
      <c r="D171" s="5">
        <v>162</v>
      </c>
      <c r="E171" s="5" t="s">
        <v>256</v>
      </c>
      <c r="F171" s="5"/>
      <c r="G171" s="5"/>
      <c r="H171" s="5"/>
      <c r="I171" s="5"/>
      <c r="J171" s="5"/>
      <c r="K171" s="5"/>
      <c r="L171" s="5"/>
      <c r="M171" s="5"/>
      <c r="N171" s="5"/>
      <c r="O171" s="5"/>
      <c r="P171" s="5"/>
      <c r="Q171" s="5"/>
      <c r="R171" s="5"/>
      <c r="S171" s="5"/>
      <c r="T171" s="6">
        <f t="shared" si="7"/>
        <v>0</v>
      </c>
      <c r="U171" s="9"/>
      <c r="V171" s="1"/>
      <c r="W171" s="1"/>
      <c r="X171" s="1"/>
      <c r="Y171" s="1"/>
      <c r="Z171" s="1"/>
    </row>
    <row r="172" spans="1:26" ht="39.75" customHeight="1">
      <c r="A172" s="171"/>
      <c r="B172" s="169"/>
      <c r="C172" s="169"/>
      <c r="D172" s="5">
        <v>163</v>
      </c>
      <c r="E172" s="5" t="s">
        <v>309</v>
      </c>
      <c r="F172" s="5"/>
      <c r="G172" s="5"/>
      <c r="H172" s="5"/>
      <c r="I172" s="5"/>
      <c r="J172" s="5"/>
      <c r="K172" s="5"/>
      <c r="L172" s="5"/>
      <c r="M172" s="5"/>
      <c r="N172" s="5"/>
      <c r="O172" s="8"/>
      <c r="P172" s="8">
        <v>2.4</v>
      </c>
      <c r="Q172" s="6">
        <v>21</v>
      </c>
      <c r="R172" s="5"/>
      <c r="S172" s="5"/>
      <c r="T172" s="6">
        <f t="shared" si="7"/>
        <v>23.4</v>
      </c>
      <c r="U172" s="9" t="s">
        <v>310</v>
      </c>
      <c r="V172" s="1"/>
      <c r="W172" s="1"/>
      <c r="X172" s="1"/>
      <c r="Y172" s="1"/>
      <c r="Z172" s="1"/>
    </row>
    <row r="173" spans="1:26" ht="39.75" customHeight="1">
      <c r="A173" s="171"/>
      <c r="B173" s="168" t="s">
        <v>311</v>
      </c>
      <c r="C173" s="168" t="s">
        <v>312</v>
      </c>
      <c r="D173" s="5">
        <v>164</v>
      </c>
      <c r="E173" s="5" t="s">
        <v>313</v>
      </c>
      <c r="F173" s="5"/>
      <c r="G173" s="8"/>
      <c r="H173" s="8"/>
      <c r="I173" s="5"/>
      <c r="J173" s="5"/>
      <c r="K173" s="5"/>
      <c r="L173" s="5"/>
      <c r="M173" s="5"/>
      <c r="N173" s="5"/>
      <c r="O173" s="5"/>
      <c r="P173" s="5"/>
      <c r="Q173" s="5"/>
      <c r="R173" s="5"/>
      <c r="S173" s="5"/>
      <c r="T173" s="6">
        <f t="shared" si="7"/>
        <v>0</v>
      </c>
      <c r="U173" s="9"/>
      <c r="V173" s="1"/>
      <c r="W173" s="1"/>
      <c r="X173" s="1"/>
      <c r="Y173" s="1"/>
      <c r="Z173" s="1"/>
    </row>
    <row r="174" spans="1:26" ht="39.75" customHeight="1">
      <c r="A174" s="171"/>
      <c r="B174" s="171"/>
      <c r="C174" s="171"/>
      <c r="D174" s="5">
        <v>165</v>
      </c>
      <c r="E174" s="5" t="s">
        <v>314</v>
      </c>
      <c r="F174" s="5"/>
      <c r="G174" s="8"/>
      <c r="H174" s="8"/>
      <c r="I174" s="5"/>
      <c r="J174" s="5"/>
      <c r="K174" s="5"/>
      <c r="L174" s="5"/>
      <c r="M174" s="5"/>
      <c r="N174" s="5"/>
      <c r="O174" s="5"/>
      <c r="P174" s="5"/>
      <c r="Q174" s="5"/>
      <c r="R174" s="5"/>
      <c r="S174" s="5"/>
      <c r="T174" s="6">
        <f t="shared" si="7"/>
        <v>0</v>
      </c>
      <c r="U174" s="9"/>
      <c r="V174" s="1"/>
      <c r="W174" s="1"/>
      <c r="X174" s="1"/>
      <c r="Y174" s="1"/>
      <c r="Z174" s="1"/>
    </row>
    <row r="175" spans="1:26" ht="39.75" customHeight="1">
      <c r="A175" s="171"/>
      <c r="B175" s="171"/>
      <c r="C175" s="171"/>
      <c r="D175" s="5">
        <v>166</v>
      </c>
      <c r="E175" s="5" t="s">
        <v>315</v>
      </c>
      <c r="F175" s="5"/>
      <c r="G175" s="8"/>
      <c r="H175" s="8"/>
      <c r="I175" s="5"/>
      <c r="J175" s="5"/>
      <c r="K175" s="5"/>
      <c r="L175" s="5"/>
      <c r="M175" s="5"/>
      <c r="N175" s="5"/>
      <c r="O175" s="5"/>
      <c r="P175" s="5"/>
      <c r="Q175" s="5"/>
      <c r="R175" s="5"/>
      <c r="S175" s="5"/>
      <c r="T175" s="6">
        <f t="shared" si="7"/>
        <v>0</v>
      </c>
      <c r="U175" s="9"/>
      <c r="V175" s="1"/>
      <c r="W175" s="1"/>
      <c r="X175" s="1"/>
      <c r="Y175" s="1"/>
      <c r="Z175" s="1"/>
    </row>
    <row r="176" spans="1:26" ht="39.75" customHeight="1">
      <c r="A176" s="171"/>
      <c r="B176" s="171"/>
      <c r="C176" s="171"/>
      <c r="D176" s="5">
        <v>167</v>
      </c>
      <c r="E176" s="5" t="s">
        <v>316</v>
      </c>
      <c r="F176" s="5"/>
      <c r="G176" s="8"/>
      <c r="H176" s="8"/>
      <c r="I176" s="5"/>
      <c r="J176" s="5"/>
      <c r="K176" s="5"/>
      <c r="L176" s="5"/>
      <c r="M176" s="5"/>
      <c r="N176" s="5"/>
      <c r="O176" s="5"/>
      <c r="P176" s="5"/>
      <c r="Q176" s="5"/>
      <c r="R176" s="5"/>
      <c r="S176" s="5"/>
      <c r="T176" s="6">
        <f t="shared" si="7"/>
        <v>0</v>
      </c>
      <c r="U176" s="9"/>
      <c r="V176" s="1"/>
      <c r="W176" s="1"/>
      <c r="X176" s="1"/>
      <c r="Y176" s="1"/>
      <c r="Z176" s="1"/>
    </row>
    <row r="177" spans="1:26" ht="39.75" customHeight="1">
      <c r="A177" s="171"/>
      <c r="B177" s="171"/>
      <c r="C177" s="171"/>
      <c r="D177" s="5">
        <v>168</v>
      </c>
      <c r="E177" s="5" t="s">
        <v>317</v>
      </c>
      <c r="F177" s="5"/>
      <c r="G177" s="8"/>
      <c r="H177" s="8"/>
      <c r="I177" s="5"/>
      <c r="J177" s="5"/>
      <c r="K177" s="5"/>
      <c r="L177" s="5"/>
      <c r="M177" s="5"/>
      <c r="N177" s="5"/>
      <c r="O177" s="5"/>
      <c r="P177" s="5"/>
      <c r="Q177" s="5"/>
      <c r="R177" s="5"/>
      <c r="S177" s="5"/>
      <c r="T177" s="6">
        <f t="shared" si="7"/>
        <v>0</v>
      </c>
      <c r="U177" s="9"/>
      <c r="V177" s="1"/>
      <c r="W177" s="1"/>
      <c r="X177" s="1"/>
      <c r="Y177" s="1"/>
      <c r="Z177" s="1"/>
    </row>
    <row r="178" spans="1:26" ht="39.75" customHeight="1">
      <c r="A178" s="171"/>
      <c r="B178" s="171"/>
      <c r="C178" s="171"/>
      <c r="D178" s="5">
        <v>169</v>
      </c>
      <c r="E178" s="5" t="s">
        <v>318</v>
      </c>
      <c r="F178" s="5"/>
      <c r="G178" s="8"/>
      <c r="H178" s="8"/>
      <c r="I178" s="6"/>
      <c r="J178" s="5"/>
      <c r="K178" s="5"/>
      <c r="L178" s="5"/>
      <c r="M178" s="5"/>
      <c r="N178" s="5"/>
      <c r="O178" s="5"/>
      <c r="P178" s="5"/>
      <c r="Q178" s="5"/>
      <c r="R178" s="5"/>
      <c r="S178" s="5"/>
      <c r="T178" s="6">
        <f t="shared" si="7"/>
        <v>0</v>
      </c>
      <c r="U178" s="9"/>
      <c r="V178" s="1"/>
      <c r="W178" s="1"/>
      <c r="X178" s="1"/>
      <c r="Y178" s="1"/>
      <c r="Z178" s="1"/>
    </row>
    <row r="179" spans="1:26" ht="39.75" customHeight="1">
      <c r="A179" s="171"/>
      <c r="B179" s="169"/>
      <c r="C179" s="169"/>
      <c r="D179" s="5">
        <v>170</v>
      </c>
      <c r="E179" s="5" t="s">
        <v>319</v>
      </c>
      <c r="F179" s="5"/>
      <c r="G179" s="5"/>
      <c r="H179" s="5"/>
      <c r="I179" s="5"/>
      <c r="J179" s="5"/>
      <c r="K179" s="5"/>
      <c r="L179" s="5"/>
      <c r="M179" s="5"/>
      <c r="N179" s="5"/>
      <c r="O179" s="5"/>
      <c r="P179" s="5"/>
      <c r="Q179" s="5"/>
      <c r="R179" s="5"/>
      <c r="S179" s="5"/>
      <c r="T179" s="6">
        <f t="shared" si="7"/>
        <v>0</v>
      </c>
      <c r="U179" s="9"/>
      <c r="V179" s="1"/>
      <c r="W179" s="1"/>
      <c r="X179" s="1"/>
      <c r="Y179" s="1"/>
      <c r="Z179" s="1"/>
    </row>
    <row r="180" spans="1:26" ht="39.75" customHeight="1">
      <c r="A180" s="171"/>
      <c r="B180" s="168" t="s">
        <v>320</v>
      </c>
      <c r="C180" s="168" t="s">
        <v>321</v>
      </c>
      <c r="D180" s="5">
        <v>171</v>
      </c>
      <c r="E180" s="5" t="s">
        <v>322</v>
      </c>
      <c r="F180" s="5"/>
      <c r="G180" s="5"/>
      <c r="H180" s="5"/>
      <c r="I180" s="5"/>
      <c r="J180" s="5"/>
      <c r="K180" s="5"/>
      <c r="L180" s="5"/>
      <c r="M180" s="5"/>
      <c r="N180" s="5"/>
      <c r="O180" s="5"/>
      <c r="P180" s="5"/>
      <c r="Q180" s="5"/>
      <c r="R180" s="5"/>
      <c r="S180" s="5"/>
      <c r="T180" s="6">
        <f t="shared" si="7"/>
        <v>0</v>
      </c>
      <c r="U180" s="9"/>
      <c r="V180" s="1"/>
      <c r="W180" s="1"/>
      <c r="X180" s="1"/>
      <c r="Y180" s="1"/>
      <c r="Z180" s="1"/>
    </row>
    <row r="181" spans="1:26" ht="39.75" customHeight="1">
      <c r="A181" s="171"/>
      <c r="B181" s="171"/>
      <c r="C181" s="171"/>
      <c r="D181" s="5">
        <v>172</v>
      </c>
      <c r="E181" s="5" t="s">
        <v>323</v>
      </c>
      <c r="F181" s="5"/>
      <c r="G181" s="5"/>
      <c r="H181" s="5"/>
      <c r="I181" s="5"/>
      <c r="J181" s="5"/>
      <c r="K181" s="5"/>
      <c r="L181" s="5"/>
      <c r="M181" s="5"/>
      <c r="N181" s="5"/>
      <c r="O181" s="5"/>
      <c r="P181" s="6"/>
      <c r="Q181" s="5"/>
      <c r="R181" s="5"/>
      <c r="S181" s="5"/>
      <c r="T181" s="6">
        <f t="shared" si="7"/>
        <v>0</v>
      </c>
      <c r="U181" s="9"/>
      <c r="V181" s="1"/>
      <c r="W181" s="1"/>
      <c r="X181" s="1"/>
      <c r="Y181" s="1"/>
      <c r="Z181" s="1"/>
    </row>
    <row r="182" spans="1:26" ht="39.75" customHeight="1">
      <c r="A182" s="171"/>
      <c r="B182" s="171"/>
      <c r="C182" s="171"/>
      <c r="D182" s="5">
        <v>173</v>
      </c>
      <c r="E182" s="5" t="s">
        <v>324</v>
      </c>
      <c r="F182" s="5"/>
      <c r="G182" s="5"/>
      <c r="H182" s="5"/>
      <c r="I182" s="5"/>
      <c r="J182" s="5"/>
      <c r="K182" s="5"/>
      <c r="L182" s="5"/>
      <c r="M182" s="5"/>
      <c r="N182" s="5"/>
      <c r="O182" s="5"/>
      <c r="P182" s="5"/>
      <c r="Q182" s="5"/>
      <c r="R182" s="5"/>
      <c r="S182" s="5"/>
      <c r="T182" s="6">
        <f t="shared" si="7"/>
        <v>0</v>
      </c>
      <c r="U182" s="9"/>
      <c r="V182" s="1"/>
      <c r="W182" s="1"/>
      <c r="X182" s="1"/>
      <c r="Y182" s="1"/>
      <c r="Z182" s="1"/>
    </row>
    <row r="183" spans="1:26" ht="39.75" customHeight="1">
      <c r="A183" s="171"/>
      <c r="B183" s="169"/>
      <c r="C183" s="169"/>
      <c r="D183" s="5">
        <v>174</v>
      </c>
      <c r="E183" s="5" t="s">
        <v>325</v>
      </c>
      <c r="F183" s="5"/>
      <c r="G183" s="5"/>
      <c r="H183" s="5"/>
      <c r="I183" s="5"/>
      <c r="J183" s="5"/>
      <c r="K183" s="5"/>
      <c r="L183" s="5"/>
      <c r="M183" s="5"/>
      <c r="N183" s="5"/>
      <c r="O183" s="5"/>
      <c r="P183" s="6"/>
      <c r="Q183" s="5"/>
      <c r="R183" s="5"/>
      <c r="S183" s="5"/>
      <c r="T183" s="6">
        <f t="shared" si="7"/>
        <v>0</v>
      </c>
      <c r="U183" s="9"/>
      <c r="V183" s="1"/>
      <c r="W183" s="1"/>
      <c r="X183" s="1"/>
      <c r="Y183" s="1"/>
      <c r="Z183" s="1"/>
    </row>
    <row r="184" spans="1:26" ht="287.25" customHeight="1">
      <c r="A184" s="171"/>
      <c r="B184" s="168" t="s">
        <v>326</v>
      </c>
      <c r="C184" s="168" t="s">
        <v>267</v>
      </c>
      <c r="D184" s="5">
        <v>175</v>
      </c>
      <c r="E184" s="5" t="s">
        <v>268</v>
      </c>
      <c r="F184" s="134"/>
      <c r="G184" s="134"/>
      <c r="H184" s="134"/>
      <c r="I184" s="135">
        <v>12.1</v>
      </c>
      <c r="J184" s="134"/>
      <c r="K184" s="134"/>
      <c r="L184" s="134"/>
      <c r="M184" s="134"/>
      <c r="N184" s="136">
        <v>11.96</v>
      </c>
      <c r="O184" s="134"/>
      <c r="P184" s="135">
        <v>4</v>
      </c>
      <c r="Q184" s="137">
        <v>4.2857000000000003</v>
      </c>
      <c r="R184" s="135">
        <f>0.504+0.252</f>
        <v>0.75600000000000001</v>
      </c>
      <c r="S184" s="135"/>
      <c r="T184" s="136">
        <f t="shared" ref="T184:T186" si="11">SUM(F184:S184)</f>
        <v>33.101700000000001</v>
      </c>
      <c r="U184" s="138" t="s">
        <v>837</v>
      </c>
      <c r="V184" s="1"/>
      <c r="W184" s="1"/>
      <c r="X184" s="1"/>
      <c r="Y184" s="1"/>
      <c r="Z184" s="1"/>
    </row>
    <row r="185" spans="1:26" ht="254.25" customHeight="1">
      <c r="A185" s="171"/>
      <c r="B185" s="171"/>
      <c r="C185" s="171"/>
      <c r="D185" s="5">
        <v>176</v>
      </c>
      <c r="E185" s="5" t="s">
        <v>269</v>
      </c>
      <c r="F185" s="134"/>
      <c r="G185" s="134"/>
      <c r="H185" s="134"/>
      <c r="I185" s="134"/>
      <c r="J185" s="134"/>
      <c r="K185" s="134"/>
      <c r="L185" s="134"/>
      <c r="M185" s="135">
        <v>37</v>
      </c>
      <c r="N185" s="134"/>
      <c r="O185" s="134"/>
      <c r="P185" s="135">
        <v>62.125</v>
      </c>
      <c r="Q185" s="139">
        <v>7.13</v>
      </c>
      <c r="R185" s="134"/>
      <c r="S185" s="134"/>
      <c r="T185" s="136">
        <f t="shared" si="11"/>
        <v>106.255</v>
      </c>
      <c r="U185" s="138" t="s">
        <v>838</v>
      </c>
      <c r="V185" s="1"/>
      <c r="W185" s="1"/>
      <c r="X185" s="1"/>
      <c r="Y185" s="1"/>
      <c r="Z185" s="1"/>
    </row>
    <row r="186" spans="1:26" ht="39.75" customHeight="1">
      <c r="A186" s="171"/>
      <c r="B186" s="169"/>
      <c r="C186" s="169"/>
      <c r="D186" s="5">
        <v>177</v>
      </c>
      <c r="E186" s="5" t="s">
        <v>270</v>
      </c>
      <c r="F186" s="134"/>
      <c r="G186" s="134"/>
      <c r="H186" s="134"/>
      <c r="I186" s="134"/>
      <c r="J186" s="134"/>
      <c r="K186" s="134"/>
      <c r="L186" s="134"/>
      <c r="M186" s="134"/>
      <c r="N186" s="136">
        <v>1</v>
      </c>
      <c r="O186" s="134"/>
      <c r="P186" s="134"/>
      <c r="Q186" s="134"/>
      <c r="R186" s="134"/>
      <c r="S186" s="134"/>
      <c r="T186" s="136">
        <f t="shared" si="11"/>
        <v>1</v>
      </c>
      <c r="U186" s="138" t="s">
        <v>839</v>
      </c>
      <c r="V186" s="1"/>
      <c r="W186" s="1"/>
      <c r="X186" s="1"/>
      <c r="Y186" s="1"/>
      <c r="Z186" s="1"/>
    </row>
    <row r="187" spans="1:26" ht="39.75" customHeight="1">
      <c r="A187" s="171"/>
      <c r="B187" s="168" t="s">
        <v>327</v>
      </c>
      <c r="C187" s="168" t="s">
        <v>328</v>
      </c>
      <c r="D187" s="5">
        <v>178</v>
      </c>
      <c r="E187" s="5" t="s">
        <v>329</v>
      </c>
      <c r="F187" s="5"/>
      <c r="G187" s="5"/>
      <c r="H187" s="5"/>
      <c r="I187" s="5"/>
      <c r="J187" s="5"/>
      <c r="K187" s="5"/>
      <c r="L187" s="5"/>
      <c r="M187" s="5"/>
      <c r="N187" s="5"/>
      <c r="O187" s="5"/>
      <c r="P187" s="5">
        <v>154.44</v>
      </c>
      <c r="Q187" s="5"/>
      <c r="R187" s="5"/>
      <c r="S187" s="5"/>
      <c r="T187" s="6">
        <f t="shared" si="7"/>
        <v>154.44</v>
      </c>
      <c r="U187" s="9" t="s">
        <v>559</v>
      </c>
      <c r="V187" s="1"/>
      <c r="W187" s="1"/>
      <c r="X187" s="1"/>
      <c r="Y187" s="1"/>
      <c r="Z187" s="1"/>
    </row>
    <row r="188" spans="1:26" ht="39.75" customHeight="1">
      <c r="A188" s="171"/>
      <c r="B188" s="171"/>
      <c r="C188" s="171"/>
      <c r="D188" s="5">
        <v>179</v>
      </c>
      <c r="E188" s="5" t="s">
        <v>149</v>
      </c>
      <c r="F188" s="5"/>
      <c r="G188" s="5"/>
      <c r="H188" s="5"/>
      <c r="I188" s="5"/>
      <c r="J188" s="5"/>
      <c r="K188" s="5"/>
      <c r="L188" s="5"/>
      <c r="M188" s="5"/>
      <c r="N188" s="5"/>
      <c r="O188" s="5"/>
      <c r="P188" s="5"/>
      <c r="Q188" s="5"/>
      <c r="R188" s="5"/>
      <c r="S188" s="5"/>
      <c r="T188" s="6">
        <f t="shared" si="7"/>
        <v>0</v>
      </c>
      <c r="U188" s="9"/>
      <c r="V188" s="1"/>
      <c r="W188" s="1"/>
      <c r="X188" s="1"/>
      <c r="Y188" s="1"/>
      <c r="Z188" s="1"/>
    </row>
    <row r="189" spans="1:26" ht="39.75" customHeight="1">
      <c r="A189" s="171"/>
      <c r="B189" s="171"/>
      <c r="C189" s="171"/>
      <c r="D189" s="5">
        <v>180</v>
      </c>
      <c r="E189" s="5" t="s">
        <v>330</v>
      </c>
      <c r="F189" s="5"/>
      <c r="G189" s="5"/>
      <c r="H189" s="5"/>
      <c r="I189" s="5"/>
      <c r="J189" s="5"/>
      <c r="K189" s="6"/>
      <c r="L189" s="5"/>
      <c r="M189" s="5"/>
      <c r="N189" s="5"/>
      <c r="O189" s="5"/>
      <c r="P189" s="8"/>
      <c r="Q189" s="5"/>
      <c r="R189" s="5"/>
      <c r="S189" s="5"/>
      <c r="T189" s="6">
        <f t="shared" si="7"/>
        <v>0</v>
      </c>
      <c r="U189" s="9"/>
      <c r="V189" s="1"/>
      <c r="W189" s="1"/>
      <c r="X189" s="1"/>
      <c r="Y189" s="1"/>
      <c r="Z189" s="1"/>
    </row>
    <row r="190" spans="1:26" ht="39.75" customHeight="1">
      <c r="A190" s="171"/>
      <c r="B190" s="171"/>
      <c r="C190" s="171"/>
      <c r="D190" s="5">
        <v>181</v>
      </c>
      <c r="E190" s="5" t="s">
        <v>331</v>
      </c>
      <c r="F190" s="5"/>
      <c r="G190" s="5"/>
      <c r="H190" s="5"/>
      <c r="I190" s="5"/>
      <c r="J190" s="5"/>
      <c r="K190" s="5"/>
      <c r="L190" s="5"/>
      <c r="M190" s="5"/>
      <c r="N190" s="5"/>
      <c r="O190" s="5"/>
      <c r="P190" s="5"/>
      <c r="Q190" s="5"/>
      <c r="R190" s="5"/>
      <c r="S190" s="5"/>
      <c r="T190" s="6">
        <f t="shared" si="7"/>
        <v>0</v>
      </c>
      <c r="U190" s="9"/>
      <c r="V190" s="1"/>
      <c r="W190" s="1"/>
      <c r="X190" s="1"/>
      <c r="Y190" s="1"/>
      <c r="Z190" s="1"/>
    </row>
    <row r="191" spans="1:26" ht="39.75" customHeight="1">
      <c r="A191" s="171"/>
      <c r="B191" s="171"/>
      <c r="C191" s="171"/>
      <c r="D191" s="5">
        <v>182</v>
      </c>
      <c r="E191" s="5" t="s">
        <v>332</v>
      </c>
      <c r="F191" s="5"/>
      <c r="G191" s="5"/>
      <c r="H191" s="5"/>
      <c r="I191" s="5"/>
      <c r="J191" s="5"/>
      <c r="K191" s="5"/>
      <c r="L191" s="5"/>
      <c r="M191" s="5"/>
      <c r="N191" s="5"/>
      <c r="O191" s="5"/>
      <c r="P191" s="6">
        <v>6</v>
      </c>
      <c r="Q191" s="5"/>
      <c r="R191" s="5"/>
      <c r="S191" s="5"/>
      <c r="T191" s="6">
        <f t="shared" si="7"/>
        <v>6</v>
      </c>
      <c r="U191" s="9" t="s">
        <v>333</v>
      </c>
      <c r="V191" s="1"/>
      <c r="W191" s="1"/>
      <c r="X191" s="1"/>
      <c r="Y191" s="1"/>
      <c r="Z191" s="1"/>
    </row>
    <row r="192" spans="1:26" ht="39.75" customHeight="1">
      <c r="A192" s="171"/>
      <c r="B192" s="169"/>
      <c r="C192" s="169"/>
      <c r="D192" s="5">
        <v>183</v>
      </c>
      <c r="E192" s="5" t="s">
        <v>334</v>
      </c>
      <c r="F192" s="5"/>
      <c r="G192" s="5"/>
      <c r="H192" s="5"/>
      <c r="I192" s="5"/>
      <c r="J192" s="5"/>
      <c r="K192" s="5"/>
      <c r="L192" s="5"/>
      <c r="M192" s="5"/>
      <c r="N192" s="5"/>
      <c r="O192" s="5"/>
      <c r="P192" s="8"/>
      <c r="Q192" s="5"/>
      <c r="R192" s="5"/>
      <c r="S192" s="5"/>
      <c r="T192" s="6">
        <f t="shared" si="7"/>
        <v>0</v>
      </c>
      <c r="U192" s="9"/>
      <c r="V192" s="1"/>
      <c r="W192" s="1"/>
      <c r="X192" s="1"/>
      <c r="Y192" s="1"/>
      <c r="Z192" s="1"/>
    </row>
    <row r="193" spans="1:26" ht="39.75" customHeight="1">
      <c r="A193" s="171"/>
      <c r="B193" s="5" t="s">
        <v>335</v>
      </c>
      <c r="C193" s="5" t="s">
        <v>336</v>
      </c>
      <c r="D193" s="5">
        <v>184</v>
      </c>
      <c r="E193" s="5" t="s">
        <v>337</v>
      </c>
      <c r="F193" s="5"/>
      <c r="G193" s="5"/>
      <c r="H193" s="5"/>
      <c r="I193" s="5"/>
      <c r="J193" s="5"/>
      <c r="K193" s="5"/>
      <c r="L193" s="5"/>
      <c r="M193" s="5"/>
      <c r="N193" s="5"/>
      <c r="O193" s="5"/>
      <c r="P193" s="6"/>
      <c r="Q193" s="5"/>
      <c r="R193" s="5"/>
      <c r="S193" s="5"/>
      <c r="T193" s="6">
        <f t="shared" si="7"/>
        <v>0</v>
      </c>
      <c r="U193" s="9"/>
      <c r="V193" s="1"/>
      <c r="W193" s="1"/>
      <c r="X193" s="1"/>
      <c r="Y193" s="1"/>
      <c r="Z193" s="1"/>
    </row>
    <row r="194" spans="1:26" ht="39.75" customHeight="1">
      <c r="A194" s="171"/>
      <c r="B194" s="168" t="s">
        <v>338</v>
      </c>
      <c r="C194" s="168" t="s">
        <v>272</v>
      </c>
      <c r="D194" s="5">
        <v>185</v>
      </c>
      <c r="E194" s="5" t="s">
        <v>273</v>
      </c>
      <c r="F194" s="5"/>
      <c r="G194" s="5"/>
      <c r="H194" s="5"/>
      <c r="I194" s="5"/>
      <c r="J194" s="5"/>
      <c r="K194" s="5"/>
      <c r="L194" s="5"/>
      <c r="M194" s="5"/>
      <c r="N194" s="5"/>
      <c r="O194" s="5"/>
      <c r="P194" s="5"/>
      <c r="Q194" s="5"/>
      <c r="R194" s="5">
        <v>3379.44</v>
      </c>
      <c r="S194" s="5"/>
      <c r="T194" s="6">
        <f t="shared" si="7"/>
        <v>3379.44</v>
      </c>
      <c r="U194" s="9" t="s">
        <v>639</v>
      </c>
      <c r="V194" s="1"/>
      <c r="W194" s="1"/>
      <c r="X194" s="1"/>
      <c r="Y194" s="1"/>
      <c r="Z194" s="1"/>
    </row>
    <row r="195" spans="1:26" ht="39.75" customHeight="1">
      <c r="A195" s="171"/>
      <c r="B195" s="171"/>
      <c r="C195" s="171"/>
      <c r="D195" s="5">
        <v>186</v>
      </c>
      <c r="E195" s="5" t="s">
        <v>274</v>
      </c>
      <c r="F195" s="5"/>
      <c r="G195" s="5"/>
      <c r="H195" s="5"/>
      <c r="I195" s="5"/>
      <c r="J195" s="5"/>
      <c r="K195" s="5"/>
      <c r="L195" s="5"/>
      <c r="M195" s="5"/>
      <c r="N195" s="5"/>
      <c r="O195" s="5"/>
      <c r="P195" s="8">
        <v>0.38</v>
      </c>
      <c r="Q195" s="6"/>
      <c r="R195" s="5"/>
      <c r="S195" s="5"/>
      <c r="T195" s="6">
        <f t="shared" si="7"/>
        <v>0.38</v>
      </c>
      <c r="U195" s="76" t="s">
        <v>632</v>
      </c>
      <c r="V195" s="1"/>
      <c r="W195" s="1"/>
      <c r="X195" s="1"/>
      <c r="Y195" s="1"/>
      <c r="Z195" s="1"/>
    </row>
    <row r="196" spans="1:26" ht="39.75" customHeight="1">
      <c r="A196" s="171"/>
      <c r="B196" s="171"/>
      <c r="C196" s="171"/>
      <c r="D196" s="5">
        <v>187</v>
      </c>
      <c r="E196" s="5" t="s">
        <v>339</v>
      </c>
      <c r="F196" s="5"/>
      <c r="G196" s="5"/>
      <c r="H196" s="5"/>
      <c r="I196" s="5"/>
      <c r="J196" s="5"/>
      <c r="K196" s="5"/>
      <c r="L196" s="5"/>
      <c r="M196" s="5"/>
      <c r="N196" s="5"/>
      <c r="O196" s="5"/>
      <c r="P196" s="5"/>
      <c r="Q196" s="5"/>
      <c r="R196" s="5"/>
      <c r="S196" s="5"/>
      <c r="T196" s="6">
        <f t="shared" si="7"/>
        <v>0</v>
      </c>
      <c r="U196" s="9"/>
      <c r="V196" s="1"/>
      <c r="W196" s="1"/>
      <c r="X196" s="1"/>
      <c r="Y196" s="1"/>
      <c r="Z196" s="1"/>
    </row>
    <row r="197" spans="1:26" ht="39.75" customHeight="1">
      <c r="A197" s="171"/>
      <c r="B197" s="171"/>
      <c r="C197" s="171"/>
      <c r="D197" s="5">
        <v>188</v>
      </c>
      <c r="E197" s="5" t="s">
        <v>275</v>
      </c>
      <c r="F197" s="5"/>
      <c r="G197" s="5"/>
      <c r="H197" s="5"/>
      <c r="I197" s="5"/>
      <c r="J197" s="5"/>
      <c r="K197" s="5"/>
      <c r="L197" s="5"/>
      <c r="M197" s="5"/>
      <c r="N197" s="5"/>
      <c r="O197" s="5"/>
      <c r="P197" s="5"/>
      <c r="Q197" s="5"/>
      <c r="R197" s="5"/>
      <c r="S197" s="5"/>
      <c r="T197" s="6">
        <f t="shared" si="7"/>
        <v>0</v>
      </c>
      <c r="U197" s="9"/>
      <c r="V197" s="1"/>
      <c r="W197" s="1"/>
      <c r="X197" s="1"/>
      <c r="Y197" s="1"/>
      <c r="Z197" s="1"/>
    </row>
    <row r="198" spans="1:26" ht="39.75" customHeight="1">
      <c r="A198" s="171"/>
      <c r="B198" s="171"/>
      <c r="C198" s="171"/>
      <c r="D198" s="5">
        <v>189</v>
      </c>
      <c r="E198" s="5" t="s">
        <v>276</v>
      </c>
      <c r="F198" s="5"/>
      <c r="G198" s="5"/>
      <c r="H198" s="5"/>
      <c r="I198" s="5"/>
      <c r="J198" s="5"/>
      <c r="K198" s="5"/>
      <c r="L198" s="5"/>
      <c r="M198" s="5"/>
      <c r="N198" s="5"/>
      <c r="O198" s="5"/>
      <c r="P198" s="5"/>
      <c r="Q198" s="5"/>
      <c r="R198" s="5"/>
      <c r="S198" s="5"/>
      <c r="T198" s="6">
        <f t="shared" ref="T198:T208" si="12">SUM(F198:S198)</f>
        <v>0</v>
      </c>
      <c r="U198" s="9"/>
      <c r="V198" s="1"/>
      <c r="W198" s="1"/>
      <c r="X198" s="1"/>
      <c r="Y198" s="1"/>
      <c r="Z198" s="1"/>
    </row>
    <row r="199" spans="1:26" ht="39.75" customHeight="1">
      <c r="A199" s="171"/>
      <c r="B199" s="169"/>
      <c r="C199" s="169"/>
      <c r="D199" s="5">
        <v>190</v>
      </c>
      <c r="E199" s="5" t="s">
        <v>340</v>
      </c>
      <c r="F199" s="5"/>
      <c r="G199" s="5"/>
      <c r="H199" s="5"/>
      <c r="I199" s="5"/>
      <c r="J199" s="5"/>
      <c r="K199" s="5"/>
      <c r="L199" s="5"/>
      <c r="M199" s="5"/>
      <c r="N199" s="5"/>
      <c r="O199" s="5"/>
      <c r="P199" s="8"/>
      <c r="Q199" s="5">
        <v>0.5</v>
      </c>
      <c r="R199" s="5"/>
      <c r="S199" s="5"/>
      <c r="T199" s="6">
        <f t="shared" si="12"/>
        <v>0.5</v>
      </c>
      <c r="U199" s="9" t="s">
        <v>633</v>
      </c>
      <c r="V199" s="1"/>
      <c r="W199" s="1"/>
      <c r="X199" s="1"/>
      <c r="Y199" s="1"/>
      <c r="Z199" s="1"/>
    </row>
    <row r="200" spans="1:26" ht="96.75" customHeight="1">
      <c r="A200" s="171"/>
      <c r="B200" s="168" t="s">
        <v>341</v>
      </c>
      <c r="C200" s="168" t="s">
        <v>342</v>
      </c>
      <c r="D200" s="5">
        <v>191</v>
      </c>
      <c r="E200" s="5" t="s">
        <v>343</v>
      </c>
      <c r="F200" s="5"/>
      <c r="G200" s="5"/>
      <c r="H200" s="5"/>
      <c r="I200" s="5"/>
      <c r="J200" s="5"/>
      <c r="K200" s="5"/>
      <c r="L200" s="5"/>
      <c r="M200" s="5"/>
      <c r="N200" s="6">
        <v>32.43</v>
      </c>
      <c r="O200" s="5"/>
      <c r="P200" s="5"/>
      <c r="Q200" s="5"/>
      <c r="R200" s="5"/>
      <c r="S200" s="5"/>
      <c r="T200" s="6">
        <f t="shared" si="12"/>
        <v>32.43</v>
      </c>
      <c r="U200" s="63" t="s">
        <v>344</v>
      </c>
      <c r="V200" s="30"/>
      <c r="W200" s="1"/>
      <c r="X200" s="1"/>
      <c r="Y200" s="1"/>
      <c r="Z200" s="1"/>
    </row>
    <row r="201" spans="1:26" ht="39.75" customHeight="1">
      <c r="A201" s="171"/>
      <c r="B201" s="169"/>
      <c r="C201" s="169"/>
      <c r="D201" s="5">
        <v>192</v>
      </c>
      <c r="E201" s="5" t="s">
        <v>345</v>
      </c>
      <c r="F201" s="5"/>
      <c r="G201" s="5"/>
      <c r="H201" s="8"/>
      <c r="I201" s="5"/>
      <c r="J201" s="5"/>
      <c r="K201" s="5"/>
      <c r="L201" s="5"/>
      <c r="M201" s="5"/>
      <c r="N201" s="6">
        <v>0.5</v>
      </c>
      <c r="O201" s="5"/>
      <c r="P201" s="6"/>
      <c r="Q201" s="8"/>
      <c r="R201" s="5"/>
      <c r="S201" s="5"/>
      <c r="T201" s="6">
        <f t="shared" si="12"/>
        <v>0.5</v>
      </c>
      <c r="U201" s="61" t="s">
        <v>651</v>
      </c>
      <c r="V201" s="1"/>
      <c r="W201" s="1"/>
      <c r="X201" s="1"/>
      <c r="Y201" s="1"/>
      <c r="Z201" s="1"/>
    </row>
    <row r="202" spans="1:26" ht="39.75" customHeight="1">
      <c r="A202" s="171"/>
      <c r="B202" s="168" t="s">
        <v>346</v>
      </c>
      <c r="C202" s="168" t="s">
        <v>278</v>
      </c>
      <c r="D202" s="5">
        <v>193</v>
      </c>
      <c r="E202" s="5" t="s">
        <v>347</v>
      </c>
      <c r="F202" s="5"/>
      <c r="G202" s="5"/>
      <c r="H202" s="5"/>
      <c r="I202" s="5"/>
      <c r="J202" s="5"/>
      <c r="K202" s="5"/>
      <c r="L202" s="5"/>
      <c r="M202" s="5"/>
      <c r="N202" s="5"/>
      <c r="O202" s="5"/>
      <c r="P202" s="6"/>
      <c r="Q202" s="5"/>
      <c r="R202" s="5"/>
      <c r="S202" s="8"/>
      <c r="T202" s="6">
        <f t="shared" si="12"/>
        <v>0</v>
      </c>
      <c r="U202" s="9"/>
      <c r="V202" s="1"/>
      <c r="W202" s="1"/>
      <c r="X202" s="1"/>
      <c r="Y202" s="1"/>
      <c r="Z202" s="1"/>
    </row>
    <row r="203" spans="1:26" ht="39.75" customHeight="1">
      <c r="A203" s="171"/>
      <c r="B203" s="169"/>
      <c r="C203" s="169"/>
      <c r="D203" s="5">
        <v>194</v>
      </c>
      <c r="E203" s="5" t="s">
        <v>279</v>
      </c>
      <c r="F203" s="5"/>
      <c r="G203" s="5"/>
      <c r="H203" s="5"/>
      <c r="I203" s="5"/>
      <c r="J203" s="5"/>
      <c r="K203" s="5"/>
      <c r="L203" s="5"/>
      <c r="M203" s="5"/>
      <c r="N203" s="6"/>
      <c r="O203" s="5"/>
      <c r="P203" s="5"/>
      <c r="Q203" s="6"/>
      <c r="R203" s="6">
        <v>45.88</v>
      </c>
      <c r="S203" s="5"/>
      <c r="T203" s="6">
        <f t="shared" si="12"/>
        <v>45.88</v>
      </c>
      <c r="U203" s="9" t="s">
        <v>629</v>
      </c>
      <c r="V203" s="1"/>
      <c r="W203" s="1"/>
      <c r="X203" s="1"/>
      <c r="Y203" s="1"/>
      <c r="Z203" s="1"/>
    </row>
    <row r="204" spans="1:26" ht="41.25" customHeight="1">
      <c r="A204" s="171"/>
      <c r="B204" s="168" t="s">
        <v>348</v>
      </c>
      <c r="C204" s="168" t="s">
        <v>349</v>
      </c>
      <c r="D204" s="5">
        <v>195</v>
      </c>
      <c r="E204" s="5" t="s">
        <v>350</v>
      </c>
      <c r="F204" s="5"/>
      <c r="G204" s="5"/>
      <c r="H204" s="5"/>
      <c r="I204" s="5"/>
      <c r="J204" s="5"/>
      <c r="K204" s="5"/>
      <c r="L204" s="5"/>
      <c r="M204" s="5"/>
      <c r="N204" s="5"/>
      <c r="O204" s="5"/>
      <c r="P204" s="6">
        <v>2.1</v>
      </c>
      <c r="Q204" s="8">
        <v>1.5</v>
      </c>
      <c r="R204" s="6">
        <v>2.4</v>
      </c>
      <c r="S204" s="5"/>
      <c r="T204" s="6">
        <f t="shared" si="12"/>
        <v>6</v>
      </c>
      <c r="U204" s="61" t="s">
        <v>351</v>
      </c>
      <c r="V204" s="1"/>
      <c r="W204" s="1"/>
      <c r="X204" s="1"/>
      <c r="Y204" s="1"/>
      <c r="Z204" s="1"/>
    </row>
    <row r="205" spans="1:26" ht="39.75" customHeight="1">
      <c r="A205" s="171"/>
      <c r="B205" s="171"/>
      <c r="C205" s="171"/>
      <c r="D205" s="5">
        <v>196</v>
      </c>
      <c r="E205" s="5" t="s">
        <v>352</v>
      </c>
      <c r="F205" s="5"/>
      <c r="G205" s="5"/>
      <c r="H205" s="5"/>
      <c r="I205" s="5"/>
      <c r="J205" s="5"/>
      <c r="K205" s="5"/>
      <c r="L205" s="5"/>
      <c r="M205" s="5"/>
      <c r="N205" s="5"/>
      <c r="O205" s="5"/>
      <c r="P205" s="5"/>
      <c r="Q205" s="5"/>
      <c r="R205" s="5"/>
      <c r="S205" s="5"/>
      <c r="T205" s="6">
        <f t="shared" si="12"/>
        <v>0</v>
      </c>
      <c r="U205" s="9"/>
      <c r="V205" s="1"/>
      <c r="W205" s="1"/>
      <c r="X205" s="1"/>
      <c r="Y205" s="1"/>
      <c r="Z205" s="1"/>
    </row>
    <row r="206" spans="1:26" ht="39.75" customHeight="1">
      <c r="A206" s="171"/>
      <c r="B206" s="169"/>
      <c r="C206" s="169"/>
      <c r="D206" s="5">
        <v>197</v>
      </c>
      <c r="E206" s="5" t="s">
        <v>353</v>
      </c>
      <c r="F206" s="5"/>
      <c r="G206" s="5"/>
      <c r="H206" s="5"/>
      <c r="I206" s="5"/>
      <c r="J206" s="5"/>
      <c r="K206" s="5"/>
      <c r="L206" s="5"/>
      <c r="M206" s="5"/>
      <c r="N206" s="5"/>
      <c r="O206" s="5"/>
      <c r="P206" s="6"/>
      <c r="Q206" s="5"/>
      <c r="R206" s="5"/>
      <c r="S206" s="5"/>
      <c r="T206" s="6">
        <f t="shared" si="12"/>
        <v>0</v>
      </c>
      <c r="U206" s="9"/>
      <c r="V206" s="1"/>
      <c r="W206" s="1"/>
      <c r="X206" s="1"/>
      <c r="Y206" s="1"/>
      <c r="Z206" s="1"/>
    </row>
    <row r="207" spans="1:26" ht="39.75" customHeight="1">
      <c r="A207" s="171"/>
      <c r="B207" s="5" t="s">
        <v>354</v>
      </c>
      <c r="C207" s="5" t="s">
        <v>284</v>
      </c>
      <c r="D207" s="5">
        <v>198</v>
      </c>
      <c r="E207" s="5" t="s">
        <v>285</v>
      </c>
      <c r="F207" s="5"/>
      <c r="G207" s="5"/>
      <c r="H207" s="5"/>
      <c r="I207" s="5"/>
      <c r="J207" s="5"/>
      <c r="K207" s="5"/>
      <c r="L207" s="5"/>
      <c r="M207" s="5"/>
      <c r="N207" s="5"/>
      <c r="O207" s="5"/>
      <c r="P207" s="5"/>
      <c r="Q207" s="5"/>
      <c r="R207" s="5"/>
      <c r="S207" s="5"/>
      <c r="T207" s="6">
        <f t="shared" si="12"/>
        <v>0</v>
      </c>
      <c r="U207" s="9"/>
      <c r="V207" s="1"/>
      <c r="W207" s="1"/>
      <c r="X207" s="1"/>
      <c r="Y207" s="1"/>
      <c r="Z207" s="1"/>
    </row>
    <row r="208" spans="1:26" ht="85.5" customHeight="1">
      <c r="A208" s="171"/>
      <c r="B208" s="5" t="s">
        <v>355</v>
      </c>
      <c r="C208" s="5" t="s">
        <v>287</v>
      </c>
      <c r="D208" s="5">
        <v>199</v>
      </c>
      <c r="E208" s="5" t="s">
        <v>288</v>
      </c>
      <c r="F208" s="24"/>
      <c r="G208" s="24"/>
      <c r="H208" s="24"/>
      <c r="I208" s="24"/>
      <c r="J208" s="24"/>
      <c r="K208" s="24"/>
      <c r="L208" s="24"/>
      <c r="M208" s="24"/>
      <c r="N208" s="24"/>
      <c r="O208" s="24"/>
      <c r="P208" s="24">
        <v>265.10000000000002</v>
      </c>
      <c r="Q208" s="24"/>
      <c r="R208" s="24"/>
      <c r="S208" s="24"/>
      <c r="T208" s="6">
        <f t="shared" si="12"/>
        <v>265.10000000000002</v>
      </c>
      <c r="U208" s="76" t="s">
        <v>631</v>
      </c>
      <c r="V208" s="1"/>
      <c r="W208" s="1"/>
      <c r="X208" s="1"/>
      <c r="Y208" s="1"/>
      <c r="Z208" s="1"/>
    </row>
    <row r="209" spans="1:26" ht="39.75" customHeight="1">
      <c r="A209" s="169"/>
      <c r="B209" s="176" t="s">
        <v>356</v>
      </c>
      <c r="C209" s="177"/>
      <c r="D209" s="178"/>
      <c r="E209" s="51"/>
      <c r="F209" s="54">
        <f t="shared" ref="F209:S209" si="13">SUM(F159:F208)</f>
        <v>0</v>
      </c>
      <c r="G209" s="57">
        <f t="shared" si="13"/>
        <v>640.5</v>
      </c>
      <c r="H209" s="57">
        <f t="shared" si="13"/>
        <v>854</v>
      </c>
      <c r="I209" s="54">
        <f t="shared" si="13"/>
        <v>12.1</v>
      </c>
      <c r="J209" s="54">
        <f t="shared" si="13"/>
        <v>0</v>
      </c>
      <c r="K209" s="54">
        <f t="shared" si="13"/>
        <v>0</v>
      </c>
      <c r="L209" s="54">
        <f t="shared" si="13"/>
        <v>0</v>
      </c>
      <c r="M209" s="54">
        <f t="shared" si="13"/>
        <v>37</v>
      </c>
      <c r="N209" s="55">
        <f t="shared" si="13"/>
        <v>86.08</v>
      </c>
      <c r="O209" s="54">
        <f t="shared" si="13"/>
        <v>690.62</v>
      </c>
      <c r="P209" s="57">
        <f t="shared" si="13"/>
        <v>582.495</v>
      </c>
      <c r="Q209" s="54">
        <f t="shared" si="13"/>
        <v>38.035700000000006</v>
      </c>
      <c r="R209" s="54">
        <f t="shared" si="13"/>
        <v>3434.4760000000001</v>
      </c>
      <c r="S209" s="54">
        <f t="shared" si="13"/>
        <v>0</v>
      </c>
      <c r="T209" s="55">
        <f>SUM(T159:T208)</f>
        <v>6375.306700000001</v>
      </c>
      <c r="U209" s="9"/>
      <c r="V209" s="1"/>
      <c r="W209" s="1"/>
      <c r="X209" s="1"/>
      <c r="Y209" s="1"/>
      <c r="Z209" s="1"/>
    </row>
    <row r="210" spans="1:26" ht="39.75" customHeight="1">
      <c r="A210" s="180" t="s">
        <v>357</v>
      </c>
      <c r="B210" s="181"/>
      <c r="C210" s="181"/>
      <c r="D210" s="182"/>
      <c r="E210" s="64"/>
      <c r="F210" s="65">
        <f t="shared" ref="F210:T210" si="14">F209+F158+F134+F93+F68</f>
        <v>229.25</v>
      </c>
      <c r="G210" s="66">
        <f t="shared" si="14"/>
        <v>640.5</v>
      </c>
      <c r="H210" s="66">
        <f t="shared" si="14"/>
        <v>864</v>
      </c>
      <c r="I210" s="65">
        <f t="shared" si="14"/>
        <v>55.615000000000002</v>
      </c>
      <c r="J210" s="65">
        <f t="shared" si="14"/>
        <v>0</v>
      </c>
      <c r="K210" s="67">
        <f t="shared" si="14"/>
        <v>195.142</v>
      </c>
      <c r="L210" s="65">
        <f t="shared" si="14"/>
        <v>0</v>
      </c>
      <c r="M210" s="66">
        <f t="shared" si="14"/>
        <v>144.542</v>
      </c>
      <c r="N210" s="67">
        <f t="shared" si="14"/>
        <v>188.83455000000001</v>
      </c>
      <c r="O210" s="65">
        <f t="shared" si="14"/>
        <v>1096.9349999999999</v>
      </c>
      <c r="P210" s="66">
        <f t="shared" si="14"/>
        <v>1299.0719999999999</v>
      </c>
      <c r="Q210" s="65">
        <f t="shared" si="14"/>
        <v>148.05670000000001</v>
      </c>
      <c r="R210" s="66">
        <f t="shared" si="14"/>
        <v>4354.6322921399997</v>
      </c>
      <c r="S210" s="66">
        <f t="shared" si="14"/>
        <v>13.3</v>
      </c>
      <c r="T210" s="67">
        <f t="shared" si="14"/>
        <v>9229.8795421400009</v>
      </c>
      <c r="U210" s="9"/>
      <c r="V210" s="1"/>
      <c r="W210" s="1"/>
      <c r="X210" s="1"/>
      <c r="Y210" s="1"/>
      <c r="Z210" s="1"/>
    </row>
    <row r="211" spans="1:26" ht="39.75" customHeight="1">
      <c r="A211" s="1"/>
      <c r="B211" s="1"/>
      <c r="C211" s="1"/>
      <c r="D211" s="1"/>
      <c r="E211" s="1"/>
      <c r="F211" s="1"/>
      <c r="G211" s="1"/>
      <c r="H211" s="1"/>
      <c r="I211" s="1"/>
      <c r="J211" s="1"/>
      <c r="K211" s="1"/>
      <c r="L211" s="1"/>
      <c r="M211" s="1"/>
      <c r="N211" s="1"/>
      <c r="O211" s="1"/>
      <c r="P211" s="1"/>
      <c r="Q211" s="1"/>
      <c r="R211" s="1"/>
      <c r="S211" s="1"/>
      <c r="T211" s="32"/>
      <c r="U211" s="2"/>
      <c r="V211" s="1"/>
      <c r="W211" s="1"/>
      <c r="X211" s="1"/>
      <c r="Y211" s="1"/>
      <c r="Z211" s="1"/>
    </row>
    <row r="212" spans="1:26" ht="24.75" customHeight="1">
      <c r="A212" s="1"/>
      <c r="B212" s="1"/>
      <c r="C212" s="1"/>
      <c r="D212" s="1"/>
      <c r="E212" s="1"/>
      <c r="F212" s="1"/>
      <c r="G212" s="1"/>
      <c r="H212" s="1"/>
      <c r="I212" s="1"/>
      <c r="J212" s="1"/>
      <c r="K212" s="1"/>
      <c r="L212" s="1"/>
      <c r="M212" s="1"/>
      <c r="N212" s="1"/>
      <c r="O212" s="1"/>
      <c r="P212" s="1"/>
      <c r="Q212" s="1"/>
      <c r="R212" s="1"/>
      <c r="S212" s="1"/>
      <c r="T212" s="1"/>
      <c r="U212" s="2"/>
      <c r="V212" s="1"/>
      <c r="W212" s="1"/>
      <c r="X212" s="1"/>
      <c r="Y212" s="1"/>
      <c r="Z212" s="1"/>
    </row>
    <row r="213" spans="1:26" ht="24.75" customHeight="1">
      <c r="A213" s="1"/>
      <c r="B213" s="1"/>
      <c r="C213" s="1"/>
      <c r="D213" s="1"/>
      <c r="E213" s="1"/>
      <c r="F213" s="1"/>
      <c r="G213" s="1"/>
      <c r="H213" s="1"/>
      <c r="I213" s="1"/>
      <c r="J213" s="1"/>
      <c r="K213" s="1"/>
      <c r="L213" s="1"/>
      <c r="M213" s="1"/>
      <c r="N213" s="1"/>
      <c r="O213" s="1"/>
      <c r="P213" s="1"/>
      <c r="Q213" s="1"/>
      <c r="R213" s="1"/>
      <c r="S213" s="1"/>
      <c r="T213" s="1"/>
      <c r="U213" s="2"/>
      <c r="V213" s="1"/>
      <c r="W213" s="1"/>
      <c r="X213" s="1"/>
      <c r="Y213" s="1"/>
      <c r="Z213" s="1"/>
    </row>
    <row r="214" spans="1:26" ht="24.75" customHeight="1">
      <c r="A214" s="1"/>
      <c r="B214" s="1"/>
      <c r="C214" s="1"/>
      <c r="D214" s="1"/>
      <c r="E214" s="1"/>
      <c r="F214" s="1"/>
      <c r="G214" s="1"/>
      <c r="H214" s="1"/>
      <c r="I214" s="1"/>
      <c r="J214" s="1"/>
      <c r="K214" s="1"/>
      <c r="L214" s="1"/>
      <c r="M214" s="1"/>
      <c r="N214" s="1"/>
      <c r="O214" s="1"/>
      <c r="P214" s="1"/>
      <c r="Q214" s="1"/>
      <c r="R214" s="1"/>
      <c r="S214" s="1"/>
      <c r="T214" s="1"/>
      <c r="U214" s="2"/>
      <c r="V214" s="1"/>
      <c r="W214" s="1"/>
      <c r="X214" s="1"/>
      <c r="Y214" s="1"/>
      <c r="Z214" s="1"/>
    </row>
    <row r="215" spans="1:26" ht="24.75" customHeight="1">
      <c r="A215" s="1"/>
      <c r="B215" s="1"/>
      <c r="C215" s="1"/>
      <c r="D215" s="1"/>
      <c r="E215" s="1"/>
      <c r="F215" s="1"/>
      <c r="G215" s="1"/>
      <c r="H215" s="1"/>
      <c r="I215" s="1"/>
      <c r="J215" s="1"/>
      <c r="K215" s="1"/>
      <c r="L215" s="1"/>
      <c r="M215" s="1"/>
      <c r="N215" s="1"/>
      <c r="O215" s="1"/>
      <c r="P215" s="1"/>
      <c r="Q215" s="1"/>
      <c r="R215" s="1"/>
      <c r="S215" s="1"/>
      <c r="T215" s="1"/>
      <c r="U215" s="2"/>
      <c r="V215" s="1"/>
      <c r="W215" s="1"/>
      <c r="X215" s="1"/>
      <c r="Y215" s="1"/>
      <c r="Z215" s="1"/>
    </row>
    <row r="216" spans="1:26" ht="24.75" customHeight="1">
      <c r="A216" s="1"/>
      <c r="B216" s="1"/>
      <c r="C216" s="1"/>
      <c r="D216" s="1"/>
      <c r="E216" s="1"/>
      <c r="F216" s="1"/>
      <c r="G216" s="1"/>
      <c r="H216" s="1"/>
      <c r="I216" s="1"/>
      <c r="J216" s="1"/>
      <c r="K216" s="1"/>
      <c r="L216" s="1"/>
      <c r="M216" s="1"/>
      <c r="N216" s="1"/>
      <c r="O216" s="1"/>
      <c r="P216" s="1"/>
      <c r="Q216" s="1"/>
      <c r="R216" s="1"/>
      <c r="S216" s="1"/>
      <c r="T216" s="1"/>
      <c r="U216" s="2"/>
      <c r="V216" s="1"/>
      <c r="W216" s="1"/>
      <c r="X216" s="1"/>
      <c r="Y216" s="1"/>
      <c r="Z216" s="1"/>
    </row>
    <row r="217" spans="1:26" ht="24.75" customHeight="1">
      <c r="A217" s="1"/>
      <c r="B217" s="1"/>
      <c r="C217" s="1"/>
      <c r="D217" s="1"/>
      <c r="E217" s="1"/>
      <c r="F217" s="1"/>
      <c r="G217" s="1"/>
      <c r="H217" s="1"/>
      <c r="I217" s="1"/>
      <c r="J217" s="1"/>
      <c r="K217" s="1"/>
      <c r="L217" s="1"/>
      <c r="M217" s="1"/>
      <c r="N217" s="1"/>
      <c r="O217" s="1"/>
      <c r="P217" s="1"/>
      <c r="Q217" s="1"/>
      <c r="R217" s="1"/>
      <c r="S217" s="1"/>
      <c r="T217" s="1"/>
      <c r="U217" s="2"/>
      <c r="V217" s="1"/>
      <c r="W217" s="1"/>
      <c r="X217" s="1"/>
      <c r="Y217" s="1"/>
      <c r="Z217" s="1"/>
    </row>
    <row r="218" spans="1:26" ht="24.75" customHeight="1">
      <c r="A218" s="1"/>
      <c r="B218" s="1"/>
      <c r="C218" s="1"/>
      <c r="D218" s="1"/>
      <c r="E218" s="1"/>
      <c r="F218" s="1"/>
      <c r="G218" s="1"/>
      <c r="H218" s="1"/>
      <c r="I218" s="1"/>
      <c r="J218" s="1"/>
      <c r="K218" s="1"/>
      <c r="L218" s="1"/>
      <c r="M218" s="1"/>
      <c r="N218" s="1"/>
      <c r="O218" s="1"/>
      <c r="P218" s="1"/>
      <c r="Q218" s="1"/>
      <c r="R218" s="1"/>
      <c r="S218" s="1"/>
      <c r="T218" s="1"/>
      <c r="U218" s="2"/>
      <c r="V218" s="1"/>
      <c r="W218" s="1"/>
      <c r="X218" s="1"/>
      <c r="Y218" s="1"/>
      <c r="Z218" s="1"/>
    </row>
    <row r="219" spans="1:26" ht="24.75" customHeight="1">
      <c r="A219" s="1"/>
      <c r="B219" s="1"/>
      <c r="C219" s="1"/>
      <c r="D219" s="1"/>
      <c r="E219" s="1"/>
      <c r="F219" s="1"/>
      <c r="G219" s="1"/>
      <c r="H219" s="1"/>
      <c r="I219" s="1"/>
      <c r="J219" s="1"/>
      <c r="K219" s="1"/>
      <c r="L219" s="1"/>
      <c r="M219" s="1"/>
      <c r="N219" s="1"/>
      <c r="O219" s="1"/>
      <c r="P219" s="1"/>
      <c r="Q219" s="1"/>
      <c r="R219" s="1"/>
      <c r="S219" s="1"/>
      <c r="T219" s="1"/>
      <c r="U219" s="2"/>
      <c r="V219" s="1"/>
      <c r="W219" s="1"/>
      <c r="X219" s="1"/>
      <c r="Y219" s="1"/>
      <c r="Z219" s="1"/>
    </row>
    <row r="220" spans="1:26" ht="24.75" customHeight="1">
      <c r="A220" s="1"/>
      <c r="B220" s="1"/>
      <c r="C220" s="1"/>
      <c r="D220" s="1"/>
      <c r="E220" s="1"/>
      <c r="F220" s="1"/>
      <c r="G220" s="1"/>
      <c r="H220" s="1"/>
      <c r="I220" s="1"/>
      <c r="J220" s="1"/>
      <c r="K220" s="1"/>
      <c r="L220" s="1"/>
      <c r="M220" s="1"/>
      <c r="N220" s="1"/>
      <c r="O220" s="1"/>
      <c r="P220" s="1"/>
      <c r="Q220" s="1"/>
      <c r="R220" s="1"/>
      <c r="S220" s="1"/>
      <c r="T220" s="1"/>
      <c r="U220" s="2"/>
      <c r="V220" s="1"/>
      <c r="W220" s="1"/>
      <c r="X220" s="1"/>
      <c r="Y220" s="1"/>
      <c r="Z220" s="1"/>
    </row>
    <row r="221" spans="1:26" ht="24.75" customHeight="1">
      <c r="A221" s="1"/>
      <c r="B221" s="1"/>
      <c r="C221" s="1"/>
      <c r="D221" s="1"/>
      <c r="E221" s="1"/>
      <c r="F221" s="1"/>
      <c r="G221" s="1"/>
      <c r="H221" s="1"/>
      <c r="I221" s="1"/>
      <c r="J221" s="1"/>
      <c r="K221" s="1"/>
      <c r="L221" s="1"/>
      <c r="M221" s="1"/>
      <c r="N221" s="1"/>
      <c r="O221" s="1"/>
      <c r="P221" s="1"/>
      <c r="Q221" s="1"/>
      <c r="R221" s="1"/>
      <c r="S221" s="1"/>
      <c r="T221" s="1"/>
      <c r="U221" s="2"/>
      <c r="V221" s="1"/>
      <c r="W221" s="1"/>
      <c r="X221" s="1"/>
      <c r="Y221" s="1"/>
      <c r="Z221" s="1"/>
    </row>
    <row r="222" spans="1:26" ht="24.75" customHeight="1">
      <c r="A222" s="1"/>
      <c r="B222" s="1"/>
      <c r="C222" s="1"/>
      <c r="D222" s="1"/>
      <c r="E222" s="1"/>
      <c r="F222" s="1"/>
      <c r="G222" s="1"/>
      <c r="H222" s="1"/>
      <c r="I222" s="1"/>
      <c r="J222" s="1"/>
      <c r="K222" s="1"/>
      <c r="L222" s="1"/>
      <c r="M222" s="1"/>
      <c r="N222" s="1"/>
      <c r="O222" s="1"/>
      <c r="P222" s="1"/>
      <c r="Q222" s="1"/>
      <c r="R222" s="1"/>
      <c r="S222" s="1"/>
      <c r="T222" s="1"/>
      <c r="U222" s="2"/>
      <c r="V222" s="1"/>
      <c r="W222" s="1"/>
      <c r="X222" s="1"/>
      <c r="Y222" s="1"/>
      <c r="Z222" s="1"/>
    </row>
    <row r="223" spans="1:26" ht="24.75" customHeight="1">
      <c r="A223" s="1"/>
      <c r="B223" s="1"/>
      <c r="C223" s="1"/>
      <c r="D223" s="1"/>
      <c r="E223" s="1"/>
      <c r="F223" s="1"/>
      <c r="G223" s="1"/>
      <c r="H223" s="1"/>
      <c r="I223" s="1"/>
      <c r="J223" s="1"/>
      <c r="K223" s="1"/>
      <c r="L223" s="1"/>
      <c r="M223" s="1"/>
      <c r="N223" s="1"/>
      <c r="O223" s="1"/>
      <c r="P223" s="1"/>
      <c r="Q223" s="1"/>
      <c r="R223" s="1"/>
      <c r="S223" s="1"/>
      <c r="T223" s="1"/>
      <c r="U223" s="2"/>
      <c r="V223" s="1"/>
      <c r="W223" s="1"/>
      <c r="X223" s="1"/>
      <c r="Y223" s="1"/>
      <c r="Z223" s="1"/>
    </row>
    <row r="224" spans="1:26" ht="24.75" customHeight="1">
      <c r="A224" s="1"/>
      <c r="B224" s="1"/>
      <c r="C224" s="1"/>
      <c r="D224" s="1"/>
      <c r="E224" s="1"/>
      <c r="F224" s="1"/>
      <c r="G224" s="1"/>
      <c r="H224" s="1"/>
      <c r="I224" s="1"/>
      <c r="J224" s="1"/>
      <c r="K224" s="1"/>
      <c r="L224" s="1"/>
      <c r="M224" s="1"/>
      <c r="N224" s="1"/>
      <c r="O224" s="1"/>
      <c r="P224" s="1"/>
      <c r="Q224" s="1"/>
      <c r="R224" s="1"/>
      <c r="S224" s="1"/>
      <c r="T224" s="1"/>
      <c r="U224" s="2"/>
      <c r="V224" s="1"/>
      <c r="W224" s="1"/>
      <c r="X224" s="1"/>
      <c r="Y224" s="1"/>
      <c r="Z224" s="1"/>
    </row>
    <row r="225" spans="1:26" ht="24.75" customHeight="1">
      <c r="A225" s="1"/>
      <c r="B225" s="1"/>
      <c r="C225" s="1"/>
      <c r="D225" s="1"/>
      <c r="E225" s="1"/>
      <c r="F225" s="1"/>
      <c r="G225" s="1"/>
      <c r="H225" s="1"/>
      <c r="I225" s="1"/>
      <c r="J225" s="1"/>
      <c r="K225" s="1"/>
      <c r="L225" s="1"/>
      <c r="M225" s="1"/>
      <c r="N225" s="1"/>
      <c r="O225" s="1"/>
      <c r="P225" s="1"/>
      <c r="Q225" s="1"/>
      <c r="R225" s="1"/>
      <c r="S225" s="1"/>
      <c r="T225" s="1"/>
      <c r="U225" s="2"/>
      <c r="V225" s="1"/>
      <c r="W225" s="1"/>
      <c r="X225" s="1"/>
      <c r="Y225" s="1"/>
      <c r="Z225" s="1"/>
    </row>
    <row r="226" spans="1:26" ht="24.75" customHeight="1">
      <c r="A226" s="1"/>
      <c r="B226" s="1"/>
      <c r="C226" s="1"/>
      <c r="D226" s="1"/>
      <c r="E226" s="1"/>
      <c r="F226" s="1"/>
      <c r="G226" s="1"/>
      <c r="H226" s="1"/>
      <c r="I226" s="1"/>
      <c r="J226" s="1"/>
      <c r="K226" s="1"/>
      <c r="L226" s="1"/>
      <c r="M226" s="1"/>
      <c r="N226" s="1"/>
      <c r="O226" s="1"/>
      <c r="P226" s="1"/>
      <c r="Q226" s="1"/>
      <c r="R226" s="1"/>
      <c r="S226" s="1"/>
      <c r="T226" s="1"/>
      <c r="U226" s="2"/>
      <c r="V226" s="1"/>
      <c r="W226" s="1"/>
      <c r="X226" s="1"/>
      <c r="Y226" s="1"/>
      <c r="Z226" s="1"/>
    </row>
    <row r="227" spans="1:26" ht="24.75" customHeight="1">
      <c r="A227" s="1"/>
      <c r="B227" s="1"/>
      <c r="C227" s="1"/>
      <c r="D227" s="1"/>
      <c r="E227" s="1"/>
      <c r="F227" s="1"/>
      <c r="G227" s="1"/>
      <c r="H227" s="1"/>
      <c r="I227" s="1"/>
      <c r="J227" s="1"/>
      <c r="K227" s="1"/>
      <c r="L227" s="1"/>
      <c r="M227" s="1"/>
      <c r="N227" s="1"/>
      <c r="O227" s="1"/>
      <c r="P227" s="1"/>
      <c r="Q227" s="1"/>
      <c r="R227" s="1"/>
      <c r="S227" s="1"/>
      <c r="T227" s="1"/>
      <c r="U227" s="2"/>
      <c r="V227" s="1"/>
      <c r="W227" s="1"/>
      <c r="X227" s="1"/>
      <c r="Y227" s="1"/>
      <c r="Z227" s="1"/>
    </row>
    <row r="228" spans="1:26" ht="24.75" customHeight="1">
      <c r="A228" s="1"/>
      <c r="B228" s="1"/>
      <c r="C228" s="1"/>
      <c r="D228" s="1"/>
      <c r="E228" s="1"/>
      <c r="F228" s="1"/>
      <c r="G228" s="1"/>
      <c r="H228" s="1"/>
      <c r="I228" s="1"/>
      <c r="J228" s="1"/>
      <c r="K228" s="1"/>
      <c r="L228" s="1"/>
      <c r="M228" s="1"/>
      <c r="N228" s="1"/>
      <c r="O228" s="1"/>
      <c r="P228" s="1"/>
      <c r="Q228" s="1"/>
      <c r="R228" s="1"/>
      <c r="S228" s="1"/>
      <c r="T228" s="1"/>
      <c r="U228" s="2"/>
      <c r="V228" s="1"/>
      <c r="W228" s="1"/>
      <c r="X228" s="1"/>
      <c r="Y228" s="1"/>
      <c r="Z228" s="1"/>
    </row>
    <row r="229" spans="1:26" ht="24.75" customHeight="1">
      <c r="A229" s="1"/>
      <c r="B229" s="1"/>
      <c r="C229" s="1"/>
      <c r="D229" s="1"/>
      <c r="E229" s="1"/>
      <c r="F229" s="1"/>
      <c r="G229" s="1"/>
      <c r="H229" s="1"/>
      <c r="I229" s="1"/>
      <c r="J229" s="1"/>
      <c r="K229" s="1"/>
      <c r="L229" s="1"/>
      <c r="M229" s="1"/>
      <c r="N229" s="1"/>
      <c r="O229" s="1"/>
      <c r="P229" s="1"/>
      <c r="Q229" s="1"/>
      <c r="R229" s="1"/>
      <c r="S229" s="1"/>
      <c r="T229" s="1"/>
      <c r="U229" s="2"/>
      <c r="V229" s="1"/>
      <c r="W229" s="1"/>
      <c r="X229" s="1"/>
      <c r="Y229" s="1"/>
      <c r="Z229" s="1"/>
    </row>
    <row r="230" spans="1:26" ht="24.75" customHeight="1">
      <c r="A230" s="1"/>
      <c r="B230" s="1"/>
      <c r="C230" s="1"/>
      <c r="D230" s="1"/>
      <c r="E230" s="1"/>
      <c r="F230" s="1"/>
      <c r="G230" s="1"/>
      <c r="H230" s="1"/>
      <c r="I230" s="1"/>
      <c r="J230" s="1"/>
      <c r="K230" s="1"/>
      <c r="L230" s="1"/>
      <c r="M230" s="1"/>
      <c r="N230" s="1"/>
      <c r="O230" s="1"/>
      <c r="P230" s="1"/>
      <c r="Q230" s="1"/>
      <c r="R230" s="1"/>
      <c r="S230" s="1"/>
      <c r="T230" s="1"/>
      <c r="U230" s="2"/>
      <c r="V230" s="1"/>
      <c r="W230" s="1"/>
      <c r="X230" s="1"/>
      <c r="Y230" s="1"/>
      <c r="Z230" s="1"/>
    </row>
    <row r="231" spans="1:26" ht="24.75" customHeight="1">
      <c r="A231" s="1"/>
      <c r="B231" s="1"/>
      <c r="C231" s="1"/>
      <c r="D231" s="1"/>
      <c r="E231" s="1"/>
      <c r="F231" s="1"/>
      <c r="G231" s="1"/>
      <c r="H231" s="1"/>
      <c r="I231" s="1"/>
      <c r="J231" s="1"/>
      <c r="K231" s="1"/>
      <c r="L231" s="1"/>
      <c r="M231" s="1"/>
      <c r="N231" s="1"/>
      <c r="O231" s="1"/>
      <c r="P231" s="1"/>
      <c r="Q231" s="1"/>
      <c r="R231" s="1"/>
      <c r="S231" s="1"/>
      <c r="T231" s="1"/>
      <c r="U231" s="2"/>
      <c r="V231" s="1"/>
      <c r="W231" s="1"/>
      <c r="X231" s="1"/>
      <c r="Y231" s="1"/>
      <c r="Z231" s="1"/>
    </row>
    <row r="232" spans="1:26" ht="24.75" customHeight="1">
      <c r="A232" s="1"/>
      <c r="B232" s="1"/>
      <c r="C232" s="1"/>
      <c r="D232" s="1"/>
      <c r="E232" s="1"/>
      <c r="F232" s="1"/>
      <c r="G232" s="1"/>
      <c r="H232" s="1"/>
      <c r="I232" s="1"/>
      <c r="J232" s="1"/>
      <c r="K232" s="1"/>
      <c r="L232" s="1"/>
      <c r="M232" s="1"/>
      <c r="N232" s="1"/>
      <c r="O232" s="1"/>
      <c r="P232" s="1"/>
      <c r="Q232" s="1"/>
      <c r="R232" s="1"/>
      <c r="S232" s="1"/>
      <c r="T232" s="1"/>
      <c r="U232" s="2"/>
      <c r="V232" s="1"/>
      <c r="W232" s="1"/>
      <c r="X232" s="1"/>
      <c r="Y232" s="1"/>
      <c r="Z232" s="1"/>
    </row>
    <row r="233" spans="1:26" ht="24.75" customHeight="1">
      <c r="A233" s="1"/>
      <c r="B233" s="1"/>
      <c r="C233" s="1"/>
      <c r="D233" s="1"/>
      <c r="E233" s="1"/>
      <c r="F233" s="1"/>
      <c r="G233" s="1"/>
      <c r="H233" s="1"/>
      <c r="I233" s="1"/>
      <c r="J233" s="1"/>
      <c r="K233" s="1"/>
      <c r="L233" s="1"/>
      <c r="M233" s="1"/>
      <c r="N233" s="1"/>
      <c r="O233" s="1"/>
      <c r="P233" s="1"/>
      <c r="Q233" s="1"/>
      <c r="R233" s="1"/>
      <c r="S233" s="1"/>
      <c r="T233" s="1"/>
      <c r="U233" s="2"/>
      <c r="V233" s="1"/>
      <c r="W233" s="1"/>
      <c r="X233" s="1"/>
      <c r="Y233" s="1"/>
      <c r="Z233" s="1"/>
    </row>
    <row r="234" spans="1:26" ht="24.75" customHeight="1">
      <c r="A234" s="1"/>
      <c r="B234" s="1"/>
      <c r="C234" s="1"/>
      <c r="D234" s="1"/>
      <c r="E234" s="1"/>
      <c r="F234" s="1"/>
      <c r="G234" s="1"/>
      <c r="H234" s="1"/>
      <c r="I234" s="1"/>
      <c r="J234" s="1"/>
      <c r="K234" s="1"/>
      <c r="L234" s="1"/>
      <c r="M234" s="1"/>
      <c r="N234" s="1"/>
      <c r="O234" s="1"/>
      <c r="P234" s="1"/>
      <c r="Q234" s="1"/>
      <c r="R234" s="1"/>
      <c r="S234" s="1"/>
      <c r="T234" s="1"/>
      <c r="U234" s="2"/>
      <c r="V234" s="1"/>
      <c r="W234" s="1"/>
      <c r="X234" s="1"/>
      <c r="Y234" s="1"/>
      <c r="Z234" s="1"/>
    </row>
    <row r="235" spans="1:26" ht="24.75" customHeight="1">
      <c r="A235" s="1"/>
      <c r="B235" s="1"/>
      <c r="C235" s="1"/>
      <c r="D235" s="1"/>
      <c r="E235" s="1"/>
      <c r="F235" s="1"/>
      <c r="G235" s="1"/>
      <c r="H235" s="1"/>
      <c r="I235" s="1"/>
      <c r="J235" s="1"/>
      <c r="K235" s="1"/>
      <c r="L235" s="1"/>
      <c r="M235" s="1"/>
      <c r="N235" s="1"/>
      <c r="O235" s="1"/>
      <c r="P235" s="1"/>
      <c r="Q235" s="1"/>
      <c r="R235" s="1"/>
      <c r="S235" s="1"/>
      <c r="T235" s="1"/>
      <c r="U235" s="2"/>
      <c r="V235" s="1"/>
      <c r="W235" s="1"/>
      <c r="X235" s="1"/>
      <c r="Y235" s="1"/>
      <c r="Z235" s="1"/>
    </row>
    <row r="236" spans="1:26" ht="24.75" customHeight="1">
      <c r="A236" s="1"/>
      <c r="B236" s="1"/>
      <c r="C236" s="1"/>
      <c r="D236" s="1"/>
      <c r="E236" s="1"/>
      <c r="F236" s="1"/>
      <c r="G236" s="1"/>
      <c r="H236" s="1"/>
      <c r="I236" s="1"/>
      <c r="J236" s="1"/>
      <c r="K236" s="1"/>
      <c r="L236" s="1"/>
      <c r="M236" s="1"/>
      <c r="N236" s="1"/>
      <c r="O236" s="1"/>
      <c r="P236" s="1"/>
      <c r="Q236" s="1"/>
      <c r="R236" s="1"/>
      <c r="S236" s="1"/>
      <c r="T236" s="1"/>
      <c r="U236" s="2"/>
      <c r="V236" s="1"/>
      <c r="W236" s="1"/>
      <c r="X236" s="1"/>
      <c r="Y236" s="1"/>
      <c r="Z236" s="1"/>
    </row>
    <row r="237" spans="1:26" ht="24.75" customHeight="1">
      <c r="A237" s="1"/>
      <c r="B237" s="1"/>
      <c r="C237" s="1"/>
      <c r="D237" s="1"/>
      <c r="E237" s="1"/>
      <c r="F237" s="1"/>
      <c r="G237" s="1"/>
      <c r="H237" s="1"/>
      <c r="I237" s="1"/>
      <c r="J237" s="1"/>
      <c r="K237" s="1"/>
      <c r="L237" s="1"/>
      <c r="M237" s="1"/>
      <c r="N237" s="1"/>
      <c r="O237" s="1"/>
      <c r="P237" s="1"/>
      <c r="Q237" s="1"/>
      <c r="R237" s="1"/>
      <c r="S237" s="1"/>
      <c r="T237" s="1"/>
      <c r="U237" s="2"/>
      <c r="V237" s="1"/>
      <c r="W237" s="1"/>
      <c r="X237" s="1"/>
      <c r="Y237" s="1"/>
      <c r="Z237" s="1"/>
    </row>
    <row r="238" spans="1:26" ht="24.75" customHeight="1">
      <c r="A238" s="1"/>
      <c r="B238" s="1"/>
      <c r="C238" s="1"/>
      <c r="D238" s="1"/>
      <c r="E238" s="1"/>
      <c r="F238" s="1"/>
      <c r="G238" s="1"/>
      <c r="H238" s="1"/>
      <c r="I238" s="1"/>
      <c r="J238" s="1"/>
      <c r="K238" s="1"/>
      <c r="L238" s="1"/>
      <c r="M238" s="1"/>
      <c r="N238" s="1"/>
      <c r="O238" s="1"/>
      <c r="P238" s="1"/>
      <c r="Q238" s="1"/>
      <c r="R238" s="1"/>
      <c r="S238" s="1"/>
      <c r="T238" s="1"/>
      <c r="U238" s="2"/>
      <c r="V238" s="1"/>
      <c r="W238" s="1"/>
      <c r="X238" s="1"/>
      <c r="Y238" s="1"/>
      <c r="Z238" s="1"/>
    </row>
    <row r="239" spans="1:26" ht="24.75" customHeight="1">
      <c r="A239" s="1"/>
      <c r="B239" s="1"/>
      <c r="C239" s="1"/>
      <c r="D239" s="1"/>
      <c r="E239" s="1"/>
      <c r="F239" s="1"/>
      <c r="G239" s="1"/>
      <c r="H239" s="1"/>
      <c r="I239" s="1"/>
      <c r="J239" s="1"/>
      <c r="K239" s="1"/>
      <c r="L239" s="1"/>
      <c r="M239" s="1"/>
      <c r="N239" s="1"/>
      <c r="O239" s="1"/>
      <c r="P239" s="1"/>
      <c r="Q239" s="1"/>
      <c r="R239" s="1"/>
      <c r="S239" s="1"/>
      <c r="T239" s="1"/>
      <c r="U239" s="2"/>
      <c r="V239" s="1"/>
      <c r="W239" s="1"/>
      <c r="X239" s="1"/>
      <c r="Y239" s="1"/>
      <c r="Z239" s="1"/>
    </row>
    <row r="240" spans="1:26" ht="24.75" customHeight="1">
      <c r="A240" s="1"/>
      <c r="B240" s="1"/>
      <c r="C240" s="1"/>
      <c r="D240" s="1"/>
      <c r="E240" s="1"/>
      <c r="F240" s="1"/>
      <c r="G240" s="1"/>
      <c r="H240" s="1"/>
      <c r="I240" s="1"/>
      <c r="J240" s="1"/>
      <c r="K240" s="1"/>
      <c r="L240" s="1"/>
      <c r="M240" s="1"/>
      <c r="N240" s="1"/>
      <c r="O240" s="1"/>
      <c r="P240" s="1"/>
      <c r="Q240" s="1"/>
      <c r="R240" s="1"/>
      <c r="S240" s="1"/>
      <c r="T240" s="1"/>
      <c r="U240" s="2"/>
      <c r="V240" s="1"/>
      <c r="W240" s="1"/>
      <c r="X240" s="1"/>
      <c r="Y240" s="1"/>
      <c r="Z240" s="1"/>
    </row>
    <row r="241" spans="1:26" ht="24.75" customHeight="1">
      <c r="A241" s="1"/>
      <c r="B241" s="1"/>
      <c r="C241" s="1"/>
      <c r="D241" s="1"/>
      <c r="E241" s="1"/>
      <c r="F241" s="1"/>
      <c r="G241" s="1"/>
      <c r="H241" s="1"/>
      <c r="I241" s="1"/>
      <c r="J241" s="1"/>
      <c r="K241" s="1"/>
      <c r="L241" s="1"/>
      <c r="M241" s="1"/>
      <c r="N241" s="1"/>
      <c r="O241" s="1"/>
      <c r="P241" s="1"/>
      <c r="Q241" s="1"/>
      <c r="R241" s="1"/>
      <c r="S241" s="1"/>
      <c r="T241" s="1"/>
      <c r="U241" s="2"/>
      <c r="V241" s="1"/>
      <c r="W241" s="1"/>
      <c r="X241" s="1"/>
      <c r="Y241" s="1"/>
      <c r="Z241" s="1"/>
    </row>
    <row r="242" spans="1:26" ht="24.75" customHeight="1">
      <c r="A242" s="1"/>
      <c r="B242" s="1"/>
      <c r="C242" s="1"/>
      <c r="D242" s="1"/>
      <c r="E242" s="1"/>
      <c r="F242" s="1"/>
      <c r="G242" s="1"/>
      <c r="H242" s="1"/>
      <c r="I242" s="1"/>
      <c r="J242" s="1"/>
      <c r="K242" s="1"/>
      <c r="L242" s="1"/>
      <c r="M242" s="1"/>
      <c r="N242" s="1"/>
      <c r="O242" s="1"/>
      <c r="P242" s="1"/>
      <c r="Q242" s="1"/>
      <c r="R242" s="1"/>
      <c r="S242" s="1"/>
      <c r="T242" s="1"/>
      <c r="U242" s="2"/>
      <c r="V242" s="1"/>
      <c r="W242" s="1"/>
      <c r="X242" s="1"/>
      <c r="Y242" s="1"/>
      <c r="Z242" s="1"/>
    </row>
    <row r="243" spans="1:26" ht="24.75" customHeight="1">
      <c r="A243" s="1"/>
      <c r="B243" s="1"/>
      <c r="C243" s="1"/>
      <c r="D243" s="1"/>
      <c r="E243" s="1"/>
      <c r="F243" s="1"/>
      <c r="G243" s="1"/>
      <c r="H243" s="1"/>
      <c r="I243" s="1"/>
      <c r="J243" s="1"/>
      <c r="K243" s="1"/>
      <c r="L243" s="1"/>
      <c r="M243" s="1"/>
      <c r="N243" s="1"/>
      <c r="O243" s="1"/>
      <c r="P243" s="1"/>
      <c r="Q243" s="1"/>
      <c r="R243" s="1"/>
      <c r="S243" s="1"/>
      <c r="T243" s="1"/>
      <c r="U243" s="2"/>
      <c r="V243" s="1"/>
      <c r="W243" s="1"/>
      <c r="X243" s="1"/>
      <c r="Y243" s="1"/>
      <c r="Z243" s="1"/>
    </row>
    <row r="244" spans="1:26" ht="24.75" customHeight="1">
      <c r="A244" s="1"/>
      <c r="B244" s="1"/>
      <c r="C244" s="1"/>
      <c r="D244" s="1"/>
      <c r="E244" s="1"/>
      <c r="F244" s="1"/>
      <c r="G244" s="1"/>
      <c r="H244" s="1"/>
      <c r="I244" s="1"/>
      <c r="J244" s="1"/>
      <c r="K244" s="1"/>
      <c r="L244" s="1"/>
      <c r="M244" s="1"/>
      <c r="N244" s="1"/>
      <c r="O244" s="1"/>
      <c r="P244" s="1"/>
      <c r="Q244" s="1"/>
      <c r="R244" s="1"/>
      <c r="S244" s="1"/>
      <c r="T244" s="1"/>
      <c r="U244" s="2"/>
      <c r="V244" s="1"/>
      <c r="W244" s="1"/>
      <c r="X244" s="1"/>
      <c r="Y244" s="1"/>
      <c r="Z244" s="1"/>
    </row>
    <row r="245" spans="1:26" ht="24.75" customHeight="1">
      <c r="A245" s="1"/>
      <c r="B245" s="1"/>
      <c r="C245" s="1"/>
      <c r="D245" s="1"/>
      <c r="E245" s="1"/>
      <c r="F245" s="1"/>
      <c r="G245" s="1"/>
      <c r="H245" s="1"/>
      <c r="I245" s="1"/>
      <c r="J245" s="1"/>
      <c r="K245" s="1"/>
      <c r="L245" s="1"/>
      <c r="M245" s="1"/>
      <c r="N245" s="1"/>
      <c r="O245" s="1"/>
      <c r="P245" s="1"/>
      <c r="Q245" s="1"/>
      <c r="R245" s="1"/>
      <c r="S245" s="1"/>
      <c r="T245" s="1"/>
      <c r="U245" s="2"/>
      <c r="V245" s="1"/>
      <c r="W245" s="1"/>
      <c r="X245" s="1"/>
      <c r="Y245" s="1"/>
      <c r="Z245" s="1"/>
    </row>
    <row r="246" spans="1:26" ht="24.75" customHeight="1">
      <c r="A246" s="1"/>
      <c r="B246" s="1"/>
      <c r="C246" s="1"/>
      <c r="D246" s="1"/>
      <c r="E246" s="1"/>
      <c r="F246" s="1"/>
      <c r="G246" s="1"/>
      <c r="H246" s="1"/>
      <c r="I246" s="1"/>
      <c r="J246" s="1"/>
      <c r="K246" s="1"/>
      <c r="L246" s="1"/>
      <c r="M246" s="1"/>
      <c r="N246" s="1"/>
      <c r="O246" s="1"/>
      <c r="P246" s="1"/>
      <c r="Q246" s="1"/>
      <c r="R246" s="1"/>
      <c r="S246" s="1"/>
      <c r="T246" s="1"/>
      <c r="U246" s="2"/>
      <c r="V246" s="1"/>
      <c r="W246" s="1"/>
      <c r="X246" s="1"/>
      <c r="Y246" s="1"/>
      <c r="Z246" s="1"/>
    </row>
    <row r="247" spans="1:26" ht="24.75" customHeight="1">
      <c r="A247" s="1"/>
      <c r="B247" s="1"/>
      <c r="C247" s="1"/>
      <c r="D247" s="1"/>
      <c r="E247" s="1"/>
      <c r="F247" s="1"/>
      <c r="G247" s="1"/>
      <c r="H247" s="1"/>
      <c r="I247" s="1"/>
      <c r="J247" s="1"/>
      <c r="K247" s="1"/>
      <c r="L247" s="1"/>
      <c r="M247" s="1"/>
      <c r="N247" s="1"/>
      <c r="O247" s="1"/>
      <c r="P247" s="1"/>
      <c r="Q247" s="1"/>
      <c r="R247" s="1"/>
      <c r="S247" s="1"/>
      <c r="T247" s="1"/>
      <c r="U247" s="2"/>
      <c r="V247" s="1"/>
      <c r="W247" s="1"/>
      <c r="X247" s="1"/>
      <c r="Y247" s="1"/>
      <c r="Z247" s="1"/>
    </row>
    <row r="248" spans="1:26" ht="24.75" customHeight="1">
      <c r="A248" s="1"/>
      <c r="B248" s="1"/>
      <c r="C248" s="1"/>
      <c r="D248" s="1"/>
      <c r="E248" s="1"/>
      <c r="F248" s="1"/>
      <c r="G248" s="1"/>
      <c r="H248" s="1"/>
      <c r="I248" s="1"/>
      <c r="J248" s="1"/>
      <c r="K248" s="1"/>
      <c r="L248" s="1"/>
      <c r="M248" s="1"/>
      <c r="N248" s="1"/>
      <c r="O248" s="1"/>
      <c r="P248" s="1"/>
      <c r="Q248" s="1"/>
      <c r="R248" s="1"/>
      <c r="S248" s="1"/>
      <c r="T248" s="1"/>
      <c r="U248" s="2"/>
      <c r="V248" s="1"/>
      <c r="W248" s="1"/>
      <c r="X248" s="1"/>
      <c r="Y248" s="1"/>
      <c r="Z248" s="1"/>
    </row>
    <row r="249" spans="1:26" ht="24.75" customHeight="1">
      <c r="A249" s="1"/>
      <c r="B249" s="1"/>
      <c r="C249" s="1"/>
      <c r="D249" s="1"/>
      <c r="E249" s="1"/>
      <c r="F249" s="1"/>
      <c r="G249" s="1"/>
      <c r="H249" s="1"/>
      <c r="I249" s="1"/>
      <c r="J249" s="1"/>
      <c r="K249" s="1"/>
      <c r="L249" s="1"/>
      <c r="M249" s="1"/>
      <c r="N249" s="1"/>
      <c r="O249" s="1"/>
      <c r="P249" s="1"/>
      <c r="Q249" s="1"/>
      <c r="R249" s="1"/>
      <c r="S249" s="1"/>
      <c r="T249" s="1"/>
      <c r="U249" s="2"/>
      <c r="V249" s="1"/>
      <c r="W249" s="1"/>
      <c r="X249" s="1"/>
      <c r="Y249" s="1"/>
      <c r="Z249" s="1"/>
    </row>
    <row r="250" spans="1:26" ht="24.75" customHeight="1">
      <c r="A250" s="1"/>
      <c r="B250" s="1"/>
      <c r="C250" s="1"/>
      <c r="D250" s="1"/>
      <c r="E250" s="1"/>
      <c r="F250" s="1"/>
      <c r="G250" s="1"/>
      <c r="H250" s="1"/>
      <c r="I250" s="1"/>
      <c r="J250" s="1"/>
      <c r="K250" s="1"/>
      <c r="L250" s="1"/>
      <c r="M250" s="1"/>
      <c r="N250" s="1"/>
      <c r="O250" s="1"/>
      <c r="P250" s="1"/>
      <c r="Q250" s="1"/>
      <c r="R250" s="1"/>
      <c r="S250" s="1"/>
      <c r="T250" s="1"/>
      <c r="U250" s="2"/>
      <c r="V250" s="1"/>
      <c r="W250" s="1"/>
      <c r="X250" s="1"/>
      <c r="Y250" s="1"/>
      <c r="Z250" s="1"/>
    </row>
    <row r="251" spans="1:26" ht="24.75" customHeight="1">
      <c r="A251" s="1"/>
      <c r="B251" s="1"/>
      <c r="C251" s="1"/>
      <c r="D251" s="1"/>
      <c r="E251" s="1"/>
      <c r="F251" s="1"/>
      <c r="G251" s="1"/>
      <c r="H251" s="1"/>
      <c r="I251" s="1"/>
      <c r="J251" s="1"/>
      <c r="K251" s="1"/>
      <c r="L251" s="1"/>
      <c r="M251" s="1"/>
      <c r="N251" s="1"/>
      <c r="O251" s="1"/>
      <c r="P251" s="1"/>
      <c r="Q251" s="1"/>
      <c r="R251" s="1"/>
      <c r="S251" s="1"/>
      <c r="T251" s="1"/>
      <c r="U251" s="2"/>
      <c r="V251" s="1"/>
      <c r="W251" s="1"/>
      <c r="X251" s="1"/>
      <c r="Y251" s="1"/>
      <c r="Z251" s="1"/>
    </row>
    <row r="252" spans="1:26" ht="24.75" customHeight="1">
      <c r="A252" s="1"/>
      <c r="B252" s="1"/>
      <c r="C252" s="1"/>
      <c r="D252" s="1"/>
      <c r="E252" s="1"/>
      <c r="F252" s="1"/>
      <c r="G252" s="1"/>
      <c r="H252" s="1"/>
      <c r="I252" s="1"/>
      <c r="J252" s="1"/>
      <c r="K252" s="1"/>
      <c r="L252" s="1"/>
      <c r="M252" s="1"/>
      <c r="N252" s="1"/>
      <c r="O252" s="1"/>
      <c r="P252" s="1"/>
      <c r="Q252" s="1"/>
      <c r="R252" s="1"/>
      <c r="S252" s="1"/>
      <c r="T252" s="1"/>
      <c r="U252" s="2"/>
      <c r="V252" s="1"/>
      <c r="W252" s="1"/>
      <c r="X252" s="1"/>
      <c r="Y252" s="1"/>
      <c r="Z252" s="1"/>
    </row>
    <row r="253" spans="1:26" ht="24.75" customHeight="1">
      <c r="A253" s="1"/>
      <c r="B253" s="1"/>
      <c r="C253" s="1"/>
      <c r="D253" s="1"/>
      <c r="E253" s="1"/>
      <c r="F253" s="1"/>
      <c r="G253" s="1"/>
      <c r="H253" s="1"/>
      <c r="I253" s="1"/>
      <c r="J253" s="1"/>
      <c r="K253" s="1"/>
      <c r="L253" s="1"/>
      <c r="M253" s="1"/>
      <c r="N253" s="1"/>
      <c r="O253" s="1"/>
      <c r="P253" s="1"/>
      <c r="Q253" s="1"/>
      <c r="R253" s="1"/>
      <c r="S253" s="1"/>
      <c r="T253" s="1"/>
      <c r="U253" s="2"/>
      <c r="V253" s="1"/>
      <c r="W253" s="1"/>
      <c r="X253" s="1"/>
      <c r="Y253" s="1"/>
      <c r="Z253" s="1"/>
    </row>
    <row r="254" spans="1:26" ht="24.75" customHeight="1">
      <c r="A254" s="1"/>
      <c r="B254" s="1"/>
      <c r="C254" s="1"/>
      <c r="D254" s="1"/>
      <c r="E254" s="1"/>
      <c r="F254" s="1"/>
      <c r="G254" s="1"/>
      <c r="H254" s="1"/>
      <c r="I254" s="1"/>
      <c r="J254" s="1"/>
      <c r="K254" s="1"/>
      <c r="L254" s="1"/>
      <c r="M254" s="1"/>
      <c r="N254" s="1"/>
      <c r="O254" s="1"/>
      <c r="P254" s="1"/>
      <c r="Q254" s="1"/>
      <c r="R254" s="1"/>
      <c r="S254" s="1"/>
      <c r="T254" s="1"/>
      <c r="U254" s="2"/>
      <c r="V254" s="1"/>
      <c r="W254" s="1"/>
      <c r="X254" s="1"/>
      <c r="Y254" s="1"/>
      <c r="Z254" s="1"/>
    </row>
    <row r="255" spans="1:26" ht="24.75" customHeight="1">
      <c r="A255" s="1"/>
      <c r="B255" s="1"/>
      <c r="C255" s="1"/>
      <c r="D255" s="1"/>
      <c r="E255" s="1"/>
      <c r="F255" s="1"/>
      <c r="G255" s="1"/>
      <c r="H255" s="1"/>
      <c r="I255" s="1"/>
      <c r="J255" s="1"/>
      <c r="K255" s="1"/>
      <c r="L255" s="1"/>
      <c r="M255" s="1"/>
      <c r="N255" s="1"/>
      <c r="O255" s="1"/>
      <c r="P255" s="1"/>
      <c r="Q255" s="1"/>
      <c r="R255" s="1"/>
      <c r="S255" s="1"/>
      <c r="T255" s="1"/>
      <c r="U255" s="2"/>
      <c r="V255" s="1"/>
      <c r="W255" s="1"/>
      <c r="X255" s="1"/>
      <c r="Y255" s="1"/>
      <c r="Z255" s="1"/>
    </row>
    <row r="256" spans="1:26" ht="24.75" customHeight="1">
      <c r="A256" s="1"/>
      <c r="B256" s="1"/>
      <c r="C256" s="1"/>
      <c r="D256" s="1"/>
      <c r="E256" s="1"/>
      <c r="F256" s="1"/>
      <c r="G256" s="1"/>
      <c r="H256" s="1"/>
      <c r="I256" s="1"/>
      <c r="J256" s="1"/>
      <c r="K256" s="1"/>
      <c r="L256" s="1"/>
      <c r="M256" s="1"/>
      <c r="N256" s="1"/>
      <c r="O256" s="1"/>
      <c r="P256" s="1"/>
      <c r="Q256" s="1"/>
      <c r="R256" s="1"/>
      <c r="S256" s="1"/>
      <c r="T256" s="1"/>
      <c r="U256" s="2"/>
      <c r="V256" s="1"/>
      <c r="W256" s="1"/>
      <c r="X256" s="1"/>
      <c r="Y256" s="1"/>
      <c r="Z256" s="1"/>
    </row>
    <row r="257" spans="1:26" ht="24.75" customHeight="1">
      <c r="A257" s="1"/>
      <c r="B257" s="1"/>
      <c r="C257" s="1"/>
      <c r="D257" s="1"/>
      <c r="E257" s="1"/>
      <c r="F257" s="1"/>
      <c r="G257" s="1"/>
      <c r="H257" s="1"/>
      <c r="I257" s="1"/>
      <c r="J257" s="1"/>
      <c r="K257" s="1"/>
      <c r="L257" s="1"/>
      <c r="M257" s="1"/>
      <c r="N257" s="1"/>
      <c r="O257" s="1"/>
      <c r="P257" s="1"/>
      <c r="Q257" s="1"/>
      <c r="R257" s="1"/>
      <c r="S257" s="1"/>
      <c r="T257" s="1"/>
      <c r="U257" s="2"/>
      <c r="V257" s="1"/>
      <c r="W257" s="1"/>
      <c r="X257" s="1"/>
      <c r="Y257" s="1"/>
      <c r="Z257" s="1"/>
    </row>
    <row r="258" spans="1:26" ht="24.75" customHeight="1">
      <c r="A258" s="1"/>
      <c r="B258" s="1"/>
      <c r="C258" s="1"/>
      <c r="D258" s="1"/>
      <c r="E258" s="1"/>
      <c r="F258" s="1"/>
      <c r="G258" s="1"/>
      <c r="H258" s="1"/>
      <c r="I258" s="1"/>
      <c r="J258" s="1"/>
      <c r="K258" s="1"/>
      <c r="L258" s="1"/>
      <c r="M258" s="1"/>
      <c r="N258" s="1"/>
      <c r="O258" s="1"/>
      <c r="P258" s="1"/>
      <c r="Q258" s="1"/>
      <c r="R258" s="1"/>
      <c r="S258" s="1"/>
      <c r="T258" s="1"/>
      <c r="U258" s="2"/>
      <c r="V258" s="1"/>
      <c r="W258" s="1"/>
      <c r="X258" s="1"/>
      <c r="Y258" s="1"/>
      <c r="Z258" s="1"/>
    </row>
    <row r="259" spans="1:26" ht="24.75" customHeight="1">
      <c r="A259" s="1"/>
      <c r="B259" s="1"/>
      <c r="C259" s="1"/>
      <c r="D259" s="1"/>
      <c r="E259" s="1"/>
      <c r="F259" s="1"/>
      <c r="G259" s="1"/>
      <c r="H259" s="1"/>
      <c r="I259" s="1"/>
      <c r="J259" s="1"/>
      <c r="K259" s="1"/>
      <c r="L259" s="1"/>
      <c r="M259" s="1"/>
      <c r="N259" s="1"/>
      <c r="O259" s="1"/>
      <c r="P259" s="1"/>
      <c r="Q259" s="1"/>
      <c r="R259" s="1"/>
      <c r="S259" s="1"/>
      <c r="T259" s="1"/>
      <c r="U259" s="2"/>
      <c r="V259" s="1"/>
      <c r="W259" s="1"/>
      <c r="X259" s="1"/>
      <c r="Y259" s="1"/>
      <c r="Z259" s="1"/>
    </row>
    <row r="260" spans="1:26" ht="24.75" customHeight="1">
      <c r="A260" s="1"/>
      <c r="B260" s="1"/>
      <c r="C260" s="1"/>
      <c r="D260" s="1"/>
      <c r="E260" s="1"/>
      <c r="F260" s="1"/>
      <c r="G260" s="1"/>
      <c r="H260" s="1"/>
      <c r="I260" s="1"/>
      <c r="J260" s="1"/>
      <c r="K260" s="1"/>
      <c r="L260" s="1"/>
      <c r="M260" s="1"/>
      <c r="N260" s="1"/>
      <c r="O260" s="1"/>
      <c r="P260" s="1"/>
      <c r="Q260" s="1"/>
      <c r="R260" s="1"/>
      <c r="S260" s="1"/>
      <c r="T260" s="1"/>
      <c r="U260" s="2"/>
      <c r="V260" s="1"/>
      <c r="W260" s="1"/>
      <c r="X260" s="1"/>
      <c r="Y260" s="1"/>
      <c r="Z260" s="1"/>
    </row>
    <row r="261" spans="1:26" ht="24.75" customHeight="1">
      <c r="A261" s="1"/>
      <c r="B261" s="1"/>
      <c r="C261" s="1"/>
      <c r="D261" s="1"/>
      <c r="E261" s="1"/>
      <c r="F261" s="1"/>
      <c r="G261" s="1"/>
      <c r="H261" s="1"/>
      <c r="I261" s="1"/>
      <c r="J261" s="1"/>
      <c r="K261" s="1"/>
      <c r="L261" s="1"/>
      <c r="M261" s="1"/>
      <c r="N261" s="1"/>
      <c r="O261" s="1"/>
      <c r="P261" s="1"/>
      <c r="Q261" s="1"/>
      <c r="R261" s="1"/>
      <c r="S261" s="1"/>
      <c r="T261" s="1"/>
      <c r="U261" s="2"/>
      <c r="V261" s="1"/>
      <c r="W261" s="1"/>
      <c r="X261" s="1"/>
      <c r="Y261" s="1"/>
      <c r="Z261" s="1"/>
    </row>
    <row r="262" spans="1:26" ht="24.75" customHeight="1">
      <c r="A262" s="1"/>
      <c r="B262" s="1"/>
      <c r="C262" s="1"/>
      <c r="D262" s="1"/>
      <c r="E262" s="1"/>
      <c r="F262" s="1"/>
      <c r="G262" s="1"/>
      <c r="H262" s="1"/>
      <c r="I262" s="1"/>
      <c r="J262" s="1"/>
      <c r="K262" s="1"/>
      <c r="L262" s="1"/>
      <c r="M262" s="1"/>
      <c r="N262" s="1"/>
      <c r="O262" s="1"/>
      <c r="P262" s="1"/>
      <c r="Q262" s="1"/>
      <c r="R262" s="1"/>
      <c r="S262" s="1"/>
      <c r="T262" s="1"/>
      <c r="U262" s="2"/>
      <c r="V262" s="1"/>
      <c r="W262" s="1"/>
      <c r="X262" s="1"/>
      <c r="Y262" s="1"/>
      <c r="Z262" s="1"/>
    </row>
    <row r="263" spans="1:26" ht="24.75" customHeight="1">
      <c r="A263" s="1"/>
      <c r="B263" s="1"/>
      <c r="C263" s="1"/>
      <c r="D263" s="1"/>
      <c r="E263" s="1"/>
      <c r="F263" s="1"/>
      <c r="G263" s="1"/>
      <c r="H263" s="1"/>
      <c r="I263" s="1"/>
      <c r="J263" s="1"/>
      <c r="K263" s="1"/>
      <c r="L263" s="1"/>
      <c r="M263" s="1"/>
      <c r="N263" s="1"/>
      <c r="O263" s="1"/>
      <c r="P263" s="1"/>
      <c r="Q263" s="1"/>
      <c r="R263" s="1"/>
      <c r="S263" s="1"/>
      <c r="T263" s="1"/>
      <c r="U263" s="2"/>
      <c r="V263" s="1"/>
      <c r="W263" s="1"/>
      <c r="X263" s="1"/>
      <c r="Y263" s="1"/>
      <c r="Z263" s="1"/>
    </row>
    <row r="264" spans="1:26" ht="24.75" customHeight="1">
      <c r="A264" s="1"/>
      <c r="B264" s="1"/>
      <c r="C264" s="1"/>
      <c r="D264" s="1"/>
      <c r="E264" s="1"/>
      <c r="F264" s="1"/>
      <c r="G264" s="1"/>
      <c r="H264" s="1"/>
      <c r="I264" s="1"/>
      <c r="J264" s="1"/>
      <c r="K264" s="1"/>
      <c r="L264" s="1"/>
      <c r="M264" s="1"/>
      <c r="N264" s="1"/>
      <c r="O264" s="1"/>
      <c r="P264" s="1"/>
      <c r="Q264" s="1"/>
      <c r="R264" s="1"/>
      <c r="S264" s="1"/>
      <c r="T264" s="1"/>
      <c r="U264" s="2"/>
      <c r="V264" s="1"/>
      <c r="W264" s="1"/>
      <c r="X264" s="1"/>
      <c r="Y264" s="1"/>
      <c r="Z264" s="1"/>
    </row>
    <row r="265" spans="1:26" ht="24.75" customHeight="1">
      <c r="A265" s="1"/>
      <c r="B265" s="1"/>
      <c r="C265" s="1"/>
      <c r="D265" s="1"/>
      <c r="E265" s="1"/>
      <c r="F265" s="1"/>
      <c r="G265" s="1"/>
      <c r="H265" s="1"/>
      <c r="I265" s="1"/>
      <c r="J265" s="1"/>
      <c r="K265" s="1"/>
      <c r="L265" s="1"/>
      <c r="M265" s="1"/>
      <c r="N265" s="1"/>
      <c r="O265" s="1"/>
      <c r="P265" s="1"/>
      <c r="Q265" s="1"/>
      <c r="R265" s="1"/>
      <c r="S265" s="1"/>
      <c r="T265" s="1"/>
      <c r="U265" s="2"/>
      <c r="V265" s="1"/>
      <c r="W265" s="1"/>
      <c r="X265" s="1"/>
      <c r="Y265" s="1"/>
      <c r="Z265" s="1"/>
    </row>
    <row r="266" spans="1:26" ht="24.75" customHeight="1">
      <c r="A266" s="1"/>
      <c r="B266" s="1"/>
      <c r="C266" s="1"/>
      <c r="D266" s="1"/>
      <c r="E266" s="1"/>
      <c r="F266" s="1"/>
      <c r="G266" s="1"/>
      <c r="H266" s="1"/>
      <c r="I266" s="1"/>
      <c r="J266" s="1"/>
      <c r="K266" s="1"/>
      <c r="L266" s="1"/>
      <c r="M266" s="1"/>
      <c r="N266" s="1"/>
      <c r="O266" s="1"/>
      <c r="P266" s="1"/>
      <c r="Q266" s="1"/>
      <c r="R266" s="1"/>
      <c r="S266" s="1"/>
      <c r="T266" s="1"/>
      <c r="U266" s="2"/>
      <c r="V266" s="1"/>
      <c r="W266" s="1"/>
      <c r="X266" s="1"/>
      <c r="Y266" s="1"/>
      <c r="Z266" s="1"/>
    </row>
    <row r="267" spans="1:26" ht="24.75" customHeight="1">
      <c r="A267" s="1"/>
      <c r="B267" s="1"/>
      <c r="C267" s="1"/>
      <c r="D267" s="1"/>
      <c r="E267" s="1"/>
      <c r="F267" s="1"/>
      <c r="G267" s="1"/>
      <c r="H267" s="1"/>
      <c r="I267" s="1"/>
      <c r="J267" s="1"/>
      <c r="K267" s="1"/>
      <c r="L267" s="1"/>
      <c r="M267" s="1"/>
      <c r="N267" s="1"/>
      <c r="O267" s="1"/>
      <c r="P267" s="1"/>
      <c r="Q267" s="1"/>
      <c r="R267" s="1"/>
      <c r="S267" s="1"/>
      <c r="T267" s="1"/>
      <c r="U267" s="2"/>
      <c r="V267" s="1"/>
      <c r="W267" s="1"/>
      <c r="X267" s="1"/>
      <c r="Y267" s="1"/>
      <c r="Z267" s="1"/>
    </row>
    <row r="268" spans="1:26" ht="24.75" customHeight="1">
      <c r="A268" s="1"/>
      <c r="B268" s="1"/>
      <c r="C268" s="1"/>
      <c r="D268" s="1"/>
      <c r="E268" s="1"/>
      <c r="F268" s="1"/>
      <c r="G268" s="1"/>
      <c r="H268" s="1"/>
      <c r="I268" s="1"/>
      <c r="J268" s="1"/>
      <c r="K268" s="1"/>
      <c r="L268" s="1"/>
      <c r="M268" s="1"/>
      <c r="N268" s="1"/>
      <c r="O268" s="1"/>
      <c r="P268" s="1"/>
      <c r="Q268" s="1"/>
      <c r="R268" s="1"/>
      <c r="S268" s="1"/>
      <c r="T268" s="1"/>
      <c r="U268" s="2"/>
      <c r="V268" s="1"/>
      <c r="W268" s="1"/>
      <c r="X268" s="1"/>
      <c r="Y268" s="1"/>
      <c r="Z268" s="1"/>
    </row>
    <row r="269" spans="1:26" ht="24.75" customHeight="1">
      <c r="A269" s="1"/>
      <c r="B269" s="1"/>
      <c r="C269" s="1"/>
      <c r="D269" s="1"/>
      <c r="E269" s="1"/>
      <c r="F269" s="1"/>
      <c r="G269" s="1"/>
      <c r="H269" s="1"/>
      <c r="I269" s="1"/>
      <c r="J269" s="1"/>
      <c r="K269" s="1"/>
      <c r="L269" s="1"/>
      <c r="M269" s="1"/>
      <c r="N269" s="1"/>
      <c r="O269" s="1"/>
      <c r="P269" s="1"/>
      <c r="Q269" s="1"/>
      <c r="R269" s="1"/>
      <c r="S269" s="1"/>
      <c r="T269" s="1"/>
      <c r="U269" s="2"/>
      <c r="V269" s="1"/>
      <c r="W269" s="1"/>
      <c r="X269" s="1"/>
      <c r="Y269" s="1"/>
      <c r="Z269" s="1"/>
    </row>
    <row r="270" spans="1:26" ht="24.75" customHeight="1">
      <c r="A270" s="1"/>
      <c r="B270" s="1"/>
      <c r="C270" s="1"/>
      <c r="D270" s="1"/>
      <c r="E270" s="1"/>
      <c r="F270" s="1"/>
      <c r="G270" s="1"/>
      <c r="H270" s="1"/>
      <c r="I270" s="1"/>
      <c r="J270" s="1"/>
      <c r="K270" s="1"/>
      <c r="L270" s="1"/>
      <c r="M270" s="1"/>
      <c r="N270" s="1"/>
      <c r="O270" s="1"/>
      <c r="P270" s="1"/>
      <c r="Q270" s="1"/>
      <c r="R270" s="1"/>
      <c r="S270" s="1"/>
      <c r="T270" s="1"/>
      <c r="U270" s="2"/>
      <c r="V270" s="1"/>
      <c r="W270" s="1"/>
      <c r="X270" s="1"/>
      <c r="Y270" s="1"/>
      <c r="Z270" s="1"/>
    </row>
    <row r="271" spans="1:26" ht="24.75" customHeight="1">
      <c r="A271" s="1"/>
      <c r="B271" s="1"/>
      <c r="C271" s="1"/>
      <c r="D271" s="1"/>
      <c r="E271" s="1"/>
      <c r="F271" s="1"/>
      <c r="G271" s="1"/>
      <c r="H271" s="1"/>
      <c r="I271" s="1"/>
      <c r="J271" s="1"/>
      <c r="K271" s="1"/>
      <c r="L271" s="1"/>
      <c r="M271" s="1"/>
      <c r="N271" s="1"/>
      <c r="O271" s="1"/>
      <c r="P271" s="1"/>
      <c r="Q271" s="1"/>
      <c r="R271" s="1"/>
      <c r="S271" s="1"/>
      <c r="T271" s="1"/>
      <c r="U271" s="2"/>
      <c r="V271" s="1"/>
      <c r="W271" s="1"/>
      <c r="X271" s="1"/>
      <c r="Y271" s="1"/>
      <c r="Z271" s="1"/>
    </row>
    <row r="272" spans="1:26" ht="24.75" customHeight="1">
      <c r="A272" s="1"/>
      <c r="B272" s="1"/>
      <c r="C272" s="1"/>
      <c r="D272" s="1"/>
      <c r="E272" s="1"/>
      <c r="F272" s="1"/>
      <c r="G272" s="1"/>
      <c r="H272" s="1"/>
      <c r="I272" s="1"/>
      <c r="J272" s="1"/>
      <c r="K272" s="1"/>
      <c r="L272" s="1"/>
      <c r="M272" s="1"/>
      <c r="N272" s="1"/>
      <c r="O272" s="1"/>
      <c r="P272" s="1"/>
      <c r="Q272" s="1"/>
      <c r="R272" s="1"/>
      <c r="S272" s="1"/>
      <c r="T272" s="1"/>
      <c r="U272" s="2"/>
      <c r="V272" s="1"/>
      <c r="W272" s="1"/>
      <c r="X272" s="1"/>
      <c r="Y272" s="1"/>
      <c r="Z272" s="1"/>
    </row>
    <row r="273" spans="1:26" ht="24.75" customHeight="1">
      <c r="A273" s="1"/>
      <c r="B273" s="1"/>
      <c r="C273" s="1"/>
      <c r="D273" s="1"/>
      <c r="E273" s="1"/>
      <c r="F273" s="1"/>
      <c r="G273" s="1"/>
      <c r="H273" s="1"/>
      <c r="I273" s="1"/>
      <c r="J273" s="1"/>
      <c r="K273" s="1"/>
      <c r="L273" s="1"/>
      <c r="M273" s="1"/>
      <c r="N273" s="1"/>
      <c r="O273" s="1"/>
      <c r="P273" s="1"/>
      <c r="Q273" s="1"/>
      <c r="R273" s="1"/>
      <c r="S273" s="1"/>
      <c r="T273" s="1"/>
      <c r="U273" s="2"/>
      <c r="V273" s="1"/>
      <c r="W273" s="1"/>
      <c r="X273" s="1"/>
      <c r="Y273" s="1"/>
      <c r="Z273" s="1"/>
    </row>
    <row r="274" spans="1:26" ht="24.75" customHeight="1">
      <c r="A274" s="1"/>
      <c r="B274" s="1"/>
      <c r="C274" s="1"/>
      <c r="D274" s="1"/>
      <c r="E274" s="1"/>
      <c r="F274" s="1"/>
      <c r="G274" s="1"/>
      <c r="H274" s="1"/>
      <c r="I274" s="1"/>
      <c r="J274" s="1"/>
      <c r="K274" s="1"/>
      <c r="L274" s="1"/>
      <c r="M274" s="1"/>
      <c r="N274" s="1"/>
      <c r="O274" s="1"/>
      <c r="P274" s="1"/>
      <c r="Q274" s="1"/>
      <c r="R274" s="1"/>
      <c r="S274" s="1"/>
      <c r="T274" s="1"/>
      <c r="U274" s="2"/>
      <c r="V274" s="1"/>
      <c r="W274" s="1"/>
      <c r="X274" s="1"/>
      <c r="Y274" s="1"/>
      <c r="Z274" s="1"/>
    </row>
    <row r="275" spans="1:26" ht="24.75" customHeight="1">
      <c r="A275" s="1"/>
      <c r="B275" s="1"/>
      <c r="C275" s="1"/>
      <c r="D275" s="1"/>
      <c r="E275" s="1"/>
      <c r="F275" s="1"/>
      <c r="G275" s="1"/>
      <c r="H275" s="1"/>
      <c r="I275" s="1"/>
      <c r="J275" s="1"/>
      <c r="K275" s="1"/>
      <c r="L275" s="1"/>
      <c r="M275" s="1"/>
      <c r="N275" s="1"/>
      <c r="O275" s="1"/>
      <c r="P275" s="1"/>
      <c r="Q275" s="1"/>
      <c r="R275" s="1"/>
      <c r="S275" s="1"/>
      <c r="T275" s="1"/>
      <c r="U275" s="2"/>
      <c r="V275" s="1"/>
      <c r="W275" s="1"/>
      <c r="X275" s="1"/>
      <c r="Y275" s="1"/>
      <c r="Z275" s="1"/>
    </row>
    <row r="276" spans="1:26" ht="24.75" customHeight="1">
      <c r="A276" s="1"/>
      <c r="B276" s="1"/>
      <c r="C276" s="1"/>
      <c r="D276" s="1"/>
      <c r="E276" s="1"/>
      <c r="F276" s="1"/>
      <c r="G276" s="1"/>
      <c r="H276" s="1"/>
      <c r="I276" s="1"/>
      <c r="J276" s="1"/>
      <c r="K276" s="1"/>
      <c r="L276" s="1"/>
      <c r="M276" s="1"/>
      <c r="N276" s="1"/>
      <c r="O276" s="1"/>
      <c r="P276" s="1"/>
      <c r="Q276" s="1"/>
      <c r="R276" s="1"/>
      <c r="S276" s="1"/>
      <c r="T276" s="1"/>
      <c r="U276" s="2"/>
      <c r="V276" s="1"/>
      <c r="W276" s="1"/>
      <c r="X276" s="1"/>
      <c r="Y276" s="1"/>
      <c r="Z276" s="1"/>
    </row>
    <row r="277" spans="1:26" ht="24.75" customHeight="1">
      <c r="A277" s="1"/>
      <c r="B277" s="1"/>
      <c r="C277" s="1"/>
      <c r="D277" s="1"/>
      <c r="E277" s="1"/>
      <c r="F277" s="1"/>
      <c r="G277" s="1"/>
      <c r="H277" s="1"/>
      <c r="I277" s="1"/>
      <c r="J277" s="1"/>
      <c r="K277" s="1"/>
      <c r="L277" s="1"/>
      <c r="M277" s="1"/>
      <c r="N277" s="1"/>
      <c r="O277" s="1"/>
      <c r="P277" s="1"/>
      <c r="Q277" s="1"/>
      <c r="R277" s="1"/>
      <c r="S277" s="1"/>
      <c r="T277" s="1"/>
      <c r="U277" s="2"/>
      <c r="V277" s="1"/>
      <c r="W277" s="1"/>
      <c r="X277" s="1"/>
      <c r="Y277" s="1"/>
      <c r="Z277" s="1"/>
    </row>
    <row r="278" spans="1:26" ht="24.75" customHeight="1">
      <c r="A278" s="1"/>
      <c r="B278" s="1"/>
      <c r="C278" s="1"/>
      <c r="D278" s="1"/>
      <c r="E278" s="1"/>
      <c r="F278" s="1"/>
      <c r="G278" s="1"/>
      <c r="H278" s="1"/>
      <c r="I278" s="1"/>
      <c r="J278" s="1"/>
      <c r="K278" s="1"/>
      <c r="L278" s="1"/>
      <c r="M278" s="1"/>
      <c r="N278" s="1"/>
      <c r="O278" s="1"/>
      <c r="P278" s="1"/>
      <c r="Q278" s="1"/>
      <c r="R278" s="1"/>
      <c r="S278" s="1"/>
      <c r="T278" s="1"/>
      <c r="U278" s="2"/>
      <c r="V278" s="1"/>
      <c r="W278" s="1"/>
      <c r="X278" s="1"/>
      <c r="Y278" s="1"/>
      <c r="Z278" s="1"/>
    </row>
    <row r="279" spans="1:26" ht="24.75" customHeight="1">
      <c r="A279" s="1"/>
      <c r="B279" s="1"/>
      <c r="C279" s="1"/>
      <c r="D279" s="1"/>
      <c r="E279" s="1"/>
      <c r="F279" s="1"/>
      <c r="G279" s="1"/>
      <c r="H279" s="1"/>
      <c r="I279" s="1"/>
      <c r="J279" s="1"/>
      <c r="K279" s="1"/>
      <c r="L279" s="1"/>
      <c r="M279" s="1"/>
      <c r="N279" s="1"/>
      <c r="O279" s="1"/>
      <c r="P279" s="1"/>
      <c r="Q279" s="1"/>
      <c r="R279" s="1"/>
      <c r="S279" s="1"/>
      <c r="T279" s="1"/>
      <c r="U279" s="2"/>
      <c r="V279" s="1"/>
      <c r="W279" s="1"/>
      <c r="X279" s="1"/>
      <c r="Y279" s="1"/>
      <c r="Z279" s="1"/>
    </row>
    <row r="280" spans="1:26" ht="24.75" customHeight="1">
      <c r="A280" s="1"/>
      <c r="B280" s="1"/>
      <c r="C280" s="1"/>
      <c r="D280" s="1"/>
      <c r="E280" s="1"/>
      <c r="F280" s="1"/>
      <c r="G280" s="1"/>
      <c r="H280" s="1"/>
      <c r="I280" s="1"/>
      <c r="J280" s="1"/>
      <c r="K280" s="1"/>
      <c r="L280" s="1"/>
      <c r="M280" s="1"/>
      <c r="N280" s="1"/>
      <c r="O280" s="1"/>
      <c r="P280" s="1"/>
      <c r="Q280" s="1"/>
      <c r="R280" s="1"/>
      <c r="S280" s="1"/>
      <c r="T280" s="1"/>
      <c r="U280" s="2"/>
      <c r="V280" s="1"/>
      <c r="W280" s="1"/>
      <c r="X280" s="1"/>
      <c r="Y280" s="1"/>
      <c r="Z280" s="1"/>
    </row>
    <row r="281" spans="1:26" ht="24.75" customHeight="1">
      <c r="A281" s="1"/>
      <c r="B281" s="1"/>
      <c r="C281" s="1"/>
      <c r="D281" s="1"/>
      <c r="E281" s="1"/>
      <c r="F281" s="1"/>
      <c r="G281" s="1"/>
      <c r="H281" s="1"/>
      <c r="I281" s="1"/>
      <c r="J281" s="1"/>
      <c r="K281" s="1"/>
      <c r="L281" s="1"/>
      <c r="M281" s="1"/>
      <c r="N281" s="1"/>
      <c r="O281" s="1"/>
      <c r="P281" s="1"/>
      <c r="Q281" s="1"/>
      <c r="R281" s="1"/>
      <c r="S281" s="1"/>
      <c r="T281" s="1"/>
      <c r="U281" s="2"/>
      <c r="V281" s="1"/>
      <c r="W281" s="1"/>
      <c r="X281" s="1"/>
      <c r="Y281" s="1"/>
      <c r="Z281" s="1"/>
    </row>
    <row r="282" spans="1:26" ht="24.75" customHeight="1">
      <c r="A282" s="1"/>
      <c r="B282" s="1"/>
      <c r="C282" s="1"/>
      <c r="D282" s="1"/>
      <c r="E282" s="1"/>
      <c r="F282" s="1"/>
      <c r="G282" s="1"/>
      <c r="H282" s="1"/>
      <c r="I282" s="1"/>
      <c r="J282" s="1"/>
      <c r="K282" s="1"/>
      <c r="L282" s="1"/>
      <c r="M282" s="1"/>
      <c r="N282" s="1"/>
      <c r="O282" s="1"/>
      <c r="P282" s="1"/>
      <c r="Q282" s="1"/>
      <c r="R282" s="1"/>
      <c r="S282" s="1"/>
      <c r="T282" s="1"/>
      <c r="U282" s="2"/>
      <c r="V282" s="1"/>
      <c r="W282" s="1"/>
      <c r="X282" s="1"/>
      <c r="Y282" s="1"/>
      <c r="Z282" s="1"/>
    </row>
    <row r="283" spans="1:26" ht="24.75" customHeight="1">
      <c r="A283" s="1"/>
      <c r="B283" s="1"/>
      <c r="C283" s="1"/>
      <c r="D283" s="1"/>
      <c r="E283" s="1"/>
      <c r="F283" s="1"/>
      <c r="G283" s="1"/>
      <c r="H283" s="1"/>
      <c r="I283" s="1"/>
      <c r="J283" s="1"/>
      <c r="K283" s="1"/>
      <c r="L283" s="1"/>
      <c r="M283" s="1"/>
      <c r="N283" s="1"/>
      <c r="O283" s="1"/>
      <c r="P283" s="1"/>
      <c r="Q283" s="1"/>
      <c r="R283" s="1"/>
      <c r="S283" s="1"/>
      <c r="T283" s="1"/>
      <c r="U283" s="2"/>
      <c r="V283" s="1"/>
      <c r="W283" s="1"/>
      <c r="X283" s="1"/>
      <c r="Y283" s="1"/>
      <c r="Z283" s="1"/>
    </row>
    <row r="284" spans="1:26" ht="24.75" customHeight="1">
      <c r="A284" s="1"/>
      <c r="B284" s="1"/>
      <c r="C284" s="1"/>
      <c r="D284" s="1"/>
      <c r="E284" s="1"/>
      <c r="F284" s="1"/>
      <c r="G284" s="1"/>
      <c r="H284" s="1"/>
      <c r="I284" s="1"/>
      <c r="J284" s="1"/>
      <c r="K284" s="1"/>
      <c r="L284" s="1"/>
      <c r="M284" s="1"/>
      <c r="N284" s="1"/>
      <c r="O284" s="1"/>
      <c r="P284" s="1"/>
      <c r="Q284" s="1"/>
      <c r="R284" s="1"/>
      <c r="S284" s="1"/>
      <c r="T284" s="1"/>
      <c r="U284" s="2"/>
      <c r="V284" s="1"/>
      <c r="W284" s="1"/>
      <c r="X284" s="1"/>
      <c r="Y284" s="1"/>
      <c r="Z284" s="1"/>
    </row>
    <row r="285" spans="1:26" ht="24.75" customHeight="1">
      <c r="A285" s="1"/>
      <c r="B285" s="1"/>
      <c r="C285" s="1"/>
      <c r="D285" s="1"/>
      <c r="E285" s="1"/>
      <c r="F285" s="1"/>
      <c r="G285" s="1"/>
      <c r="H285" s="1"/>
      <c r="I285" s="1"/>
      <c r="J285" s="1"/>
      <c r="K285" s="1"/>
      <c r="L285" s="1"/>
      <c r="M285" s="1"/>
      <c r="N285" s="1"/>
      <c r="O285" s="1"/>
      <c r="P285" s="1"/>
      <c r="Q285" s="1"/>
      <c r="R285" s="1"/>
      <c r="S285" s="1"/>
      <c r="T285" s="1"/>
      <c r="U285" s="2"/>
      <c r="V285" s="1"/>
      <c r="W285" s="1"/>
      <c r="X285" s="1"/>
      <c r="Y285" s="1"/>
      <c r="Z285" s="1"/>
    </row>
    <row r="286" spans="1:26" ht="24.75" customHeight="1">
      <c r="A286" s="1"/>
      <c r="B286" s="1"/>
      <c r="C286" s="1"/>
      <c r="D286" s="1"/>
      <c r="E286" s="1"/>
      <c r="F286" s="1"/>
      <c r="G286" s="1"/>
      <c r="H286" s="1"/>
      <c r="I286" s="1"/>
      <c r="J286" s="1"/>
      <c r="K286" s="1"/>
      <c r="L286" s="1"/>
      <c r="M286" s="1"/>
      <c r="N286" s="1"/>
      <c r="O286" s="1"/>
      <c r="P286" s="1"/>
      <c r="Q286" s="1"/>
      <c r="R286" s="1"/>
      <c r="S286" s="1"/>
      <c r="T286" s="1"/>
      <c r="U286" s="2"/>
      <c r="V286" s="1"/>
      <c r="W286" s="1"/>
      <c r="X286" s="1"/>
      <c r="Y286" s="1"/>
      <c r="Z286" s="1"/>
    </row>
    <row r="287" spans="1:26" ht="24.75" customHeight="1">
      <c r="A287" s="1"/>
      <c r="B287" s="1"/>
      <c r="C287" s="1"/>
      <c r="D287" s="1"/>
      <c r="E287" s="1"/>
      <c r="F287" s="1"/>
      <c r="G287" s="1"/>
      <c r="H287" s="1"/>
      <c r="I287" s="1"/>
      <c r="J287" s="1"/>
      <c r="K287" s="1"/>
      <c r="L287" s="1"/>
      <c r="M287" s="1"/>
      <c r="N287" s="1"/>
      <c r="O287" s="1"/>
      <c r="P287" s="1"/>
      <c r="Q287" s="1"/>
      <c r="R287" s="1"/>
      <c r="S287" s="1"/>
      <c r="T287" s="1"/>
      <c r="U287" s="2"/>
      <c r="V287" s="1"/>
      <c r="W287" s="1"/>
      <c r="X287" s="1"/>
      <c r="Y287" s="1"/>
      <c r="Z287" s="1"/>
    </row>
    <row r="288" spans="1:26" ht="24.75" customHeight="1">
      <c r="A288" s="1"/>
      <c r="B288" s="1"/>
      <c r="C288" s="1"/>
      <c r="D288" s="1"/>
      <c r="E288" s="1"/>
      <c r="F288" s="1"/>
      <c r="G288" s="1"/>
      <c r="H288" s="1"/>
      <c r="I288" s="1"/>
      <c r="J288" s="1"/>
      <c r="K288" s="1"/>
      <c r="L288" s="1"/>
      <c r="M288" s="1"/>
      <c r="N288" s="1"/>
      <c r="O288" s="1"/>
      <c r="P288" s="1"/>
      <c r="Q288" s="1"/>
      <c r="R288" s="1"/>
      <c r="S288" s="1"/>
      <c r="T288" s="1"/>
      <c r="U288" s="2"/>
      <c r="V288" s="1"/>
      <c r="W288" s="1"/>
      <c r="X288" s="1"/>
      <c r="Y288" s="1"/>
      <c r="Z288" s="1"/>
    </row>
    <row r="289" spans="1:26" ht="24.75" customHeight="1">
      <c r="A289" s="1"/>
      <c r="B289" s="1"/>
      <c r="C289" s="1"/>
      <c r="D289" s="1"/>
      <c r="E289" s="1"/>
      <c r="F289" s="1"/>
      <c r="G289" s="1"/>
      <c r="H289" s="1"/>
      <c r="I289" s="1"/>
      <c r="J289" s="1"/>
      <c r="K289" s="1"/>
      <c r="L289" s="1"/>
      <c r="M289" s="1"/>
      <c r="N289" s="1"/>
      <c r="O289" s="1"/>
      <c r="P289" s="1"/>
      <c r="Q289" s="1"/>
      <c r="R289" s="1"/>
      <c r="S289" s="1"/>
      <c r="T289" s="1"/>
      <c r="U289" s="2"/>
      <c r="V289" s="1"/>
      <c r="W289" s="1"/>
      <c r="X289" s="1"/>
      <c r="Y289" s="1"/>
      <c r="Z289" s="1"/>
    </row>
    <row r="290" spans="1:26" ht="24.75" customHeight="1">
      <c r="A290" s="1"/>
      <c r="B290" s="1"/>
      <c r="C290" s="1"/>
      <c r="D290" s="1"/>
      <c r="E290" s="1"/>
      <c r="F290" s="1"/>
      <c r="G290" s="1"/>
      <c r="H290" s="1"/>
      <c r="I290" s="1"/>
      <c r="J290" s="1"/>
      <c r="K290" s="1"/>
      <c r="L290" s="1"/>
      <c r="M290" s="1"/>
      <c r="N290" s="1"/>
      <c r="O290" s="1"/>
      <c r="P290" s="1"/>
      <c r="Q290" s="1"/>
      <c r="R290" s="1"/>
      <c r="S290" s="1"/>
      <c r="T290" s="1"/>
      <c r="U290" s="2"/>
      <c r="V290" s="1"/>
      <c r="W290" s="1"/>
      <c r="X290" s="1"/>
      <c r="Y290" s="1"/>
      <c r="Z290" s="1"/>
    </row>
    <row r="291" spans="1:26" ht="24.75" customHeight="1">
      <c r="A291" s="1"/>
      <c r="B291" s="1"/>
      <c r="C291" s="1"/>
      <c r="D291" s="1"/>
      <c r="E291" s="1"/>
      <c r="F291" s="1"/>
      <c r="G291" s="1"/>
      <c r="H291" s="1"/>
      <c r="I291" s="1"/>
      <c r="J291" s="1"/>
      <c r="K291" s="1"/>
      <c r="L291" s="1"/>
      <c r="M291" s="1"/>
      <c r="N291" s="1"/>
      <c r="O291" s="1"/>
      <c r="P291" s="1"/>
      <c r="Q291" s="1"/>
      <c r="R291" s="1"/>
      <c r="S291" s="1"/>
      <c r="T291" s="1"/>
      <c r="U291" s="2"/>
      <c r="V291" s="1"/>
      <c r="W291" s="1"/>
      <c r="X291" s="1"/>
      <c r="Y291" s="1"/>
      <c r="Z291" s="1"/>
    </row>
    <row r="292" spans="1:26" ht="24.75" customHeight="1">
      <c r="A292" s="1"/>
      <c r="B292" s="1"/>
      <c r="C292" s="1"/>
      <c r="D292" s="1"/>
      <c r="E292" s="1"/>
      <c r="F292" s="1"/>
      <c r="G292" s="1"/>
      <c r="H292" s="1"/>
      <c r="I292" s="1"/>
      <c r="J292" s="1"/>
      <c r="K292" s="1"/>
      <c r="L292" s="1"/>
      <c r="M292" s="1"/>
      <c r="N292" s="1"/>
      <c r="O292" s="1"/>
      <c r="P292" s="1"/>
      <c r="Q292" s="1"/>
      <c r="R292" s="1"/>
      <c r="S292" s="1"/>
      <c r="T292" s="1"/>
      <c r="U292" s="2"/>
      <c r="V292" s="1"/>
      <c r="W292" s="1"/>
      <c r="X292" s="1"/>
      <c r="Y292" s="1"/>
      <c r="Z292" s="1"/>
    </row>
    <row r="293" spans="1:26" ht="24.75" customHeight="1">
      <c r="A293" s="1"/>
      <c r="B293" s="1"/>
      <c r="C293" s="1"/>
      <c r="D293" s="1"/>
      <c r="E293" s="1"/>
      <c r="F293" s="1"/>
      <c r="G293" s="1"/>
      <c r="H293" s="1"/>
      <c r="I293" s="1"/>
      <c r="J293" s="1"/>
      <c r="K293" s="1"/>
      <c r="L293" s="1"/>
      <c r="M293" s="1"/>
      <c r="N293" s="1"/>
      <c r="O293" s="1"/>
      <c r="P293" s="1"/>
      <c r="Q293" s="1"/>
      <c r="R293" s="1"/>
      <c r="S293" s="1"/>
      <c r="T293" s="1"/>
      <c r="U293" s="2"/>
      <c r="V293" s="1"/>
      <c r="W293" s="1"/>
      <c r="X293" s="1"/>
      <c r="Y293" s="1"/>
      <c r="Z293" s="1"/>
    </row>
    <row r="294" spans="1:26" ht="24.75" customHeight="1">
      <c r="A294" s="1"/>
      <c r="B294" s="1"/>
      <c r="C294" s="1"/>
      <c r="D294" s="1"/>
      <c r="E294" s="1"/>
      <c r="F294" s="1"/>
      <c r="G294" s="1"/>
      <c r="H294" s="1"/>
      <c r="I294" s="1"/>
      <c r="J294" s="1"/>
      <c r="K294" s="1"/>
      <c r="L294" s="1"/>
      <c r="M294" s="1"/>
      <c r="N294" s="1"/>
      <c r="O294" s="1"/>
      <c r="P294" s="1"/>
      <c r="Q294" s="1"/>
      <c r="R294" s="1"/>
      <c r="S294" s="1"/>
      <c r="T294" s="1"/>
      <c r="U294" s="2"/>
      <c r="V294" s="1"/>
      <c r="W294" s="1"/>
      <c r="X294" s="1"/>
      <c r="Y294" s="1"/>
      <c r="Z294" s="1"/>
    </row>
    <row r="295" spans="1:26" ht="24.75" customHeight="1">
      <c r="A295" s="1"/>
      <c r="B295" s="1"/>
      <c r="C295" s="1"/>
      <c r="D295" s="1"/>
      <c r="E295" s="1"/>
      <c r="F295" s="1"/>
      <c r="G295" s="1"/>
      <c r="H295" s="1"/>
      <c r="I295" s="1"/>
      <c r="J295" s="1"/>
      <c r="K295" s="1"/>
      <c r="L295" s="1"/>
      <c r="M295" s="1"/>
      <c r="N295" s="1"/>
      <c r="O295" s="1"/>
      <c r="P295" s="1"/>
      <c r="Q295" s="1"/>
      <c r="R295" s="1"/>
      <c r="S295" s="1"/>
      <c r="T295" s="1"/>
      <c r="U295" s="2"/>
      <c r="V295" s="1"/>
      <c r="W295" s="1"/>
      <c r="X295" s="1"/>
      <c r="Y295" s="1"/>
      <c r="Z295" s="1"/>
    </row>
    <row r="296" spans="1:26" ht="24.75" customHeight="1">
      <c r="A296" s="1"/>
      <c r="B296" s="1"/>
      <c r="C296" s="1"/>
      <c r="D296" s="1"/>
      <c r="E296" s="1"/>
      <c r="F296" s="1"/>
      <c r="G296" s="1"/>
      <c r="H296" s="1"/>
      <c r="I296" s="1"/>
      <c r="J296" s="1"/>
      <c r="K296" s="1"/>
      <c r="L296" s="1"/>
      <c r="M296" s="1"/>
      <c r="N296" s="1"/>
      <c r="O296" s="1"/>
      <c r="P296" s="1"/>
      <c r="Q296" s="1"/>
      <c r="R296" s="1"/>
      <c r="S296" s="1"/>
      <c r="T296" s="1"/>
      <c r="U296" s="2"/>
      <c r="V296" s="1"/>
      <c r="W296" s="1"/>
      <c r="X296" s="1"/>
      <c r="Y296" s="1"/>
      <c r="Z296" s="1"/>
    </row>
    <row r="297" spans="1:26" ht="24.75" customHeight="1">
      <c r="A297" s="1"/>
      <c r="B297" s="1"/>
      <c r="C297" s="1"/>
      <c r="D297" s="1"/>
      <c r="E297" s="1"/>
      <c r="F297" s="1"/>
      <c r="G297" s="1"/>
      <c r="H297" s="1"/>
      <c r="I297" s="1"/>
      <c r="J297" s="1"/>
      <c r="K297" s="1"/>
      <c r="L297" s="1"/>
      <c r="M297" s="1"/>
      <c r="N297" s="1"/>
      <c r="O297" s="1"/>
      <c r="P297" s="1"/>
      <c r="Q297" s="1"/>
      <c r="R297" s="1"/>
      <c r="S297" s="1"/>
      <c r="T297" s="1"/>
      <c r="U297" s="2"/>
      <c r="V297" s="1"/>
      <c r="W297" s="1"/>
      <c r="X297" s="1"/>
      <c r="Y297" s="1"/>
      <c r="Z297" s="1"/>
    </row>
    <row r="298" spans="1:26" ht="24.75" customHeight="1">
      <c r="A298" s="1"/>
      <c r="B298" s="1"/>
      <c r="C298" s="1"/>
      <c r="D298" s="1"/>
      <c r="E298" s="1"/>
      <c r="F298" s="1"/>
      <c r="G298" s="1"/>
      <c r="H298" s="1"/>
      <c r="I298" s="1"/>
      <c r="J298" s="1"/>
      <c r="K298" s="1"/>
      <c r="L298" s="1"/>
      <c r="M298" s="1"/>
      <c r="N298" s="1"/>
      <c r="O298" s="1"/>
      <c r="P298" s="1"/>
      <c r="Q298" s="1"/>
      <c r="R298" s="1"/>
      <c r="S298" s="1"/>
      <c r="T298" s="1"/>
      <c r="U298" s="2"/>
      <c r="V298" s="1"/>
      <c r="W298" s="1"/>
      <c r="X298" s="1"/>
      <c r="Y298" s="1"/>
      <c r="Z298" s="1"/>
    </row>
    <row r="299" spans="1:26" ht="24.75" customHeight="1">
      <c r="A299" s="1"/>
      <c r="B299" s="1"/>
      <c r="C299" s="1"/>
      <c r="D299" s="1"/>
      <c r="E299" s="1"/>
      <c r="F299" s="1"/>
      <c r="G299" s="1"/>
      <c r="H299" s="1"/>
      <c r="I299" s="1"/>
      <c r="J299" s="1"/>
      <c r="K299" s="1"/>
      <c r="L299" s="1"/>
      <c r="M299" s="1"/>
      <c r="N299" s="1"/>
      <c r="O299" s="1"/>
      <c r="P299" s="1"/>
      <c r="Q299" s="1"/>
      <c r="R299" s="1"/>
      <c r="S299" s="1"/>
      <c r="T299" s="1"/>
      <c r="U299" s="2"/>
      <c r="V299" s="1"/>
      <c r="W299" s="1"/>
      <c r="X299" s="1"/>
      <c r="Y299" s="1"/>
      <c r="Z299" s="1"/>
    </row>
    <row r="300" spans="1:26" ht="24.75" customHeight="1">
      <c r="A300" s="1"/>
      <c r="B300" s="1"/>
      <c r="C300" s="1"/>
      <c r="D300" s="1"/>
      <c r="E300" s="1"/>
      <c r="F300" s="1"/>
      <c r="G300" s="1"/>
      <c r="H300" s="1"/>
      <c r="I300" s="1"/>
      <c r="J300" s="1"/>
      <c r="K300" s="1"/>
      <c r="L300" s="1"/>
      <c r="M300" s="1"/>
      <c r="N300" s="1"/>
      <c r="O300" s="1"/>
      <c r="P300" s="1"/>
      <c r="Q300" s="1"/>
      <c r="R300" s="1"/>
      <c r="S300" s="1"/>
      <c r="T300" s="1"/>
      <c r="U300" s="2"/>
      <c r="V300" s="1"/>
      <c r="W300" s="1"/>
      <c r="X300" s="1"/>
      <c r="Y300" s="1"/>
      <c r="Z300" s="1"/>
    </row>
    <row r="301" spans="1:26" ht="24.75" customHeight="1">
      <c r="A301" s="1"/>
      <c r="B301" s="1"/>
      <c r="C301" s="1"/>
      <c r="D301" s="1"/>
      <c r="E301" s="1"/>
      <c r="F301" s="1"/>
      <c r="G301" s="1"/>
      <c r="H301" s="1"/>
      <c r="I301" s="1"/>
      <c r="J301" s="1"/>
      <c r="K301" s="1"/>
      <c r="L301" s="1"/>
      <c r="M301" s="1"/>
      <c r="N301" s="1"/>
      <c r="O301" s="1"/>
      <c r="P301" s="1"/>
      <c r="Q301" s="1"/>
      <c r="R301" s="1"/>
      <c r="S301" s="1"/>
      <c r="T301" s="1"/>
      <c r="U301" s="2"/>
      <c r="V301" s="1"/>
      <c r="W301" s="1"/>
      <c r="X301" s="1"/>
      <c r="Y301" s="1"/>
      <c r="Z301" s="1"/>
    </row>
    <row r="302" spans="1:26" ht="24.75" customHeight="1">
      <c r="A302" s="1"/>
      <c r="B302" s="1"/>
      <c r="C302" s="1"/>
      <c r="D302" s="1"/>
      <c r="E302" s="1"/>
      <c r="F302" s="1"/>
      <c r="G302" s="1"/>
      <c r="H302" s="1"/>
      <c r="I302" s="1"/>
      <c r="J302" s="1"/>
      <c r="K302" s="1"/>
      <c r="L302" s="1"/>
      <c r="M302" s="1"/>
      <c r="N302" s="1"/>
      <c r="O302" s="1"/>
      <c r="P302" s="1"/>
      <c r="Q302" s="1"/>
      <c r="R302" s="1"/>
      <c r="S302" s="1"/>
      <c r="T302" s="1"/>
      <c r="U302" s="2"/>
      <c r="V302" s="1"/>
      <c r="W302" s="1"/>
      <c r="X302" s="1"/>
      <c r="Y302" s="1"/>
      <c r="Z302" s="1"/>
    </row>
    <row r="303" spans="1:26" ht="24.75" customHeight="1">
      <c r="A303" s="1"/>
      <c r="B303" s="1"/>
      <c r="C303" s="1"/>
      <c r="D303" s="1"/>
      <c r="E303" s="1"/>
      <c r="F303" s="1"/>
      <c r="G303" s="1"/>
      <c r="H303" s="1"/>
      <c r="I303" s="1"/>
      <c r="J303" s="1"/>
      <c r="K303" s="1"/>
      <c r="L303" s="1"/>
      <c r="M303" s="1"/>
      <c r="N303" s="1"/>
      <c r="O303" s="1"/>
      <c r="P303" s="1"/>
      <c r="Q303" s="1"/>
      <c r="R303" s="1"/>
      <c r="S303" s="1"/>
      <c r="T303" s="1"/>
      <c r="U303" s="2"/>
      <c r="V303" s="1"/>
      <c r="W303" s="1"/>
      <c r="X303" s="1"/>
      <c r="Y303" s="1"/>
      <c r="Z303" s="1"/>
    </row>
    <row r="304" spans="1:26" ht="24.75" customHeight="1">
      <c r="A304" s="1"/>
      <c r="B304" s="1"/>
      <c r="C304" s="1"/>
      <c r="D304" s="1"/>
      <c r="E304" s="1"/>
      <c r="F304" s="1"/>
      <c r="G304" s="1"/>
      <c r="H304" s="1"/>
      <c r="I304" s="1"/>
      <c r="J304" s="1"/>
      <c r="K304" s="1"/>
      <c r="L304" s="1"/>
      <c r="M304" s="1"/>
      <c r="N304" s="1"/>
      <c r="O304" s="1"/>
      <c r="P304" s="1"/>
      <c r="Q304" s="1"/>
      <c r="R304" s="1"/>
      <c r="S304" s="1"/>
      <c r="T304" s="1"/>
      <c r="U304" s="2"/>
      <c r="V304" s="1"/>
      <c r="W304" s="1"/>
      <c r="X304" s="1"/>
      <c r="Y304" s="1"/>
      <c r="Z304" s="1"/>
    </row>
    <row r="305" spans="1:26" ht="24.75" customHeight="1">
      <c r="A305" s="1"/>
      <c r="B305" s="1"/>
      <c r="C305" s="1"/>
      <c r="D305" s="1"/>
      <c r="E305" s="1"/>
      <c r="F305" s="1"/>
      <c r="G305" s="1"/>
      <c r="H305" s="1"/>
      <c r="I305" s="1"/>
      <c r="J305" s="1"/>
      <c r="K305" s="1"/>
      <c r="L305" s="1"/>
      <c r="M305" s="1"/>
      <c r="N305" s="1"/>
      <c r="O305" s="1"/>
      <c r="P305" s="1"/>
      <c r="Q305" s="1"/>
      <c r="R305" s="1"/>
      <c r="S305" s="1"/>
      <c r="T305" s="1"/>
      <c r="U305" s="2"/>
      <c r="V305" s="1"/>
      <c r="W305" s="1"/>
      <c r="X305" s="1"/>
      <c r="Y305" s="1"/>
      <c r="Z305" s="1"/>
    </row>
    <row r="306" spans="1:26" ht="24.75" customHeight="1">
      <c r="A306" s="1"/>
      <c r="B306" s="1"/>
      <c r="C306" s="1"/>
      <c r="D306" s="1"/>
      <c r="E306" s="1"/>
      <c r="F306" s="1"/>
      <c r="G306" s="1"/>
      <c r="H306" s="1"/>
      <c r="I306" s="1"/>
      <c r="J306" s="1"/>
      <c r="K306" s="1"/>
      <c r="L306" s="1"/>
      <c r="M306" s="1"/>
      <c r="N306" s="1"/>
      <c r="O306" s="1"/>
      <c r="P306" s="1"/>
      <c r="Q306" s="1"/>
      <c r="R306" s="1"/>
      <c r="S306" s="1"/>
      <c r="T306" s="1"/>
      <c r="U306" s="2"/>
      <c r="V306" s="1"/>
      <c r="W306" s="1"/>
      <c r="X306" s="1"/>
      <c r="Y306" s="1"/>
      <c r="Z306" s="1"/>
    </row>
    <row r="307" spans="1:26" ht="24.75" customHeight="1">
      <c r="A307" s="1"/>
      <c r="B307" s="1"/>
      <c r="C307" s="1"/>
      <c r="D307" s="1"/>
      <c r="E307" s="1"/>
      <c r="F307" s="1"/>
      <c r="G307" s="1"/>
      <c r="H307" s="1"/>
      <c r="I307" s="1"/>
      <c r="J307" s="1"/>
      <c r="K307" s="1"/>
      <c r="L307" s="1"/>
      <c r="M307" s="1"/>
      <c r="N307" s="1"/>
      <c r="O307" s="1"/>
      <c r="P307" s="1"/>
      <c r="Q307" s="1"/>
      <c r="R307" s="1"/>
      <c r="S307" s="1"/>
      <c r="T307" s="1"/>
      <c r="U307" s="2"/>
      <c r="V307" s="1"/>
      <c r="W307" s="1"/>
      <c r="X307" s="1"/>
      <c r="Y307" s="1"/>
      <c r="Z307" s="1"/>
    </row>
    <row r="308" spans="1:26" ht="24.75" customHeight="1">
      <c r="A308" s="1"/>
      <c r="B308" s="1"/>
      <c r="C308" s="1"/>
      <c r="D308" s="1"/>
      <c r="E308" s="1"/>
      <c r="F308" s="1"/>
      <c r="G308" s="1"/>
      <c r="H308" s="1"/>
      <c r="I308" s="1"/>
      <c r="J308" s="1"/>
      <c r="K308" s="1"/>
      <c r="L308" s="1"/>
      <c r="M308" s="1"/>
      <c r="N308" s="1"/>
      <c r="O308" s="1"/>
      <c r="P308" s="1"/>
      <c r="Q308" s="1"/>
      <c r="R308" s="1"/>
      <c r="S308" s="1"/>
      <c r="T308" s="1"/>
      <c r="U308" s="2"/>
      <c r="V308" s="1"/>
      <c r="W308" s="1"/>
      <c r="X308" s="1"/>
      <c r="Y308" s="1"/>
      <c r="Z308" s="1"/>
    </row>
    <row r="309" spans="1:26" ht="24.75" customHeight="1">
      <c r="A309" s="1"/>
      <c r="B309" s="1"/>
      <c r="C309" s="1"/>
      <c r="D309" s="1"/>
      <c r="E309" s="1"/>
      <c r="F309" s="1"/>
      <c r="G309" s="1"/>
      <c r="H309" s="1"/>
      <c r="I309" s="1"/>
      <c r="J309" s="1"/>
      <c r="K309" s="1"/>
      <c r="L309" s="1"/>
      <c r="M309" s="1"/>
      <c r="N309" s="1"/>
      <c r="O309" s="1"/>
      <c r="P309" s="1"/>
      <c r="Q309" s="1"/>
      <c r="R309" s="1"/>
      <c r="S309" s="1"/>
      <c r="T309" s="1"/>
      <c r="U309" s="2"/>
      <c r="V309" s="1"/>
      <c r="W309" s="1"/>
      <c r="X309" s="1"/>
      <c r="Y309" s="1"/>
      <c r="Z309" s="1"/>
    </row>
    <row r="310" spans="1:26" ht="24.75" customHeight="1">
      <c r="A310" s="1"/>
      <c r="B310" s="1"/>
      <c r="C310" s="1"/>
      <c r="D310" s="1"/>
      <c r="E310" s="1"/>
      <c r="F310" s="1"/>
      <c r="G310" s="1"/>
      <c r="H310" s="1"/>
      <c r="I310" s="1"/>
      <c r="J310" s="1"/>
      <c r="K310" s="1"/>
      <c r="L310" s="1"/>
      <c r="M310" s="1"/>
      <c r="N310" s="1"/>
      <c r="O310" s="1"/>
      <c r="P310" s="1"/>
      <c r="Q310" s="1"/>
      <c r="R310" s="1"/>
      <c r="S310" s="1"/>
      <c r="T310" s="1"/>
      <c r="U310" s="2"/>
      <c r="V310" s="1"/>
      <c r="W310" s="1"/>
      <c r="X310" s="1"/>
      <c r="Y310" s="1"/>
      <c r="Z310" s="1"/>
    </row>
    <row r="311" spans="1:26" ht="24.75" customHeight="1">
      <c r="A311" s="1"/>
      <c r="B311" s="1"/>
      <c r="C311" s="1"/>
      <c r="D311" s="1"/>
      <c r="E311" s="1"/>
      <c r="F311" s="1"/>
      <c r="G311" s="1"/>
      <c r="H311" s="1"/>
      <c r="I311" s="1"/>
      <c r="J311" s="1"/>
      <c r="K311" s="1"/>
      <c r="L311" s="1"/>
      <c r="M311" s="1"/>
      <c r="N311" s="1"/>
      <c r="O311" s="1"/>
      <c r="P311" s="1"/>
      <c r="Q311" s="1"/>
      <c r="R311" s="1"/>
      <c r="S311" s="1"/>
      <c r="T311" s="1"/>
      <c r="U311" s="2"/>
      <c r="V311" s="1"/>
      <c r="W311" s="1"/>
      <c r="X311" s="1"/>
      <c r="Y311" s="1"/>
      <c r="Z311" s="1"/>
    </row>
    <row r="312" spans="1:26" ht="24.75" customHeight="1">
      <c r="A312" s="1"/>
      <c r="B312" s="1"/>
      <c r="C312" s="1"/>
      <c r="D312" s="1"/>
      <c r="E312" s="1"/>
      <c r="F312" s="1"/>
      <c r="G312" s="1"/>
      <c r="H312" s="1"/>
      <c r="I312" s="1"/>
      <c r="J312" s="1"/>
      <c r="K312" s="1"/>
      <c r="L312" s="1"/>
      <c r="M312" s="1"/>
      <c r="N312" s="1"/>
      <c r="O312" s="1"/>
      <c r="P312" s="1"/>
      <c r="Q312" s="1"/>
      <c r="R312" s="1"/>
      <c r="S312" s="1"/>
      <c r="T312" s="1"/>
      <c r="U312" s="2"/>
      <c r="V312" s="1"/>
      <c r="W312" s="1"/>
      <c r="X312" s="1"/>
      <c r="Y312" s="1"/>
      <c r="Z312" s="1"/>
    </row>
    <row r="313" spans="1:26" ht="24.75" customHeight="1">
      <c r="A313" s="1"/>
      <c r="B313" s="1"/>
      <c r="C313" s="1"/>
      <c r="D313" s="1"/>
      <c r="E313" s="1"/>
      <c r="F313" s="1"/>
      <c r="G313" s="1"/>
      <c r="H313" s="1"/>
      <c r="I313" s="1"/>
      <c r="J313" s="1"/>
      <c r="K313" s="1"/>
      <c r="L313" s="1"/>
      <c r="M313" s="1"/>
      <c r="N313" s="1"/>
      <c r="O313" s="1"/>
      <c r="P313" s="1"/>
      <c r="Q313" s="1"/>
      <c r="R313" s="1"/>
      <c r="S313" s="1"/>
      <c r="T313" s="1"/>
      <c r="U313" s="2"/>
      <c r="V313" s="1"/>
      <c r="W313" s="1"/>
      <c r="X313" s="1"/>
      <c r="Y313" s="1"/>
      <c r="Z313" s="1"/>
    </row>
    <row r="314" spans="1:26" ht="24.75" customHeight="1">
      <c r="A314" s="1"/>
      <c r="B314" s="1"/>
      <c r="C314" s="1"/>
      <c r="D314" s="1"/>
      <c r="E314" s="1"/>
      <c r="F314" s="1"/>
      <c r="G314" s="1"/>
      <c r="H314" s="1"/>
      <c r="I314" s="1"/>
      <c r="J314" s="1"/>
      <c r="K314" s="1"/>
      <c r="L314" s="1"/>
      <c r="M314" s="1"/>
      <c r="N314" s="1"/>
      <c r="O314" s="1"/>
      <c r="P314" s="1"/>
      <c r="Q314" s="1"/>
      <c r="R314" s="1"/>
      <c r="S314" s="1"/>
      <c r="T314" s="1"/>
      <c r="U314" s="2"/>
      <c r="V314" s="1"/>
      <c r="W314" s="1"/>
      <c r="X314" s="1"/>
      <c r="Y314" s="1"/>
      <c r="Z314" s="1"/>
    </row>
    <row r="315" spans="1:26" ht="24.75" customHeight="1">
      <c r="A315" s="1"/>
      <c r="B315" s="1"/>
      <c r="C315" s="1"/>
      <c r="D315" s="1"/>
      <c r="E315" s="1"/>
      <c r="F315" s="1"/>
      <c r="G315" s="1"/>
      <c r="H315" s="1"/>
      <c r="I315" s="1"/>
      <c r="J315" s="1"/>
      <c r="K315" s="1"/>
      <c r="L315" s="1"/>
      <c r="M315" s="1"/>
      <c r="N315" s="1"/>
      <c r="O315" s="1"/>
      <c r="P315" s="1"/>
      <c r="Q315" s="1"/>
      <c r="R315" s="1"/>
      <c r="S315" s="1"/>
      <c r="T315" s="1"/>
      <c r="U315" s="2"/>
      <c r="V315" s="1"/>
      <c r="W315" s="1"/>
      <c r="X315" s="1"/>
      <c r="Y315" s="1"/>
      <c r="Z315" s="1"/>
    </row>
    <row r="316" spans="1:26" ht="24.75" customHeight="1">
      <c r="A316" s="1"/>
      <c r="B316" s="1"/>
      <c r="C316" s="1"/>
      <c r="D316" s="1"/>
      <c r="E316" s="1"/>
      <c r="F316" s="1"/>
      <c r="G316" s="1"/>
      <c r="H316" s="1"/>
      <c r="I316" s="1"/>
      <c r="J316" s="1"/>
      <c r="K316" s="1"/>
      <c r="L316" s="1"/>
      <c r="M316" s="1"/>
      <c r="N316" s="1"/>
      <c r="O316" s="1"/>
      <c r="P316" s="1"/>
      <c r="Q316" s="1"/>
      <c r="R316" s="1"/>
      <c r="S316" s="1"/>
      <c r="T316" s="1"/>
      <c r="U316" s="2"/>
      <c r="V316" s="1"/>
      <c r="W316" s="1"/>
      <c r="X316" s="1"/>
      <c r="Y316" s="1"/>
      <c r="Z316" s="1"/>
    </row>
    <row r="317" spans="1:26" ht="24.75" customHeight="1">
      <c r="A317" s="1"/>
      <c r="B317" s="1"/>
      <c r="C317" s="1"/>
      <c r="D317" s="1"/>
      <c r="E317" s="1"/>
      <c r="F317" s="1"/>
      <c r="G317" s="1"/>
      <c r="H317" s="1"/>
      <c r="I317" s="1"/>
      <c r="J317" s="1"/>
      <c r="K317" s="1"/>
      <c r="L317" s="1"/>
      <c r="M317" s="1"/>
      <c r="N317" s="1"/>
      <c r="O317" s="1"/>
      <c r="P317" s="1"/>
      <c r="Q317" s="1"/>
      <c r="R317" s="1"/>
      <c r="S317" s="1"/>
      <c r="T317" s="1"/>
      <c r="U317" s="2"/>
      <c r="V317" s="1"/>
      <c r="W317" s="1"/>
      <c r="X317" s="1"/>
      <c r="Y317" s="1"/>
      <c r="Z317" s="1"/>
    </row>
    <row r="318" spans="1:26" ht="24.75" customHeight="1">
      <c r="A318" s="1"/>
      <c r="B318" s="1"/>
      <c r="C318" s="1"/>
      <c r="D318" s="1"/>
      <c r="E318" s="1"/>
      <c r="F318" s="1"/>
      <c r="G318" s="1"/>
      <c r="H318" s="1"/>
      <c r="I318" s="1"/>
      <c r="J318" s="1"/>
      <c r="K318" s="1"/>
      <c r="L318" s="1"/>
      <c r="M318" s="1"/>
      <c r="N318" s="1"/>
      <c r="O318" s="1"/>
      <c r="P318" s="1"/>
      <c r="Q318" s="1"/>
      <c r="R318" s="1"/>
      <c r="S318" s="1"/>
      <c r="T318" s="1"/>
      <c r="U318" s="2"/>
      <c r="V318" s="1"/>
      <c r="W318" s="1"/>
      <c r="X318" s="1"/>
      <c r="Y318" s="1"/>
      <c r="Z318" s="1"/>
    </row>
    <row r="319" spans="1:26" ht="24.75" customHeight="1">
      <c r="A319" s="1"/>
      <c r="B319" s="1"/>
      <c r="C319" s="1"/>
      <c r="D319" s="1"/>
      <c r="E319" s="1"/>
      <c r="F319" s="1"/>
      <c r="G319" s="1"/>
      <c r="H319" s="1"/>
      <c r="I319" s="1"/>
      <c r="J319" s="1"/>
      <c r="K319" s="1"/>
      <c r="L319" s="1"/>
      <c r="M319" s="1"/>
      <c r="N319" s="1"/>
      <c r="O319" s="1"/>
      <c r="P319" s="1"/>
      <c r="Q319" s="1"/>
      <c r="R319" s="1"/>
      <c r="S319" s="1"/>
      <c r="T319" s="1"/>
      <c r="U319" s="2"/>
      <c r="V319" s="1"/>
      <c r="W319" s="1"/>
      <c r="X319" s="1"/>
      <c r="Y319" s="1"/>
      <c r="Z319" s="1"/>
    </row>
    <row r="320" spans="1:26" ht="24.75" customHeight="1">
      <c r="A320" s="1"/>
      <c r="B320" s="1"/>
      <c r="C320" s="1"/>
      <c r="D320" s="1"/>
      <c r="E320" s="1"/>
      <c r="F320" s="1"/>
      <c r="G320" s="1"/>
      <c r="H320" s="1"/>
      <c r="I320" s="1"/>
      <c r="J320" s="1"/>
      <c r="K320" s="1"/>
      <c r="L320" s="1"/>
      <c r="M320" s="1"/>
      <c r="N320" s="1"/>
      <c r="O320" s="1"/>
      <c r="P320" s="1"/>
      <c r="Q320" s="1"/>
      <c r="R320" s="1"/>
      <c r="S320" s="1"/>
      <c r="T320" s="1"/>
      <c r="U320" s="2"/>
      <c r="V320" s="1"/>
      <c r="W320" s="1"/>
      <c r="X320" s="1"/>
      <c r="Y320" s="1"/>
      <c r="Z320" s="1"/>
    </row>
    <row r="321" spans="1:26" ht="24.75" customHeight="1">
      <c r="A321" s="1"/>
      <c r="B321" s="1"/>
      <c r="C321" s="1"/>
      <c r="D321" s="1"/>
      <c r="E321" s="1"/>
      <c r="F321" s="1"/>
      <c r="G321" s="1"/>
      <c r="H321" s="1"/>
      <c r="I321" s="1"/>
      <c r="J321" s="1"/>
      <c r="K321" s="1"/>
      <c r="L321" s="1"/>
      <c r="M321" s="1"/>
      <c r="N321" s="1"/>
      <c r="O321" s="1"/>
      <c r="P321" s="1"/>
      <c r="Q321" s="1"/>
      <c r="R321" s="1"/>
      <c r="S321" s="1"/>
      <c r="T321" s="1"/>
      <c r="U321" s="2"/>
      <c r="V321" s="1"/>
      <c r="W321" s="1"/>
      <c r="X321" s="1"/>
      <c r="Y321" s="1"/>
      <c r="Z321" s="1"/>
    </row>
    <row r="322" spans="1:26" ht="24.75" customHeight="1">
      <c r="A322" s="1"/>
      <c r="B322" s="1"/>
      <c r="C322" s="1"/>
      <c r="D322" s="1"/>
      <c r="E322" s="1"/>
      <c r="F322" s="1"/>
      <c r="G322" s="1"/>
      <c r="H322" s="1"/>
      <c r="I322" s="1"/>
      <c r="J322" s="1"/>
      <c r="K322" s="1"/>
      <c r="L322" s="1"/>
      <c r="M322" s="1"/>
      <c r="N322" s="1"/>
      <c r="O322" s="1"/>
      <c r="P322" s="1"/>
      <c r="Q322" s="1"/>
      <c r="R322" s="1"/>
      <c r="S322" s="1"/>
      <c r="T322" s="1"/>
      <c r="U322" s="2"/>
      <c r="V322" s="1"/>
      <c r="W322" s="1"/>
      <c r="X322" s="1"/>
      <c r="Y322" s="1"/>
      <c r="Z322" s="1"/>
    </row>
    <row r="323" spans="1:26" ht="24.75" customHeight="1">
      <c r="A323" s="1"/>
      <c r="B323" s="1"/>
      <c r="C323" s="1"/>
      <c r="D323" s="1"/>
      <c r="E323" s="1"/>
      <c r="F323" s="1"/>
      <c r="G323" s="1"/>
      <c r="H323" s="1"/>
      <c r="I323" s="1"/>
      <c r="J323" s="1"/>
      <c r="K323" s="1"/>
      <c r="L323" s="1"/>
      <c r="M323" s="1"/>
      <c r="N323" s="1"/>
      <c r="O323" s="1"/>
      <c r="P323" s="1"/>
      <c r="Q323" s="1"/>
      <c r="R323" s="1"/>
      <c r="S323" s="1"/>
      <c r="T323" s="1"/>
      <c r="U323" s="2"/>
      <c r="V323" s="1"/>
      <c r="W323" s="1"/>
      <c r="X323" s="1"/>
      <c r="Y323" s="1"/>
      <c r="Z323" s="1"/>
    </row>
    <row r="324" spans="1:26" ht="24.75" customHeight="1">
      <c r="A324" s="1"/>
      <c r="B324" s="1"/>
      <c r="C324" s="1"/>
      <c r="D324" s="1"/>
      <c r="E324" s="1"/>
      <c r="F324" s="1"/>
      <c r="G324" s="1"/>
      <c r="H324" s="1"/>
      <c r="I324" s="1"/>
      <c r="J324" s="1"/>
      <c r="K324" s="1"/>
      <c r="L324" s="1"/>
      <c r="M324" s="1"/>
      <c r="N324" s="1"/>
      <c r="O324" s="1"/>
      <c r="P324" s="1"/>
      <c r="Q324" s="1"/>
      <c r="R324" s="1"/>
      <c r="S324" s="1"/>
      <c r="T324" s="1"/>
      <c r="U324" s="2"/>
      <c r="V324" s="1"/>
      <c r="W324" s="1"/>
      <c r="X324" s="1"/>
      <c r="Y324" s="1"/>
      <c r="Z324" s="1"/>
    </row>
    <row r="325" spans="1:26" ht="24.75" customHeight="1">
      <c r="A325" s="1"/>
      <c r="B325" s="1"/>
      <c r="C325" s="1"/>
      <c r="D325" s="1"/>
      <c r="E325" s="1"/>
      <c r="F325" s="1"/>
      <c r="G325" s="1"/>
      <c r="H325" s="1"/>
      <c r="I325" s="1"/>
      <c r="J325" s="1"/>
      <c r="K325" s="1"/>
      <c r="L325" s="1"/>
      <c r="M325" s="1"/>
      <c r="N325" s="1"/>
      <c r="O325" s="1"/>
      <c r="P325" s="1"/>
      <c r="Q325" s="1"/>
      <c r="R325" s="1"/>
      <c r="S325" s="1"/>
      <c r="T325" s="1"/>
      <c r="U325" s="2"/>
      <c r="V325" s="1"/>
      <c r="W325" s="1"/>
      <c r="X325" s="1"/>
      <c r="Y325" s="1"/>
      <c r="Z325" s="1"/>
    </row>
    <row r="326" spans="1:26" ht="24.75" customHeight="1">
      <c r="A326" s="1"/>
      <c r="B326" s="1"/>
      <c r="C326" s="1"/>
      <c r="D326" s="1"/>
      <c r="E326" s="1"/>
      <c r="F326" s="1"/>
      <c r="G326" s="1"/>
      <c r="H326" s="1"/>
      <c r="I326" s="1"/>
      <c r="J326" s="1"/>
      <c r="K326" s="1"/>
      <c r="L326" s="1"/>
      <c r="M326" s="1"/>
      <c r="N326" s="1"/>
      <c r="O326" s="1"/>
      <c r="P326" s="1"/>
      <c r="Q326" s="1"/>
      <c r="R326" s="1"/>
      <c r="S326" s="1"/>
      <c r="T326" s="1"/>
      <c r="U326" s="2"/>
      <c r="V326" s="1"/>
      <c r="W326" s="1"/>
      <c r="X326" s="1"/>
      <c r="Y326" s="1"/>
      <c r="Z326" s="1"/>
    </row>
    <row r="327" spans="1:26" ht="24.75" customHeight="1">
      <c r="A327" s="1"/>
      <c r="B327" s="1"/>
      <c r="C327" s="1"/>
      <c r="D327" s="1"/>
      <c r="E327" s="1"/>
      <c r="F327" s="1"/>
      <c r="G327" s="1"/>
      <c r="H327" s="1"/>
      <c r="I327" s="1"/>
      <c r="J327" s="1"/>
      <c r="K327" s="1"/>
      <c r="L327" s="1"/>
      <c r="M327" s="1"/>
      <c r="N327" s="1"/>
      <c r="O327" s="1"/>
      <c r="P327" s="1"/>
      <c r="Q327" s="1"/>
      <c r="R327" s="1"/>
      <c r="S327" s="1"/>
      <c r="T327" s="1"/>
      <c r="U327" s="2"/>
      <c r="V327" s="1"/>
      <c r="W327" s="1"/>
      <c r="X327" s="1"/>
      <c r="Y327" s="1"/>
      <c r="Z327" s="1"/>
    </row>
    <row r="328" spans="1:26" ht="24.75" customHeight="1">
      <c r="A328" s="1"/>
      <c r="B328" s="1"/>
      <c r="C328" s="1"/>
      <c r="D328" s="1"/>
      <c r="E328" s="1"/>
      <c r="F328" s="1"/>
      <c r="G328" s="1"/>
      <c r="H328" s="1"/>
      <c r="I328" s="1"/>
      <c r="J328" s="1"/>
      <c r="K328" s="1"/>
      <c r="L328" s="1"/>
      <c r="M328" s="1"/>
      <c r="N328" s="1"/>
      <c r="O328" s="1"/>
      <c r="P328" s="1"/>
      <c r="Q328" s="1"/>
      <c r="R328" s="1"/>
      <c r="S328" s="1"/>
      <c r="T328" s="1"/>
      <c r="U328" s="2"/>
      <c r="V328" s="1"/>
      <c r="W328" s="1"/>
      <c r="X328" s="1"/>
      <c r="Y328" s="1"/>
      <c r="Z328" s="1"/>
    </row>
    <row r="329" spans="1:26" ht="24.75" customHeight="1">
      <c r="A329" s="1"/>
      <c r="B329" s="1"/>
      <c r="C329" s="1"/>
      <c r="D329" s="1"/>
      <c r="E329" s="1"/>
      <c r="F329" s="1"/>
      <c r="G329" s="1"/>
      <c r="H329" s="1"/>
      <c r="I329" s="1"/>
      <c r="J329" s="1"/>
      <c r="K329" s="1"/>
      <c r="L329" s="1"/>
      <c r="M329" s="1"/>
      <c r="N329" s="1"/>
      <c r="O329" s="1"/>
      <c r="P329" s="1"/>
      <c r="Q329" s="1"/>
      <c r="R329" s="1"/>
      <c r="S329" s="1"/>
      <c r="T329" s="1"/>
      <c r="U329" s="2"/>
      <c r="V329" s="1"/>
      <c r="W329" s="1"/>
      <c r="X329" s="1"/>
      <c r="Y329" s="1"/>
      <c r="Z329" s="1"/>
    </row>
    <row r="330" spans="1:26" ht="24.75" customHeight="1">
      <c r="A330" s="1"/>
      <c r="B330" s="1"/>
      <c r="C330" s="1"/>
      <c r="D330" s="1"/>
      <c r="E330" s="1"/>
      <c r="F330" s="1"/>
      <c r="G330" s="1"/>
      <c r="H330" s="1"/>
      <c r="I330" s="1"/>
      <c r="J330" s="1"/>
      <c r="K330" s="1"/>
      <c r="L330" s="1"/>
      <c r="M330" s="1"/>
      <c r="N330" s="1"/>
      <c r="O330" s="1"/>
      <c r="P330" s="1"/>
      <c r="Q330" s="1"/>
      <c r="R330" s="1"/>
      <c r="S330" s="1"/>
      <c r="T330" s="1"/>
      <c r="U330" s="2"/>
      <c r="V330" s="1"/>
      <c r="W330" s="1"/>
      <c r="X330" s="1"/>
      <c r="Y330" s="1"/>
      <c r="Z330" s="1"/>
    </row>
    <row r="331" spans="1:26" ht="24.75" customHeight="1">
      <c r="A331" s="1"/>
      <c r="B331" s="1"/>
      <c r="C331" s="1"/>
      <c r="D331" s="1"/>
      <c r="E331" s="1"/>
      <c r="F331" s="1"/>
      <c r="G331" s="1"/>
      <c r="H331" s="1"/>
      <c r="I331" s="1"/>
      <c r="J331" s="1"/>
      <c r="K331" s="1"/>
      <c r="L331" s="1"/>
      <c r="M331" s="1"/>
      <c r="N331" s="1"/>
      <c r="O331" s="1"/>
      <c r="P331" s="1"/>
      <c r="Q331" s="1"/>
      <c r="R331" s="1"/>
      <c r="S331" s="1"/>
      <c r="T331" s="1"/>
      <c r="U331" s="2"/>
      <c r="V331" s="1"/>
      <c r="W331" s="1"/>
      <c r="X331" s="1"/>
      <c r="Y331" s="1"/>
      <c r="Z331" s="1"/>
    </row>
    <row r="332" spans="1:26" ht="24.75" customHeight="1">
      <c r="A332" s="1"/>
      <c r="B332" s="1"/>
      <c r="C332" s="1"/>
      <c r="D332" s="1"/>
      <c r="E332" s="1"/>
      <c r="F332" s="1"/>
      <c r="G332" s="1"/>
      <c r="H332" s="1"/>
      <c r="I332" s="1"/>
      <c r="J332" s="1"/>
      <c r="K332" s="1"/>
      <c r="L332" s="1"/>
      <c r="M332" s="1"/>
      <c r="N332" s="1"/>
      <c r="O332" s="1"/>
      <c r="P332" s="1"/>
      <c r="Q332" s="1"/>
      <c r="R332" s="1"/>
      <c r="S332" s="1"/>
      <c r="T332" s="1"/>
      <c r="U332" s="2"/>
      <c r="V332" s="1"/>
      <c r="W332" s="1"/>
      <c r="X332" s="1"/>
      <c r="Y332" s="1"/>
      <c r="Z332" s="1"/>
    </row>
    <row r="333" spans="1:26" ht="24.75" customHeight="1">
      <c r="A333" s="1"/>
      <c r="B333" s="1"/>
      <c r="C333" s="1"/>
      <c r="D333" s="1"/>
      <c r="E333" s="1"/>
      <c r="F333" s="1"/>
      <c r="G333" s="1"/>
      <c r="H333" s="1"/>
      <c r="I333" s="1"/>
      <c r="J333" s="1"/>
      <c r="K333" s="1"/>
      <c r="L333" s="1"/>
      <c r="M333" s="1"/>
      <c r="N333" s="1"/>
      <c r="O333" s="1"/>
      <c r="P333" s="1"/>
      <c r="Q333" s="1"/>
      <c r="R333" s="1"/>
      <c r="S333" s="1"/>
      <c r="T333" s="1"/>
      <c r="U333" s="2"/>
      <c r="V333" s="1"/>
      <c r="W333" s="1"/>
      <c r="X333" s="1"/>
      <c r="Y333" s="1"/>
      <c r="Z333" s="1"/>
    </row>
    <row r="334" spans="1:26" ht="24.75" customHeight="1">
      <c r="A334" s="1"/>
      <c r="B334" s="1"/>
      <c r="C334" s="1"/>
      <c r="D334" s="1"/>
      <c r="E334" s="1"/>
      <c r="F334" s="1"/>
      <c r="G334" s="1"/>
      <c r="H334" s="1"/>
      <c r="I334" s="1"/>
      <c r="J334" s="1"/>
      <c r="K334" s="1"/>
      <c r="L334" s="1"/>
      <c r="M334" s="1"/>
      <c r="N334" s="1"/>
      <c r="O334" s="1"/>
      <c r="P334" s="1"/>
      <c r="Q334" s="1"/>
      <c r="R334" s="1"/>
      <c r="S334" s="1"/>
      <c r="T334" s="1"/>
      <c r="U334" s="2"/>
      <c r="V334" s="1"/>
      <c r="W334" s="1"/>
      <c r="X334" s="1"/>
      <c r="Y334" s="1"/>
      <c r="Z334" s="1"/>
    </row>
    <row r="335" spans="1:26" ht="24.75" customHeight="1">
      <c r="A335" s="1"/>
      <c r="B335" s="1"/>
      <c r="C335" s="1"/>
      <c r="D335" s="1"/>
      <c r="E335" s="1"/>
      <c r="F335" s="1"/>
      <c r="G335" s="1"/>
      <c r="H335" s="1"/>
      <c r="I335" s="1"/>
      <c r="J335" s="1"/>
      <c r="K335" s="1"/>
      <c r="L335" s="1"/>
      <c r="M335" s="1"/>
      <c r="N335" s="1"/>
      <c r="O335" s="1"/>
      <c r="P335" s="1"/>
      <c r="Q335" s="1"/>
      <c r="R335" s="1"/>
      <c r="S335" s="1"/>
      <c r="T335" s="1"/>
      <c r="U335" s="2"/>
      <c r="V335" s="1"/>
      <c r="W335" s="1"/>
      <c r="X335" s="1"/>
      <c r="Y335" s="1"/>
      <c r="Z335" s="1"/>
    </row>
    <row r="336" spans="1:26" ht="24.75" customHeight="1">
      <c r="A336" s="1"/>
      <c r="B336" s="1"/>
      <c r="C336" s="1"/>
      <c r="D336" s="1"/>
      <c r="E336" s="1"/>
      <c r="F336" s="1"/>
      <c r="G336" s="1"/>
      <c r="H336" s="1"/>
      <c r="I336" s="1"/>
      <c r="J336" s="1"/>
      <c r="K336" s="1"/>
      <c r="L336" s="1"/>
      <c r="M336" s="1"/>
      <c r="N336" s="1"/>
      <c r="O336" s="1"/>
      <c r="P336" s="1"/>
      <c r="Q336" s="1"/>
      <c r="R336" s="1"/>
      <c r="S336" s="1"/>
      <c r="T336" s="1"/>
      <c r="U336" s="2"/>
      <c r="V336" s="1"/>
      <c r="W336" s="1"/>
      <c r="X336" s="1"/>
      <c r="Y336" s="1"/>
      <c r="Z336" s="1"/>
    </row>
    <row r="337" spans="1:26" ht="24.75" customHeight="1">
      <c r="A337" s="1"/>
      <c r="B337" s="1"/>
      <c r="C337" s="1"/>
      <c r="D337" s="1"/>
      <c r="E337" s="1"/>
      <c r="F337" s="1"/>
      <c r="G337" s="1"/>
      <c r="H337" s="1"/>
      <c r="I337" s="1"/>
      <c r="J337" s="1"/>
      <c r="K337" s="1"/>
      <c r="L337" s="1"/>
      <c r="M337" s="1"/>
      <c r="N337" s="1"/>
      <c r="O337" s="1"/>
      <c r="P337" s="1"/>
      <c r="Q337" s="1"/>
      <c r="R337" s="1"/>
      <c r="S337" s="1"/>
      <c r="T337" s="1"/>
      <c r="U337" s="2"/>
      <c r="V337" s="1"/>
      <c r="W337" s="1"/>
      <c r="X337" s="1"/>
      <c r="Y337" s="1"/>
      <c r="Z337" s="1"/>
    </row>
    <row r="338" spans="1:26" ht="24.75" customHeight="1">
      <c r="A338" s="1"/>
      <c r="B338" s="1"/>
      <c r="C338" s="1"/>
      <c r="D338" s="1"/>
      <c r="E338" s="1"/>
      <c r="F338" s="1"/>
      <c r="G338" s="1"/>
      <c r="H338" s="1"/>
      <c r="I338" s="1"/>
      <c r="J338" s="1"/>
      <c r="K338" s="1"/>
      <c r="L338" s="1"/>
      <c r="M338" s="1"/>
      <c r="N338" s="1"/>
      <c r="O338" s="1"/>
      <c r="P338" s="1"/>
      <c r="Q338" s="1"/>
      <c r="R338" s="1"/>
      <c r="S338" s="1"/>
      <c r="T338" s="1"/>
      <c r="U338" s="2"/>
      <c r="V338" s="1"/>
      <c r="W338" s="1"/>
      <c r="X338" s="1"/>
      <c r="Y338" s="1"/>
      <c r="Z338" s="1"/>
    </row>
    <row r="339" spans="1:26" ht="24.75" customHeight="1">
      <c r="A339" s="1"/>
      <c r="B339" s="1"/>
      <c r="C339" s="1"/>
      <c r="D339" s="1"/>
      <c r="E339" s="1"/>
      <c r="F339" s="1"/>
      <c r="G339" s="1"/>
      <c r="H339" s="1"/>
      <c r="I339" s="1"/>
      <c r="J339" s="1"/>
      <c r="K339" s="1"/>
      <c r="L339" s="1"/>
      <c r="M339" s="1"/>
      <c r="N339" s="1"/>
      <c r="O339" s="1"/>
      <c r="P339" s="1"/>
      <c r="Q339" s="1"/>
      <c r="R339" s="1"/>
      <c r="S339" s="1"/>
      <c r="T339" s="1"/>
      <c r="U339" s="2"/>
      <c r="V339" s="1"/>
      <c r="W339" s="1"/>
      <c r="X339" s="1"/>
      <c r="Y339" s="1"/>
      <c r="Z339" s="1"/>
    </row>
    <row r="340" spans="1:26" ht="24.75" customHeight="1">
      <c r="A340" s="1"/>
      <c r="B340" s="1"/>
      <c r="C340" s="1"/>
      <c r="D340" s="1"/>
      <c r="E340" s="1"/>
      <c r="F340" s="1"/>
      <c r="G340" s="1"/>
      <c r="H340" s="1"/>
      <c r="I340" s="1"/>
      <c r="J340" s="1"/>
      <c r="K340" s="1"/>
      <c r="L340" s="1"/>
      <c r="M340" s="1"/>
      <c r="N340" s="1"/>
      <c r="O340" s="1"/>
      <c r="P340" s="1"/>
      <c r="Q340" s="1"/>
      <c r="R340" s="1"/>
      <c r="S340" s="1"/>
      <c r="T340" s="1"/>
      <c r="U340" s="2"/>
      <c r="V340" s="1"/>
      <c r="W340" s="1"/>
      <c r="X340" s="1"/>
      <c r="Y340" s="1"/>
      <c r="Z340" s="1"/>
    </row>
    <row r="341" spans="1:26" ht="24.75" customHeight="1">
      <c r="A341" s="1"/>
      <c r="B341" s="1"/>
      <c r="C341" s="1"/>
      <c r="D341" s="1"/>
      <c r="E341" s="1"/>
      <c r="F341" s="1"/>
      <c r="G341" s="1"/>
      <c r="H341" s="1"/>
      <c r="I341" s="1"/>
      <c r="J341" s="1"/>
      <c r="K341" s="1"/>
      <c r="L341" s="1"/>
      <c r="M341" s="1"/>
      <c r="N341" s="1"/>
      <c r="O341" s="1"/>
      <c r="P341" s="1"/>
      <c r="Q341" s="1"/>
      <c r="R341" s="1"/>
      <c r="S341" s="1"/>
      <c r="T341" s="1"/>
      <c r="U341" s="2"/>
      <c r="V341" s="1"/>
      <c r="W341" s="1"/>
      <c r="X341" s="1"/>
      <c r="Y341" s="1"/>
      <c r="Z341" s="1"/>
    </row>
    <row r="342" spans="1:26" ht="24.75" customHeight="1">
      <c r="A342" s="1"/>
      <c r="B342" s="1"/>
      <c r="C342" s="1"/>
      <c r="D342" s="1"/>
      <c r="E342" s="1"/>
      <c r="F342" s="1"/>
      <c r="G342" s="1"/>
      <c r="H342" s="1"/>
      <c r="I342" s="1"/>
      <c r="J342" s="1"/>
      <c r="K342" s="1"/>
      <c r="L342" s="1"/>
      <c r="M342" s="1"/>
      <c r="N342" s="1"/>
      <c r="O342" s="1"/>
      <c r="P342" s="1"/>
      <c r="Q342" s="1"/>
      <c r="R342" s="1"/>
      <c r="S342" s="1"/>
      <c r="T342" s="1"/>
      <c r="U342" s="2"/>
      <c r="V342" s="1"/>
      <c r="W342" s="1"/>
      <c r="X342" s="1"/>
      <c r="Y342" s="1"/>
      <c r="Z342" s="1"/>
    </row>
    <row r="343" spans="1:26" ht="24.75" customHeight="1">
      <c r="A343" s="1"/>
      <c r="B343" s="1"/>
      <c r="C343" s="1"/>
      <c r="D343" s="1"/>
      <c r="E343" s="1"/>
      <c r="F343" s="1"/>
      <c r="G343" s="1"/>
      <c r="H343" s="1"/>
      <c r="I343" s="1"/>
      <c r="J343" s="1"/>
      <c r="K343" s="1"/>
      <c r="L343" s="1"/>
      <c r="M343" s="1"/>
      <c r="N343" s="1"/>
      <c r="O343" s="1"/>
      <c r="P343" s="1"/>
      <c r="Q343" s="1"/>
      <c r="R343" s="1"/>
      <c r="S343" s="1"/>
      <c r="T343" s="1"/>
      <c r="U343" s="2"/>
      <c r="V343" s="1"/>
      <c r="W343" s="1"/>
      <c r="X343" s="1"/>
      <c r="Y343" s="1"/>
      <c r="Z343" s="1"/>
    </row>
    <row r="344" spans="1:26" ht="24.75" customHeight="1">
      <c r="A344" s="1"/>
      <c r="B344" s="1"/>
      <c r="C344" s="1"/>
      <c r="D344" s="1"/>
      <c r="E344" s="1"/>
      <c r="F344" s="1"/>
      <c r="G344" s="1"/>
      <c r="H344" s="1"/>
      <c r="I344" s="1"/>
      <c r="J344" s="1"/>
      <c r="K344" s="1"/>
      <c r="L344" s="1"/>
      <c r="M344" s="1"/>
      <c r="N344" s="1"/>
      <c r="O344" s="1"/>
      <c r="P344" s="1"/>
      <c r="Q344" s="1"/>
      <c r="R344" s="1"/>
      <c r="S344" s="1"/>
      <c r="T344" s="1"/>
      <c r="U344" s="2"/>
      <c r="V344" s="1"/>
      <c r="W344" s="1"/>
      <c r="X344" s="1"/>
      <c r="Y344" s="1"/>
      <c r="Z344" s="1"/>
    </row>
    <row r="345" spans="1:26" ht="24.75" customHeight="1">
      <c r="A345" s="1"/>
      <c r="B345" s="1"/>
      <c r="C345" s="1"/>
      <c r="D345" s="1"/>
      <c r="E345" s="1"/>
      <c r="F345" s="1"/>
      <c r="G345" s="1"/>
      <c r="H345" s="1"/>
      <c r="I345" s="1"/>
      <c r="J345" s="1"/>
      <c r="K345" s="1"/>
      <c r="L345" s="1"/>
      <c r="M345" s="1"/>
      <c r="N345" s="1"/>
      <c r="O345" s="1"/>
      <c r="P345" s="1"/>
      <c r="Q345" s="1"/>
      <c r="R345" s="1"/>
      <c r="S345" s="1"/>
      <c r="T345" s="1"/>
      <c r="U345" s="2"/>
      <c r="V345" s="1"/>
      <c r="W345" s="1"/>
      <c r="X345" s="1"/>
      <c r="Y345" s="1"/>
      <c r="Z345" s="1"/>
    </row>
    <row r="346" spans="1:26" ht="24.75" customHeight="1">
      <c r="A346" s="1"/>
      <c r="B346" s="1"/>
      <c r="C346" s="1"/>
      <c r="D346" s="1"/>
      <c r="E346" s="1"/>
      <c r="F346" s="1"/>
      <c r="G346" s="1"/>
      <c r="H346" s="1"/>
      <c r="I346" s="1"/>
      <c r="J346" s="1"/>
      <c r="K346" s="1"/>
      <c r="L346" s="1"/>
      <c r="M346" s="1"/>
      <c r="N346" s="1"/>
      <c r="O346" s="1"/>
      <c r="P346" s="1"/>
      <c r="Q346" s="1"/>
      <c r="R346" s="1"/>
      <c r="S346" s="1"/>
      <c r="T346" s="1"/>
      <c r="U346" s="2"/>
      <c r="V346" s="1"/>
      <c r="W346" s="1"/>
      <c r="X346" s="1"/>
      <c r="Y346" s="1"/>
      <c r="Z346" s="1"/>
    </row>
    <row r="347" spans="1:26" ht="24.75" customHeight="1">
      <c r="A347" s="1"/>
      <c r="B347" s="1"/>
      <c r="C347" s="1"/>
      <c r="D347" s="1"/>
      <c r="E347" s="1"/>
      <c r="F347" s="1"/>
      <c r="G347" s="1"/>
      <c r="H347" s="1"/>
      <c r="I347" s="1"/>
      <c r="J347" s="1"/>
      <c r="K347" s="1"/>
      <c r="L347" s="1"/>
      <c r="M347" s="1"/>
      <c r="N347" s="1"/>
      <c r="O347" s="1"/>
      <c r="P347" s="1"/>
      <c r="Q347" s="1"/>
      <c r="R347" s="1"/>
      <c r="S347" s="1"/>
      <c r="T347" s="1"/>
      <c r="U347" s="2"/>
      <c r="V347" s="1"/>
      <c r="W347" s="1"/>
      <c r="X347" s="1"/>
      <c r="Y347" s="1"/>
      <c r="Z347" s="1"/>
    </row>
    <row r="348" spans="1:26" ht="24.75" customHeight="1">
      <c r="A348" s="1"/>
      <c r="B348" s="1"/>
      <c r="C348" s="1"/>
      <c r="D348" s="1"/>
      <c r="E348" s="1"/>
      <c r="F348" s="1"/>
      <c r="G348" s="1"/>
      <c r="H348" s="1"/>
      <c r="I348" s="1"/>
      <c r="J348" s="1"/>
      <c r="K348" s="1"/>
      <c r="L348" s="1"/>
      <c r="M348" s="1"/>
      <c r="N348" s="1"/>
      <c r="O348" s="1"/>
      <c r="P348" s="1"/>
      <c r="Q348" s="1"/>
      <c r="R348" s="1"/>
      <c r="S348" s="1"/>
      <c r="T348" s="1"/>
      <c r="U348" s="2"/>
      <c r="V348" s="1"/>
      <c r="W348" s="1"/>
      <c r="X348" s="1"/>
      <c r="Y348" s="1"/>
      <c r="Z348" s="1"/>
    </row>
    <row r="349" spans="1:26" ht="24.75" customHeight="1">
      <c r="A349" s="1"/>
      <c r="B349" s="1"/>
      <c r="C349" s="1"/>
      <c r="D349" s="1"/>
      <c r="E349" s="1"/>
      <c r="F349" s="1"/>
      <c r="G349" s="1"/>
      <c r="H349" s="1"/>
      <c r="I349" s="1"/>
      <c r="J349" s="1"/>
      <c r="K349" s="1"/>
      <c r="L349" s="1"/>
      <c r="M349" s="1"/>
      <c r="N349" s="1"/>
      <c r="O349" s="1"/>
      <c r="P349" s="1"/>
      <c r="Q349" s="1"/>
      <c r="R349" s="1"/>
      <c r="S349" s="1"/>
      <c r="T349" s="1"/>
      <c r="U349" s="2"/>
      <c r="V349" s="1"/>
      <c r="W349" s="1"/>
      <c r="X349" s="1"/>
      <c r="Y349" s="1"/>
      <c r="Z349" s="1"/>
    </row>
    <row r="350" spans="1:26" ht="24.75" customHeight="1">
      <c r="A350" s="1"/>
      <c r="B350" s="1"/>
      <c r="C350" s="1"/>
      <c r="D350" s="1"/>
      <c r="E350" s="1"/>
      <c r="F350" s="1"/>
      <c r="G350" s="1"/>
      <c r="H350" s="1"/>
      <c r="I350" s="1"/>
      <c r="J350" s="1"/>
      <c r="K350" s="1"/>
      <c r="L350" s="1"/>
      <c r="M350" s="1"/>
      <c r="N350" s="1"/>
      <c r="O350" s="1"/>
      <c r="P350" s="1"/>
      <c r="Q350" s="1"/>
      <c r="R350" s="1"/>
      <c r="S350" s="1"/>
      <c r="T350" s="1"/>
      <c r="U350" s="2"/>
      <c r="V350" s="1"/>
      <c r="W350" s="1"/>
      <c r="X350" s="1"/>
      <c r="Y350" s="1"/>
      <c r="Z350" s="1"/>
    </row>
    <row r="351" spans="1:26" ht="24.75" customHeight="1">
      <c r="A351" s="1"/>
      <c r="B351" s="1"/>
      <c r="C351" s="1"/>
      <c r="D351" s="1"/>
      <c r="E351" s="1"/>
      <c r="F351" s="1"/>
      <c r="G351" s="1"/>
      <c r="H351" s="1"/>
      <c r="I351" s="1"/>
      <c r="J351" s="1"/>
      <c r="K351" s="1"/>
      <c r="L351" s="1"/>
      <c r="M351" s="1"/>
      <c r="N351" s="1"/>
      <c r="O351" s="1"/>
      <c r="P351" s="1"/>
      <c r="Q351" s="1"/>
      <c r="R351" s="1"/>
      <c r="S351" s="1"/>
      <c r="T351" s="1"/>
      <c r="U351" s="2"/>
      <c r="V351" s="1"/>
      <c r="W351" s="1"/>
      <c r="X351" s="1"/>
      <c r="Y351" s="1"/>
      <c r="Z351" s="1"/>
    </row>
    <row r="352" spans="1:26" ht="24.75" customHeight="1">
      <c r="A352" s="1"/>
      <c r="B352" s="1"/>
      <c r="C352" s="1"/>
      <c r="D352" s="1"/>
      <c r="E352" s="1"/>
      <c r="F352" s="1"/>
      <c r="G352" s="1"/>
      <c r="H352" s="1"/>
      <c r="I352" s="1"/>
      <c r="J352" s="1"/>
      <c r="K352" s="1"/>
      <c r="L352" s="1"/>
      <c r="M352" s="1"/>
      <c r="N352" s="1"/>
      <c r="O352" s="1"/>
      <c r="P352" s="1"/>
      <c r="Q352" s="1"/>
      <c r="R352" s="1"/>
      <c r="S352" s="1"/>
      <c r="T352" s="1"/>
      <c r="U352" s="2"/>
      <c r="V352" s="1"/>
      <c r="W352" s="1"/>
      <c r="X352" s="1"/>
      <c r="Y352" s="1"/>
      <c r="Z352" s="1"/>
    </row>
    <row r="353" spans="1:26" ht="24.75" customHeight="1">
      <c r="A353" s="1"/>
      <c r="B353" s="1"/>
      <c r="C353" s="1"/>
      <c r="D353" s="1"/>
      <c r="E353" s="1"/>
      <c r="F353" s="1"/>
      <c r="G353" s="1"/>
      <c r="H353" s="1"/>
      <c r="I353" s="1"/>
      <c r="J353" s="1"/>
      <c r="K353" s="1"/>
      <c r="L353" s="1"/>
      <c r="M353" s="1"/>
      <c r="N353" s="1"/>
      <c r="O353" s="1"/>
      <c r="P353" s="1"/>
      <c r="Q353" s="1"/>
      <c r="R353" s="1"/>
      <c r="S353" s="1"/>
      <c r="T353" s="1"/>
      <c r="U353" s="2"/>
      <c r="V353" s="1"/>
      <c r="W353" s="1"/>
      <c r="X353" s="1"/>
      <c r="Y353" s="1"/>
      <c r="Z353" s="1"/>
    </row>
    <row r="354" spans="1:26" ht="24.75" customHeight="1">
      <c r="A354" s="1"/>
      <c r="B354" s="1"/>
      <c r="C354" s="1"/>
      <c r="D354" s="1"/>
      <c r="E354" s="1"/>
      <c r="F354" s="1"/>
      <c r="G354" s="1"/>
      <c r="H354" s="1"/>
      <c r="I354" s="1"/>
      <c r="J354" s="1"/>
      <c r="K354" s="1"/>
      <c r="L354" s="1"/>
      <c r="M354" s="1"/>
      <c r="N354" s="1"/>
      <c r="O354" s="1"/>
      <c r="P354" s="1"/>
      <c r="Q354" s="1"/>
      <c r="R354" s="1"/>
      <c r="S354" s="1"/>
      <c r="T354" s="1"/>
      <c r="U354" s="2"/>
      <c r="V354" s="1"/>
      <c r="W354" s="1"/>
      <c r="X354" s="1"/>
      <c r="Y354" s="1"/>
      <c r="Z354" s="1"/>
    </row>
    <row r="355" spans="1:26" ht="24.75" customHeight="1">
      <c r="A355" s="1"/>
      <c r="B355" s="1"/>
      <c r="C355" s="1"/>
      <c r="D355" s="1"/>
      <c r="E355" s="1"/>
      <c r="F355" s="1"/>
      <c r="G355" s="1"/>
      <c r="H355" s="1"/>
      <c r="I355" s="1"/>
      <c r="J355" s="1"/>
      <c r="K355" s="1"/>
      <c r="L355" s="1"/>
      <c r="M355" s="1"/>
      <c r="N355" s="1"/>
      <c r="O355" s="1"/>
      <c r="P355" s="1"/>
      <c r="Q355" s="1"/>
      <c r="R355" s="1"/>
      <c r="S355" s="1"/>
      <c r="T355" s="1"/>
      <c r="U355" s="2"/>
      <c r="V355" s="1"/>
      <c r="W355" s="1"/>
      <c r="X355" s="1"/>
      <c r="Y355" s="1"/>
      <c r="Z355" s="1"/>
    </row>
    <row r="356" spans="1:26" ht="24.75" customHeight="1">
      <c r="A356" s="1"/>
      <c r="B356" s="1"/>
      <c r="C356" s="1"/>
      <c r="D356" s="1"/>
      <c r="E356" s="1"/>
      <c r="F356" s="1"/>
      <c r="G356" s="1"/>
      <c r="H356" s="1"/>
      <c r="I356" s="1"/>
      <c r="J356" s="1"/>
      <c r="K356" s="1"/>
      <c r="L356" s="1"/>
      <c r="M356" s="1"/>
      <c r="N356" s="1"/>
      <c r="O356" s="1"/>
      <c r="P356" s="1"/>
      <c r="Q356" s="1"/>
      <c r="R356" s="1"/>
      <c r="S356" s="1"/>
      <c r="T356" s="1"/>
      <c r="U356" s="2"/>
      <c r="V356" s="1"/>
      <c r="W356" s="1"/>
      <c r="X356" s="1"/>
      <c r="Y356" s="1"/>
      <c r="Z356" s="1"/>
    </row>
    <row r="357" spans="1:26" ht="24.75" customHeight="1">
      <c r="A357" s="1"/>
      <c r="B357" s="1"/>
      <c r="C357" s="1"/>
      <c r="D357" s="1"/>
      <c r="E357" s="1"/>
      <c r="F357" s="1"/>
      <c r="G357" s="1"/>
      <c r="H357" s="1"/>
      <c r="I357" s="1"/>
      <c r="J357" s="1"/>
      <c r="K357" s="1"/>
      <c r="L357" s="1"/>
      <c r="M357" s="1"/>
      <c r="N357" s="1"/>
      <c r="O357" s="1"/>
      <c r="P357" s="1"/>
      <c r="Q357" s="1"/>
      <c r="R357" s="1"/>
      <c r="S357" s="1"/>
      <c r="T357" s="1"/>
      <c r="U357" s="2"/>
      <c r="V357" s="1"/>
      <c r="W357" s="1"/>
      <c r="X357" s="1"/>
      <c r="Y357" s="1"/>
      <c r="Z357" s="1"/>
    </row>
    <row r="358" spans="1:26" ht="24.75" customHeight="1">
      <c r="A358" s="1"/>
      <c r="B358" s="1"/>
      <c r="C358" s="1"/>
      <c r="D358" s="1"/>
      <c r="E358" s="1"/>
      <c r="F358" s="1"/>
      <c r="G358" s="1"/>
      <c r="H358" s="1"/>
      <c r="I358" s="1"/>
      <c r="J358" s="1"/>
      <c r="K358" s="1"/>
      <c r="L358" s="1"/>
      <c r="M358" s="1"/>
      <c r="N358" s="1"/>
      <c r="O358" s="1"/>
      <c r="P358" s="1"/>
      <c r="Q358" s="1"/>
      <c r="R358" s="1"/>
      <c r="S358" s="1"/>
      <c r="T358" s="1"/>
      <c r="U358" s="2"/>
      <c r="V358" s="1"/>
      <c r="W358" s="1"/>
      <c r="X358" s="1"/>
      <c r="Y358" s="1"/>
      <c r="Z358" s="1"/>
    </row>
    <row r="359" spans="1:26" ht="24.75" customHeight="1">
      <c r="A359" s="1"/>
      <c r="B359" s="1"/>
      <c r="C359" s="1"/>
      <c r="D359" s="1"/>
      <c r="E359" s="1"/>
      <c r="F359" s="1"/>
      <c r="G359" s="1"/>
      <c r="H359" s="1"/>
      <c r="I359" s="1"/>
      <c r="J359" s="1"/>
      <c r="K359" s="1"/>
      <c r="L359" s="1"/>
      <c r="M359" s="1"/>
      <c r="N359" s="1"/>
      <c r="O359" s="1"/>
      <c r="P359" s="1"/>
      <c r="Q359" s="1"/>
      <c r="R359" s="1"/>
      <c r="S359" s="1"/>
      <c r="T359" s="1"/>
      <c r="U359" s="2"/>
      <c r="V359" s="1"/>
      <c r="W359" s="1"/>
      <c r="X359" s="1"/>
      <c r="Y359" s="1"/>
      <c r="Z359" s="1"/>
    </row>
    <row r="360" spans="1:26" ht="24.75" customHeight="1">
      <c r="A360" s="1"/>
      <c r="B360" s="1"/>
      <c r="C360" s="1"/>
      <c r="D360" s="1"/>
      <c r="E360" s="1"/>
      <c r="F360" s="1"/>
      <c r="G360" s="1"/>
      <c r="H360" s="1"/>
      <c r="I360" s="1"/>
      <c r="J360" s="1"/>
      <c r="K360" s="1"/>
      <c r="L360" s="1"/>
      <c r="M360" s="1"/>
      <c r="N360" s="1"/>
      <c r="O360" s="1"/>
      <c r="P360" s="1"/>
      <c r="Q360" s="1"/>
      <c r="R360" s="1"/>
      <c r="S360" s="1"/>
      <c r="T360" s="1"/>
      <c r="U360" s="2"/>
      <c r="V360" s="1"/>
      <c r="W360" s="1"/>
      <c r="X360" s="1"/>
      <c r="Y360" s="1"/>
      <c r="Z360" s="1"/>
    </row>
    <row r="361" spans="1:26" ht="24.75" customHeight="1">
      <c r="A361" s="1"/>
      <c r="B361" s="1"/>
      <c r="C361" s="1"/>
      <c r="D361" s="1"/>
      <c r="E361" s="1"/>
      <c r="F361" s="1"/>
      <c r="G361" s="1"/>
      <c r="H361" s="1"/>
      <c r="I361" s="1"/>
      <c r="J361" s="1"/>
      <c r="K361" s="1"/>
      <c r="L361" s="1"/>
      <c r="M361" s="1"/>
      <c r="N361" s="1"/>
      <c r="O361" s="1"/>
      <c r="P361" s="1"/>
      <c r="Q361" s="1"/>
      <c r="R361" s="1"/>
      <c r="S361" s="1"/>
      <c r="T361" s="1"/>
      <c r="U361" s="2"/>
      <c r="V361" s="1"/>
      <c r="W361" s="1"/>
      <c r="X361" s="1"/>
      <c r="Y361" s="1"/>
      <c r="Z361" s="1"/>
    </row>
    <row r="362" spans="1:26" ht="24.75" customHeight="1">
      <c r="A362" s="1"/>
      <c r="B362" s="1"/>
      <c r="C362" s="1"/>
      <c r="D362" s="1"/>
      <c r="E362" s="1"/>
      <c r="F362" s="1"/>
      <c r="G362" s="1"/>
      <c r="H362" s="1"/>
      <c r="I362" s="1"/>
      <c r="J362" s="1"/>
      <c r="K362" s="1"/>
      <c r="L362" s="1"/>
      <c r="M362" s="1"/>
      <c r="N362" s="1"/>
      <c r="O362" s="1"/>
      <c r="P362" s="1"/>
      <c r="Q362" s="1"/>
      <c r="R362" s="1"/>
      <c r="S362" s="1"/>
      <c r="T362" s="1"/>
      <c r="U362" s="2"/>
      <c r="V362" s="1"/>
      <c r="W362" s="1"/>
      <c r="X362" s="1"/>
      <c r="Y362" s="1"/>
      <c r="Z362" s="1"/>
    </row>
    <row r="363" spans="1:26" ht="24.75" customHeight="1">
      <c r="A363" s="1"/>
      <c r="B363" s="1"/>
      <c r="C363" s="1"/>
      <c r="D363" s="1"/>
      <c r="E363" s="1"/>
      <c r="F363" s="1"/>
      <c r="G363" s="1"/>
      <c r="H363" s="1"/>
      <c r="I363" s="1"/>
      <c r="J363" s="1"/>
      <c r="K363" s="1"/>
      <c r="L363" s="1"/>
      <c r="M363" s="1"/>
      <c r="N363" s="1"/>
      <c r="O363" s="1"/>
      <c r="P363" s="1"/>
      <c r="Q363" s="1"/>
      <c r="R363" s="1"/>
      <c r="S363" s="1"/>
      <c r="T363" s="1"/>
      <c r="U363" s="2"/>
      <c r="V363" s="1"/>
      <c r="W363" s="1"/>
      <c r="X363" s="1"/>
      <c r="Y363" s="1"/>
      <c r="Z363" s="1"/>
    </row>
    <row r="364" spans="1:26" ht="24.75" customHeight="1">
      <c r="A364" s="1"/>
      <c r="B364" s="1"/>
      <c r="C364" s="1"/>
      <c r="D364" s="1"/>
      <c r="E364" s="1"/>
      <c r="F364" s="1"/>
      <c r="G364" s="1"/>
      <c r="H364" s="1"/>
      <c r="I364" s="1"/>
      <c r="J364" s="1"/>
      <c r="K364" s="1"/>
      <c r="L364" s="1"/>
      <c r="M364" s="1"/>
      <c r="N364" s="1"/>
      <c r="O364" s="1"/>
      <c r="P364" s="1"/>
      <c r="Q364" s="1"/>
      <c r="R364" s="1"/>
      <c r="S364" s="1"/>
      <c r="T364" s="1"/>
      <c r="U364" s="2"/>
      <c r="V364" s="1"/>
      <c r="W364" s="1"/>
      <c r="X364" s="1"/>
      <c r="Y364" s="1"/>
      <c r="Z364" s="1"/>
    </row>
    <row r="365" spans="1:26" ht="24.75" customHeight="1">
      <c r="A365" s="1"/>
      <c r="B365" s="1"/>
      <c r="C365" s="1"/>
      <c r="D365" s="1"/>
      <c r="E365" s="1"/>
      <c r="F365" s="1"/>
      <c r="G365" s="1"/>
      <c r="H365" s="1"/>
      <c r="I365" s="1"/>
      <c r="J365" s="1"/>
      <c r="K365" s="1"/>
      <c r="L365" s="1"/>
      <c r="M365" s="1"/>
      <c r="N365" s="1"/>
      <c r="O365" s="1"/>
      <c r="P365" s="1"/>
      <c r="Q365" s="1"/>
      <c r="R365" s="1"/>
      <c r="S365" s="1"/>
      <c r="T365" s="1"/>
      <c r="U365" s="2"/>
      <c r="V365" s="1"/>
      <c r="W365" s="1"/>
      <c r="X365" s="1"/>
      <c r="Y365" s="1"/>
      <c r="Z365" s="1"/>
    </row>
    <row r="366" spans="1:26" ht="24.75" customHeight="1">
      <c r="A366" s="1"/>
      <c r="B366" s="1"/>
      <c r="C366" s="1"/>
      <c r="D366" s="1"/>
      <c r="E366" s="1"/>
      <c r="F366" s="1"/>
      <c r="G366" s="1"/>
      <c r="H366" s="1"/>
      <c r="I366" s="1"/>
      <c r="J366" s="1"/>
      <c r="K366" s="1"/>
      <c r="L366" s="1"/>
      <c r="M366" s="1"/>
      <c r="N366" s="1"/>
      <c r="O366" s="1"/>
      <c r="P366" s="1"/>
      <c r="Q366" s="1"/>
      <c r="R366" s="1"/>
      <c r="S366" s="1"/>
      <c r="T366" s="1"/>
      <c r="U366" s="2"/>
      <c r="V366" s="1"/>
      <c r="W366" s="1"/>
      <c r="X366" s="1"/>
      <c r="Y366" s="1"/>
      <c r="Z366" s="1"/>
    </row>
    <row r="367" spans="1:26" ht="24.75" customHeight="1">
      <c r="A367" s="1"/>
      <c r="B367" s="1"/>
      <c r="C367" s="1"/>
      <c r="D367" s="1"/>
      <c r="E367" s="1"/>
      <c r="F367" s="1"/>
      <c r="G367" s="1"/>
      <c r="H367" s="1"/>
      <c r="I367" s="1"/>
      <c r="J367" s="1"/>
      <c r="K367" s="1"/>
      <c r="L367" s="1"/>
      <c r="M367" s="1"/>
      <c r="N367" s="1"/>
      <c r="O367" s="1"/>
      <c r="P367" s="1"/>
      <c r="Q367" s="1"/>
      <c r="R367" s="1"/>
      <c r="S367" s="1"/>
      <c r="T367" s="1"/>
      <c r="U367" s="2"/>
      <c r="V367" s="1"/>
      <c r="W367" s="1"/>
      <c r="X367" s="1"/>
      <c r="Y367" s="1"/>
      <c r="Z367" s="1"/>
    </row>
    <row r="368" spans="1:26" ht="24.75" customHeight="1">
      <c r="A368" s="1"/>
      <c r="B368" s="1"/>
      <c r="C368" s="1"/>
      <c r="D368" s="1"/>
      <c r="E368" s="1"/>
      <c r="F368" s="1"/>
      <c r="G368" s="1"/>
      <c r="H368" s="1"/>
      <c r="I368" s="1"/>
      <c r="J368" s="1"/>
      <c r="K368" s="1"/>
      <c r="L368" s="1"/>
      <c r="M368" s="1"/>
      <c r="N368" s="1"/>
      <c r="O368" s="1"/>
      <c r="P368" s="1"/>
      <c r="Q368" s="1"/>
      <c r="R368" s="1"/>
      <c r="S368" s="1"/>
      <c r="T368" s="1"/>
      <c r="U368" s="2"/>
      <c r="V368" s="1"/>
      <c r="W368" s="1"/>
      <c r="X368" s="1"/>
      <c r="Y368" s="1"/>
      <c r="Z368" s="1"/>
    </row>
    <row r="369" spans="1:26" ht="24.75" customHeight="1">
      <c r="A369" s="1"/>
      <c r="B369" s="1"/>
      <c r="C369" s="1"/>
      <c r="D369" s="1"/>
      <c r="E369" s="1"/>
      <c r="F369" s="1"/>
      <c r="G369" s="1"/>
      <c r="H369" s="1"/>
      <c r="I369" s="1"/>
      <c r="J369" s="1"/>
      <c r="K369" s="1"/>
      <c r="L369" s="1"/>
      <c r="M369" s="1"/>
      <c r="N369" s="1"/>
      <c r="O369" s="1"/>
      <c r="P369" s="1"/>
      <c r="Q369" s="1"/>
      <c r="R369" s="1"/>
      <c r="S369" s="1"/>
      <c r="T369" s="1"/>
      <c r="U369" s="2"/>
      <c r="V369" s="1"/>
      <c r="W369" s="1"/>
      <c r="X369" s="1"/>
      <c r="Y369" s="1"/>
      <c r="Z369" s="1"/>
    </row>
    <row r="370" spans="1:26" ht="24.75" customHeight="1">
      <c r="A370" s="1"/>
      <c r="B370" s="1"/>
      <c r="C370" s="1"/>
      <c r="D370" s="1"/>
      <c r="E370" s="1"/>
      <c r="F370" s="1"/>
      <c r="G370" s="1"/>
      <c r="H370" s="1"/>
      <c r="I370" s="1"/>
      <c r="J370" s="1"/>
      <c r="K370" s="1"/>
      <c r="L370" s="1"/>
      <c r="M370" s="1"/>
      <c r="N370" s="1"/>
      <c r="O370" s="1"/>
      <c r="P370" s="1"/>
      <c r="Q370" s="1"/>
      <c r="R370" s="1"/>
      <c r="S370" s="1"/>
      <c r="T370" s="1"/>
      <c r="U370" s="2"/>
      <c r="V370" s="1"/>
      <c r="W370" s="1"/>
      <c r="X370" s="1"/>
      <c r="Y370" s="1"/>
      <c r="Z370" s="1"/>
    </row>
    <row r="371" spans="1:26" ht="24.75" customHeight="1">
      <c r="A371" s="1"/>
      <c r="B371" s="1"/>
      <c r="C371" s="1"/>
      <c r="D371" s="1"/>
      <c r="E371" s="1"/>
      <c r="F371" s="1"/>
      <c r="G371" s="1"/>
      <c r="H371" s="1"/>
      <c r="I371" s="1"/>
      <c r="J371" s="1"/>
      <c r="K371" s="1"/>
      <c r="L371" s="1"/>
      <c r="M371" s="1"/>
      <c r="N371" s="1"/>
      <c r="O371" s="1"/>
      <c r="P371" s="1"/>
      <c r="Q371" s="1"/>
      <c r="R371" s="1"/>
      <c r="S371" s="1"/>
      <c r="T371" s="1"/>
      <c r="U371" s="2"/>
      <c r="V371" s="1"/>
      <c r="W371" s="1"/>
      <c r="X371" s="1"/>
      <c r="Y371" s="1"/>
      <c r="Z371" s="1"/>
    </row>
    <row r="372" spans="1:26" ht="24.75" customHeight="1">
      <c r="A372" s="1"/>
      <c r="B372" s="1"/>
      <c r="C372" s="1"/>
      <c r="D372" s="1"/>
      <c r="E372" s="1"/>
      <c r="F372" s="1"/>
      <c r="G372" s="1"/>
      <c r="H372" s="1"/>
      <c r="I372" s="1"/>
      <c r="J372" s="1"/>
      <c r="K372" s="1"/>
      <c r="L372" s="1"/>
      <c r="M372" s="1"/>
      <c r="N372" s="1"/>
      <c r="O372" s="1"/>
      <c r="P372" s="1"/>
      <c r="Q372" s="1"/>
      <c r="R372" s="1"/>
      <c r="S372" s="1"/>
      <c r="T372" s="1"/>
      <c r="U372" s="2"/>
      <c r="V372" s="1"/>
      <c r="W372" s="1"/>
      <c r="X372" s="1"/>
      <c r="Y372" s="1"/>
      <c r="Z372" s="1"/>
    </row>
    <row r="373" spans="1:26" ht="24.75" customHeight="1">
      <c r="A373" s="1"/>
      <c r="B373" s="1"/>
      <c r="C373" s="1"/>
      <c r="D373" s="1"/>
      <c r="E373" s="1"/>
      <c r="F373" s="1"/>
      <c r="G373" s="1"/>
      <c r="H373" s="1"/>
      <c r="I373" s="1"/>
      <c r="J373" s="1"/>
      <c r="K373" s="1"/>
      <c r="L373" s="1"/>
      <c r="M373" s="1"/>
      <c r="N373" s="1"/>
      <c r="O373" s="1"/>
      <c r="P373" s="1"/>
      <c r="Q373" s="1"/>
      <c r="R373" s="1"/>
      <c r="S373" s="1"/>
      <c r="T373" s="1"/>
      <c r="U373" s="2"/>
      <c r="V373" s="1"/>
      <c r="W373" s="1"/>
      <c r="X373" s="1"/>
      <c r="Y373" s="1"/>
      <c r="Z373" s="1"/>
    </row>
    <row r="374" spans="1:26" ht="24.75" customHeight="1">
      <c r="A374" s="1"/>
      <c r="B374" s="1"/>
      <c r="C374" s="1"/>
      <c r="D374" s="1"/>
      <c r="E374" s="1"/>
      <c r="F374" s="1"/>
      <c r="G374" s="1"/>
      <c r="H374" s="1"/>
      <c r="I374" s="1"/>
      <c r="J374" s="1"/>
      <c r="K374" s="1"/>
      <c r="L374" s="1"/>
      <c r="M374" s="1"/>
      <c r="N374" s="1"/>
      <c r="O374" s="1"/>
      <c r="P374" s="1"/>
      <c r="Q374" s="1"/>
      <c r="R374" s="1"/>
      <c r="S374" s="1"/>
      <c r="T374" s="1"/>
      <c r="U374" s="2"/>
      <c r="V374" s="1"/>
      <c r="W374" s="1"/>
      <c r="X374" s="1"/>
      <c r="Y374" s="1"/>
      <c r="Z374" s="1"/>
    </row>
    <row r="375" spans="1:26" ht="24.75" customHeight="1">
      <c r="A375" s="1"/>
      <c r="B375" s="1"/>
      <c r="C375" s="1"/>
      <c r="D375" s="1"/>
      <c r="E375" s="1"/>
      <c r="F375" s="1"/>
      <c r="G375" s="1"/>
      <c r="H375" s="1"/>
      <c r="I375" s="1"/>
      <c r="J375" s="1"/>
      <c r="K375" s="1"/>
      <c r="L375" s="1"/>
      <c r="M375" s="1"/>
      <c r="N375" s="1"/>
      <c r="O375" s="1"/>
      <c r="P375" s="1"/>
      <c r="Q375" s="1"/>
      <c r="R375" s="1"/>
      <c r="S375" s="1"/>
      <c r="T375" s="1"/>
      <c r="U375" s="2"/>
      <c r="V375" s="1"/>
      <c r="W375" s="1"/>
      <c r="X375" s="1"/>
      <c r="Y375" s="1"/>
      <c r="Z375" s="1"/>
    </row>
    <row r="376" spans="1:26" ht="24.75" customHeight="1">
      <c r="A376" s="1"/>
      <c r="B376" s="1"/>
      <c r="C376" s="1"/>
      <c r="D376" s="1"/>
      <c r="E376" s="1"/>
      <c r="F376" s="1"/>
      <c r="G376" s="1"/>
      <c r="H376" s="1"/>
      <c r="I376" s="1"/>
      <c r="J376" s="1"/>
      <c r="K376" s="1"/>
      <c r="L376" s="1"/>
      <c r="M376" s="1"/>
      <c r="N376" s="1"/>
      <c r="O376" s="1"/>
      <c r="P376" s="1"/>
      <c r="Q376" s="1"/>
      <c r="R376" s="1"/>
      <c r="S376" s="1"/>
      <c r="T376" s="1"/>
      <c r="U376" s="2"/>
      <c r="V376" s="1"/>
      <c r="W376" s="1"/>
      <c r="X376" s="1"/>
      <c r="Y376" s="1"/>
      <c r="Z376" s="1"/>
    </row>
    <row r="377" spans="1:26" ht="24.75" customHeight="1">
      <c r="A377" s="1"/>
      <c r="B377" s="1"/>
      <c r="C377" s="1"/>
      <c r="D377" s="1"/>
      <c r="E377" s="1"/>
      <c r="F377" s="1"/>
      <c r="G377" s="1"/>
      <c r="H377" s="1"/>
      <c r="I377" s="1"/>
      <c r="J377" s="1"/>
      <c r="K377" s="1"/>
      <c r="L377" s="1"/>
      <c r="M377" s="1"/>
      <c r="N377" s="1"/>
      <c r="O377" s="1"/>
      <c r="P377" s="1"/>
      <c r="Q377" s="1"/>
      <c r="R377" s="1"/>
      <c r="S377" s="1"/>
      <c r="T377" s="1"/>
      <c r="U377" s="2"/>
      <c r="V377" s="1"/>
      <c r="W377" s="1"/>
      <c r="X377" s="1"/>
      <c r="Y377" s="1"/>
      <c r="Z377" s="1"/>
    </row>
    <row r="378" spans="1:26" ht="24.75" customHeight="1">
      <c r="A378" s="1"/>
      <c r="B378" s="1"/>
      <c r="C378" s="1"/>
      <c r="D378" s="1"/>
      <c r="E378" s="1"/>
      <c r="F378" s="1"/>
      <c r="G378" s="1"/>
      <c r="H378" s="1"/>
      <c r="I378" s="1"/>
      <c r="J378" s="1"/>
      <c r="K378" s="1"/>
      <c r="L378" s="1"/>
      <c r="M378" s="1"/>
      <c r="N378" s="1"/>
      <c r="O378" s="1"/>
      <c r="P378" s="1"/>
      <c r="Q378" s="1"/>
      <c r="R378" s="1"/>
      <c r="S378" s="1"/>
      <c r="T378" s="1"/>
      <c r="U378" s="2"/>
      <c r="V378" s="1"/>
      <c r="W378" s="1"/>
      <c r="X378" s="1"/>
      <c r="Y378" s="1"/>
      <c r="Z378" s="1"/>
    </row>
    <row r="379" spans="1:26" ht="24.75" customHeight="1">
      <c r="A379" s="1"/>
      <c r="B379" s="1"/>
      <c r="C379" s="1"/>
      <c r="D379" s="1"/>
      <c r="E379" s="1"/>
      <c r="F379" s="1"/>
      <c r="G379" s="1"/>
      <c r="H379" s="1"/>
      <c r="I379" s="1"/>
      <c r="J379" s="1"/>
      <c r="K379" s="1"/>
      <c r="L379" s="1"/>
      <c r="M379" s="1"/>
      <c r="N379" s="1"/>
      <c r="O379" s="1"/>
      <c r="P379" s="1"/>
      <c r="Q379" s="1"/>
      <c r="R379" s="1"/>
      <c r="S379" s="1"/>
      <c r="T379" s="1"/>
      <c r="U379" s="2"/>
      <c r="V379" s="1"/>
      <c r="W379" s="1"/>
      <c r="X379" s="1"/>
      <c r="Y379" s="1"/>
      <c r="Z379" s="1"/>
    </row>
    <row r="380" spans="1:26" ht="24.75" customHeight="1">
      <c r="A380" s="1"/>
      <c r="B380" s="1"/>
      <c r="C380" s="1"/>
      <c r="D380" s="1"/>
      <c r="E380" s="1"/>
      <c r="F380" s="1"/>
      <c r="G380" s="1"/>
      <c r="H380" s="1"/>
      <c r="I380" s="1"/>
      <c r="J380" s="1"/>
      <c r="K380" s="1"/>
      <c r="L380" s="1"/>
      <c r="M380" s="1"/>
      <c r="N380" s="1"/>
      <c r="O380" s="1"/>
      <c r="P380" s="1"/>
      <c r="Q380" s="1"/>
      <c r="R380" s="1"/>
      <c r="S380" s="1"/>
      <c r="T380" s="1"/>
      <c r="U380" s="2"/>
      <c r="V380" s="1"/>
      <c r="W380" s="1"/>
      <c r="X380" s="1"/>
      <c r="Y380" s="1"/>
      <c r="Z380" s="1"/>
    </row>
    <row r="381" spans="1:26" ht="24.75" customHeight="1">
      <c r="A381" s="1"/>
      <c r="B381" s="1"/>
      <c r="C381" s="1"/>
      <c r="D381" s="1"/>
      <c r="E381" s="1"/>
      <c r="F381" s="1"/>
      <c r="G381" s="1"/>
      <c r="H381" s="1"/>
      <c r="I381" s="1"/>
      <c r="J381" s="1"/>
      <c r="K381" s="1"/>
      <c r="L381" s="1"/>
      <c r="M381" s="1"/>
      <c r="N381" s="1"/>
      <c r="O381" s="1"/>
      <c r="P381" s="1"/>
      <c r="Q381" s="1"/>
      <c r="R381" s="1"/>
      <c r="S381" s="1"/>
      <c r="T381" s="1"/>
      <c r="U381" s="2"/>
      <c r="V381" s="1"/>
      <c r="W381" s="1"/>
      <c r="X381" s="1"/>
      <c r="Y381" s="1"/>
      <c r="Z381" s="1"/>
    </row>
    <row r="382" spans="1:26" ht="24.75" customHeight="1">
      <c r="A382" s="1"/>
      <c r="B382" s="1"/>
      <c r="C382" s="1"/>
      <c r="D382" s="1"/>
      <c r="E382" s="1"/>
      <c r="F382" s="1"/>
      <c r="G382" s="1"/>
      <c r="H382" s="1"/>
      <c r="I382" s="1"/>
      <c r="J382" s="1"/>
      <c r="K382" s="1"/>
      <c r="L382" s="1"/>
      <c r="M382" s="1"/>
      <c r="N382" s="1"/>
      <c r="O382" s="1"/>
      <c r="P382" s="1"/>
      <c r="Q382" s="1"/>
      <c r="R382" s="1"/>
      <c r="S382" s="1"/>
      <c r="T382" s="1"/>
      <c r="U382" s="2"/>
      <c r="V382" s="1"/>
      <c r="W382" s="1"/>
      <c r="X382" s="1"/>
      <c r="Y382" s="1"/>
      <c r="Z382" s="1"/>
    </row>
    <row r="383" spans="1:26" ht="24.75" customHeight="1">
      <c r="A383" s="1"/>
      <c r="B383" s="1"/>
      <c r="C383" s="1"/>
      <c r="D383" s="1"/>
      <c r="E383" s="1"/>
      <c r="F383" s="1"/>
      <c r="G383" s="1"/>
      <c r="H383" s="1"/>
      <c r="I383" s="1"/>
      <c r="J383" s="1"/>
      <c r="K383" s="1"/>
      <c r="L383" s="1"/>
      <c r="M383" s="1"/>
      <c r="N383" s="1"/>
      <c r="O383" s="1"/>
      <c r="P383" s="1"/>
      <c r="Q383" s="1"/>
      <c r="R383" s="1"/>
      <c r="S383" s="1"/>
      <c r="T383" s="1"/>
      <c r="U383" s="2"/>
      <c r="V383" s="1"/>
      <c r="W383" s="1"/>
      <c r="X383" s="1"/>
      <c r="Y383" s="1"/>
      <c r="Z383" s="1"/>
    </row>
    <row r="384" spans="1:26" ht="24.75" customHeight="1">
      <c r="A384" s="1"/>
      <c r="B384" s="1"/>
      <c r="C384" s="1"/>
      <c r="D384" s="1"/>
      <c r="E384" s="1"/>
      <c r="F384" s="1"/>
      <c r="G384" s="1"/>
      <c r="H384" s="1"/>
      <c r="I384" s="1"/>
      <c r="J384" s="1"/>
      <c r="K384" s="1"/>
      <c r="L384" s="1"/>
      <c r="M384" s="1"/>
      <c r="N384" s="1"/>
      <c r="O384" s="1"/>
      <c r="P384" s="1"/>
      <c r="Q384" s="1"/>
      <c r="R384" s="1"/>
      <c r="S384" s="1"/>
      <c r="T384" s="1"/>
      <c r="U384" s="2"/>
      <c r="V384" s="1"/>
      <c r="W384" s="1"/>
      <c r="X384" s="1"/>
      <c r="Y384" s="1"/>
      <c r="Z384" s="1"/>
    </row>
    <row r="385" spans="1:26" ht="24.75" customHeight="1">
      <c r="A385" s="1"/>
      <c r="B385" s="1"/>
      <c r="C385" s="1"/>
      <c r="D385" s="1"/>
      <c r="E385" s="1"/>
      <c r="F385" s="1"/>
      <c r="G385" s="1"/>
      <c r="H385" s="1"/>
      <c r="I385" s="1"/>
      <c r="J385" s="1"/>
      <c r="K385" s="1"/>
      <c r="L385" s="1"/>
      <c r="M385" s="1"/>
      <c r="N385" s="1"/>
      <c r="O385" s="1"/>
      <c r="P385" s="1"/>
      <c r="Q385" s="1"/>
      <c r="R385" s="1"/>
      <c r="S385" s="1"/>
      <c r="T385" s="1"/>
      <c r="U385" s="2"/>
      <c r="V385" s="1"/>
      <c r="W385" s="1"/>
      <c r="X385" s="1"/>
      <c r="Y385" s="1"/>
      <c r="Z385" s="1"/>
    </row>
    <row r="386" spans="1:26" ht="24.75" customHeight="1">
      <c r="A386" s="1"/>
      <c r="B386" s="1"/>
      <c r="C386" s="1"/>
      <c r="D386" s="1"/>
      <c r="E386" s="1"/>
      <c r="F386" s="1"/>
      <c r="G386" s="1"/>
      <c r="H386" s="1"/>
      <c r="I386" s="1"/>
      <c r="J386" s="1"/>
      <c r="K386" s="1"/>
      <c r="L386" s="1"/>
      <c r="M386" s="1"/>
      <c r="N386" s="1"/>
      <c r="O386" s="1"/>
      <c r="P386" s="1"/>
      <c r="Q386" s="1"/>
      <c r="R386" s="1"/>
      <c r="S386" s="1"/>
      <c r="T386" s="1"/>
      <c r="U386" s="2"/>
      <c r="V386" s="1"/>
      <c r="W386" s="1"/>
      <c r="X386" s="1"/>
      <c r="Y386" s="1"/>
      <c r="Z386" s="1"/>
    </row>
    <row r="387" spans="1:26" ht="24.75" customHeight="1">
      <c r="A387" s="1"/>
      <c r="B387" s="1"/>
      <c r="C387" s="1"/>
      <c r="D387" s="1"/>
      <c r="E387" s="1"/>
      <c r="F387" s="1"/>
      <c r="G387" s="1"/>
      <c r="H387" s="1"/>
      <c r="I387" s="1"/>
      <c r="J387" s="1"/>
      <c r="K387" s="1"/>
      <c r="L387" s="1"/>
      <c r="M387" s="1"/>
      <c r="N387" s="1"/>
      <c r="O387" s="1"/>
      <c r="P387" s="1"/>
      <c r="Q387" s="1"/>
      <c r="R387" s="1"/>
      <c r="S387" s="1"/>
      <c r="T387" s="1"/>
      <c r="U387" s="2"/>
      <c r="V387" s="1"/>
      <c r="W387" s="1"/>
      <c r="X387" s="1"/>
      <c r="Y387" s="1"/>
      <c r="Z387" s="1"/>
    </row>
    <row r="388" spans="1:26" ht="24.75" customHeight="1">
      <c r="A388" s="1"/>
      <c r="B388" s="1"/>
      <c r="C388" s="1"/>
      <c r="D388" s="1"/>
      <c r="E388" s="1"/>
      <c r="F388" s="1"/>
      <c r="G388" s="1"/>
      <c r="H388" s="1"/>
      <c r="I388" s="1"/>
      <c r="J388" s="1"/>
      <c r="K388" s="1"/>
      <c r="L388" s="1"/>
      <c r="M388" s="1"/>
      <c r="N388" s="1"/>
      <c r="O388" s="1"/>
      <c r="P388" s="1"/>
      <c r="Q388" s="1"/>
      <c r="R388" s="1"/>
      <c r="S388" s="1"/>
      <c r="T388" s="1"/>
      <c r="U388" s="2"/>
      <c r="V388" s="1"/>
      <c r="W388" s="1"/>
      <c r="X388" s="1"/>
      <c r="Y388" s="1"/>
      <c r="Z388" s="1"/>
    </row>
    <row r="389" spans="1:26" ht="24.75" customHeight="1">
      <c r="A389" s="1"/>
      <c r="B389" s="1"/>
      <c r="C389" s="1"/>
      <c r="D389" s="1"/>
      <c r="E389" s="1"/>
      <c r="F389" s="1"/>
      <c r="G389" s="1"/>
      <c r="H389" s="1"/>
      <c r="I389" s="1"/>
      <c r="J389" s="1"/>
      <c r="K389" s="1"/>
      <c r="L389" s="1"/>
      <c r="M389" s="1"/>
      <c r="N389" s="1"/>
      <c r="O389" s="1"/>
      <c r="P389" s="1"/>
      <c r="Q389" s="1"/>
      <c r="R389" s="1"/>
      <c r="S389" s="1"/>
      <c r="T389" s="1"/>
      <c r="U389" s="2"/>
      <c r="V389" s="1"/>
      <c r="W389" s="1"/>
      <c r="X389" s="1"/>
      <c r="Y389" s="1"/>
      <c r="Z389" s="1"/>
    </row>
    <row r="390" spans="1:26" ht="24.75" customHeight="1">
      <c r="A390" s="1"/>
      <c r="B390" s="1"/>
      <c r="C390" s="1"/>
      <c r="D390" s="1"/>
      <c r="E390" s="1"/>
      <c r="F390" s="1"/>
      <c r="G390" s="1"/>
      <c r="H390" s="1"/>
      <c r="I390" s="1"/>
      <c r="J390" s="1"/>
      <c r="K390" s="1"/>
      <c r="L390" s="1"/>
      <c r="M390" s="1"/>
      <c r="N390" s="1"/>
      <c r="O390" s="1"/>
      <c r="P390" s="1"/>
      <c r="Q390" s="1"/>
      <c r="R390" s="1"/>
      <c r="S390" s="1"/>
      <c r="T390" s="1"/>
      <c r="U390" s="2"/>
      <c r="V390" s="1"/>
      <c r="W390" s="1"/>
      <c r="X390" s="1"/>
      <c r="Y390" s="1"/>
      <c r="Z390" s="1"/>
    </row>
    <row r="391" spans="1:26" ht="24.75" customHeight="1">
      <c r="A391" s="1"/>
      <c r="B391" s="1"/>
      <c r="C391" s="1"/>
      <c r="D391" s="1"/>
      <c r="E391" s="1"/>
      <c r="F391" s="1"/>
      <c r="G391" s="1"/>
      <c r="H391" s="1"/>
      <c r="I391" s="1"/>
      <c r="J391" s="1"/>
      <c r="K391" s="1"/>
      <c r="L391" s="1"/>
      <c r="M391" s="1"/>
      <c r="N391" s="1"/>
      <c r="O391" s="1"/>
      <c r="P391" s="1"/>
      <c r="Q391" s="1"/>
      <c r="R391" s="1"/>
      <c r="S391" s="1"/>
      <c r="T391" s="1"/>
      <c r="U391" s="2"/>
      <c r="V391" s="1"/>
      <c r="W391" s="1"/>
      <c r="X391" s="1"/>
      <c r="Y391" s="1"/>
      <c r="Z391" s="1"/>
    </row>
    <row r="392" spans="1:26" ht="24.75" customHeight="1">
      <c r="A392" s="1"/>
      <c r="B392" s="1"/>
      <c r="C392" s="1"/>
      <c r="D392" s="1"/>
      <c r="E392" s="1"/>
      <c r="F392" s="1"/>
      <c r="G392" s="1"/>
      <c r="H392" s="1"/>
      <c r="I392" s="1"/>
      <c r="J392" s="1"/>
      <c r="K392" s="1"/>
      <c r="L392" s="1"/>
      <c r="M392" s="1"/>
      <c r="N392" s="1"/>
      <c r="O392" s="1"/>
      <c r="P392" s="1"/>
      <c r="Q392" s="1"/>
      <c r="R392" s="1"/>
      <c r="S392" s="1"/>
      <c r="T392" s="1"/>
      <c r="U392" s="2"/>
      <c r="V392" s="1"/>
      <c r="W392" s="1"/>
      <c r="X392" s="1"/>
      <c r="Y392" s="1"/>
      <c r="Z392" s="1"/>
    </row>
    <row r="393" spans="1:26" ht="24.75" customHeight="1">
      <c r="A393" s="1"/>
      <c r="B393" s="1"/>
      <c r="C393" s="1"/>
      <c r="D393" s="1"/>
      <c r="E393" s="1"/>
      <c r="F393" s="1"/>
      <c r="G393" s="1"/>
      <c r="H393" s="1"/>
      <c r="I393" s="1"/>
      <c r="J393" s="1"/>
      <c r="K393" s="1"/>
      <c r="L393" s="1"/>
      <c r="M393" s="1"/>
      <c r="N393" s="1"/>
      <c r="O393" s="1"/>
      <c r="P393" s="1"/>
      <c r="Q393" s="1"/>
      <c r="R393" s="1"/>
      <c r="S393" s="1"/>
      <c r="T393" s="1"/>
      <c r="U393" s="2"/>
      <c r="V393" s="1"/>
      <c r="W393" s="1"/>
      <c r="X393" s="1"/>
      <c r="Y393" s="1"/>
      <c r="Z393" s="1"/>
    </row>
    <row r="394" spans="1:26" ht="24.75" customHeight="1">
      <c r="A394" s="1"/>
      <c r="B394" s="1"/>
      <c r="C394" s="1"/>
      <c r="D394" s="1"/>
      <c r="E394" s="1"/>
      <c r="F394" s="1"/>
      <c r="G394" s="1"/>
      <c r="H394" s="1"/>
      <c r="I394" s="1"/>
      <c r="J394" s="1"/>
      <c r="K394" s="1"/>
      <c r="L394" s="1"/>
      <c r="M394" s="1"/>
      <c r="N394" s="1"/>
      <c r="O394" s="1"/>
      <c r="P394" s="1"/>
      <c r="Q394" s="1"/>
      <c r="R394" s="1"/>
      <c r="S394" s="1"/>
      <c r="T394" s="1"/>
      <c r="U394" s="2"/>
      <c r="V394" s="1"/>
      <c r="W394" s="1"/>
      <c r="X394" s="1"/>
      <c r="Y394" s="1"/>
      <c r="Z394" s="1"/>
    </row>
    <row r="395" spans="1:26" ht="24.75" customHeight="1">
      <c r="A395" s="1"/>
      <c r="B395" s="1"/>
      <c r="C395" s="1"/>
      <c r="D395" s="1"/>
      <c r="E395" s="1"/>
      <c r="F395" s="1"/>
      <c r="G395" s="1"/>
      <c r="H395" s="1"/>
      <c r="I395" s="1"/>
      <c r="J395" s="1"/>
      <c r="K395" s="1"/>
      <c r="L395" s="1"/>
      <c r="M395" s="1"/>
      <c r="N395" s="1"/>
      <c r="O395" s="1"/>
      <c r="P395" s="1"/>
      <c r="Q395" s="1"/>
      <c r="R395" s="1"/>
      <c r="S395" s="1"/>
      <c r="T395" s="1"/>
      <c r="U395" s="2"/>
      <c r="V395" s="1"/>
      <c r="W395" s="1"/>
      <c r="X395" s="1"/>
      <c r="Y395" s="1"/>
      <c r="Z395" s="1"/>
    </row>
    <row r="396" spans="1:26" ht="24.75" customHeight="1">
      <c r="A396" s="1"/>
      <c r="B396" s="1"/>
      <c r="C396" s="1"/>
      <c r="D396" s="1"/>
      <c r="E396" s="1"/>
      <c r="F396" s="1"/>
      <c r="G396" s="1"/>
      <c r="H396" s="1"/>
      <c r="I396" s="1"/>
      <c r="J396" s="1"/>
      <c r="K396" s="1"/>
      <c r="L396" s="1"/>
      <c r="M396" s="1"/>
      <c r="N396" s="1"/>
      <c r="O396" s="1"/>
      <c r="P396" s="1"/>
      <c r="Q396" s="1"/>
      <c r="R396" s="1"/>
      <c r="S396" s="1"/>
      <c r="T396" s="1"/>
      <c r="U396" s="2"/>
      <c r="V396" s="1"/>
      <c r="W396" s="1"/>
      <c r="X396" s="1"/>
      <c r="Y396" s="1"/>
      <c r="Z396" s="1"/>
    </row>
    <row r="397" spans="1:26" ht="24.75" customHeight="1">
      <c r="A397" s="1"/>
      <c r="B397" s="1"/>
      <c r="C397" s="1"/>
      <c r="D397" s="1"/>
      <c r="E397" s="1"/>
      <c r="F397" s="1"/>
      <c r="G397" s="1"/>
      <c r="H397" s="1"/>
      <c r="I397" s="1"/>
      <c r="J397" s="1"/>
      <c r="K397" s="1"/>
      <c r="L397" s="1"/>
      <c r="M397" s="1"/>
      <c r="N397" s="1"/>
      <c r="O397" s="1"/>
      <c r="P397" s="1"/>
      <c r="Q397" s="1"/>
      <c r="R397" s="1"/>
      <c r="S397" s="1"/>
      <c r="T397" s="1"/>
      <c r="U397" s="2"/>
      <c r="V397" s="1"/>
      <c r="W397" s="1"/>
      <c r="X397" s="1"/>
      <c r="Y397" s="1"/>
      <c r="Z397" s="1"/>
    </row>
    <row r="398" spans="1:26" ht="24.75" customHeight="1">
      <c r="A398" s="1"/>
      <c r="B398" s="1"/>
      <c r="C398" s="1"/>
      <c r="D398" s="1"/>
      <c r="E398" s="1"/>
      <c r="F398" s="1"/>
      <c r="G398" s="1"/>
      <c r="H398" s="1"/>
      <c r="I398" s="1"/>
      <c r="J398" s="1"/>
      <c r="K398" s="1"/>
      <c r="L398" s="1"/>
      <c r="M398" s="1"/>
      <c r="N398" s="1"/>
      <c r="O398" s="1"/>
      <c r="P398" s="1"/>
      <c r="Q398" s="1"/>
      <c r="R398" s="1"/>
      <c r="S398" s="1"/>
      <c r="T398" s="1"/>
      <c r="U398" s="2"/>
      <c r="V398" s="1"/>
      <c r="W398" s="1"/>
      <c r="X398" s="1"/>
      <c r="Y398" s="1"/>
      <c r="Z398" s="1"/>
    </row>
    <row r="399" spans="1:26" ht="24.75" customHeight="1">
      <c r="A399" s="1"/>
      <c r="B399" s="1"/>
      <c r="C399" s="1"/>
      <c r="D399" s="1"/>
      <c r="E399" s="1"/>
      <c r="F399" s="1"/>
      <c r="G399" s="1"/>
      <c r="H399" s="1"/>
      <c r="I399" s="1"/>
      <c r="J399" s="1"/>
      <c r="K399" s="1"/>
      <c r="L399" s="1"/>
      <c r="M399" s="1"/>
      <c r="N399" s="1"/>
      <c r="O399" s="1"/>
      <c r="P399" s="1"/>
      <c r="Q399" s="1"/>
      <c r="R399" s="1"/>
      <c r="S399" s="1"/>
      <c r="T399" s="1"/>
      <c r="U399" s="2"/>
      <c r="V399" s="1"/>
      <c r="W399" s="1"/>
      <c r="X399" s="1"/>
      <c r="Y399" s="1"/>
      <c r="Z399" s="1"/>
    </row>
    <row r="400" spans="1:26" ht="24.75" customHeight="1">
      <c r="A400" s="1"/>
      <c r="B400" s="1"/>
      <c r="C400" s="1"/>
      <c r="D400" s="1"/>
      <c r="E400" s="1"/>
      <c r="F400" s="1"/>
      <c r="G400" s="1"/>
      <c r="H400" s="1"/>
      <c r="I400" s="1"/>
      <c r="J400" s="1"/>
      <c r="K400" s="1"/>
      <c r="L400" s="1"/>
      <c r="M400" s="1"/>
      <c r="N400" s="1"/>
      <c r="O400" s="1"/>
      <c r="P400" s="1"/>
      <c r="Q400" s="1"/>
      <c r="R400" s="1"/>
      <c r="S400" s="1"/>
      <c r="T400" s="1"/>
      <c r="U400" s="2"/>
      <c r="V400" s="1"/>
      <c r="W400" s="1"/>
      <c r="X400" s="1"/>
      <c r="Y400" s="1"/>
      <c r="Z400" s="1"/>
    </row>
    <row r="401" spans="1:26" ht="24.75" customHeight="1">
      <c r="A401" s="1"/>
      <c r="B401" s="1"/>
      <c r="C401" s="1"/>
      <c r="D401" s="1"/>
      <c r="E401" s="1"/>
      <c r="F401" s="1"/>
      <c r="G401" s="1"/>
      <c r="H401" s="1"/>
      <c r="I401" s="1"/>
      <c r="J401" s="1"/>
      <c r="K401" s="1"/>
      <c r="L401" s="1"/>
      <c r="M401" s="1"/>
      <c r="N401" s="1"/>
      <c r="O401" s="1"/>
      <c r="P401" s="1"/>
      <c r="Q401" s="1"/>
      <c r="R401" s="1"/>
      <c r="S401" s="1"/>
      <c r="T401" s="1"/>
      <c r="U401" s="2"/>
      <c r="V401" s="1"/>
      <c r="W401" s="1"/>
      <c r="X401" s="1"/>
      <c r="Y401" s="1"/>
      <c r="Z401" s="1"/>
    </row>
    <row r="402" spans="1:26" ht="24.75" customHeight="1">
      <c r="A402" s="1"/>
      <c r="B402" s="1"/>
      <c r="C402" s="1"/>
      <c r="D402" s="1"/>
      <c r="E402" s="1"/>
      <c r="F402" s="1"/>
      <c r="G402" s="1"/>
      <c r="H402" s="1"/>
      <c r="I402" s="1"/>
      <c r="J402" s="1"/>
      <c r="K402" s="1"/>
      <c r="L402" s="1"/>
      <c r="M402" s="1"/>
      <c r="N402" s="1"/>
      <c r="O402" s="1"/>
      <c r="P402" s="1"/>
      <c r="Q402" s="1"/>
      <c r="R402" s="1"/>
      <c r="S402" s="1"/>
      <c r="T402" s="1"/>
      <c r="U402" s="2"/>
      <c r="V402" s="1"/>
      <c r="W402" s="1"/>
      <c r="X402" s="1"/>
      <c r="Y402" s="1"/>
      <c r="Z402" s="1"/>
    </row>
    <row r="403" spans="1:26" ht="24.75" customHeight="1">
      <c r="A403" s="1"/>
      <c r="B403" s="1"/>
      <c r="C403" s="1"/>
      <c r="D403" s="1"/>
      <c r="E403" s="1"/>
      <c r="F403" s="1"/>
      <c r="G403" s="1"/>
      <c r="H403" s="1"/>
      <c r="I403" s="1"/>
      <c r="J403" s="1"/>
      <c r="K403" s="1"/>
      <c r="L403" s="1"/>
      <c r="M403" s="1"/>
      <c r="N403" s="1"/>
      <c r="O403" s="1"/>
      <c r="P403" s="1"/>
      <c r="Q403" s="1"/>
      <c r="R403" s="1"/>
      <c r="S403" s="1"/>
      <c r="T403" s="1"/>
      <c r="U403" s="2"/>
      <c r="V403" s="1"/>
      <c r="W403" s="1"/>
      <c r="X403" s="1"/>
      <c r="Y403" s="1"/>
      <c r="Z403" s="1"/>
    </row>
    <row r="404" spans="1:26" ht="24.75" customHeight="1">
      <c r="A404" s="1"/>
      <c r="B404" s="1"/>
      <c r="C404" s="1"/>
      <c r="D404" s="1"/>
      <c r="E404" s="1"/>
      <c r="F404" s="1"/>
      <c r="G404" s="1"/>
      <c r="H404" s="1"/>
      <c r="I404" s="1"/>
      <c r="J404" s="1"/>
      <c r="K404" s="1"/>
      <c r="L404" s="1"/>
      <c r="M404" s="1"/>
      <c r="N404" s="1"/>
      <c r="O404" s="1"/>
      <c r="P404" s="1"/>
      <c r="Q404" s="1"/>
      <c r="R404" s="1"/>
      <c r="S404" s="1"/>
      <c r="T404" s="1"/>
      <c r="U404" s="2"/>
      <c r="V404" s="1"/>
      <c r="W404" s="1"/>
      <c r="X404" s="1"/>
      <c r="Y404" s="1"/>
      <c r="Z404" s="1"/>
    </row>
    <row r="405" spans="1:26" ht="24.75" customHeight="1">
      <c r="A405" s="1"/>
      <c r="B405" s="1"/>
      <c r="C405" s="1"/>
      <c r="D405" s="1"/>
      <c r="E405" s="1"/>
      <c r="F405" s="1"/>
      <c r="G405" s="1"/>
      <c r="H405" s="1"/>
      <c r="I405" s="1"/>
      <c r="J405" s="1"/>
      <c r="K405" s="1"/>
      <c r="L405" s="1"/>
      <c r="M405" s="1"/>
      <c r="N405" s="1"/>
      <c r="O405" s="1"/>
      <c r="P405" s="1"/>
      <c r="Q405" s="1"/>
      <c r="R405" s="1"/>
      <c r="S405" s="1"/>
      <c r="T405" s="1"/>
      <c r="U405" s="2"/>
      <c r="V405" s="1"/>
      <c r="W405" s="1"/>
      <c r="X405" s="1"/>
      <c r="Y405" s="1"/>
      <c r="Z405" s="1"/>
    </row>
    <row r="406" spans="1:26" ht="24.75" customHeight="1">
      <c r="A406" s="1"/>
      <c r="B406" s="1"/>
      <c r="C406" s="1"/>
      <c r="D406" s="1"/>
      <c r="E406" s="1"/>
      <c r="F406" s="1"/>
      <c r="G406" s="1"/>
      <c r="H406" s="1"/>
      <c r="I406" s="1"/>
      <c r="J406" s="1"/>
      <c r="K406" s="1"/>
      <c r="L406" s="1"/>
      <c r="M406" s="1"/>
      <c r="N406" s="1"/>
      <c r="O406" s="1"/>
      <c r="P406" s="1"/>
      <c r="Q406" s="1"/>
      <c r="R406" s="1"/>
      <c r="S406" s="1"/>
      <c r="T406" s="1"/>
      <c r="U406" s="2"/>
      <c r="V406" s="1"/>
      <c r="W406" s="1"/>
      <c r="X406" s="1"/>
      <c r="Y406" s="1"/>
      <c r="Z406" s="1"/>
    </row>
    <row r="407" spans="1:26" ht="24.75" customHeight="1">
      <c r="A407" s="1"/>
      <c r="B407" s="1"/>
      <c r="C407" s="1"/>
      <c r="D407" s="1"/>
      <c r="E407" s="1"/>
      <c r="F407" s="1"/>
      <c r="G407" s="1"/>
      <c r="H407" s="1"/>
      <c r="I407" s="1"/>
      <c r="J407" s="1"/>
      <c r="K407" s="1"/>
      <c r="L407" s="1"/>
      <c r="M407" s="1"/>
      <c r="N407" s="1"/>
      <c r="O407" s="1"/>
      <c r="P407" s="1"/>
      <c r="Q407" s="1"/>
      <c r="R407" s="1"/>
      <c r="S407" s="1"/>
      <c r="T407" s="1"/>
      <c r="U407" s="2"/>
      <c r="V407" s="1"/>
      <c r="W407" s="1"/>
      <c r="X407" s="1"/>
      <c r="Y407" s="1"/>
      <c r="Z407" s="1"/>
    </row>
    <row r="408" spans="1:26" ht="24.75" customHeight="1">
      <c r="A408" s="1"/>
      <c r="B408" s="1"/>
      <c r="C408" s="1"/>
      <c r="D408" s="1"/>
      <c r="E408" s="1"/>
      <c r="F408" s="1"/>
      <c r="G408" s="1"/>
      <c r="H408" s="1"/>
      <c r="I408" s="1"/>
      <c r="J408" s="1"/>
      <c r="K408" s="1"/>
      <c r="L408" s="1"/>
      <c r="M408" s="1"/>
      <c r="N408" s="1"/>
      <c r="O408" s="1"/>
      <c r="P408" s="1"/>
      <c r="Q408" s="1"/>
      <c r="R408" s="1"/>
      <c r="S408" s="1"/>
      <c r="T408" s="1"/>
      <c r="U408" s="2"/>
      <c r="V408" s="1"/>
      <c r="W408" s="1"/>
      <c r="X408" s="1"/>
      <c r="Y408" s="1"/>
      <c r="Z408" s="1"/>
    </row>
    <row r="409" spans="1:26" ht="24.75" customHeight="1">
      <c r="A409" s="1"/>
      <c r="B409" s="1"/>
      <c r="C409" s="1"/>
      <c r="D409" s="1"/>
      <c r="E409" s="1"/>
      <c r="F409" s="1"/>
      <c r="G409" s="1"/>
      <c r="H409" s="1"/>
      <c r="I409" s="1"/>
      <c r="J409" s="1"/>
      <c r="K409" s="1"/>
      <c r="L409" s="1"/>
      <c r="M409" s="1"/>
      <c r="N409" s="1"/>
      <c r="O409" s="1"/>
      <c r="P409" s="1"/>
      <c r="Q409" s="1"/>
      <c r="R409" s="1"/>
      <c r="S409" s="1"/>
      <c r="T409" s="1"/>
      <c r="U409" s="2"/>
      <c r="V409" s="1"/>
      <c r="W409" s="1"/>
      <c r="X409" s="1"/>
      <c r="Y409" s="1"/>
      <c r="Z409" s="1"/>
    </row>
    <row r="410" spans="1:26" ht="24.75" customHeight="1">
      <c r="A410" s="1"/>
      <c r="B410" s="1"/>
      <c r="C410" s="1"/>
      <c r="D410" s="1"/>
      <c r="E410" s="1"/>
      <c r="F410" s="1"/>
      <c r="G410" s="1"/>
      <c r="H410" s="1"/>
      <c r="I410" s="1"/>
      <c r="J410" s="1"/>
      <c r="K410" s="1"/>
      <c r="L410" s="1"/>
      <c r="M410" s="1"/>
      <c r="N410" s="1"/>
      <c r="O410" s="1"/>
      <c r="P410" s="1"/>
      <c r="Q410" s="1"/>
      <c r="R410" s="1"/>
      <c r="S410" s="1"/>
      <c r="T410" s="1"/>
      <c r="U410" s="2"/>
      <c r="V410" s="1"/>
      <c r="W410" s="1"/>
      <c r="X410" s="1"/>
      <c r="Y410" s="1"/>
      <c r="Z410" s="1"/>
    </row>
    <row r="411" spans="1:26" ht="24.75" customHeight="1">
      <c r="A411" s="1"/>
      <c r="B411" s="1"/>
      <c r="C411" s="1"/>
      <c r="D411" s="1"/>
      <c r="E411" s="1"/>
      <c r="F411" s="1"/>
      <c r="G411" s="1"/>
      <c r="H411" s="1"/>
      <c r="I411" s="1"/>
      <c r="J411" s="1"/>
      <c r="K411" s="1"/>
      <c r="L411" s="1"/>
      <c r="M411" s="1"/>
      <c r="N411" s="1"/>
      <c r="O411" s="1"/>
      <c r="P411" s="1"/>
      <c r="Q411" s="1"/>
      <c r="R411" s="1"/>
      <c r="S411" s="1"/>
      <c r="T411" s="1"/>
      <c r="U411" s="2"/>
      <c r="V411" s="1"/>
      <c r="W411" s="1"/>
      <c r="X411" s="1"/>
      <c r="Y411" s="1"/>
      <c r="Z411" s="1"/>
    </row>
    <row r="412" spans="1:26" ht="24.75" customHeight="1">
      <c r="A412" s="1"/>
      <c r="B412" s="1"/>
      <c r="C412" s="1"/>
      <c r="D412" s="1"/>
      <c r="E412" s="1"/>
      <c r="F412" s="1"/>
      <c r="G412" s="1"/>
      <c r="H412" s="1"/>
      <c r="I412" s="1"/>
      <c r="J412" s="1"/>
      <c r="K412" s="1"/>
      <c r="L412" s="1"/>
      <c r="M412" s="1"/>
      <c r="N412" s="1"/>
      <c r="O412" s="1"/>
      <c r="P412" s="1"/>
      <c r="Q412" s="1"/>
      <c r="R412" s="1"/>
      <c r="S412" s="1"/>
      <c r="T412" s="1"/>
      <c r="U412" s="2"/>
      <c r="V412" s="1"/>
      <c r="W412" s="1"/>
      <c r="X412" s="1"/>
      <c r="Y412" s="1"/>
      <c r="Z412" s="1"/>
    </row>
    <row r="413" spans="1:26" ht="24.75" customHeight="1">
      <c r="A413" s="1"/>
      <c r="B413" s="1"/>
      <c r="C413" s="1"/>
      <c r="D413" s="1"/>
      <c r="E413" s="1"/>
      <c r="F413" s="1"/>
      <c r="G413" s="1"/>
      <c r="H413" s="1"/>
      <c r="I413" s="1"/>
      <c r="J413" s="1"/>
      <c r="K413" s="1"/>
      <c r="L413" s="1"/>
      <c r="M413" s="1"/>
      <c r="N413" s="1"/>
      <c r="O413" s="1"/>
      <c r="P413" s="1"/>
      <c r="Q413" s="1"/>
      <c r="R413" s="1"/>
      <c r="S413" s="1"/>
      <c r="T413" s="1"/>
      <c r="U413" s="2"/>
      <c r="V413" s="1"/>
      <c r="W413" s="1"/>
      <c r="X413" s="1"/>
      <c r="Y413" s="1"/>
      <c r="Z413" s="1"/>
    </row>
    <row r="414" spans="1:26" ht="24.75" customHeight="1">
      <c r="A414" s="1"/>
      <c r="B414" s="1"/>
      <c r="C414" s="1"/>
      <c r="D414" s="1"/>
      <c r="E414" s="1"/>
      <c r="F414" s="1"/>
      <c r="G414" s="1"/>
      <c r="H414" s="1"/>
      <c r="I414" s="1"/>
      <c r="J414" s="1"/>
      <c r="K414" s="1"/>
      <c r="L414" s="1"/>
      <c r="M414" s="1"/>
      <c r="N414" s="1"/>
      <c r="O414" s="1"/>
      <c r="P414" s="1"/>
      <c r="Q414" s="1"/>
      <c r="R414" s="1"/>
      <c r="S414" s="1"/>
      <c r="T414" s="1"/>
      <c r="U414" s="2"/>
      <c r="V414" s="1"/>
      <c r="W414" s="1"/>
      <c r="X414" s="1"/>
      <c r="Y414" s="1"/>
      <c r="Z414" s="1"/>
    </row>
    <row r="415" spans="1:26" ht="24.75" customHeight="1">
      <c r="A415" s="1"/>
      <c r="B415" s="1"/>
      <c r="C415" s="1"/>
      <c r="D415" s="1"/>
      <c r="E415" s="1"/>
      <c r="F415" s="1"/>
      <c r="G415" s="1"/>
      <c r="H415" s="1"/>
      <c r="I415" s="1"/>
      <c r="J415" s="1"/>
      <c r="K415" s="1"/>
      <c r="L415" s="1"/>
      <c r="M415" s="1"/>
      <c r="N415" s="1"/>
      <c r="O415" s="1"/>
      <c r="P415" s="1"/>
      <c r="Q415" s="1"/>
      <c r="R415" s="1"/>
      <c r="S415" s="1"/>
      <c r="T415" s="1"/>
      <c r="U415" s="2"/>
      <c r="V415" s="1"/>
      <c r="W415" s="1"/>
      <c r="X415" s="1"/>
      <c r="Y415" s="1"/>
      <c r="Z415" s="1"/>
    </row>
    <row r="416" spans="1:26" ht="24.75" customHeight="1">
      <c r="A416" s="1"/>
      <c r="B416" s="1"/>
      <c r="C416" s="1"/>
      <c r="D416" s="1"/>
      <c r="E416" s="1"/>
      <c r="F416" s="1"/>
      <c r="G416" s="1"/>
      <c r="H416" s="1"/>
      <c r="I416" s="1"/>
      <c r="J416" s="1"/>
      <c r="K416" s="1"/>
      <c r="L416" s="1"/>
      <c r="M416" s="1"/>
      <c r="N416" s="1"/>
      <c r="O416" s="1"/>
      <c r="P416" s="1"/>
      <c r="Q416" s="1"/>
      <c r="R416" s="1"/>
      <c r="S416" s="1"/>
      <c r="T416" s="1"/>
      <c r="U416" s="2"/>
      <c r="V416" s="1"/>
      <c r="W416" s="1"/>
      <c r="X416" s="1"/>
      <c r="Y416" s="1"/>
      <c r="Z416" s="1"/>
    </row>
    <row r="417" spans="1:26" ht="24.75" customHeight="1">
      <c r="A417" s="1"/>
      <c r="B417" s="1"/>
      <c r="C417" s="1"/>
      <c r="D417" s="1"/>
      <c r="E417" s="1"/>
      <c r="F417" s="1"/>
      <c r="G417" s="1"/>
      <c r="H417" s="1"/>
      <c r="I417" s="1"/>
      <c r="J417" s="1"/>
      <c r="K417" s="1"/>
      <c r="L417" s="1"/>
      <c r="M417" s="1"/>
      <c r="N417" s="1"/>
      <c r="O417" s="1"/>
      <c r="P417" s="1"/>
      <c r="Q417" s="1"/>
      <c r="R417" s="1"/>
      <c r="S417" s="1"/>
      <c r="T417" s="1"/>
      <c r="U417" s="2"/>
      <c r="V417" s="1"/>
      <c r="W417" s="1"/>
      <c r="X417" s="1"/>
      <c r="Y417" s="1"/>
      <c r="Z417" s="1"/>
    </row>
    <row r="418" spans="1:26" ht="24.75" customHeight="1">
      <c r="A418" s="1"/>
      <c r="B418" s="1"/>
      <c r="C418" s="1"/>
      <c r="D418" s="1"/>
      <c r="E418" s="1"/>
      <c r="F418" s="1"/>
      <c r="G418" s="1"/>
      <c r="H418" s="1"/>
      <c r="I418" s="1"/>
      <c r="J418" s="1"/>
      <c r="K418" s="1"/>
      <c r="L418" s="1"/>
      <c r="M418" s="1"/>
      <c r="N418" s="1"/>
      <c r="O418" s="1"/>
      <c r="P418" s="1"/>
      <c r="Q418" s="1"/>
      <c r="R418" s="1"/>
      <c r="S418" s="1"/>
      <c r="T418" s="1"/>
      <c r="U418" s="2"/>
      <c r="V418" s="1"/>
      <c r="W418" s="1"/>
      <c r="X418" s="1"/>
      <c r="Y418" s="1"/>
      <c r="Z418" s="1"/>
    </row>
    <row r="419" spans="1:26" ht="24.75" customHeight="1">
      <c r="A419" s="1"/>
      <c r="B419" s="1"/>
      <c r="C419" s="1"/>
      <c r="D419" s="1"/>
      <c r="E419" s="1"/>
      <c r="F419" s="1"/>
      <c r="G419" s="1"/>
      <c r="H419" s="1"/>
      <c r="I419" s="1"/>
      <c r="J419" s="1"/>
      <c r="K419" s="1"/>
      <c r="L419" s="1"/>
      <c r="M419" s="1"/>
      <c r="N419" s="1"/>
      <c r="O419" s="1"/>
      <c r="P419" s="1"/>
      <c r="Q419" s="1"/>
      <c r="R419" s="1"/>
      <c r="S419" s="1"/>
      <c r="T419" s="1"/>
      <c r="U419" s="2"/>
      <c r="V419" s="1"/>
      <c r="W419" s="1"/>
      <c r="X419" s="1"/>
      <c r="Y419" s="1"/>
      <c r="Z419" s="1"/>
    </row>
    <row r="420" spans="1:26" ht="24.75" customHeight="1">
      <c r="A420" s="1"/>
      <c r="B420" s="1"/>
      <c r="C420" s="1"/>
      <c r="D420" s="1"/>
      <c r="E420" s="1"/>
      <c r="F420" s="1"/>
      <c r="G420" s="1"/>
      <c r="H420" s="1"/>
      <c r="I420" s="1"/>
      <c r="J420" s="1"/>
      <c r="K420" s="1"/>
      <c r="L420" s="1"/>
      <c r="M420" s="1"/>
      <c r="N420" s="1"/>
      <c r="O420" s="1"/>
      <c r="P420" s="1"/>
      <c r="Q420" s="1"/>
      <c r="R420" s="1"/>
      <c r="S420" s="1"/>
      <c r="T420" s="1"/>
      <c r="U420" s="2"/>
      <c r="V420" s="1"/>
      <c r="W420" s="1"/>
      <c r="X420" s="1"/>
      <c r="Y420" s="1"/>
      <c r="Z420" s="1"/>
    </row>
    <row r="421" spans="1:26" ht="24.75" customHeight="1">
      <c r="A421" s="1"/>
      <c r="B421" s="1"/>
      <c r="C421" s="1"/>
      <c r="D421" s="1"/>
      <c r="E421" s="1"/>
      <c r="F421" s="1"/>
      <c r="G421" s="1"/>
      <c r="H421" s="1"/>
      <c r="I421" s="1"/>
      <c r="J421" s="1"/>
      <c r="K421" s="1"/>
      <c r="L421" s="1"/>
      <c r="M421" s="1"/>
      <c r="N421" s="1"/>
      <c r="O421" s="1"/>
      <c r="P421" s="1"/>
      <c r="Q421" s="1"/>
      <c r="R421" s="1"/>
      <c r="S421" s="1"/>
      <c r="T421" s="1"/>
      <c r="U421" s="2"/>
      <c r="V421" s="1"/>
      <c r="W421" s="1"/>
      <c r="X421" s="1"/>
      <c r="Y421" s="1"/>
      <c r="Z421" s="1"/>
    </row>
    <row r="422" spans="1:26" ht="24.75" customHeight="1">
      <c r="A422" s="1"/>
      <c r="B422" s="1"/>
      <c r="C422" s="1"/>
      <c r="D422" s="1"/>
      <c r="E422" s="1"/>
      <c r="F422" s="1"/>
      <c r="G422" s="1"/>
      <c r="H422" s="1"/>
      <c r="I422" s="1"/>
      <c r="J422" s="1"/>
      <c r="K422" s="1"/>
      <c r="L422" s="1"/>
      <c r="M422" s="1"/>
      <c r="N422" s="1"/>
      <c r="O422" s="1"/>
      <c r="P422" s="1"/>
      <c r="Q422" s="1"/>
      <c r="R422" s="1"/>
      <c r="S422" s="1"/>
      <c r="T422" s="1"/>
      <c r="U422" s="2"/>
      <c r="V422" s="1"/>
      <c r="W422" s="1"/>
      <c r="X422" s="1"/>
      <c r="Y422" s="1"/>
      <c r="Z422" s="1"/>
    </row>
    <row r="423" spans="1:26" ht="24.75" customHeight="1">
      <c r="A423" s="1"/>
      <c r="B423" s="1"/>
      <c r="C423" s="1"/>
      <c r="D423" s="1"/>
      <c r="E423" s="1"/>
      <c r="F423" s="1"/>
      <c r="G423" s="1"/>
      <c r="H423" s="1"/>
      <c r="I423" s="1"/>
      <c r="J423" s="1"/>
      <c r="K423" s="1"/>
      <c r="L423" s="1"/>
      <c r="M423" s="1"/>
      <c r="N423" s="1"/>
      <c r="O423" s="1"/>
      <c r="P423" s="1"/>
      <c r="Q423" s="1"/>
      <c r="R423" s="1"/>
      <c r="S423" s="1"/>
      <c r="T423" s="1"/>
      <c r="U423" s="2"/>
      <c r="V423" s="1"/>
      <c r="W423" s="1"/>
      <c r="X423" s="1"/>
      <c r="Y423" s="1"/>
      <c r="Z423" s="1"/>
    </row>
    <row r="424" spans="1:26" ht="24.75" customHeight="1">
      <c r="A424" s="1"/>
      <c r="B424" s="1"/>
      <c r="C424" s="1"/>
      <c r="D424" s="1"/>
      <c r="E424" s="1"/>
      <c r="F424" s="1"/>
      <c r="G424" s="1"/>
      <c r="H424" s="1"/>
      <c r="I424" s="1"/>
      <c r="J424" s="1"/>
      <c r="K424" s="1"/>
      <c r="L424" s="1"/>
      <c r="M424" s="1"/>
      <c r="N424" s="1"/>
      <c r="O424" s="1"/>
      <c r="P424" s="1"/>
      <c r="Q424" s="1"/>
      <c r="R424" s="1"/>
      <c r="S424" s="1"/>
      <c r="T424" s="1"/>
      <c r="U424" s="2"/>
      <c r="V424" s="1"/>
      <c r="W424" s="1"/>
      <c r="X424" s="1"/>
      <c r="Y424" s="1"/>
      <c r="Z424" s="1"/>
    </row>
    <row r="425" spans="1:26" ht="24.75" customHeight="1">
      <c r="A425" s="1"/>
      <c r="B425" s="1"/>
      <c r="C425" s="1"/>
      <c r="D425" s="1"/>
      <c r="E425" s="1"/>
      <c r="F425" s="1"/>
      <c r="G425" s="1"/>
      <c r="H425" s="1"/>
      <c r="I425" s="1"/>
      <c r="J425" s="1"/>
      <c r="K425" s="1"/>
      <c r="L425" s="1"/>
      <c r="M425" s="1"/>
      <c r="N425" s="1"/>
      <c r="O425" s="1"/>
      <c r="P425" s="1"/>
      <c r="Q425" s="1"/>
      <c r="R425" s="1"/>
      <c r="S425" s="1"/>
      <c r="T425" s="1"/>
      <c r="U425" s="2"/>
      <c r="V425" s="1"/>
      <c r="W425" s="1"/>
      <c r="X425" s="1"/>
      <c r="Y425" s="1"/>
      <c r="Z425" s="1"/>
    </row>
    <row r="426" spans="1:26" ht="24.75" customHeight="1">
      <c r="A426" s="1"/>
      <c r="B426" s="1"/>
      <c r="C426" s="1"/>
      <c r="D426" s="1"/>
      <c r="E426" s="1"/>
      <c r="F426" s="1"/>
      <c r="G426" s="1"/>
      <c r="H426" s="1"/>
      <c r="I426" s="1"/>
      <c r="J426" s="1"/>
      <c r="K426" s="1"/>
      <c r="L426" s="1"/>
      <c r="M426" s="1"/>
      <c r="N426" s="1"/>
      <c r="O426" s="1"/>
      <c r="P426" s="1"/>
      <c r="Q426" s="1"/>
      <c r="R426" s="1"/>
      <c r="S426" s="1"/>
      <c r="T426" s="1"/>
      <c r="U426" s="2"/>
      <c r="V426" s="1"/>
      <c r="W426" s="1"/>
      <c r="X426" s="1"/>
      <c r="Y426" s="1"/>
      <c r="Z426" s="1"/>
    </row>
    <row r="427" spans="1:26" ht="24.75" customHeight="1">
      <c r="A427" s="1"/>
      <c r="B427" s="1"/>
      <c r="C427" s="1"/>
      <c r="D427" s="1"/>
      <c r="E427" s="1"/>
      <c r="F427" s="1"/>
      <c r="G427" s="1"/>
      <c r="H427" s="1"/>
      <c r="I427" s="1"/>
      <c r="J427" s="1"/>
      <c r="K427" s="1"/>
      <c r="L427" s="1"/>
      <c r="M427" s="1"/>
      <c r="N427" s="1"/>
      <c r="O427" s="1"/>
      <c r="P427" s="1"/>
      <c r="Q427" s="1"/>
      <c r="R427" s="1"/>
      <c r="S427" s="1"/>
      <c r="T427" s="1"/>
      <c r="U427" s="2"/>
      <c r="V427" s="1"/>
      <c r="W427" s="1"/>
      <c r="X427" s="1"/>
      <c r="Y427" s="1"/>
      <c r="Z427" s="1"/>
    </row>
    <row r="428" spans="1:26" ht="24.75" customHeight="1">
      <c r="A428" s="1"/>
      <c r="B428" s="1"/>
      <c r="C428" s="1"/>
      <c r="D428" s="1"/>
      <c r="E428" s="1"/>
      <c r="F428" s="1"/>
      <c r="G428" s="1"/>
      <c r="H428" s="1"/>
      <c r="I428" s="1"/>
      <c r="J428" s="1"/>
      <c r="K428" s="1"/>
      <c r="L428" s="1"/>
      <c r="M428" s="1"/>
      <c r="N428" s="1"/>
      <c r="O428" s="1"/>
      <c r="P428" s="1"/>
      <c r="Q428" s="1"/>
      <c r="R428" s="1"/>
      <c r="S428" s="1"/>
      <c r="T428" s="1"/>
      <c r="U428" s="2"/>
      <c r="V428" s="1"/>
      <c r="W428" s="1"/>
      <c r="X428" s="1"/>
      <c r="Y428" s="1"/>
      <c r="Z428" s="1"/>
    </row>
    <row r="429" spans="1:26" ht="24.75" customHeight="1">
      <c r="A429" s="1"/>
      <c r="B429" s="1"/>
      <c r="C429" s="1"/>
      <c r="D429" s="1"/>
      <c r="E429" s="1"/>
      <c r="F429" s="1"/>
      <c r="G429" s="1"/>
      <c r="H429" s="1"/>
      <c r="I429" s="1"/>
      <c r="J429" s="1"/>
      <c r="K429" s="1"/>
      <c r="L429" s="1"/>
      <c r="M429" s="1"/>
      <c r="N429" s="1"/>
      <c r="O429" s="1"/>
      <c r="P429" s="1"/>
      <c r="Q429" s="1"/>
      <c r="R429" s="1"/>
      <c r="S429" s="1"/>
      <c r="T429" s="1"/>
      <c r="U429" s="2"/>
      <c r="V429" s="1"/>
      <c r="W429" s="1"/>
      <c r="X429" s="1"/>
      <c r="Y429" s="1"/>
      <c r="Z429" s="1"/>
    </row>
    <row r="430" spans="1:26" ht="24.75" customHeight="1">
      <c r="A430" s="1"/>
      <c r="B430" s="1"/>
      <c r="C430" s="1"/>
      <c r="D430" s="1"/>
      <c r="E430" s="1"/>
      <c r="F430" s="1"/>
      <c r="G430" s="1"/>
      <c r="H430" s="1"/>
      <c r="I430" s="1"/>
      <c r="J430" s="1"/>
      <c r="K430" s="1"/>
      <c r="L430" s="1"/>
      <c r="M430" s="1"/>
      <c r="N430" s="1"/>
      <c r="O430" s="1"/>
      <c r="P430" s="1"/>
      <c r="Q430" s="1"/>
      <c r="R430" s="1"/>
      <c r="S430" s="1"/>
      <c r="T430" s="1"/>
      <c r="U430" s="2"/>
      <c r="V430" s="1"/>
      <c r="W430" s="1"/>
      <c r="X430" s="1"/>
      <c r="Y430" s="1"/>
      <c r="Z430" s="1"/>
    </row>
    <row r="431" spans="1:26" ht="24.75" customHeight="1">
      <c r="A431" s="1"/>
      <c r="B431" s="1"/>
      <c r="C431" s="1"/>
      <c r="D431" s="1"/>
      <c r="E431" s="1"/>
      <c r="F431" s="1"/>
      <c r="G431" s="1"/>
      <c r="H431" s="1"/>
      <c r="I431" s="1"/>
      <c r="J431" s="1"/>
      <c r="K431" s="1"/>
      <c r="L431" s="1"/>
      <c r="M431" s="1"/>
      <c r="N431" s="1"/>
      <c r="O431" s="1"/>
      <c r="P431" s="1"/>
      <c r="Q431" s="1"/>
      <c r="R431" s="1"/>
      <c r="S431" s="1"/>
      <c r="T431" s="1"/>
      <c r="U431" s="2"/>
      <c r="V431" s="1"/>
      <c r="W431" s="1"/>
      <c r="X431" s="1"/>
      <c r="Y431" s="1"/>
      <c r="Z431" s="1"/>
    </row>
    <row r="432" spans="1:26" ht="24.75" customHeight="1">
      <c r="A432" s="1"/>
      <c r="B432" s="1"/>
      <c r="C432" s="1"/>
      <c r="D432" s="1"/>
      <c r="E432" s="1"/>
      <c r="F432" s="1"/>
      <c r="G432" s="1"/>
      <c r="H432" s="1"/>
      <c r="I432" s="1"/>
      <c r="J432" s="1"/>
      <c r="K432" s="1"/>
      <c r="L432" s="1"/>
      <c r="M432" s="1"/>
      <c r="N432" s="1"/>
      <c r="O432" s="1"/>
      <c r="P432" s="1"/>
      <c r="Q432" s="1"/>
      <c r="R432" s="1"/>
      <c r="S432" s="1"/>
      <c r="T432" s="1"/>
      <c r="U432" s="2"/>
      <c r="V432" s="1"/>
      <c r="W432" s="1"/>
      <c r="X432" s="1"/>
      <c r="Y432" s="1"/>
      <c r="Z432" s="1"/>
    </row>
    <row r="433" spans="1:26" ht="24.75" customHeight="1">
      <c r="A433" s="1"/>
      <c r="B433" s="1"/>
      <c r="C433" s="1"/>
      <c r="D433" s="1"/>
      <c r="E433" s="1"/>
      <c r="F433" s="1"/>
      <c r="G433" s="1"/>
      <c r="H433" s="1"/>
      <c r="I433" s="1"/>
      <c r="J433" s="1"/>
      <c r="K433" s="1"/>
      <c r="L433" s="1"/>
      <c r="M433" s="1"/>
      <c r="N433" s="1"/>
      <c r="O433" s="1"/>
      <c r="P433" s="1"/>
      <c r="Q433" s="1"/>
      <c r="R433" s="1"/>
      <c r="S433" s="1"/>
      <c r="T433" s="1"/>
      <c r="U433" s="2"/>
      <c r="V433" s="1"/>
      <c r="W433" s="1"/>
      <c r="X433" s="1"/>
      <c r="Y433" s="1"/>
      <c r="Z433" s="1"/>
    </row>
    <row r="434" spans="1:26" ht="24.75" customHeight="1">
      <c r="A434" s="1"/>
      <c r="B434" s="1"/>
      <c r="C434" s="1"/>
      <c r="D434" s="1"/>
      <c r="E434" s="1"/>
      <c r="F434" s="1"/>
      <c r="G434" s="1"/>
      <c r="H434" s="1"/>
      <c r="I434" s="1"/>
      <c r="J434" s="1"/>
      <c r="K434" s="1"/>
      <c r="L434" s="1"/>
      <c r="M434" s="1"/>
      <c r="N434" s="1"/>
      <c r="O434" s="1"/>
      <c r="P434" s="1"/>
      <c r="Q434" s="1"/>
      <c r="R434" s="1"/>
      <c r="S434" s="1"/>
      <c r="T434" s="1"/>
      <c r="U434" s="2"/>
      <c r="V434" s="1"/>
      <c r="W434" s="1"/>
      <c r="X434" s="1"/>
      <c r="Y434" s="1"/>
      <c r="Z434" s="1"/>
    </row>
    <row r="435" spans="1:26" ht="24.75" customHeight="1">
      <c r="A435" s="1"/>
      <c r="B435" s="1"/>
      <c r="C435" s="1"/>
      <c r="D435" s="1"/>
      <c r="E435" s="1"/>
      <c r="F435" s="1"/>
      <c r="G435" s="1"/>
      <c r="H435" s="1"/>
      <c r="I435" s="1"/>
      <c r="J435" s="1"/>
      <c r="K435" s="1"/>
      <c r="L435" s="1"/>
      <c r="M435" s="1"/>
      <c r="N435" s="1"/>
      <c r="O435" s="1"/>
      <c r="P435" s="1"/>
      <c r="Q435" s="1"/>
      <c r="R435" s="1"/>
      <c r="S435" s="1"/>
      <c r="T435" s="1"/>
      <c r="U435" s="2"/>
      <c r="V435" s="1"/>
      <c r="W435" s="1"/>
      <c r="X435" s="1"/>
      <c r="Y435" s="1"/>
      <c r="Z435" s="1"/>
    </row>
    <row r="436" spans="1:26" ht="24.75" customHeight="1">
      <c r="A436" s="1"/>
      <c r="B436" s="1"/>
      <c r="C436" s="1"/>
      <c r="D436" s="1"/>
      <c r="E436" s="1"/>
      <c r="F436" s="1"/>
      <c r="G436" s="1"/>
      <c r="H436" s="1"/>
      <c r="I436" s="1"/>
      <c r="J436" s="1"/>
      <c r="K436" s="1"/>
      <c r="L436" s="1"/>
      <c r="M436" s="1"/>
      <c r="N436" s="1"/>
      <c r="O436" s="1"/>
      <c r="P436" s="1"/>
      <c r="Q436" s="1"/>
      <c r="R436" s="1"/>
      <c r="S436" s="1"/>
      <c r="T436" s="1"/>
      <c r="U436" s="2"/>
      <c r="V436" s="1"/>
      <c r="W436" s="1"/>
      <c r="X436" s="1"/>
      <c r="Y436" s="1"/>
      <c r="Z436" s="1"/>
    </row>
    <row r="437" spans="1:26" ht="24.75" customHeight="1">
      <c r="A437" s="1"/>
      <c r="B437" s="1"/>
      <c r="C437" s="1"/>
      <c r="D437" s="1"/>
      <c r="E437" s="1"/>
      <c r="F437" s="1"/>
      <c r="G437" s="1"/>
      <c r="H437" s="1"/>
      <c r="I437" s="1"/>
      <c r="J437" s="1"/>
      <c r="K437" s="1"/>
      <c r="L437" s="1"/>
      <c r="M437" s="1"/>
      <c r="N437" s="1"/>
      <c r="O437" s="1"/>
      <c r="P437" s="1"/>
      <c r="Q437" s="1"/>
      <c r="R437" s="1"/>
      <c r="S437" s="1"/>
      <c r="T437" s="1"/>
      <c r="U437" s="2"/>
      <c r="V437" s="1"/>
      <c r="W437" s="1"/>
      <c r="X437" s="1"/>
      <c r="Y437" s="1"/>
      <c r="Z437" s="1"/>
    </row>
    <row r="438" spans="1:26" ht="24.75" customHeight="1">
      <c r="A438" s="1"/>
      <c r="B438" s="1"/>
      <c r="C438" s="1"/>
      <c r="D438" s="1"/>
      <c r="E438" s="1"/>
      <c r="F438" s="1"/>
      <c r="G438" s="1"/>
      <c r="H438" s="1"/>
      <c r="I438" s="1"/>
      <c r="J438" s="1"/>
      <c r="K438" s="1"/>
      <c r="L438" s="1"/>
      <c r="M438" s="1"/>
      <c r="N438" s="1"/>
      <c r="O438" s="1"/>
      <c r="P438" s="1"/>
      <c r="Q438" s="1"/>
      <c r="R438" s="1"/>
      <c r="S438" s="1"/>
      <c r="T438" s="1"/>
      <c r="U438" s="2"/>
      <c r="V438" s="1"/>
      <c r="W438" s="1"/>
      <c r="X438" s="1"/>
      <c r="Y438" s="1"/>
      <c r="Z438" s="1"/>
    </row>
    <row r="439" spans="1:26" ht="24.75" customHeight="1">
      <c r="A439" s="1"/>
      <c r="B439" s="1"/>
      <c r="C439" s="1"/>
      <c r="D439" s="1"/>
      <c r="E439" s="1"/>
      <c r="F439" s="1"/>
      <c r="G439" s="1"/>
      <c r="H439" s="1"/>
      <c r="I439" s="1"/>
      <c r="J439" s="1"/>
      <c r="K439" s="1"/>
      <c r="L439" s="1"/>
      <c r="M439" s="1"/>
      <c r="N439" s="1"/>
      <c r="O439" s="1"/>
      <c r="P439" s="1"/>
      <c r="Q439" s="1"/>
      <c r="R439" s="1"/>
      <c r="S439" s="1"/>
      <c r="T439" s="1"/>
      <c r="U439" s="2"/>
      <c r="V439" s="1"/>
      <c r="W439" s="1"/>
      <c r="X439" s="1"/>
      <c r="Y439" s="1"/>
      <c r="Z439" s="1"/>
    </row>
    <row r="440" spans="1:26" ht="24.75" customHeight="1">
      <c r="A440" s="1"/>
      <c r="B440" s="1"/>
      <c r="C440" s="1"/>
      <c r="D440" s="1"/>
      <c r="E440" s="1"/>
      <c r="F440" s="1"/>
      <c r="G440" s="1"/>
      <c r="H440" s="1"/>
      <c r="I440" s="1"/>
      <c r="J440" s="1"/>
      <c r="K440" s="1"/>
      <c r="L440" s="1"/>
      <c r="M440" s="1"/>
      <c r="N440" s="1"/>
      <c r="O440" s="1"/>
      <c r="P440" s="1"/>
      <c r="Q440" s="1"/>
      <c r="R440" s="1"/>
      <c r="S440" s="1"/>
      <c r="T440" s="1"/>
      <c r="U440" s="2"/>
      <c r="V440" s="1"/>
      <c r="W440" s="1"/>
      <c r="X440" s="1"/>
      <c r="Y440" s="1"/>
      <c r="Z440" s="1"/>
    </row>
    <row r="441" spans="1:26" ht="24.75" customHeight="1">
      <c r="A441" s="1"/>
      <c r="B441" s="1"/>
      <c r="C441" s="1"/>
      <c r="D441" s="1"/>
      <c r="E441" s="1"/>
      <c r="F441" s="1"/>
      <c r="G441" s="1"/>
      <c r="H441" s="1"/>
      <c r="I441" s="1"/>
      <c r="J441" s="1"/>
      <c r="K441" s="1"/>
      <c r="L441" s="1"/>
      <c r="M441" s="1"/>
      <c r="N441" s="1"/>
      <c r="O441" s="1"/>
      <c r="P441" s="1"/>
      <c r="Q441" s="1"/>
      <c r="R441" s="1"/>
      <c r="S441" s="1"/>
      <c r="T441" s="1"/>
      <c r="U441" s="2"/>
      <c r="V441" s="1"/>
      <c r="W441" s="1"/>
      <c r="X441" s="1"/>
      <c r="Y441" s="1"/>
      <c r="Z441" s="1"/>
    </row>
    <row r="442" spans="1:26" ht="24.75" customHeight="1">
      <c r="A442" s="1"/>
      <c r="B442" s="1"/>
      <c r="C442" s="1"/>
      <c r="D442" s="1"/>
      <c r="E442" s="1"/>
      <c r="F442" s="1"/>
      <c r="G442" s="1"/>
      <c r="H442" s="1"/>
      <c r="I442" s="1"/>
      <c r="J442" s="1"/>
      <c r="K442" s="1"/>
      <c r="L442" s="1"/>
      <c r="M442" s="1"/>
      <c r="N442" s="1"/>
      <c r="O442" s="1"/>
      <c r="P442" s="1"/>
      <c r="Q442" s="1"/>
      <c r="R442" s="1"/>
      <c r="S442" s="1"/>
      <c r="T442" s="1"/>
      <c r="U442" s="2"/>
      <c r="V442" s="1"/>
      <c r="W442" s="1"/>
      <c r="X442" s="1"/>
      <c r="Y442" s="1"/>
      <c r="Z442" s="1"/>
    </row>
    <row r="443" spans="1:26" ht="24.75" customHeight="1">
      <c r="A443" s="1"/>
      <c r="B443" s="1"/>
      <c r="C443" s="1"/>
      <c r="D443" s="1"/>
      <c r="E443" s="1"/>
      <c r="F443" s="1"/>
      <c r="G443" s="1"/>
      <c r="H443" s="1"/>
      <c r="I443" s="1"/>
      <c r="J443" s="1"/>
      <c r="K443" s="1"/>
      <c r="L443" s="1"/>
      <c r="M443" s="1"/>
      <c r="N443" s="1"/>
      <c r="O443" s="1"/>
      <c r="P443" s="1"/>
      <c r="Q443" s="1"/>
      <c r="R443" s="1"/>
      <c r="S443" s="1"/>
      <c r="T443" s="1"/>
      <c r="U443" s="2"/>
      <c r="V443" s="1"/>
      <c r="W443" s="1"/>
      <c r="X443" s="1"/>
      <c r="Y443" s="1"/>
      <c r="Z443" s="1"/>
    </row>
    <row r="444" spans="1:26" ht="24.75" customHeight="1">
      <c r="A444" s="1"/>
      <c r="B444" s="1"/>
      <c r="C444" s="1"/>
      <c r="D444" s="1"/>
      <c r="E444" s="1"/>
      <c r="F444" s="1"/>
      <c r="G444" s="1"/>
      <c r="H444" s="1"/>
      <c r="I444" s="1"/>
      <c r="J444" s="1"/>
      <c r="K444" s="1"/>
      <c r="L444" s="1"/>
      <c r="M444" s="1"/>
      <c r="N444" s="1"/>
      <c r="O444" s="1"/>
      <c r="P444" s="1"/>
      <c r="Q444" s="1"/>
      <c r="R444" s="1"/>
      <c r="S444" s="1"/>
      <c r="T444" s="1"/>
      <c r="U444" s="2"/>
      <c r="V444" s="1"/>
      <c r="W444" s="1"/>
      <c r="X444" s="1"/>
      <c r="Y444" s="1"/>
      <c r="Z444" s="1"/>
    </row>
    <row r="445" spans="1:26" ht="24.75" customHeight="1">
      <c r="A445" s="1"/>
      <c r="B445" s="1"/>
      <c r="C445" s="1"/>
      <c r="D445" s="1"/>
      <c r="E445" s="1"/>
      <c r="F445" s="1"/>
      <c r="G445" s="1"/>
      <c r="H445" s="1"/>
      <c r="I445" s="1"/>
      <c r="J445" s="1"/>
      <c r="K445" s="1"/>
      <c r="L445" s="1"/>
      <c r="M445" s="1"/>
      <c r="N445" s="1"/>
      <c r="O445" s="1"/>
      <c r="P445" s="1"/>
      <c r="Q445" s="1"/>
      <c r="R445" s="1"/>
      <c r="S445" s="1"/>
      <c r="T445" s="1"/>
      <c r="U445" s="2"/>
      <c r="V445" s="1"/>
      <c r="W445" s="1"/>
      <c r="X445" s="1"/>
      <c r="Y445" s="1"/>
      <c r="Z445" s="1"/>
    </row>
    <row r="446" spans="1:26" ht="24.75" customHeight="1">
      <c r="A446" s="1"/>
      <c r="B446" s="1"/>
      <c r="C446" s="1"/>
      <c r="D446" s="1"/>
      <c r="E446" s="1"/>
      <c r="F446" s="1"/>
      <c r="G446" s="1"/>
      <c r="H446" s="1"/>
      <c r="I446" s="1"/>
      <c r="J446" s="1"/>
      <c r="K446" s="1"/>
      <c r="L446" s="1"/>
      <c r="M446" s="1"/>
      <c r="N446" s="1"/>
      <c r="O446" s="1"/>
      <c r="P446" s="1"/>
      <c r="Q446" s="1"/>
      <c r="R446" s="1"/>
      <c r="S446" s="1"/>
      <c r="T446" s="1"/>
      <c r="U446" s="2"/>
      <c r="V446" s="1"/>
      <c r="W446" s="1"/>
      <c r="X446" s="1"/>
      <c r="Y446" s="1"/>
      <c r="Z446" s="1"/>
    </row>
    <row r="447" spans="1:26" ht="24.75" customHeight="1">
      <c r="A447" s="1"/>
      <c r="B447" s="1"/>
      <c r="C447" s="1"/>
      <c r="D447" s="1"/>
      <c r="E447" s="1"/>
      <c r="F447" s="1"/>
      <c r="G447" s="1"/>
      <c r="H447" s="1"/>
      <c r="I447" s="1"/>
      <c r="J447" s="1"/>
      <c r="K447" s="1"/>
      <c r="L447" s="1"/>
      <c r="M447" s="1"/>
      <c r="N447" s="1"/>
      <c r="O447" s="1"/>
      <c r="P447" s="1"/>
      <c r="Q447" s="1"/>
      <c r="R447" s="1"/>
      <c r="S447" s="1"/>
      <c r="T447" s="1"/>
      <c r="U447" s="2"/>
      <c r="V447" s="1"/>
      <c r="W447" s="1"/>
      <c r="X447" s="1"/>
      <c r="Y447" s="1"/>
      <c r="Z447" s="1"/>
    </row>
    <row r="448" spans="1:26" ht="24.75" customHeight="1">
      <c r="A448" s="1"/>
      <c r="B448" s="1"/>
      <c r="C448" s="1"/>
      <c r="D448" s="1"/>
      <c r="E448" s="1"/>
      <c r="F448" s="1"/>
      <c r="G448" s="1"/>
      <c r="H448" s="1"/>
      <c r="I448" s="1"/>
      <c r="J448" s="1"/>
      <c r="K448" s="1"/>
      <c r="L448" s="1"/>
      <c r="M448" s="1"/>
      <c r="N448" s="1"/>
      <c r="O448" s="1"/>
      <c r="P448" s="1"/>
      <c r="Q448" s="1"/>
      <c r="R448" s="1"/>
      <c r="S448" s="1"/>
      <c r="T448" s="1"/>
      <c r="U448" s="2"/>
      <c r="V448" s="1"/>
      <c r="W448" s="1"/>
      <c r="X448" s="1"/>
      <c r="Y448" s="1"/>
      <c r="Z448" s="1"/>
    </row>
    <row r="449" spans="1:26" ht="24.75" customHeight="1">
      <c r="A449" s="1"/>
      <c r="B449" s="1"/>
      <c r="C449" s="1"/>
      <c r="D449" s="1"/>
      <c r="E449" s="1"/>
      <c r="F449" s="1"/>
      <c r="G449" s="1"/>
      <c r="H449" s="1"/>
      <c r="I449" s="1"/>
      <c r="J449" s="1"/>
      <c r="K449" s="1"/>
      <c r="L449" s="1"/>
      <c r="M449" s="1"/>
      <c r="N449" s="1"/>
      <c r="O449" s="1"/>
      <c r="P449" s="1"/>
      <c r="Q449" s="1"/>
      <c r="R449" s="1"/>
      <c r="S449" s="1"/>
      <c r="T449" s="1"/>
      <c r="U449" s="2"/>
      <c r="V449" s="1"/>
      <c r="W449" s="1"/>
      <c r="X449" s="1"/>
      <c r="Y449" s="1"/>
      <c r="Z449" s="1"/>
    </row>
    <row r="450" spans="1:26" ht="24.75" customHeight="1">
      <c r="A450" s="1"/>
      <c r="B450" s="1"/>
      <c r="C450" s="1"/>
      <c r="D450" s="1"/>
      <c r="E450" s="1"/>
      <c r="F450" s="1"/>
      <c r="G450" s="1"/>
      <c r="H450" s="1"/>
      <c r="I450" s="1"/>
      <c r="J450" s="1"/>
      <c r="K450" s="1"/>
      <c r="L450" s="1"/>
      <c r="M450" s="1"/>
      <c r="N450" s="1"/>
      <c r="O450" s="1"/>
      <c r="P450" s="1"/>
      <c r="Q450" s="1"/>
      <c r="R450" s="1"/>
      <c r="S450" s="1"/>
      <c r="T450" s="1"/>
      <c r="U450" s="2"/>
      <c r="V450" s="1"/>
      <c r="W450" s="1"/>
      <c r="X450" s="1"/>
      <c r="Y450" s="1"/>
      <c r="Z450" s="1"/>
    </row>
    <row r="451" spans="1:26" ht="24.75" customHeight="1">
      <c r="A451" s="1"/>
      <c r="B451" s="1"/>
      <c r="C451" s="1"/>
      <c r="D451" s="1"/>
      <c r="E451" s="1"/>
      <c r="F451" s="1"/>
      <c r="G451" s="1"/>
      <c r="H451" s="1"/>
      <c r="I451" s="1"/>
      <c r="J451" s="1"/>
      <c r="K451" s="1"/>
      <c r="L451" s="1"/>
      <c r="M451" s="1"/>
      <c r="N451" s="1"/>
      <c r="O451" s="1"/>
      <c r="P451" s="1"/>
      <c r="Q451" s="1"/>
      <c r="R451" s="1"/>
      <c r="S451" s="1"/>
      <c r="T451" s="1"/>
      <c r="U451" s="2"/>
      <c r="V451" s="1"/>
      <c r="W451" s="1"/>
      <c r="X451" s="1"/>
      <c r="Y451" s="1"/>
      <c r="Z451" s="1"/>
    </row>
    <row r="452" spans="1:26" ht="24.75" customHeight="1">
      <c r="A452" s="1"/>
      <c r="B452" s="1"/>
      <c r="C452" s="1"/>
      <c r="D452" s="1"/>
      <c r="E452" s="1"/>
      <c r="F452" s="1"/>
      <c r="G452" s="1"/>
      <c r="H452" s="1"/>
      <c r="I452" s="1"/>
      <c r="J452" s="1"/>
      <c r="K452" s="1"/>
      <c r="L452" s="1"/>
      <c r="M452" s="1"/>
      <c r="N452" s="1"/>
      <c r="O452" s="1"/>
      <c r="P452" s="1"/>
      <c r="Q452" s="1"/>
      <c r="R452" s="1"/>
      <c r="S452" s="1"/>
      <c r="T452" s="1"/>
      <c r="U452" s="2"/>
      <c r="V452" s="1"/>
      <c r="W452" s="1"/>
      <c r="X452" s="1"/>
      <c r="Y452" s="1"/>
      <c r="Z452" s="1"/>
    </row>
    <row r="453" spans="1:26" ht="24.75" customHeight="1">
      <c r="A453" s="1"/>
      <c r="B453" s="1"/>
      <c r="C453" s="1"/>
      <c r="D453" s="1"/>
      <c r="E453" s="1"/>
      <c r="F453" s="1"/>
      <c r="G453" s="1"/>
      <c r="H453" s="1"/>
      <c r="I453" s="1"/>
      <c r="J453" s="1"/>
      <c r="K453" s="1"/>
      <c r="L453" s="1"/>
      <c r="M453" s="1"/>
      <c r="N453" s="1"/>
      <c r="O453" s="1"/>
      <c r="P453" s="1"/>
      <c r="Q453" s="1"/>
      <c r="R453" s="1"/>
      <c r="S453" s="1"/>
      <c r="T453" s="1"/>
      <c r="U453" s="2"/>
      <c r="V453" s="1"/>
      <c r="W453" s="1"/>
      <c r="X453" s="1"/>
      <c r="Y453" s="1"/>
      <c r="Z453" s="1"/>
    </row>
    <row r="454" spans="1:26" ht="24.75" customHeight="1">
      <c r="A454" s="1"/>
      <c r="B454" s="1"/>
      <c r="C454" s="1"/>
      <c r="D454" s="1"/>
      <c r="E454" s="1"/>
      <c r="F454" s="1"/>
      <c r="G454" s="1"/>
      <c r="H454" s="1"/>
      <c r="I454" s="1"/>
      <c r="J454" s="1"/>
      <c r="K454" s="1"/>
      <c r="L454" s="1"/>
      <c r="M454" s="1"/>
      <c r="N454" s="1"/>
      <c r="O454" s="1"/>
      <c r="P454" s="1"/>
      <c r="Q454" s="1"/>
      <c r="R454" s="1"/>
      <c r="S454" s="1"/>
      <c r="T454" s="1"/>
      <c r="U454" s="2"/>
      <c r="V454" s="1"/>
      <c r="W454" s="1"/>
      <c r="X454" s="1"/>
      <c r="Y454" s="1"/>
      <c r="Z454" s="1"/>
    </row>
    <row r="455" spans="1:26" ht="24.75" customHeight="1">
      <c r="A455" s="1"/>
      <c r="B455" s="1"/>
      <c r="C455" s="1"/>
      <c r="D455" s="1"/>
      <c r="E455" s="1"/>
      <c r="F455" s="1"/>
      <c r="G455" s="1"/>
      <c r="H455" s="1"/>
      <c r="I455" s="1"/>
      <c r="J455" s="1"/>
      <c r="K455" s="1"/>
      <c r="L455" s="1"/>
      <c r="M455" s="1"/>
      <c r="N455" s="1"/>
      <c r="O455" s="1"/>
      <c r="P455" s="1"/>
      <c r="Q455" s="1"/>
      <c r="R455" s="1"/>
      <c r="S455" s="1"/>
      <c r="T455" s="1"/>
      <c r="U455" s="2"/>
      <c r="V455" s="1"/>
      <c r="W455" s="1"/>
      <c r="X455" s="1"/>
      <c r="Y455" s="1"/>
      <c r="Z455" s="1"/>
    </row>
    <row r="456" spans="1:26" ht="24.75" customHeight="1">
      <c r="A456" s="1"/>
      <c r="B456" s="1"/>
      <c r="C456" s="1"/>
      <c r="D456" s="1"/>
      <c r="E456" s="1"/>
      <c r="F456" s="1"/>
      <c r="G456" s="1"/>
      <c r="H456" s="1"/>
      <c r="I456" s="1"/>
      <c r="J456" s="1"/>
      <c r="K456" s="1"/>
      <c r="L456" s="1"/>
      <c r="M456" s="1"/>
      <c r="N456" s="1"/>
      <c r="O456" s="1"/>
      <c r="P456" s="1"/>
      <c r="Q456" s="1"/>
      <c r="R456" s="1"/>
      <c r="S456" s="1"/>
      <c r="T456" s="1"/>
      <c r="U456" s="2"/>
      <c r="V456" s="1"/>
      <c r="W456" s="1"/>
      <c r="X456" s="1"/>
      <c r="Y456" s="1"/>
      <c r="Z456" s="1"/>
    </row>
    <row r="457" spans="1:26" ht="24.75" customHeight="1">
      <c r="A457" s="1"/>
      <c r="B457" s="1"/>
      <c r="C457" s="1"/>
      <c r="D457" s="1"/>
      <c r="E457" s="1"/>
      <c r="F457" s="1"/>
      <c r="G457" s="1"/>
      <c r="H457" s="1"/>
      <c r="I457" s="1"/>
      <c r="J457" s="1"/>
      <c r="K457" s="1"/>
      <c r="L457" s="1"/>
      <c r="M457" s="1"/>
      <c r="N457" s="1"/>
      <c r="O457" s="1"/>
      <c r="P457" s="1"/>
      <c r="Q457" s="1"/>
      <c r="R457" s="1"/>
      <c r="S457" s="1"/>
      <c r="T457" s="1"/>
      <c r="U457" s="2"/>
      <c r="V457" s="1"/>
      <c r="W457" s="1"/>
      <c r="X457" s="1"/>
      <c r="Y457" s="1"/>
      <c r="Z457" s="1"/>
    </row>
    <row r="458" spans="1:26" ht="24.75" customHeight="1">
      <c r="A458" s="1"/>
      <c r="B458" s="1"/>
      <c r="C458" s="1"/>
      <c r="D458" s="1"/>
      <c r="E458" s="1"/>
      <c r="F458" s="1"/>
      <c r="G458" s="1"/>
      <c r="H458" s="1"/>
      <c r="I458" s="1"/>
      <c r="J458" s="1"/>
      <c r="K458" s="1"/>
      <c r="L458" s="1"/>
      <c r="M458" s="1"/>
      <c r="N458" s="1"/>
      <c r="O458" s="1"/>
      <c r="P458" s="1"/>
      <c r="Q458" s="1"/>
      <c r="R458" s="1"/>
      <c r="S458" s="1"/>
      <c r="T458" s="1"/>
      <c r="U458" s="2"/>
      <c r="V458" s="1"/>
      <c r="W458" s="1"/>
      <c r="X458" s="1"/>
      <c r="Y458" s="1"/>
      <c r="Z458" s="1"/>
    </row>
    <row r="459" spans="1:26" ht="24.75" customHeight="1">
      <c r="A459" s="1"/>
      <c r="B459" s="1"/>
      <c r="C459" s="1"/>
      <c r="D459" s="1"/>
      <c r="E459" s="1"/>
      <c r="F459" s="1"/>
      <c r="G459" s="1"/>
      <c r="H459" s="1"/>
      <c r="I459" s="1"/>
      <c r="J459" s="1"/>
      <c r="K459" s="1"/>
      <c r="L459" s="1"/>
      <c r="M459" s="1"/>
      <c r="N459" s="1"/>
      <c r="O459" s="1"/>
      <c r="P459" s="1"/>
      <c r="Q459" s="1"/>
      <c r="R459" s="1"/>
      <c r="S459" s="1"/>
      <c r="T459" s="1"/>
      <c r="U459" s="2"/>
      <c r="V459" s="1"/>
      <c r="W459" s="1"/>
      <c r="X459" s="1"/>
      <c r="Y459" s="1"/>
      <c r="Z459" s="1"/>
    </row>
    <row r="460" spans="1:26" ht="24.75" customHeight="1">
      <c r="A460" s="1"/>
      <c r="B460" s="1"/>
      <c r="C460" s="1"/>
      <c r="D460" s="1"/>
      <c r="E460" s="1"/>
      <c r="F460" s="1"/>
      <c r="G460" s="1"/>
      <c r="H460" s="1"/>
      <c r="I460" s="1"/>
      <c r="J460" s="1"/>
      <c r="K460" s="1"/>
      <c r="L460" s="1"/>
      <c r="M460" s="1"/>
      <c r="N460" s="1"/>
      <c r="O460" s="1"/>
      <c r="P460" s="1"/>
      <c r="Q460" s="1"/>
      <c r="R460" s="1"/>
      <c r="S460" s="1"/>
      <c r="T460" s="1"/>
      <c r="U460" s="2"/>
      <c r="V460" s="1"/>
      <c r="W460" s="1"/>
      <c r="X460" s="1"/>
      <c r="Y460" s="1"/>
      <c r="Z460" s="1"/>
    </row>
    <row r="461" spans="1:26" ht="24.75" customHeight="1">
      <c r="A461" s="1"/>
      <c r="B461" s="1"/>
      <c r="C461" s="1"/>
      <c r="D461" s="1"/>
      <c r="E461" s="1"/>
      <c r="F461" s="1"/>
      <c r="G461" s="1"/>
      <c r="H461" s="1"/>
      <c r="I461" s="1"/>
      <c r="J461" s="1"/>
      <c r="K461" s="1"/>
      <c r="L461" s="1"/>
      <c r="M461" s="1"/>
      <c r="N461" s="1"/>
      <c r="O461" s="1"/>
      <c r="P461" s="1"/>
      <c r="Q461" s="1"/>
      <c r="R461" s="1"/>
      <c r="S461" s="1"/>
      <c r="T461" s="1"/>
      <c r="U461" s="2"/>
      <c r="V461" s="1"/>
      <c r="W461" s="1"/>
      <c r="X461" s="1"/>
      <c r="Y461" s="1"/>
      <c r="Z461" s="1"/>
    </row>
    <row r="462" spans="1:26" ht="24.75" customHeight="1">
      <c r="A462" s="1"/>
      <c r="B462" s="1"/>
      <c r="C462" s="1"/>
      <c r="D462" s="1"/>
      <c r="E462" s="1"/>
      <c r="F462" s="1"/>
      <c r="G462" s="1"/>
      <c r="H462" s="1"/>
      <c r="I462" s="1"/>
      <c r="J462" s="1"/>
      <c r="K462" s="1"/>
      <c r="L462" s="1"/>
      <c r="M462" s="1"/>
      <c r="N462" s="1"/>
      <c r="O462" s="1"/>
      <c r="P462" s="1"/>
      <c r="Q462" s="1"/>
      <c r="R462" s="1"/>
      <c r="S462" s="1"/>
      <c r="T462" s="1"/>
      <c r="U462" s="2"/>
      <c r="V462" s="1"/>
      <c r="W462" s="1"/>
      <c r="X462" s="1"/>
      <c r="Y462" s="1"/>
      <c r="Z462" s="1"/>
    </row>
    <row r="463" spans="1:26" ht="24.75" customHeight="1">
      <c r="A463" s="1"/>
      <c r="B463" s="1"/>
      <c r="C463" s="1"/>
      <c r="D463" s="1"/>
      <c r="E463" s="1"/>
      <c r="F463" s="1"/>
      <c r="G463" s="1"/>
      <c r="H463" s="1"/>
      <c r="I463" s="1"/>
      <c r="J463" s="1"/>
      <c r="K463" s="1"/>
      <c r="L463" s="1"/>
      <c r="M463" s="1"/>
      <c r="N463" s="1"/>
      <c r="O463" s="1"/>
      <c r="P463" s="1"/>
      <c r="Q463" s="1"/>
      <c r="R463" s="1"/>
      <c r="S463" s="1"/>
      <c r="T463" s="1"/>
      <c r="U463" s="2"/>
      <c r="V463" s="1"/>
      <c r="W463" s="1"/>
      <c r="X463" s="1"/>
      <c r="Y463" s="1"/>
      <c r="Z463" s="1"/>
    </row>
    <row r="464" spans="1:26" ht="24.75" customHeight="1">
      <c r="A464" s="1"/>
      <c r="B464" s="1"/>
      <c r="C464" s="1"/>
      <c r="D464" s="1"/>
      <c r="E464" s="1"/>
      <c r="F464" s="1"/>
      <c r="G464" s="1"/>
      <c r="H464" s="1"/>
      <c r="I464" s="1"/>
      <c r="J464" s="1"/>
      <c r="K464" s="1"/>
      <c r="L464" s="1"/>
      <c r="M464" s="1"/>
      <c r="N464" s="1"/>
      <c r="O464" s="1"/>
      <c r="P464" s="1"/>
      <c r="Q464" s="1"/>
      <c r="R464" s="1"/>
      <c r="S464" s="1"/>
      <c r="T464" s="1"/>
      <c r="U464" s="2"/>
      <c r="V464" s="1"/>
      <c r="W464" s="1"/>
      <c r="X464" s="1"/>
      <c r="Y464" s="1"/>
      <c r="Z464" s="1"/>
    </row>
    <row r="465" spans="1:26" ht="24.75" customHeight="1">
      <c r="A465" s="1"/>
      <c r="B465" s="1"/>
      <c r="C465" s="1"/>
      <c r="D465" s="1"/>
      <c r="E465" s="1"/>
      <c r="F465" s="1"/>
      <c r="G465" s="1"/>
      <c r="H465" s="1"/>
      <c r="I465" s="1"/>
      <c r="J465" s="1"/>
      <c r="K465" s="1"/>
      <c r="L465" s="1"/>
      <c r="M465" s="1"/>
      <c r="N465" s="1"/>
      <c r="O465" s="1"/>
      <c r="P465" s="1"/>
      <c r="Q465" s="1"/>
      <c r="R465" s="1"/>
      <c r="S465" s="1"/>
      <c r="T465" s="1"/>
      <c r="U465" s="2"/>
      <c r="V465" s="1"/>
      <c r="W465" s="1"/>
      <c r="X465" s="1"/>
      <c r="Y465" s="1"/>
      <c r="Z465" s="1"/>
    </row>
    <row r="466" spans="1:26" ht="24.75" customHeight="1">
      <c r="A466" s="1"/>
      <c r="B466" s="1"/>
      <c r="C466" s="1"/>
      <c r="D466" s="1"/>
      <c r="E466" s="1"/>
      <c r="F466" s="1"/>
      <c r="G466" s="1"/>
      <c r="H466" s="1"/>
      <c r="I466" s="1"/>
      <c r="J466" s="1"/>
      <c r="K466" s="1"/>
      <c r="L466" s="1"/>
      <c r="M466" s="1"/>
      <c r="N466" s="1"/>
      <c r="O466" s="1"/>
      <c r="P466" s="1"/>
      <c r="Q466" s="1"/>
      <c r="R466" s="1"/>
      <c r="S466" s="1"/>
      <c r="T466" s="1"/>
      <c r="U466" s="2"/>
      <c r="V466" s="1"/>
      <c r="W466" s="1"/>
      <c r="X466" s="1"/>
      <c r="Y466" s="1"/>
      <c r="Z466" s="1"/>
    </row>
    <row r="467" spans="1:26" ht="24.75" customHeight="1">
      <c r="A467" s="1"/>
      <c r="B467" s="1"/>
      <c r="C467" s="1"/>
      <c r="D467" s="1"/>
      <c r="E467" s="1"/>
      <c r="F467" s="1"/>
      <c r="G467" s="1"/>
      <c r="H467" s="1"/>
      <c r="I467" s="1"/>
      <c r="J467" s="1"/>
      <c r="K467" s="1"/>
      <c r="L467" s="1"/>
      <c r="M467" s="1"/>
      <c r="N467" s="1"/>
      <c r="O467" s="1"/>
      <c r="P467" s="1"/>
      <c r="Q467" s="1"/>
      <c r="R467" s="1"/>
      <c r="S467" s="1"/>
      <c r="T467" s="1"/>
      <c r="U467" s="2"/>
      <c r="V467" s="1"/>
      <c r="W467" s="1"/>
      <c r="X467" s="1"/>
      <c r="Y467" s="1"/>
      <c r="Z467" s="1"/>
    </row>
    <row r="468" spans="1:26" ht="24.75" customHeight="1">
      <c r="A468" s="1"/>
      <c r="B468" s="1"/>
      <c r="C468" s="1"/>
      <c r="D468" s="1"/>
      <c r="E468" s="1"/>
      <c r="F468" s="1"/>
      <c r="G468" s="1"/>
      <c r="H468" s="1"/>
      <c r="I468" s="1"/>
      <c r="J468" s="1"/>
      <c r="K468" s="1"/>
      <c r="L468" s="1"/>
      <c r="M468" s="1"/>
      <c r="N468" s="1"/>
      <c r="O468" s="1"/>
      <c r="P468" s="1"/>
      <c r="Q468" s="1"/>
      <c r="R468" s="1"/>
      <c r="S468" s="1"/>
      <c r="T468" s="1"/>
      <c r="U468" s="2"/>
      <c r="V468" s="1"/>
      <c r="W468" s="1"/>
      <c r="X468" s="1"/>
      <c r="Y468" s="1"/>
      <c r="Z468" s="1"/>
    </row>
    <row r="469" spans="1:26" ht="24.75" customHeight="1">
      <c r="A469" s="1"/>
      <c r="B469" s="1"/>
      <c r="C469" s="1"/>
      <c r="D469" s="1"/>
      <c r="E469" s="1"/>
      <c r="F469" s="1"/>
      <c r="G469" s="1"/>
      <c r="H469" s="1"/>
      <c r="I469" s="1"/>
      <c r="J469" s="1"/>
      <c r="K469" s="1"/>
      <c r="L469" s="1"/>
      <c r="M469" s="1"/>
      <c r="N469" s="1"/>
      <c r="O469" s="1"/>
      <c r="P469" s="1"/>
      <c r="Q469" s="1"/>
      <c r="R469" s="1"/>
      <c r="S469" s="1"/>
      <c r="T469" s="1"/>
      <c r="U469" s="2"/>
      <c r="V469" s="1"/>
      <c r="W469" s="1"/>
      <c r="X469" s="1"/>
      <c r="Y469" s="1"/>
      <c r="Z469" s="1"/>
    </row>
    <row r="470" spans="1:26" ht="24.75" customHeight="1">
      <c r="A470" s="1"/>
      <c r="B470" s="1"/>
      <c r="C470" s="1"/>
      <c r="D470" s="1"/>
      <c r="E470" s="1"/>
      <c r="F470" s="1"/>
      <c r="G470" s="1"/>
      <c r="H470" s="1"/>
      <c r="I470" s="1"/>
      <c r="J470" s="1"/>
      <c r="K470" s="1"/>
      <c r="L470" s="1"/>
      <c r="M470" s="1"/>
      <c r="N470" s="1"/>
      <c r="O470" s="1"/>
      <c r="P470" s="1"/>
      <c r="Q470" s="1"/>
      <c r="R470" s="1"/>
      <c r="S470" s="1"/>
      <c r="T470" s="1"/>
      <c r="U470" s="2"/>
      <c r="V470" s="1"/>
      <c r="W470" s="1"/>
      <c r="X470" s="1"/>
      <c r="Y470" s="1"/>
      <c r="Z470" s="1"/>
    </row>
    <row r="471" spans="1:26" ht="24.75" customHeight="1">
      <c r="A471" s="1"/>
      <c r="B471" s="1"/>
      <c r="C471" s="1"/>
      <c r="D471" s="1"/>
      <c r="E471" s="1"/>
      <c r="F471" s="1"/>
      <c r="G471" s="1"/>
      <c r="H471" s="1"/>
      <c r="I471" s="1"/>
      <c r="J471" s="1"/>
      <c r="K471" s="1"/>
      <c r="L471" s="1"/>
      <c r="M471" s="1"/>
      <c r="N471" s="1"/>
      <c r="O471" s="1"/>
      <c r="P471" s="1"/>
      <c r="Q471" s="1"/>
      <c r="R471" s="1"/>
      <c r="S471" s="1"/>
      <c r="T471" s="1"/>
      <c r="U471" s="2"/>
      <c r="V471" s="1"/>
      <c r="W471" s="1"/>
      <c r="X471" s="1"/>
      <c r="Y471" s="1"/>
      <c r="Z471" s="1"/>
    </row>
    <row r="472" spans="1:26" ht="24.75" customHeight="1">
      <c r="A472" s="1"/>
      <c r="B472" s="1"/>
      <c r="C472" s="1"/>
      <c r="D472" s="1"/>
      <c r="E472" s="1"/>
      <c r="F472" s="1"/>
      <c r="G472" s="1"/>
      <c r="H472" s="1"/>
      <c r="I472" s="1"/>
      <c r="J472" s="1"/>
      <c r="K472" s="1"/>
      <c r="L472" s="1"/>
      <c r="M472" s="1"/>
      <c r="N472" s="1"/>
      <c r="O472" s="1"/>
      <c r="P472" s="1"/>
      <c r="Q472" s="1"/>
      <c r="R472" s="1"/>
      <c r="S472" s="1"/>
      <c r="T472" s="1"/>
      <c r="U472" s="2"/>
      <c r="V472" s="1"/>
      <c r="W472" s="1"/>
      <c r="X472" s="1"/>
      <c r="Y472" s="1"/>
      <c r="Z472" s="1"/>
    </row>
    <row r="473" spans="1:26" ht="24.75" customHeight="1">
      <c r="A473" s="1"/>
      <c r="B473" s="1"/>
      <c r="C473" s="1"/>
      <c r="D473" s="1"/>
      <c r="E473" s="1"/>
      <c r="F473" s="1"/>
      <c r="G473" s="1"/>
      <c r="H473" s="1"/>
      <c r="I473" s="1"/>
      <c r="J473" s="1"/>
      <c r="K473" s="1"/>
      <c r="L473" s="1"/>
      <c r="M473" s="1"/>
      <c r="N473" s="1"/>
      <c r="O473" s="1"/>
      <c r="P473" s="1"/>
      <c r="Q473" s="1"/>
      <c r="R473" s="1"/>
      <c r="S473" s="1"/>
      <c r="T473" s="1"/>
      <c r="U473" s="2"/>
      <c r="V473" s="1"/>
      <c r="W473" s="1"/>
      <c r="X473" s="1"/>
      <c r="Y473" s="1"/>
      <c r="Z473" s="1"/>
    </row>
    <row r="474" spans="1:26" ht="24.75" customHeight="1">
      <c r="A474" s="1"/>
      <c r="B474" s="1"/>
      <c r="C474" s="1"/>
      <c r="D474" s="1"/>
      <c r="E474" s="1"/>
      <c r="F474" s="1"/>
      <c r="G474" s="1"/>
      <c r="H474" s="1"/>
      <c r="I474" s="1"/>
      <c r="J474" s="1"/>
      <c r="K474" s="1"/>
      <c r="L474" s="1"/>
      <c r="M474" s="1"/>
      <c r="N474" s="1"/>
      <c r="O474" s="1"/>
      <c r="P474" s="1"/>
      <c r="Q474" s="1"/>
      <c r="R474" s="1"/>
      <c r="S474" s="1"/>
      <c r="T474" s="1"/>
      <c r="U474" s="2"/>
      <c r="V474" s="1"/>
      <c r="W474" s="1"/>
      <c r="X474" s="1"/>
      <c r="Y474" s="1"/>
      <c r="Z474" s="1"/>
    </row>
    <row r="475" spans="1:26" ht="24.75" customHeight="1">
      <c r="A475" s="1"/>
      <c r="B475" s="1"/>
      <c r="C475" s="1"/>
      <c r="D475" s="1"/>
      <c r="E475" s="1"/>
      <c r="F475" s="1"/>
      <c r="G475" s="1"/>
      <c r="H475" s="1"/>
      <c r="I475" s="1"/>
      <c r="J475" s="1"/>
      <c r="K475" s="1"/>
      <c r="L475" s="1"/>
      <c r="M475" s="1"/>
      <c r="N475" s="1"/>
      <c r="O475" s="1"/>
      <c r="P475" s="1"/>
      <c r="Q475" s="1"/>
      <c r="R475" s="1"/>
      <c r="S475" s="1"/>
      <c r="T475" s="1"/>
      <c r="U475" s="2"/>
      <c r="V475" s="1"/>
      <c r="W475" s="1"/>
      <c r="X475" s="1"/>
      <c r="Y475" s="1"/>
      <c r="Z475" s="1"/>
    </row>
    <row r="476" spans="1:26" ht="24.75" customHeight="1">
      <c r="A476" s="1"/>
      <c r="B476" s="1"/>
      <c r="C476" s="1"/>
      <c r="D476" s="1"/>
      <c r="E476" s="1"/>
      <c r="F476" s="1"/>
      <c r="G476" s="1"/>
      <c r="H476" s="1"/>
      <c r="I476" s="1"/>
      <c r="J476" s="1"/>
      <c r="K476" s="1"/>
      <c r="L476" s="1"/>
      <c r="M476" s="1"/>
      <c r="N476" s="1"/>
      <c r="O476" s="1"/>
      <c r="P476" s="1"/>
      <c r="Q476" s="1"/>
      <c r="R476" s="1"/>
      <c r="S476" s="1"/>
      <c r="T476" s="1"/>
      <c r="U476" s="2"/>
      <c r="V476" s="1"/>
      <c r="W476" s="1"/>
      <c r="X476" s="1"/>
      <c r="Y476" s="1"/>
      <c r="Z476" s="1"/>
    </row>
    <row r="477" spans="1:26" ht="24.75" customHeight="1">
      <c r="A477" s="1"/>
      <c r="B477" s="1"/>
      <c r="C477" s="1"/>
      <c r="D477" s="1"/>
      <c r="E477" s="1"/>
      <c r="F477" s="1"/>
      <c r="G477" s="1"/>
      <c r="H477" s="1"/>
      <c r="I477" s="1"/>
      <c r="J477" s="1"/>
      <c r="K477" s="1"/>
      <c r="L477" s="1"/>
      <c r="M477" s="1"/>
      <c r="N477" s="1"/>
      <c r="O477" s="1"/>
      <c r="P477" s="1"/>
      <c r="Q477" s="1"/>
      <c r="R477" s="1"/>
      <c r="S477" s="1"/>
      <c r="T477" s="1"/>
      <c r="U477" s="2"/>
      <c r="V477" s="1"/>
      <c r="W477" s="1"/>
      <c r="X477" s="1"/>
      <c r="Y477" s="1"/>
      <c r="Z477" s="1"/>
    </row>
    <row r="478" spans="1:26" ht="24.75" customHeight="1">
      <c r="A478" s="1"/>
      <c r="B478" s="1"/>
      <c r="C478" s="1"/>
      <c r="D478" s="1"/>
      <c r="E478" s="1"/>
      <c r="F478" s="1"/>
      <c r="G478" s="1"/>
      <c r="H478" s="1"/>
      <c r="I478" s="1"/>
      <c r="J478" s="1"/>
      <c r="K478" s="1"/>
      <c r="L478" s="1"/>
      <c r="M478" s="1"/>
      <c r="N478" s="1"/>
      <c r="O478" s="1"/>
      <c r="P478" s="1"/>
      <c r="Q478" s="1"/>
      <c r="R478" s="1"/>
      <c r="S478" s="1"/>
      <c r="T478" s="1"/>
      <c r="U478" s="2"/>
      <c r="V478" s="1"/>
      <c r="W478" s="1"/>
      <c r="X478" s="1"/>
      <c r="Y478" s="1"/>
      <c r="Z478" s="1"/>
    </row>
    <row r="479" spans="1:26" ht="24.75" customHeight="1">
      <c r="A479" s="1"/>
      <c r="B479" s="1"/>
      <c r="C479" s="1"/>
      <c r="D479" s="1"/>
      <c r="E479" s="1"/>
      <c r="F479" s="1"/>
      <c r="G479" s="1"/>
      <c r="H479" s="1"/>
      <c r="I479" s="1"/>
      <c r="J479" s="1"/>
      <c r="K479" s="1"/>
      <c r="L479" s="1"/>
      <c r="M479" s="1"/>
      <c r="N479" s="1"/>
      <c r="O479" s="1"/>
      <c r="P479" s="1"/>
      <c r="Q479" s="1"/>
      <c r="R479" s="1"/>
      <c r="S479" s="1"/>
      <c r="T479" s="1"/>
      <c r="U479" s="2"/>
      <c r="V479" s="1"/>
      <c r="W479" s="1"/>
      <c r="X479" s="1"/>
      <c r="Y479" s="1"/>
      <c r="Z479" s="1"/>
    </row>
    <row r="480" spans="1:26" ht="24.75" customHeight="1">
      <c r="A480" s="1"/>
      <c r="B480" s="1"/>
      <c r="C480" s="1"/>
      <c r="D480" s="1"/>
      <c r="E480" s="1"/>
      <c r="F480" s="1"/>
      <c r="G480" s="1"/>
      <c r="H480" s="1"/>
      <c r="I480" s="1"/>
      <c r="J480" s="1"/>
      <c r="K480" s="1"/>
      <c r="L480" s="1"/>
      <c r="M480" s="1"/>
      <c r="N480" s="1"/>
      <c r="O480" s="1"/>
      <c r="P480" s="1"/>
      <c r="Q480" s="1"/>
      <c r="R480" s="1"/>
      <c r="S480" s="1"/>
      <c r="T480" s="1"/>
      <c r="U480" s="2"/>
      <c r="V480" s="1"/>
      <c r="W480" s="1"/>
      <c r="X480" s="1"/>
      <c r="Y480" s="1"/>
      <c r="Z480" s="1"/>
    </row>
    <row r="481" spans="1:26" ht="24.75" customHeight="1">
      <c r="A481" s="1"/>
      <c r="B481" s="1"/>
      <c r="C481" s="1"/>
      <c r="D481" s="1"/>
      <c r="E481" s="1"/>
      <c r="F481" s="1"/>
      <c r="G481" s="1"/>
      <c r="H481" s="1"/>
      <c r="I481" s="1"/>
      <c r="J481" s="1"/>
      <c r="K481" s="1"/>
      <c r="L481" s="1"/>
      <c r="M481" s="1"/>
      <c r="N481" s="1"/>
      <c r="O481" s="1"/>
      <c r="P481" s="1"/>
      <c r="Q481" s="1"/>
      <c r="R481" s="1"/>
      <c r="S481" s="1"/>
      <c r="T481" s="1"/>
      <c r="U481" s="2"/>
      <c r="V481" s="1"/>
      <c r="W481" s="1"/>
      <c r="X481" s="1"/>
      <c r="Y481" s="1"/>
      <c r="Z481" s="1"/>
    </row>
    <row r="482" spans="1:26" ht="24.75" customHeight="1">
      <c r="A482" s="1"/>
      <c r="B482" s="1"/>
      <c r="C482" s="1"/>
      <c r="D482" s="1"/>
      <c r="E482" s="1"/>
      <c r="F482" s="1"/>
      <c r="G482" s="1"/>
      <c r="H482" s="1"/>
      <c r="I482" s="1"/>
      <c r="J482" s="1"/>
      <c r="K482" s="1"/>
      <c r="L482" s="1"/>
      <c r="M482" s="1"/>
      <c r="N482" s="1"/>
      <c r="O482" s="1"/>
      <c r="P482" s="1"/>
      <c r="Q482" s="1"/>
      <c r="R482" s="1"/>
      <c r="S482" s="1"/>
      <c r="T482" s="1"/>
      <c r="U482" s="2"/>
      <c r="V482" s="1"/>
      <c r="W482" s="1"/>
      <c r="X482" s="1"/>
      <c r="Y482" s="1"/>
      <c r="Z482" s="1"/>
    </row>
    <row r="483" spans="1:26" ht="24.75" customHeight="1">
      <c r="A483" s="1"/>
      <c r="B483" s="1"/>
      <c r="C483" s="1"/>
      <c r="D483" s="1"/>
      <c r="E483" s="1"/>
      <c r="F483" s="1"/>
      <c r="G483" s="1"/>
      <c r="H483" s="1"/>
      <c r="I483" s="1"/>
      <c r="J483" s="1"/>
      <c r="K483" s="1"/>
      <c r="L483" s="1"/>
      <c r="M483" s="1"/>
      <c r="N483" s="1"/>
      <c r="O483" s="1"/>
      <c r="P483" s="1"/>
      <c r="Q483" s="1"/>
      <c r="R483" s="1"/>
      <c r="S483" s="1"/>
      <c r="T483" s="1"/>
      <c r="U483" s="2"/>
      <c r="V483" s="1"/>
      <c r="W483" s="1"/>
      <c r="X483" s="1"/>
      <c r="Y483" s="1"/>
      <c r="Z483" s="1"/>
    </row>
    <row r="484" spans="1:26" ht="24.75" customHeight="1">
      <c r="A484" s="1"/>
      <c r="B484" s="1"/>
      <c r="C484" s="1"/>
      <c r="D484" s="1"/>
      <c r="E484" s="1"/>
      <c r="F484" s="1"/>
      <c r="G484" s="1"/>
      <c r="H484" s="1"/>
      <c r="I484" s="1"/>
      <c r="J484" s="1"/>
      <c r="K484" s="1"/>
      <c r="L484" s="1"/>
      <c r="M484" s="1"/>
      <c r="N484" s="1"/>
      <c r="O484" s="1"/>
      <c r="P484" s="1"/>
      <c r="Q484" s="1"/>
      <c r="R484" s="1"/>
      <c r="S484" s="1"/>
      <c r="T484" s="1"/>
      <c r="U484" s="2"/>
      <c r="V484" s="1"/>
      <c r="W484" s="1"/>
      <c r="X484" s="1"/>
      <c r="Y484" s="1"/>
      <c r="Z484" s="1"/>
    </row>
    <row r="485" spans="1:26" ht="24.75" customHeight="1">
      <c r="A485" s="1"/>
      <c r="B485" s="1"/>
      <c r="C485" s="1"/>
      <c r="D485" s="1"/>
      <c r="E485" s="1"/>
      <c r="F485" s="1"/>
      <c r="G485" s="1"/>
      <c r="H485" s="1"/>
      <c r="I485" s="1"/>
      <c r="J485" s="1"/>
      <c r="K485" s="1"/>
      <c r="L485" s="1"/>
      <c r="M485" s="1"/>
      <c r="N485" s="1"/>
      <c r="O485" s="1"/>
      <c r="P485" s="1"/>
      <c r="Q485" s="1"/>
      <c r="R485" s="1"/>
      <c r="S485" s="1"/>
      <c r="T485" s="1"/>
      <c r="U485" s="2"/>
      <c r="V485" s="1"/>
      <c r="W485" s="1"/>
      <c r="X485" s="1"/>
      <c r="Y485" s="1"/>
      <c r="Z485" s="1"/>
    </row>
    <row r="486" spans="1:26" ht="24.75" customHeight="1">
      <c r="A486" s="1"/>
      <c r="B486" s="1"/>
      <c r="C486" s="1"/>
      <c r="D486" s="1"/>
      <c r="E486" s="1"/>
      <c r="F486" s="1"/>
      <c r="G486" s="1"/>
      <c r="H486" s="1"/>
      <c r="I486" s="1"/>
      <c r="J486" s="1"/>
      <c r="K486" s="1"/>
      <c r="L486" s="1"/>
      <c r="M486" s="1"/>
      <c r="N486" s="1"/>
      <c r="O486" s="1"/>
      <c r="P486" s="1"/>
      <c r="Q486" s="1"/>
      <c r="R486" s="1"/>
      <c r="S486" s="1"/>
      <c r="T486" s="1"/>
      <c r="U486" s="2"/>
      <c r="V486" s="1"/>
      <c r="W486" s="1"/>
      <c r="X486" s="1"/>
      <c r="Y486" s="1"/>
      <c r="Z486" s="1"/>
    </row>
    <row r="487" spans="1:26" ht="24.75" customHeight="1">
      <c r="A487" s="1"/>
      <c r="B487" s="1"/>
      <c r="C487" s="1"/>
      <c r="D487" s="1"/>
      <c r="E487" s="1"/>
      <c r="F487" s="1"/>
      <c r="G487" s="1"/>
      <c r="H487" s="1"/>
      <c r="I487" s="1"/>
      <c r="J487" s="1"/>
      <c r="K487" s="1"/>
      <c r="L487" s="1"/>
      <c r="M487" s="1"/>
      <c r="N487" s="1"/>
      <c r="O487" s="1"/>
      <c r="P487" s="1"/>
      <c r="Q487" s="1"/>
      <c r="R487" s="1"/>
      <c r="S487" s="1"/>
      <c r="T487" s="1"/>
      <c r="U487" s="2"/>
      <c r="V487" s="1"/>
      <c r="W487" s="1"/>
      <c r="X487" s="1"/>
      <c r="Y487" s="1"/>
      <c r="Z487" s="1"/>
    </row>
    <row r="488" spans="1:26" ht="24.75" customHeight="1">
      <c r="A488" s="1"/>
      <c r="B488" s="1"/>
      <c r="C488" s="1"/>
      <c r="D488" s="1"/>
      <c r="E488" s="1"/>
      <c r="F488" s="1"/>
      <c r="G488" s="1"/>
      <c r="H488" s="1"/>
      <c r="I488" s="1"/>
      <c r="J488" s="1"/>
      <c r="K488" s="1"/>
      <c r="L488" s="1"/>
      <c r="M488" s="1"/>
      <c r="N488" s="1"/>
      <c r="O488" s="1"/>
      <c r="P488" s="1"/>
      <c r="Q488" s="1"/>
      <c r="R488" s="1"/>
      <c r="S488" s="1"/>
      <c r="T488" s="1"/>
      <c r="U488" s="2"/>
      <c r="V488" s="1"/>
      <c r="W488" s="1"/>
      <c r="X488" s="1"/>
      <c r="Y488" s="1"/>
      <c r="Z488" s="1"/>
    </row>
    <row r="489" spans="1:26" ht="24.75" customHeight="1">
      <c r="A489" s="1"/>
      <c r="B489" s="1"/>
      <c r="C489" s="1"/>
      <c r="D489" s="1"/>
      <c r="E489" s="1"/>
      <c r="F489" s="1"/>
      <c r="G489" s="1"/>
      <c r="H489" s="1"/>
      <c r="I489" s="1"/>
      <c r="J489" s="1"/>
      <c r="K489" s="1"/>
      <c r="L489" s="1"/>
      <c r="M489" s="1"/>
      <c r="N489" s="1"/>
      <c r="O489" s="1"/>
      <c r="P489" s="1"/>
      <c r="Q489" s="1"/>
      <c r="R489" s="1"/>
      <c r="S489" s="1"/>
      <c r="T489" s="1"/>
      <c r="U489" s="2"/>
      <c r="V489" s="1"/>
      <c r="W489" s="1"/>
      <c r="X489" s="1"/>
      <c r="Y489" s="1"/>
      <c r="Z489" s="1"/>
    </row>
    <row r="490" spans="1:26" ht="24.75" customHeight="1">
      <c r="A490" s="1"/>
      <c r="B490" s="1"/>
      <c r="C490" s="1"/>
      <c r="D490" s="1"/>
      <c r="E490" s="1"/>
      <c r="F490" s="1"/>
      <c r="G490" s="1"/>
      <c r="H490" s="1"/>
      <c r="I490" s="1"/>
      <c r="J490" s="1"/>
      <c r="K490" s="1"/>
      <c r="L490" s="1"/>
      <c r="M490" s="1"/>
      <c r="N490" s="1"/>
      <c r="O490" s="1"/>
      <c r="P490" s="1"/>
      <c r="Q490" s="1"/>
      <c r="R490" s="1"/>
      <c r="S490" s="1"/>
      <c r="T490" s="1"/>
      <c r="U490" s="2"/>
      <c r="V490" s="1"/>
      <c r="W490" s="1"/>
      <c r="X490" s="1"/>
      <c r="Y490" s="1"/>
      <c r="Z490" s="1"/>
    </row>
    <row r="491" spans="1:26" ht="24.75" customHeight="1">
      <c r="A491" s="1"/>
      <c r="B491" s="1"/>
      <c r="C491" s="1"/>
      <c r="D491" s="1"/>
      <c r="E491" s="1"/>
      <c r="F491" s="1"/>
      <c r="G491" s="1"/>
      <c r="H491" s="1"/>
      <c r="I491" s="1"/>
      <c r="J491" s="1"/>
      <c r="K491" s="1"/>
      <c r="L491" s="1"/>
      <c r="M491" s="1"/>
      <c r="N491" s="1"/>
      <c r="O491" s="1"/>
      <c r="P491" s="1"/>
      <c r="Q491" s="1"/>
      <c r="R491" s="1"/>
      <c r="S491" s="1"/>
      <c r="T491" s="1"/>
      <c r="U491" s="2"/>
      <c r="V491" s="1"/>
      <c r="W491" s="1"/>
      <c r="X491" s="1"/>
      <c r="Y491" s="1"/>
      <c r="Z491" s="1"/>
    </row>
    <row r="492" spans="1:26" ht="24.75" customHeight="1">
      <c r="A492" s="1"/>
      <c r="B492" s="1"/>
      <c r="C492" s="1"/>
      <c r="D492" s="1"/>
      <c r="E492" s="1"/>
      <c r="F492" s="1"/>
      <c r="G492" s="1"/>
      <c r="H492" s="1"/>
      <c r="I492" s="1"/>
      <c r="J492" s="1"/>
      <c r="K492" s="1"/>
      <c r="L492" s="1"/>
      <c r="M492" s="1"/>
      <c r="N492" s="1"/>
      <c r="O492" s="1"/>
      <c r="P492" s="1"/>
      <c r="Q492" s="1"/>
      <c r="R492" s="1"/>
      <c r="S492" s="1"/>
      <c r="T492" s="1"/>
      <c r="U492" s="2"/>
      <c r="V492" s="1"/>
      <c r="W492" s="1"/>
      <c r="X492" s="1"/>
      <c r="Y492" s="1"/>
      <c r="Z492" s="1"/>
    </row>
    <row r="493" spans="1:26" ht="24.75" customHeight="1">
      <c r="A493" s="1"/>
      <c r="B493" s="1"/>
      <c r="C493" s="1"/>
      <c r="D493" s="1"/>
      <c r="E493" s="1"/>
      <c r="F493" s="1"/>
      <c r="G493" s="1"/>
      <c r="H493" s="1"/>
      <c r="I493" s="1"/>
      <c r="J493" s="1"/>
      <c r="K493" s="1"/>
      <c r="L493" s="1"/>
      <c r="M493" s="1"/>
      <c r="N493" s="1"/>
      <c r="O493" s="1"/>
      <c r="P493" s="1"/>
      <c r="Q493" s="1"/>
      <c r="R493" s="1"/>
      <c r="S493" s="1"/>
      <c r="T493" s="1"/>
      <c r="U493" s="2"/>
      <c r="V493" s="1"/>
      <c r="W493" s="1"/>
      <c r="X493" s="1"/>
      <c r="Y493" s="1"/>
      <c r="Z493" s="1"/>
    </row>
    <row r="494" spans="1:26" ht="24.75" customHeight="1">
      <c r="A494" s="1"/>
      <c r="B494" s="1"/>
      <c r="C494" s="1"/>
      <c r="D494" s="1"/>
      <c r="E494" s="1"/>
      <c r="F494" s="1"/>
      <c r="G494" s="1"/>
      <c r="H494" s="1"/>
      <c r="I494" s="1"/>
      <c r="J494" s="1"/>
      <c r="K494" s="1"/>
      <c r="L494" s="1"/>
      <c r="M494" s="1"/>
      <c r="N494" s="1"/>
      <c r="O494" s="1"/>
      <c r="P494" s="1"/>
      <c r="Q494" s="1"/>
      <c r="R494" s="1"/>
      <c r="S494" s="1"/>
      <c r="T494" s="1"/>
      <c r="U494" s="2"/>
      <c r="V494" s="1"/>
      <c r="W494" s="1"/>
      <c r="X494" s="1"/>
      <c r="Y494" s="1"/>
      <c r="Z494" s="1"/>
    </row>
    <row r="495" spans="1:26" ht="24.75" customHeight="1">
      <c r="A495" s="1"/>
      <c r="B495" s="1"/>
      <c r="C495" s="1"/>
      <c r="D495" s="1"/>
      <c r="E495" s="1"/>
      <c r="F495" s="1"/>
      <c r="G495" s="1"/>
      <c r="H495" s="1"/>
      <c r="I495" s="1"/>
      <c r="J495" s="1"/>
      <c r="K495" s="1"/>
      <c r="L495" s="1"/>
      <c r="M495" s="1"/>
      <c r="N495" s="1"/>
      <c r="O495" s="1"/>
      <c r="P495" s="1"/>
      <c r="Q495" s="1"/>
      <c r="R495" s="1"/>
      <c r="S495" s="1"/>
      <c r="T495" s="1"/>
      <c r="U495" s="2"/>
      <c r="V495" s="1"/>
      <c r="W495" s="1"/>
      <c r="X495" s="1"/>
      <c r="Y495" s="1"/>
      <c r="Z495" s="1"/>
    </row>
    <row r="496" spans="1:26" ht="24.75" customHeight="1">
      <c r="A496" s="1"/>
      <c r="B496" s="1"/>
      <c r="C496" s="1"/>
      <c r="D496" s="1"/>
      <c r="E496" s="1"/>
      <c r="F496" s="1"/>
      <c r="G496" s="1"/>
      <c r="H496" s="1"/>
      <c r="I496" s="1"/>
      <c r="J496" s="1"/>
      <c r="K496" s="1"/>
      <c r="L496" s="1"/>
      <c r="M496" s="1"/>
      <c r="N496" s="1"/>
      <c r="O496" s="1"/>
      <c r="P496" s="1"/>
      <c r="Q496" s="1"/>
      <c r="R496" s="1"/>
      <c r="S496" s="1"/>
      <c r="T496" s="1"/>
      <c r="U496" s="2"/>
      <c r="V496" s="1"/>
      <c r="W496" s="1"/>
      <c r="X496" s="1"/>
      <c r="Y496" s="1"/>
      <c r="Z496" s="1"/>
    </row>
    <row r="497" spans="1:26" ht="24.75" customHeight="1">
      <c r="A497" s="1"/>
      <c r="B497" s="1"/>
      <c r="C497" s="1"/>
      <c r="D497" s="1"/>
      <c r="E497" s="1"/>
      <c r="F497" s="1"/>
      <c r="G497" s="1"/>
      <c r="H497" s="1"/>
      <c r="I497" s="1"/>
      <c r="J497" s="1"/>
      <c r="K497" s="1"/>
      <c r="L497" s="1"/>
      <c r="M497" s="1"/>
      <c r="N497" s="1"/>
      <c r="O497" s="1"/>
      <c r="P497" s="1"/>
      <c r="Q497" s="1"/>
      <c r="R497" s="1"/>
      <c r="S497" s="1"/>
      <c r="T497" s="1"/>
      <c r="U497" s="2"/>
      <c r="V497" s="1"/>
      <c r="W497" s="1"/>
      <c r="X497" s="1"/>
      <c r="Y497" s="1"/>
      <c r="Z497" s="1"/>
    </row>
    <row r="498" spans="1:26" ht="24.75" customHeight="1">
      <c r="A498" s="1"/>
      <c r="B498" s="1"/>
      <c r="C498" s="1"/>
      <c r="D498" s="1"/>
      <c r="E498" s="1"/>
      <c r="F498" s="1"/>
      <c r="G498" s="1"/>
      <c r="H498" s="1"/>
      <c r="I498" s="1"/>
      <c r="J498" s="1"/>
      <c r="K498" s="1"/>
      <c r="L498" s="1"/>
      <c r="M498" s="1"/>
      <c r="N498" s="1"/>
      <c r="O498" s="1"/>
      <c r="P498" s="1"/>
      <c r="Q498" s="1"/>
      <c r="R498" s="1"/>
      <c r="S498" s="1"/>
      <c r="T498" s="1"/>
      <c r="U498" s="2"/>
      <c r="V498" s="1"/>
      <c r="W498" s="1"/>
      <c r="X498" s="1"/>
      <c r="Y498" s="1"/>
      <c r="Z498" s="1"/>
    </row>
    <row r="499" spans="1:26" ht="24.75" customHeight="1">
      <c r="A499" s="1"/>
      <c r="B499" s="1"/>
      <c r="C499" s="1"/>
      <c r="D499" s="1"/>
      <c r="E499" s="1"/>
      <c r="F499" s="1"/>
      <c r="G499" s="1"/>
      <c r="H499" s="1"/>
      <c r="I499" s="1"/>
      <c r="J499" s="1"/>
      <c r="K499" s="1"/>
      <c r="L499" s="1"/>
      <c r="M499" s="1"/>
      <c r="N499" s="1"/>
      <c r="O499" s="1"/>
      <c r="P499" s="1"/>
      <c r="Q499" s="1"/>
      <c r="R499" s="1"/>
      <c r="S499" s="1"/>
      <c r="T499" s="1"/>
      <c r="U499" s="2"/>
      <c r="V499" s="1"/>
      <c r="W499" s="1"/>
      <c r="X499" s="1"/>
      <c r="Y499" s="1"/>
      <c r="Z499" s="1"/>
    </row>
    <row r="500" spans="1:26" ht="24.75" customHeight="1">
      <c r="A500" s="1"/>
      <c r="B500" s="1"/>
      <c r="C500" s="1"/>
      <c r="D500" s="1"/>
      <c r="E500" s="1"/>
      <c r="F500" s="1"/>
      <c r="G500" s="1"/>
      <c r="H500" s="1"/>
      <c r="I500" s="1"/>
      <c r="J500" s="1"/>
      <c r="K500" s="1"/>
      <c r="L500" s="1"/>
      <c r="M500" s="1"/>
      <c r="N500" s="1"/>
      <c r="O500" s="1"/>
      <c r="P500" s="1"/>
      <c r="Q500" s="1"/>
      <c r="R500" s="1"/>
      <c r="S500" s="1"/>
      <c r="T500" s="1"/>
      <c r="U500" s="2"/>
      <c r="V500" s="1"/>
      <c r="W500" s="1"/>
      <c r="X500" s="1"/>
      <c r="Y500" s="1"/>
      <c r="Z500" s="1"/>
    </row>
    <row r="501" spans="1:26" ht="24.75" customHeight="1">
      <c r="A501" s="1"/>
      <c r="B501" s="1"/>
      <c r="C501" s="1"/>
      <c r="D501" s="1"/>
      <c r="E501" s="1"/>
      <c r="F501" s="1"/>
      <c r="G501" s="1"/>
      <c r="H501" s="1"/>
      <c r="I501" s="1"/>
      <c r="J501" s="1"/>
      <c r="K501" s="1"/>
      <c r="L501" s="1"/>
      <c r="M501" s="1"/>
      <c r="N501" s="1"/>
      <c r="O501" s="1"/>
      <c r="P501" s="1"/>
      <c r="Q501" s="1"/>
      <c r="R501" s="1"/>
      <c r="S501" s="1"/>
      <c r="T501" s="1"/>
      <c r="U501" s="2"/>
      <c r="V501" s="1"/>
      <c r="W501" s="1"/>
      <c r="X501" s="1"/>
      <c r="Y501" s="1"/>
      <c r="Z501" s="1"/>
    </row>
    <row r="502" spans="1:26" ht="24.75" customHeight="1">
      <c r="A502" s="1"/>
      <c r="B502" s="1"/>
      <c r="C502" s="1"/>
      <c r="D502" s="1"/>
      <c r="E502" s="1"/>
      <c r="F502" s="1"/>
      <c r="G502" s="1"/>
      <c r="H502" s="1"/>
      <c r="I502" s="1"/>
      <c r="J502" s="1"/>
      <c r="K502" s="1"/>
      <c r="L502" s="1"/>
      <c r="M502" s="1"/>
      <c r="N502" s="1"/>
      <c r="O502" s="1"/>
      <c r="P502" s="1"/>
      <c r="Q502" s="1"/>
      <c r="R502" s="1"/>
      <c r="S502" s="1"/>
      <c r="T502" s="1"/>
      <c r="U502" s="2"/>
      <c r="V502" s="1"/>
      <c r="W502" s="1"/>
      <c r="X502" s="1"/>
      <c r="Y502" s="1"/>
      <c r="Z502" s="1"/>
    </row>
    <row r="503" spans="1:26" ht="24.75" customHeight="1">
      <c r="A503" s="1"/>
      <c r="B503" s="1"/>
      <c r="C503" s="1"/>
      <c r="D503" s="1"/>
      <c r="E503" s="1"/>
      <c r="F503" s="1"/>
      <c r="G503" s="1"/>
      <c r="H503" s="1"/>
      <c r="I503" s="1"/>
      <c r="J503" s="1"/>
      <c r="K503" s="1"/>
      <c r="L503" s="1"/>
      <c r="M503" s="1"/>
      <c r="N503" s="1"/>
      <c r="O503" s="1"/>
      <c r="P503" s="1"/>
      <c r="Q503" s="1"/>
      <c r="R503" s="1"/>
      <c r="S503" s="1"/>
      <c r="T503" s="1"/>
      <c r="U503" s="2"/>
      <c r="V503" s="1"/>
      <c r="W503" s="1"/>
      <c r="X503" s="1"/>
      <c r="Y503" s="1"/>
      <c r="Z503" s="1"/>
    </row>
    <row r="504" spans="1:26" ht="24.75" customHeight="1">
      <c r="A504" s="1"/>
      <c r="B504" s="1"/>
      <c r="C504" s="1"/>
      <c r="D504" s="1"/>
      <c r="E504" s="1"/>
      <c r="F504" s="1"/>
      <c r="G504" s="1"/>
      <c r="H504" s="1"/>
      <c r="I504" s="1"/>
      <c r="J504" s="1"/>
      <c r="K504" s="1"/>
      <c r="L504" s="1"/>
      <c r="M504" s="1"/>
      <c r="N504" s="1"/>
      <c r="O504" s="1"/>
      <c r="P504" s="1"/>
      <c r="Q504" s="1"/>
      <c r="R504" s="1"/>
      <c r="S504" s="1"/>
      <c r="T504" s="1"/>
      <c r="U504" s="2"/>
      <c r="V504" s="1"/>
      <c r="W504" s="1"/>
      <c r="X504" s="1"/>
      <c r="Y504" s="1"/>
      <c r="Z504" s="1"/>
    </row>
    <row r="505" spans="1:26" ht="24.75" customHeight="1">
      <c r="A505" s="1"/>
      <c r="B505" s="1"/>
      <c r="C505" s="1"/>
      <c r="D505" s="1"/>
      <c r="E505" s="1"/>
      <c r="F505" s="1"/>
      <c r="G505" s="1"/>
      <c r="H505" s="1"/>
      <c r="I505" s="1"/>
      <c r="J505" s="1"/>
      <c r="K505" s="1"/>
      <c r="L505" s="1"/>
      <c r="M505" s="1"/>
      <c r="N505" s="1"/>
      <c r="O505" s="1"/>
      <c r="P505" s="1"/>
      <c r="Q505" s="1"/>
      <c r="R505" s="1"/>
      <c r="S505" s="1"/>
      <c r="T505" s="1"/>
      <c r="U505" s="2"/>
      <c r="V505" s="1"/>
      <c r="W505" s="1"/>
      <c r="X505" s="1"/>
      <c r="Y505" s="1"/>
      <c r="Z505" s="1"/>
    </row>
    <row r="506" spans="1:26" ht="24.75" customHeight="1">
      <c r="A506" s="1"/>
      <c r="B506" s="1"/>
      <c r="C506" s="1"/>
      <c r="D506" s="1"/>
      <c r="E506" s="1"/>
      <c r="F506" s="1"/>
      <c r="G506" s="1"/>
      <c r="H506" s="1"/>
      <c r="I506" s="1"/>
      <c r="J506" s="1"/>
      <c r="K506" s="1"/>
      <c r="L506" s="1"/>
      <c r="M506" s="1"/>
      <c r="N506" s="1"/>
      <c r="O506" s="1"/>
      <c r="P506" s="1"/>
      <c r="Q506" s="1"/>
      <c r="R506" s="1"/>
      <c r="S506" s="1"/>
      <c r="T506" s="1"/>
      <c r="U506" s="2"/>
      <c r="V506" s="1"/>
      <c r="W506" s="1"/>
      <c r="X506" s="1"/>
      <c r="Y506" s="1"/>
      <c r="Z506" s="1"/>
    </row>
    <row r="507" spans="1:26" ht="24.75" customHeight="1">
      <c r="A507" s="1"/>
      <c r="B507" s="1"/>
      <c r="C507" s="1"/>
      <c r="D507" s="1"/>
      <c r="E507" s="1"/>
      <c r="F507" s="1"/>
      <c r="G507" s="1"/>
      <c r="H507" s="1"/>
      <c r="I507" s="1"/>
      <c r="J507" s="1"/>
      <c r="K507" s="1"/>
      <c r="L507" s="1"/>
      <c r="M507" s="1"/>
      <c r="N507" s="1"/>
      <c r="O507" s="1"/>
      <c r="P507" s="1"/>
      <c r="Q507" s="1"/>
      <c r="R507" s="1"/>
      <c r="S507" s="1"/>
      <c r="T507" s="1"/>
      <c r="U507" s="2"/>
      <c r="V507" s="1"/>
      <c r="W507" s="1"/>
      <c r="X507" s="1"/>
      <c r="Y507" s="1"/>
      <c r="Z507" s="1"/>
    </row>
    <row r="508" spans="1:26" ht="24.75" customHeight="1">
      <c r="A508" s="1"/>
      <c r="B508" s="1"/>
      <c r="C508" s="1"/>
      <c r="D508" s="1"/>
      <c r="E508" s="1"/>
      <c r="F508" s="1"/>
      <c r="G508" s="1"/>
      <c r="H508" s="1"/>
      <c r="I508" s="1"/>
      <c r="J508" s="1"/>
      <c r="K508" s="1"/>
      <c r="L508" s="1"/>
      <c r="M508" s="1"/>
      <c r="N508" s="1"/>
      <c r="O508" s="1"/>
      <c r="P508" s="1"/>
      <c r="Q508" s="1"/>
      <c r="R508" s="1"/>
      <c r="S508" s="1"/>
      <c r="T508" s="1"/>
      <c r="U508" s="2"/>
      <c r="V508" s="1"/>
      <c r="W508" s="1"/>
      <c r="X508" s="1"/>
      <c r="Y508" s="1"/>
      <c r="Z508" s="1"/>
    </row>
    <row r="509" spans="1:26" ht="24.75" customHeight="1">
      <c r="A509" s="1"/>
      <c r="B509" s="1"/>
      <c r="C509" s="1"/>
      <c r="D509" s="1"/>
      <c r="E509" s="1"/>
      <c r="F509" s="1"/>
      <c r="G509" s="1"/>
      <c r="H509" s="1"/>
      <c r="I509" s="1"/>
      <c r="J509" s="1"/>
      <c r="K509" s="1"/>
      <c r="L509" s="1"/>
      <c r="M509" s="1"/>
      <c r="N509" s="1"/>
      <c r="O509" s="1"/>
      <c r="P509" s="1"/>
      <c r="Q509" s="1"/>
      <c r="R509" s="1"/>
      <c r="S509" s="1"/>
      <c r="T509" s="1"/>
      <c r="U509" s="2"/>
      <c r="V509" s="1"/>
      <c r="W509" s="1"/>
      <c r="X509" s="1"/>
      <c r="Y509" s="1"/>
      <c r="Z509" s="1"/>
    </row>
    <row r="510" spans="1:26" ht="24.75" customHeight="1">
      <c r="A510" s="1"/>
      <c r="B510" s="1"/>
      <c r="C510" s="1"/>
      <c r="D510" s="1"/>
      <c r="E510" s="1"/>
      <c r="F510" s="1"/>
      <c r="G510" s="1"/>
      <c r="H510" s="1"/>
      <c r="I510" s="1"/>
      <c r="J510" s="1"/>
      <c r="K510" s="1"/>
      <c r="L510" s="1"/>
      <c r="M510" s="1"/>
      <c r="N510" s="1"/>
      <c r="O510" s="1"/>
      <c r="P510" s="1"/>
      <c r="Q510" s="1"/>
      <c r="R510" s="1"/>
      <c r="S510" s="1"/>
      <c r="T510" s="1"/>
      <c r="U510" s="2"/>
      <c r="V510" s="1"/>
      <c r="W510" s="1"/>
      <c r="X510" s="1"/>
      <c r="Y510" s="1"/>
      <c r="Z510" s="1"/>
    </row>
    <row r="511" spans="1:26" ht="24.75" customHeight="1">
      <c r="A511" s="1"/>
      <c r="B511" s="1"/>
      <c r="C511" s="1"/>
      <c r="D511" s="1"/>
      <c r="E511" s="1"/>
      <c r="F511" s="1"/>
      <c r="G511" s="1"/>
      <c r="H511" s="1"/>
      <c r="I511" s="1"/>
      <c r="J511" s="1"/>
      <c r="K511" s="1"/>
      <c r="L511" s="1"/>
      <c r="M511" s="1"/>
      <c r="N511" s="1"/>
      <c r="O511" s="1"/>
      <c r="P511" s="1"/>
      <c r="Q511" s="1"/>
      <c r="R511" s="1"/>
      <c r="S511" s="1"/>
      <c r="T511" s="1"/>
      <c r="U511" s="2"/>
      <c r="V511" s="1"/>
      <c r="W511" s="1"/>
      <c r="X511" s="1"/>
      <c r="Y511" s="1"/>
      <c r="Z511" s="1"/>
    </row>
    <row r="512" spans="1:26" ht="24.75" customHeight="1">
      <c r="A512" s="1"/>
      <c r="B512" s="1"/>
      <c r="C512" s="1"/>
      <c r="D512" s="1"/>
      <c r="E512" s="1"/>
      <c r="F512" s="1"/>
      <c r="G512" s="1"/>
      <c r="H512" s="1"/>
      <c r="I512" s="1"/>
      <c r="J512" s="1"/>
      <c r="K512" s="1"/>
      <c r="L512" s="1"/>
      <c r="M512" s="1"/>
      <c r="N512" s="1"/>
      <c r="O512" s="1"/>
      <c r="P512" s="1"/>
      <c r="Q512" s="1"/>
      <c r="R512" s="1"/>
      <c r="S512" s="1"/>
      <c r="T512" s="1"/>
      <c r="U512" s="2"/>
      <c r="V512" s="1"/>
      <c r="W512" s="1"/>
      <c r="X512" s="1"/>
      <c r="Y512" s="1"/>
      <c r="Z512" s="1"/>
    </row>
    <row r="513" spans="1:26" ht="24.75" customHeight="1">
      <c r="A513" s="1"/>
      <c r="B513" s="1"/>
      <c r="C513" s="1"/>
      <c r="D513" s="1"/>
      <c r="E513" s="1"/>
      <c r="F513" s="1"/>
      <c r="G513" s="1"/>
      <c r="H513" s="1"/>
      <c r="I513" s="1"/>
      <c r="J513" s="1"/>
      <c r="K513" s="1"/>
      <c r="L513" s="1"/>
      <c r="M513" s="1"/>
      <c r="N513" s="1"/>
      <c r="O513" s="1"/>
      <c r="P513" s="1"/>
      <c r="Q513" s="1"/>
      <c r="R513" s="1"/>
      <c r="S513" s="1"/>
      <c r="T513" s="1"/>
      <c r="U513" s="2"/>
      <c r="V513" s="1"/>
      <c r="W513" s="1"/>
      <c r="X513" s="1"/>
      <c r="Y513" s="1"/>
      <c r="Z513" s="1"/>
    </row>
    <row r="514" spans="1:26" ht="24.75" customHeight="1">
      <c r="A514" s="1"/>
      <c r="B514" s="1"/>
      <c r="C514" s="1"/>
      <c r="D514" s="1"/>
      <c r="E514" s="1"/>
      <c r="F514" s="1"/>
      <c r="G514" s="1"/>
      <c r="H514" s="1"/>
      <c r="I514" s="1"/>
      <c r="J514" s="1"/>
      <c r="K514" s="1"/>
      <c r="L514" s="1"/>
      <c r="M514" s="1"/>
      <c r="N514" s="1"/>
      <c r="O514" s="1"/>
      <c r="P514" s="1"/>
      <c r="Q514" s="1"/>
      <c r="R514" s="1"/>
      <c r="S514" s="1"/>
      <c r="T514" s="1"/>
      <c r="U514" s="2"/>
      <c r="V514" s="1"/>
      <c r="W514" s="1"/>
      <c r="X514" s="1"/>
      <c r="Y514" s="1"/>
      <c r="Z514" s="1"/>
    </row>
    <row r="515" spans="1:26" ht="24.75" customHeight="1">
      <c r="A515" s="1"/>
      <c r="B515" s="1"/>
      <c r="C515" s="1"/>
      <c r="D515" s="1"/>
      <c r="E515" s="1"/>
      <c r="F515" s="1"/>
      <c r="G515" s="1"/>
      <c r="H515" s="1"/>
      <c r="I515" s="1"/>
      <c r="J515" s="1"/>
      <c r="K515" s="1"/>
      <c r="L515" s="1"/>
      <c r="M515" s="1"/>
      <c r="N515" s="1"/>
      <c r="O515" s="1"/>
      <c r="P515" s="1"/>
      <c r="Q515" s="1"/>
      <c r="R515" s="1"/>
      <c r="S515" s="1"/>
      <c r="T515" s="1"/>
      <c r="U515" s="2"/>
      <c r="V515" s="1"/>
      <c r="W515" s="1"/>
      <c r="X515" s="1"/>
      <c r="Y515" s="1"/>
      <c r="Z515" s="1"/>
    </row>
    <row r="516" spans="1:26" ht="24.75" customHeight="1">
      <c r="A516" s="1"/>
      <c r="B516" s="1"/>
      <c r="C516" s="1"/>
      <c r="D516" s="1"/>
      <c r="E516" s="1"/>
      <c r="F516" s="1"/>
      <c r="G516" s="1"/>
      <c r="H516" s="1"/>
      <c r="I516" s="1"/>
      <c r="J516" s="1"/>
      <c r="K516" s="1"/>
      <c r="L516" s="1"/>
      <c r="M516" s="1"/>
      <c r="N516" s="1"/>
      <c r="O516" s="1"/>
      <c r="P516" s="1"/>
      <c r="Q516" s="1"/>
      <c r="R516" s="1"/>
      <c r="S516" s="1"/>
      <c r="T516" s="1"/>
      <c r="U516" s="2"/>
      <c r="V516" s="1"/>
      <c r="W516" s="1"/>
      <c r="X516" s="1"/>
      <c r="Y516" s="1"/>
      <c r="Z516" s="1"/>
    </row>
    <row r="517" spans="1:26" ht="24.75" customHeight="1">
      <c r="A517" s="1"/>
      <c r="B517" s="1"/>
      <c r="C517" s="1"/>
      <c r="D517" s="1"/>
      <c r="E517" s="1"/>
      <c r="F517" s="1"/>
      <c r="G517" s="1"/>
      <c r="H517" s="1"/>
      <c r="I517" s="1"/>
      <c r="J517" s="1"/>
      <c r="K517" s="1"/>
      <c r="L517" s="1"/>
      <c r="M517" s="1"/>
      <c r="N517" s="1"/>
      <c r="O517" s="1"/>
      <c r="P517" s="1"/>
      <c r="Q517" s="1"/>
      <c r="R517" s="1"/>
      <c r="S517" s="1"/>
      <c r="T517" s="1"/>
      <c r="U517" s="2"/>
      <c r="V517" s="1"/>
      <c r="W517" s="1"/>
      <c r="X517" s="1"/>
      <c r="Y517" s="1"/>
      <c r="Z517" s="1"/>
    </row>
    <row r="518" spans="1:26" ht="24.75" customHeight="1">
      <c r="A518" s="1"/>
      <c r="B518" s="1"/>
      <c r="C518" s="1"/>
      <c r="D518" s="1"/>
      <c r="E518" s="1"/>
      <c r="F518" s="1"/>
      <c r="G518" s="1"/>
      <c r="H518" s="1"/>
      <c r="I518" s="1"/>
      <c r="J518" s="1"/>
      <c r="K518" s="1"/>
      <c r="L518" s="1"/>
      <c r="M518" s="1"/>
      <c r="N518" s="1"/>
      <c r="O518" s="1"/>
      <c r="P518" s="1"/>
      <c r="Q518" s="1"/>
      <c r="R518" s="1"/>
      <c r="S518" s="1"/>
      <c r="T518" s="1"/>
      <c r="U518" s="2"/>
      <c r="V518" s="1"/>
      <c r="W518" s="1"/>
      <c r="X518" s="1"/>
      <c r="Y518" s="1"/>
      <c r="Z518" s="1"/>
    </row>
    <row r="519" spans="1:26" ht="24.75" customHeight="1">
      <c r="A519" s="1"/>
      <c r="B519" s="1"/>
      <c r="C519" s="1"/>
      <c r="D519" s="1"/>
      <c r="E519" s="1"/>
      <c r="F519" s="1"/>
      <c r="G519" s="1"/>
      <c r="H519" s="1"/>
      <c r="I519" s="1"/>
      <c r="J519" s="1"/>
      <c r="K519" s="1"/>
      <c r="L519" s="1"/>
      <c r="M519" s="1"/>
      <c r="N519" s="1"/>
      <c r="O519" s="1"/>
      <c r="P519" s="1"/>
      <c r="Q519" s="1"/>
      <c r="R519" s="1"/>
      <c r="S519" s="1"/>
      <c r="T519" s="1"/>
      <c r="U519" s="2"/>
      <c r="V519" s="1"/>
      <c r="W519" s="1"/>
      <c r="X519" s="1"/>
      <c r="Y519" s="1"/>
      <c r="Z519" s="1"/>
    </row>
    <row r="520" spans="1:26" ht="24.75" customHeight="1">
      <c r="A520" s="1"/>
      <c r="B520" s="1"/>
      <c r="C520" s="1"/>
      <c r="D520" s="1"/>
      <c r="E520" s="1"/>
      <c r="F520" s="1"/>
      <c r="G520" s="1"/>
      <c r="H520" s="1"/>
      <c r="I520" s="1"/>
      <c r="J520" s="1"/>
      <c r="K520" s="1"/>
      <c r="L520" s="1"/>
      <c r="M520" s="1"/>
      <c r="N520" s="1"/>
      <c r="O520" s="1"/>
      <c r="P520" s="1"/>
      <c r="Q520" s="1"/>
      <c r="R520" s="1"/>
      <c r="S520" s="1"/>
      <c r="T520" s="1"/>
      <c r="U520" s="2"/>
      <c r="V520" s="1"/>
      <c r="W520" s="1"/>
      <c r="X520" s="1"/>
      <c r="Y520" s="1"/>
      <c r="Z520" s="1"/>
    </row>
    <row r="521" spans="1:26" ht="24.75" customHeight="1">
      <c r="A521" s="1"/>
      <c r="B521" s="1"/>
      <c r="C521" s="1"/>
      <c r="D521" s="1"/>
      <c r="E521" s="1"/>
      <c r="F521" s="1"/>
      <c r="G521" s="1"/>
      <c r="H521" s="1"/>
      <c r="I521" s="1"/>
      <c r="J521" s="1"/>
      <c r="K521" s="1"/>
      <c r="L521" s="1"/>
      <c r="M521" s="1"/>
      <c r="N521" s="1"/>
      <c r="O521" s="1"/>
      <c r="P521" s="1"/>
      <c r="Q521" s="1"/>
      <c r="R521" s="1"/>
      <c r="S521" s="1"/>
      <c r="T521" s="1"/>
      <c r="U521" s="2"/>
      <c r="V521" s="1"/>
      <c r="W521" s="1"/>
      <c r="X521" s="1"/>
      <c r="Y521" s="1"/>
      <c r="Z521" s="1"/>
    </row>
    <row r="522" spans="1:26" ht="24.75" customHeight="1">
      <c r="A522" s="1"/>
      <c r="B522" s="1"/>
      <c r="C522" s="1"/>
      <c r="D522" s="1"/>
      <c r="E522" s="1"/>
      <c r="F522" s="1"/>
      <c r="G522" s="1"/>
      <c r="H522" s="1"/>
      <c r="I522" s="1"/>
      <c r="J522" s="1"/>
      <c r="K522" s="1"/>
      <c r="L522" s="1"/>
      <c r="M522" s="1"/>
      <c r="N522" s="1"/>
      <c r="O522" s="1"/>
      <c r="P522" s="1"/>
      <c r="Q522" s="1"/>
      <c r="R522" s="1"/>
      <c r="S522" s="1"/>
      <c r="T522" s="1"/>
      <c r="U522" s="2"/>
      <c r="V522" s="1"/>
      <c r="W522" s="1"/>
      <c r="X522" s="1"/>
      <c r="Y522" s="1"/>
      <c r="Z522" s="1"/>
    </row>
    <row r="523" spans="1:26" ht="24.75" customHeight="1">
      <c r="A523" s="1"/>
      <c r="B523" s="1"/>
      <c r="C523" s="1"/>
      <c r="D523" s="1"/>
      <c r="E523" s="1"/>
      <c r="F523" s="1"/>
      <c r="G523" s="1"/>
      <c r="H523" s="1"/>
      <c r="I523" s="1"/>
      <c r="J523" s="1"/>
      <c r="K523" s="1"/>
      <c r="L523" s="1"/>
      <c r="M523" s="1"/>
      <c r="N523" s="1"/>
      <c r="O523" s="1"/>
      <c r="P523" s="1"/>
      <c r="Q523" s="1"/>
      <c r="R523" s="1"/>
      <c r="S523" s="1"/>
      <c r="T523" s="1"/>
      <c r="U523" s="2"/>
      <c r="V523" s="1"/>
      <c r="W523" s="1"/>
      <c r="X523" s="1"/>
      <c r="Y523" s="1"/>
      <c r="Z523" s="1"/>
    </row>
    <row r="524" spans="1:26" ht="24.75" customHeight="1">
      <c r="A524" s="1"/>
      <c r="B524" s="1"/>
      <c r="C524" s="1"/>
      <c r="D524" s="1"/>
      <c r="E524" s="1"/>
      <c r="F524" s="1"/>
      <c r="G524" s="1"/>
      <c r="H524" s="1"/>
      <c r="I524" s="1"/>
      <c r="J524" s="1"/>
      <c r="K524" s="1"/>
      <c r="L524" s="1"/>
      <c r="M524" s="1"/>
      <c r="N524" s="1"/>
      <c r="O524" s="1"/>
      <c r="P524" s="1"/>
      <c r="Q524" s="1"/>
      <c r="R524" s="1"/>
      <c r="S524" s="1"/>
      <c r="T524" s="1"/>
      <c r="U524" s="2"/>
      <c r="V524" s="1"/>
      <c r="W524" s="1"/>
      <c r="X524" s="1"/>
      <c r="Y524" s="1"/>
      <c r="Z524" s="1"/>
    </row>
    <row r="525" spans="1:26" ht="24.75" customHeight="1">
      <c r="A525" s="1"/>
      <c r="B525" s="1"/>
      <c r="C525" s="1"/>
      <c r="D525" s="1"/>
      <c r="E525" s="1"/>
      <c r="F525" s="1"/>
      <c r="G525" s="1"/>
      <c r="H525" s="1"/>
      <c r="I525" s="1"/>
      <c r="J525" s="1"/>
      <c r="K525" s="1"/>
      <c r="L525" s="1"/>
      <c r="M525" s="1"/>
      <c r="N525" s="1"/>
      <c r="O525" s="1"/>
      <c r="P525" s="1"/>
      <c r="Q525" s="1"/>
      <c r="R525" s="1"/>
      <c r="S525" s="1"/>
      <c r="T525" s="1"/>
      <c r="U525" s="2"/>
      <c r="V525" s="1"/>
      <c r="W525" s="1"/>
      <c r="X525" s="1"/>
      <c r="Y525" s="1"/>
      <c r="Z525" s="1"/>
    </row>
    <row r="526" spans="1:26" ht="24.75" customHeight="1">
      <c r="A526" s="1"/>
      <c r="B526" s="1"/>
      <c r="C526" s="1"/>
      <c r="D526" s="1"/>
      <c r="E526" s="1"/>
      <c r="F526" s="1"/>
      <c r="G526" s="1"/>
      <c r="H526" s="1"/>
      <c r="I526" s="1"/>
      <c r="J526" s="1"/>
      <c r="K526" s="1"/>
      <c r="L526" s="1"/>
      <c r="M526" s="1"/>
      <c r="N526" s="1"/>
      <c r="O526" s="1"/>
      <c r="P526" s="1"/>
      <c r="Q526" s="1"/>
      <c r="R526" s="1"/>
      <c r="S526" s="1"/>
      <c r="T526" s="1"/>
      <c r="U526" s="2"/>
      <c r="V526" s="1"/>
      <c r="W526" s="1"/>
      <c r="X526" s="1"/>
      <c r="Y526" s="1"/>
      <c r="Z526" s="1"/>
    </row>
    <row r="527" spans="1:26" ht="24.75" customHeight="1">
      <c r="A527" s="1"/>
      <c r="B527" s="1"/>
      <c r="C527" s="1"/>
      <c r="D527" s="1"/>
      <c r="E527" s="1"/>
      <c r="F527" s="1"/>
      <c r="G527" s="1"/>
      <c r="H527" s="1"/>
      <c r="I527" s="1"/>
      <c r="J527" s="1"/>
      <c r="K527" s="1"/>
      <c r="L527" s="1"/>
      <c r="M527" s="1"/>
      <c r="N527" s="1"/>
      <c r="O527" s="1"/>
      <c r="P527" s="1"/>
      <c r="Q527" s="1"/>
      <c r="R527" s="1"/>
      <c r="S527" s="1"/>
      <c r="T527" s="1"/>
      <c r="U527" s="2"/>
      <c r="V527" s="1"/>
      <c r="W527" s="1"/>
      <c r="X527" s="1"/>
      <c r="Y527" s="1"/>
      <c r="Z527" s="1"/>
    </row>
    <row r="528" spans="1:26" ht="24.75" customHeight="1">
      <c r="A528" s="1"/>
      <c r="B528" s="1"/>
      <c r="C528" s="1"/>
      <c r="D528" s="1"/>
      <c r="E528" s="1"/>
      <c r="F528" s="1"/>
      <c r="G528" s="1"/>
      <c r="H528" s="1"/>
      <c r="I528" s="1"/>
      <c r="J528" s="1"/>
      <c r="K528" s="1"/>
      <c r="L528" s="1"/>
      <c r="M528" s="1"/>
      <c r="N528" s="1"/>
      <c r="O528" s="1"/>
      <c r="P528" s="1"/>
      <c r="Q528" s="1"/>
      <c r="R528" s="1"/>
      <c r="S528" s="1"/>
      <c r="T528" s="1"/>
      <c r="U528" s="2"/>
      <c r="V528" s="1"/>
      <c r="W528" s="1"/>
      <c r="X528" s="1"/>
      <c r="Y528" s="1"/>
      <c r="Z528" s="1"/>
    </row>
    <row r="529" spans="1:26" ht="24.75" customHeight="1">
      <c r="A529" s="1"/>
      <c r="B529" s="1"/>
      <c r="C529" s="1"/>
      <c r="D529" s="1"/>
      <c r="E529" s="1"/>
      <c r="F529" s="1"/>
      <c r="G529" s="1"/>
      <c r="H529" s="1"/>
      <c r="I529" s="1"/>
      <c r="J529" s="1"/>
      <c r="K529" s="1"/>
      <c r="L529" s="1"/>
      <c r="M529" s="1"/>
      <c r="N529" s="1"/>
      <c r="O529" s="1"/>
      <c r="P529" s="1"/>
      <c r="Q529" s="1"/>
      <c r="R529" s="1"/>
      <c r="S529" s="1"/>
      <c r="T529" s="1"/>
      <c r="U529" s="2"/>
      <c r="V529" s="1"/>
      <c r="W529" s="1"/>
      <c r="X529" s="1"/>
      <c r="Y529" s="1"/>
      <c r="Z529" s="1"/>
    </row>
    <row r="530" spans="1:26" ht="24.75" customHeight="1">
      <c r="A530" s="1"/>
      <c r="B530" s="1"/>
      <c r="C530" s="1"/>
      <c r="D530" s="1"/>
      <c r="E530" s="1"/>
      <c r="F530" s="1"/>
      <c r="G530" s="1"/>
      <c r="H530" s="1"/>
      <c r="I530" s="1"/>
      <c r="J530" s="1"/>
      <c r="K530" s="1"/>
      <c r="L530" s="1"/>
      <c r="M530" s="1"/>
      <c r="N530" s="1"/>
      <c r="O530" s="1"/>
      <c r="P530" s="1"/>
      <c r="Q530" s="1"/>
      <c r="R530" s="1"/>
      <c r="S530" s="1"/>
      <c r="T530" s="1"/>
      <c r="U530" s="2"/>
      <c r="V530" s="1"/>
      <c r="W530" s="1"/>
      <c r="X530" s="1"/>
      <c r="Y530" s="1"/>
      <c r="Z530" s="1"/>
    </row>
    <row r="531" spans="1:26" ht="24.75" customHeight="1">
      <c r="A531" s="1"/>
      <c r="B531" s="1"/>
      <c r="C531" s="1"/>
      <c r="D531" s="1"/>
      <c r="E531" s="1"/>
      <c r="F531" s="1"/>
      <c r="G531" s="1"/>
      <c r="H531" s="1"/>
      <c r="I531" s="1"/>
      <c r="J531" s="1"/>
      <c r="K531" s="1"/>
      <c r="L531" s="1"/>
      <c r="M531" s="1"/>
      <c r="N531" s="1"/>
      <c r="O531" s="1"/>
      <c r="P531" s="1"/>
      <c r="Q531" s="1"/>
      <c r="R531" s="1"/>
      <c r="S531" s="1"/>
      <c r="T531" s="1"/>
      <c r="U531" s="2"/>
      <c r="V531" s="1"/>
      <c r="W531" s="1"/>
      <c r="X531" s="1"/>
      <c r="Y531" s="1"/>
      <c r="Z531" s="1"/>
    </row>
    <row r="532" spans="1:26" ht="24.75" customHeight="1">
      <c r="A532" s="1"/>
      <c r="B532" s="1"/>
      <c r="C532" s="1"/>
      <c r="D532" s="1"/>
      <c r="E532" s="1"/>
      <c r="F532" s="1"/>
      <c r="G532" s="1"/>
      <c r="H532" s="1"/>
      <c r="I532" s="1"/>
      <c r="J532" s="1"/>
      <c r="K532" s="1"/>
      <c r="L532" s="1"/>
      <c r="M532" s="1"/>
      <c r="N532" s="1"/>
      <c r="O532" s="1"/>
      <c r="P532" s="1"/>
      <c r="Q532" s="1"/>
      <c r="R532" s="1"/>
      <c r="S532" s="1"/>
      <c r="T532" s="1"/>
      <c r="U532" s="2"/>
      <c r="V532" s="1"/>
      <c r="W532" s="1"/>
      <c r="X532" s="1"/>
      <c r="Y532" s="1"/>
      <c r="Z532" s="1"/>
    </row>
    <row r="533" spans="1:26" ht="24.75" customHeight="1">
      <c r="A533" s="1"/>
      <c r="B533" s="1"/>
      <c r="C533" s="1"/>
      <c r="D533" s="1"/>
      <c r="E533" s="1"/>
      <c r="F533" s="1"/>
      <c r="G533" s="1"/>
      <c r="H533" s="1"/>
      <c r="I533" s="1"/>
      <c r="J533" s="1"/>
      <c r="K533" s="1"/>
      <c r="L533" s="1"/>
      <c r="M533" s="1"/>
      <c r="N533" s="1"/>
      <c r="O533" s="1"/>
      <c r="P533" s="1"/>
      <c r="Q533" s="1"/>
      <c r="R533" s="1"/>
      <c r="S533" s="1"/>
      <c r="T533" s="1"/>
      <c r="U533" s="2"/>
      <c r="V533" s="1"/>
      <c r="W533" s="1"/>
      <c r="X533" s="1"/>
      <c r="Y533" s="1"/>
      <c r="Z533" s="1"/>
    </row>
    <row r="534" spans="1:26" ht="24.75" customHeight="1">
      <c r="A534" s="1"/>
      <c r="B534" s="1"/>
      <c r="C534" s="1"/>
      <c r="D534" s="1"/>
      <c r="E534" s="1"/>
      <c r="F534" s="1"/>
      <c r="G534" s="1"/>
      <c r="H534" s="1"/>
      <c r="I534" s="1"/>
      <c r="J534" s="1"/>
      <c r="K534" s="1"/>
      <c r="L534" s="1"/>
      <c r="M534" s="1"/>
      <c r="N534" s="1"/>
      <c r="O534" s="1"/>
      <c r="P534" s="1"/>
      <c r="Q534" s="1"/>
      <c r="R534" s="1"/>
      <c r="S534" s="1"/>
      <c r="T534" s="1"/>
      <c r="U534" s="2"/>
      <c r="V534" s="1"/>
      <c r="W534" s="1"/>
      <c r="X534" s="1"/>
      <c r="Y534" s="1"/>
      <c r="Z534" s="1"/>
    </row>
    <row r="535" spans="1:26" ht="24.75" customHeight="1">
      <c r="A535" s="1"/>
      <c r="B535" s="1"/>
      <c r="C535" s="1"/>
      <c r="D535" s="1"/>
      <c r="E535" s="1"/>
      <c r="F535" s="1"/>
      <c r="G535" s="1"/>
      <c r="H535" s="1"/>
      <c r="I535" s="1"/>
      <c r="J535" s="1"/>
      <c r="K535" s="1"/>
      <c r="L535" s="1"/>
      <c r="M535" s="1"/>
      <c r="N535" s="1"/>
      <c r="O535" s="1"/>
      <c r="P535" s="1"/>
      <c r="Q535" s="1"/>
      <c r="R535" s="1"/>
      <c r="S535" s="1"/>
      <c r="T535" s="1"/>
      <c r="U535" s="2"/>
      <c r="V535" s="1"/>
      <c r="W535" s="1"/>
      <c r="X535" s="1"/>
      <c r="Y535" s="1"/>
      <c r="Z535" s="1"/>
    </row>
    <row r="536" spans="1:26" ht="24.75" customHeight="1">
      <c r="A536" s="1"/>
      <c r="B536" s="1"/>
      <c r="C536" s="1"/>
      <c r="D536" s="1"/>
      <c r="E536" s="1"/>
      <c r="F536" s="1"/>
      <c r="G536" s="1"/>
      <c r="H536" s="1"/>
      <c r="I536" s="1"/>
      <c r="J536" s="1"/>
      <c r="K536" s="1"/>
      <c r="L536" s="1"/>
      <c r="M536" s="1"/>
      <c r="N536" s="1"/>
      <c r="O536" s="1"/>
      <c r="P536" s="1"/>
      <c r="Q536" s="1"/>
      <c r="R536" s="1"/>
      <c r="S536" s="1"/>
      <c r="T536" s="1"/>
      <c r="U536" s="2"/>
      <c r="V536" s="1"/>
      <c r="W536" s="1"/>
      <c r="X536" s="1"/>
      <c r="Y536" s="1"/>
      <c r="Z536" s="1"/>
    </row>
    <row r="537" spans="1:26" ht="24.75" customHeight="1">
      <c r="A537" s="1"/>
      <c r="B537" s="1"/>
      <c r="C537" s="1"/>
      <c r="D537" s="1"/>
      <c r="E537" s="1"/>
      <c r="F537" s="1"/>
      <c r="G537" s="1"/>
      <c r="H537" s="1"/>
      <c r="I537" s="1"/>
      <c r="J537" s="1"/>
      <c r="K537" s="1"/>
      <c r="L537" s="1"/>
      <c r="M537" s="1"/>
      <c r="N537" s="1"/>
      <c r="O537" s="1"/>
      <c r="P537" s="1"/>
      <c r="Q537" s="1"/>
      <c r="R537" s="1"/>
      <c r="S537" s="1"/>
      <c r="T537" s="1"/>
      <c r="U537" s="2"/>
      <c r="V537" s="1"/>
      <c r="W537" s="1"/>
      <c r="X537" s="1"/>
      <c r="Y537" s="1"/>
      <c r="Z537" s="1"/>
    </row>
    <row r="538" spans="1:26" ht="24.75" customHeight="1">
      <c r="A538" s="1"/>
      <c r="B538" s="1"/>
      <c r="C538" s="1"/>
      <c r="D538" s="1"/>
      <c r="E538" s="1"/>
      <c r="F538" s="1"/>
      <c r="G538" s="1"/>
      <c r="H538" s="1"/>
      <c r="I538" s="1"/>
      <c r="J538" s="1"/>
      <c r="K538" s="1"/>
      <c r="L538" s="1"/>
      <c r="M538" s="1"/>
      <c r="N538" s="1"/>
      <c r="O538" s="1"/>
      <c r="P538" s="1"/>
      <c r="Q538" s="1"/>
      <c r="R538" s="1"/>
      <c r="S538" s="1"/>
      <c r="T538" s="1"/>
      <c r="U538" s="2"/>
      <c r="V538" s="1"/>
      <c r="W538" s="1"/>
      <c r="X538" s="1"/>
      <c r="Y538" s="1"/>
      <c r="Z538" s="1"/>
    </row>
    <row r="539" spans="1:26" ht="24.75" customHeight="1">
      <c r="A539" s="1"/>
      <c r="B539" s="1"/>
      <c r="C539" s="1"/>
      <c r="D539" s="1"/>
      <c r="E539" s="1"/>
      <c r="F539" s="1"/>
      <c r="G539" s="1"/>
      <c r="H539" s="1"/>
      <c r="I539" s="1"/>
      <c r="J539" s="1"/>
      <c r="K539" s="1"/>
      <c r="L539" s="1"/>
      <c r="M539" s="1"/>
      <c r="N539" s="1"/>
      <c r="O539" s="1"/>
      <c r="P539" s="1"/>
      <c r="Q539" s="1"/>
      <c r="R539" s="1"/>
      <c r="S539" s="1"/>
      <c r="T539" s="1"/>
      <c r="U539" s="2"/>
      <c r="V539" s="1"/>
      <c r="W539" s="1"/>
      <c r="X539" s="1"/>
      <c r="Y539" s="1"/>
      <c r="Z539" s="1"/>
    </row>
    <row r="540" spans="1:26" ht="24.75" customHeight="1">
      <c r="A540" s="1"/>
      <c r="B540" s="1"/>
      <c r="C540" s="1"/>
      <c r="D540" s="1"/>
      <c r="E540" s="1"/>
      <c r="F540" s="1"/>
      <c r="G540" s="1"/>
      <c r="H540" s="1"/>
      <c r="I540" s="1"/>
      <c r="J540" s="1"/>
      <c r="K540" s="1"/>
      <c r="L540" s="1"/>
      <c r="M540" s="1"/>
      <c r="N540" s="1"/>
      <c r="O540" s="1"/>
      <c r="P540" s="1"/>
      <c r="Q540" s="1"/>
      <c r="R540" s="1"/>
      <c r="S540" s="1"/>
      <c r="T540" s="1"/>
      <c r="U540" s="2"/>
      <c r="V540" s="1"/>
      <c r="W540" s="1"/>
      <c r="X540" s="1"/>
      <c r="Y540" s="1"/>
      <c r="Z540" s="1"/>
    </row>
    <row r="541" spans="1:26" ht="24.75" customHeight="1">
      <c r="A541" s="1"/>
      <c r="B541" s="1"/>
      <c r="C541" s="1"/>
      <c r="D541" s="1"/>
      <c r="E541" s="1"/>
      <c r="F541" s="1"/>
      <c r="G541" s="1"/>
      <c r="H541" s="1"/>
      <c r="I541" s="1"/>
      <c r="J541" s="1"/>
      <c r="K541" s="1"/>
      <c r="L541" s="1"/>
      <c r="M541" s="1"/>
      <c r="N541" s="1"/>
      <c r="O541" s="1"/>
      <c r="P541" s="1"/>
      <c r="Q541" s="1"/>
      <c r="R541" s="1"/>
      <c r="S541" s="1"/>
      <c r="T541" s="1"/>
      <c r="U541" s="2"/>
      <c r="V541" s="1"/>
      <c r="W541" s="1"/>
      <c r="X541" s="1"/>
      <c r="Y541" s="1"/>
      <c r="Z541" s="1"/>
    </row>
    <row r="542" spans="1:26" ht="24.75" customHeight="1">
      <c r="A542" s="1"/>
      <c r="B542" s="1"/>
      <c r="C542" s="1"/>
      <c r="D542" s="1"/>
      <c r="E542" s="1"/>
      <c r="F542" s="1"/>
      <c r="G542" s="1"/>
      <c r="H542" s="1"/>
      <c r="I542" s="1"/>
      <c r="J542" s="1"/>
      <c r="K542" s="1"/>
      <c r="L542" s="1"/>
      <c r="M542" s="1"/>
      <c r="N542" s="1"/>
      <c r="O542" s="1"/>
      <c r="P542" s="1"/>
      <c r="Q542" s="1"/>
      <c r="R542" s="1"/>
      <c r="S542" s="1"/>
      <c r="T542" s="1"/>
      <c r="U542" s="2"/>
      <c r="V542" s="1"/>
      <c r="W542" s="1"/>
      <c r="X542" s="1"/>
      <c r="Y542" s="1"/>
      <c r="Z542" s="1"/>
    </row>
    <row r="543" spans="1:26" ht="24.75" customHeight="1">
      <c r="A543" s="1"/>
      <c r="B543" s="1"/>
      <c r="C543" s="1"/>
      <c r="D543" s="1"/>
      <c r="E543" s="1"/>
      <c r="F543" s="1"/>
      <c r="G543" s="1"/>
      <c r="H543" s="1"/>
      <c r="I543" s="1"/>
      <c r="J543" s="1"/>
      <c r="K543" s="1"/>
      <c r="L543" s="1"/>
      <c r="M543" s="1"/>
      <c r="N543" s="1"/>
      <c r="O543" s="1"/>
      <c r="P543" s="1"/>
      <c r="Q543" s="1"/>
      <c r="R543" s="1"/>
      <c r="S543" s="1"/>
      <c r="T543" s="1"/>
      <c r="U543" s="2"/>
      <c r="V543" s="1"/>
      <c r="W543" s="1"/>
      <c r="X543" s="1"/>
      <c r="Y543" s="1"/>
      <c r="Z543" s="1"/>
    </row>
    <row r="544" spans="1:26" ht="24.75" customHeight="1">
      <c r="A544" s="1"/>
      <c r="B544" s="1"/>
      <c r="C544" s="1"/>
      <c r="D544" s="1"/>
      <c r="E544" s="1"/>
      <c r="F544" s="1"/>
      <c r="G544" s="1"/>
      <c r="H544" s="1"/>
      <c r="I544" s="1"/>
      <c r="J544" s="1"/>
      <c r="K544" s="1"/>
      <c r="L544" s="1"/>
      <c r="M544" s="1"/>
      <c r="N544" s="1"/>
      <c r="O544" s="1"/>
      <c r="P544" s="1"/>
      <c r="Q544" s="1"/>
      <c r="R544" s="1"/>
      <c r="S544" s="1"/>
      <c r="T544" s="1"/>
      <c r="U544" s="2"/>
      <c r="V544" s="1"/>
      <c r="W544" s="1"/>
      <c r="X544" s="1"/>
      <c r="Y544" s="1"/>
      <c r="Z544" s="1"/>
    </row>
    <row r="545" spans="1:26" ht="24.75" customHeight="1">
      <c r="A545" s="1"/>
      <c r="B545" s="1"/>
      <c r="C545" s="1"/>
      <c r="D545" s="1"/>
      <c r="E545" s="1"/>
      <c r="F545" s="1"/>
      <c r="G545" s="1"/>
      <c r="H545" s="1"/>
      <c r="I545" s="1"/>
      <c r="J545" s="1"/>
      <c r="K545" s="1"/>
      <c r="L545" s="1"/>
      <c r="M545" s="1"/>
      <c r="N545" s="1"/>
      <c r="O545" s="1"/>
      <c r="P545" s="1"/>
      <c r="Q545" s="1"/>
      <c r="R545" s="1"/>
      <c r="S545" s="1"/>
      <c r="T545" s="1"/>
      <c r="U545" s="2"/>
      <c r="V545" s="1"/>
      <c r="W545" s="1"/>
      <c r="X545" s="1"/>
      <c r="Y545" s="1"/>
      <c r="Z545" s="1"/>
    </row>
    <row r="546" spans="1:26" ht="24.75" customHeight="1">
      <c r="A546" s="1"/>
      <c r="B546" s="1"/>
      <c r="C546" s="1"/>
      <c r="D546" s="1"/>
      <c r="E546" s="1"/>
      <c r="F546" s="1"/>
      <c r="G546" s="1"/>
      <c r="H546" s="1"/>
      <c r="I546" s="1"/>
      <c r="J546" s="1"/>
      <c r="K546" s="1"/>
      <c r="L546" s="1"/>
      <c r="M546" s="1"/>
      <c r="N546" s="1"/>
      <c r="O546" s="1"/>
      <c r="P546" s="1"/>
      <c r="Q546" s="1"/>
      <c r="R546" s="1"/>
      <c r="S546" s="1"/>
      <c r="T546" s="1"/>
      <c r="U546" s="2"/>
      <c r="V546" s="1"/>
      <c r="W546" s="1"/>
      <c r="X546" s="1"/>
      <c r="Y546" s="1"/>
      <c r="Z546" s="1"/>
    </row>
    <row r="547" spans="1:26" ht="24.75" customHeight="1">
      <c r="A547" s="1"/>
      <c r="B547" s="1"/>
      <c r="C547" s="1"/>
      <c r="D547" s="1"/>
      <c r="E547" s="1"/>
      <c r="F547" s="1"/>
      <c r="G547" s="1"/>
      <c r="H547" s="1"/>
      <c r="I547" s="1"/>
      <c r="J547" s="1"/>
      <c r="K547" s="1"/>
      <c r="L547" s="1"/>
      <c r="M547" s="1"/>
      <c r="N547" s="1"/>
      <c r="O547" s="1"/>
      <c r="P547" s="1"/>
      <c r="Q547" s="1"/>
      <c r="R547" s="1"/>
      <c r="S547" s="1"/>
      <c r="T547" s="1"/>
      <c r="U547" s="2"/>
      <c r="V547" s="1"/>
      <c r="W547" s="1"/>
      <c r="X547" s="1"/>
      <c r="Y547" s="1"/>
      <c r="Z547" s="1"/>
    </row>
    <row r="548" spans="1:26" ht="24.75" customHeight="1">
      <c r="A548" s="1"/>
      <c r="B548" s="1"/>
      <c r="C548" s="1"/>
      <c r="D548" s="1"/>
      <c r="E548" s="1"/>
      <c r="F548" s="1"/>
      <c r="G548" s="1"/>
      <c r="H548" s="1"/>
      <c r="I548" s="1"/>
      <c r="J548" s="1"/>
      <c r="K548" s="1"/>
      <c r="L548" s="1"/>
      <c r="M548" s="1"/>
      <c r="N548" s="1"/>
      <c r="O548" s="1"/>
      <c r="P548" s="1"/>
      <c r="Q548" s="1"/>
      <c r="R548" s="1"/>
      <c r="S548" s="1"/>
      <c r="T548" s="1"/>
      <c r="U548" s="2"/>
      <c r="V548" s="1"/>
      <c r="W548" s="1"/>
      <c r="X548" s="1"/>
      <c r="Y548" s="1"/>
      <c r="Z548" s="1"/>
    </row>
    <row r="549" spans="1:26" ht="24.75" customHeight="1">
      <c r="A549" s="1"/>
      <c r="B549" s="1"/>
      <c r="C549" s="1"/>
      <c r="D549" s="1"/>
      <c r="E549" s="1"/>
      <c r="F549" s="1"/>
      <c r="G549" s="1"/>
      <c r="H549" s="1"/>
      <c r="I549" s="1"/>
      <c r="J549" s="1"/>
      <c r="K549" s="1"/>
      <c r="L549" s="1"/>
      <c r="M549" s="1"/>
      <c r="N549" s="1"/>
      <c r="O549" s="1"/>
      <c r="P549" s="1"/>
      <c r="Q549" s="1"/>
      <c r="R549" s="1"/>
      <c r="S549" s="1"/>
      <c r="T549" s="1"/>
      <c r="U549" s="2"/>
      <c r="V549" s="1"/>
      <c r="W549" s="1"/>
      <c r="X549" s="1"/>
      <c r="Y549" s="1"/>
      <c r="Z549" s="1"/>
    </row>
    <row r="550" spans="1:26" ht="24.75" customHeight="1">
      <c r="A550" s="1"/>
      <c r="B550" s="1"/>
      <c r="C550" s="1"/>
      <c r="D550" s="1"/>
      <c r="E550" s="1"/>
      <c r="F550" s="1"/>
      <c r="G550" s="1"/>
      <c r="H550" s="1"/>
      <c r="I550" s="1"/>
      <c r="J550" s="1"/>
      <c r="K550" s="1"/>
      <c r="L550" s="1"/>
      <c r="M550" s="1"/>
      <c r="N550" s="1"/>
      <c r="O550" s="1"/>
      <c r="P550" s="1"/>
      <c r="Q550" s="1"/>
      <c r="R550" s="1"/>
      <c r="S550" s="1"/>
      <c r="T550" s="1"/>
      <c r="U550" s="2"/>
      <c r="V550" s="1"/>
      <c r="W550" s="1"/>
      <c r="X550" s="1"/>
      <c r="Y550" s="1"/>
      <c r="Z550" s="1"/>
    </row>
    <row r="551" spans="1:26" ht="24.75" customHeight="1">
      <c r="A551" s="1"/>
      <c r="B551" s="1"/>
      <c r="C551" s="1"/>
      <c r="D551" s="1"/>
      <c r="E551" s="1"/>
      <c r="F551" s="1"/>
      <c r="G551" s="1"/>
      <c r="H551" s="1"/>
      <c r="I551" s="1"/>
      <c r="J551" s="1"/>
      <c r="K551" s="1"/>
      <c r="L551" s="1"/>
      <c r="M551" s="1"/>
      <c r="N551" s="1"/>
      <c r="O551" s="1"/>
      <c r="P551" s="1"/>
      <c r="Q551" s="1"/>
      <c r="R551" s="1"/>
      <c r="S551" s="1"/>
      <c r="T551" s="1"/>
      <c r="U551" s="2"/>
      <c r="V551" s="1"/>
      <c r="W551" s="1"/>
      <c r="X551" s="1"/>
      <c r="Y551" s="1"/>
      <c r="Z551" s="1"/>
    </row>
    <row r="552" spans="1:26" ht="24.75" customHeight="1">
      <c r="A552" s="1"/>
      <c r="B552" s="1"/>
      <c r="C552" s="1"/>
      <c r="D552" s="1"/>
      <c r="E552" s="1"/>
      <c r="F552" s="1"/>
      <c r="G552" s="1"/>
      <c r="H552" s="1"/>
      <c r="I552" s="1"/>
      <c r="J552" s="1"/>
      <c r="K552" s="1"/>
      <c r="L552" s="1"/>
      <c r="M552" s="1"/>
      <c r="N552" s="1"/>
      <c r="O552" s="1"/>
      <c r="P552" s="1"/>
      <c r="Q552" s="1"/>
      <c r="R552" s="1"/>
      <c r="S552" s="1"/>
      <c r="T552" s="1"/>
      <c r="U552" s="2"/>
      <c r="V552" s="1"/>
      <c r="W552" s="1"/>
      <c r="X552" s="1"/>
      <c r="Y552" s="1"/>
      <c r="Z552" s="1"/>
    </row>
    <row r="553" spans="1:26" ht="24.75" customHeight="1">
      <c r="A553" s="1"/>
      <c r="B553" s="1"/>
      <c r="C553" s="1"/>
      <c r="D553" s="1"/>
      <c r="E553" s="1"/>
      <c r="F553" s="1"/>
      <c r="G553" s="1"/>
      <c r="H553" s="1"/>
      <c r="I553" s="1"/>
      <c r="J553" s="1"/>
      <c r="K553" s="1"/>
      <c r="L553" s="1"/>
      <c r="M553" s="1"/>
      <c r="N553" s="1"/>
      <c r="O553" s="1"/>
      <c r="P553" s="1"/>
      <c r="Q553" s="1"/>
      <c r="R553" s="1"/>
      <c r="S553" s="1"/>
      <c r="T553" s="1"/>
      <c r="U553" s="2"/>
      <c r="V553" s="1"/>
      <c r="W553" s="1"/>
      <c r="X553" s="1"/>
      <c r="Y553" s="1"/>
      <c r="Z553" s="1"/>
    </row>
    <row r="554" spans="1:26" ht="24.75" customHeight="1">
      <c r="A554" s="1"/>
      <c r="B554" s="1"/>
      <c r="C554" s="1"/>
      <c r="D554" s="1"/>
      <c r="E554" s="1"/>
      <c r="F554" s="1"/>
      <c r="G554" s="1"/>
      <c r="H554" s="1"/>
      <c r="I554" s="1"/>
      <c r="J554" s="1"/>
      <c r="K554" s="1"/>
      <c r="L554" s="1"/>
      <c r="M554" s="1"/>
      <c r="N554" s="1"/>
      <c r="O554" s="1"/>
      <c r="P554" s="1"/>
      <c r="Q554" s="1"/>
      <c r="R554" s="1"/>
      <c r="S554" s="1"/>
      <c r="T554" s="1"/>
      <c r="U554" s="2"/>
      <c r="V554" s="1"/>
      <c r="W554" s="1"/>
      <c r="X554" s="1"/>
      <c r="Y554" s="1"/>
      <c r="Z554" s="1"/>
    </row>
    <row r="555" spans="1:26" ht="24.75" customHeight="1">
      <c r="A555" s="1"/>
      <c r="B555" s="1"/>
      <c r="C555" s="1"/>
      <c r="D555" s="1"/>
      <c r="E555" s="1"/>
      <c r="F555" s="1"/>
      <c r="G555" s="1"/>
      <c r="H555" s="1"/>
      <c r="I555" s="1"/>
      <c r="J555" s="1"/>
      <c r="K555" s="1"/>
      <c r="L555" s="1"/>
      <c r="M555" s="1"/>
      <c r="N555" s="1"/>
      <c r="O555" s="1"/>
      <c r="P555" s="1"/>
      <c r="Q555" s="1"/>
      <c r="R555" s="1"/>
      <c r="S555" s="1"/>
      <c r="T555" s="1"/>
      <c r="U555" s="2"/>
      <c r="V555" s="1"/>
      <c r="W555" s="1"/>
      <c r="X555" s="1"/>
      <c r="Y555" s="1"/>
      <c r="Z555" s="1"/>
    </row>
    <row r="556" spans="1:26" ht="24.75" customHeight="1">
      <c r="A556" s="1"/>
      <c r="B556" s="1"/>
      <c r="C556" s="1"/>
      <c r="D556" s="1"/>
      <c r="E556" s="1"/>
      <c r="F556" s="1"/>
      <c r="G556" s="1"/>
      <c r="H556" s="1"/>
      <c r="I556" s="1"/>
      <c r="J556" s="1"/>
      <c r="K556" s="1"/>
      <c r="L556" s="1"/>
      <c r="M556" s="1"/>
      <c r="N556" s="1"/>
      <c r="O556" s="1"/>
      <c r="P556" s="1"/>
      <c r="Q556" s="1"/>
      <c r="R556" s="1"/>
      <c r="S556" s="1"/>
      <c r="T556" s="1"/>
      <c r="U556" s="2"/>
      <c r="V556" s="1"/>
      <c r="W556" s="1"/>
      <c r="X556" s="1"/>
      <c r="Y556" s="1"/>
      <c r="Z556" s="1"/>
    </row>
    <row r="557" spans="1:26" ht="24.75" customHeight="1">
      <c r="A557" s="1"/>
      <c r="B557" s="1"/>
      <c r="C557" s="1"/>
      <c r="D557" s="1"/>
      <c r="E557" s="1"/>
      <c r="F557" s="1"/>
      <c r="G557" s="1"/>
      <c r="H557" s="1"/>
      <c r="I557" s="1"/>
      <c r="J557" s="1"/>
      <c r="K557" s="1"/>
      <c r="L557" s="1"/>
      <c r="M557" s="1"/>
      <c r="N557" s="1"/>
      <c r="O557" s="1"/>
      <c r="P557" s="1"/>
      <c r="Q557" s="1"/>
      <c r="R557" s="1"/>
      <c r="S557" s="1"/>
      <c r="T557" s="1"/>
      <c r="U557" s="2"/>
      <c r="V557" s="1"/>
      <c r="W557" s="1"/>
      <c r="X557" s="1"/>
      <c r="Y557" s="1"/>
      <c r="Z557" s="1"/>
    </row>
    <row r="558" spans="1:26" ht="24.75" customHeight="1">
      <c r="A558" s="1"/>
      <c r="B558" s="1"/>
      <c r="C558" s="1"/>
      <c r="D558" s="1"/>
      <c r="E558" s="1"/>
      <c r="F558" s="1"/>
      <c r="G558" s="1"/>
      <c r="H558" s="1"/>
      <c r="I558" s="1"/>
      <c r="J558" s="1"/>
      <c r="K558" s="1"/>
      <c r="L558" s="1"/>
      <c r="M558" s="1"/>
      <c r="N558" s="1"/>
      <c r="O558" s="1"/>
      <c r="P558" s="1"/>
      <c r="Q558" s="1"/>
      <c r="R558" s="1"/>
      <c r="S558" s="1"/>
      <c r="T558" s="1"/>
      <c r="U558" s="2"/>
      <c r="V558" s="1"/>
      <c r="W558" s="1"/>
      <c r="X558" s="1"/>
      <c r="Y558" s="1"/>
      <c r="Z558" s="1"/>
    </row>
    <row r="559" spans="1:26" ht="24.75" customHeight="1">
      <c r="A559" s="1"/>
      <c r="B559" s="1"/>
      <c r="C559" s="1"/>
      <c r="D559" s="1"/>
      <c r="E559" s="1"/>
      <c r="F559" s="1"/>
      <c r="G559" s="1"/>
      <c r="H559" s="1"/>
      <c r="I559" s="1"/>
      <c r="J559" s="1"/>
      <c r="K559" s="1"/>
      <c r="L559" s="1"/>
      <c r="M559" s="1"/>
      <c r="N559" s="1"/>
      <c r="O559" s="1"/>
      <c r="P559" s="1"/>
      <c r="Q559" s="1"/>
      <c r="R559" s="1"/>
      <c r="S559" s="1"/>
      <c r="T559" s="1"/>
      <c r="U559" s="2"/>
      <c r="V559" s="1"/>
      <c r="W559" s="1"/>
      <c r="X559" s="1"/>
      <c r="Y559" s="1"/>
      <c r="Z559" s="1"/>
    </row>
    <row r="560" spans="1:26" ht="24.75" customHeight="1">
      <c r="A560" s="1"/>
      <c r="B560" s="1"/>
      <c r="C560" s="1"/>
      <c r="D560" s="1"/>
      <c r="E560" s="1"/>
      <c r="F560" s="1"/>
      <c r="G560" s="1"/>
      <c r="H560" s="1"/>
      <c r="I560" s="1"/>
      <c r="J560" s="1"/>
      <c r="K560" s="1"/>
      <c r="L560" s="1"/>
      <c r="M560" s="1"/>
      <c r="N560" s="1"/>
      <c r="O560" s="1"/>
      <c r="P560" s="1"/>
      <c r="Q560" s="1"/>
      <c r="R560" s="1"/>
      <c r="S560" s="1"/>
      <c r="T560" s="1"/>
      <c r="U560" s="2"/>
      <c r="V560" s="1"/>
      <c r="W560" s="1"/>
      <c r="X560" s="1"/>
      <c r="Y560" s="1"/>
      <c r="Z560" s="1"/>
    </row>
    <row r="561" spans="1:26" ht="24.75" customHeight="1">
      <c r="A561" s="1"/>
      <c r="B561" s="1"/>
      <c r="C561" s="1"/>
      <c r="D561" s="1"/>
      <c r="E561" s="1"/>
      <c r="F561" s="1"/>
      <c r="G561" s="1"/>
      <c r="H561" s="1"/>
      <c r="I561" s="1"/>
      <c r="J561" s="1"/>
      <c r="K561" s="1"/>
      <c r="L561" s="1"/>
      <c r="M561" s="1"/>
      <c r="N561" s="1"/>
      <c r="O561" s="1"/>
      <c r="P561" s="1"/>
      <c r="Q561" s="1"/>
      <c r="R561" s="1"/>
      <c r="S561" s="1"/>
      <c r="T561" s="1"/>
      <c r="U561" s="2"/>
      <c r="V561" s="1"/>
      <c r="W561" s="1"/>
      <c r="X561" s="1"/>
      <c r="Y561" s="1"/>
      <c r="Z561" s="1"/>
    </row>
    <row r="562" spans="1:26" ht="24.75" customHeight="1">
      <c r="A562" s="1"/>
      <c r="B562" s="1"/>
      <c r="C562" s="1"/>
      <c r="D562" s="1"/>
      <c r="E562" s="1"/>
      <c r="F562" s="1"/>
      <c r="G562" s="1"/>
      <c r="H562" s="1"/>
      <c r="I562" s="1"/>
      <c r="J562" s="1"/>
      <c r="K562" s="1"/>
      <c r="L562" s="1"/>
      <c r="M562" s="1"/>
      <c r="N562" s="1"/>
      <c r="O562" s="1"/>
      <c r="P562" s="1"/>
      <c r="Q562" s="1"/>
      <c r="R562" s="1"/>
      <c r="S562" s="1"/>
      <c r="T562" s="1"/>
      <c r="U562" s="2"/>
      <c r="V562" s="1"/>
      <c r="W562" s="1"/>
      <c r="X562" s="1"/>
      <c r="Y562" s="1"/>
      <c r="Z562" s="1"/>
    </row>
    <row r="563" spans="1:26" ht="24.75" customHeight="1">
      <c r="A563" s="1"/>
      <c r="B563" s="1"/>
      <c r="C563" s="1"/>
      <c r="D563" s="1"/>
      <c r="E563" s="1"/>
      <c r="F563" s="1"/>
      <c r="G563" s="1"/>
      <c r="H563" s="1"/>
      <c r="I563" s="1"/>
      <c r="J563" s="1"/>
      <c r="K563" s="1"/>
      <c r="L563" s="1"/>
      <c r="M563" s="1"/>
      <c r="N563" s="1"/>
      <c r="O563" s="1"/>
      <c r="P563" s="1"/>
      <c r="Q563" s="1"/>
      <c r="R563" s="1"/>
      <c r="S563" s="1"/>
      <c r="T563" s="1"/>
      <c r="U563" s="2"/>
      <c r="V563" s="1"/>
      <c r="W563" s="1"/>
      <c r="X563" s="1"/>
      <c r="Y563" s="1"/>
      <c r="Z563" s="1"/>
    </row>
    <row r="564" spans="1:26" ht="24.75" customHeight="1">
      <c r="A564" s="1"/>
      <c r="B564" s="1"/>
      <c r="C564" s="1"/>
      <c r="D564" s="1"/>
      <c r="E564" s="1"/>
      <c r="F564" s="1"/>
      <c r="G564" s="1"/>
      <c r="H564" s="1"/>
      <c r="I564" s="1"/>
      <c r="J564" s="1"/>
      <c r="K564" s="1"/>
      <c r="L564" s="1"/>
      <c r="M564" s="1"/>
      <c r="N564" s="1"/>
      <c r="O564" s="1"/>
      <c r="P564" s="1"/>
      <c r="Q564" s="1"/>
      <c r="R564" s="1"/>
      <c r="S564" s="1"/>
      <c r="T564" s="1"/>
      <c r="U564" s="2"/>
      <c r="V564" s="1"/>
      <c r="W564" s="1"/>
      <c r="X564" s="1"/>
      <c r="Y564" s="1"/>
      <c r="Z564" s="1"/>
    </row>
    <row r="565" spans="1:26" ht="24.75" customHeight="1">
      <c r="A565" s="1"/>
      <c r="B565" s="1"/>
      <c r="C565" s="1"/>
      <c r="D565" s="1"/>
      <c r="E565" s="1"/>
      <c r="F565" s="1"/>
      <c r="G565" s="1"/>
      <c r="H565" s="1"/>
      <c r="I565" s="1"/>
      <c r="J565" s="1"/>
      <c r="K565" s="1"/>
      <c r="L565" s="1"/>
      <c r="M565" s="1"/>
      <c r="N565" s="1"/>
      <c r="O565" s="1"/>
      <c r="P565" s="1"/>
      <c r="Q565" s="1"/>
      <c r="R565" s="1"/>
      <c r="S565" s="1"/>
      <c r="T565" s="1"/>
      <c r="U565" s="2"/>
      <c r="V565" s="1"/>
      <c r="W565" s="1"/>
      <c r="X565" s="1"/>
      <c r="Y565" s="1"/>
      <c r="Z565" s="1"/>
    </row>
    <row r="566" spans="1:26" ht="24.75" customHeight="1">
      <c r="A566" s="1"/>
      <c r="B566" s="1"/>
      <c r="C566" s="1"/>
      <c r="D566" s="1"/>
      <c r="E566" s="1"/>
      <c r="F566" s="1"/>
      <c r="G566" s="1"/>
      <c r="H566" s="1"/>
      <c r="I566" s="1"/>
      <c r="J566" s="1"/>
      <c r="K566" s="1"/>
      <c r="L566" s="1"/>
      <c r="M566" s="1"/>
      <c r="N566" s="1"/>
      <c r="O566" s="1"/>
      <c r="P566" s="1"/>
      <c r="Q566" s="1"/>
      <c r="R566" s="1"/>
      <c r="S566" s="1"/>
      <c r="T566" s="1"/>
      <c r="U566" s="2"/>
      <c r="V566" s="1"/>
      <c r="W566" s="1"/>
      <c r="X566" s="1"/>
      <c r="Y566" s="1"/>
      <c r="Z566" s="1"/>
    </row>
    <row r="567" spans="1:26" ht="24.75" customHeight="1">
      <c r="A567" s="1"/>
      <c r="B567" s="1"/>
      <c r="C567" s="1"/>
      <c r="D567" s="1"/>
      <c r="E567" s="1"/>
      <c r="F567" s="1"/>
      <c r="G567" s="1"/>
      <c r="H567" s="1"/>
      <c r="I567" s="1"/>
      <c r="J567" s="1"/>
      <c r="K567" s="1"/>
      <c r="L567" s="1"/>
      <c r="M567" s="1"/>
      <c r="N567" s="1"/>
      <c r="O567" s="1"/>
      <c r="P567" s="1"/>
      <c r="Q567" s="1"/>
      <c r="R567" s="1"/>
      <c r="S567" s="1"/>
      <c r="T567" s="1"/>
      <c r="U567" s="2"/>
      <c r="V567" s="1"/>
      <c r="W567" s="1"/>
      <c r="X567" s="1"/>
      <c r="Y567" s="1"/>
      <c r="Z567" s="1"/>
    </row>
    <row r="568" spans="1:26" ht="24.75" customHeight="1">
      <c r="A568" s="1"/>
      <c r="B568" s="1"/>
      <c r="C568" s="1"/>
      <c r="D568" s="1"/>
      <c r="E568" s="1"/>
      <c r="F568" s="1"/>
      <c r="G568" s="1"/>
      <c r="H568" s="1"/>
      <c r="I568" s="1"/>
      <c r="J568" s="1"/>
      <c r="K568" s="1"/>
      <c r="L568" s="1"/>
      <c r="M568" s="1"/>
      <c r="N568" s="1"/>
      <c r="O568" s="1"/>
      <c r="P568" s="1"/>
      <c r="Q568" s="1"/>
      <c r="R568" s="1"/>
      <c r="S568" s="1"/>
      <c r="T568" s="1"/>
      <c r="U568" s="2"/>
      <c r="V568" s="1"/>
      <c r="W568" s="1"/>
      <c r="X568" s="1"/>
      <c r="Y568" s="1"/>
      <c r="Z568" s="1"/>
    </row>
    <row r="569" spans="1:26" ht="24.75" customHeight="1">
      <c r="A569" s="1"/>
      <c r="B569" s="1"/>
      <c r="C569" s="1"/>
      <c r="D569" s="1"/>
      <c r="E569" s="1"/>
      <c r="F569" s="1"/>
      <c r="G569" s="1"/>
      <c r="H569" s="1"/>
      <c r="I569" s="1"/>
      <c r="J569" s="1"/>
      <c r="K569" s="1"/>
      <c r="L569" s="1"/>
      <c r="M569" s="1"/>
      <c r="N569" s="1"/>
      <c r="O569" s="1"/>
      <c r="P569" s="1"/>
      <c r="Q569" s="1"/>
      <c r="R569" s="1"/>
      <c r="S569" s="1"/>
      <c r="T569" s="1"/>
      <c r="U569" s="2"/>
      <c r="V569" s="1"/>
      <c r="W569" s="1"/>
      <c r="X569" s="1"/>
      <c r="Y569" s="1"/>
      <c r="Z569" s="1"/>
    </row>
    <row r="570" spans="1:26" ht="24.75" customHeight="1">
      <c r="A570" s="1"/>
      <c r="B570" s="1"/>
      <c r="C570" s="1"/>
      <c r="D570" s="1"/>
      <c r="E570" s="1"/>
      <c r="F570" s="1"/>
      <c r="G570" s="1"/>
      <c r="H570" s="1"/>
      <c r="I570" s="1"/>
      <c r="J570" s="1"/>
      <c r="K570" s="1"/>
      <c r="L570" s="1"/>
      <c r="M570" s="1"/>
      <c r="N570" s="1"/>
      <c r="O570" s="1"/>
      <c r="P570" s="1"/>
      <c r="Q570" s="1"/>
      <c r="R570" s="1"/>
      <c r="S570" s="1"/>
      <c r="T570" s="1"/>
      <c r="U570" s="2"/>
      <c r="V570" s="1"/>
      <c r="W570" s="1"/>
      <c r="X570" s="1"/>
      <c r="Y570" s="1"/>
      <c r="Z570" s="1"/>
    </row>
    <row r="571" spans="1:26" ht="24.75" customHeight="1">
      <c r="A571" s="1"/>
      <c r="B571" s="1"/>
      <c r="C571" s="1"/>
      <c r="D571" s="1"/>
      <c r="E571" s="1"/>
      <c r="F571" s="1"/>
      <c r="G571" s="1"/>
      <c r="H571" s="1"/>
      <c r="I571" s="1"/>
      <c r="J571" s="1"/>
      <c r="K571" s="1"/>
      <c r="L571" s="1"/>
      <c r="M571" s="1"/>
      <c r="N571" s="1"/>
      <c r="O571" s="1"/>
      <c r="P571" s="1"/>
      <c r="Q571" s="1"/>
      <c r="R571" s="1"/>
      <c r="S571" s="1"/>
      <c r="T571" s="1"/>
      <c r="U571" s="2"/>
      <c r="V571" s="1"/>
      <c r="W571" s="1"/>
      <c r="X571" s="1"/>
      <c r="Y571" s="1"/>
      <c r="Z571" s="1"/>
    </row>
    <row r="572" spans="1:26" ht="24.75" customHeight="1">
      <c r="A572" s="1"/>
      <c r="B572" s="1"/>
      <c r="C572" s="1"/>
      <c r="D572" s="1"/>
      <c r="E572" s="1"/>
      <c r="F572" s="1"/>
      <c r="G572" s="1"/>
      <c r="H572" s="1"/>
      <c r="I572" s="1"/>
      <c r="J572" s="1"/>
      <c r="K572" s="1"/>
      <c r="L572" s="1"/>
      <c r="M572" s="1"/>
      <c r="N572" s="1"/>
      <c r="O572" s="1"/>
      <c r="P572" s="1"/>
      <c r="Q572" s="1"/>
      <c r="R572" s="1"/>
      <c r="S572" s="1"/>
      <c r="T572" s="1"/>
      <c r="U572" s="2"/>
      <c r="V572" s="1"/>
      <c r="W572" s="1"/>
      <c r="X572" s="1"/>
      <c r="Y572" s="1"/>
      <c r="Z572" s="1"/>
    </row>
    <row r="573" spans="1:26" ht="24.75" customHeight="1">
      <c r="A573" s="1"/>
      <c r="B573" s="1"/>
      <c r="C573" s="1"/>
      <c r="D573" s="1"/>
      <c r="E573" s="1"/>
      <c r="F573" s="1"/>
      <c r="G573" s="1"/>
      <c r="H573" s="1"/>
      <c r="I573" s="1"/>
      <c r="J573" s="1"/>
      <c r="K573" s="1"/>
      <c r="L573" s="1"/>
      <c r="M573" s="1"/>
      <c r="N573" s="1"/>
      <c r="O573" s="1"/>
      <c r="P573" s="1"/>
      <c r="Q573" s="1"/>
      <c r="R573" s="1"/>
      <c r="S573" s="1"/>
      <c r="T573" s="1"/>
      <c r="U573" s="2"/>
      <c r="V573" s="1"/>
      <c r="W573" s="1"/>
      <c r="X573" s="1"/>
      <c r="Y573" s="1"/>
      <c r="Z573" s="1"/>
    </row>
    <row r="574" spans="1:26" ht="24.75" customHeight="1">
      <c r="A574" s="1"/>
      <c r="B574" s="1"/>
      <c r="C574" s="1"/>
      <c r="D574" s="1"/>
      <c r="E574" s="1"/>
      <c r="F574" s="1"/>
      <c r="G574" s="1"/>
      <c r="H574" s="1"/>
      <c r="I574" s="1"/>
      <c r="J574" s="1"/>
      <c r="K574" s="1"/>
      <c r="L574" s="1"/>
      <c r="M574" s="1"/>
      <c r="N574" s="1"/>
      <c r="O574" s="1"/>
      <c r="P574" s="1"/>
      <c r="Q574" s="1"/>
      <c r="R574" s="1"/>
      <c r="S574" s="1"/>
      <c r="T574" s="1"/>
      <c r="U574" s="2"/>
      <c r="V574" s="1"/>
      <c r="W574" s="1"/>
      <c r="X574" s="1"/>
      <c r="Y574" s="1"/>
      <c r="Z574" s="1"/>
    </row>
    <row r="575" spans="1:26" ht="24.75" customHeight="1">
      <c r="A575" s="1"/>
      <c r="B575" s="1"/>
      <c r="C575" s="1"/>
      <c r="D575" s="1"/>
      <c r="E575" s="1"/>
      <c r="F575" s="1"/>
      <c r="G575" s="1"/>
      <c r="H575" s="1"/>
      <c r="I575" s="1"/>
      <c r="J575" s="1"/>
      <c r="K575" s="1"/>
      <c r="L575" s="1"/>
      <c r="M575" s="1"/>
      <c r="N575" s="1"/>
      <c r="O575" s="1"/>
      <c r="P575" s="1"/>
      <c r="Q575" s="1"/>
      <c r="R575" s="1"/>
      <c r="S575" s="1"/>
      <c r="T575" s="1"/>
      <c r="U575" s="2"/>
      <c r="V575" s="1"/>
      <c r="W575" s="1"/>
      <c r="X575" s="1"/>
      <c r="Y575" s="1"/>
      <c r="Z575" s="1"/>
    </row>
    <row r="576" spans="1:26" ht="24.75" customHeight="1">
      <c r="A576" s="1"/>
      <c r="B576" s="1"/>
      <c r="C576" s="1"/>
      <c r="D576" s="1"/>
      <c r="E576" s="1"/>
      <c r="F576" s="1"/>
      <c r="G576" s="1"/>
      <c r="H576" s="1"/>
      <c r="I576" s="1"/>
      <c r="J576" s="1"/>
      <c r="K576" s="1"/>
      <c r="L576" s="1"/>
      <c r="M576" s="1"/>
      <c r="N576" s="1"/>
      <c r="O576" s="1"/>
      <c r="P576" s="1"/>
      <c r="Q576" s="1"/>
      <c r="R576" s="1"/>
      <c r="S576" s="1"/>
      <c r="T576" s="1"/>
      <c r="U576" s="2"/>
      <c r="V576" s="1"/>
      <c r="W576" s="1"/>
      <c r="X576" s="1"/>
      <c r="Y576" s="1"/>
      <c r="Z576" s="1"/>
    </row>
    <row r="577" spans="1:26" ht="24.75" customHeight="1">
      <c r="A577" s="1"/>
      <c r="B577" s="1"/>
      <c r="C577" s="1"/>
      <c r="D577" s="1"/>
      <c r="E577" s="1"/>
      <c r="F577" s="1"/>
      <c r="G577" s="1"/>
      <c r="H577" s="1"/>
      <c r="I577" s="1"/>
      <c r="J577" s="1"/>
      <c r="K577" s="1"/>
      <c r="L577" s="1"/>
      <c r="M577" s="1"/>
      <c r="N577" s="1"/>
      <c r="O577" s="1"/>
      <c r="P577" s="1"/>
      <c r="Q577" s="1"/>
      <c r="R577" s="1"/>
      <c r="S577" s="1"/>
      <c r="T577" s="1"/>
      <c r="U577" s="2"/>
      <c r="V577" s="1"/>
      <c r="W577" s="1"/>
      <c r="X577" s="1"/>
      <c r="Y577" s="1"/>
      <c r="Z577" s="1"/>
    </row>
    <row r="578" spans="1:26" ht="24.75" customHeight="1">
      <c r="A578" s="1"/>
      <c r="B578" s="1"/>
      <c r="C578" s="1"/>
      <c r="D578" s="1"/>
      <c r="E578" s="1"/>
      <c r="F578" s="1"/>
      <c r="G578" s="1"/>
      <c r="H578" s="1"/>
      <c r="I578" s="1"/>
      <c r="J578" s="1"/>
      <c r="K578" s="1"/>
      <c r="L578" s="1"/>
      <c r="M578" s="1"/>
      <c r="N578" s="1"/>
      <c r="O578" s="1"/>
      <c r="P578" s="1"/>
      <c r="Q578" s="1"/>
      <c r="R578" s="1"/>
      <c r="S578" s="1"/>
      <c r="T578" s="1"/>
      <c r="U578" s="2"/>
      <c r="V578" s="1"/>
      <c r="W578" s="1"/>
      <c r="X578" s="1"/>
      <c r="Y578" s="1"/>
      <c r="Z578" s="1"/>
    </row>
    <row r="579" spans="1:26" ht="24.75" customHeight="1">
      <c r="A579" s="1"/>
      <c r="B579" s="1"/>
      <c r="C579" s="1"/>
      <c r="D579" s="1"/>
      <c r="E579" s="1"/>
      <c r="F579" s="1"/>
      <c r="G579" s="1"/>
      <c r="H579" s="1"/>
      <c r="I579" s="1"/>
      <c r="J579" s="1"/>
      <c r="K579" s="1"/>
      <c r="L579" s="1"/>
      <c r="M579" s="1"/>
      <c r="N579" s="1"/>
      <c r="O579" s="1"/>
      <c r="P579" s="1"/>
      <c r="Q579" s="1"/>
      <c r="R579" s="1"/>
      <c r="S579" s="1"/>
      <c r="T579" s="1"/>
      <c r="U579" s="2"/>
      <c r="V579" s="1"/>
      <c r="W579" s="1"/>
      <c r="X579" s="1"/>
      <c r="Y579" s="1"/>
      <c r="Z579" s="1"/>
    </row>
    <row r="580" spans="1:26" ht="24.75" customHeight="1">
      <c r="A580" s="1"/>
      <c r="B580" s="1"/>
      <c r="C580" s="1"/>
      <c r="D580" s="1"/>
      <c r="E580" s="1"/>
      <c r="F580" s="1"/>
      <c r="G580" s="1"/>
      <c r="H580" s="1"/>
      <c r="I580" s="1"/>
      <c r="J580" s="1"/>
      <c r="K580" s="1"/>
      <c r="L580" s="1"/>
      <c r="M580" s="1"/>
      <c r="N580" s="1"/>
      <c r="O580" s="1"/>
      <c r="P580" s="1"/>
      <c r="Q580" s="1"/>
      <c r="R580" s="1"/>
      <c r="S580" s="1"/>
      <c r="T580" s="1"/>
      <c r="U580" s="2"/>
      <c r="V580" s="1"/>
      <c r="W580" s="1"/>
      <c r="X580" s="1"/>
      <c r="Y580" s="1"/>
      <c r="Z580" s="1"/>
    </row>
    <row r="581" spans="1:26" ht="24.75" customHeight="1">
      <c r="A581" s="1"/>
      <c r="B581" s="1"/>
      <c r="C581" s="1"/>
      <c r="D581" s="1"/>
      <c r="E581" s="1"/>
      <c r="F581" s="1"/>
      <c r="G581" s="1"/>
      <c r="H581" s="1"/>
      <c r="I581" s="1"/>
      <c r="J581" s="1"/>
      <c r="K581" s="1"/>
      <c r="L581" s="1"/>
      <c r="M581" s="1"/>
      <c r="N581" s="1"/>
      <c r="O581" s="1"/>
      <c r="P581" s="1"/>
      <c r="Q581" s="1"/>
      <c r="R581" s="1"/>
      <c r="S581" s="1"/>
      <c r="T581" s="1"/>
      <c r="U581" s="2"/>
      <c r="V581" s="1"/>
      <c r="W581" s="1"/>
      <c r="X581" s="1"/>
      <c r="Y581" s="1"/>
      <c r="Z581" s="1"/>
    </row>
    <row r="582" spans="1:26" ht="24.75" customHeight="1">
      <c r="A582" s="1"/>
      <c r="B582" s="1"/>
      <c r="C582" s="1"/>
      <c r="D582" s="1"/>
      <c r="E582" s="1"/>
      <c r="F582" s="1"/>
      <c r="G582" s="1"/>
      <c r="H582" s="1"/>
      <c r="I582" s="1"/>
      <c r="J582" s="1"/>
      <c r="K582" s="1"/>
      <c r="L582" s="1"/>
      <c r="M582" s="1"/>
      <c r="N582" s="1"/>
      <c r="O582" s="1"/>
      <c r="P582" s="1"/>
      <c r="Q582" s="1"/>
      <c r="R582" s="1"/>
      <c r="S582" s="1"/>
      <c r="T582" s="1"/>
      <c r="U582" s="2"/>
      <c r="V582" s="1"/>
      <c r="W582" s="1"/>
      <c r="X582" s="1"/>
      <c r="Y582" s="1"/>
      <c r="Z582" s="1"/>
    </row>
    <row r="583" spans="1:26" ht="24.75" customHeight="1">
      <c r="A583" s="1"/>
      <c r="B583" s="1"/>
      <c r="C583" s="1"/>
      <c r="D583" s="1"/>
      <c r="E583" s="1"/>
      <c r="F583" s="1"/>
      <c r="G583" s="1"/>
      <c r="H583" s="1"/>
      <c r="I583" s="1"/>
      <c r="J583" s="1"/>
      <c r="K583" s="1"/>
      <c r="L583" s="1"/>
      <c r="M583" s="1"/>
      <c r="N583" s="1"/>
      <c r="O583" s="1"/>
      <c r="P583" s="1"/>
      <c r="Q583" s="1"/>
      <c r="R583" s="1"/>
      <c r="S583" s="1"/>
      <c r="T583" s="1"/>
      <c r="U583" s="2"/>
      <c r="V583" s="1"/>
      <c r="W583" s="1"/>
      <c r="X583" s="1"/>
      <c r="Y583" s="1"/>
      <c r="Z583" s="1"/>
    </row>
    <row r="584" spans="1:26" ht="24.75" customHeight="1">
      <c r="A584" s="1"/>
      <c r="B584" s="1"/>
      <c r="C584" s="1"/>
      <c r="D584" s="1"/>
      <c r="E584" s="1"/>
      <c r="F584" s="1"/>
      <c r="G584" s="1"/>
      <c r="H584" s="1"/>
      <c r="I584" s="1"/>
      <c r="J584" s="1"/>
      <c r="K584" s="1"/>
      <c r="L584" s="1"/>
      <c r="M584" s="1"/>
      <c r="N584" s="1"/>
      <c r="O584" s="1"/>
      <c r="P584" s="1"/>
      <c r="Q584" s="1"/>
      <c r="R584" s="1"/>
      <c r="S584" s="1"/>
      <c r="T584" s="1"/>
      <c r="U584" s="2"/>
      <c r="V584" s="1"/>
      <c r="W584" s="1"/>
      <c r="X584" s="1"/>
      <c r="Y584" s="1"/>
      <c r="Z584" s="1"/>
    </row>
    <row r="585" spans="1:26" ht="24.75" customHeight="1">
      <c r="A585" s="1"/>
      <c r="B585" s="1"/>
      <c r="C585" s="1"/>
      <c r="D585" s="1"/>
      <c r="E585" s="1"/>
      <c r="F585" s="1"/>
      <c r="G585" s="1"/>
      <c r="H585" s="1"/>
      <c r="I585" s="1"/>
      <c r="J585" s="1"/>
      <c r="K585" s="1"/>
      <c r="L585" s="1"/>
      <c r="M585" s="1"/>
      <c r="N585" s="1"/>
      <c r="O585" s="1"/>
      <c r="P585" s="1"/>
      <c r="Q585" s="1"/>
      <c r="R585" s="1"/>
      <c r="S585" s="1"/>
      <c r="T585" s="1"/>
      <c r="U585" s="2"/>
      <c r="V585" s="1"/>
      <c r="W585" s="1"/>
      <c r="X585" s="1"/>
      <c r="Y585" s="1"/>
      <c r="Z585" s="1"/>
    </row>
    <row r="586" spans="1:26" ht="24.75" customHeight="1">
      <c r="A586" s="1"/>
      <c r="B586" s="1"/>
      <c r="C586" s="1"/>
      <c r="D586" s="1"/>
      <c r="E586" s="1"/>
      <c r="F586" s="1"/>
      <c r="G586" s="1"/>
      <c r="H586" s="1"/>
      <c r="I586" s="1"/>
      <c r="J586" s="1"/>
      <c r="K586" s="1"/>
      <c r="L586" s="1"/>
      <c r="M586" s="1"/>
      <c r="N586" s="1"/>
      <c r="O586" s="1"/>
      <c r="P586" s="1"/>
      <c r="Q586" s="1"/>
      <c r="R586" s="1"/>
      <c r="S586" s="1"/>
      <c r="T586" s="1"/>
      <c r="U586" s="2"/>
      <c r="V586" s="1"/>
      <c r="W586" s="1"/>
      <c r="X586" s="1"/>
      <c r="Y586" s="1"/>
      <c r="Z586" s="1"/>
    </row>
    <row r="587" spans="1:26" ht="24.75" customHeight="1">
      <c r="A587" s="1"/>
      <c r="B587" s="1"/>
      <c r="C587" s="1"/>
      <c r="D587" s="1"/>
      <c r="E587" s="1"/>
      <c r="F587" s="1"/>
      <c r="G587" s="1"/>
      <c r="H587" s="1"/>
      <c r="I587" s="1"/>
      <c r="J587" s="1"/>
      <c r="K587" s="1"/>
      <c r="L587" s="1"/>
      <c r="M587" s="1"/>
      <c r="N587" s="1"/>
      <c r="O587" s="1"/>
      <c r="P587" s="1"/>
      <c r="Q587" s="1"/>
      <c r="R587" s="1"/>
      <c r="S587" s="1"/>
      <c r="T587" s="1"/>
      <c r="U587" s="2"/>
      <c r="V587" s="1"/>
      <c r="W587" s="1"/>
      <c r="X587" s="1"/>
      <c r="Y587" s="1"/>
      <c r="Z587" s="1"/>
    </row>
    <row r="588" spans="1:26" ht="24.75" customHeight="1">
      <c r="A588" s="1"/>
      <c r="B588" s="1"/>
      <c r="C588" s="1"/>
      <c r="D588" s="1"/>
      <c r="E588" s="1"/>
      <c r="F588" s="1"/>
      <c r="G588" s="1"/>
      <c r="H588" s="1"/>
      <c r="I588" s="1"/>
      <c r="J588" s="1"/>
      <c r="K588" s="1"/>
      <c r="L588" s="1"/>
      <c r="M588" s="1"/>
      <c r="N588" s="1"/>
      <c r="O588" s="1"/>
      <c r="P588" s="1"/>
      <c r="Q588" s="1"/>
      <c r="R588" s="1"/>
      <c r="S588" s="1"/>
      <c r="T588" s="1"/>
      <c r="U588" s="2"/>
      <c r="V588" s="1"/>
      <c r="W588" s="1"/>
      <c r="X588" s="1"/>
      <c r="Y588" s="1"/>
      <c r="Z588" s="1"/>
    </row>
    <row r="589" spans="1:26" ht="24.75" customHeight="1">
      <c r="A589" s="1"/>
      <c r="B589" s="1"/>
      <c r="C589" s="1"/>
      <c r="D589" s="1"/>
      <c r="E589" s="1"/>
      <c r="F589" s="1"/>
      <c r="G589" s="1"/>
      <c r="H589" s="1"/>
      <c r="I589" s="1"/>
      <c r="J589" s="1"/>
      <c r="K589" s="1"/>
      <c r="L589" s="1"/>
      <c r="M589" s="1"/>
      <c r="N589" s="1"/>
      <c r="O589" s="1"/>
      <c r="P589" s="1"/>
      <c r="Q589" s="1"/>
      <c r="R589" s="1"/>
      <c r="S589" s="1"/>
      <c r="T589" s="1"/>
      <c r="U589" s="2"/>
      <c r="V589" s="1"/>
      <c r="W589" s="1"/>
      <c r="X589" s="1"/>
      <c r="Y589" s="1"/>
      <c r="Z589" s="1"/>
    </row>
    <row r="590" spans="1:26" ht="24.75" customHeight="1">
      <c r="A590" s="1"/>
      <c r="B590" s="1"/>
      <c r="C590" s="1"/>
      <c r="D590" s="1"/>
      <c r="E590" s="1"/>
      <c r="F590" s="1"/>
      <c r="G590" s="1"/>
      <c r="H590" s="1"/>
      <c r="I590" s="1"/>
      <c r="J590" s="1"/>
      <c r="K590" s="1"/>
      <c r="L590" s="1"/>
      <c r="M590" s="1"/>
      <c r="N590" s="1"/>
      <c r="O590" s="1"/>
      <c r="P590" s="1"/>
      <c r="Q590" s="1"/>
      <c r="R590" s="1"/>
      <c r="S590" s="1"/>
      <c r="T590" s="1"/>
      <c r="U590" s="2"/>
      <c r="V590" s="1"/>
      <c r="W590" s="1"/>
      <c r="X590" s="1"/>
      <c r="Y590" s="1"/>
      <c r="Z590" s="1"/>
    </row>
    <row r="591" spans="1:26" ht="24.75" customHeight="1">
      <c r="A591" s="1"/>
      <c r="B591" s="1"/>
      <c r="C591" s="1"/>
      <c r="D591" s="1"/>
      <c r="E591" s="1"/>
      <c r="F591" s="1"/>
      <c r="G591" s="1"/>
      <c r="H591" s="1"/>
      <c r="I591" s="1"/>
      <c r="J591" s="1"/>
      <c r="K591" s="1"/>
      <c r="L591" s="1"/>
      <c r="M591" s="1"/>
      <c r="N591" s="1"/>
      <c r="O591" s="1"/>
      <c r="P591" s="1"/>
      <c r="Q591" s="1"/>
      <c r="R591" s="1"/>
      <c r="S591" s="1"/>
      <c r="T591" s="1"/>
      <c r="U591" s="2"/>
      <c r="V591" s="1"/>
      <c r="W591" s="1"/>
      <c r="X591" s="1"/>
      <c r="Y591" s="1"/>
      <c r="Z591" s="1"/>
    </row>
    <row r="592" spans="1:26" ht="24.75" customHeight="1">
      <c r="A592" s="1"/>
      <c r="B592" s="1"/>
      <c r="C592" s="1"/>
      <c r="D592" s="1"/>
      <c r="E592" s="1"/>
      <c r="F592" s="1"/>
      <c r="G592" s="1"/>
      <c r="H592" s="1"/>
      <c r="I592" s="1"/>
      <c r="J592" s="1"/>
      <c r="K592" s="1"/>
      <c r="L592" s="1"/>
      <c r="M592" s="1"/>
      <c r="N592" s="1"/>
      <c r="O592" s="1"/>
      <c r="P592" s="1"/>
      <c r="Q592" s="1"/>
      <c r="R592" s="1"/>
      <c r="S592" s="1"/>
      <c r="T592" s="1"/>
      <c r="U592" s="2"/>
      <c r="V592" s="1"/>
      <c r="W592" s="1"/>
      <c r="X592" s="1"/>
      <c r="Y592" s="1"/>
      <c r="Z592" s="1"/>
    </row>
    <row r="593" spans="1:26" ht="24.75" customHeight="1">
      <c r="A593" s="1"/>
      <c r="B593" s="1"/>
      <c r="C593" s="1"/>
      <c r="D593" s="1"/>
      <c r="E593" s="1"/>
      <c r="F593" s="1"/>
      <c r="G593" s="1"/>
      <c r="H593" s="1"/>
      <c r="I593" s="1"/>
      <c r="J593" s="1"/>
      <c r="K593" s="1"/>
      <c r="L593" s="1"/>
      <c r="M593" s="1"/>
      <c r="N593" s="1"/>
      <c r="O593" s="1"/>
      <c r="P593" s="1"/>
      <c r="Q593" s="1"/>
      <c r="R593" s="1"/>
      <c r="S593" s="1"/>
      <c r="T593" s="1"/>
      <c r="U593" s="2"/>
      <c r="V593" s="1"/>
      <c r="W593" s="1"/>
      <c r="X593" s="1"/>
      <c r="Y593" s="1"/>
      <c r="Z593" s="1"/>
    </row>
    <row r="594" spans="1:26" ht="24.75" customHeight="1">
      <c r="A594" s="1"/>
      <c r="B594" s="1"/>
      <c r="C594" s="1"/>
      <c r="D594" s="1"/>
      <c r="E594" s="1"/>
      <c r="F594" s="1"/>
      <c r="G594" s="1"/>
      <c r="H594" s="1"/>
      <c r="I594" s="1"/>
      <c r="J594" s="1"/>
      <c r="K594" s="1"/>
      <c r="L594" s="1"/>
      <c r="M594" s="1"/>
      <c r="N594" s="1"/>
      <c r="O594" s="1"/>
      <c r="P594" s="1"/>
      <c r="Q594" s="1"/>
      <c r="R594" s="1"/>
      <c r="S594" s="1"/>
      <c r="T594" s="1"/>
      <c r="U594" s="2"/>
      <c r="V594" s="1"/>
      <c r="W594" s="1"/>
      <c r="X594" s="1"/>
      <c r="Y594" s="1"/>
      <c r="Z594" s="1"/>
    </row>
    <row r="595" spans="1:26" ht="24.75" customHeight="1">
      <c r="A595" s="1"/>
      <c r="B595" s="1"/>
      <c r="C595" s="1"/>
      <c r="D595" s="1"/>
      <c r="E595" s="1"/>
      <c r="F595" s="1"/>
      <c r="G595" s="1"/>
      <c r="H595" s="1"/>
      <c r="I595" s="1"/>
      <c r="J595" s="1"/>
      <c r="K595" s="1"/>
      <c r="L595" s="1"/>
      <c r="M595" s="1"/>
      <c r="N595" s="1"/>
      <c r="O595" s="1"/>
      <c r="P595" s="1"/>
      <c r="Q595" s="1"/>
      <c r="R595" s="1"/>
      <c r="S595" s="1"/>
      <c r="T595" s="1"/>
      <c r="U595" s="2"/>
      <c r="V595" s="1"/>
      <c r="W595" s="1"/>
      <c r="X595" s="1"/>
      <c r="Y595" s="1"/>
      <c r="Z595" s="1"/>
    </row>
    <row r="596" spans="1:26" ht="24.75" customHeight="1">
      <c r="A596" s="1"/>
      <c r="B596" s="1"/>
      <c r="C596" s="1"/>
      <c r="D596" s="1"/>
      <c r="E596" s="1"/>
      <c r="F596" s="1"/>
      <c r="G596" s="1"/>
      <c r="H596" s="1"/>
      <c r="I596" s="1"/>
      <c r="J596" s="1"/>
      <c r="K596" s="1"/>
      <c r="L596" s="1"/>
      <c r="M596" s="1"/>
      <c r="N596" s="1"/>
      <c r="O596" s="1"/>
      <c r="P596" s="1"/>
      <c r="Q596" s="1"/>
      <c r="R596" s="1"/>
      <c r="S596" s="1"/>
      <c r="T596" s="1"/>
      <c r="U596" s="2"/>
      <c r="V596" s="1"/>
      <c r="W596" s="1"/>
      <c r="X596" s="1"/>
      <c r="Y596" s="1"/>
      <c r="Z596" s="1"/>
    </row>
    <row r="597" spans="1:26" ht="24.75" customHeight="1">
      <c r="A597" s="1"/>
      <c r="B597" s="1"/>
      <c r="C597" s="1"/>
      <c r="D597" s="1"/>
      <c r="E597" s="1"/>
      <c r="F597" s="1"/>
      <c r="G597" s="1"/>
      <c r="H597" s="1"/>
      <c r="I597" s="1"/>
      <c r="J597" s="1"/>
      <c r="K597" s="1"/>
      <c r="L597" s="1"/>
      <c r="M597" s="1"/>
      <c r="N597" s="1"/>
      <c r="O597" s="1"/>
      <c r="P597" s="1"/>
      <c r="Q597" s="1"/>
      <c r="R597" s="1"/>
      <c r="S597" s="1"/>
      <c r="T597" s="1"/>
      <c r="U597" s="2"/>
      <c r="V597" s="1"/>
      <c r="W597" s="1"/>
      <c r="X597" s="1"/>
      <c r="Y597" s="1"/>
      <c r="Z597" s="1"/>
    </row>
    <row r="598" spans="1:26" ht="24.75" customHeight="1">
      <c r="A598" s="1"/>
      <c r="B598" s="1"/>
      <c r="C598" s="1"/>
      <c r="D598" s="1"/>
      <c r="E598" s="1"/>
      <c r="F598" s="1"/>
      <c r="G598" s="1"/>
      <c r="H598" s="1"/>
      <c r="I598" s="1"/>
      <c r="J598" s="1"/>
      <c r="K598" s="1"/>
      <c r="L598" s="1"/>
      <c r="M598" s="1"/>
      <c r="N598" s="1"/>
      <c r="O598" s="1"/>
      <c r="P598" s="1"/>
      <c r="Q598" s="1"/>
      <c r="R598" s="1"/>
      <c r="S598" s="1"/>
      <c r="T598" s="1"/>
      <c r="U598" s="2"/>
      <c r="V598" s="1"/>
      <c r="W598" s="1"/>
      <c r="X598" s="1"/>
      <c r="Y598" s="1"/>
      <c r="Z598" s="1"/>
    </row>
    <row r="599" spans="1:26" ht="24.75" customHeight="1">
      <c r="A599" s="1"/>
      <c r="B599" s="1"/>
      <c r="C599" s="1"/>
      <c r="D599" s="1"/>
      <c r="E599" s="1"/>
      <c r="F599" s="1"/>
      <c r="G599" s="1"/>
      <c r="H599" s="1"/>
      <c r="I599" s="1"/>
      <c r="J599" s="1"/>
      <c r="K599" s="1"/>
      <c r="L599" s="1"/>
      <c r="M599" s="1"/>
      <c r="N599" s="1"/>
      <c r="O599" s="1"/>
      <c r="P599" s="1"/>
      <c r="Q599" s="1"/>
      <c r="R599" s="1"/>
      <c r="S599" s="1"/>
      <c r="T599" s="1"/>
      <c r="U599" s="2"/>
      <c r="V599" s="1"/>
      <c r="W599" s="1"/>
      <c r="X599" s="1"/>
      <c r="Y599" s="1"/>
      <c r="Z599" s="1"/>
    </row>
    <row r="600" spans="1:26" ht="24.75" customHeight="1">
      <c r="A600" s="1"/>
      <c r="B600" s="1"/>
      <c r="C600" s="1"/>
      <c r="D600" s="1"/>
      <c r="E600" s="1"/>
      <c r="F600" s="1"/>
      <c r="G600" s="1"/>
      <c r="H600" s="1"/>
      <c r="I600" s="1"/>
      <c r="J600" s="1"/>
      <c r="K600" s="1"/>
      <c r="L600" s="1"/>
      <c r="M600" s="1"/>
      <c r="N600" s="1"/>
      <c r="O600" s="1"/>
      <c r="P600" s="1"/>
      <c r="Q600" s="1"/>
      <c r="R600" s="1"/>
      <c r="S600" s="1"/>
      <c r="T600" s="1"/>
      <c r="U600" s="2"/>
      <c r="V600" s="1"/>
      <c r="W600" s="1"/>
      <c r="X600" s="1"/>
      <c r="Y600" s="1"/>
      <c r="Z600" s="1"/>
    </row>
    <row r="601" spans="1:26" ht="24.75" customHeight="1">
      <c r="A601" s="1"/>
      <c r="B601" s="1"/>
      <c r="C601" s="1"/>
      <c r="D601" s="1"/>
      <c r="E601" s="1"/>
      <c r="F601" s="1"/>
      <c r="G601" s="1"/>
      <c r="H601" s="1"/>
      <c r="I601" s="1"/>
      <c r="J601" s="1"/>
      <c r="K601" s="1"/>
      <c r="L601" s="1"/>
      <c r="M601" s="1"/>
      <c r="N601" s="1"/>
      <c r="O601" s="1"/>
      <c r="P601" s="1"/>
      <c r="Q601" s="1"/>
      <c r="R601" s="1"/>
      <c r="S601" s="1"/>
      <c r="T601" s="1"/>
      <c r="U601" s="2"/>
      <c r="V601" s="1"/>
      <c r="W601" s="1"/>
      <c r="X601" s="1"/>
      <c r="Y601" s="1"/>
      <c r="Z601" s="1"/>
    </row>
    <row r="602" spans="1:26" ht="24.75" customHeight="1">
      <c r="A602" s="1"/>
      <c r="B602" s="1"/>
      <c r="C602" s="1"/>
      <c r="D602" s="1"/>
      <c r="E602" s="1"/>
      <c r="F602" s="1"/>
      <c r="G602" s="1"/>
      <c r="H602" s="1"/>
      <c r="I602" s="1"/>
      <c r="J602" s="1"/>
      <c r="K602" s="1"/>
      <c r="L602" s="1"/>
      <c r="M602" s="1"/>
      <c r="N602" s="1"/>
      <c r="O602" s="1"/>
      <c r="P602" s="1"/>
      <c r="Q602" s="1"/>
      <c r="R602" s="1"/>
      <c r="S602" s="1"/>
      <c r="T602" s="1"/>
      <c r="U602" s="2"/>
      <c r="V602" s="1"/>
      <c r="W602" s="1"/>
      <c r="X602" s="1"/>
      <c r="Y602" s="1"/>
      <c r="Z602" s="1"/>
    </row>
    <row r="603" spans="1:26" ht="24.75" customHeight="1">
      <c r="A603" s="1"/>
      <c r="B603" s="1"/>
      <c r="C603" s="1"/>
      <c r="D603" s="1"/>
      <c r="E603" s="1"/>
      <c r="F603" s="1"/>
      <c r="G603" s="1"/>
      <c r="H603" s="1"/>
      <c r="I603" s="1"/>
      <c r="J603" s="1"/>
      <c r="K603" s="1"/>
      <c r="L603" s="1"/>
      <c r="M603" s="1"/>
      <c r="N603" s="1"/>
      <c r="O603" s="1"/>
      <c r="P603" s="1"/>
      <c r="Q603" s="1"/>
      <c r="R603" s="1"/>
      <c r="S603" s="1"/>
      <c r="T603" s="1"/>
      <c r="U603" s="2"/>
      <c r="V603" s="1"/>
      <c r="W603" s="1"/>
      <c r="X603" s="1"/>
      <c r="Y603" s="1"/>
      <c r="Z603" s="1"/>
    </row>
    <row r="604" spans="1:26" ht="24.75" customHeight="1">
      <c r="A604" s="1"/>
      <c r="B604" s="1"/>
      <c r="C604" s="1"/>
      <c r="D604" s="1"/>
      <c r="E604" s="1"/>
      <c r="F604" s="1"/>
      <c r="G604" s="1"/>
      <c r="H604" s="1"/>
      <c r="I604" s="1"/>
      <c r="J604" s="1"/>
      <c r="K604" s="1"/>
      <c r="L604" s="1"/>
      <c r="M604" s="1"/>
      <c r="N604" s="1"/>
      <c r="O604" s="1"/>
      <c r="P604" s="1"/>
      <c r="Q604" s="1"/>
      <c r="R604" s="1"/>
      <c r="S604" s="1"/>
      <c r="T604" s="1"/>
      <c r="U604" s="2"/>
      <c r="V604" s="1"/>
      <c r="W604" s="1"/>
      <c r="X604" s="1"/>
      <c r="Y604" s="1"/>
      <c r="Z604" s="1"/>
    </row>
    <row r="605" spans="1:26" ht="24.75" customHeight="1">
      <c r="A605" s="1"/>
      <c r="B605" s="1"/>
      <c r="C605" s="1"/>
      <c r="D605" s="1"/>
      <c r="E605" s="1"/>
      <c r="F605" s="1"/>
      <c r="G605" s="1"/>
      <c r="H605" s="1"/>
      <c r="I605" s="1"/>
      <c r="J605" s="1"/>
      <c r="K605" s="1"/>
      <c r="L605" s="1"/>
      <c r="M605" s="1"/>
      <c r="N605" s="1"/>
      <c r="O605" s="1"/>
      <c r="P605" s="1"/>
      <c r="Q605" s="1"/>
      <c r="R605" s="1"/>
      <c r="S605" s="1"/>
      <c r="T605" s="1"/>
      <c r="U605" s="2"/>
      <c r="V605" s="1"/>
      <c r="W605" s="1"/>
      <c r="X605" s="1"/>
      <c r="Y605" s="1"/>
      <c r="Z605" s="1"/>
    </row>
    <row r="606" spans="1:26" ht="24.75" customHeight="1">
      <c r="A606" s="1"/>
      <c r="B606" s="1"/>
      <c r="C606" s="1"/>
      <c r="D606" s="1"/>
      <c r="E606" s="1"/>
      <c r="F606" s="1"/>
      <c r="G606" s="1"/>
      <c r="H606" s="1"/>
      <c r="I606" s="1"/>
      <c r="J606" s="1"/>
      <c r="K606" s="1"/>
      <c r="L606" s="1"/>
      <c r="M606" s="1"/>
      <c r="N606" s="1"/>
      <c r="O606" s="1"/>
      <c r="P606" s="1"/>
      <c r="Q606" s="1"/>
      <c r="R606" s="1"/>
      <c r="S606" s="1"/>
      <c r="T606" s="1"/>
      <c r="U606" s="2"/>
      <c r="V606" s="1"/>
      <c r="W606" s="1"/>
      <c r="X606" s="1"/>
      <c r="Y606" s="1"/>
      <c r="Z606" s="1"/>
    </row>
    <row r="607" spans="1:26" ht="24.75" customHeight="1">
      <c r="A607" s="1"/>
      <c r="B607" s="1"/>
      <c r="C607" s="1"/>
      <c r="D607" s="1"/>
      <c r="E607" s="1"/>
      <c r="F607" s="1"/>
      <c r="G607" s="1"/>
      <c r="H607" s="1"/>
      <c r="I607" s="1"/>
      <c r="J607" s="1"/>
      <c r="K607" s="1"/>
      <c r="L607" s="1"/>
      <c r="M607" s="1"/>
      <c r="N607" s="1"/>
      <c r="O607" s="1"/>
      <c r="P607" s="1"/>
      <c r="Q607" s="1"/>
      <c r="R607" s="1"/>
      <c r="S607" s="1"/>
      <c r="T607" s="1"/>
      <c r="U607" s="2"/>
      <c r="V607" s="1"/>
      <c r="W607" s="1"/>
      <c r="X607" s="1"/>
      <c r="Y607" s="1"/>
      <c r="Z607" s="1"/>
    </row>
    <row r="608" spans="1:26" ht="24.75" customHeight="1">
      <c r="A608" s="1"/>
      <c r="B608" s="1"/>
      <c r="C608" s="1"/>
      <c r="D608" s="1"/>
      <c r="E608" s="1"/>
      <c r="F608" s="1"/>
      <c r="G608" s="1"/>
      <c r="H608" s="1"/>
      <c r="I608" s="1"/>
      <c r="J608" s="1"/>
      <c r="K608" s="1"/>
      <c r="L608" s="1"/>
      <c r="M608" s="1"/>
      <c r="N608" s="1"/>
      <c r="O608" s="1"/>
      <c r="P608" s="1"/>
      <c r="Q608" s="1"/>
      <c r="R608" s="1"/>
      <c r="S608" s="1"/>
      <c r="T608" s="1"/>
      <c r="U608" s="2"/>
      <c r="V608" s="1"/>
      <c r="W608" s="1"/>
      <c r="X608" s="1"/>
      <c r="Y608" s="1"/>
      <c r="Z608" s="1"/>
    </row>
    <row r="609" spans="1:26" ht="24.75" customHeight="1">
      <c r="A609" s="1"/>
      <c r="B609" s="1"/>
      <c r="C609" s="1"/>
      <c r="D609" s="1"/>
      <c r="E609" s="1"/>
      <c r="F609" s="1"/>
      <c r="G609" s="1"/>
      <c r="H609" s="1"/>
      <c r="I609" s="1"/>
      <c r="J609" s="1"/>
      <c r="K609" s="1"/>
      <c r="L609" s="1"/>
      <c r="M609" s="1"/>
      <c r="N609" s="1"/>
      <c r="O609" s="1"/>
      <c r="P609" s="1"/>
      <c r="Q609" s="1"/>
      <c r="R609" s="1"/>
      <c r="S609" s="1"/>
      <c r="T609" s="1"/>
      <c r="U609" s="2"/>
      <c r="V609" s="1"/>
      <c r="W609" s="1"/>
      <c r="X609" s="1"/>
      <c r="Y609" s="1"/>
      <c r="Z609" s="1"/>
    </row>
    <row r="610" spans="1:26" ht="24.75" customHeight="1">
      <c r="A610" s="1"/>
      <c r="B610" s="1"/>
      <c r="C610" s="1"/>
      <c r="D610" s="1"/>
      <c r="E610" s="1"/>
      <c r="F610" s="1"/>
      <c r="G610" s="1"/>
      <c r="H610" s="1"/>
      <c r="I610" s="1"/>
      <c r="J610" s="1"/>
      <c r="K610" s="1"/>
      <c r="L610" s="1"/>
      <c r="M610" s="1"/>
      <c r="N610" s="1"/>
      <c r="O610" s="1"/>
      <c r="P610" s="1"/>
      <c r="Q610" s="1"/>
      <c r="R610" s="1"/>
      <c r="S610" s="1"/>
      <c r="T610" s="1"/>
      <c r="U610" s="2"/>
      <c r="V610" s="1"/>
      <c r="W610" s="1"/>
      <c r="X610" s="1"/>
      <c r="Y610" s="1"/>
      <c r="Z610" s="1"/>
    </row>
    <row r="611" spans="1:26" ht="24.75" customHeight="1">
      <c r="A611" s="1"/>
      <c r="B611" s="1"/>
      <c r="C611" s="1"/>
      <c r="D611" s="1"/>
      <c r="E611" s="1"/>
      <c r="F611" s="1"/>
      <c r="G611" s="1"/>
      <c r="H611" s="1"/>
      <c r="I611" s="1"/>
      <c r="J611" s="1"/>
      <c r="K611" s="1"/>
      <c r="L611" s="1"/>
      <c r="M611" s="1"/>
      <c r="N611" s="1"/>
      <c r="O611" s="1"/>
      <c r="P611" s="1"/>
      <c r="Q611" s="1"/>
      <c r="R611" s="1"/>
      <c r="S611" s="1"/>
      <c r="T611" s="1"/>
      <c r="U611" s="2"/>
      <c r="V611" s="1"/>
      <c r="W611" s="1"/>
      <c r="X611" s="1"/>
      <c r="Y611" s="1"/>
      <c r="Z611" s="1"/>
    </row>
    <row r="612" spans="1:26" ht="24.75" customHeight="1">
      <c r="A612" s="1"/>
      <c r="B612" s="1"/>
      <c r="C612" s="1"/>
      <c r="D612" s="1"/>
      <c r="E612" s="1"/>
      <c r="F612" s="1"/>
      <c r="G612" s="1"/>
      <c r="H612" s="1"/>
      <c r="I612" s="1"/>
      <c r="J612" s="1"/>
      <c r="K612" s="1"/>
      <c r="L612" s="1"/>
      <c r="M612" s="1"/>
      <c r="N612" s="1"/>
      <c r="O612" s="1"/>
      <c r="P612" s="1"/>
      <c r="Q612" s="1"/>
      <c r="R612" s="1"/>
      <c r="S612" s="1"/>
      <c r="T612" s="1"/>
      <c r="U612" s="2"/>
      <c r="V612" s="1"/>
      <c r="W612" s="1"/>
      <c r="X612" s="1"/>
      <c r="Y612" s="1"/>
      <c r="Z612" s="1"/>
    </row>
    <row r="613" spans="1:26" ht="24.75" customHeight="1">
      <c r="A613" s="1"/>
      <c r="B613" s="1"/>
      <c r="C613" s="1"/>
      <c r="D613" s="1"/>
      <c r="E613" s="1"/>
      <c r="F613" s="1"/>
      <c r="G613" s="1"/>
      <c r="H613" s="1"/>
      <c r="I613" s="1"/>
      <c r="J613" s="1"/>
      <c r="K613" s="1"/>
      <c r="L613" s="1"/>
      <c r="M613" s="1"/>
      <c r="N613" s="1"/>
      <c r="O613" s="1"/>
      <c r="P613" s="1"/>
      <c r="Q613" s="1"/>
      <c r="R613" s="1"/>
      <c r="S613" s="1"/>
      <c r="T613" s="1"/>
      <c r="U613" s="2"/>
      <c r="V613" s="1"/>
      <c r="W613" s="1"/>
      <c r="X613" s="1"/>
      <c r="Y613" s="1"/>
      <c r="Z613" s="1"/>
    </row>
    <row r="614" spans="1:26" ht="24.75" customHeight="1">
      <c r="A614" s="1"/>
      <c r="B614" s="1"/>
      <c r="C614" s="1"/>
      <c r="D614" s="1"/>
      <c r="E614" s="1"/>
      <c r="F614" s="1"/>
      <c r="G614" s="1"/>
      <c r="H614" s="1"/>
      <c r="I614" s="1"/>
      <c r="J614" s="1"/>
      <c r="K614" s="1"/>
      <c r="L614" s="1"/>
      <c r="M614" s="1"/>
      <c r="N614" s="1"/>
      <c r="O614" s="1"/>
      <c r="P614" s="1"/>
      <c r="Q614" s="1"/>
      <c r="R614" s="1"/>
      <c r="S614" s="1"/>
      <c r="T614" s="1"/>
      <c r="U614" s="2"/>
      <c r="V614" s="1"/>
      <c r="W614" s="1"/>
      <c r="X614" s="1"/>
      <c r="Y614" s="1"/>
      <c r="Z614" s="1"/>
    </row>
    <row r="615" spans="1:26" ht="24.75" customHeight="1">
      <c r="A615" s="1"/>
      <c r="B615" s="1"/>
      <c r="C615" s="1"/>
      <c r="D615" s="1"/>
      <c r="E615" s="1"/>
      <c r="F615" s="1"/>
      <c r="G615" s="1"/>
      <c r="H615" s="1"/>
      <c r="I615" s="1"/>
      <c r="J615" s="1"/>
      <c r="K615" s="1"/>
      <c r="L615" s="1"/>
      <c r="M615" s="1"/>
      <c r="N615" s="1"/>
      <c r="O615" s="1"/>
      <c r="P615" s="1"/>
      <c r="Q615" s="1"/>
      <c r="R615" s="1"/>
      <c r="S615" s="1"/>
      <c r="T615" s="1"/>
      <c r="U615" s="2"/>
      <c r="V615" s="1"/>
      <c r="W615" s="1"/>
      <c r="X615" s="1"/>
      <c r="Y615" s="1"/>
      <c r="Z615" s="1"/>
    </row>
    <row r="616" spans="1:26" ht="24.75" customHeight="1">
      <c r="A616" s="1"/>
      <c r="B616" s="1"/>
      <c r="C616" s="1"/>
      <c r="D616" s="1"/>
      <c r="E616" s="1"/>
      <c r="F616" s="1"/>
      <c r="G616" s="1"/>
      <c r="H616" s="1"/>
      <c r="I616" s="1"/>
      <c r="J616" s="1"/>
      <c r="K616" s="1"/>
      <c r="L616" s="1"/>
      <c r="M616" s="1"/>
      <c r="N616" s="1"/>
      <c r="O616" s="1"/>
      <c r="P616" s="1"/>
      <c r="Q616" s="1"/>
      <c r="R616" s="1"/>
      <c r="S616" s="1"/>
      <c r="T616" s="1"/>
      <c r="U616" s="2"/>
      <c r="V616" s="1"/>
      <c r="W616" s="1"/>
      <c r="X616" s="1"/>
      <c r="Y616" s="1"/>
      <c r="Z616" s="1"/>
    </row>
    <row r="617" spans="1:26" ht="24.75" customHeight="1">
      <c r="A617" s="1"/>
      <c r="B617" s="1"/>
      <c r="C617" s="1"/>
      <c r="D617" s="1"/>
      <c r="E617" s="1"/>
      <c r="F617" s="1"/>
      <c r="G617" s="1"/>
      <c r="H617" s="1"/>
      <c r="I617" s="1"/>
      <c r="J617" s="1"/>
      <c r="K617" s="1"/>
      <c r="L617" s="1"/>
      <c r="M617" s="1"/>
      <c r="N617" s="1"/>
      <c r="O617" s="1"/>
      <c r="P617" s="1"/>
      <c r="Q617" s="1"/>
      <c r="R617" s="1"/>
      <c r="S617" s="1"/>
      <c r="T617" s="1"/>
      <c r="U617" s="2"/>
      <c r="V617" s="1"/>
      <c r="W617" s="1"/>
      <c r="X617" s="1"/>
      <c r="Y617" s="1"/>
      <c r="Z617" s="1"/>
    </row>
    <row r="618" spans="1:26" ht="24.75" customHeight="1">
      <c r="A618" s="1"/>
      <c r="B618" s="1"/>
      <c r="C618" s="1"/>
      <c r="D618" s="1"/>
      <c r="E618" s="1"/>
      <c r="F618" s="1"/>
      <c r="G618" s="1"/>
      <c r="H618" s="1"/>
      <c r="I618" s="1"/>
      <c r="J618" s="1"/>
      <c r="K618" s="1"/>
      <c r="L618" s="1"/>
      <c r="M618" s="1"/>
      <c r="N618" s="1"/>
      <c r="O618" s="1"/>
      <c r="P618" s="1"/>
      <c r="Q618" s="1"/>
      <c r="R618" s="1"/>
      <c r="S618" s="1"/>
      <c r="T618" s="1"/>
      <c r="U618" s="2"/>
      <c r="V618" s="1"/>
      <c r="W618" s="1"/>
      <c r="X618" s="1"/>
      <c r="Y618" s="1"/>
      <c r="Z618" s="1"/>
    </row>
    <row r="619" spans="1:26" ht="24.75" customHeight="1">
      <c r="A619" s="1"/>
      <c r="B619" s="1"/>
      <c r="C619" s="1"/>
      <c r="D619" s="1"/>
      <c r="E619" s="1"/>
      <c r="F619" s="1"/>
      <c r="G619" s="1"/>
      <c r="H619" s="1"/>
      <c r="I619" s="1"/>
      <c r="J619" s="1"/>
      <c r="K619" s="1"/>
      <c r="L619" s="1"/>
      <c r="M619" s="1"/>
      <c r="N619" s="1"/>
      <c r="O619" s="1"/>
      <c r="P619" s="1"/>
      <c r="Q619" s="1"/>
      <c r="R619" s="1"/>
      <c r="S619" s="1"/>
      <c r="T619" s="1"/>
      <c r="U619" s="2"/>
      <c r="V619" s="1"/>
      <c r="W619" s="1"/>
      <c r="X619" s="1"/>
      <c r="Y619" s="1"/>
      <c r="Z619" s="1"/>
    </row>
    <row r="620" spans="1:26" ht="24.75" customHeight="1">
      <c r="A620" s="1"/>
      <c r="B620" s="1"/>
      <c r="C620" s="1"/>
      <c r="D620" s="1"/>
      <c r="E620" s="1"/>
      <c r="F620" s="1"/>
      <c r="G620" s="1"/>
      <c r="H620" s="1"/>
      <c r="I620" s="1"/>
      <c r="J620" s="1"/>
      <c r="K620" s="1"/>
      <c r="L620" s="1"/>
      <c r="M620" s="1"/>
      <c r="N620" s="1"/>
      <c r="O620" s="1"/>
      <c r="P620" s="1"/>
      <c r="Q620" s="1"/>
      <c r="R620" s="1"/>
      <c r="S620" s="1"/>
      <c r="T620" s="1"/>
      <c r="U620" s="2"/>
      <c r="V620" s="1"/>
      <c r="W620" s="1"/>
      <c r="X620" s="1"/>
      <c r="Y620" s="1"/>
      <c r="Z620" s="1"/>
    </row>
    <row r="621" spans="1:26" ht="24.75" customHeight="1">
      <c r="A621" s="1"/>
      <c r="B621" s="1"/>
      <c r="C621" s="1"/>
      <c r="D621" s="1"/>
      <c r="E621" s="1"/>
      <c r="F621" s="1"/>
      <c r="G621" s="1"/>
      <c r="H621" s="1"/>
      <c r="I621" s="1"/>
      <c r="J621" s="1"/>
      <c r="K621" s="1"/>
      <c r="L621" s="1"/>
      <c r="M621" s="1"/>
      <c r="N621" s="1"/>
      <c r="O621" s="1"/>
      <c r="P621" s="1"/>
      <c r="Q621" s="1"/>
      <c r="R621" s="1"/>
      <c r="S621" s="1"/>
      <c r="T621" s="1"/>
      <c r="U621" s="2"/>
      <c r="V621" s="1"/>
      <c r="W621" s="1"/>
      <c r="X621" s="1"/>
      <c r="Y621" s="1"/>
      <c r="Z621" s="1"/>
    </row>
    <row r="622" spans="1:26" ht="24.75" customHeight="1">
      <c r="A622" s="1"/>
      <c r="B622" s="1"/>
      <c r="C622" s="1"/>
      <c r="D622" s="1"/>
      <c r="E622" s="1"/>
      <c r="F622" s="1"/>
      <c r="G622" s="1"/>
      <c r="H622" s="1"/>
      <c r="I622" s="1"/>
      <c r="J622" s="1"/>
      <c r="K622" s="1"/>
      <c r="L622" s="1"/>
      <c r="M622" s="1"/>
      <c r="N622" s="1"/>
      <c r="O622" s="1"/>
      <c r="P622" s="1"/>
      <c r="Q622" s="1"/>
      <c r="R622" s="1"/>
      <c r="S622" s="1"/>
      <c r="T622" s="1"/>
      <c r="U622" s="2"/>
      <c r="V622" s="1"/>
      <c r="W622" s="1"/>
      <c r="X622" s="1"/>
      <c r="Y622" s="1"/>
      <c r="Z622" s="1"/>
    </row>
    <row r="623" spans="1:26" ht="24.75" customHeight="1">
      <c r="A623" s="1"/>
      <c r="B623" s="1"/>
      <c r="C623" s="1"/>
      <c r="D623" s="1"/>
      <c r="E623" s="1"/>
      <c r="F623" s="1"/>
      <c r="G623" s="1"/>
      <c r="H623" s="1"/>
      <c r="I623" s="1"/>
      <c r="J623" s="1"/>
      <c r="K623" s="1"/>
      <c r="L623" s="1"/>
      <c r="M623" s="1"/>
      <c r="N623" s="1"/>
      <c r="O623" s="1"/>
      <c r="P623" s="1"/>
      <c r="Q623" s="1"/>
      <c r="R623" s="1"/>
      <c r="S623" s="1"/>
      <c r="T623" s="1"/>
      <c r="U623" s="2"/>
      <c r="V623" s="1"/>
      <c r="W623" s="1"/>
      <c r="X623" s="1"/>
      <c r="Y623" s="1"/>
      <c r="Z623" s="1"/>
    </row>
    <row r="624" spans="1:26" ht="24.75" customHeight="1">
      <c r="A624" s="1"/>
      <c r="B624" s="1"/>
      <c r="C624" s="1"/>
      <c r="D624" s="1"/>
      <c r="E624" s="1"/>
      <c r="F624" s="1"/>
      <c r="G624" s="1"/>
      <c r="H624" s="1"/>
      <c r="I624" s="1"/>
      <c r="J624" s="1"/>
      <c r="K624" s="1"/>
      <c r="L624" s="1"/>
      <c r="M624" s="1"/>
      <c r="N624" s="1"/>
      <c r="O624" s="1"/>
      <c r="P624" s="1"/>
      <c r="Q624" s="1"/>
      <c r="R624" s="1"/>
      <c r="S624" s="1"/>
      <c r="T624" s="1"/>
      <c r="U624" s="2"/>
      <c r="V624" s="1"/>
      <c r="W624" s="1"/>
      <c r="X624" s="1"/>
      <c r="Y624" s="1"/>
      <c r="Z624" s="1"/>
    </row>
    <row r="625" spans="1:26" ht="24.75" customHeight="1">
      <c r="A625" s="1"/>
      <c r="B625" s="1"/>
      <c r="C625" s="1"/>
      <c r="D625" s="1"/>
      <c r="E625" s="1"/>
      <c r="F625" s="1"/>
      <c r="G625" s="1"/>
      <c r="H625" s="1"/>
      <c r="I625" s="1"/>
      <c r="J625" s="1"/>
      <c r="K625" s="1"/>
      <c r="L625" s="1"/>
      <c r="M625" s="1"/>
      <c r="N625" s="1"/>
      <c r="O625" s="1"/>
      <c r="P625" s="1"/>
      <c r="Q625" s="1"/>
      <c r="R625" s="1"/>
      <c r="S625" s="1"/>
      <c r="T625" s="1"/>
      <c r="U625" s="2"/>
      <c r="V625" s="1"/>
      <c r="W625" s="1"/>
      <c r="X625" s="1"/>
      <c r="Y625" s="1"/>
      <c r="Z625" s="1"/>
    </row>
    <row r="626" spans="1:26" ht="24.75" customHeight="1">
      <c r="A626" s="1"/>
      <c r="B626" s="1"/>
      <c r="C626" s="1"/>
      <c r="D626" s="1"/>
      <c r="E626" s="1"/>
      <c r="F626" s="1"/>
      <c r="G626" s="1"/>
      <c r="H626" s="1"/>
      <c r="I626" s="1"/>
      <c r="J626" s="1"/>
      <c r="K626" s="1"/>
      <c r="L626" s="1"/>
      <c r="M626" s="1"/>
      <c r="N626" s="1"/>
      <c r="O626" s="1"/>
      <c r="P626" s="1"/>
      <c r="Q626" s="1"/>
      <c r="R626" s="1"/>
      <c r="S626" s="1"/>
      <c r="T626" s="1"/>
      <c r="U626" s="2"/>
      <c r="V626" s="1"/>
      <c r="W626" s="1"/>
      <c r="X626" s="1"/>
      <c r="Y626" s="1"/>
      <c r="Z626" s="1"/>
    </row>
    <row r="627" spans="1:26" ht="24.75" customHeight="1">
      <c r="A627" s="1"/>
      <c r="B627" s="1"/>
      <c r="C627" s="1"/>
      <c r="D627" s="1"/>
      <c r="E627" s="1"/>
      <c r="F627" s="1"/>
      <c r="G627" s="1"/>
      <c r="H627" s="1"/>
      <c r="I627" s="1"/>
      <c r="J627" s="1"/>
      <c r="K627" s="1"/>
      <c r="L627" s="1"/>
      <c r="M627" s="1"/>
      <c r="N627" s="1"/>
      <c r="O627" s="1"/>
      <c r="P627" s="1"/>
      <c r="Q627" s="1"/>
      <c r="R627" s="1"/>
      <c r="S627" s="1"/>
      <c r="T627" s="1"/>
      <c r="U627" s="2"/>
      <c r="V627" s="1"/>
      <c r="W627" s="1"/>
      <c r="X627" s="1"/>
      <c r="Y627" s="1"/>
      <c r="Z627" s="1"/>
    </row>
    <row r="628" spans="1:26" ht="24.75" customHeight="1">
      <c r="A628" s="1"/>
      <c r="B628" s="1"/>
      <c r="C628" s="1"/>
      <c r="D628" s="1"/>
      <c r="E628" s="1"/>
      <c r="F628" s="1"/>
      <c r="G628" s="1"/>
      <c r="H628" s="1"/>
      <c r="I628" s="1"/>
      <c r="J628" s="1"/>
      <c r="K628" s="1"/>
      <c r="L628" s="1"/>
      <c r="M628" s="1"/>
      <c r="N628" s="1"/>
      <c r="O628" s="1"/>
      <c r="P628" s="1"/>
      <c r="Q628" s="1"/>
      <c r="R628" s="1"/>
      <c r="S628" s="1"/>
      <c r="T628" s="1"/>
      <c r="U628" s="2"/>
      <c r="V628" s="1"/>
      <c r="W628" s="1"/>
      <c r="X628" s="1"/>
      <c r="Y628" s="1"/>
      <c r="Z628" s="1"/>
    </row>
    <row r="629" spans="1:26" ht="24.75" customHeight="1">
      <c r="A629" s="1"/>
      <c r="B629" s="1"/>
      <c r="C629" s="1"/>
      <c r="D629" s="1"/>
      <c r="E629" s="1"/>
      <c r="F629" s="1"/>
      <c r="G629" s="1"/>
      <c r="H629" s="1"/>
      <c r="I629" s="1"/>
      <c r="J629" s="1"/>
      <c r="K629" s="1"/>
      <c r="L629" s="1"/>
      <c r="M629" s="1"/>
      <c r="N629" s="1"/>
      <c r="O629" s="1"/>
      <c r="P629" s="1"/>
      <c r="Q629" s="1"/>
      <c r="R629" s="1"/>
      <c r="S629" s="1"/>
      <c r="T629" s="1"/>
      <c r="U629" s="2"/>
      <c r="V629" s="1"/>
      <c r="W629" s="1"/>
      <c r="X629" s="1"/>
      <c r="Y629" s="1"/>
      <c r="Z629" s="1"/>
    </row>
    <row r="630" spans="1:26" ht="24.75" customHeight="1">
      <c r="A630" s="1"/>
      <c r="B630" s="1"/>
      <c r="C630" s="1"/>
      <c r="D630" s="1"/>
      <c r="E630" s="1"/>
      <c r="F630" s="1"/>
      <c r="G630" s="1"/>
      <c r="H630" s="1"/>
      <c r="I630" s="1"/>
      <c r="J630" s="1"/>
      <c r="K630" s="1"/>
      <c r="L630" s="1"/>
      <c r="M630" s="1"/>
      <c r="N630" s="1"/>
      <c r="O630" s="1"/>
      <c r="P630" s="1"/>
      <c r="Q630" s="1"/>
      <c r="R630" s="1"/>
      <c r="S630" s="1"/>
      <c r="T630" s="1"/>
      <c r="U630" s="2"/>
      <c r="V630" s="1"/>
      <c r="W630" s="1"/>
      <c r="X630" s="1"/>
      <c r="Y630" s="1"/>
      <c r="Z630" s="1"/>
    </row>
    <row r="631" spans="1:26" ht="24.75" customHeight="1">
      <c r="A631" s="1"/>
      <c r="B631" s="1"/>
      <c r="C631" s="1"/>
      <c r="D631" s="1"/>
      <c r="E631" s="1"/>
      <c r="F631" s="1"/>
      <c r="G631" s="1"/>
      <c r="H631" s="1"/>
      <c r="I631" s="1"/>
      <c r="J631" s="1"/>
      <c r="K631" s="1"/>
      <c r="L631" s="1"/>
      <c r="M631" s="1"/>
      <c r="N631" s="1"/>
      <c r="O631" s="1"/>
      <c r="P631" s="1"/>
      <c r="Q631" s="1"/>
      <c r="R631" s="1"/>
      <c r="S631" s="1"/>
      <c r="T631" s="1"/>
      <c r="U631" s="2"/>
      <c r="V631" s="1"/>
      <c r="W631" s="1"/>
      <c r="X631" s="1"/>
      <c r="Y631" s="1"/>
      <c r="Z631" s="1"/>
    </row>
    <row r="632" spans="1:26" ht="24.75" customHeight="1">
      <c r="A632" s="1"/>
      <c r="B632" s="1"/>
      <c r="C632" s="1"/>
      <c r="D632" s="1"/>
      <c r="E632" s="1"/>
      <c r="F632" s="1"/>
      <c r="G632" s="1"/>
      <c r="H632" s="1"/>
      <c r="I632" s="1"/>
      <c r="J632" s="1"/>
      <c r="K632" s="1"/>
      <c r="L632" s="1"/>
      <c r="M632" s="1"/>
      <c r="N632" s="1"/>
      <c r="O632" s="1"/>
      <c r="P632" s="1"/>
      <c r="Q632" s="1"/>
      <c r="R632" s="1"/>
      <c r="S632" s="1"/>
      <c r="T632" s="1"/>
      <c r="U632" s="2"/>
      <c r="V632" s="1"/>
      <c r="W632" s="1"/>
      <c r="X632" s="1"/>
      <c r="Y632" s="1"/>
      <c r="Z632" s="1"/>
    </row>
    <row r="633" spans="1:26" ht="24.75" customHeight="1">
      <c r="A633" s="1"/>
      <c r="B633" s="1"/>
      <c r="C633" s="1"/>
      <c r="D633" s="1"/>
      <c r="E633" s="1"/>
      <c r="F633" s="1"/>
      <c r="G633" s="1"/>
      <c r="H633" s="1"/>
      <c r="I633" s="1"/>
      <c r="J633" s="1"/>
      <c r="K633" s="1"/>
      <c r="L633" s="1"/>
      <c r="M633" s="1"/>
      <c r="N633" s="1"/>
      <c r="O633" s="1"/>
      <c r="P633" s="1"/>
      <c r="Q633" s="1"/>
      <c r="R633" s="1"/>
      <c r="S633" s="1"/>
      <c r="T633" s="1"/>
      <c r="U633" s="2"/>
      <c r="V633" s="1"/>
      <c r="W633" s="1"/>
      <c r="X633" s="1"/>
      <c r="Y633" s="1"/>
      <c r="Z633" s="1"/>
    </row>
    <row r="634" spans="1:26" ht="24.75" customHeight="1">
      <c r="A634" s="1"/>
      <c r="B634" s="1"/>
      <c r="C634" s="1"/>
      <c r="D634" s="1"/>
      <c r="E634" s="1"/>
      <c r="F634" s="1"/>
      <c r="G634" s="1"/>
      <c r="H634" s="1"/>
      <c r="I634" s="1"/>
      <c r="J634" s="1"/>
      <c r="K634" s="1"/>
      <c r="L634" s="1"/>
      <c r="M634" s="1"/>
      <c r="N634" s="1"/>
      <c r="O634" s="1"/>
      <c r="P634" s="1"/>
      <c r="Q634" s="1"/>
      <c r="R634" s="1"/>
      <c r="S634" s="1"/>
      <c r="T634" s="1"/>
      <c r="U634" s="2"/>
      <c r="V634" s="1"/>
      <c r="W634" s="1"/>
      <c r="X634" s="1"/>
      <c r="Y634" s="1"/>
      <c r="Z634" s="1"/>
    </row>
    <row r="635" spans="1:26" ht="24.75" customHeight="1">
      <c r="A635" s="1"/>
      <c r="B635" s="1"/>
      <c r="C635" s="1"/>
      <c r="D635" s="1"/>
      <c r="E635" s="1"/>
      <c r="F635" s="1"/>
      <c r="G635" s="1"/>
      <c r="H635" s="1"/>
      <c r="I635" s="1"/>
      <c r="J635" s="1"/>
      <c r="K635" s="1"/>
      <c r="L635" s="1"/>
      <c r="M635" s="1"/>
      <c r="N635" s="1"/>
      <c r="O635" s="1"/>
      <c r="P635" s="1"/>
      <c r="Q635" s="1"/>
      <c r="R635" s="1"/>
      <c r="S635" s="1"/>
      <c r="T635" s="1"/>
      <c r="U635" s="2"/>
      <c r="V635" s="1"/>
      <c r="W635" s="1"/>
      <c r="X635" s="1"/>
      <c r="Y635" s="1"/>
      <c r="Z635" s="1"/>
    </row>
    <row r="636" spans="1:26" ht="24.75" customHeight="1">
      <c r="A636" s="1"/>
      <c r="B636" s="1"/>
      <c r="C636" s="1"/>
      <c r="D636" s="1"/>
      <c r="E636" s="1"/>
      <c r="F636" s="1"/>
      <c r="G636" s="1"/>
      <c r="H636" s="1"/>
      <c r="I636" s="1"/>
      <c r="J636" s="1"/>
      <c r="K636" s="1"/>
      <c r="L636" s="1"/>
      <c r="M636" s="1"/>
      <c r="N636" s="1"/>
      <c r="O636" s="1"/>
      <c r="P636" s="1"/>
      <c r="Q636" s="1"/>
      <c r="R636" s="1"/>
      <c r="S636" s="1"/>
      <c r="T636" s="1"/>
      <c r="U636" s="2"/>
      <c r="V636" s="1"/>
      <c r="W636" s="1"/>
      <c r="X636" s="1"/>
      <c r="Y636" s="1"/>
      <c r="Z636" s="1"/>
    </row>
    <row r="637" spans="1:26" ht="24.75" customHeight="1">
      <c r="A637" s="1"/>
      <c r="B637" s="1"/>
      <c r="C637" s="1"/>
      <c r="D637" s="1"/>
      <c r="E637" s="1"/>
      <c r="F637" s="1"/>
      <c r="G637" s="1"/>
      <c r="H637" s="1"/>
      <c r="I637" s="1"/>
      <c r="J637" s="1"/>
      <c r="K637" s="1"/>
      <c r="L637" s="1"/>
      <c r="M637" s="1"/>
      <c r="N637" s="1"/>
      <c r="O637" s="1"/>
      <c r="P637" s="1"/>
      <c r="Q637" s="1"/>
      <c r="R637" s="1"/>
      <c r="S637" s="1"/>
      <c r="T637" s="1"/>
      <c r="U637" s="2"/>
      <c r="V637" s="1"/>
      <c r="W637" s="1"/>
      <c r="X637" s="1"/>
      <c r="Y637" s="1"/>
      <c r="Z637" s="1"/>
    </row>
    <row r="638" spans="1:26" ht="24.75" customHeight="1">
      <c r="A638" s="1"/>
      <c r="B638" s="1"/>
      <c r="C638" s="1"/>
      <c r="D638" s="1"/>
      <c r="E638" s="1"/>
      <c r="F638" s="1"/>
      <c r="G638" s="1"/>
      <c r="H638" s="1"/>
      <c r="I638" s="1"/>
      <c r="J638" s="1"/>
      <c r="K638" s="1"/>
      <c r="L638" s="1"/>
      <c r="M638" s="1"/>
      <c r="N638" s="1"/>
      <c r="O638" s="1"/>
      <c r="P638" s="1"/>
      <c r="Q638" s="1"/>
      <c r="R638" s="1"/>
      <c r="S638" s="1"/>
      <c r="T638" s="1"/>
      <c r="U638" s="2"/>
      <c r="V638" s="1"/>
      <c r="W638" s="1"/>
      <c r="X638" s="1"/>
      <c r="Y638" s="1"/>
      <c r="Z638" s="1"/>
    </row>
    <row r="639" spans="1:26" ht="24.75" customHeight="1">
      <c r="A639" s="1"/>
      <c r="B639" s="1"/>
      <c r="C639" s="1"/>
      <c r="D639" s="1"/>
      <c r="E639" s="1"/>
      <c r="F639" s="1"/>
      <c r="G639" s="1"/>
      <c r="H639" s="1"/>
      <c r="I639" s="1"/>
      <c r="J639" s="1"/>
      <c r="K639" s="1"/>
      <c r="L639" s="1"/>
      <c r="M639" s="1"/>
      <c r="N639" s="1"/>
      <c r="O639" s="1"/>
      <c r="P639" s="1"/>
      <c r="Q639" s="1"/>
      <c r="R639" s="1"/>
      <c r="S639" s="1"/>
      <c r="T639" s="1"/>
      <c r="U639" s="2"/>
      <c r="V639" s="1"/>
      <c r="W639" s="1"/>
      <c r="X639" s="1"/>
      <c r="Y639" s="1"/>
      <c r="Z639" s="1"/>
    </row>
    <row r="640" spans="1:26" ht="24.75" customHeight="1">
      <c r="A640" s="1"/>
      <c r="B640" s="1"/>
      <c r="C640" s="1"/>
      <c r="D640" s="1"/>
      <c r="E640" s="1"/>
      <c r="F640" s="1"/>
      <c r="G640" s="1"/>
      <c r="H640" s="1"/>
      <c r="I640" s="1"/>
      <c r="J640" s="1"/>
      <c r="K640" s="1"/>
      <c r="L640" s="1"/>
      <c r="M640" s="1"/>
      <c r="N640" s="1"/>
      <c r="O640" s="1"/>
      <c r="P640" s="1"/>
      <c r="Q640" s="1"/>
      <c r="R640" s="1"/>
      <c r="S640" s="1"/>
      <c r="T640" s="1"/>
      <c r="U640" s="2"/>
      <c r="V640" s="1"/>
      <c r="W640" s="1"/>
      <c r="X640" s="1"/>
      <c r="Y640" s="1"/>
      <c r="Z640" s="1"/>
    </row>
    <row r="641" spans="1:26" ht="24.75" customHeight="1">
      <c r="A641" s="1"/>
      <c r="B641" s="1"/>
      <c r="C641" s="1"/>
      <c r="D641" s="1"/>
      <c r="E641" s="1"/>
      <c r="F641" s="1"/>
      <c r="G641" s="1"/>
      <c r="H641" s="1"/>
      <c r="I641" s="1"/>
      <c r="J641" s="1"/>
      <c r="K641" s="1"/>
      <c r="L641" s="1"/>
      <c r="M641" s="1"/>
      <c r="N641" s="1"/>
      <c r="O641" s="1"/>
      <c r="P641" s="1"/>
      <c r="Q641" s="1"/>
      <c r="R641" s="1"/>
      <c r="S641" s="1"/>
      <c r="T641" s="1"/>
      <c r="U641" s="2"/>
      <c r="V641" s="1"/>
      <c r="W641" s="1"/>
      <c r="X641" s="1"/>
      <c r="Y641" s="1"/>
      <c r="Z641" s="1"/>
    </row>
    <row r="642" spans="1:26" ht="24.75" customHeight="1">
      <c r="A642" s="1"/>
      <c r="B642" s="1"/>
      <c r="C642" s="1"/>
      <c r="D642" s="1"/>
      <c r="E642" s="1"/>
      <c r="F642" s="1"/>
      <c r="G642" s="1"/>
      <c r="H642" s="1"/>
      <c r="I642" s="1"/>
      <c r="J642" s="1"/>
      <c r="K642" s="1"/>
      <c r="L642" s="1"/>
      <c r="M642" s="1"/>
      <c r="N642" s="1"/>
      <c r="O642" s="1"/>
      <c r="P642" s="1"/>
      <c r="Q642" s="1"/>
      <c r="R642" s="1"/>
      <c r="S642" s="1"/>
      <c r="T642" s="1"/>
      <c r="U642" s="2"/>
      <c r="V642" s="1"/>
      <c r="W642" s="1"/>
      <c r="X642" s="1"/>
      <c r="Y642" s="1"/>
      <c r="Z642" s="1"/>
    </row>
    <row r="643" spans="1:26" ht="24.75" customHeight="1">
      <c r="A643" s="1"/>
      <c r="B643" s="1"/>
      <c r="C643" s="1"/>
      <c r="D643" s="1"/>
      <c r="E643" s="1"/>
      <c r="F643" s="1"/>
      <c r="G643" s="1"/>
      <c r="H643" s="1"/>
      <c r="I643" s="1"/>
      <c r="J643" s="1"/>
      <c r="K643" s="1"/>
      <c r="L643" s="1"/>
      <c r="M643" s="1"/>
      <c r="N643" s="1"/>
      <c r="O643" s="1"/>
      <c r="P643" s="1"/>
      <c r="Q643" s="1"/>
      <c r="R643" s="1"/>
      <c r="S643" s="1"/>
      <c r="T643" s="1"/>
      <c r="U643" s="2"/>
      <c r="V643" s="1"/>
      <c r="W643" s="1"/>
      <c r="X643" s="1"/>
      <c r="Y643" s="1"/>
      <c r="Z643" s="1"/>
    </row>
    <row r="644" spans="1:26" ht="24.75" customHeight="1">
      <c r="A644" s="1"/>
      <c r="B644" s="1"/>
      <c r="C644" s="1"/>
      <c r="D644" s="1"/>
      <c r="E644" s="1"/>
      <c r="F644" s="1"/>
      <c r="G644" s="1"/>
      <c r="H644" s="1"/>
      <c r="I644" s="1"/>
      <c r="J644" s="1"/>
      <c r="K644" s="1"/>
      <c r="L644" s="1"/>
      <c r="M644" s="1"/>
      <c r="N644" s="1"/>
      <c r="O644" s="1"/>
      <c r="P644" s="1"/>
      <c r="Q644" s="1"/>
      <c r="R644" s="1"/>
      <c r="S644" s="1"/>
      <c r="T644" s="1"/>
      <c r="U644" s="2"/>
      <c r="V644" s="1"/>
      <c r="W644" s="1"/>
      <c r="X644" s="1"/>
      <c r="Y644" s="1"/>
      <c r="Z644" s="1"/>
    </row>
    <row r="645" spans="1:26" ht="24.75" customHeight="1">
      <c r="A645" s="1"/>
      <c r="B645" s="1"/>
      <c r="C645" s="1"/>
      <c r="D645" s="1"/>
      <c r="E645" s="1"/>
      <c r="F645" s="1"/>
      <c r="G645" s="1"/>
      <c r="H645" s="1"/>
      <c r="I645" s="1"/>
      <c r="J645" s="1"/>
      <c r="K645" s="1"/>
      <c r="L645" s="1"/>
      <c r="M645" s="1"/>
      <c r="N645" s="1"/>
      <c r="O645" s="1"/>
      <c r="P645" s="1"/>
      <c r="Q645" s="1"/>
      <c r="R645" s="1"/>
      <c r="S645" s="1"/>
      <c r="T645" s="1"/>
      <c r="U645" s="2"/>
      <c r="V645" s="1"/>
      <c r="W645" s="1"/>
      <c r="X645" s="1"/>
      <c r="Y645" s="1"/>
      <c r="Z645" s="1"/>
    </row>
    <row r="646" spans="1:26" ht="24.75" customHeight="1">
      <c r="A646" s="1"/>
      <c r="B646" s="1"/>
      <c r="C646" s="1"/>
      <c r="D646" s="1"/>
      <c r="E646" s="1"/>
      <c r="F646" s="1"/>
      <c r="G646" s="1"/>
      <c r="H646" s="1"/>
      <c r="I646" s="1"/>
      <c r="J646" s="1"/>
      <c r="K646" s="1"/>
      <c r="L646" s="1"/>
      <c r="M646" s="1"/>
      <c r="N646" s="1"/>
      <c r="O646" s="1"/>
      <c r="P646" s="1"/>
      <c r="Q646" s="1"/>
      <c r="R646" s="1"/>
      <c r="S646" s="1"/>
      <c r="T646" s="1"/>
      <c r="U646" s="2"/>
      <c r="V646" s="1"/>
      <c r="W646" s="1"/>
      <c r="X646" s="1"/>
      <c r="Y646" s="1"/>
      <c r="Z646" s="1"/>
    </row>
    <row r="647" spans="1:26" ht="24.75" customHeight="1">
      <c r="A647" s="1"/>
      <c r="B647" s="1"/>
      <c r="C647" s="1"/>
      <c r="D647" s="1"/>
      <c r="E647" s="1"/>
      <c r="F647" s="1"/>
      <c r="G647" s="1"/>
      <c r="H647" s="1"/>
      <c r="I647" s="1"/>
      <c r="J647" s="1"/>
      <c r="K647" s="1"/>
      <c r="L647" s="1"/>
      <c r="M647" s="1"/>
      <c r="N647" s="1"/>
      <c r="O647" s="1"/>
      <c r="P647" s="1"/>
      <c r="Q647" s="1"/>
      <c r="R647" s="1"/>
      <c r="S647" s="1"/>
      <c r="T647" s="1"/>
      <c r="U647" s="2"/>
      <c r="V647" s="1"/>
      <c r="W647" s="1"/>
      <c r="X647" s="1"/>
      <c r="Y647" s="1"/>
      <c r="Z647" s="1"/>
    </row>
    <row r="648" spans="1:26" ht="24.75" customHeight="1">
      <c r="A648" s="1"/>
      <c r="B648" s="1"/>
      <c r="C648" s="1"/>
      <c r="D648" s="1"/>
      <c r="E648" s="1"/>
      <c r="F648" s="1"/>
      <c r="G648" s="1"/>
      <c r="H648" s="1"/>
      <c r="I648" s="1"/>
      <c r="J648" s="1"/>
      <c r="K648" s="1"/>
      <c r="L648" s="1"/>
      <c r="M648" s="1"/>
      <c r="N648" s="1"/>
      <c r="O648" s="1"/>
      <c r="P648" s="1"/>
      <c r="Q648" s="1"/>
      <c r="R648" s="1"/>
      <c r="S648" s="1"/>
      <c r="T648" s="1"/>
      <c r="U648" s="2"/>
      <c r="V648" s="1"/>
      <c r="W648" s="1"/>
      <c r="X648" s="1"/>
      <c r="Y648" s="1"/>
      <c r="Z648" s="1"/>
    </row>
    <row r="649" spans="1:26" ht="24.75" customHeight="1">
      <c r="A649" s="1"/>
      <c r="B649" s="1"/>
      <c r="C649" s="1"/>
      <c r="D649" s="1"/>
      <c r="E649" s="1"/>
      <c r="F649" s="1"/>
      <c r="G649" s="1"/>
      <c r="H649" s="1"/>
      <c r="I649" s="1"/>
      <c r="J649" s="1"/>
      <c r="K649" s="1"/>
      <c r="L649" s="1"/>
      <c r="M649" s="1"/>
      <c r="N649" s="1"/>
      <c r="O649" s="1"/>
      <c r="P649" s="1"/>
      <c r="Q649" s="1"/>
      <c r="R649" s="1"/>
      <c r="S649" s="1"/>
      <c r="T649" s="1"/>
      <c r="U649" s="2"/>
      <c r="V649" s="1"/>
      <c r="W649" s="1"/>
      <c r="X649" s="1"/>
      <c r="Y649" s="1"/>
      <c r="Z649" s="1"/>
    </row>
    <row r="650" spans="1:26" ht="24.75" customHeight="1">
      <c r="A650" s="1"/>
      <c r="B650" s="1"/>
      <c r="C650" s="1"/>
      <c r="D650" s="1"/>
      <c r="E650" s="1"/>
      <c r="F650" s="1"/>
      <c r="G650" s="1"/>
      <c r="H650" s="1"/>
      <c r="I650" s="1"/>
      <c r="J650" s="1"/>
      <c r="K650" s="1"/>
      <c r="L650" s="1"/>
      <c r="M650" s="1"/>
      <c r="N650" s="1"/>
      <c r="O650" s="1"/>
      <c r="P650" s="1"/>
      <c r="Q650" s="1"/>
      <c r="R650" s="1"/>
      <c r="S650" s="1"/>
      <c r="T650" s="1"/>
      <c r="U650" s="2"/>
      <c r="V650" s="1"/>
      <c r="W650" s="1"/>
      <c r="X650" s="1"/>
      <c r="Y650" s="1"/>
      <c r="Z650" s="1"/>
    </row>
    <row r="651" spans="1:26" ht="24.75" customHeight="1">
      <c r="A651" s="1"/>
      <c r="B651" s="1"/>
      <c r="C651" s="1"/>
      <c r="D651" s="1"/>
      <c r="E651" s="1"/>
      <c r="F651" s="1"/>
      <c r="G651" s="1"/>
      <c r="H651" s="1"/>
      <c r="I651" s="1"/>
      <c r="J651" s="1"/>
      <c r="K651" s="1"/>
      <c r="L651" s="1"/>
      <c r="M651" s="1"/>
      <c r="N651" s="1"/>
      <c r="O651" s="1"/>
      <c r="P651" s="1"/>
      <c r="Q651" s="1"/>
      <c r="R651" s="1"/>
      <c r="S651" s="1"/>
      <c r="T651" s="1"/>
      <c r="U651" s="2"/>
      <c r="V651" s="1"/>
      <c r="W651" s="1"/>
      <c r="X651" s="1"/>
      <c r="Y651" s="1"/>
      <c r="Z651" s="1"/>
    </row>
    <row r="652" spans="1:26" ht="24.75" customHeight="1">
      <c r="A652" s="1"/>
      <c r="B652" s="1"/>
      <c r="C652" s="1"/>
      <c r="D652" s="1"/>
      <c r="E652" s="1"/>
      <c r="F652" s="1"/>
      <c r="G652" s="1"/>
      <c r="H652" s="1"/>
      <c r="I652" s="1"/>
      <c r="J652" s="1"/>
      <c r="K652" s="1"/>
      <c r="L652" s="1"/>
      <c r="M652" s="1"/>
      <c r="N652" s="1"/>
      <c r="O652" s="1"/>
      <c r="P652" s="1"/>
      <c r="Q652" s="1"/>
      <c r="R652" s="1"/>
      <c r="S652" s="1"/>
      <c r="T652" s="1"/>
      <c r="U652" s="2"/>
      <c r="V652" s="1"/>
      <c r="W652" s="1"/>
      <c r="X652" s="1"/>
      <c r="Y652" s="1"/>
      <c r="Z652" s="1"/>
    </row>
    <row r="653" spans="1:26" ht="24.75" customHeight="1">
      <c r="A653" s="1"/>
      <c r="B653" s="1"/>
      <c r="C653" s="1"/>
      <c r="D653" s="1"/>
      <c r="E653" s="1"/>
      <c r="F653" s="1"/>
      <c r="G653" s="1"/>
      <c r="H653" s="1"/>
      <c r="I653" s="1"/>
      <c r="J653" s="1"/>
      <c r="K653" s="1"/>
      <c r="L653" s="1"/>
      <c r="M653" s="1"/>
      <c r="N653" s="1"/>
      <c r="O653" s="1"/>
      <c r="P653" s="1"/>
      <c r="Q653" s="1"/>
      <c r="R653" s="1"/>
      <c r="S653" s="1"/>
      <c r="T653" s="1"/>
      <c r="U653" s="2"/>
      <c r="V653" s="1"/>
      <c r="W653" s="1"/>
      <c r="X653" s="1"/>
      <c r="Y653" s="1"/>
      <c r="Z653" s="1"/>
    </row>
    <row r="654" spans="1:26" ht="24.75" customHeight="1">
      <c r="A654" s="1"/>
      <c r="B654" s="1"/>
      <c r="C654" s="1"/>
      <c r="D654" s="1"/>
      <c r="E654" s="1"/>
      <c r="F654" s="1"/>
      <c r="G654" s="1"/>
      <c r="H654" s="1"/>
      <c r="I654" s="1"/>
      <c r="J654" s="1"/>
      <c r="K654" s="1"/>
      <c r="L654" s="1"/>
      <c r="M654" s="1"/>
      <c r="N654" s="1"/>
      <c r="O654" s="1"/>
      <c r="P654" s="1"/>
      <c r="Q654" s="1"/>
      <c r="R654" s="1"/>
      <c r="S654" s="1"/>
      <c r="T654" s="1"/>
      <c r="U654" s="2"/>
      <c r="V654" s="1"/>
      <c r="W654" s="1"/>
      <c r="X654" s="1"/>
      <c r="Y654" s="1"/>
      <c r="Z654" s="1"/>
    </row>
    <row r="655" spans="1:26" ht="24.75" customHeight="1">
      <c r="A655" s="1"/>
      <c r="B655" s="1"/>
      <c r="C655" s="1"/>
      <c r="D655" s="1"/>
      <c r="E655" s="1"/>
      <c r="F655" s="1"/>
      <c r="G655" s="1"/>
      <c r="H655" s="1"/>
      <c r="I655" s="1"/>
      <c r="J655" s="1"/>
      <c r="K655" s="1"/>
      <c r="L655" s="1"/>
      <c r="M655" s="1"/>
      <c r="N655" s="1"/>
      <c r="O655" s="1"/>
      <c r="P655" s="1"/>
      <c r="Q655" s="1"/>
      <c r="R655" s="1"/>
      <c r="S655" s="1"/>
      <c r="T655" s="1"/>
      <c r="U655" s="2"/>
      <c r="V655" s="1"/>
      <c r="W655" s="1"/>
      <c r="X655" s="1"/>
      <c r="Y655" s="1"/>
      <c r="Z655" s="1"/>
    </row>
    <row r="656" spans="1:26" ht="24.75" customHeight="1">
      <c r="A656" s="1"/>
      <c r="B656" s="1"/>
      <c r="C656" s="1"/>
      <c r="D656" s="1"/>
      <c r="E656" s="1"/>
      <c r="F656" s="1"/>
      <c r="G656" s="1"/>
      <c r="H656" s="1"/>
      <c r="I656" s="1"/>
      <c r="J656" s="1"/>
      <c r="K656" s="1"/>
      <c r="L656" s="1"/>
      <c r="M656" s="1"/>
      <c r="N656" s="1"/>
      <c r="O656" s="1"/>
      <c r="P656" s="1"/>
      <c r="Q656" s="1"/>
      <c r="R656" s="1"/>
      <c r="S656" s="1"/>
      <c r="T656" s="1"/>
      <c r="U656" s="2"/>
      <c r="V656" s="1"/>
      <c r="W656" s="1"/>
      <c r="X656" s="1"/>
      <c r="Y656" s="1"/>
      <c r="Z656" s="1"/>
    </row>
    <row r="657" spans="1:26" ht="24.75" customHeight="1">
      <c r="A657" s="1"/>
      <c r="B657" s="1"/>
      <c r="C657" s="1"/>
      <c r="D657" s="1"/>
      <c r="E657" s="1"/>
      <c r="F657" s="1"/>
      <c r="G657" s="1"/>
      <c r="H657" s="1"/>
      <c r="I657" s="1"/>
      <c r="J657" s="1"/>
      <c r="K657" s="1"/>
      <c r="L657" s="1"/>
      <c r="M657" s="1"/>
      <c r="N657" s="1"/>
      <c r="O657" s="1"/>
      <c r="P657" s="1"/>
      <c r="Q657" s="1"/>
      <c r="R657" s="1"/>
      <c r="S657" s="1"/>
      <c r="T657" s="1"/>
      <c r="U657" s="2"/>
      <c r="V657" s="1"/>
      <c r="W657" s="1"/>
      <c r="X657" s="1"/>
      <c r="Y657" s="1"/>
      <c r="Z657" s="1"/>
    </row>
    <row r="658" spans="1:26" ht="24.75" customHeight="1">
      <c r="A658" s="1"/>
      <c r="B658" s="1"/>
      <c r="C658" s="1"/>
      <c r="D658" s="1"/>
      <c r="E658" s="1"/>
      <c r="F658" s="1"/>
      <c r="G658" s="1"/>
      <c r="H658" s="1"/>
      <c r="I658" s="1"/>
      <c r="J658" s="1"/>
      <c r="K658" s="1"/>
      <c r="L658" s="1"/>
      <c r="M658" s="1"/>
      <c r="N658" s="1"/>
      <c r="O658" s="1"/>
      <c r="P658" s="1"/>
      <c r="Q658" s="1"/>
      <c r="R658" s="1"/>
      <c r="S658" s="1"/>
      <c r="T658" s="1"/>
      <c r="U658" s="2"/>
      <c r="V658" s="1"/>
      <c r="W658" s="1"/>
      <c r="X658" s="1"/>
      <c r="Y658" s="1"/>
      <c r="Z658" s="1"/>
    </row>
    <row r="659" spans="1:26" ht="24.75" customHeight="1">
      <c r="A659" s="1"/>
      <c r="B659" s="1"/>
      <c r="C659" s="1"/>
      <c r="D659" s="1"/>
      <c r="E659" s="1"/>
      <c r="F659" s="1"/>
      <c r="G659" s="1"/>
      <c r="H659" s="1"/>
      <c r="I659" s="1"/>
      <c r="J659" s="1"/>
      <c r="K659" s="1"/>
      <c r="L659" s="1"/>
      <c r="M659" s="1"/>
      <c r="N659" s="1"/>
      <c r="O659" s="1"/>
      <c r="P659" s="1"/>
      <c r="Q659" s="1"/>
      <c r="R659" s="1"/>
      <c r="S659" s="1"/>
      <c r="T659" s="1"/>
      <c r="U659" s="2"/>
      <c r="V659" s="1"/>
      <c r="W659" s="1"/>
      <c r="X659" s="1"/>
      <c r="Y659" s="1"/>
      <c r="Z659" s="1"/>
    </row>
    <row r="660" spans="1:26" ht="24.75" customHeight="1">
      <c r="A660" s="1"/>
      <c r="B660" s="1"/>
      <c r="C660" s="1"/>
      <c r="D660" s="1"/>
      <c r="E660" s="1"/>
      <c r="F660" s="1"/>
      <c r="G660" s="1"/>
      <c r="H660" s="1"/>
      <c r="I660" s="1"/>
      <c r="J660" s="1"/>
      <c r="K660" s="1"/>
      <c r="L660" s="1"/>
      <c r="M660" s="1"/>
      <c r="N660" s="1"/>
      <c r="O660" s="1"/>
      <c r="P660" s="1"/>
      <c r="Q660" s="1"/>
      <c r="R660" s="1"/>
      <c r="S660" s="1"/>
      <c r="T660" s="1"/>
      <c r="U660" s="2"/>
      <c r="V660" s="1"/>
      <c r="W660" s="1"/>
      <c r="X660" s="1"/>
      <c r="Y660" s="1"/>
      <c r="Z660" s="1"/>
    </row>
    <row r="661" spans="1:26" ht="24.75" customHeight="1">
      <c r="A661" s="1"/>
      <c r="B661" s="1"/>
      <c r="C661" s="1"/>
      <c r="D661" s="1"/>
      <c r="E661" s="1"/>
      <c r="F661" s="1"/>
      <c r="G661" s="1"/>
      <c r="H661" s="1"/>
      <c r="I661" s="1"/>
      <c r="J661" s="1"/>
      <c r="K661" s="1"/>
      <c r="L661" s="1"/>
      <c r="M661" s="1"/>
      <c r="N661" s="1"/>
      <c r="O661" s="1"/>
      <c r="P661" s="1"/>
      <c r="Q661" s="1"/>
      <c r="R661" s="1"/>
      <c r="S661" s="1"/>
      <c r="T661" s="1"/>
      <c r="U661" s="2"/>
      <c r="V661" s="1"/>
      <c r="W661" s="1"/>
      <c r="X661" s="1"/>
      <c r="Y661" s="1"/>
      <c r="Z661" s="1"/>
    </row>
    <row r="662" spans="1:26" ht="24.75" customHeight="1">
      <c r="A662" s="1"/>
      <c r="B662" s="1"/>
      <c r="C662" s="1"/>
      <c r="D662" s="1"/>
      <c r="E662" s="1"/>
      <c r="F662" s="1"/>
      <c r="G662" s="1"/>
      <c r="H662" s="1"/>
      <c r="I662" s="1"/>
      <c r="J662" s="1"/>
      <c r="K662" s="1"/>
      <c r="L662" s="1"/>
      <c r="M662" s="1"/>
      <c r="N662" s="1"/>
      <c r="O662" s="1"/>
      <c r="P662" s="1"/>
      <c r="Q662" s="1"/>
      <c r="R662" s="1"/>
      <c r="S662" s="1"/>
      <c r="T662" s="1"/>
      <c r="U662" s="2"/>
      <c r="V662" s="1"/>
      <c r="W662" s="1"/>
      <c r="X662" s="1"/>
      <c r="Y662" s="1"/>
      <c r="Z662" s="1"/>
    </row>
    <row r="663" spans="1:26" ht="24.75" customHeight="1">
      <c r="A663" s="1"/>
      <c r="B663" s="1"/>
      <c r="C663" s="1"/>
      <c r="D663" s="1"/>
      <c r="E663" s="1"/>
      <c r="F663" s="1"/>
      <c r="G663" s="1"/>
      <c r="H663" s="1"/>
      <c r="I663" s="1"/>
      <c r="J663" s="1"/>
      <c r="K663" s="1"/>
      <c r="L663" s="1"/>
      <c r="M663" s="1"/>
      <c r="N663" s="1"/>
      <c r="O663" s="1"/>
      <c r="P663" s="1"/>
      <c r="Q663" s="1"/>
      <c r="R663" s="1"/>
      <c r="S663" s="1"/>
      <c r="T663" s="1"/>
      <c r="U663" s="2"/>
      <c r="V663" s="1"/>
      <c r="W663" s="1"/>
      <c r="X663" s="1"/>
      <c r="Y663" s="1"/>
      <c r="Z663" s="1"/>
    </row>
    <row r="664" spans="1:26" ht="24.75" customHeight="1">
      <c r="A664" s="1"/>
      <c r="B664" s="1"/>
      <c r="C664" s="1"/>
      <c r="D664" s="1"/>
      <c r="E664" s="1"/>
      <c r="F664" s="1"/>
      <c r="G664" s="1"/>
      <c r="H664" s="1"/>
      <c r="I664" s="1"/>
      <c r="J664" s="1"/>
      <c r="K664" s="1"/>
      <c r="L664" s="1"/>
      <c r="M664" s="1"/>
      <c r="N664" s="1"/>
      <c r="O664" s="1"/>
      <c r="P664" s="1"/>
      <c r="Q664" s="1"/>
      <c r="R664" s="1"/>
      <c r="S664" s="1"/>
      <c r="T664" s="1"/>
      <c r="U664" s="2"/>
      <c r="V664" s="1"/>
      <c r="W664" s="1"/>
      <c r="X664" s="1"/>
      <c r="Y664" s="1"/>
      <c r="Z664" s="1"/>
    </row>
    <row r="665" spans="1:26" ht="24.75" customHeight="1">
      <c r="A665" s="1"/>
      <c r="B665" s="1"/>
      <c r="C665" s="1"/>
      <c r="D665" s="1"/>
      <c r="E665" s="1"/>
      <c r="F665" s="1"/>
      <c r="G665" s="1"/>
      <c r="H665" s="1"/>
      <c r="I665" s="1"/>
      <c r="J665" s="1"/>
      <c r="K665" s="1"/>
      <c r="L665" s="1"/>
      <c r="M665" s="1"/>
      <c r="N665" s="1"/>
      <c r="O665" s="1"/>
      <c r="P665" s="1"/>
      <c r="Q665" s="1"/>
      <c r="R665" s="1"/>
      <c r="S665" s="1"/>
      <c r="T665" s="1"/>
      <c r="U665" s="2"/>
      <c r="V665" s="1"/>
      <c r="W665" s="1"/>
      <c r="X665" s="1"/>
      <c r="Y665" s="1"/>
      <c r="Z665" s="1"/>
    </row>
    <row r="666" spans="1:26" ht="24.75" customHeight="1">
      <c r="A666" s="1"/>
      <c r="B666" s="1"/>
      <c r="C666" s="1"/>
      <c r="D666" s="1"/>
      <c r="E666" s="1"/>
      <c r="F666" s="1"/>
      <c r="G666" s="1"/>
      <c r="H666" s="1"/>
      <c r="I666" s="1"/>
      <c r="J666" s="1"/>
      <c r="K666" s="1"/>
      <c r="L666" s="1"/>
      <c r="M666" s="1"/>
      <c r="N666" s="1"/>
      <c r="O666" s="1"/>
      <c r="P666" s="1"/>
      <c r="Q666" s="1"/>
      <c r="R666" s="1"/>
      <c r="S666" s="1"/>
      <c r="T666" s="1"/>
      <c r="U666" s="2"/>
      <c r="V666" s="1"/>
      <c r="W666" s="1"/>
      <c r="X666" s="1"/>
      <c r="Y666" s="1"/>
      <c r="Z666" s="1"/>
    </row>
    <row r="667" spans="1:26" ht="24.75" customHeight="1">
      <c r="A667" s="1"/>
      <c r="B667" s="1"/>
      <c r="C667" s="1"/>
      <c r="D667" s="1"/>
      <c r="E667" s="1"/>
      <c r="F667" s="1"/>
      <c r="G667" s="1"/>
      <c r="H667" s="1"/>
      <c r="I667" s="1"/>
      <c r="J667" s="1"/>
      <c r="K667" s="1"/>
      <c r="L667" s="1"/>
      <c r="M667" s="1"/>
      <c r="N667" s="1"/>
      <c r="O667" s="1"/>
      <c r="P667" s="1"/>
      <c r="Q667" s="1"/>
      <c r="R667" s="1"/>
      <c r="S667" s="1"/>
      <c r="T667" s="1"/>
      <c r="U667" s="2"/>
      <c r="V667" s="1"/>
      <c r="W667" s="1"/>
      <c r="X667" s="1"/>
      <c r="Y667" s="1"/>
      <c r="Z667" s="1"/>
    </row>
    <row r="668" spans="1:26" ht="24.75" customHeight="1">
      <c r="A668" s="1"/>
      <c r="B668" s="1"/>
      <c r="C668" s="1"/>
      <c r="D668" s="1"/>
      <c r="E668" s="1"/>
      <c r="F668" s="1"/>
      <c r="G668" s="1"/>
      <c r="H668" s="1"/>
      <c r="I668" s="1"/>
      <c r="J668" s="1"/>
      <c r="K668" s="1"/>
      <c r="L668" s="1"/>
      <c r="M668" s="1"/>
      <c r="N668" s="1"/>
      <c r="O668" s="1"/>
      <c r="P668" s="1"/>
      <c r="Q668" s="1"/>
      <c r="R668" s="1"/>
      <c r="S668" s="1"/>
      <c r="T668" s="1"/>
      <c r="U668" s="2"/>
      <c r="V668" s="1"/>
      <c r="W668" s="1"/>
      <c r="X668" s="1"/>
      <c r="Y668" s="1"/>
      <c r="Z668" s="1"/>
    </row>
    <row r="669" spans="1:26" ht="24.75" customHeight="1">
      <c r="A669" s="1"/>
      <c r="B669" s="1"/>
      <c r="C669" s="1"/>
      <c r="D669" s="1"/>
      <c r="E669" s="1"/>
      <c r="F669" s="1"/>
      <c r="G669" s="1"/>
      <c r="H669" s="1"/>
      <c r="I669" s="1"/>
      <c r="J669" s="1"/>
      <c r="K669" s="1"/>
      <c r="L669" s="1"/>
      <c r="M669" s="1"/>
      <c r="N669" s="1"/>
      <c r="O669" s="1"/>
      <c r="P669" s="1"/>
      <c r="Q669" s="1"/>
      <c r="R669" s="1"/>
      <c r="S669" s="1"/>
      <c r="T669" s="1"/>
      <c r="U669" s="2"/>
      <c r="V669" s="1"/>
      <c r="W669" s="1"/>
      <c r="X669" s="1"/>
      <c r="Y669" s="1"/>
      <c r="Z669" s="1"/>
    </row>
    <row r="670" spans="1:26" ht="24.75" customHeight="1">
      <c r="A670" s="1"/>
      <c r="B670" s="1"/>
      <c r="C670" s="1"/>
      <c r="D670" s="1"/>
      <c r="E670" s="1"/>
      <c r="F670" s="1"/>
      <c r="G670" s="1"/>
      <c r="H670" s="1"/>
      <c r="I670" s="1"/>
      <c r="J670" s="1"/>
      <c r="K670" s="1"/>
      <c r="L670" s="1"/>
      <c r="M670" s="1"/>
      <c r="N670" s="1"/>
      <c r="O670" s="1"/>
      <c r="P670" s="1"/>
      <c r="Q670" s="1"/>
      <c r="R670" s="1"/>
      <c r="S670" s="1"/>
      <c r="T670" s="1"/>
      <c r="U670" s="2"/>
      <c r="V670" s="1"/>
      <c r="W670" s="1"/>
      <c r="X670" s="1"/>
      <c r="Y670" s="1"/>
      <c r="Z670" s="1"/>
    </row>
    <row r="671" spans="1:26" ht="24.75" customHeight="1">
      <c r="A671" s="1"/>
      <c r="B671" s="1"/>
      <c r="C671" s="1"/>
      <c r="D671" s="1"/>
      <c r="E671" s="1"/>
      <c r="F671" s="1"/>
      <c r="G671" s="1"/>
      <c r="H671" s="1"/>
      <c r="I671" s="1"/>
      <c r="J671" s="1"/>
      <c r="K671" s="1"/>
      <c r="L671" s="1"/>
      <c r="M671" s="1"/>
      <c r="N671" s="1"/>
      <c r="O671" s="1"/>
      <c r="P671" s="1"/>
      <c r="Q671" s="1"/>
      <c r="R671" s="1"/>
      <c r="S671" s="1"/>
      <c r="T671" s="1"/>
      <c r="U671" s="2"/>
      <c r="V671" s="1"/>
      <c r="W671" s="1"/>
      <c r="X671" s="1"/>
      <c r="Y671" s="1"/>
      <c r="Z671" s="1"/>
    </row>
    <row r="672" spans="1:26" ht="24.75" customHeight="1">
      <c r="A672" s="1"/>
      <c r="B672" s="1"/>
      <c r="C672" s="1"/>
      <c r="D672" s="1"/>
      <c r="E672" s="1"/>
      <c r="F672" s="1"/>
      <c r="G672" s="1"/>
      <c r="H672" s="1"/>
      <c r="I672" s="1"/>
      <c r="J672" s="1"/>
      <c r="K672" s="1"/>
      <c r="L672" s="1"/>
      <c r="M672" s="1"/>
      <c r="N672" s="1"/>
      <c r="O672" s="1"/>
      <c r="P672" s="1"/>
      <c r="Q672" s="1"/>
      <c r="R672" s="1"/>
      <c r="S672" s="1"/>
      <c r="T672" s="1"/>
      <c r="U672" s="2"/>
      <c r="V672" s="1"/>
      <c r="W672" s="1"/>
      <c r="X672" s="1"/>
      <c r="Y672" s="1"/>
      <c r="Z672" s="1"/>
    </row>
    <row r="673" spans="1:26" ht="24.75" customHeight="1">
      <c r="A673" s="1"/>
      <c r="B673" s="1"/>
      <c r="C673" s="1"/>
      <c r="D673" s="1"/>
      <c r="E673" s="1"/>
      <c r="F673" s="1"/>
      <c r="G673" s="1"/>
      <c r="H673" s="1"/>
      <c r="I673" s="1"/>
      <c r="J673" s="1"/>
      <c r="K673" s="1"/>
      <c r="L673" s="1"/>
      <c r="M673" s="1"/>
      <c r="N673" s="1"/>
      <c r="O673" s="1"/>
      <c r="P673" s="1"/>
      <c r="Q673" s="1"/>
      <c r="R673" s="1"/>
      <c r="S673" s="1"/>
      <c r="T673" s="1"/>
      <c r="U673" s="2"/>
      <c r="V673" s="1"/>
      <c r="W673" s="1"/>
      <c r="X673" s="1"/>
      <c r="Y673" s="1"/>
      <c r="Z673" s="1"/>
    </row>
    <row r="674" spans="1:26" ht="24.75" customHeight="1">
      <c r="A674" s="1"/>
      <c r="B674" s="1"/>
      <c r="C674" s="1"/>
      <c r="D674" s="1"/>
      <c r="E674" s="1"/>
      <c r="F674" s="1"/>
      <c r="G674" s="1"/>
      <c r="H674" s="1"/>
      <c r="I674" s="1"/>
      <c r="J674" s="1"/>
      <c r="K674" s="1"/>
      <c r="L674" s="1"/>
      <c r="M674" s="1"/>
      <c r="N674" s="1"/>
      <c r="O674" s="1"/>
      <c r="P674" s="1"/>
      <c r="Q674" s="1"/>
      <c r="R674" s="1"/>
      <c r="S674" s="1"/>
      <c r="T674" s="1"/>
      <c r="U674" s="2"/>
      <c r="V674" s="1"/>
      <c r="W674" s="1"/>
      <c r="X674" s="1"/>
      <c r="Y674" s="1"/>
      <c r="Z674" s="1"/>
    </row>
    <row r="675" spans="1:26" ht="24.75" customHeight="1">
      <c r="A675" s="1"/>
      <c r="B675" s="1"/>
      <c r="C675" s="1"/>
      <c r="D675" s="1"/>
      <c r="E675" s="1"/>
      <c r="F675" s="1"/>
      <c r="G675" s="1"/>
      <c r="H675" s="1"/>
      <c r="I675" s="1"/>
      <c r="J675" s="1"/>
      <c r="K675" s="1"/>
      <c r="L675" s="1"/>
      <c r="M675" s="1"/>
      <c r="N675" s="1"/>
      <c r="O675" s="1"/>
      <c r="P675" s="1"/>
      <c r="Q675" s="1"/>
      <c r="R675" s="1"/>
      <c r="S675" s="1"/>
      <c r="T675" s="1"/>
      <c r="U675" s="2"/>
      <c r="V675" s="1"/>
      <c r="W675" s="1"/>
      <c r="X675" s="1"/>
      <c r="Y675" s="1"/>
      <c r="Z675" s="1"/>
    </row>
    <row r="676" spans="1:26" ht="24.75" customHeight="1">
      <c r="A676" s="1"/>
      <c r="B676" s="1"/>
      <c r="C676" s="1"/>
      <c r="D676" s="1"/>
      <c r="E676" s="1"/>
      <c r="F676" s="1"/>
      <c r="G676" s="1"/>
      <c r="H676" s="1"/>
      <c r="I676" s="1"/>
      <c r="J676" s="1"/>
      <c r="K676" s="1"/>
      <c r="L676" s="1"/>
      <c r="M676" s="1"/>
      <c r="N676" s="1"/>
      <c r="O676" s="1"/>
      <c r="P676" s="1"/>
      <c r="Q676" s="1"/>
      <c r="R676" s="1"/>
      <c r="S676" s="1"/>
      <c r="T676" s="1"/>
      <c r="U676" s="2"/>
      <c r="V676" s="1"/>
      <c r="W676" s="1"/>
      <c r="X676" s="1"/>
      <c r="Y676" s="1"/>
      <c r="Z676" s="1"/>
    </row>
    <row r="677" spans="1:26" ht="24.75" customHeight="1">
      <c r="A677" s="1"/>
      <c r="B677" s="1"/>
      <c r="C677" s="1"/>
      <c r="D677" s="1"/>
      <c r="E677" s="1"/>
      <c r="F677" s="1"/>
      <c r="G677" s="1"/>
      <c r="H677" s="1"/>
      <c r="I677" s="1"/>
      <c r="J677" s="1"/>
      <c r="K677" s="1"/>
      <c r="L677" s="1"/>
      <c r="M677" s="1"/>
      <c r="N677" s="1"/>
      <c r="O677" s="1"/>
      <c r="P677" s="1"/>
      <c r="Q677" s="1"/>
      <c r="R677" s="1"/>
      <c r="S677" s="1"/>
      <c r="T677" s="1"/>
      <c r="U677" s="2"/>
      <c r="V677" s="1"/>
      <c r="W677" s="1"/>
      <c r="X677" s="1"/>
      <c r="Y677" s="1"/>
      <c r="Z677" s="1"/>
    </row>
    <row r="678" spans="1:26" ht="24.75" customHeight="1">
      <c r="A678" s="1"/>
      <c r="B678" s="1"/>
      <c r="C678" s="1"/>
      <c r="D678" s="1"/>
      <c r="E678" s="1"/>
      <c r="F678" s="1"/>
      <c r="G678" s="1"/>
      <c r="H678" s="1"/>
      <c r="I678" s="1"/>
      <c r="J678" s="1"/>
      <c r="K678" s="1"/>
      <c r="L678" s="1"/>
      <c r="M678" s="1"/>
      <c r="N678" s="1"/>
      <c r="O678" s="1"/>
      <c r="P678" s="1"/>
      <c r="Q678" s="1"/>
      <c r="R678" s="1"/>
      <c r="S678" s="1"/>
      <c r="T678" s="1"/>
      <c r="U678" s="2"/>
      <c r="V678" s="1"/>
      <c r="W678" s="1"/>
      <c r="X678" s="1"/>
      <c r="Y678" s="1"/>
      <c r="Z678" s="1"/>
    </row>
    <row r="679" spans="1:26" ht="24.75" customHeight="1">
      <c r="A679" s="1"/>
      <c r="B679" s="1"/>
      <c r="C679" s="1"/>
      <c r="D679" s="1"/>
      <c r="E679" s="1"/>
      <c r="F679" s="1"/>
      <c r="G679" s="1"/>
      <c r="H679" s="1"/>
      <c r="I679" s="1"/>
      <c r="J679" s="1"/>
      <c r="K679" s="1"/>
      <c r="L679" s="1"/>
      <c r="M679" s="1"/>
      <c r="N679" s="1"/>
      <c r="O679" s="1"/>
      <c r="P679" s="1"/>
      <c r="Q679" s="1"/>
      <c r="R679" s="1"/>
      <c r="S679" s="1"/>
      <c r="T679" s="1"/>
      <c r="U679" s="2"/>
      <c r="V679" s="1"/>
      <c r="W679" s="1"/>
      <c r="X679" s="1"/>
      <c r="Y679" s="1"/>
      <c r="Z679" s="1"/>
    </row>
    <row r="680" spans="1:26" ht="24.75" customHeight="1">
      <c r="A680" s="1"/>
      <c r="B680" s="1"/>
      <c r="C680" s="1"/>
      <c r="D680" s="1"/>
      <c r="E680" s="1"/>
      <c r="F680" s="1"/>
      <c r="G680" s="1"/>
      <c r="H680" s="1"/>
      <c r="I680" s="1"/>
      <c r="J680" s="1"/>
      <c r="K680" s="1"/>
      <c r="L680" s="1"/>
      <c r="M680" s="1"/>
      <c r="N680" s="1"/>
      <c r="O680" s="1"/>
      <c r="P680" s="1"/>
      <c r="Q680" s="1"/>
      <c r="R680" s="1"/>
      <c r="S680" s="1"/>
      <c r="T680" s="1"/>
      <c r="U680" s="2"/>
      <c r="V680" s="1"/>
      <c r="W680" s="1"/>
      <c r="X680" s="1"/>
      <c r="Y680" s="1"/>
      <c r="Z680" s="1"/>
    </row>
    <row r="681" spans="1:26" ht="24.75" customHeight="1">
      <c r="A681" s="1"/>
      <c r="B681" s="1"/>
      <c r="C681" s="1"/>
      <c r="D681" s="1"/>
      <c r="E681" s="1"/>
      <c r="F681" s="1"/>
      <c r="G681" s="1"/>
      <c r="H681" s="1"/>
      <c r="I681" s="1"/>
      <c r="J681" s="1"/>
      <c r="K681" s="1"/>
      <c r="L681" s="1"/>
      <c r="M681" s="1"/>
      <c r="N681" s="1"/>
      <c r="O681" s="1"/>
      <c r="P681" s="1"/>
      <c r="Q681" s="1"/>
      <c r="R681" s="1"/>
      <c r="S681" s="1"/>
      <c r="T681" s="1"/>
      <c r="U681" s="2"/>
      <c r="V681" s="1"/>
      <c r="W681" s="1"/>
      <c r="X681" s="1"/>
      <c r="Y681" s="1"/>
      <c r="Z681" s="1"/>
    </row>
    <row r="682" spans="1:26" ht="24.75" customHeight="1">
      <c r="A682" s="1"/>
      <c r="B682" s="1"/>
      <c r="C682" s="1"/>
      <c r="D682" s="1"/>
      <c r="E682" s="1"/>
      <c r="F682" s="1"/>
      <c r="G682" s="1"/>
      <c r="H682" s="1"/>
      <c r="I682" s="1"/>
      <c r="J682" s="1"/>
      <c r="K682" s="1"/>
      <c r="L682" s="1"/>
      <c r="M682" s="1"/>
      <c r="N682" s="1"/>
      <c r="O682" s="1"/>
      <c r="P682" s="1"/>
      <c r="Q682" s="1"/>
      <c r="R682" s="1"/>
      <c r="S682" s="1"/>
      <c r="T682" s="1"/>
      <c r="U682" s="2"/>
      <c r="V682" s="1"/>
      <c r="W682" s="1"/>
      <c r="X682" s="1"/>
      <c r="Y682" s="1"/>
      <c r="Z682" s="1"/>
    </row>
    <row r="683" spans="1:26" ht="24.75" customHeight="1">
      <c r="A683" s="1"/>
      <c r="B683" s="1"/>
      <c r="C683" s="1"/>
      <c r="D683" s="1"/>
      <c r="E683" s="1"/>
      <c r="F683" s="1"/>
      <c r="G683" s="1"/>
      <c r="H683" s="1"/>
      <c r="I683" s="1"/>
      <c r="J683" s="1"/>
      <c r="K683" s="1"/>
      <c r="L683" s="1"/>
      <c r="M683" s="1"/>
      <c r="N683" s="1"/>
      <c r="O683" s="1"/>
      <c r="P683" s="1"/>
      <c r="Q683" s="1"/>
      <c r="R683" s="1"/>
      <c r="S683" s="1"/>
      <c r="T683" s="1"/>
      <c r="U683" s="2"/>
      <c r="V683" s="1"/>
      <c r="W683" s="1"/>
      <c r="X683" s="1"/>
      <c r="Y683" s="1"/>
      <c r="Z683" s="1"/>
    </row>
    <row r="684" spans="1:26" ht="24.75" customHeight="1">
      <c r="A684" s="1"/>
      <c r="B684" s="1"/>
      <c r="C684" s="1"/>
      <c r="D684" s="1"/>
      <c r="E684" s="1"/>
      <c r="F684" s="1"/>
      <c r="G684" s="1"/>
      <c r="H684" s="1"/>
      <c r="I684" s="1"/>
      <c r="J684" s="1"/>
      <c r="K684" s="1"/>
      <c r="L684" s="1"/>
      <c r="M684" s="1"/>
      <c r="N684" s="1"/>
      <c r="O684" s="1"/>
      <c r="P684" s="1"/>
      <c r="Q684" s="1"/>
      <c r="R684" s="1"/>
      <c r="S684" s="1"/>
      <c r="T684" s="1"/>
      <c r="U684" s="2"/>
      <c r="V684" s="1"/>
      <c r="W684" s="1"/>
      <c r="X684" s="1"/>
      <c r="Y684" s="1"/>
      <c r="Z684" s="1"/>
    </row>
    <row r="685" spans="1:26" ht="24.75" customHeight="1">
      <c r="A685" s="1"/>
      <c r="B685" s="1"/>
      <c r="C685" s="1"/>
      <c r="D685" s="1"/>
      <c r="E685" s="1"/>
      <c r="F685" s="1"/>
      <c r="G685" s="1"/>
      <c r="H685" s="1"/>
      <c r="I685" s="1"/>
      <c r="J685" s="1"/>
      <c r="K685" s="1"/>
      <c r="L685" s="1"/>
      <c r="M685" s="1"/>
      <c r="N685" s="1"/>
      <c r="O685" s="1"/>
      <c r="P685" s="1"/>
      <c r="Q685" s="1"/>
      <c r="R685" s="1"/>
      <c r="S685" s="1"/>
      <c r="T685" s="1"/>
      <c r="U685" s="2"/>
      <c r="V685" s="1"/>
      <c r="W685" s="1"/>
      <c r="X685" s="1"/>
      <c r="Y685" s="1"/>
      <c r="Z685" s="1"/>
    </row>
    <row r="686" spans="1:26" ht="24.75" customHeight="1">
      <c r="A686" s="1"/>
      <c r="B686" s="1"/>
      <c r="C686" s="1"/>
      <c r="D686" s="1"/>
      <c r="E686" s="1"/>
      <c r="F686" s="1"/>
      <c r="G686" s="1"/>
      <c r="H686" s="1"/>
      <c r="I686" s="1"/>
      <c r="J686" s="1"/>
      <c r="K686" s="1"/>
      <c r="L686" s="1"/>
      <c r="M686" s="1"/>
      <c r="N686" s="1"/>
      <c r="O686" s="1"/>
      <c r="P686" s="1"/>
      <c r="Q686" s="1"/>
      <c r="R686" s="1"/>
      <c r="S686" s="1"/>
      <c r="T686" s="1"/>
      <c r="U686" s="2"/>
      <c r="V686" s="1"/>
      <c r="W686" s="1"/>
      <c r="X686" s="1"/>
      <c r="Y686" s="1"/>
      <c r="Z686" s="1"/>
    </row>
    <row r="687" spans="1:26" ht="24.75" customHeight="1">
      <c r="A687" s="1"/>
      <c r="B687" s="1"/>
      <c r="C687" s="1"/>
      <c r="D687" s="1"/>
      <c r="E687" s="1"/>
      <c r="F687" s="1"/>
      <c r="G687" s="1"/>
      <c r="H687" s="1"/>
      <c r="I687" s="1"/>
      <c r="J687" s="1"/>
      <c r="K687" s="1"/>
      <c r="L687" s="1"/>
      <c r="M687" s="1"/>
      <c r="N687" s="1"/>
      <c r="O687" s="1"/>
      <c r="P687" s="1"/>
      <c r="Q687" s="1"/>
      <c r="R687" s="1"/>
      <c r="S687" s="1"/>
      <c r="T687" s="1"/>
      <c r="U687" s="2"/>
      <c r="V687" s="1"/>
      <c r="W687" s="1"/>
      <c r="X687" s="1"/>
      <c r="Y687" s="1"/>
      <c r="Z687" s="1"/>
    </row>
    <row r="688" spans="1:26" ht="24.75" customHeight="1">
      <c r="A688" s="1"/>
      <c r="B688" s="1"/>
      <c r="C688" s="1"/>
      <c r="D688" s="1"/>
      <c r="E688" s="1"/>
      <c r="F688" s="1"/>
      <c r="G688" s="1"/>
      <c r="H688" s="1"/>
      <c r="I688" s="1"/>
      <c r="J688" s="1"/>
      <c r="K688" s="1"/>
      <c r="L688" s="1"/>
      <c r="M688" s="1"/>
      <c r="N688" s="1"/>
      <c r="O688" s="1"/>
      <c r="P688" s="1"/>
      <c r="Q688" s="1"/>
      <c r="R688" s="1"/>
      <c r="S688" s="1"/>
      <c r="T688" s="1"/>
      <c r="U688" s="2"/>
      <c r="V688" s="1"/>
      <c r="W688" s="1"/>
      <c r="X688" s="1"/>
      <c r="Y688" s="1"/>
      <c r="Z688" s="1"/>
    </row>
    <row r="689" spans="1:26" ht="24.75" customHeight="1">
      <c r="A689" s="1"/>
      <c r="B689" s="1"/>
      <c r="C689" s="1"/>
      <c r="D689" s="1"/>
      <c r="E689" s="1"/>
      <c r="F689" s="1"/>
      <c r="G689" s="1"/>
      <c r="H689" s="1"/>
      <c r="I689" s="1"/>
      <c r="J689" s="1"/>
      <c r="K689" s="1"/>
      <c r="L689" s="1"/>
      <c r="M689" s="1"/>
      <c r="N689" s="1"/>
      <c r="O689" s="1"/>
      <c r="P689" s="1"/>
      <c r="Q689" s="1"/>
      <c r="R689" s="1"/>
      <c r="S689" s="1"/>
      <c r="T689" s="1"/>
      <c r="U689" s="2"/>
      <c r="V689" s="1"/>
      <c r="W689" s="1"/>
      <c r="X689" s="1"/>
      <c r="Y689" s="1"/>
      <c r="Z689" s="1"/>
    </row>
    <row r="690" spans="1:26" ht="24.75" customHeight="1">
      <c r="A690" s="1"/>
      <c r="B690" s="1"/>
      <c r="C690" s="1"/>
      <c r="D690" s="1"/>
      <c r="E690" s="1"/>
      <c r="F690" s="1"/>
      <c r="G690" s="1"/>
      <c r="H690" s="1"/>
      <c r="I690" s="1"/>
      <c r="J690" s="1"/>
      <c r="K690" s="1"/>
      <c r="L690" s="1"/>
      <c r="M690" s="1"/>
      <c r="N690" s="1"/>
      <c r="O690" s="1"/>
      <c r="P690" s="1"/>
      <c r="Q690" s="1"/>
      <c r="R690" s="1"/>
      <c r="S690" s="1"/>
      <c r="T690" s="1"/>
      <c r="U690" s="2"/>
      <c r="V690" s="1"/>
      <c r="W690" s="1"/>
      <c r="X690" s="1"/>
      <c r="Y690" s="1"/>
      <c r="Z690" s="1"/>
    </row>
    <row r="691" spans="1:26" ht="24.75" customHeight="1">
      <c r="A691" s="1"/>
      <c r="B691" s="1"/>
      <c r="C691" s="1"/>
      <c r="D691" s="1"/>
      <c r="E691" s="1"/>
      <c r="F691" s="1"/>
      <c r="G691" s="1"/>
      <c r="H691" s="1"/>
      <c r="I691" s="1"/>
      <c r="J691" s="1"/>
      <c r="K691" s="1"/>
      <c r="L691" s="1"/>
      <c r="M691" s="1"/>
      <c r="N691" s="1"/>
      <c r="O691" s="1"/>
      <c r="P691" s="1"/>
      <c r="Q691" s="1"/>
      <c r="R691" s="1"/>
      <c r="S691" s="1"/>
      <c r="T691" s="1"/>
      <c r="U691" s="2"/>
      <c r="V691" s="1"/>
      <c r="W691" s="1"/>
      <c r="X691" s="1"/>
      <c r="Y691" s="1"/>
      <c r="Z691" s="1"/>
    </row>
    <row r="692" spans="1:26" ht="24.75" customHeight="1">
      <c r="A692" s="1"/>
      <c r="B692" s="1"/>
      <c r="C692" s="1"/>
      <c r="D692" s="1"/>
      <c r="E692" s="1"/>
      <c r="F692" s="1"/>
      <c r="G692" s="1"/>
      <c r="H692" s="1"/>
      <c r="I692" s="1"/>
      <c r="J692" s="1"/>
      <c r="K692" s="1"/>
      <c r="L692" s="1"/>
      <c r="M692" s="1"/>
      <c r="N692" s="1"/>
      <c r="O692" s="1"/>
      <c r="P692" s="1"/>
      <c r="Q692" s="1"/>
      <c r="R692" s="1"/>
      <c r="S692" s="1"/>
      <c r="T692" s="1"/>
      <c r="U692" s="2"/>
      <c r="V692" s="1"/>
      <c r="W692" s="1"/>
      <c r="X692" s="1"/>
      <c r="Y692" s="1"/>
      <c r="Z692" s="1"/>
    </row>
    <row r="693" spans="1:26" ht="24.75" customHeight="1">
      <c r="A693" s="1"/>
      <c r="B693" s="1"/>
      <c r="C693" s="1"/>
      <c r="D693" s="1"/>
      <c r="E693" s="1"/>
      <c r="F693" s="1"/>
      <c r="G693" s="1"/>
      <c r="H693" s="1"/>
      <c r="I693" s="1"/>
      <c r="J693" s="1"/>
      <c r="K693" s="1"/>
      <c r="L693" s="1"/>
      <c r="M693" s="1"/>
      <c r="N693" s="1"/>
      <c r="O693" s="1"/>
      <c r="P693" s="1"/>
      <c r="Q693" s="1"/>
      <c r="R693" s="1"/>
      <c r="S693" s="1"/>
      <c r="T693" s="1"/>
      <c r="U693" s="2"/>
      <c r="V693" s="1"/>
      <c r="W693" s="1"/>
      <c r="X693" s="1"/>
      <c r="Y693" s="1"/>
      <c r="Z693" s="1"/>
    </row>
    <row r="694" spans="1:26" ht="24.75" customHeight="1">
      <c r="A694" s="1"/>
      <c r="B694" s="1"/>
      <c r="C694" s="1"/>
      <c r="D694" s="1"/>
      <c r="E694" s="1"/>
      <c r="F694" s="1"/>
      <c r="G694" s="1"/>
      <c r="H694" s="1"/>
      <c r="I694" s="1"/>
      <c r="J694" s="1"/>
      <c r="K694" s="1"/>
      <c r="L694" s="1"/>
      <c r="M694" s="1"/>
      <c r="N694" s="1"/>
      <c r="O694" s="1"/>
      <c r="P694" s="1"/>
      <c r="Q694" s="1"/>
      <c r="R694" s="1"/>
      <c r="S694" s="1"/>
      <c r="T694" s="1"/>
      <c r="U694" s="2"/>
      <c r="V694" s="1"/>
      <c r="W694" s="1"/>
      <c r="X694" s="1"/>
      <c r="Y694" s="1"/>
      <c r="Z694" s="1"/>
    </row>
    <row r="695" spans="1:26" ht="24.75" customHeight="1">
      <c r="A695" s="1"/>
      <c r="B695" s="1"/>
      <c r="C695" s="1"/>
      <c r="D695" s="1"/>
      <c r="E695" s="1"/>
      <c r="F695" s="1"/>
      <c r="G695" s="1"/>
      <c r="H695" s="1"/>
      <c r="I695" s="1"/>
      <c r="J695" s="1"/>
      <c r="K695" s="1"/>
      <c r="L695" s="1"/>
      <c r="M695" s="1"/>
      <c r="N695" s="1"/>
      <c r="O695" s="1"/>
      <c r="P695" s="1"/>
      <c r="Q695" s="1"/>
      <c r="R695" s="1"/>
      <c r="S695" s="1"/>
      <c r="T695" s="1"/>
      <c r="U695" s="2"/>
      <c r="V695" s="1"/>
      <c r="W695" s="1"/>
      <c r="X695" s="1"/>
      <c r="Y695" s="1"/>
      <c r="Z695" s="1"/>
    </row>
    <row r="696" spans="1:26" ht="24.75" customHeight="1">
      <c r="A696" s="1"/>
      <c r="B696" s="1"/>
      <c r="C696" s="1"/>
      <c r="D696" s="1"/>
      <c r="E696" s="1"/>
      <c r="F696" s="1"/>
      <c r="G696" s="1"/>
      <c r="H696" s="1"/>
      <c r="I696" s="1"/>
      <c r="J696" s="1"/>
      <c r="K696" s="1"/>
      <c r="L696" s="1"/>
      <c r="M696" s="1"/>
      <c r="N696" s="1"/>
      <c r="O696" s="1"/>
      <c r="P696" s="1"/>
      <c r="Q696" s="1"/>
      <c r="R696" s="1"/>
      <c r="S696" s="1"/>
      <c r="T696" s="1"/>
      <c r="U696" s="2"/>
      <c r="V696" s="1"/>
      <c r="W696" s="1"/>
      <c r="X696" s="1"/>
      <c r="Y696" s="1"/>
      <c r="Z696" s="1"/>
    </row>
    <row r="697" spans="1:26" ht="24.75" customHeight="1">
      <c r="A697" s="1"/>
      <c r="B697" s="1"/>
      <c r="C697" s="1"/>
      <c r="D697" s="1"/>
      <c r="E697" s="1"/>
      <c r="F697" s="1"/>
      <c r="G697" s="1"/>
      <c r="H697" s="1"/>
      <c r="I697" s="1"/>
      <c r="J697" s="1"/>
      <c r="K697" s="1"/>
      <c r="L697" s="1"/>
      <c r="M697" s="1"/>
      <c r="N697" s="1"/>
      <c r="O697" s="1"/>
      <c r="P697" s="1"/>
      <c r="Q697" s="1"/>
      <c r="R697" s="1"/>
      <c r="S697" s="1"/>
      <c r="T697" s="1"/>
      <c r="U697" s="2"/>
      <c r="V697" s="1"/>
      <c r="W697" s="1"/>
      <c r="X697" s="1"/>
      <c r="Y697" s="1"/>
      <c r="Z697" s="1"/>
    </row>
    <row r="698" spans="1:26" ht="24.75" customHeight="1">
      <c r="A698" s="1"/>
      <c r="B698" s="1"/>
      <c r="C698" s="1"/>
      <c r="D698" s="1"/>
      <c r="E698" s="1"/>
      <c r="F698" s="1"/>
      <c r="G698" s="1"/>
      <c r="H698" s="1"/>
      <c r="I698" s="1"/>
      <c r="J698" s="1"/>
      <c r="K698" s="1"/>
      <c r="L698" s="1"/>
      <c r="M698" s="1"/>
      <c r="N698" s="1"/>
      <c r="O698" s="1"/>
      <c r="P698" s="1"/>
      <c r="Q698" s="1"/>
      <c r="R698" s="1"/>
      <c r="S698" s="1"/>
      <c r="T698" s="1"/>
      <c r="U698" s="2"/>
      <c r="V698" s="1"/>
      <c r="W698" s="1"/>
      <c r="X698" s="1"/>
      <c r="Y698" s="1"/>
      <c r="Z698" s="1"/>
    </row>
    <row r="699" spans="1:26" ht="24.75" customHeight="1">
      <c r="A699" s="1"/>
      <c r="B699" s="1"/>
      <c r="C699" s="1"/>
      <c r="D699" s="1"/>
      <c r="E699" s="1"/>
      <c r="F699" s="1"/>
      <c r="G699" s="1"/>
      <c r="H699" s="1"/>
      <c r="I699" s="1"/>
      <c r="J699" s="1"/>
      <c r="K699" s="1"/>
      <c r="L699" s="1"/>
      <c r="M699" s="1"/>
      <c r="N699" s="1"/>
      <c r="O699" s="1"/>
      <c r="P699" s="1"/>
      <c r="Q699" s="1"/>
      <c r="R699" s="1"/>
      <c r="S699" s="1"/>
      <c r="T699" s="1"/>
      <c r="U699" s="2"/>
      <c r="V699" s="1"/>
      <c r="W699" s="1"/>
      <c r="X699" s="1"/>
      <c r="Y699" s="1"/>
      <c r="Z699" s="1"/>
    </row>
    <row r="700" spans="1:26" ht="24.75" customHeight="1">
      <c r="A700" s="1"/>
      <c r="B700" s="1"/>
      <c r="C700" s="1"/>
      <c r="D700" s="1"/>
      <c r="E700" s="1"/>
      <c r="F700" s="1"/>
      <c r="G700" s="1"/>
      <c r="H700" s="1"/>
      <c r="I700" s="1"/>
      <c r="J700" s="1"/>
      <c r="K700" s="1"/>
      <c r="L700" s="1"/>
      <c r="M700" s="1"/>
      <c r="N700" s="1"/>
      <c r="O700" s="1"/>
      <c r="P700" s="1"/>
      <c r="Q700" s="1"/>
      <c r="R700" s="1"/>
      <c r="S700" s="1"/>
      <c r="T700" s="1"/>
      <c r="U700" s="2"/>
      <c r="V700" s="1"/>
      <c r="W700" s="1"/>
      <c r="X700" s="1"/>
      <c r="Y700" s="1"/>
      <c r="Z700" s="1"/>
    </row>
    <row r="701" spans="1:26" ht="24.75" customHeight="1">
      <c r="A701" s="1"/>
      <c r="B701" s="1"/>
      <c r="C701" s="1"/>
      <c r="D701" s="1"/>
      <c r="E701" s="1"/>
      <c r="F701" s="1"/>
      <c r="G701" s="1"/>
      <c r="H701" s="1"/>
      <c r="I701" s="1"/>
      <c r="J701" s="1"/>
      <c r="K701" s="1"/>
      <c r="L701" s="1"/>
      <c r="M701" s="1"/>
      <c r="N701" s="1"/>
      <c r="O701" s="1"/>
      <c r="P701" s="1"/>
      <c r="Q701" s="1"/>
      <c r="R701" s="1"/>
      <c r="S701" s="1"/>
      <c r="T701" s="1"/>
      <c r="U701" s="2"/>
      <c r="V701" s="1"/>
      <c r="W701" s="1"/>
      <c r="X701" s="1"/>
      <c r="Y701" s="1"/>
      <c r="Z701" s="1"/>
    </row>
    <row r="702" spans="1:26" ht="24.75" customHeight="1">
      <c r="A702" s="1"/>
      <c r="B702" s="1"/>
      <c r="C702" s="1"/>
      <c r="D702" s="1"/>
      <c r="E702" s="1"/>
      <c r="F702" s="1"/>
      <c r="G702" s="1"/>
      <c r="H702" s="1"/>
      <c r="I702" s="1"/>
      <c r="J702" s="1"/>
      <c r="K702" s="1"/>
      <c r="L702" s="1"/>
      <c r="M702" s="1"/>
      <c r="N702" s="1"/>
      <c r="O702" s="1"/>
      <c r="P702" s="1"/>
      <c r="Q702" s="1"/>
      <c r="R702" s="1"/>
      <c r="S702" s="1"/>
      <c r="T702" s="1"/>
      <c r="U702" s="2"/>
      <c r="V702" s="1"/>
      <c r="W702" s="1"/>
      <c r="X702" s="1"/>
      <c r="Y702" s="1"/>
      <c r="Z702" s="1"/>
    </row>
    <row r="703" spans="1:26" ht="24.75" customHeight="1">
      <c r="A703" s="1"/>
      <c r="B703" s="1"/>
      <c r="C703" s="1"/>
      <c r="D703" s="1"/>
      <c r="E703" s="1"/>
      <c r="F703" s="1"/>
      <c r="G703" s="1"/>
      <c r="H703" s="1"/>
      <c r="I703" s="1"/>
      <c r="J703" s="1"/>
      <c r="K703" s="1"/>
      <c r="L703" s="1"/>
      <c r="M703" s="1"/>
      <c r="N703" s="1"/>
      <c r="O703" s="1"/>
      <c r="P703" s="1"/>
      <c r="Q703" s="1"/>
      <c r="R703" s="1"/>
      <c r="S703" s="1"/>
      <c r="T703" s="1"/>
      <c r="U703" s="2"/>
      <c r="V703" s="1"/>
      <c r="W703" s="1"/>
      <c r="X703" s="1"/>
      <c r="Y703" s="1"/>
      <c r="Z703" s="1"/>
    </row>
    <row r="704" spans="1:26" ht="24.75" customHeight="1">
      <c r="A704" s="1"/>
      <c r="B704" s="1"/>
      <c r="C704" s="1"/>
      <c r="D704" s="1"/>
      <c r="E704" s="1"/>
      <c r="F704" s="1"/>
      <c r="G704" s="1"/>
      <c r="H704" s="1"/>
      <c r="I704" s="1"/>
      <c r="J704" s="1"/>
      <c r="K704" s="1"/>
      <c r="L704" s="1"/>
      <c r="M704" s="1"/>
      <c r="N704" s="1"/>
      <c r="O704" s="1"/>
      <c r="P704" s="1"/>
      <c r="Q704" s="1"/>
      <c r="R704" s="1"/>
      <c r="S704" s="1"/>
      <c r="T704" s="1"/>
      <c r="U704" s="2"/>
      <c r="V704" s="1"/>
      <c r="W704" s="1"/>
      <c r="X704" s="1"/>
      <c r="Y704" s="1"/>
      <c r="Z704" s="1"/>
    </row>
    <row r="705" spans="1:26" ht="24.75" customHeight="1">
      <c r="A705" s="1"/>
      <c r="B705" s="1"/>
      <c r="C705" s="1"/>
      <c r="D705" s="1"/>
      <c r="E705" s="1"/>
      <c r="F705" s="1"/>
      <c r="G705" s="1"/>
      <c r="H705" s="1"/>
      <c r="I705" s="1"/>
      <c r="J705" s="1"/>
      <c r="K705" s="1"/>
      <c r="L705" s="1"/>
      <c r="M705" s="1"/>
      <c r="N705" s="1"/>
      <c r="O705" s="1"/>
      <c r="P705" s="1"/>
      <c r="Q705" s="1"/>
      <c r="R705" s="1"/>
      <c r="S705" s="1"/>
      <c r="T705" s="1"/>
      <c r="U705" s="2"/>
      <c r="V705" s="1"/>
      <c r="W705" s="1"/>
      <c r="X705" s="1"/>
      <c r="Y705" s="1"/>
      <c r="Z705" s="1"/>
    </row>
    <row r="706" spans="1:26" ht="24.75" customHeight="1">
      <c r="A706" s="1"/>
      <c r="B706" s="1"/>
      <c r="C706" s="1"/>
      <c r="D706" s="1"/>
      <c r="E706" s="1"/>
      <c r="F706" s="1"/>
      <c r="G706" s="1"/>
      <c r="H706" s="1"/>
      <c r="I706" s="1"/>
      <c r="J706" s="1"/>
      <c r="K706" s="1"/>
      <c r="L706" s="1"/>
      <c r="M706" s="1"/>
      <c r="N706" s="1"/>
      <c r="O706" s="1"/>
      <c r="P706" s="1"/>
      <c r="Q706" s="1"/>
      <c r="R706" s="1"/>
      <c r="S706" s="1"/>
      <c r="T706" s="1"/>
      <c r="U706" s="2"/>
      <c r="V706" s="1"/>
      <c r="W706" s="1"/>
      <c r="X706" s="1"/>
      <c r="Y706" s="1"/>
      <c r="Z706" s="1"/>
    </row>
    <row r="707" spans="1:26" ht="24.75" customHeight="1">
      <c r="A707" s="1"/>
      <c r="B707" s="1"/>
      <c r="C707" s="1"/>
      <c r="D707" s="1"/>
      <c r="E707" s="1"/>
      <c r="F707" s="1"/>
      <c r="G707" s="1"/>
      <c r="H707" s="1"/>
      <c r="I707" s="1"/>
      <c r="J707" s="1"/>
      <c r="K707" s="1"/>
      <c r="L707" s="1"/>
      <c r="M707" s="1"/>
      <c r="N707" s="1"/>
      <c r="O707" s="1"/>
      <c r="P707" s="1"/>
      <c r="Q707" s="1"/>
      <c r="R707" s="1"/>
      <c r="S707" s="1"/>
      <c r="T707" s="1"/>
      <c r="U707" s="2"/>
      <c r="V707" s="1"/>
      <c r="W707" s="1"/>
      <c r="X707" s="1"/>
      <c r="Y707" s="1"/>
      <c r="Z707" s="1"/>
    </row>
    <row r="708" spans="1:26" ht="24.75" customHeight="1">
      <c r="A708" s="1"/>
      <c r="B708" s="1"/>
      <c r="C708" s="1"/>
      <c r="D708" s="1"/>
      <c r="E708" s="1"/>
      <c r="F708" s="1"/>
      <c r="G708" s="1"/>
      <c r="H708" s="1"/>
      <c r="I708" s="1"/>
      <c r="J708" s="1"/>
      <c r="K708" s="1"/>
      <c r="L708" s="1"/>
      <c r="M708" s="1"/>
      <c r="N708" s="1"/>
      <c r="O708" s="1"/>
      <c r="P708" s="1"/>
      <c r="Q708" s="1"/>
      <c r="R708" s="1"/>
      <c r="S708" s="1"/>
      <c r="T708" s="1"/>
      <c r="U708" s="2"/>
      <c r="V708" s="1"/>
      <c r="W708" s="1"/>
      <c r="X708" s="1"/>
      <c r="Y708" s="1"/>
      <c r="Z708" s="1"/>
    </row>
    <row r="709" spans="1:26" ht="24.75" customHeight="1">
      <c r="A709" s="1"/>
      <c r="B709" s="1"/>
      <c r="C709" s="1"/>
      <c r="D709" s="1"/>
      <c r="E709" s="1"/>
      <c r="F709" s="1"/>
      <c r="G709" s="1"/>
      <c r="H709" s="1"/>
      <c r="I709" s="1"/>
      <c r="J709" s="1"/>
      <c r="K709" s="1"/>
      <c r="L709" s="1"/>
      <c r="M709" s="1"/>
      <c r="N709" s="1"/>
      <c r="O709" s="1"/>
      <c r="P709" s="1"/>
      <c r="Q709" s="1"/>
      <c r="R709" s="1"/>
      <c r="S709" s="1"/>
      <c r="T709" s="1"/>
      <c r="U709" s="2"/>
      <c r="V709" s="1"/>
      <c r="W709" s="1"/>
      <c r="X709" s="1"/>
      <c r="Y709" s="1"/>
      <c r="Z709" s="1"/>
    </row>
    <row r="710" spans="1:26" ht="24.75" customHeight="1">
      <c r="A710" s="1"/>
      <c r="B710" s="1"/>
      <c r="C710" s="1"/>
      <c r="D710" s="1"/>
      <c r="E710" s="1"/>
      <c r="F710" s="1"/>
      <c r="G710" s="1"/>
      <c r="H710" s="1"/>
      <c r="I710" s="1"/>
      <c r="J710" s="1"/>
      <c r="K710" s="1"/>
      <c r="L710" s="1"/>
      <c r="M710" s="1"/>
      <c r="N710" s="1"/>
      <c r="O710" s="1"/>
      <c r="P710" s="1"/>
      <c r="Q710" s="1"/>
      <c r="R710" s="1"/>
      <c r="S710" s="1"/>
      <c r="T710" s="1"/>
      <c r="U710" s="2"/>
      <c r="V710" s="1"/>
      <c r="W710" s="1"/>
      <c r="X710" s="1"/>
      <c r="Y710" s="1"/>
      <c r="Z710" s="1"/>
    </row>
    <row r="711" spans="1:26" ht="24.75" customHeight="1">
      <c r="A711" s="1"/>
      <c r="B711" s="1"/>
      <c r="C711" s="1"/>
      <c r="D711" s="1"/>
      <c r="E711" s="1"/>
      <c r="F711" s="1"/>
      <c r="G711" s="1"/>
      <c r="H711" s="1"/>
      <c r="I711" s="1"/>
      <c r="J711" s="1"/>
      <c r="K711" s="1"/>
      <c r="L711" s="1"/>
      <c r="M711" s="1"/>
      <c r="N711" s="1"/>
      <c r="O711" s="1"/>
      <c r="P711" s="1"/>
      <c r="Q711" s="1"/>
      <c r="R711" s="1"/>
      <c r="S711" s="1"/>
      <c r="T711" s="1"/>
      <c r="U711" s="2"/>
      <c r="V711" s="1"/>
      <c r="W711" s="1"/>
      <c r="X711" s="1"/>
      <c r="Y711" s="1"/>
      <c r="Z711" s="1"/>
    </row>
    <row r="712" spans="1:26" ht="24.75" customHeight="1">
      <c r="A712" s="1"/>
      <c r="B712" s="1"/>
      <c r="C712" s="1"/>
      <c r="D712" s="1"/>
      <c r="E712" s="1"/>
      <c r="F712" s="1"/>
      <c r="G712" s="1"/>
      <c r="H712" s="1"/>
      <c r="I712" s="1"/>
      <c r="J712" s="1"/>
      <c r="K712" s="1"/>
      <c r="L712" s="1"/>
      <c r="M712" s="1"/>
      <c r="N712" s="1"/>
      <c r="O712" s="1"/>
      <c r="P712" s="1"/>
      <c r="Q712" s="1"/>
      <c r="R712" s="1"/>
      <c r="S712" s="1"/>
      <c r="T712" s="1"/>
      <c r="U712" s="2"/>
      <c r="V712" s="1"/>
      <c r="W712" s="1"/>
      <c r="X712" s="1"/>
      <c r="Y712" s="1"/>
      <c r="Z712" s="1"/>
    </row>
    <row r="713" spans="1:26" ht="24.75" customHeight="1">
      <c r="A713" s="1"/>
      <c r="B713" s="1"/>
      <c r="C713" s="1"/>
      <c r="D713" s="1"/>
      <c r="E713" s="1"/>
      <c r="F713" s="1"/>
      <c r="G713" s="1"/>
      <c r="H713" s="1"/>
      <c r="I713" s="1"/>
      <c r="J713" s="1"/>
      <c r="K713" s="1"/>
      <c r="L713" s="1"/>
      <c r="M713" s="1"/>
      <c r="N713" s="1"/>
      <c r="O713" s="1"/>
      <c r="P713" s="1"/>
      <c r="Q713" s="1"/>
      <c r="R713" s="1"/>
      <c r="S713" s="1"/>
      <c r="T713" s="1"/>
      <c r="U713" s="2"/>
      <c r="V713" s="1"/>
      <c r="W713" s="1"/>
      <c r="X713" s="1"/>
      <c r="Y713" s="1"/>
      <c r="Z713" s="1"/>
    </row>
    <row r="714" spans="1:26" ht="24.75" customHeight="1">
      <c r="A714" s="1"/>
      <c r="B714" s="1"/>
      <c r="C714" s="1"/>
      <c r="D714" s="1"/>
      <c r="E714" s="1"/>
      <c r="F714" s="1"/>
      <c r="G714" s="1"/>
      <c r="H714" s="1"/>
      <c r="I714" s="1"/>
      <c r="J714" s="1"/>
      <c r="K714" s="1"/>
      <c r="L714" s="1"/>
      <c r="M714" s="1"/>
      <c r="N714" s="1"/>
      <c r="O714" s="1"/>
      <c r="P714" s="1"/>
      <c r="Q714" s="1"/>
      <c r="R714" s="1"/>
      <c r="S714" s="1"/>
      <c r="T714" s="1"/>
      <c r="U714" s="2"/>
      <c r="V714" s="1"/>
      <c r="W714" s="1"/>
      <c r="X714" s="1"/>
      <c r="Y714" s="1"/>
      <c r="Z714" s="1"/>
    </row>
    <row r="715" spans="1:26" ht="24.75" customHeight="1">
      <c r="A715" s="1"/>
      <c r="B715" s="1"/>
      <c r="C715" s="1"/>
      <c r="D715" s="1"/>
      <c r="E715" s="1"/>
      <c r="F715" s="1"/>
      <c r="G715" s="1"/>
      <c r="H715" s="1"/>
      <c r="I715" s="1"/>
      <c r="J715" s="1"/>
      <c r="K715" s="1"/>
      <c r="L715" s="1"/>
      <c r="M715" s="1"/>
      <c r="N715" s="1"/>
      <c r="O715" s="1"/>
      <c r="P715" s="1"/>
      <c r="Q715" s="1"/>
      <c r="R715" s="1"/>
      <c r="S715" s="1"/>
      <c r="T715" s="1"/>
      <c r="U715" s="2"/>
      <c r="V715" s="1"/>
      <c r="W715" s="1"/>
      <c r="X715" s="1"/>
      <c r="Y715" s="1"/>
      <c r="Z715" s="1"/>
    </row>
    <row r="716" spans="1:26" ht="24.75" customHeight="1">
      <c r="A716" s="1"/>
      <c r="B716" s="1"/>
      <c r="C716" s="1"/>
      <c r="D716" s="1"/>
      <c r="E716" s="1"/>
      <c r="F716" s="1"/>
      <c r="G716" s="1"/>
      <c r="H716" s="1"/>
      <c r="I716" s="1"/>
      <c r="J716" s="1"/>
      <c r="K716" s="1"/>
      <c r="L716" s="1"/>
      <c r="M716" s="1"/>
      <c r="N716" s="1"/>
      <c r="O716" s="1"/>
      <c r="P716" s="1"/>
      <c r="Q716" s="1"/>
      <c r="R716" s="1"/>
      <c r="S716" s="1"/>
      <c r="T716" s="1"/>
      <c r="U716" s="2"/>
      <c r="V716" s="1"/>
      <c r="W716" s="1"/>
      <c r="X716" s="1"/>
      <c r="Y716" s="1"/>
      <c r="Z716" s="1"/>
    </row>
    <row r="717" spans="1:26" ht="24.75" customHeight="1">
      <c r="A717" s="1"/>
      <c r="B717" s="1"/>
      <c r="C717" s="1"/>
      <c r="D717" s="1"/>
      <c r="E717" s="1"/>
      <c r="F717" s="1"/>
      <c r="G717" s="1"/>
      <c r="H717" s="1"/>
      <c r="I717" s="1"/>
      <c r="J717" s="1"/>
      <c r="K717" s="1"/>
      <c r="L717" s="1"/>
      <c r="M717" s="1"/>
      <c r="N717" s="1"/>
      <c r="O717" s="1"/>
      <c r="P717" s="1"/>
      <c r="Q717" s="1"/>
      <c r="R717" s="1"/>
      <c r="S717" s="1"/>
      <c r="T717" s="1"/>
      <c r="U717" s="2"/>
      <c r="V717" s="1"/>
      <c r="W717" s="1"/>
      <c r="X717" s="1"/>
      <c r="Y717" s="1"/>
      <c r="Z717" s="1"/>
    </row>
    <row r="718" spans="1:26" ht="24.75" customHeight="1">
      <c r="A718" s="1"/>
      <c r="B718" s="1"/>
      <c r="C718" s="1"/>
      <c r="D718" s="1"/>
      <c r="E718" s="1"/>
      <c r="F718" s="1"/>
      <c r="G718" s="1"/>
      <c r="H718" s="1"/>
      <c r="I718" s="1"/>
      <c r="J718" s="1"/>
      <c r="K718" s="1"/>
      <c r="L718" s="1"/>
      <c r="M718" s="1"/>
      <c r="N718" s="1"/>
      <c r="O718" s="1"/>
      <c r="P718" s="1"/>
      <c r="Q718" s="1"/>
      <c r="R718" s="1"/>
      <c r="S718" s="1"/>
      <c r="T718" s="1"/>
      <c r="U718" s="2"/>
      <c r="V718" s="1"/>
      <c r="W718" s="1"/>
      <c r="X718" s="1"/>
      <c r="Y718" s="1"/>
      <c r="Z718" s="1"/>
    </row>
    <row r="719" spans="1:26" ht="24.75" customHeight="1">
      <c r="A719" s="1"/>
      <c r="B719" s="1"/>
      <c r="C719" s="1"/>
      <c r="D719" s="1"/>
      <c r="E719" s="1"/>
      <c r="F719" s="1"/>
      <c r="G719" s="1"/>
      <c r="H719" s="1"/>
      <c r="I719" s="1"/>
      <c r="J719" s="1"/>
      <c r="K719" s="1"/>
      <c r="L719" s="1"/>
      <c r="M719" s="1"/>
      <c r="N719" s="1"/>
      <c r="O719" s="1"/>
      <c r="P719" s="1"/>
      <c r="Q719" s="1"/>
      <c r="R719" s="1"/>
      <c r="S719" s="1"/>
      <c r="T719" s="1"/>
      <c r="U719" s="2"/>
      <c r="V719" s="1"/>
      <c r="W719" s="1"/>
      <c r="X719" s="1"/>
      <c r="Y719" s="1"/>
      <c r="Z719" s="1"/>
    </row>
    <row r="720" spans="1:26" ht="24.75" customHeight="1">
      <c r="A720" s="1"/>
      <c r="B720" s="1"/>
      <c r="C720" s="1"/>
      <c r="D720" s="1"/>
      <c r="E720" s="1"/>
      <c r="F720" s="1"/>
      <c r="G720" s="1"/>
      <c r="H720" s="1"/>
      <c r="I720" s="1"/>
      <c r="J720" s="1"/>
      <c r="K720" s="1"/>
      <c r="L720" s="1"/>
      <c r="M720" s="1"/>
      <c r="N720" s="1"/>
      <c r="O720" s="1"/>
      <c r="P720" s="1"/>
      <c r="Q720" s="1"/>
      <c r="R720" s="1"/>
      <c r="S720" s="1"/>
      <c r="T720" s="1"/>
      <c r="U720" s="2"/>
      <c r="V720" s="1"/>
      <c r="W720" s="1"/>
      <c r="X720" s="1"/>
      <c r="Y720" s="1"/>
      <c r="Z720" s="1"/>
    </row>
    <row r="721" spans="1:26" ht="24.75" customHeight="1">
      <c r="A721" s="1"/>
      <c r="B721" s="1"/>
      <c r="C721" s="1"/>
      <c r="D721" s="1"/>
      <c r="E721" s="1"/>
      <c r="F721" s="1"/>
      <c r="G721" s="1"/>
      <c r="H721" s="1"/>
      <c r="I721" s="1"/>
      <c r="J721" s="1"/>
      <c r="K721" s="1"/>
      <c r="L721" s="1"/>
      <c r="M721" s="1"/>
      <c r="N721" s="1"/>
      <c r="O721" s="1"/>
      <c r="P721" s="1"/>
      <c r="Q721" s="1"/>
      <c r="R721" s="1"/>
      <c r="S721" s="1"/>
      <c r="T721" s="1"/>
      <c r="U721" s="2"/>
      <c r="V721" s="1"/>
      <c r="W721" s="1"/>
      <c r="X721" s="1"/>
      <c r="Y721" s="1"/>
      <c r="Z721" s="1"/>
    </row>
    <row r="722" spans="1:26" ht="24.75" customHeight="1">
      <c r="A722" s="1"/>
      <c r="B722" s="1"/>
      <c r="C722" s="1"/>
      <c r="D722" s="1"/>
      <c r="E722" s="1"/>
      <c r="F722" s="1"/>
      <c r="G722" s="1"/>
      <c r="H722" s="1"/>
      <c r="I722" s="1"/>
      <c r="J722" s="1"/>
      <c r="K722" s="1"/>
      <c r="L722" s="1"/>
      <c r="M722" s="1"/>
      <c r="N722" s="1"/>
      <c r="O722" s="1"/>
      <c r="P722" s="1"/>
      <c r="Q722" s="1"/>
      <c r="R722" s="1"/>
      <c r="S722" s="1"/>
      <c r="T722" s="1"/>
      <c r="U722" s="2"/>
      <c r="V722" s="1"/>
      <c r="W722" s="1"/>
      <c r="X722" s="1"/>
      <c r="Y722" s="1"/>
      <c r="Z722" s="1"/>
    </row>
    <row r="723" spans="1:26" ht="24.75" customHeight="1">
      <c r="A723" s="1"/>
      <c r="B723" s="1"/>
      <c r="C723" s="1"/>
      <c r="D723" s="1"/>
      <c r="E723" s="1"/>
      <c r="F723" s="1"/>
      <c r="G723" s="1"/>
      <c r="H723" s="1"/>
      <c r="I723" s="1"/>
      <c r="J723" s="1"/>
      <c r="K723" s="1"/>
      <c r="L723" s="1"/>
      <c r="M723" s="1"/>
      <c r="N723" s="1"/>
      <c r="O723" s="1"/>
      <c r="P723" s="1"/>
      <c r="Q723" s="1"/>
      <c r="R723" s="1"/>
      <c r="S723" s="1"/>
      <c r="T723" s="1"/>
      <c r="U723" s="2"/>
      <c r="V723" s="1"/>
      <c r="W723" s="1"/>
      <c r="X723" s="1"/>
      <c r="Y723" s="1"/>
      <c r="Z723" s="1"/>
    </row>
    <row r="724" spans="1:26" ht="24.75" customHeight="1">
      <c r="A724" s="1"/>
      <c r="B724" s="1"/>
      <c r="C724" s="1"/>
      <c r="D724" s="1"/>
      <c r="E724" s="1"/>
      <c r="F724" s="1"/>
      <c r="G724" s="1"/>
      <c r="H724" s="1"/>
      <c r="I724" s="1"/>
      <c r="J724" s="1"/>
      <c r="K724" s="1"/>
      <c r="L724" s="1"/>
      <c r="M724" s="1"/>
      <c r="N724" s="1"/>
      <c r="O724" s="1"/>
      <c r="P724" s="1"/>
      <c r="Q724" s="1"/>
      <c r="R724" s="1"/>
      <c r="S724" s="1"/>
      <c r="T724" s="1"/>
      <c r="U724" s="2"/>
      <c r="V724" s="1"/>
      <c r="W724" s="1"/>
      <c r="X724" s="1"/>
      <c r="Y724" s="1"/>
      <c r="Z724" s="1"/>
    </row>
    <row r="725" spans="1:26" ht="24.75" customHeight="1">
      <c r="A725" s="1"/>
      <c r="B725" s="1"/>
      <c r="C725" s="1"/>
      <c r="D725" s="1"/>
      <c r="E725" s="1"/>
      <c r="F725" s="1"/>
      <c r="G725" s="1"/>
      <c r="H725" s="1"/>
      <c r="I725" s="1"/>
      <c r="J725" s="1"/>
      <c r="K725" s="1"/>
      <c r="L725" s="1"/>
      <c r="M725" s="1"/>
      <c r="N725" s="1"/>
      <c r="O725" s="1"/>
      <c r="P725" s="1"/>
      <c r="Q725" s="1"/>
      <c r="R725" s="1"/>
      <c r="S725" s="1"/>
      <c r="T725" s="1"/>
      <c r="U725" s="2"/>
      <c r="V725" s="1"/>
      <c r="W725" s="1"/>
      <c r="X725" s="1"/>
      <c r="Y725" s="1"/>
      <c r="Z725" s="1"/>
    </row>
    <row r="726" spans="1:26" ht="24.75" customHeight="1">
      <c r="A726" s="1"/>
      <c r="B726" s="1"/>
      <c r="C726" s="1"/>
      <c r="D726" s="1"/>
      <c r="E726" s="1"/>
      <c r="F726" s="1"/>
      <c r="G726" s="1"/>
      <c r="H726" s="1"/>
      <c r="I726" s="1"/>
      <c r="J726" s="1"/>
      <c r="K726" s="1"/>
      <c r="L726" s="1"/>
      <c r="M726" s="1"/>
      <c r="N726" s="1"/>
      <c r="O726" s="1"/>
      <c r="P726" s="1"/>
      <c r="Q726" s="1"/>
      <c r="R726" s="1"/>
      <c r="S726" s="1"/>
      <c r="T726" s="1"/>
      <c r="U726" s="2"/>
      <c r="V726" s="1"/>
      <c r="W726" s="1"/>
      <c r="X726" s="1"/>
      <c r="Y726" s="1"/>
      <c r="Z726" s="1"/>
    </row>
    <row r="727" spans="1:26" ht="24.75" customHeight="1">
      <c r="A727" s="1"/>
      <c r="B727" s="1"/>
      <c r="C727" s="1"/>
      <c r="D727" s="1"/>
      <c r="E727" s="1"/>
      <c r="F727" s="1"/>
      <c r="G727" s="1"/>
      <c r="H727" s="1"/>
      <c r="I727" s="1"/>
      <c r="J727" s="1"/>
      <c r="K727" s="1"/>
      <c r="L727" s="1"/>
      <c r="M727" s="1"/>
      <c r="N727" s="1"/>
      <c r="O727" s="1"/>
      <c r="P727" s="1"/>
      <c r="Q727" s="1"/>
      <c r="R727" s="1"/>
      <c r="S727" s="1"/>
      <c r="T727" s="1"/>
      <c r="U727" s="2"/>
      <c r="V727" s="1"/>
      <c r="W727" s="1"/>
      <c r="X727" s="1"/>
      <c r="Y727" s="1"/>
      <c r="Z727" s="1"/>
    </row>
    <row r="728" spans="1:26" ht="24.75" customHeight="1">
      <c r="A728" s="1"/>
      <c r="B728" s="1"/>
      <c r="C728" s="1"/>
      <c r="D728" s="1"/>
      <c r="E728" s="1"/>
      <c r="F728" s="1"/>
      <c r="G728" s="1"/>
      <c r="H728" s="1"/>
      <c r="I728" s="1"/>
      <c r="J728" s="1"/>
      <c r="K728" s="1"/>
      <c r="L728" s="1"/>
      <c r="M728" s="1"/>
      <c r="N728" s="1"/>
      <c r="O728" s="1"/>
      <c r="P728" s="1"/>
      <c r="Q728" s="1"/>
      <c r="R728" s="1"/>
      <c r="S728" s="1"/>
      <c r="T728" s="1"/>
      <c r="U728" s="2"/>
      <c r="V728" s="1"/>
      <c r="W728" s="1"/>
      <c r="X728" s="1"/>
      <c r="Y728" s="1"/>
      <c r="Z728" s="1"/>
    </row>
    <row r="729" spans="1:26" ht="24.75" customHeight="1">
      <c r="A729" s="1"/>
      <c r="B729" s="1"/>
      <c r="C729" s="1"/>
      <c r="D729" s="1"/>
      <c r="E729" s="1"/>
      <c r="F729" s="1"/>
      <c r="G729" s="1"/>
      <c r="H729" s="1"/>
      <c r="I729" s="1"/>
      <c r="J729" s="1"/>
      <c r="K729" s="1"/>
      <c r="L729" s="1"/>
      <c r="M729" s="1"/>
      <c r="N729" s="1"/>
      <c r="O729" s="1"/>
      <c r="P729" s="1"/>
      <c r="Q729" s="1"/>
      <c r="R729" s="1"/>
      <c r="S729" s="1"/>
      <c r="T729" s="1"/>
      <c r="U729" s="2"/>
      <c r="V729" s="1"/>
      <c r="W729" s="1"/>
      <c r="X729" s="1"/>
      <c r="Y729" s="1"/>
      <c r="Z729" s="1"/>
    </row>
    <row r="730" spans="1:26" ht="24.75" customHeight="1">
      <c r="A730" s="1"/>
      <c r="B730" s="1"/>
      <c r="C730" s="1"/>
      <c r="D730" s="1"/>
      <c r="E730" s="1"/>
      <c r="F730" s="1"/>
      <c r="G730" s="1"/>
      <c r="H730" s="1"/>
      <c r="I730" s="1"/>
      <c r="J730" s="1"/>
      <c r="K730" s="1"/>
      <c r="L730" s="1"/>
      <c r="M730" s="1"/>
      <c r="N730" s="1"/>
      <c r="O730" s="1"/>
      <c r="P730" s="1"/>
      <c r="Q730" s="1"/>
      <c r="R730" s="1"/>
      <c r="S730" s="1"/>
      <c r="T730" s="1"/>
      <c r="U730" s="2"/>
      <c r="V730" s="1"/>
      <c r="W730" s="1"/>
      <c r="X730" s="1"/>
      <c r="Y730" s="1"/>
      <c r="Z730" s="1"/>
    </row>
    <row r="731" spans="1:26" ht="24.75" customHeight="1">
      <c r="A731" s="1"/>
      <c r="B731" s="1"/>
      <c r="C731" s="1"/>
      <c r="D731" s="1"/>
      <c r="E731" s="1"/>
      <c r="F731" s="1"/>
      <c r="G731" s="1"/>
      <c r="H731" s="1"/>
      <c r="I731" s="1"/>
      <c r="J731" s="1"/>
      <c r="K731" s="1"/>
      <c r="L731" s="1"/>
      <c r="M731" s="1"/>
      <c r="N731" s="1"/>
      <c r="O731" s="1"/>
      <c r="P731" s="1"/>
      <c r="Q731" s="1"/>
      <c r="R731" s="1"/>
      <c r="S731" s="1"/>
      <c r="T731" s="1"/>
      <c r="U731" s="2"/>
      <c r="V731" s="1"/>
      <c r="W731" s="1"/>
      <c r="X731" s="1"/>
      <c r="Y731" s="1"/>
      <c r="Z731" s="1"/>
    </row>
    <row r="732" spans="1:26" ht="24.75" customHeight="1">
      <c r="A732" s="1"/>
      <c r="B732" s="1"/>
      <c r="C732" s="1"/>
      <c r="D732" s="1"/>
      <c r="E732" s="1"/>
      <c r="F732" s="1"/>
      <c r="G732" s="1"/>
      <c r="H732" s="1"/>
      <c r="I732" s="1"/>
      <c r="J732" s="1"/>
      <c r="K732" s="1"/>
      <c r="L732" s="1"/>
      <c r="M732" s="1"/>
      <c r="N732" s="1"/>
      <c r="O732" s="1"/>
      <c r="P732" s="1"/>
      <c r="Q732" s="1"/>
      <c r="R732" s="1"/>
      <c r="S732" s="1"/>
      <c r="T732" s="1"/>
      <c r="U732" s="2"/>
      <c r="V732" s="1"/>
      <c r="W732" s="1"/>
      <c r="X732" s="1"/>
      <c r="Y732" s="1"/>
      <c r="Z732" s="1"/>
    </row>
    <row r="733" spans="1:26" ht="24.75" customHeight="1">
      <c r="A733" s="1"/>
      <c r="B733" s="1"/>
      <c r="C733" s="1"/>
      <c r="D733" s="1"/>
      <c r="E733" s="1"/>
      <c r="F733" s="1"/>
      <c r="G733" s="1"/>
      <c r="H733" s="1"/>
      <c r="I733" s="1"/>
      <c r="J733" s="1"/>
      <c r="K733" s="1"/>
      <c r="L733" s="1"/>
      <c r="M733" s="1"/>
      <c r="N733" s="1"/>
      <c r="O733" s="1"/>
      <c r="P733" s="1"/>
      <c r="Q733" s="1"/>
      <c r="R733" s="1"/>
      <c r="S733" s="1"/>
      <c r="T733" s="1"/>
      <c r="U733" s="2"/>
      <c r="V733" s="1"/>
      <c r="W733" s="1"/>
      <c r="X733" s="1"/>
      <c r="Y733" s="1"/>
      <c r="Z733" s="1"/>
    </row>
    <row r="734" spans="1:26" ht="24.75" customHeight="1">
      <c r="A734" s="1"/>
      <c r="B734" s="1"/>
      <c r="C734" s="1"/>
      <c r="D734" s="1"/>
      <c r="E734" s="1"/>
      <c r="F734" s="1"/>
      <c r="G734" s="1"/>
      <c r="H734" s="1"/>
      <c r="I734" s="1"/>
      <c r="J734" s="1"/>
      <c r="K734" s="1"/>
      <c r="L734" s="1"/>
      <c r="M734" s="1"/>
      <c r="N734" s="1"/>
      <c r="O734" s="1"/>
      <c r="P734" s="1"/>
      <c r="Q734" s="1"/>
      <c r="R734" s="1"/>
      <c r="S734" s="1"/>
      <c r="T734" s="1"/>
      <c r="U734" s="2"/>
      <c r="V734" s="1"/>
      <c r="W734" s="1"/>
      <c r="X734" s="1"/>
      <c r="Y734" s="1"/>
      <c r="Z734" s="1"/>
    </row>
    <row r="735" spans="1:26" ht="24.75" customHeight="1">
      <c r="A735" s="1"/>
      <c r="B735" s="1"/>
      <c r="C735" s="1"/>
      <c r="D735" s="1"/>
      <c r="E735" s="1"/>
      <c r="F735" s="1"/>
      <c r="G735" s="1"/>
      <c r="H735" s="1"/>
      <c r="I735" s="1"/>
      <c r="J735" s="1"/>
      <c r="K735" s="1"/>
      <c r="L735" s="1"/>
      <c r="M735" s="1"/>
      <c r="N735" s="1"/>
      <c r="O735" s="1"/>
      <c r="P735" s="1"/>
      <c r="Q735" s="1"/>
      <c r="R735" s="1"/>
      <c r="S735" s="1"/>
      <c r="T735" s="1"/>
      <c r="U735" s="2"/>
      <c r="V735" s="1"/>
      <c r="W735" s="1"/>
      <c r="X735" s="1"/>
      <c r="Y735" s="1"/>
      <c r="Z735" s="1"/>
    </row>
    <row r="736" spans="1:26" ht="24.75" customHeight="1">
      <c r="A736" s="1"/>
      <c r="B736" s="1"/>
      <c r="C736" s="1"/>
      <c r="D736" s="1"/>
      <c r="E736" s="1"/>
      <c r="F736" s="1"/>
      <c r="G736" s="1"/>
      <c r="H736" s="1"/>
      <c r="I736" s="1"/>
      <c r="J736" s="1"/>
      <c r="K736" s="1"/>
      <c r="L736" s="1"/>
      <c r="M736" s="1"/>
      <c r="N736" s="1"/>
      <c r="O736" s="1"/>
      <c r="P736" s="1"/>
      <c r="Q736" s="1"/>
      <c r="R736" s="1"/>
      <c r="S736" s="1"/>
      <c r="T736" s="1"/>
      <c r="U736" s="2"/>
      <c r="V736" s="1"/>
      <c r="W736" s="1"/>
      <c r="X736" s="1"/>
      <c r="Y736" s="1"/>
      <c r="Z736" s="1"/>
    </row>
    <row r="737" spans="1:26" ht="24.75" customHeight="1">
      <c r="A737" s="1"/>
      <c r="B737" s="1"/>
      <c r="C737" s="1"/>
      <c r="D737" s="1"/>
      <c r="E737" s="1"/>
      <c r="F737" s="1"/>
      <c r="G737" s="1"/>
      <c r="H737" s="1"/>
      <c r="I737" s="1"/>
      <c r="J737" s="1"/>
      <c r="K737" s="1"/>
      <c r="L737" s="1"/>
      <c r="M737" s="1"/>
      <c r="N737" s="1"/>
      <c r="O737" s="1"/>
      <c r="P737" s="1"/>
      <c r="Q737" s="1"/>
      <c r="R737" s="1"/>
      <c r="S737" s="1"/>
      <c r="T737" s="1"/>
      <c r="U737" s="2"/>
      <c r="V737" s="1"/>
      <c r="W737" s="1"/>
      <c r="X737" s="1"/>
      <c r="Y737" s="1"/>
      <c r="Z737" s="1"/>
    </row>
    <row r="738" spans="1:26" ht="24.75" customHeight="1">
      <c r="A738" s="1"/>
      <c r="B738" s="1"/>
      <c r="C738" s="1"/>
      <c r="D738" s="1"/>
      <c r="E738" s="1"/>
      <c r="F738" s="1"/>
      <c r="G738" s="1"/>
      <c r="H738" s="1"/>
      <c r="I738" s="1"/>
      <c r="J738" s="1"/>
      <c r="K738" s="1"/>
      <c r="L738" s="1"/>
      <c r="M738" s="1"/>
      <c r="N738" s="1"/>
      <c r="O738" s="1"/>
      <c r="P738" s="1"/>
      <c r="Q738" s="1"/>
      <c r="R738" s="1"/>
      <c r="S738" s="1"/>
      <c r="T738" s="1"/>
      <c r="U738" s="2"/>
      <c r="V738" s="1"/>
      <c r="W738" s="1"/>
      <c r="X738" s="1"/>
      <c r="Y738" s="1"/>
      <c r="Z738" s="1"/>
    </row>
    <row r="739" spans="1:26" ht="24.75" customHeight="1">
      <c r="A739" s="1"/>
      <c r="B739" s="1"/>
      <c r="C739" s="1"/>
      <c r="D739" s="1"/>
      <c r="E739" s="1"/>
      <c r="F739" s="1"/>
      <c r="G739" s="1"/>
      <c r="H739" s="1"/>
      <c r="I739" s="1"/>
      <c r="J739" s="1"/>
      <c r="K739" s="1"/>
      <c r="L739" s="1"/>
      <c r="M739" s="1"/>
      <c r="N739" s="1"/>
      <c r="O739" s="1"/>
      <c r="P739" s="1"/>
      <c r="Q739" s="1"/>
      <c r="R739" s="1"/>
      <c r="S739" s="1"/>
      <c r="T739" s="1"/>
      <c r="U739" s="2"/>
      <c r="V739" s="1"/>
      <c r="W739" s="1"/>
      <c r="X739" s="1"/>
      <c r="Y739" s="1"/>
      <c r="Z739" s="1"/>
    </row>
    <row r="740" spans="1:26" ht="24.75" customHeight="1">
      <c r="A740" s="1"/>
      <c r="B740" s="1"/>
      <c r="C740" s="1"/>
      <c r="D740" s="1"/>
      <c r="E740" s="1"/>
      <c r="F740" s="1"/>
      <c r="G740" s="1"/>
      <c r="H740" s="1"/>
      <c r="I740" s="1"/>
      <c r="J740" s="1"/>
      <c r="K740" s="1"/>
      <c r="L740" s="1"/>
      <c r="M740" s="1"/>
      <c r="N740" s="1"/>
      <c r="O740" s="1"/>
      <c r="P740" s="1"/>
      <c r="Q740" s="1"/>
      <c r="R740" s="1"/>
      <c r="S740" s="1"/>
      <c r="T740" s="1"/>
      <c r="U740" s="2"/>
      <c r="V740" s="1"/>
      <c r="W740" s="1"/>
      <c r="X740" s="1"/>
      <c r="Y740" s="1"/>
      <c r="Z740" s="1"/>
    </row>
    <row r="741" spans="1:26" ht="24.75" customHeight="1">
      <c r="A741" s="1"/>
      <c r="B741" s="1"/>
      <c r="C741" s="1"/>
      <c r="D741" s="1"/>
      <c r="E741" s="1"/>
      <c r="F741" s="1"/>
      <c r="G741" s="1"/>
      <c r="H741" s="1"/>
      <c r="I741" s="1"/>
      <c r="J741" s="1"/>
      <c r="K741" s="1"/>
      <c r="L741" s="1"/>
      <c r="M741" s="1"/>
      <c r="N741" s="1"/>
      <c r="O741" s="1"/>
      <c r="P741" s="1"/>
      <c r="Q741" s="1"/>
      <c r="R741" s="1"/>
      <c r="S741" s="1"/>
      <c r="T741" s="1"/>
      <c r="U741" s="2"/>
      <c r="V741" s="1"/>
      <c r="W741" s="1"/>
      <c r="X741" s="1"/>
      <c r="Y741" s="1"/>
      <c r="Z741" s="1"/>
    </row>
    <row r="742" spans="1:26" ht="24.75" customHeight="1">
      <c r="A742" s="1"/>
      <c r="B742" s="1"/>
      <c r="C742" s="1"/>
      <c r="D742" s="1"/>
      <c r="E742" s="1"/>
      <c r="F742" s="1"/>
      <c r="G742" s="1"/>
      <c r="H742" s="1"/>
      <c r="I742" s="1"/>
      <c r="J742" s="1"/>
      <c r="K742" s="1"/>
      <c r="L742" s="1"/>
      <c r="M742" s="1"/>
      <c r="N742" s="1"/>
      <c r="O742" s="1"/>
      <c r="P742" s="1"/>
      <c r="Q742" s="1"/>
      <c r="R742" s="1"/>
      <c r="S742" s="1"/>
      <c r="T742" s="1"/>
      <c r="U742" s="2"/>
      <c r="V742" s="1"/>
      <c r="W742" s="1"/>
      <c r="X742" s="1"/>
      <c r="Y742" s="1"/>
      <c r="Z742" s="1"/>
    </row>
    <row r="743" spans="1:26" ht="24.75" customHeight="1">
      <c r="A743" s="1"/>
      <c r="B743" s="1"/>
      <c r="C743" s="1"/>
      <c r="D743" s="1"/>
      <c r="E743" s="1"/>
      <c r="F743" s="1"/>
      <c r="G743" s="1"/>
      <c r="H743" s="1"/>
      <c r="I743" s="1"/>
      <c r="J743" s="1"/>
      <c r="K743" s="1"/>
      <c r="L743" s="1"/>
      <c r="M743" s="1"/>
      <c r="N743" s="1"/>
      <c r="O743" s="1"/>
      <c r="P743" s="1"/>
      <c r="Q743" s="1"/>
      <c r="R743" s="1"/>
      <c r="S743" s="1"/>
      <c r="T743" s="1"/>
      <c r="U743" s="2"/>
      <c r="V743" s="1"/>
      <c r="W743" s="1"/>
      <c r="X743" s="1"/>
      <c r="Y743" s="1"/>
      <c r="Z743" s="1"/>
    </row>
    <row r="744" spans="1:26" ht="24.75" customHeight="1">
      <c r="A744" s="1"/>
      <c r="B744" s="1"/>
      <c r="C744" s="1"/>
      <c r="D744" s="1"/>
      <c r="E744" s="1"/>
      <c r="F744" s="1"/>
      <c r="G744" s="1"/>
      <c r="H744" s="1"/>
      <c r="I744" s="1"/>
      <c r="J744" s="1"/>
      <c r="K744" s="1"/>
      <c r="L744" s="1"/>
      <c r="M744" s="1"/>
      <c r="N744" s="1"/>
      <c r="O744" s="1"/>
      <c r="P744" s="1"/>
      <c r="Q744" s="1"/>
      <c r="R744" s="1"/>
      <c r="S744" s="1"/>
      <c r="T744" s="1"/>
      <c r="U744" s="2"/>
      <c r="V744" s="1"/>
      <c r="W744" s="1"/>
      <c r="X744" s="1"/>
      <c r="Y744" s="1"/>
      <c r="Z744" s="1"/>
    </row>
    <row r="745" spans="1:26" ht="24.75" customHeight="1">
      <c r="A745" s="1"/>
      <c r="B745" s="1"/>
      <c r="C745" s="1"/>
      <c r="D745" s="1"/>
      <c r="E745" s="1"/>
      <c r="F745" s="1"/>
      <c r="G745" s="1"/>
      <c r="H745" s="1"/>
      <c r="I745" s="1"/>
      <c r="J745" s="1"/>
      <c r="K745" s="1"/>
      <c r="L745" s="1"/>
      <c r="M745" s="1"/>
      <c r="N745" s="1"/>
      <c r="O745" s="1"/>
      <c r="P745" s="1"/>
      <c r="Q745" s="1"/>
      <c r="R745" s="1"/>
      <c r="S745" s="1"/>
      <c r="T745" s="1"/>
      <c r="U745" s="2"/>
      <c r="V745" s="1"/>
      <c r="W745" s="1"/>
      <c r="X745" s="1"/>
      <c r="Y745" s="1"/>
      <c r="Z745" s="1"/>
    </row>
    <row r="746" spans="1:26" ht="24.75" customHeight="1">
      <c r="A746" s="1"/>
      <c r="B746" s="1"/>
      <c r="C746" s="1"/>
      <c r="D746" s="1"/>
      <c r="E746" s="1"/>
      <c r="F746" s="1"/>
      <c r="G746" s="1"/>
      <c r="H746" s="1"/>
      <c r="I746" s="1"/>
      <c r="J746" s="1"/>
      <c r="K746" s="1"/>
      <c r="L746" s="1"/>
      <c r="M746" s="1"/>
      <c r="N746" s="1"/>
      <c r="O746" s="1"/>
      <c r="P746" s="1"/>
      <c r="Q746" s="1"/>
      <c r="R746" s="1"/>
      <c r="S746" s="1"/>
      <c r="T746" s="1"/>
      <c r="U746" s="2"/>
      <c r="V746" s="1"/>
      <c r="W746" s="1"/>
      <c r="X746" s="1"/>
      <c r="Y746" s="1"/>
      <c r="Z746" s="1"/>
    </row>
    <row r="747" spans="1:26" ht="24.75" customHeight="1">
      <c r="A747" s="1"/>
      <c r="B747" s="1"/>
      <c r="C747" s="1"/>
      <c r="D747" s="1"/>
      <c r="E747" s="1"/>
      <c r="F747" s="1"/>
      <c r="G747" s="1"/>
      <c r="H747" s="1"/>
      <c r="I747" s="1"/>
      <c r="J747" s="1"/>
      <c r="K747" s="1"/>
      <c r="L747" s="1"/>
      <c r="M747" s="1"/>
      <c r="N747" s="1"/>
      <c r="O747" s="1"/>
      <c r="P747" s="1"/>
      <c r="Q747" s="1"/>
      <c r="R747" s="1"/>
      <c r="S747" s="1"/>
      <c r="T747" s="1"/>
      <c r="U747" s="2"/>
      <c r="V747" s="1"/>
      <c r="W747" s="1"/>
      <c r="X747" s="1"/>
      <c r="Y747" s="1"/>
      <c r="Z747" s="1"/>
    </row>
    <row r="748" spans="1:26" ht="24.75" customHeight="1">
      <c r="A748" s="1"/>
      <c r="B748" s="1"/>
      <c r="C748" s="1"/>
      <c r="D748" s="1"/>
      <c r="E748" s="1"/>
      <c r="F748" s="1"/>
      <c r="G748" s="1"/>
      <c r="H748" s="1"/>
      <c r="I748" s="1"/>
      <c r="J748" s="1"/>
      <c r="K748" s="1"/>
      <c r="L748" s="1"/>
      <c r="M748" s="1"/>
      <c r="N748" s="1"/>
      <c r="O748" s="1"/>
      <c r="P748" s="1"/>
      <c r="Q748" s="1"/>
      <c r="R748" s="1"/>
      <c r="S748" s="1"/>
      <c r="T748" s="1"/>
      <c r="U748" s="2"/>
      <c r="V748" s="1"/>
      <c r="W748" s="1"/>
      <c r="X748" s="1"/>
      <c r="Y748" s="1"/>
      <c r="Z748" s="1"/>
    </row>
    <row r="749" spans="1:26" ht="24.75" customHeight="1">
      <c r="A749" s="1"/>
      <c r="B749" s="1"/>
      <c r="C749" s="1"/>
      <c r="D749" s="1"/>
      <c r="E749" s="1"/>
      <c r="F749" s="1"/>
      <c r="G749" s="1"/>
      <c r="H749" s="1"/>
      <c r="I749" s="1"/>
      <c r="J749" s="1"/>
      <c r="K749" s="1"/>
      <c r="L749" s="1"/>
      <c r="M749" s="1"/>
      <c r="N749" s="1"/>
      <c r="O749" s="1"/>
      <c r="P749" s="1"/>
      <c r="Q749" s="1"/>
      <c r="R749" s="1"/>
      <c r="S749" s="1"/>
      <c r="T749" s="1"/>
      <c r="U749" s="2"/>
      <c r="V749" s="1"/>
      <c r="W749" s="1"/>
      <c r="X749" s="1"/>
      <c r="Y749" s="1"/>
      <c r="Z749" s="1"/>
    </row>
    <row r="750" spans="1:26" ht="24.75" customHeight="1">
      <c r="A750" s="1"/>
      <c r="B750" s="1"/>
      <c r="C750" s="1"/>
      <c r="D750" s="1"/>
      <c r="E750" s="1"/>
      <c r="F750" s="1"/>
      <c r="G750" s="1"/>
      <c r="H750" s="1"/>
      <c r="I750" s="1"/>
      <c r="J750" s="1"/>
      <c r="K750" s="1"/>
      <c r="L750" s="1"/>
      <c r="M750" s="1"/>
      <c r="N750" s="1"/>
      <c r="O750" s="1"/>
      <c r="P750" s="1"/>
      <c r="Q750" s="1"/>
      <c r="R750" s="1"/>
      <c r="S750" s="1"/>
      <c r="T750" s="1"/>
      <c r="U750" s="2"/>
      <c r="V750" s="1"/>
      <c r="W750" s="1"/>
      <c r="X750" s="1"/>
      <c r="Y750" s="1"/>
      <c r="Z750" s="1"/>
    </row>
    <row r="751" spans="1:26" ht="24.75" customHeight="1">
      <c r="A751" s="1"/>
      <c r="B751" s="1"/>
      <c r="C751" s="1"/>
      <c r="D751" s="1"/>
      <c r="E751" s="1"/>
      <c r="F751" s="1"/>
      <c r="G751" s="1"/>
      <c r="H751" s="1"/>
      <c r="I751" s="1"/>
      <c r="J751" s="1"/>
      <c r="K751" s="1"/>
      <c r="L751" s="1"/>
      <c r="M751" s="1"/>
      <c r="N751" s="1"/>
      <c r="O751" s="1"/>
      <c r="P751" s="1"/>
      <c r="Q751" s="1"/>
      <c r="R751" s="1"/>
      <c r="S751" s="1"/>
      <c r="T751" s="1"/>
      <c r="U751" s="2"/>
      <c r="V751" s="1"/>
      <c r="W751" s="1"/>
      <c r="X751" s="1"/>
      <c r="Y751" s="1"/>
      <c r="Z751" s="1"/>
    </row>
    <row r="752" spans="1:26" ht="24.75" customHeight="1">
      <c r="A752" s="1"/>
      <c r="B752" s="1"/>
      <c r="C752" s="1"/>
      <c r="D752" s="1"/>
      <c r="E752" s="1"/>
      <c r="F752" s="1"/>
      <c r="G752" s="1"/>
      <c r="H752" s="1"/>
      <c r="I752" s="1"/>
      <c r="J752" s="1"/>
      <c r="K752" s="1"/>
      <c r="L752" s="1"/>
      <c r="M752" s="1"/>
      <c r="N752" s="1"/>
      <c r="O752" s="1"/>
      <c r="P752" s="1"/>
      <c r="Q752" s="1"/>
      <c r="R752" s="1"/>
      <c r="S752" s="1"/>
      <c r="T752" s="1"/>
      <c r="U752" s="2"/>
      <c r="V752" s="1"/>
      <c r="W752" s="1"/>
      <c r="X752" s="1"/>
      <c r="Y752" s="1"/>
      <c r="Z752" s="1"/>
    </row>
    <row r="753" spans="1:26" ht="24.75" customHeight="1">
      <c r="A753" s="1"/>
      <c r="B753" s="1"/>
      <c r="C753" s="1"/>
      <c r="D753" s="1"/>
      <c r="E753" s="1"/>
      <c r="F753" s="1"/>
      <c r="G753" s="1"/>
      <c r="H753" s="1"/>
      <c r="I753" s="1"/>
      <c r="J753" s="1"/>
      <c r="K753" s="1"/>
      <c r="L753" s="1"/>
      <c r="M753" s="1"/>
      <c r="N753" s="1"/>
      <c r="O753" s="1"/>
      <c r="P753" s="1"/>
      <c r="Q753" s="1"/>
      <c r="R753" s="1"/>
      <c r="S753" s="1"/>
      <c r="T753" s="1"/>
      <c r="U753" s="2"/>
      <c r="V753" s="1"/>
      <c r="W753" s="1"/>
      <c r="X753" s="1"/>
      <c r="Y753" s="1"/>
      <c r="Z753" s="1"/>
    </row>
    <row r="754" spans="1:26" ht="24.75" customHeight="1">
      <c r="A754" s="1"/>
      <c r="B754" s="1"/>
      <c r="C754" s="1"/>
      <c r="D754" s="1"/>
      <c r="E754" s="1"/>
      <c r="F754" s="1"/>
      <c r="G754" s="1"/>
      <c r="H754" s="1"/>
      <c r="I754" s="1"/>
      <c r="J754" s="1"/>
      <c r="K754" s="1"/>
      <c r="L754" s="1"/>
      <c r="M754" s="1"/>
      <c r="N754" s="1"/>
      <c r="O754" s="1"/>
      <c r="P754" s="1"/>
      <c r="Q754" s="1"/>
      <c r="R754" s="1"/>
      <c r="S754" s="1"/>
      <c r="T754" s="1"/>
      <c r="U754" s="2"/>
      <c r="V754" s="1"/>
      <c r="W754" s="1"/>
      <c r="X754" s="1"/>
      <c r="Y754" s="1"/>
      <c r="Z754" s="1"/>
    </row>
    <row r="755" spans="1:26" ht="24.75" customHeight="1">
      <c r="A755" s="1"/>
      <c r="B755" s="1"/>
      <c r="C755" s="1"/>
      <c r="D755" s="1"/>
      <c r="E755" s="1"/>
      <c r="F755" s="1"/>
      <c r="G755" s="1"/>
      <c r="H755" s="1"/>
      <c r="I755" s="1"/>
      <c r="J755" s="1"/>
      <c r="K755" s="1"/>
      <c r="L755" s="1"/>
      <c r="M755" s="1"/>
      <c r="N755" s="1"/>
      <c r="O755" s="1"/>
      <c r="P755" s="1"/>
      <c r="Q755" s="1"/>
      <c r="R755" s="1"/>
      <c r="S755" s="1"/>
      <c r="T755" s="1"/>
      <c r="U755" s="2"/>
      <c r="V755" s="1"/>
      <c r="W755" s="1"/>
      <c r="X755" s="1"/>
      <c r="Y755" s="1"/>
      <c r="Z755" s="1"/>
    </row>
    <row r="756" spans="1:26" ht="24.75" customHeight="1">
      <c r="A756" s="1"/>
      <c r="B756" s="1"/>
      <c r="C756" s="1"/>
      <c r="D756" s="1"/>
      <c r="E756" s="1"/>
      <c r="F756" s="1"/>
      <c r="G756" s="1"/>
      <c r="H756" s="1"/>
      <c r="I756" s="1"/>
      <c r="J756" s="1"/>
      <c r="K756" s="1"/>
      <c r="L756" s="1"/>
      <c r="M756" s="1"/>
      <c r="N756" s="1"/>
      <c r="O756" s="1"/>
      <c r="P756" s="1"/>
      <c r="Q756" s="1"/>
      <c r="R756" s="1"/>
      <c r="S756" s="1"/>
      <c r="T756" s="1"/>
      <c r="U756" s="2"/>
      <c r="V756" s="1"/>
      <c r="W756" s="1"/>
      <c r="X756" s="1"/>
      <c r="Y756" s="1"/>
      <c r="Z756" s="1"/>
    </row>
    <row r="757" spans="1:26" ht="24.75" customHeight="1">
      <c r="A757" s="1"/>
      <c r="B757" s="1"/>
      <c r="C757" s="1"/>
      <c r="D757" s="1"/>
      <c r="E757" s="1"/>
      <c r="F757" s="1"/>
      <c r="G757" s="1"/>
      <c r="H757" s="1"/>
      <c r="I757" s="1"/>
      <c r="J757" s="1"/>
      <c r="K757" s="1"/>
      <c r="L757" s="1"/>
      <c r="M757" s="1"/>
      <c r="N757" s="1"/>
      <c r="O757" s="1"/>
      <c r="P757" s="1"/>
      <c r="Q757" s="1"/>
      <c r="R757" s="1"/>
      <c r="S757" s="1"/>
      <c r="T757" s="1"/>
      <c r="U757" s="2"/>
      <c r="V757" s="1"/>
      <c r="W757" s="1"/>
      <c r="X757" s="1"/>
      <c r="Y757" s="1"/>
      <c r="Z757" s="1"/>
    </row>
    <row r="758" spans="1:26" ht="24.75" customHeight="1">
      <c r="A758" s="1"/>
      <c r="B758" s="1"/>
      <c r="C758" s="1"/>
      <c r="D758" s="1"/>
      <c r="E758" s="1"/>
      <c r="F758" s="1"/>
      <c r="G758" s="1"/>
      <c r="H758" s="1"/>
      <c r="I758" s="1"/>
      <c r="J758" s="1"/>
      <c r="K758" s="1"/>
      <c r="L758" s="1"/>
      <c r="M758" s="1"/>
      <c r="N758" s="1"/>
      <c r="O758" s="1"/>
      <c r="P758" s="1"/>
      <c r="Q758" s="1"/>
      <c r="R758" s="1"/>
      <c r="S758" s="1"/>
      <c r="T758" s="1"/>
      <c r="U758" s="2"/>
      <c r="V758" s="1"/>
      <c r="W758" s="1"/>
      <c r="X758" s="1"/>
      <c r="Y758" s="1"/>
      <c r="Z758" s="1"/>
    </row>
    <row r="759" spans="1:26" ht="24.75" customHeight="1">
      <c r="A759" s="1"/>
      <c r="B759" s="1"/>
      <c r="C759" s="1"/>
      <c r="D759" s="1"/>
      <c r="E759" s="1"/>
      <c r="F759" s="1"/>
      <c r="G759" s="1"/>
      <c r="H759" s="1"/>
      <c r="I759" s="1"/>
      <c r="J759" s="1"/>
      <c r="K759" s="1"/>
      <c r="L759" s="1"/>
      <c r="M759" s="1"/>
      <c r="N759" s="1"/>
      <c r="O759" s="1"/>
      <c r="P759" s="1"/>
      <c r="Q759" s="1"/>
      <c r="R759" s="1"/>
      <c r="S759" s="1"/>
      <c r="T759" s="1"/>
      <c r="U759" s="2"/>
      <c r="V759" s="1"/>
      <c r="W759" s="1"/>
      <c r="X759" s="1"/>
      <c r="Y759" s="1"/>
      <c r="Z759" s="1"/>
    </row>
    <row r="760" spans="1:26" ht="24.75" customHeight="1">
      <c r="A760" s="1"/>
      <c r="B760" s="1"/>
      <c r="C760" s="1"/>
      <c r="D760" s="1"/>
      <c r="E760" s="1"/>
      <c r="F760" s="1"/>
      <c r="G760" s="1"/>
      <c r="H760" s="1"/>
      <c r="I760" s="1"/>
      <c r="J760" s="1"/>
      <c r="K760" s="1"/>
      <c r="L760" s="1"/>
      <c r="M760" s="1"/>
      <c r="N760" s="1"/>
      <c r="O760" s="1"/>
      <c r="P760" s="1"/>
      <c r="Q760" s="1"/>
      <c r="R760" s="1"/>
      <c r="S760" s="1"/>
      <c r="T760" s="1"/>
      <c r="U760" s="2"/>
      <c r="V760" s="1"/>
      <c r="W760" s="1"/>
      <c r="X760" s="1"/>
      <c r="Y760" s="1"/>
      <c r="Z760" s="1"/>
    </row>
    <row r="761" spans="1:26" ht="24.75" customHeight="1">
      <c r="A761" s="1"/>
      <c r="B761" s="1"/>
      <c r="C761" s="1"/>
      <c r="D761" s="1"/>
      <c r="E761" s="1"/>
      <c r="F761" s="1"/>
      <c r="G761" s="1"/>
      <c r="H761" s="1"/>
      <c r="I761" s="1"/>
      <c r="J761" s="1"/>
      <c r="K761" s="1"/>
      <c r="L761" s="1"/>
      <c r="M761" s="1"/>
      <c r="N761" s="1"/>
      <c r="O761" s="1"/>
      <c r="P761" s="1"/>
      <c r="Q761" s="1"/>
      <c r="R761" s="1"/>
      <c r="S761" s="1"/>
      <c r="T761" s="1"/>
      <c r="U761" s="2"/>
      <c r="V761" s="1"/>
      <c r="W761" s="1"/>
      <c r="X761" s="1"/>
      <c r="Y761" s="1"/>
      <c r="Z761" s="1"/>
    </row>
    <row r="762" spans="1:26" ht="24.75" customHeight="1">
      <c r="A762" s="1"/>
      <c r="B762" s="1"/>
      <c r="C762" s="1"/>
      <c r="D762" s="1"/>
      <c r="E762" s="1"/>
      <c r="F762" s="1"/>
      <c r="G762" s="1"/>
      <c r="H762" s="1"/>
      <c r="I762" s="1"/>
      <c r="J762" s="1"/>
      <c r="K762" s="1"/>
      <c r="L762" s="1"/>
      <c r="M762" s="1"/>
      <c r="N762" s="1"/>
      <c r="O762" s="1"/>
      <c r="P762" s="1"/>
      <c r="Q762" s="1"/>
      <c r="R762" s="1"/>
      <c r="S762" s="1"/>
      <c r="T762" s="1"/>
      <c r="U762" s="2"/>
      <c r="V762" s="1"/>
      <c r="W762" s="1"/>
      <c r="X762" s="1"/>
      <c r="Y762" s="1"/>
      <c r="Z762" s="1"/>
    </row>
    <row r="763" spans="1:26" ht="24.75" customHeight="1">
      <c r="A763" s="1"/>
      <c r="B763" s="1"/>
      <c r="C763" s="1"/>
      <c r="D763" s="1"/>
      <c r="E763" s="1"/>
      <c r="F763" s="1"/>
      <c r="G763" s="1"/>
      <c r="H763" s="1"/>
      <c r="I763" s="1"/>
      <c r="J763" s="1"/>
      <c r="K763" s="1"/>
      <c r="L763" s="1"/>
      <c r="M763" s="1"/>
      <c r="N763" s="1"/>
      <c r="O763" s="1"/>
      <c r="P763" s="1"/>
      <c r="Q763" s="1"/>
      <c r="R763" s="1"/>
      <c r="S763" s="1"/>
      <c r="T763" s="1"/>
      <c r="U763" s="2"/>
      <c r="V763" s="1"/>
      <c r="W763" s="1"/>
      <c r="X763" s="1"/>
      <c r="Y763" s="1"/>
      <c r="Z763" s="1"/>
    </row>
    <row r="764" spans="1:26" ht="24.75" customHeight="1">
      <c r="A764" s="1"/>
      <c r="B764" s="1"/>
      <c r="C764" s="1"/>
      <c r="D764" s="1"/>
      <c r="E764" s="1"/>
      <c r="F764" s="1"/>
      <c r="G764" s="1"/>
      <c r="H764" s="1"/>
      <c r="I764" s="1"/>
      <c r="J764" s="1"/>
      <c r="K764" s="1"/>
      <c r="L764" s="1"/>
      <c r="M764" s="1"/>
      <c r="N764" s="1"/>
      <c r="O764" s="1"/>
      <c r="P764" s="1"/>
      <c r="Q764" s="1"/>
      <c r="R764" s="1"/>
      <c r="S764" s="1"/>
      <c r="T764" s="1"/>
      <c r="U764" s="2"/>
      <c r="V764" s="1"/>
      <c r="W764" s="1"/>
      <c r="X764" s="1"/>
      <c r="Y764" s="1"/>
      <c r="Z764" s="1"/>
    </row>
    <row r="765" spans="1:26" ht="24.75" customHeight="1">
      <c r="A765" s="1"/>
      <c r="B765" s="1"/>
      <c r="C765" s="1"/>
      <c r="D765" s="1"/>
      <c r="E765" s="1"/>
      <c r="F765" s="1"/>
      <c r="G765" s="1"/>
      <c r="H765" s="1"/>
      <c r="I765" s="1"/>
      <c r="J765" s="1"/>
      <c r="K765" s="1"/>
      <c r="L765" s="1"/>
      <c r="M765" s="1"/>
      <c r="N765" s="1"/>
      <c r="O765" s="1"/>
      <c r="P765" s="1"/>
      <c r="Q765" s="1"/>
      <c r="R765" s="1"/>
      <c r="S765" s="1"/>
      <c r="T765" s="1"/>
      <c r="U765" s="2"/>
      <c r="V765" s="1"/>
      <c r="W765" s="1"/>
      <c r="X765" s="1"/>
      <c r="Y765" s="1"/>
      <c r="Z765" s="1"/>
    </row>
    <row r="766" spans="1:26" ht="24.75" customHeight="1">
      <c r="A766" s="1"/>
      <c r="B766" s="1"/>
      <c r="C766" s="1"/>
      <c r="D766" s="1"/>
      <c r="E766" s="1"/>
      <c r="F766" s="1"/>
      <c r="G766" s="1"/>
      <c r="H766" s="1"/>
      <c r="I766" s="1"/>
      <c r="J766" s="1"/>
      <c r="K766" s="1"/>
      <c r="L766" s="1"/>
      <c r="M766" s="1"/>
      <c r="N766" s="1"/>
      <c r="O766" s="1"/>
      <c r="P766" s="1"/>
      <c r="Q766" s="1"/>
      <c r="R766" s="1"/>
      <c r="S766" s="1"/>
      <c r="T766" s="1"/>
      <c r="U766" s="2"/>
      <c r="V766" s="1"/>
      <c r="W766" s="1"/>
      <c r="X766" s="1"/>
      <c r="Y766" s="1"/>
      <c r="Z766" s="1"/>
    </row>
    <row r="767" spans="1:26" ht="24.75" customHeight="1">
      <c r="A767" s="1"/>
      <c r="B767" s="1"/>
      <c r="C767" s="1"/>
      <c r="D767" s="1"/>
      <c r="E767" s="1"/>
      <c r="F767" s="1"/>
      <c r="G767" s="1"/>
      <c r="H767" s="1"/>
      <c r="I767" s="1"/>
      <c r="J767" s="1"/>
      <c r="K767" s="1"/>
      <c r="L767" s="1"/>
      <c r="M767" s="1"/>
      <c r="N767" s="1"/>
      <c r="O767" s="1"/>
      <c r="P767" s="1"/>
      <c r="Q767" s="1"/>
      <c r="R767" s="1"/>
      <c r="S767" s="1"/>
      <c r="T767" s="1"/>
      <c r="U767" s="2"/>
      <c r="V767" s="1"/>
      <c r="W767" s="1"/>
      <c r="X767" s="1"/>
      <c r="Y767" s="1"/>
      <c r="Z767" s="1"/>
    </row>
    <row r="768" spans="1:26" ht="24.75" customHeight="1">
      <c r="A768" s="1"/>
      <c r="B768" s="1"/>
      <c r="C768" s="1"/>
      <c r="D768" s="1"/>
      <c r="E768" s="1"/>
      <c r="F768" s="1"/>
      <c r="G768" s="1"/>
      <c r="H768" s="1"/>
      <c r="I768" s="1"/>
      <c r="J768" s="1"/>
      <c r="K768" s="1"/>
      <c r="L768" s="1"/>
      <c r="M768" s="1"/>
      <c r="N768" s="1"/>
      <c r="O768" s="1"/>
      <c r="P768" s="1"/>
      <c r="Q768" s="1"/>
      <c r="R768" s="1"/>
      <c r="S768" s="1"/>
      <c r="T768" s="1"/>
      <c r="U768" s="2"/>
      <c r="V768" s="1"/>
      <c r="W768" s="1"/>
      <c r="X768" s="1"/>
      <c r="Y768" s="1"/>
      <c r="Z768" s="1"/>
    </row>
    <row r="769" spans="1:26" ht="24.75" customHeight="1">
      <c r="A769" s="1"/>
      <c r="B769" s="1"/>
      <c r="C769" s="1"/>
      <c r="D769" s="1"/>
      <c r="E769" s="1"/>
      <c r="F769" s="1"/>
      <c r="G769" s="1"/>
      <c r="H769" s="1"/>
      <c r="I769" s="1"/>
      <c r="J769" s="1"/>
      <c r="K769" s="1"/>
      <c r="L769" s="1"/>
      <c r="M769" s="1"/>
      <c r="N769" s="1"/>
      <c r="O769" s="1"/>
      <c r="P769" s="1"/>
      <c r="Q769" s="1"/>
      <c r="R769" s="1"/>
      <c r="S769" s="1"/>
      <c r="T769" s="1"/>
      <c r="U769" s="2"/>
      <c r="V769" s="1"/>
      <c r="W769" s="1"/>
      <c r="X769" s="1"/>
      <c r="Y769" s="1"/>
      <c r="Z769" s="1"/>
    </row>
    <row r="770" spans="1:26" ht="24.75" customHeight="1">
      <c r="A770" s="1"/>
      <c r="B770" s="1"/>
      <c r="C770" s="1"/>
      <c r="D770" s="1"/>
      <c r="E770" s="1"/>
      <c r="F770" s="1"/>
      <c r="G770" s="1"/>
      <c r="H770" s="1"/>
      <c r="I770" s="1"/>
      <c r="J770" s="1"/>
      <c r="K770" s="1"/>
      <c r="L770" s="1"/>
      <c r="M770" s="1"/>
      <c r="N770" s="1"/>
      <c r="O770" s="1"/>
      <c r="P770" s="1"/>
      <c r="Q770" s="1"/>
      <c r="R770" s="1"/>
      <c r="S770" s="1"/>
      <c r="T770" s="1"/>
      <c r="U770" s="2"/>
      <c r="V770" s="1"/>
      <c r="W770" s="1"/>
      <c r="X770" s="1"/>
      <c r="Y770" s="1"/>
      <c r="Z770" s="1"/>
    </row>
    <row r="771" spans="1:26" ht="24.75" customHeight="1">
      <c r="A771" s="1"/>
      <c r="B771" s="1"/>
      <c r="C771" s="1"/>
      <c r="D771" s="1"/>
      <c r="E771" s="1"/>
      <c r="F771" s="1"/>
      <c r="G771" s="1"/>
      <c r="H771" s="1"/>
      <c r="I771" s="1"/>
      <c r="J771" s="1"/>
      <c r="K771" s="1"/>
      <c r="L771" s="1"/>
      <c r="M771" s="1"/>
      <c r="N771" s="1"/>
      <c r="O771" s="1"/>
      <c r="P771" s="1"/>
      <c r="Q771" s="1"/>
      <c r="R771" s="1"/>
      <c r="S771" s="1"/>
      <c r="T771" s="1"/>
      <c r="U771" s="2"/>
      <c r="V771" s="1"/>
      <c r="W771" s="1"/>
      <c r="X771" s="1"/>
      <c r="Y771" s="1"/>
      <c r="Z771" s="1"/>
    </row>
    <row r="772" spans="1:26" ht="24.75" customHeight="1">
      <c r="A772" s="1"/>
      <c r="B772" s="1"/>
      <c r="C772" s="1"/>
      <c r="D772" s="1"/>
      <c r="E772" s="1"/>
      <c r="F772" s="1"/>
      <c r="G772" s="1"/>
      <c r="H772" s="1"/>
      <c r="I772" s="1"/>
      <c r="J772" s="1"/>
      <c r="K772" s="1"/>
      <c r="L772" s="1"/>
      <c r="M772" s="1"/>
      <c r="N772" s="1"/>
      <c r="O772" s="1"/>
      <c r="P772" s="1"/>
      <c r="Q772" s="1"/>
      <c r="R772" s="1"/>
      <c r="S772" s="1"/>
      <c r="T772" s="1"/>
      <c r="U772" s="2"/>
      <c r="V772" s="1"/>
      <c r="W772" s="1"/>
      <c r="X772" s="1"/>
      <c r="Y772" s="1"/>
      <c r="Z772" s="1"/>
    </row>
    <row r="773" spans="1:26" ht="24.75" customHeight="1">
      <c r="A773" s="1"/>
      <c r="B773" s="1"/>
      <c r="C773" s="1"/>
      <c r="D773" s="1"/>
      <c r="E773" s="1"/>
      <c r="F773" s="1"/>
      <c r="G773" s="1"/>
      <c r="H773" s="1"/>
      <c r="I773" s="1"/>
      <c r="J773" s="1"/>
      <c r="K773" s="1"/>
      <c r="L773" s="1"/>
      <c r="M773" s="1"/>
      <c r="N773" s="1"/>
      <c r="O773" s="1"/>
      <c r="P773" s="1"/>
      <c r="Q773" s="1"/>
      <c r="R773" s="1"/>
      <c r="S773" s="1"/>
      <c r="T773" s="1"/>
      <c r="U773" s="2"/>
      <c r="V773" s="1"/>
      <c r="W773" s="1"/>
      <c r="X773" s="1"/>
      <c r="Y773" s="1"/>
      <c r="Z773" s="1"/>
    </row>
    <row r="774" spans="1:26" ht="24.75" customHeight="1">
      <c r="A774" s="1"/>
      <c r="B774" s="1"/>
      <c r="C774" s="1"/>
      <c r="D774" s="1"/>
      <c r="E774" s="1"/>
      <c r="F774" s="1"/>
      <c r="G774" s="1"/>
      <c r="H774" s="1"/>
      <c r="I774" s="1"/>
      <c r="J774" s="1"/>
      <c r="K774" s="1"/>
      <c r="L774" s="1"/>
      <c r="M774" s="1"/>
      <c r="N774" s="1"/>
      <c r="O774" s="1"/>
      <c r="P774" s="1"/>
      <c r="Q774" s="1"/>
      <c r="R774" s="1"/>
      <c r="S774" s="1"/>
      <c r="T774" s="1"/>
      <c r="U774" s="2"/>
      <c r="V774" s="1"/>
      <c r="W774" s="1"/>
      <c r="X774" s="1"/>
      <c r="Y774" s="1"/>
      <c r="Z774" s="1"/>
    </row>
    <row r="775" spans="1:26" ht="24.75" customHeight="1">
      <c r="A775" s="1"/>
      <c r="B775" s="1"/>
      <c r="C775" s="1"/>
      <c r="D775" s="1"/>
      <c r="E775" s="1"/>
      <c r="F775" s="1"/>
      <c r="G775" s="1"/>
      <c r="H775" s="1"/>
      <c r="I775" s="1"/>
      <c r="J775" s="1"/>
      <c r="K775" s="1"/>
      <c r="L775" s="1"/>
      <c r="M775" s="1"/>
      <c r="N775" s="1"/>
      <c r="O775" s="1"/>
      <c r="P775" s="1"/>
      <c r="Q775" s="1"/>
      <c r="R775" s="1"/>
      <c r="S775" s="1"/>
      <c r="T775" s="1"/>
      <c r="U775" s="2"/>
      <c r="V775" s="1"/>
      <c r="W775" s="1"/>
      <c r="X775" s="1"/>
      <c r="Y775" s="1"/>
      <c r="Z775" s="1"/>
    </row>
    <row r="776" spans="1:26" ht="24.75" customHeight="1">
      <c r="A776" s="1"/>
      <c r="B776" s="1"/>
      <c r="C776" s="1"/>
      <c r="D776" s="1"/>
      <c r="E776" s="1"/>
      <c r="F776" s="1"/>
      <c r="G776" s="1"/>
      <c r="H776" s="1"/>
      <c r="I776" s="1"/>
      <c r="J776" s="1"/>
      <c r="K776" s="1"/>
      <c r="L776" s="1"/>
      <c r="M776" s="1"/>
      <c r="N776" s="1"/>
      <c r="O776" s="1"/>
      <c r="P776" s="1"/>
      <c r="Q776" s="1"/>
      <c r="R776" s="1"/>
      <c r="S776" s="1"/>
      <c r="T776" s="1"/>
      <c r="U776" s="2"/>
      <c r="V776" s="1"/>
      <c r="W776" s="1"/>
      <c r="X776" s="1"/>
      <c r="Y776" s="1"/>
      <c r="Z776" s="1"/>
    </row>
    <row r="777" spans="1:26" ht="24.75" customHeight="1">
      <c r="A777" s="1"/>
      <c r="B777" s="1"/>
      <c r="C777" s="1"/>
      <c r="D777" s="1"/>
      <c r="E777" s="1"/>
      <c r="F777" s="1"/>
      <c r="G777" s="1"/>
      <c r="H777" s="1"/>
      <c r="I777" s="1"/>
      <c r="J777" s="1"/>
      <c r="K777" s="1"/>
      <c r="L777" s="1"/>
      <c r="M777" s="1"/>
      <c r="N777" s="1"/>
      <c r="O777" s="1"/>
      <c r="P777" s="1"/>
      <c r="Q777" s="1"/>
      <c r="R777" s="1"/>
      <c r="S777" s="1"/>
      <c r="T777" s="1"/>
      <c r="U777" s="2"/>
      <c r="V777" s="1"/>
      <c r="W777" s="1"/>
      <c r="X777" s="1"/>
      <c r="Y777" s="1"/>
      <c r="Z777" s="1"/>
    </row>
    <row r="778" spans="1:26" ht="24.75" customHeight="1">
      <c r="A778" s="1"/>
      <c r="B778" s="1"/>
      <c r="C778" s="1"/>
      <c r="D778" s="1"/>
      <c r="E778" s="1"/>
      <c r="F778" s="1"/>
      <c r="G778" s="1"/>
      <c r="H778" s="1"/>
      <c r="I778" s="1"/>
      <c r="J778" s="1"/>
      <c r="K778" s="1"/>
      <c r="L778" s="1"/>
      <c r="M778" s="1"/>
      <c r="N778" s="1"/>
      <c r="O778" s="1"/>
      <c r="P778" s="1"/>
      <c r="Q778" s="1"/>
      <c r="R778" s="1"/>
      <c r="S778" s="1"/>
      <c r="T778" s="1"/>
      <c r="U778" s="2"/>
      <c r="V778" s="1"/>
      <c r="W778" s="1"/>
      <c r="X778" s="1"/>
      <c r="Y778" s="1"/>
      <c r="Z778" s="1"/>
    </row>
    <row r="779" spans="1:26" ht="24.75" customHeight="1">
      <c r="A779" s="1"/>
      <c r="B779" s="1"/>
      <c r="C779" s="1"/>
      <c r="D779" s="1"/>
      <c r="E779" s="1"/>
      <c r="F779" s="1"/>
      <c r="G779" s="1"/>
      <c r="H779" s="1"/>
      <c r="I779" s="1"/>
      <c r="J779" s="1"/>
      <c r="K779" s="1"/>
      <c r="L779" s="1"/>
      <c r="M779" s="1"/>
      <c r="N779" s="1"/>
      <c r="O779" s="1"/>
      <c r="P779" s="1"/>
      <c r="Q779" s="1"/>
      <c r="R779" s="1"/>
      <c r="S779" s="1"/>
      <c r="T779" s="1"/>
      <c r="U779" s="2"/>
      <c r="V779" s="1"/>
      <c r="W779" s="1"/>
      <c r="X779" s="1"/>
      <c r="Y779" s="1"/>
      <c r="Z779" s="1"/>
    </row>
    <row r="780" spans="1:26" ht="24.75" customHeight="1">
      <c r="A780" s="1"/>
      <c r="B780" s="1"/>
      <c r="C780" s="1"/>
      <c r="D780" s="1"/>
      <c r="E780" s="1"/>
      <c r="F780" s="1"/>
      <c r="G780" s="1"/>
      <c r="H780" s="1"/>
      <c r="I780" s="1"/>
      <c r="J780" s="1"/>
      <c r="K780" s="1"/>
      <c r="L780" s="1"/>
      <c r="M780" s="1"/>
      <c r="N780" s="1"/>
      <c r="O780" s="1"/>
      <c r="P780" s="1"/>
      <c r="Q780" s="1"/>
      <c r="R780" s="1"/>
      <c r="S780" s="1"/>
      <c r="T780" s="1"/>
      <c r="U780" s="2"/>
      <c r="V780" s="1"/>
      <c r="W780" s="1"/>
      <c r="X780" s="1"/>
      <c r="Y780" s="1"/>
      <c r="Z780" s="1"/>
    </row>
    <row r="781" spans="1:26" ht="24.75" customHeight="1">
      <c r="A781" s="1"/>
      <c r="B781" s="1"/>
      <c r="C781" s="1"/>
      <c r="D781" s="1"/>
      <c r="E781" s="1"/>
      <c r="F781" s="1"/>
      <c r="G781" s="1"/>
      <c r="H781" s="1"/>
      <c r="I781" s="1"/>
      <c r="J781" s="1"/>
      <c r="K781" s="1"/>
      <c r="L781" s="1"/>
      <c r="M781" s="1"/>
      <c r="N781" s="1"/>
      <c r="O781" s="1"/>
      <c r="P781" s="1"/>
      <c r="Q781" s="1"/>
      <c r="R781" s="1"/>
      <c r="S781" s="1"/>
      <c r="T781" s="1"/>
      <c r="U781" s="2"/>
      <c r="V781" s="1"/>
      <c r="W781" s="1"/>
      <c r="X781" s="1"/>
      <c r="Y781" s="1"/>
      <c r="Z781" s="1"/>
    </row>
    <row r="782" spans="1:26" ht="24.75" customHeight="1">
      <c r="A782" s="1"/>
      <c r="B782" s="1"/>
      <c r="C782" s="1"/>
      <c r="D782" s="1"/>
      <c r="E782" s="1"/>
      <c r="F782" s="1"/>
      <c r="G782" s="1"/>
      <c r="H782" s="1"/>
      <c r="I782" s="1"/>
      <c r="J782" s="1"/>
      <c r="K782" s="1"/>
      <c r="L782" s="1"/>
      <c r="M782" s="1"/>
      <c r="N782" s="1"/>
      <c r="O782" s="1"/>
      <c r="P782" s="1"/>
      <c r="Q782" s="1"/>
      <c r="R782" s="1"/>
      <c r="S782" s="1"/>
      <c r="T782" s="1"/>
      <c r="U782" s="2"/>
      <c r="V782" s="1"/>
      <c r="W782" s="1"/>
      <c r="X782" s="1"/>
      <c r="Y782" s="1"/>
      <c r="Z782" s="1"/>
    </row>
    <row r="783" spans="1:26" ht="24.75" customHeight="1">
      <c r="A783" s="1"/>
      <c r="B783" s="1"/>
      <c r="C783" s="1"/>
      <c r="D783" s="1"/>
      <c r="E783" s="1"/>
      <c r="F783" s="1"/>
      <c r="G783" s="1"/>
      <c r="H783" s="1"/>
      <c r="I783" s="1"/>
      <c r="J783" s="1"/>
      <c r="K783" s="1"/>
      <c r="L783" s="1"/>
      <c r="M783" s="1"/>
      <c r="N783" s="1"/>
      <c r="O783" s="1"/>
      <c r="P783" s="1"/>
      <c r="Q783" s="1"/>
      <c r="R783" s="1"/>
      <c r="S783" s="1"/>
      <c r="T783" s="1"/>
      <c r="U783" s="2"/>
      <c r="V783" s="1"/>
      <c r="W783" s="1"/>
      <c r="X783" s="1"/>
      <c r="Y783" s="1"/>
      <c r="Z783" s="1"/>
    </row>
    <row r="784" spans="1:26" ht="24.75" customHeight="1">
      <c r="A784" s="1"/>
      <c r="B784" s="1"/>
      <c r="C784" s="1"/>
      <c r="D784" s="1"/>
      <c r="E784" s="1"/>
      <c r="F784" s="1"/>
      <c r="G784" s="1"/>
      <c r="H784" s="1"/>
      <c r="I784" s="1"/>
      <c r="J784" s="1"/>
      <c r="K784" s="1"/>
      <c r="L784" s="1"/>
      <c r="M784" s="1"/>
      <c r="N784" s="1"/>
      <c r="O784" s="1"/>
      <c r="P784" s="1"/>
      <c r="Q784" s="1"/>
      <c r="R784" s="1"/>
      <c r="S784" s="1"/>
      <c r="T784" s="1"/>
      <c r="U784" s="2"/>
      <c r="V784" s="1"/>
      <c r="W784" s="1"/>
      <c r="X784" s="1"/>
      <c r="Y784" s="1"/>
      <c r="Z784" s="1"/>
    </row>
    <row r="785" spans="1:26" ht="24.75" customHeight="1">
      <c r="A785" s="1"/>
      <c r="B785" s="1"/>
      <c r="C785" s="1"/>
      <c r="D785" s="1"/>
      <c r="E785" s="1"/>
      <c r="F785" s="1"/>
      <c r="G785" s="1"/>
      <c r="H785" s="1"/>
      <c r="I785" s="1"/>
      <c r="J785" s="1"/>
      <c r="K785" s="1"/>
      <c r="L785" s="1"/>
      <c r="M785" s="1"/>
      <c r="N785" s="1"/>
      <c r="O785" s="1"/>
      <c r="P785" s="1"/>
      <c r="Q785" s="1"/>
      <c r="R785" s="1"/>
      <c r="S785" s="1"/>
      <c r="T785" s="1"/>
      <c r="U785" s="2"/>
      <c r="V785" s="1"/>
      <c r="W785" s="1"/>
      <c r="X785" s="1"/>
      <c r="Y785" s="1"/>
      <c r="Z785" s="1"/>
    </row>
    <row r="786" spans="1:26" ht="24.75" customHeight="1">
      <c r="A786" s="1"/>
      <c r="B786" s="1"/>
      <c r="C786" s="1"/>
      <c r="D786" s="1"/>
      <c r="E786" s="1"/>
      <c r="F786" s="1"/>
      <c r="G786" s="1"/>
      <c r="H786" s="1"/>
      <c r="I786" s="1"/>
      <c r="J786" s="1"/>
      <c r="K786" s="1"/>
      <c r="L786" s="1"/>
      <c r="M786" s="1"/>
      <c r="N786" s="1"/>
      <c r="O786" s="1"/>
      <c r="P786" s="1"/>
      <c r="Q786" s="1"/>
      <c r="R786" s="1"/>
      <c r="S786" s="1"/>
      <c r="T786" s="1"/>
      <c r="U786" s="2"/>
      <c r="V786" s="1"/>
      <c r="W786" s="1"/>
      <c r="X786" s="1"/>
      <c r="Y786" s="1"/>
      <c r="Z786" s="1"/>
    </row>
    <row r="787" spans="1:26" ht="24.75" customHeight="1">
      <c r="A787" s="1"/>
      <c r="B787" s="1"/>
      <c r="C787" s="1"/>
      <c r="D787" s="1"/>
      <c r="E787" s="1"/>
      <c r="F787" s="1"/>
      <c r="G787" s="1"/>
      <c r="H787" s="1"/>
      <c r="I787" s="1"/>
      <c r="J787" s="1"/>
      <c r="K787" s="1"/>
      <c r="L787" s="1"/>
      <c r="M787" s="1"/>
      <c r="N787" s="1"/>
      <c r="O787" s="1"/>
      <c r="P787" s="1"/>
      <c r="Q787" s="1"/>
      <c r="R787" s="1"/>
      <c r="S787" s="1"/>
      <c r="T787" s="1"/>
      <c r="U787" s="2"/>
      <c r="V787" s="1"/>
      <c r="W787" s="1"/>
      <c r="X787" s="1"/>
      <c r="Y787" s="1"/>
      <c r="Z787" s="1"/>
    </row>
    <row r="788" spans="1:26" ht="24.75" customHeight="1">
      <c r="A788" s="1"/>
      <c r="B788" s="1"/>
      <c r="C788" s="1"/>
      <c r="D788" s="1"/>
      <c r="E788" s="1"/>
      <c r="F788" s="1"/>
      <c r="G788" s="1"/>
      <c r="H788" s="1"/>
      <c r="I788" s="1"/>
      <c r="J788" s="1"/>
      <c r="K788" s="1"/>
      <c r="L788" s="1"/>
      <c r="M788" s="1"/>
      <c r="N788" s="1"/>
      <c r="O788" s="1"/>
      <c r="P788" s="1"/>
      <c r="Q788" s="1"/>
      <c r="R788" s="1"/>
      <c r="S788" s="1"/>
      <c r="T788" s="1"/>
      <c r="U788" s="2"/>
      <c r="V788" s="1"/>
      <c r="W788" s="1"/>
      <c r="X788" s="1"/>
      <c r="Y788" s="1"/>
      <c r="Z788" s="1"/>
    </row>
    <row r="789" spans="1:26" ht="24.75" customHeight="1">
      <c r="A789" s="1"/>
      <c r="B789" s="1"/>
      <c r="C789" s="1"/>
      <c r="D789" s="1"/>
      <c r="E789" s="1"/>
      <c r="F789" s="1"/>
      <c r="G789" s="1"/>
      <c r="H789" s="1"/>
      <c r="I789" s="1"/>
      <c r="J789" s="1"/>
      <c r="K789" s="1"/>
      <c r="L789" s="1"/>
      <c r="M789" s="1"/>
      <c r="N789" s="1"/>
      <c r="O789" s="1"/>
      <c r="P789" s="1"/>
      <c r="Q789" s="1"/>
      <c r="R789" s="1"/>
      <c r="S789" s="1"/>
      <c r="T789" s="1"/>
      <c r="U789" s="2"/>
      <c r="V789" s="1"/>
      <c r="W789" s="1"/>
      <c r="X789" s="1"/>
      <c r="Y789" s="1"/>
      <c r="Z789" s="1"/>
    </row>
    <row r="790" spans="1:26" ht="24.75" customHeight="1">
      <c r="A790" s="1"/>
      <c r="B790" s="1"/>
      <c r="C790" s="1"/>
      <c r="D790" s="1"/>
      <c r="E790" s="1"/>
      <c r="F790" s="1"/>
      <c r="G790" s="1"/>
      <c r="H790" s="1"/>
      <c r="I790" s="1"/>
      <c r="J790" s="1"/>
      <c r="K790" s="1"/>
      <c r="L790" s="1"/>
      <c r="M790" s="1"/>
      <c r="N790" s="1"/>
      <c r="O790" s="1"/>
      <c r="P790" s="1"/>
      <c r="Q790" s="1"/>
      <c r="R790" s="1"/>
      <c r="S790" s="1"/>
      <c r="T790" s="1"/>
      <c r="U790" s="2"/>
      <c r="V790" s="1"/>
      <c r="W790" s="1"/>
      <c r="X790" s="1"/>
      <c r="Y790" s="1"/>
      <c r="Z790" s="1"/>
    </row>
    <row r="791" spans="1:26" ht="24.75" customHeight="1">
      <c r="A791" s="1"/>
      <c r="B791" s="1"/>
      <c r="C791" s="1"/>
      <c r="D791" s="1"/>
      <c r="E791" s="1"/>
      <c r="F791" s="1"/>
      <c r="G791" s="1"/>
      <c r="H791" s="1"/>
      <c r="I791" s="1"/>
      <c r="J791" s="1"/>
      <c r="K791" s="1"/>
      <c r="L791" s="1"/>
      <c r="M791" s="1"/>
      <c r="N791" s="1"/>
      <c r="O791" s="1"/>
      <c r="P791" s="1"/>
      <c r="Q791" s="1"/>
      <c r="R791" s="1"/>
      <c r="S791" s="1"/>
      <c r="T791" s="1"/>
      <c r="U791" s="2"/>
      <c r="V791" s="1"/>
      <c r="W791" s="1"/>
      <c r="X791" s="1"/>
      <c r="Y791" s="1"/>
      <c r="Z791" s="1"/>
    </row>
    <row r="792" spans="1:26" ht="24.75" customHeight="1">
      <c r="A792" s="1"/>
      <c r="B792" s="1"/>
      <c r="C792" s="1"/>
      <c r="D792" s="1"/>
      <c r="E792" s="1"/>
      <c r="F792" s="1"/>
      <c r="G792" s="1"/>
      <c r="H792" s="1"/>
      <c r="I792" s="1"/>
      <c r="J792" s="1"/>
      <c r="K792" s="1"/>
      <c r="L792" s="1"/>
      <c r="M792" s="1"/>
      <c r="N792" s="1"/>
      <c r="O792" s="1"/>
      <c r="P792" s="1"/>
      <c r="Q792" s="1"/>
      <c r="R792" s="1"/>
      <c r="S792" s="1"/>
      <c r="T792" s="1"/>
      <c r="U792" s="2"/>
      <c r="V792" s="1"/>
      <c r="W792" s="1"/>
      <c r="X792" s="1"/>
      <c r="Y792" s="1"/>
      <c r="Z792" s="1"/>
    </row>
    <row r="793" spans="1:26" ht="24.75" customHeight="1">
      <c r="A793" s="1"/>
      <c r="B793" s="1"/>
      <c r="C793" s="1"/>
      <c r="D793" s="1"/>
      <c r="E793" s="1"/>
      <c r="F793" s="1"/>
      <c r="G793" s="1"/>
      <c r="H793" s="1"/>
      <c r="I793" s="1"/>
      <c r="J793" s="1"/>
      <c r="K793" s="1"/>
      <c r="L793" s="1"/>
      <c r="M793" s="1"/>
      <c r="N793" s="1"/>
      <c r="O793" s="1"/>
      <c r="P793" s="1"/>
      <c r="Q793" s="1"/>
      <c r="R793" s="1"/>
      <c r="S793" s="1"/>
      <c r="T793" s="1"/>
      <c r="U793" s="2"/>
      <c r="V793" s="1"/>
      <c r="W793" s="1"/>
      <c r="X793" s="1"/>
      <c r="Y793" s="1"/>
      <c r="Z793" s="1"/>
    </row>
    <row r="794" spans="1:26" ht="24.75" customHeight="1">
      <c r="A794" s="1"/>
      <c r="B794" s="1"/>
      <c r="C794" s="1"/>
      <c r="D794" s="1"/>
      <c r="E794" s="1"/>
      <c r="F794" s="1"/>
      <c r="G794" s="1"/>
      <c r="H794" s="1"/>
      <c r="I794" s="1"/>
      <c r="J794" s="1"/>
      <c r="K794" s="1"/>
      <c r="L794" s="1"/>
      <c r="M794" s="1"/>
      <c r="N794" s="1"/>
      <c r="O794" s="1"/>
      <c r="P794" s="1"/>
      <c r="Q794" s="1"/>
      <c r="R794" s="1"/>
      <c r="S794" s="1"/>
      <c r="T794" s="1"/>
      <c r="U794" s="2"/>
      <c r="V794" s="1"/>
      <c r="W794" s="1"/>
      <c r="X794" s="1"/>
      <c r="Y794" s="1"/>
      <c r="Z794" s="1"/>
    </row>
    <row r="795" spans="1:26" ht="24.75" customHeight="1">
      <c r="A795" s="1"/>
      <c r="B795" s="1"/>
      <c r="C795" s="1"/>
      <c r="D795" s="1"/>
      <c r="E795" s="1"/>
      <c r="F795" s="1"/>
      <c r="G795" s="1"/>
      <c r="H795" s="1"/>
      <c r="I795" s="1"/>
      <c r="J795" s="1"/>
      <c r="K795" s="1"/>
      <c r="L795" s="1"/>
      <c r="M795" s="1"/>
      <c r="N795" s="1"/>
      <c r="O795" s="1"/>
      <c r="P795" s="1"/>
      <c r="Q795" s="1"/>
      <c r="R795" s="1"/>
      <c r="S795" s="1"/>
      <c r="T795" s="1"/>
      <c r="U795" s="2"/>
      <c r="V795" s="1"/>
      <c r="W795" s="1"/>
      <c r="X795" s="1"/>
      <c r="Y795" s="1"/>
      <c r="Z795" s="1"/>
    </row>
    <row r="796" spans="1:26" ht="24.75" customHeight="1">
      <c r="A796" s="1"/>
      <c r="B796" s="1"/>
      <c r="C796" s="1"/>
      <c r="D796" s="1"/>
      <c r="E796" s="1"/>
      <c r="F796" s="1"/>
      <c r="G796" s="1"/>
      <c r="H796" s="1"/>
      <c r="I796" s="1"/>
      <c r="J796" s="1"/>
      <c r="K796" s="1"/>
      <c r="L796" s="1"/>
      <c r="M796" s="1"/>
      <c r="N796" s="1"/>
      <c r="O796" s="1"/>
      <c r="P796" s="1"/>
      <c r="Q796" s="1"/>
      <c r="R796" s="1"/>
      <c r="S796" s="1"/>
      <c r="T796" s="1"/>
      <c r="U796" s="2"/>
      <c r="V796" s="1"/>
      <c r="W796" s="1"/>
      <c r="X796" s="1"/>
      <c r="Y796" s="1"/>
      <c r="Z796" s="1"/>
    </row>
    <row r="797" spans="1:26" ht="24.75" customHeight="1">
      <c r="A797" s="1"/>
      <c r="B797" s="1"/>
      <c r="C797" s="1"/>
      <c r="D797" s="1"/>
      <c r="E797" s="1"/>
      <c r="F797" s="1"/>
      <c r="G797" s="1"/>
      <c r="H797" s="1"/>
      <c r="I797" s="1"/>
      <c r="J797" s="1"/>
      <c r="K797" s="1"/>
      <c r="L797" s="1"/>
      <c r="M797" s="1"/>
      <c r="N797" s="1"/>
      <c r="O797" s="1"/>
      <c r="P797" s="1"/>
      <c r="Q797" s="1"/>
      <c r="R797" s="1"/>
      <c r="S797" s="1"/>
      <c r="T797" s="1"/>
      <c r="U797" s="2"/>
      <c r="V797" s="1"/>
      <c r="W797" s="1"/>
      <c r="X797" s="1"/>
      <c r="Y797" s="1"/>
      <c r="Z797" s="1"/>
    </row>
    <row r="798" spans="1:26" ht="24.75" customHeight="1">
      <c r="A798" s="1"/>
      <c r="B798" s="1"/>
      <c r="C798" s="1"/>
      <c r="D798" s="1"/>
      <c r="E798" s="1"/>
      <c r="F798" s="1"/>
      <c r="G798" s="1"/>
      <c r="H798" s="1"/>
      <c r="I798" s="1"/>
      <c r="J798" s="1"/>
      <c r="K798" s="1"/>
      <c r="L798" s="1"/>
      <c r="M798" s="1"/>
      <c r="N798" s="1"/>
      <c r="O798" s="1"/>
      <c r="P798" s="1"/>
      <c r="Q798" s="1"/>
      <c r="R798" s="1"/>
      <c r="S798" s="1"/>
      <c r="T798" s="1"/>
      <c r="U798" s="2"/>
      <c r="V798" s="1"/>
      <c r="W798" s="1"/>
      <c r="X798" s="1"/>
      <c r="Y798" s="1"/>
      <c r="Z798" s="1"/>
    </row>
    <row r="799" spans="1:26" ht="24.75" customHeight="1">
      <c r="A799" s="1"/>
      <c r="B799" s="1"/>
      <c r="C799" s="1"/>
      <c r="D799" s="1"/>
      <c r="E799" s="1"/>
      <c r="F799" s="1"/>
      <c r="G799" s="1"/>
      <c r="H799" s="1"/>
      <c r="I799" s="1"/>
      <c r="J799" s="1"/>
      <c r="K799" s="1"/>
      <c r="L799" s="1"/>
      <c r="M799" s="1"/>
      <c r="N799" s="1"/>
      <c r="O799" s="1"/>
      <c r="P799" s="1"/>
      <c r="Q799" s="1"/>
      <c r="R799" s="1"/>
      <c r="S799" s="1"/>
      <c r="T799" s="1"/>
      <c r="U799" s="2"/>
      <c r="V799" s="1"/>
      <c r="W799" s="1"/>
      <c r="X799" s="1"/>
      <c r="Y799" s="1"/>
      <c r="Z799" s="1"/>
    </row>
    <row r="800" spans="1:26" ht="24.75" customHeight="1">
      <c r="A800" s="1"/>
      <c r="B800" s="1"/>
      <c r="C800" s="1"/>
      <c r="D800" s="1"/>
      <c r="E800" s="1"/>
      <c r="F800" s="1"/>
      <c r="G800" s="1"/>
      <c r="H800" s="1"/>
      <c r="I800" s="1"/>
      <c r="J800" s="1"/>
      <c r="K800" s="1"/>
      <c r="L800" s="1"/>
      <c r="M800" s="1"/>
      <c r="N800" s="1"/>
      <c r="O800" s="1"/>
      <c r="P800" s="1"/>
      <c r="Q800" s="1"/>
      <c r="R800" s="1"/>
      <c r="S800" s="1"/>
      <c r="T800" s="1"/>
      <c r="U800" s="2"/>
      <c r="V800" s="1"/>
      <c r="W800" s="1"/>
      <c r="X800" s="1"/>
      <c r="Y800" s="1"/>
      <c r="Z800" s="1"/>
    </row>
    <row r="801" spans="1:26" ht="24.75" customHeight="1">
      <c r="A801" s="1"/>
      <c r="B801" s="1"/>
      <c r="C801" s="1"/>
      <c r="D801" s="1"/>
      <c r="E801" s="1"/>
      <c r="F801" s="1"/>
      <c r="G801" s="1"/>
      <c r="H801" s="1"/>
      <c r="I801" s="1"/>
      <c r="J801" s="1"/>
      <c r="K801" s="1"/>
      <c r="L801" s="1"/>
      <c r="M801" s="1"/>
      <c r="N801" s="1"/>
      <c r="O801" s="1"/>
      <c r="P801" s="1"/>
      <c r="Q801" s="1"/>
      <c r="R801" s="1"/>
      <c r="S801" s="1"/>
      <c r="T801" s="1"/>
      <c r="U801" s="2"/>
      <c r="V801" s="1"/>
      <c r="W801" s="1"/>
      <c r="X801" s="1"/>
      <c r="Y801" s="1"/>
      <c r="Z801" s="1"/>
    </row>
    <row r="802" spans="1:26" ht="24.75" customHeight="1">
      <c r="A802" s="1"/>
      <c r="B802" s="1"/>
      <c r="C802" s="1"/>
      <c r="D802" s="1"/>
      <c r="E802" s="1"/>
      <c r="F802" s="1"/>
      <c r="G802" s="1"/>
      <c r="H802" s="1"/>
      <c r="I802" s="1"/>
      <c r="J802" s="1"/>
      <c r="K802" s="1"/>
      <c r="L802" s="1"/>
      <c r="M802" s="1"/>
      <c r="N802" s="1"/>
      <c r="O802" s="1"/>
      <c r="P802" s="1"/>
      <c r="Q802" s="1"/>
      <c r="R802" s="1"/>
      <c r="S802" s="1"/>
      <c r="T802" s="1"/>
      <c r="U802" s="2"/>
      <c r="V802" s="1"/>
      <c r="W802" s="1"/>
      <c r="X802" s="1"/>
      <c r="Y802" s="1"/>
      <c r="Z802" s="1"/>
    </row>
    <row r="803" spans="1:26" ht="24.75" customHeight="1">
      <c r="A803" s="1"/>
      <c r="B803" s="1"/>
      <c r="C803" s="1"/>
      <c r="D803" s="1"/>
      <c r="E803" s="1"/>
      <c r="F803" s="1"/>
      <c r="G803" s="1"/>
      <c r="H803" s="1"/>
      <c r="I803" s="1"/>
      <c r="J803" s="1"/>
      <c r="K803" s="1"/>
      <c r="L803" s="1"/>
      <c r="M803" s="1"/>
      <c r="N803" s="1"/>
      <c r="O803" s="1"/>
      <c r="P803" s="1"/>
      <c r="Q803" s="1"/>
      <c r="R803" s="1"/>
      <c r="S803" s="1"/>
      <c r="T803" s="1"/>
      <c r="U803" s="2"/>
      <c r="V803" s="1"/>
      <c r="W803" s="1"/>
      <c r="X803" s="1"/>
      <c r="Y803" s="1"/>
      <c r="Z803" s="1"/>
    </row>
    <row r="804" spans="1:26" ht="24.75" customHeight="1">
      <c r="A804" s="1"/>
      <c r="B804" s="1"/>
      <c r="C804" s="1"/>
      <c r="D804" s="1"/>
      <c r="E804" s="1"/>
      <c r="F804" s="1"/>
      <c r="G804" s="1"/>
      <c r="H804" s="1"/>
      <c r="I804" s="1"/>
      <c r="J804" s="1"/>
      <c r="K804" s="1"/>
      <c r="L804" s="1"/>
      <c r="M804" s="1"/>
      <c r="N804" s="1"/>
      <c r="O804" s="1"/>
      <c r="P804" s="1"/>
      <c r="Q804" s="1"/>
      <c r="R804" s="1"/>
      <c r="S804" s="1"/>
      <c r="T804" s="1"/>
      <c r="U804" s="2"/>
      <c r="V804" s="1"/>
      <c r="W804" s="1"/>
      <c r="X804" s="1"/>
      <c r="Y804" s="1"/>
      <c r="Z804" s="1"/>
    </row>
    <row r="805" spans="1:26" ht="24.75" customHeight="1">
      <c r="A805" s="1"/>
      <c r="B805" s="1"/>
      <c r="C805" s="1"/>
      <c r="D805" s="1"/>
      <c r="E805" s="1"/>
      <c r="F805" s="1"/>
      <c r="G805" s="1"/>
      <c r="H805" s="1"/>
      <c r="I805" s="1"/>
      <c r="J805" s="1"/>
      <c r="K805" s="1"/>
      <c r="L805" s="1"/>
      <c r="M805" s="1"/>
      <c r="N805" s="1"/>
      <c r="O805" s="1"/>
      <c r="P805" s="1"/>
      <c r="Q805" s="1"/>
      <c r="R805" s="1"/>
      <c r="S805" s="1"/>
      <c r="T805" s="1"/>
      <c r="U805" s="2"/>
      <c r="V805" s="1"/>
      <c r="W805" s="1"/>
      <c r="X805" s="1"/>
      <c r="Y805" s="1"/>
      <c r="Z805" s="1"/>
    </row>
    <row r="806" spans="1:26" ht="24.75" customHeight="1">
      <c r="A806" s="1"/>
      <c r="B806" s="1"/>
      <c r="C806" s="1"/>
      <c r="D806" s="1"/>
      <c r="E806" s="1"/>
      <c r="F806" s="1"/>
      <c r="G806" s="1"/>
      <c r="H806" s="1"/>
      <c r="I806" s="1"/>
      <c r="J806" s="1"/>
      <c r="K806" s="1"/>
      <c r="L806" s="1"/>
      <c r="M806" s="1"/>
      <c r="N806" s="1"/>
      <c r="O806" s="1"/>
      <c r="P806" s="1"/>
      <c r="Q806" s="1"/>
      <c r="R806" s="1"/>
      <c r="S806" s="1"/>
      <c r="T806" s="1"/>
      <c r="U806" s="2"/>
      <c r="V806" s="1"/>
      <c r="W806" s="1"/>
      <c r="X806" s="1"/>
      <c r="Y806" s="1"/>
      <c r="Z806" s="1"/>
    </row>
    <row r="807" spans="1:26" ht="24.75" customHeight="1">
      <c r="A807" s="1"/>
      <c r="B807" s="1"/>
      <c r="C807" s="1"/>
      <c r="D807" s="1"/>
      <c r="E807" s="1"/>
      <c r="F807" s="1"/>
      <c r="G807" s="1"/>
      <c r="H807" s="1"/>
      <c r="I807" s="1"/>
      <c r="J807" s="1"/>
      <c r="K807" s="1"/>
      <c r="L807" s="1"/>
      <c r="M807" s="1"/>
      <c r="N807" s="1"/>
      <c r="O807" s="1"/>
      <c r="P807" s="1"/>
      <c r="Q807" s="1"/>
      <c r="R807" s="1"/>
      <c r="S807" s="1"/>
      <c r="T807" s="1"/>
      <c r="U807" s="2"/>
      <c r="V807" s="1"/>
      <c r="W807" s="1"/>
      <c r="X807" s="1"/>
      <c r="Y807" s="1"/>
      <c r="Z807" s="1"/>
    </row>
    <row r="808" spans="1:26" ht="24.75" customHeight="1">
      <c r="A808" s="1"/>
      <c r="B808" s="1"/>
      <c r="C808" s="1"/>
      <c r="D808" s="1"/>
      <c r="E808" s="1"/>
      <c r="F808" s="1"/>
      <c r="G808" s="1"/>
      <c r="H808" s="1"/>
      <c r="I808" s="1"/>
      <c r="J808" s="1"/>
      <c r="K808" s="1"/>
      <c r="L808" s="1"/>
      <c r="M808" s="1"/>
      <c r="N808" s="1"/>
      <c r="O808" s="1"/>
      <c r="P808" s="1"/>
      <c r="Q808" s="1"/>
      <c r="R808" s="1"/>
      <c r="S808" s="1"/>
      <c r="T808" s="1"/>
      <c r="U808" s="2"/>
      <c r="V808" s="1"/>
      <c r="W808" s="1"/>
      <c r="X808" s="1"/>
      <c r="Y808" s="1"/>
      <c r="Z808" s="1"/>
    </row>
    <row r="809" spans="1:26" ht="24.75" customHeight="1">
      <c r="A809" s="1"/>
      <c r="B809" s="1"/>
      <c r="C809" s="1"/>
      <c r="D809" s="1"/>
      <c r="E809" s="1"/>
      <c r="F809" s="1"/>
      <c r="G809" s="1"/>
      <c r="H809" s="1"/>
      <c r="I809" s="1"/>
      <c r="J809" s="1"/>
      <c r="K809" s="1"/>
      <c r="L809" s="1"/>
      <c r="M809" s="1"/>
      <c r="N809" s="1"/>
      <c r="O809" s="1"/>
      <c r="P809" s="1"/>
      <c r="Q809" s="1"/>
      <c r="R809" s="1"/>
      <c r="S809" s="1"/>
      <c r="T809" s="1"/>
      <c r="U809" s="2"/>
      <c r="V809" s="1"/>
      <c r="W809" s="1"/>
      <c r="X809" s="1"/>
      <c r="Y809" s="1"/>
      <c r="Z809" s="1"/>
    </row>
    <row r="810" spans="1:26" ht="24.75" customHeight="1">
      <c r="A810" s="1"/>
      <c r="B810" s="1"/>
      <c r="C810" s="1"/>
      <c r="D810" s="1"/>
      <c r="E810" s="1"/>
      <c r="F810" s="1"/>
      <c r="G810" s="1"/>
      <c r="H810" s="1"/>
      <c r="I810" s="1"/>
      <c r="J810" s="1"/>
      <c r="K810" s="1"/>
      <c r="L810" s="1"/>
      <c r="M810" s="1"/>
      <c r="N810" s="1"/>
      <c r="O810" s="1"/>
      <c r="P810" s="1"/>
      <c r="Q810" s="1"/>
      <c r="R810" s="1"/>
      <c r="S810" s="1"/>
      <c r="T810" s="1"/>
      <c r="U810" s="2"/>
      <c r="V810" s="1"/>
      <c r="W810" s="1"/>
      <c r="X810" s="1"/>
      <c r="Y810" s="1"/>
      <c r="Z810" s="1"/>
    </row>
    <row r="811" spans="1:26" ht="24.75" customHeight="1">
      <c r="A811" s="1"/>
      <c r="B811" s="1"/>
      <c r="C811" s="1"/>
      <c r="D811" s="1"/>
      <c r="E811" s="1"/>
      <c r="F811" s="1"/>
      <c r="G811" s="1"/>
      <c r="H811" s="1"/>
      <c r="I811" s="1"/>
      <c r="J811" s="1"/>
      <c r="K811" s="1"/>
      <c r="L811" s="1"/>
      <c r="M811" s="1"/>
      <c r="N811" s="1"/>
      <c r="O811" s="1"/>
      <c r="P811" s="1"/>
      <c r="Q811" s="1"/>
      <c r="R811" s="1"/>
      <c r="S811" s="1"/>
      <c r="T811" s="1"/>
      <c r="U811" s="2"/>
      <c r="V811" s="1"/>
      <c r="W811" s="1"/>
      <c r="X811" s="1"/>
      <c r="Y811" s="1"/>
      <c r="Z811" s="1"/>
    </row>
    <row r="812" spans="1:26" ht="24.75" customHeight="1">
      <c r="A812" s="1"/>
      <c r="B812" s="1"/>
      <c r="C812" s="1"/>
      <c r="D812" s="1"/>
      <c r="E812" s="1"/>
      <c r="F812" s="1"/>
      <c r="G812" s="1"/>
      <c r="H812" s="1"/>
      <c r="I812" s="1"/>
      <c r="J812" s="1"/>
      <c r="K812" s="1"/>
      <c r="L812" s="1"/>
      <c r="M812" s="1"/>
      <c r="N812" s="1"/>
      <c r="O812" s="1"/>
      <c r="P812" s="1"/>
      <c r="Q812" s="1"/>
      <c r="R812" s="1"/>
      <c r="S812" s="1"/>
      <c r="T812" s="1"/>
      <c r="U812" s="2"/>
      <c r="V812" s="1"/>
      <c r="W812" s="1"/>
      <c r="X812" s="1"/>
      <c r="Y812" s="1"/>
      <c r="Z812" s="1"/>
    </row>
    <row r="813" spans="1:26" ht="24.75" customHeight="1">
      <c r="A813" s="1"/>
      <c r="B813" s="1"/>
      <c r="C813" s="1"/>
      <c r="D813" s="1"/>
      <c r="E813" s="1"/>
      <c r="F813" s="1"/>
      <c r="G813" s="1"/>
      <c r="H813" s="1"/>
      <c r="I813" s="1"/>
      <c r="J813" s="1"/>
      <c r="K813" s="1"/>
      <c r="L813" s="1"/>
      <c r="M813" s="1"/>
      <c r="N813" s="1"/>
      <c r="O813" s="1"/>
      <c r="P813" s="1"/>
      <c r="Q813" s="1"/>
      <c r="R813" s="1"/>
      <c r="S813" s="1"/>
      <c r="T813" s="1"/>
      <c r="U813" s="2"/>
      <c r="V813" s="1"/>
      <c r="W813" s="1"/>
      <c r="X813" s="1"/>
      <c r="Y813" s="1"/>
      <c r="Z813" s="1"/>
    </row>
    <row r="814" spans="1:26" ht="24.75" customHeight="1">
      <c r="A814" s="1"/>
      <c r="B814" s="1"/>
      <c r="C814" s="1"/>
      <c r="D814" s="1"/>
      <c r="E814" s="1"/>
      <c r="F814" s="1"/>
      <c r="G814" s="1"/>
      <c r="H814" s="1"/>
      <c r="I814" s="1"/>
      <c r="J814" s="1"/>
      <c r="K814" s="1"/>
      <c r="L814" s="1"/>
      <c r="M814" s="1"/>
      <c r="N814" s="1"/>
      <c r="O814" s="1"/>
      <c r="P814" s="1"/>
      <c r="Q814" s="1"/>
      <c r="R814" s="1"/>
      <c r="S814" s="1"/>
      <c r="T814" s="1"/>
      <c r="U814" s="2"/>
      <c r="V814" s="1"/>
      <c r="W814" s="1"/>
      <c r="X814" s="1"/>
      <c r="Y814" s="1"/>
      <c r="Z814" s="1"/>
    </row>
    <row r="815" spans="1:26" ht="24.75" customHeight="1">
      <c r="A815" s="1"/>
      <c r="B815" s="1"/>
      <c r="C815" s="1"/>
      <c r="D815" s="1"/>
      <c r="E815" s="1"/>
      <c r="F815" s="1"/>
      <c r="G815" s="1"/>
      <c r="H815" s="1"/>
      <c r="I815" s="1"/>
      <c r="J815" s="1"/>
      <c r="K815" s="1"/>
      <c r="L815" s="1"/>
      <c r="M815" s="1"/>
      <c r="N815" s="1"/>
      <c r="O815" s="1"/>
      <c r="P815" s="1"/>
      <c r="Q815" s="1"/>
      <c r="R815" s="1"/>
      <c r="S815" s="1"/>
      <c r="T815" s="1"/>
      <c r="U815" s="2"/>
      <c r="V815" s="1"/>
      <c r="W815" s="1"/>
      <c r="X815" s="1"/>
      <c r="Y815" s="1"/>
      <c r="Z815" s="1"/>
    </row>
    <row r="816" spans="1:26" ht="24.75" customHeight="1">
      <c r="A816" s="1"/>
      <c r="B816" s="1"/>
      <c r="C816" s="1"/>
      <c r="D816" s="1"/>
      <c r="E816" s="1"/>
      <c r="F816" s="1"/>
      <c r="G816" s="1"/>
      <c r="H816" s="1"/>
      <c r="I816" s="1"/>
      <c r="J816" s="1"/>
      <c r="K816" s="1"/>
      <c r="L816" s="1"/>
      <c r="M816" s="1"/>
      <c r="N816" s="1"/>
      <c r="O816" s="1"/>
      <c r="P816" s="1"/>
      <c r="Q816" s="1"/>
      <c r="R816" s="1"/>
      <c r="S816" s="1"/>
      <c r="T816" s="1"/>
      <c r="U816" s="2"/>
      <c r="V816" s="1"/>
      <c r="W816" s="1"/>
      <c r="X816" s="1"/>
      <c r="Y816" s="1"/>
      <c r="Z816" s="1"/>
    </row>
    <row r="817" spans="1:26" ht="24.75" customHeight="1">
      <c r="A817" s="1"/>
      <c r="B817" s="1"/>
      <c r="C817" s="1"/>
      <c r="D817" s="1"/>
      <c r="E817" s="1"/>
      <c r="F817" s="1"/>
      <c r="G817" s="1"/>
      <c r="H817" s="1"/>
      <c r="I817" s="1"/>
      <c r="J817" s="1"/>
      <c r="K817" s="1"/>
      <c r="L817" s="1"/>
      <c r="M817" s="1"/>
      <c r="N817" s="1"/>
      <c r="O817" s="1"/>
      <c r="P817" s="1"/>
      <c r="Q817" s="1"/>
      <c r="R817" s="1"/>
      <c r="S817" s="1"/>
      <c r="T817" s="1"/>
      <c r="U817" s="2"/>
      <c r="V817" s="1"/>
      <c r="W817" s="1"/>
      <c r="X817" s="1"/>
      <c r="Y817" s="1"/>
      <c r="Z817" s="1"/>
    </row>
    <row r="818" spans="1:26" ht="24.75" customHeight="1">
      <c r="A818" s="1"/>
      <c r="B818" s="1"/>
      <c r="C818" s="1"/>
      <c r="D818" s="1"/>
      <c r="E818" s="1"/>
      <c r="F818" s="1"/>
      <c r="G818" s="1"/>
      <c r="H818" s="1"/>
      <c r="I818" s="1"/>
      <c r="J818" s="1"/>
      <c r="K818" s="1"/>
      <c r="L818" s="1"/>
      <c r="M818" s="1"/>
      <c r="N818" s="1"/>
      <c r="O818" s="1"/>
      <c r="P818" s="1"/>
      <c r="Q818" s="1"/>
      <c r="R818" s="1"/>
      <c r="S818" s="1"/>
      <c r="T818" s="1"/>
      <c r="U818" s="2"/>
      <c r="V818" s="1"/>
      <c r="W818" s="1"/>
      <c r="X818" s="1"/>
      <c r="Y818" s="1"/>
      <c r="Z818" s="1"/>
    </row>
    <row r="819" spans="1:26" ht="24.75" customHeight="1">
      <c r="A819" s="1"/>
      <c r="B819" s="1"/>
      <c r="C819" s="1"/>
      <c r="D819" s="1"/>
      <c r="E819" s="1"/>
      <c r="F819" s="1"/>
      <c r="G819" s="1"/>
      <c r="H819" s="1"/>
      <c r="I819" s="1"/>
      <c r="J819" s="1"/>
      <c r="K819" s="1"/>
      <c r="L819" s="1"/>
      <c r="M819" s="1"/>
      <c r="N819" s="1"/>
      <c r="O819" s="1"/>
      <c r="P819" s="1"/>
      <c r="Q819" s="1"/>
      <c r="R819" s="1"/>
      <c r="S819" s="1"/>
      <c r="T819" s="1"/>
      <c r="U819" s="2"/>
      <c r="V819" s="1"/>
      <c r="W819" s="1"/>
      <c r="X819" s="1"/>
      <c r="Y819" s="1"/>
      <c r="Z819" s="1"/>
    </row>
    <row r="820" spans="1:26" ht="24.75" customHeight="1">
      <c r="A820" s="1"/>
      <c r="B820" s="1"/>
      <c r="C820" s="1"/>
      <c r="D820" s="1"/>
      <c r="E820" s="1"/>
      <c r="F820" s="1"/>
      <c r="G820" s="1"/>
      <c r="H820" s="1"/>
      <c r="I820" s="1"/>
      <c r="J820" s="1"/>
      <c r="K820" s="1"/>
      <c r="L820" s="1"/>
      <c r="M820" s="1"/>
      <c r="N820" s="1"/>
      <c r="O820" s="1"/>
      <c r="P820" s="1"/>
      <c r="Q820" s="1"/>
      <c r="R820" s="1"/>
      <c r="S820" s="1"/>
      <c r="T820" s="1"/>
      <c r="U820" s="2"/>
      <c r="V820" s="1"/>
      <c r="W820" s="1"/>
      <c r="X820" s="1"/>
      <c r="Y820" s="1"/>
      <c r="Z820" s="1"/>
    </row>
    <row r="821" spans="1:26" ht="24.75" customHeight="1">
      <c r="A821" s="1"/>
      <c r="B821" s="1"/>
      <c r="C821" s="1"/>
      <c r="D821" s="1"/>
      <c r="E821" s="1"/>
      <c r="F821" s="1"/>
      <c r="G821" s="1"/>
      <c r="H821" s="1"/>
      <c r="I821" s="1"/>
      <c r="J821" s="1"/>
      <c r="K821" s="1"/>
      <c r="L821" s="1"/>
      <c r="M821" s="1"/>
      <c r="N821" s="1"/>
      <c r="O821" s="1"/>
      <c r="P821" s="1"/>
      <c r="Q821" s="1"/>
      <c r="R821" s="1"/>
      <c r="S821" s="1"/>
      <c r="T821" s="1"/>
      <c r="U821" s="2"/>
      <c r="V821" s="1"/>
      <c r="W821" s="1"/>
      <c r="X821" s="1"/>
      <c r="Y821" s="1"/>
      <c r="Z821" s="1"/>
    </row>
    <row r="822" spans="1:26" ht="24.75" customHeight="1">
      <c r="A822" s="1"/>
      <c r="B822" s="1"/>
      <c r="C822" s="1"/>
      <c r="D822" s="1"/>
      <c r="E822" s="1"/>
      <c r="F822" s="1"/>
      <c r="G822" s="1"/>
      <c r="H822" s="1"/>
      <c r="I822" s="1"/>
      <c r="J822" s="1"/>
      <c r="K822" s="1"/>
      <c r="L822" s="1"/>
      <c r="M822" s="1"/>
      <c r="N822" s="1"/>
      <c r="O822" s="1"/>
      <c r="P822" s="1"/>
      <c r="Q822" s="1"/>
      <c r="R822" s="1"/>
      <c r="S822" s="1"/>
      <c r="T822" s="1"/>
      <c r="U822" s="2"/>
      <c r="V822" s="1"/>
      <c r="W822" s="1"/>
      <c r="X822" s="1"/>
      <c r="Y822" s="1"/>
      <c r="Z822" s="1"/>
    </row>
    <row r="823" spans="1:26" ht="24.75" customHeight="1">
      <c r="A823" s="1"/>
      <c r="B823" s="1"/>
      <c r="C823" s="1"/>
      <c r="D823" s="1"/>
      <c r="E823" s="1"/>
      <c r="F823" s="1"/>
      <c r="G823" s="1"/>
      <c r="H823" s="1"/>
      <c r="I823" s="1"/>
      <c r="J823" s="1"/>
      <c r="K823" s="1"/>
      <c r="L823" s="1"/>
      <c r="M823" s="1"/>
      <c r="N823" s="1"/>
      <c r="O823" s="1"/>
      <c r="P823" s="1"/>
      <c r="Q823" s="1"/>
      <c r="R823" s="1"/>
      <c r="S823" s="1"/>
      <c r="T823" s="1"/>
      <c r="U823" s="2"/>
      <c r="V823" s="1"/>
      <c r="W823" s="1"/>
      <c r="X823" s="1"/>
      <c r="Y823" s="1"/>
      <c r="Z823" s="1"/>
    </row>
    <row r="824" spans="1:26" ht="24.75" customHeight="1">
      <c r="A824" s="1"/>
      <c r="B824" s="1"/>
      <c r="C824" s="1"/>
      <c r="D824" s="1"/>
      <c r="E824" s="1"/>
      <c r="F824" s="1"/>
      <c r="G824" s="1"/>
      <c r="H824" s="1"/>
      <c r="I824" s="1"/>
      <c r="J824" s="1"/>
      <c r="K824" s="1"/>
      <c r="L824" s="1"/>
      <c r="M824" s="1"/>
      <c r="N824" s="1"/>
      <c r="O824" s="1"/>
      <c r="P824" s="1"/>
      <c r="Q824" s="1"/>
      <c r="R824" s="1"/>
      <c r="S824" s="1"/>
      <c r="T824" s="1"/>
      <c r="U824" s="2"/>
      <c r="V824" s="1"/>
      <c r="W824" s="1"/>
      <c r="X824" s="1"/>
      <c r="Y824" s="1"/>
      <c r="Z824" s="1"/>
    </row>
    <row r="825" spans="1:26" ht="24.75" customHeight="1">
      <c r="A825" s="1"/>
      <c r="B825" s="1"/>
      <c r="C825" s="1"/>
      <c r="D825" s="1"/>
      <c r="E825" s="1"/>
      <c r="F825" s="1"/>
      <c r="G825" s="1"/>
      <c r="H825" s="1"/>
      <c r="I825" s="1"/>
      <c r="J825" s="1"/>
      <c r="K825" s="1"/>
      <c r="L825" s="1"/>
      <c r="M825" s="1"/>
      <c r="N825" s="1"/>
      <c r="O825" s="1"/>
      <c r="P825" s="1"/>
      <c r="Q825" s="1"/>
      <c r="R825" s="1"/>
      <c r="S825" s="1"/>
      <c r="T825" s="1"/>
      <c r="U825" s="2"/>
      <c r="V825" s="1"/>
      <c r="W825" s="1"/>
      <c r="X825" s="1"/>
      <c r="Y825" s="1"/>
      <c r="Z825" s="1"/>
    </row>
    <row r="826" spans="1:26" ht="24.75" customHeight="1">
      <c r="A826" s="1"/>
      <c r="B826" s="1"/>
      <c r="C826" s="1"/>
      <c r="D826" s="1"/>
      <c r="E826" s="1"/>
      <c r="F826" s="1"/>
      <c r="G826" s="1"/>
      <c r="H826" s="1"/>
      <c r="I826" s="1"/>
      <c r="J826" s="1"/>
      <c r="K826" s="1"/>
      <c r="L826" s="1"/>
      <c r="M826" s="1"/>
      <c r="N826" s="1"/>
      <c r="O826" s="1"/>
      <c r="P826" s="1"/>
      <c r="Q826" s="1"/>
      <c r="R826" s="1"/>
      <c r="S826" s="1"/>
      <c r="T826" s="1"/>
      <c r="U826" s="2"/>
      <c r="V826" s="1"/>
      <c r="W826" s="1"/>
      <c r="X826" s="1"/>
      <c r="Y826" s="1"/>
      <c r="Z826" s="1"/>
    </row>
    <row r="827" spans="1:26" ht="24.75" customHeight="1">
      <c r="A827" s="1"/>
      <c r="B827" s="1"/>
      <c r="C827" s="1"/>
      <c r="D827" s="1"/>
      <c r="E827" s="1"/>
      <c r="F827" s="1"/>
      <c r="G827" s="1"/>
      <c r="H827" s="1"/>
      <c r="I827" s="1"/>
      <c r="J827" s="1"/>
      <c r="K827" s="1"/>
      <c r="L827" s="1"/>
      <c r="M827" s="1"/>
      <c r="N827" s="1"/>
      <c r="O827" s="1"/>
      <c r="P827" s="1"/>
      <c r="Q827" s="1"/>
      <c r="R827" s="1"/>
      <c r="S827" s="1"/>
      <c r="T827" s="1"/>
      <c r="U827" s="2"/>
      <c r="V827" s="1"/>
      <c r="W827" s="1"/>
      <c r="X827" s="1"/>
      <c r="Y827" s="1"/>
      <c r="Z827" s="1"/>
    </row>
    <row r="828" spans="1:26" ht="24.75" customHeight="1">
      <c r="A828" s="1"/>
      <c r="B828" s="1"/>
      <c r="C828" s="1"/>
      <c r="D828" s="1"/>
      <c r="E828" s="1"/>
      <c r="F828" s="1"/>
      <c r="G828" s="1"/>
      <c r="H828" s="1"/>
      <c r="I828" s="1"/>
      <c r="J828" s="1"/>
      <c r="K828" s="1"/>
      <c r="L828" s="1"/>
      <c r="M828" s="1"/>
      <c r="N828" s="1"/>
      <c r="O828" s="1"/>
      <c r="P828" s="1"/>
      <c r="Q828" s="1"/>
      <c r="R828" s="1"/>
      <c r="S828" s="1"/>
      <c r="T828" s="1"/>
      <c r="U828" s="2"/>
      <c r="V828" s="1"/>
      <c r="W828" s="1"/>
      <c r="X828" s="1"/>
      <c r="Y828" s="1"/>
      <c r="Z828" s="1"/>
    </row>
    <row r="829" spans="1:26" ht="24.75" customHeight="1">
      <c r="A829" s="1"/>
      <c r="B829" s="1"/>
      <c r="C829" s="1"/>
      <c r="D829" s="1"/>
      <c r="E829" s="1"/>
      <c r="F829" s="1"/>
      <c r="G829" s="1"/>
      <c r="H829" s="1"/>
      <c r="I829" s="1"/>
      <c r="J829" s="1"/>
      <c r="K829" s="1"/>
      <c r="L829" s="1"/>
      <c r="M829" s="1"/>
      <c r="N829" s="1"/>
      <c r="O829" s="1"/>
      <c r="P829" s="1"/>
      <c r="Q829" s="1"/>
      <c r="R829" s="1"/>
      <c r="S829" s="1"/>
      <c r="T829" s="1"/>
      <c r="U829" s="2"/>
      <c r="V829" s="1"/>
      <c r="W829" s="1"/>
      <c r="X829" s="1"/>
      <c r="Y829" s="1"/>
      <c r="Z829" s="1"/>
    </row>
    <row r="830" spans="1:26" ht="24.75" customHeight="1">
      <c r="A830" s="1"/>
      <c r="B830" s="1"/>
      <c r="C830" s="1"/>
      <c r="D830" s="1"/>
      <c r="E830" s="1"/>
      <c r="F830" s="1"/>
      <c r="G830" s="1"/>
      <c r="H830" s="1"/>
      <c r="I830" s="1"/>
      <c r="J830" s="1"/>
      <c r="K830" s="1"/>
      <c r="L830" s="1"/>
      <c r="M830" s="1"/>
      <c r="N830" s="1"/>
      <c r="O830" s="1"/>
      <c r="P830" s="1"/>
      <c r="Q830" s="1"/>
      <c r="R830" s="1"/>
      <c r="S830" s="1"/>
      <c r="T830" s="1"/>
      <c r="U830" s="2"/>
      <c r="V830" s="1"/>
      <c r="W830" s="1"/>
      <c r="X830" s="1"/>
      <c r="Y830" s="1"/>
      <c r="Z830" s="1"/>
    </row>
    <row r="831" spans="1:26" ht="24.75" customHeight="1">
      <c r="A831" s="1"/>
      <c r="B831" s="1"/>
      <c r="C831" s="1"/>
      <c r="D831" s="1"/>
      <c r="E831" s="1"/>
      <c r="F831" s="1"/>
      <c r="G831" s="1"/>
      <c r="H831" s="1"/>
      <c r="I831" s="1"/>
      <c r="J831" s="1"/>
      <c r="K831" s="1"/>
      <c r="L831" s="1"/>
      <c r="M831" s="1"/>
      <c r="N831" s="1"/>
      <c r="O831" s="1"/>
      <c r="P831" s="1"/>
      <c r="Q831" s="1"/>
      <c r="R831" s="1"/>
      <c r="S831" s="1"/>
      <c r="T831" s="1"/>
      <c r="U831" s="2"/>
      <c r="V831" s="1"/>
      <c r="W831" s="1"/>
      <c r="X831" s="1"/>
      <c r="Y831" s="1"/>
      <c r="Z831" s="1"/>
    </row>
    <row r="832" spans="1:26" ht="24.75" customHeight="1">
      <c r="A832" s="1"/>
      <c r="B832" s="1"/>
      <c r="C832" s="1"/>
      <c r="D832" s="1"/>
      <c r="E832" s="1"/>
      <c r="F832" s="1"/>
      <c r="G832" s="1"/>
      <c r="H832" s="1"/>
      <c r="I832" s="1"/>
      <c r="J832" s="1"/>
      <c r="K832" s="1"/>
      <c r="L832" s="1"/>
      <c r="M832" s="1"/>
      <c r="N832" s="1"/>
      <c r="O832" s="1"/>
      <c r="P832" s="1"/>
      <c r="Q832" s="1"/>
      <c r="R832" s="1"/>
      <c r="S832" s="1"/>
      <c r="T832" s="1"/>
      <c r="U832" s="2"/>
      <c r="V832" s="1"/>
      <c r="W832" s="1"/>
      <c r="X832" s="1"/>
      <c r="Y832" s="1"/>
      <c r="Z832" s="1"/>
    </row>
    <row r="833" spans="1:26" ht="24.75" customHeight="1">
      <c r="A833" s="1"/>
      <c r="B833" s="1"/>
      <c r="C833" s="1"/>
      <c r="D833" s="1"/>
      <c r="E833" s="1"/>
      <c r="F833" s="1"/>
      <c r="G833" s="1"/>
      <c r="H833" s="1"/>
      <c r="I833" s="1"/>
      <c r="J833" s="1"/>
      <c r="K833" s="1"/>
      <c r="L833" s="1"/>
      <c r="M833" s="1"/>
      <c r="N833" s="1"/>
      <c r="O833" s="1"/>
      <c r="P833" s="1"/>
      <c r="Q833" s="1"/>
      <c r="R833" s="1"/>
      <c r="S833" s="1"/>
      <c r="T833" s="1"/>
      <c r="U833" s="2"/>
      <c r="V833" s="1"/>
      <c r="W833" s="1"/>
      <c r="X833" s="1"/>
      <c r="Y833" s="1"/>
      <c r="Z833" s="1"/>
    </row>
    <row r="834" spans="1:26" ht="24.75" customHeight="1">
      <c r="A834" s="1"/>
      <c r="B834" s="1"/>
      <c r="C834" s="1"/>
      <c r="D834" s="1"/>
      <c r="E834" s="1"/>
      <c r="F834" s="1"/>
      <c r="G834" s="1"/>
      <c r="H834" s="1"/>
      <c r="I834" s="1"/>
      <c r="J834" s="1"/>
      <c r="K834" s="1"/>
      <c r="L834" s="1"/>
      <c r="M834" s="1"/>
      <c r="N834" s="1"/>
      <c r="O834" s="1"/>
      <c r="P834" s="1"/>
      <c r="Q834" s="1"/>
      <c r="R834" s="1"/>
      <c r="S834" s="1"/>
      <c r="T834" s="1"/>
      <c r="U834" s="2"/>
      <c r="V834" s="1"/>
      <c r="W834" s="1"/>
      <c r="X834" s="1"/>
      <c r="Y834" s="1"/>
      <c r="Z834" s="1"/>
    </row>
    <row r="835" spans="1:26" ht="24.75" customHeight="1">
      <c r="A835" s="1"/>
      <c r="B835" s="1"/>
      <c r="C835" s="1"/>
      <c r="D835" s="1"/>
      <c r="E835" s="1"/>
      <c r="F835" s="1"/>
      <c r="G835" s="1"/>
      <c r="H835" s="1"/>
      <c r="I835" s="1"/>
      <c r="J835" s="1"/>
      <c r="K835" s="1"/>
      <c r="L835" s="1"/>
      <c r="M835" s="1"/>
      <c r="N835" s="1"/>
      <c r="O835" s="1"/>
      <c r="P835" s="1"/>
      <c r="Q835" s="1"/>
      <c r="R835" s="1"/>
      <c r="S835" s="1"/>
      <c r="T835" s="1"/>
      <c r="U835" s="2"/>
      <c r="V835" s="1"/>
      <c r="W835" s="1"/>
      <c r="X835" s="1"/>
      <c r="Y835" s="1"/>
      <c r="Z835" s="1"/>
    </row>
    <row r="836" spans="1:26" ht="24.75" customHeight="1">
      <c r="A836" s="1"/>
      <c r="B836" s="1"/>
      <c r="C836" s="1"/>
      <c r="D836" s="1"/>
      <c r="E836" s="1"/>
      <c r="F836" s="1"/>
      <c r="G836" s="1"/>
      <c r="H836" s="1"/>
      <c r="I836" s="1"/>
      <c r="J836" s="1"/>
      <c r="K836" s="1"/>
      <c r="L836" s="1"/>
      <c r="M836" s="1"/>
      <c r="N836" s="1"/>
      <c r="O836" s="1"/>
      <c r="P836" s="1"/>
      <c r="Q836" s="1"/>
      <c r="R836" s="1"/>
      <c r="S836" s="1"/>
      <c r="T836" s="1"/>
      <c r="U836" s="2"/>
      <c r="V836" s="1"/>
      <c r="W836" s="1"/>
      <c r="X836" s="1"/>
      <c r="Y836" s="1"/>
      <c r="Z836" s="1"/>
    </row>
    <row r="837" spans="1:26" ht="24.75" customHeight="1">
      <c r="A837" s="1"/>
      <c r="B837" s="1"/>
      <c r="C837" s="1"/>
      <c r="D837" s="1"/>
      <c r="E837" s="1"/>
      <c r="F837" s="1"/>
      <c r="G837" s="1"/>
      <c r="H837" s="1"/>
      <c r="I837" s="1"/>
      <c r="J837" s="1"/>
      <c r="K837" s="1"/>
      <c r="L837" s="1"/>
      <c r="M837" s="1"/>
      <c r="N837" s="1"/>
      <c r="O837" s="1"/>
      <c r="P837" s="1"/>
      <c r="Q837" s="1"/>
      <c r="R837" s="1"/>
      <c r="S837" s="1"/>
      <c r="T837" s="1"/>
      <c r="U837" s="2"/>
      <c r="V837" s="1"/>
      <c r="W837" s="1"/>
      <c r="X837" s="1"/>
      <c r="Y837" s="1"/>
      <c r="Z837" s="1"/>
    </row>
    <row r="838" spans="1:26" ht="24.75" customHeight="1">
      <c r="A838" s="1"/>
      <c r="B838" s="1"/>
      <c r="C838" s="1"/>
      <c r="D838" s="1"/>
      <c r="E838" s="1"/>
      <c r="F838" s="1"/>
      <c r="G838" s="1"/>
      <c r="H838" s="1"/>
      <c r="I838" s="1"/>
      <c r="J838" s="1"/>
      <c r="K838" s="1"/>
      <c r="L838" s="1"/>
      <c r="M838" s="1"/>
      <c r="N838" s="1"/>
      <c r="O838" s="1"/>
      <c r="P838" s="1"/>
      <c r="Q838" s="1"/>
      <c r="R838" s="1"/>
      <c r="S838" s="1"/>
      <c r="T838" s="1"/>
      <c r="U838" s="2"/>
      <c r="V838" s="1"/>
      <c r="W838" s="1"/>
      <c r="X838" s="1"/>
      <c r="Y838" s="1"/>
      <c r="Z838" s="1"/>
    </row>
    <row r="839" spans="1:26" ht="24.75" customHeight="1">
      <c r="A839" s="1"/>
      <c r="B839" s="1"/>
      <c r="C839" s="1"/>
      <c r="D839" s="1"/>
      <c r="E839" s="1"/>
      <c r="F839" s="1"/>
      <c r="G839" s="1"/>
      <c r="H839" s="1"/>
      <c r="I839" s="1"/>
      <c r="J839" s="1"/>
      <c r="K839" s="1"/>
      <c r="L839" s="1"/>
      <c r="M839" s="1"/>
      <c r="N839" s="1"/>
      <c r="O839" s="1"/>
      <c r="P839" s="1"/>
      <c r="Q839" s="1"/>
      <c r="R839" s="1"/>
      <c r="S839" s="1"/>
      <c r="T839" s="1"/>
      <c r="U839" s="2"/>
      <c r="V839" s="1"/>
      <c r="W839" s="1"/>
      <c r="X839" s="1"/>
      <c r="Y839" s="1"/>
      <c r="Z839" s="1"/>
    </row>
    <row r="840" spans="1:26" ht="24.75" customHeight="1">
      <c r="A840" s="1"/>
      <c r="B840" s="1"/>
      <c r="C840" s="1"/>
      <c r="D840" s="1"/>
      <c r="E840" s="1"/>
      <c r="F840" s="1"/>
      <c r="G840" s="1"/>
      <c r="H840" s="1"/>
      <c r="I840" s="1"/>
      <c r="J840" s="1"/>
      <c r="K840" s="1"/>
      <c r="L840" s="1"/>
      <c r="M840" s="1"/>
      <c r="N840" s="1"/>
      <c r="O840" s="1"/>
      <c r="P840" s="1"/>
      <c r="Q840" s="1"/>
      <c r="R840" s="1"/>
      <c r="S840" s="1"/>
      <c r="T840" s="1"/>
      <c r="U840" s="2"/>
      <c r="V840" s="1"/>
      <c r="W840" s="1"/>
      <c r="X840" s="1"/>
      <c r="Y840" s="1"/>
      <c r="Z840" s="1"/>
    </row>
    <row r="841" spans="1:26" ht="24.75" customHeight="1">
      <c r="A841" s="1"/>
      <c r="B841" s="1"/>
      <c r="C841" s="1"/>
      <c r="D841" s="1"/>
      <c r="E841" s="1"/>
      <c r="F841" s="1"/>
      <c r="G841" s="1"/>
      <c r="H841" s="1"/>
      <c r="I841" s="1"/>
      <c r="J841" s="1"/>
      <c r="K841" s="1"/>
      <c r="L841" s="1"/>
      <c r="M841" s="1"/>
      <c r="N841" s="1"/>
      <c r="O841" s="1"/>
      <c r="P841" s="1"/>
      <c r="Q841" s="1"/>
      <c r="R841" s="1"/>
      <c r="S841" s="1"/>
      <c r="T841" s="1"/>
      <c r="U841" s="2"/>
      <c r="V841" s="1"/>
      <c r="W841" s="1"/>
      <c r="X841" s="1"/>
      <c r="Y841" s="1"/>
      <c r="Z841" s="1"/>
    </row>
    <row r="842" spans="1:26" ht="24.75" customHeight="1">
      <c r="A842" s="1"/>
      <c r="B842" s="1"/>
      <c r="C842" s="1"/>
      <c r="D842" s="1"/>
      <c r="E842" s="1"/>
      <c r="F842" s="1"/>
      <c r="G842" s="1"/>
      <c r="H842" s="1"/>
      <c r="I842" s="1"/>
      <c r="J842" s="1"/>
      <c r="K842" s="1"/>
      <c r="L842" s="1"/>
      <c r="M842" s="1"/>
      <c r="N842" s="1"/>
      <c r="O842" s="1"/>
      <c r="P842" s="1"/>
      <c r="Q842" s="1"/>
      <c r="R842" s="1"/>
      <c r="S842" s="1"/>
      <c r="T842" s="1"/>
      <c r="U842" s="2"/>
      <c r="V842" s="1"/>
      <c r="W842" s="1"/>
      <c r="X842" s="1"/>
      <c r="Y842" s="1"/>
      <c r="Z842" s="1"/>
    </row>
    <row r="843" spans="1:26" ht="24.75" customHeight="1">
      <c r="A843" s="1"/>
      <c r="B843" s="1"/>
      <c r="C843" s="1"/>
      <c r="D843" s="1"/>
      <c r="E843" s="1"/>
      <c r="F843" s="1"/>
      <c r="G843" s="1"/>
      <c r="H843" s="1"/>
      <c r="I843" s="1"/>
      <c r="J843" s="1"/>
      <c r="K843" s="1"/>
      <c r="L843" s="1"/>
      <c r="M843" s="1"/>
      <c r="N843" s="1"/>
      <c r="O843" s="1"/>
      <c r="P843" s="1"/>
      <c r="Q843" s="1"/>
      <c r="R843" s="1"/>
      <c r="S843" s="1"/>
      <c r="T843" s="1"/>
      <c r="U843" s="2"/>
      <c r="V843" s="1"/>
      <c r="W843" s="1"/>
      <c r="X843" s="1"/>
      <c r="Y843" s="1"/>
      <c r="Z843" s="1"/>
    </row>
    <row r="844" spans="1:26" ht="24.75" customHeight="1">
      <c r="A844" s="1"/>
      <c r="B844" s="1"/>
      <c r="C844" s="1"/>
      <c r="D844" s="1"/>
      <c r="E844" s="1"/>
      <c r="F844" s="1"/>
      <c r="G844" s="1"/>
      <c r="H844" s="1"/>
      <c r="I844" s="1"/>
      <c r="J844" s="1"/>
      <c r="K844" s="1"/>
      <c r="L844" s="1"/>
      <c r="M844" s="1"/>
      <c r="N844" s="1"/>
      <c r="O844" s="1"/>
      <c r="P844" s="1"/>
      <c r="Q844" s="1"/>
      <c r="R844" s="1"/>
      <c r="S844" s="1"/>
      <c r="T844" s="1"/>
      <c r="U844" s="2"/>
      <c r="V844" s="1"/>
      <c r="W844" s="1"/>
      <c r="X844" s="1"/>
      <c r="Y844" s="1"/>
      <c r="Z844" s="1"/>
    </row>
    <row r="845" spans="1:26" ht="24.75" customHeight="1">
      <c r="A845" s="1"/>
      <c r="B845" s="1"/>
      <c r="C845" s="1"/>
      <c r="D845" s="1"/>
      <c r="E845" s="1"/>
      <c r="F845" s="1"/>
      <c r="G845" s="1"/>
      <c r="H845" s="1"/>
      <c r="I845" s="1"/>
      <c r="J845" s="1"/>
      <c r="K845" s="1"/>
      <c r="L845" s="1"/>
      <c r="M845" s="1"/>
      <c r="N845" s="1"/>
      <c r="O845" s="1"/>
      <c r="P845" s="1"/>
      <c r="Q845" s="1"/>
      <c r="R845" s="1"/>
      <c r="S845" s="1"/>
      <c r="T845" s="1"/>
      <c r="U845" s="2"/>
      <c r="V845" s="1"/>
      <c r="W845" s="1"/>
      <c r="X845" s="1"/>
      <c r="Y845" s="1"/>
      <c r="Z845" s="1"/>
    </row>
    <row r="846" spans="1:26" ht="24.75" customHeight="1">
      <c r="A846" s="1"/>
      <c r="B846" s="1"/>
      <c r="C846" s="1"/>
      <c r="D846" s="1"/>
      <c r="E846" s="1"/>
      <c r="F846" s="1"/>
      <c r="G846" s="1"/>
      <c r="H846" s="1"/>
      <c r="I846" s="1"/>
      <c r="J846" s="1"/>
      <c r="K846" s="1"/>
      <c r="L846" s="1"/>
      <c r="M846" s="1"/>
      <c r="N846" s="1"/>
      <c r="O846" s="1"/>
      <c r="P846" s="1"/>
      <c r="Q846" s="1"/>
      <c r="R846" s="1"/>
      <c r="S846" s="1"/>
      <c r="T846" s="1"/>
      <c r="U846" s="2"/>
      <c r="V846" s="1"/>
      <c r="W846" s="1"/>
      <c r="X846" s="1"/>
      <c r="Y846" s="1"/>
      <c r="Z846" s="1"/>
    </row>
    <row r="847" spans="1:26" ht="24.75" customHeight="1">
      <c r="A847" s="1"/>
      <c r="B847" s="1"/>
      <c r="C847" s="1"/>
      <c r="D847" s="1"/>
      <c r="E847" s="1"/>
      <c r="F847" s="1"/>
      <c r="G847" s="1"/>
      <c r="H847" s="1"/>
      <c r="I847" s="1"/>
      <c r="J847" s="1"/>
      <c r="K847" s="1"/>
      <c r="L847" s="1"/>
      <c r="M847" s="1"/>
      <c r="N847" s="1"/>
      <c r="O847" s="1"/>
      <c r="P847" s="1"/>
      <c r="Q847" s="1"/>
      <c r="R847" s="1"/>
      <c r="S847" s="1"/>
      <c r="T847" s="1"/>
      <c r="U847" s="2"/>
      <c r="V847" s="1"/>
      <c r="W847" s="1"/>
      <c r="X847" s="1"/>
      <c r="Y847" s="1"/>
      <c r="Z847" s="1"/>
    </row>
    <row r="848" spans="1:26" ht="24.75" customHeight="1">
      <c r="A848" s="1"/>
      <c r="B848" s="1"/>
      <c r="C848" s="1"/>
      <c r="D848" s="1"/>
      <c r="E848" s="1"/>
      <c r="F848" s="1"/>
      <c r="G848" s="1"/>
      <c r="H848" s="1"/>
      <c r="I848" s="1"/>
      <c r="J848" s="1"/>
      <c r="K848" s="1"/>
      <c r="L848" s="1"/>
      <c r="M848" s="1"/>
      <c r="N848" s="1"/>
      <c r="O848" s="1"/>
      <c r="P848" s="1"/>
      <c r="Q848" s="1"/>
      <c r="R848" s="1"/>
      <c r="S848" s="1"/>
      <c r="T848" s="1"/>
      <c r="U848" s="2"/>
      <c r="V848" s="1"/>
      <c r="W848" s="1"/>
      <c r="X848" s="1"/>
      <c r="Y848" s="1"/>
      <c r="Z848" s="1"/>
    </row>
    <row r="849" spans="1:26" ht="24.75" customHeight="1">
      <c r="A849" s="1"/>
      <c r="B849" s="1"/>
      <c r="C849" s="1"/>
      <c r="D849" s="1"/>
      <c r="E849" s="1"/>
      <c r="F849" s="1"/>
      <c r="G849" s="1"/>
      <c r="H849" s="1"/>
      <c r="I849" s="1"/>
      <c r="J849" s="1"/>
      <c r="K849" s="1"/>
      <c r="L849" s="1"/>
      <c r="M849" s="1"/>
      <c r="N849" s="1"/>
      <c r="O849" s="1"/>
      <c r="P849" s="1"/>
      <c r="Q849" s="1"/>
      <c r="R849" s="1"/>
      <c r="S849" s="1"/>
      <c r="T849" s="1"/>
      <c r="U849" s="2"/>
      <c r="V849" s="1"/>
      <c r="W849" s="1"/>
      <c r="X849" s="1"/>
      <c r="Y849" s="1"/>
      <c r="Z849" s="1"/>
    </row>
    <row r="850" spans="1:26" ht="24.75" customHeight="1">
      <c r="A850" s="1"/>
      <c r="B850" s="1"/>
      <c r="C850" s="1"/>
      <c r="D850" s="1"/>
      <c r="E850" s="1"/>
      <c r="F850" s="1"/>
      <c r="G850" s="1"/>
      <c r="H850" s="1"/>
      <c r="I850" s="1"/>
      <c r="J850" s="1"/>
      <c r="K850" s="1"/>
      <c r="L850" s="1"/>
      <c r="M850" s="1"/>
      <c r="N850" s="1"/>
      <c r="O850" s="1"/>
      <c r="P850" s="1"/>
      <c r="Q850" s="1"/>
      <c r="R850" s="1"/>
      <c r="S850" s="1"/>
      <c r="T850" s="1"/>
      <c r="U850" s="2"/>
      <c r="V850" s="1"/>
      <c r="W850" s="1"/>
      <c r="X850" s="1"/>
      <c r="Y850" s="1"/>
      <c r="Z850" s="1"/>
    </row>
    <row r="851" spans="1:26" ht="24.75" customHeight="1">
      <c r="A851" s="1"/>
      <c r="B851" s="1"/>
      <c r="C851" s="1"/>
      <c r="D851" s="1"/>
      <c r="E851" s="1"/>
      <c r="F851" s="1"/>
      <c r="G851" s="1"/>
      <c r="H851" s="1"/>
      <c r="I851" s="1"/>
      <c r="J851" s="1"/>
      <c r="K851" s="1"/>
      <c r="L851" s="1"/>
      <c r="M851" s="1"/>
      <c r="N851" s="1"/>
      <c r="O851" s="1"/>
      <c r="P851" s="1"/>
      <c r="Q851" s="1"/>
      <c r="R851" s="1"/>
      <c r="S851" s="1"/>
      <c r="T851" s="1"/>
      <c r="U851" s="2"/>
      <c r="V851" s="1"/>
      <c r="W851" s="1"/>
      <c r="X851" s="1"/>
      <c r="Y851" s="1"/>
      <c r="Z851" s="1"/>
    </row>
    <row r="852" spans="1:26" ht="24.75" customHeight="1">
      <c r="A852" s="1"/>
      <c r="B852" s="1"/>
      <c r="C852" s="1"/>
      <c r="D852" s="1"/>
      <c r="E852" s="1"/>
      <c r="F852" s="1"/>
      <c r="G852" s="1"/>
      <c r="H852" s="1"/>
      <c r="I852" s="1"/>
      <c r="J852" s="1"/>
      <c r="K852" s="1"/>
      <c r="L852" s="1"/>
      <c r="M852" s="1"/>
      <c r="N852" s="1"/>
      <c r="O852" s="1"/>
      <c r="P852" s="1"/>
      <c r="Q852" s="1"/>
      <c r="R852" s="1"/>
      <c r="S852" s="1"/>
      <c r="T852" s="1"/>
      <c r="U852" s="2"/>
      <c r="V852" s="1"/>
      <c r="W852" s="1"/>
      <c r="X852" s="1"/>
      <c r="Y852" s="1"/>
      <c r="Z852" s="1"/>
    </row>
    <row r="853" spans="1:26" ht="24.75" customHeight="1">
      <c r="A853" s="1"/>
      <c r="B853" s="1"/>
      <c r="C853" s="1"/>
      <c r="D853" s="1"/>
      <c r="E853" s="1"/>
      <c r="F853" s="1"/>
      <c r="G853" s="1"/>
      <c r="H853" s="1"/>
      <c r="I853" s="1"/>
      <c r="J853" s="1"/>
      <c r="K853" s="1"/>
      <c r="L853" s="1"/>
      <c r="M853" s="1"/>
      <c r="N853" s="1"/>
      <c r="O853" s="1"/>
      <c r="P853" s="1"/>
      <c r="Q853" s="1"/>
      <c r="R853" s="1"/>
      <c r="S853" s="1"/>
      <c r="T853" s="1"/>
      <c r="U853" s="2"/>
      <c r="V853" s="1"/>
      <c r="W853" s="1"/>
      <c r="X853" s="1"/>
      <c r="Y853" s="1"/>
      <c r="Z853" s="1"/>
    </row>
    <row r="854" spans="1:26" ht="24.75" customHeight="1">
      <c r="A854" s="1"/>
      <c r="B854" s="1"/>
      <c r="C854" s="1"/>
      <c r="D854" s="1"/>
      <c r="E854" s="1"/>
      <c r="F854" s="1"/>
      <c r="G854" s="1"/>
      <c r="H854" s="1"/>
      <c r="I854" s="1"/>
      <c r="J854" s="1"/>
      <c r="K854" s="1"/>
      <c r="L854" s="1"/>
      <c r="M854" s="1"/>
      <c r="N854" s="1"/>
      <c r="O854" s="1"/>
      <c r="P854" s="1"/>
      <c r="Q854" s="1"/>
      <c r="R854" s="1"/>
      <c r="S854" s="1"/>
      <c r="T854" s="1"/>
      <c r="U854" s="2"/>
      <c r="V854" s="1"/>
      <c r="W854" s="1"/>
      <c r="X854" s="1"/>
      <c r="Y854" s="1"/>
      <c r="Z854" s="1"/>
    </row>
    <row r="855" spans="1:26" ht="24.75" customHeight="1">
      <c r="A855" s="1"/>
      <c r="B855" s="1"/>
      <c r="C855" s="1"/>
      <c r="D855" s="1"/>
      <c r="E855" s="1"/>
      <c r="F855" s="1"/>
      <c r="G855" s="1"/>
      <c r="H855" s="1"/>
      <c r="I855" s="1"/>
      <c r="J855" s="1"/>
      <c r="K855" s="1"/>
      <c r="L855" s="1"/>
      <c r="M855" s="1"/>
      <c r="N855" s="1"/>
      <c r="O855" s="1"/>
      <c r="P855" s="1"/>
      <c r="Q855" s="1"/>
      <c r="R855" s="1"/>
      <c r="S855" s="1"/>
      <c r="T855" s="1"/>
      <c r="U855" s="2"/>
      <c r="V855" s="1"/>
      <c r="W855" s="1"/>
      <c r="X855" s="1"/>
      <c r="Y855" s="1"/>
      <c r="Z855" s="1"/>
    </row>
    <row r="856" spans="1:26" ht="24.75" customHeight="1">
      <c r="A856" s="1"/>
      <c r="B856" s="1"/>
      <c r="C856" s="1"/>
      <c r="D856" s="1"/>
      <c r="E856" s="1"/>
      <c r="F856" s="1"/>
      <c r="G856" s="1"/>
      <c r="H856" s="1"/>
      <c r="I856" s="1"/>
      <c r="J856" s="1"/>
      <c r="K856" s="1"/>
      <c r="L856" s="1"/>
      <c r="M856" s="1"/>
      <c r="N856" s="1"/>
      <c r="O856" s="1"/>
      <c r="P856" s="1"/>
      <c r="Q856" s="1"/>
      <c r="R856" s="1"/>
      <c r="S856" s="1"/>
      <c r="T856" s="1"/>
      <c r="U856" s="2"/>
      <c r="V856" s="1"/>
      <c r="W856" s="1"/>
      <c r="X856" s="1"/>
      <c r="Y856" s="1"/>
      <c r="Z856" s="1"/>
    </row>
    <row r="857" spans="1:26" ht="24.75" customHeight="1">
      <c r="A857" s="1"/>
      <c r="B857" s="1"/>
      <c r="C857" s="1"/>
      <c r="D857" s="1"/>
      <c r="E857" s="1"/>
      <c r="F857" s="1"/>
      <c r="G857" s="1"/>
      <c r="H857" s="1"/>
      <c r="I857" s="1"/>
      <c r="J857" s="1"/>
      <c r="K857" s="1"/>
      <c r="L857" s="1"/>
      <c r="M857" s="1"/>
      <c r="N857" s="1"/>
      <c r="O857" s="1"/>
      <c r="P857" s="1"/>
      <c r="Q857" s="1"/>
      <c r="R857" s="1"/>
      <c r="S857" s="1"/>
      <c r="T857" s="1"/>
      <c r="U857" s="2"/>
      <c r="V857" s="1"/>
      <c r="W857" s="1"/>
      <c r="X857" s="1"/>
      <c r="Y857" s="1"/>
      <c r="Z857" s="1"/>
    </row>
    <row r="858" spans="1:26" ht="24.75" customHeight="1">
      <c r="A858" s="1"/>
      <c r="B858" s="1"/>
      <c r="C858" s="1"/>
      <c r="D858" s="1"/>
      <c r="E858" s="1"/>
      <c r="F858" s="1"/>
      <c r="G858" s="1"/>
      <c r="H858" s="1"/>
      <c r="I858" s="1"/>
      <c r="J858" s="1"/>
      <c r="K858" s="1"/>
      <c r="L858" s="1"/>
      <c r="M858" s="1"/>
      <c r="N858" s="1"/>
      <c r="O858" s="1"/>
      <c r="P858" s="1"/>
      <c r="Q858" s="1"/>
      <c r="R858" s="1"/>
      <c r="S858" s="1"/>
      <c r="T858" s="1"/>
      <c r="U858" s="2"/>
      <c r="V858" s="1"/>
      <c r="W858" s="1"/>
      <c r="X858" s="1"/>
      <c r="Y858" s="1"/>
      <c r="Z858" s="1"/>
    </row>
    <row r="859" spans="1:26" ht="24.75" customHeight="1">
      <c r="A859" s="1"/>
      <c r="B859" s="1"/>
      <c r="C859" s="1"/>
      <c r="D859" s="1"/>
      <c r="E859" s="1"/>
      <c r="F859" s="1"/>
      <c r="G859" s="1"/>
      <c r="H859" s="1"/>
      <c r="I859" s="1"/>
      <c r="J859" s="1"/>
      <c r="K859" s="1"/>
      <c r="L859" s="1"/>
      <c r="M859" s="1"/>
      <c r="N859" s="1"/>
      <c r="O859" s="1"/>
      <c r="P859" s="1"/>
      <c r="Q859" s="1"/>
      <c r="R859" s="1"/>
      <c r="S859" s="1"/>
      <c r="T859" s="1"/>
      <c r="U859" s="2"/>
      <c r="V859" s="1"/>
      <c r="W859" s="1"/>
      <c r="X859" s="1"/>
      <c r="Y859" s="1"/>
      <c r="Z859" s="1"/>
    </row>
    <row r="860" spans="1:26" ht="24.75" customHeight="1">
      <c r="A860" s="1"/>
      <c r="B860" s="1"/>
      <c r="C860" s="1"/>
      <c r="D860" s="1"/>
      <c r="E860" s="1"/>
      <c r="F860" s="1"/>
      <c r="G860" s="1"/>
      <c r="H860" s="1"/>
      <c r="I860" s="1"/>
      <c r="J860" s="1"/>
      <c r="K860" s="1"/>
      <c r="L860" s="1"/>
      <c r="M860" s="1"/>
      <c r="N860" s="1"/>
      <c r="O860" s="1"/>
      <c r="P860" s="1"/>
      <c r="Q860" s="1"/>
      <c r="R860" s="1"/>
      <c r="S860" s="1"/>
      <c r="T860" s="1"/>
      <c r="U860" s="2"/>
      <c r="V860" s="1"/>
      <c r="W860" s="1"/>
      <c r="X860" s="1"/>
      <c r="Y860" s="1"/>
      <c r="Z860" s="1"/>
    </row>
    <row r="861" spans="1:26" ht="24.75" customHeight="1">
      <c r="A861" s="1"/>
      <c r="B861" s="1"/>
      <c r="C861" s="1"/>
      <c r="D861" s="1"/>
      <c r="E861" s="1"/>
      <c r="F861" s="1"/>
      <c r="G861" s="1"/>
      <c r="H861" s="1"/>
      <c r="I861" s="1"/>
      <c r="J861" s="1"/>
      <c r="K861" s="1"/>
      <c r="L861" s="1"/>
      <c r="M861" s="1"/>
      <c r="N861" s="1"/>
      <c r="O861" s="1"/>
      <c r="P861" s="1"/>
      <c r="Q861" s="1"/>
      <c r="R861" s="1"/>
      <c r="S861" s="1"/>
      <c r="T861" s="1"/>
      <c r="U861" s="2"/>
      <c r="V861" s="1"/>
      <c r="W861" s="1"/>
      <c r="X861" s="1"/>
      <c r="Y861" s="1"/>
      <c r="Z861" s="1"/>
    </row>
    <row r="862" spans="1:26" ht="24.75" customHeight="1">
      <c r="A862" s="1"/>
      <c r="B862" s="1"/>
      <c r="C862" s="1"/>
      <c r="D862" s="1"/>
      <c r="E862" s="1"/>
      <c r="F862" s="1"/>
      <c r="G862" s="1"/>
      <c r="H862" s="1"/>
      <c r="I862" s="1"/>
      <c r="J862" s="1"/>
      <c r="K862" s="1"/>
      <c r="L862" s="1"/>
      <c r="M862" s="1"/>
      <c r="N862" s="1"/>
      <c r="O862" s="1"/>
      <c r="P862" s="1"/>
      <c r="Q862" s="1"/>
      <c r="R862" s="1"/>
      <c r="S862" s="1"/>
      <c r="T862" s="1"/>
      <c r="U862" s="2"/>
      <c r="V862" s="1"/>
      <c r="W862" s="1"/>
      <c r="X862" s="1"/>
      <c r="Y862" s="1"/>
      <c r="Z862" s="1"/>
    </row>
    <row r="863" spans="1:26" ht="24.75" customHeight="1">
      <c r="A863" s="1"/>
      <c r="B863" s="1"/>
      <c r="C863" s="1"/>
      <c r="D863" s="1"/>
      <c r="E863" s="1"/>
      <c r="F863" s="1"/>
      <c r="G863" s="1"/>
      <c r="H863" s="1"/>
      <c r="I863" s="1"/>
      <c r="J863" s="1"/>
      <c r="K863" s="1"/>
      <c r="L863" s="1"/>
      <c r="M863" s="1"/>
      <c r="N863" s="1"/>
      <c r="O863" s="1"/>
      <c r="P863" s="1"/>
      <c r="Q863" s="1"/>
      <c r="R863" s="1"/>
      <c r="S863" s="1"/>
      <c r="T863" s="1"/>
      <c r="U863" s="2"/>
      <c r="V863" s="1"/>
      <c r="W863" s="1"/>
      <c r="X863" s="1"/>
      <c r="Y863" s="1"/>
      <c r="Z863" s="1"/>
    </row>
    <row r="864" spans="1:26" ht="24.75" customHeight="1">
      <c r="A864" s="1"/>
      <c r="B864" s="1"/>
      <c r="C864" s="1"/>
      <c r="D864" s="1"/>
      <c r="E864" s="1"/>
      <c r="F864" s="1"/>
      <c r="G864" s="1"/>
      <c r="H864" s="1"/>
      <c r="I864" s="1"/>
      <c r="J864" s="1"/>
      <c r="K864" s="1"/>
      <c r="L864" s="1"/>
      <c r="M864" s="1"/>
      <c r="N864" s="1"/>
      <c r="O864" s="1"/>
      <c r="P864" s="1"/>
      <c r="Q864" s="1"/>
      <c r="R864" s="1"/>
      <c r="S864" s="1"/>
      <c r="T864" s="1"/>
      <c r="U864" s="2"/>
      <c r="V864" s="1"/>
      <c r="W864" s="1"/>
      <c r="X864" s="1"/>
      <c r="Y864" s="1"/>
      <c r="Z864" s="1"/>
    </row>
    <row r="865" spans="1:26" ht="24.75" customHeight="1">
      <c r="A865" s="1"/>
      <c r="B865" s="1"/>
      <c r="C865" s="1"/>
      <c r="D865" s="1"/>
      <c r="E865" s="1"/>
      <c r="F865" s="1"/>
      <c r="G865" s="1"/>
      <c r="H865" s="1"/>
      <c r="I865" s="1"/>
      <c r="J865" s="1"/>
      <c r="K865" s="1"/>
      <c r="L865" s="1"/>
      <c r="M865" s="1"/>
      <c r="N865" s="1"/>
      <c r="O865" s="1"/>
      <c r="P865" s="1"/>
      <c r="Q865" s="1"/>
      <c r="R865" s="1"/>
      <c r="S865" s="1"/>
      <c r="T865" s="1"/>
      <c r="U865" s="2"/>
      <c r="V865" s="1"/>
      <c r="W865" s="1"/>
      <c r="X865" s="1"/>
      <c r="Y865" s="1"/>
      <c r="Z865" s="1"/>
    </row>
    <row r="866" spans="1:26" ht="24.75" customHeight="1">
      <c r="A866" s="1"/>
      <c r="B866" s="1"/>
      <c r="C866" s="1"/>
      <c r="D866" s="1"/>
      <c r="E866" s="1"/>
      <c r="F866" s="1"/>
      <c r="G866" s="1"/>
      <c r="H866" s="1"/>
      <c r="I866" s="1"/>
      <c r="J866" s="1"/>
      <c r="K866" s="1"/>
      <c r="L866" s="1"/>
      <c r="M866" s="1"/>
      <c r="N866" s="1"/>
      <c r="O866" s="1"/>
      <c r="P866" s="1"/>
      <c r="Q866" s="1"/>
      <c r="R866" s="1"/>
      <c r="S866" s="1"/>
      <c r="T866" s="1"/>
      <c r="U866" s="2"/>
      <c r="V866" s="1"/>
      <c r="W866" s="1"/>
      <c r="X866" s="1"/>
      <c r="Y866" s="1"/>
      <c r="Z866" s="1"/>
    </row>
    <row r="867" spans="1:26" ht="24.75" customHeight="1">
      <c r="A867" s="1"/>
      <c r="B867" s="1"/>
      <c r="C867" s="1"/>
      <c r="D867" s="1"/>
      <c r="E867" s="1"/>
      <c r="F867" s="1"/>
      <c r="G867" s="1"/>
      <c r="H867" s="1"/>
      <c r="I867" s="1"/>
      <c r="J867" s="1"/>
      <c r="K867" s="1"/>
      <c r="L867" s="1"/>
      <c r="M867" s="1"/>
      <c r="N867" s="1"/>
      <c r="O867" s="1"/>
      <c r="P867" s="1"/>
      <c r="Q867" s="1"/>
      <c r="R867" s="1"/>
      <c r="S867" s="1"/>
      <c r="T867" s="1"/>
      <c r="U867" s="2"/>
      <c r="V867" s="1"/>
      <c r="W867" s="1"/>
      <c r="X867" s="1"/>
      <c r="Y867" s="1"/>
      <c r="Z867" s="1"/>
    </row>
    <row r="868" spans="1:26" ht="24.75" customHeight="1">
      <c r="A868" s="1"/>
      <c r="B868" s="1"/>
      <c r="C868" s="1"/>
      <c r="D868" s="1"/>
      <c r="E868" s="1"/>
      <c r="F868" s="1"/>
      <c r="G868" s="1"/>
      <c r="H868" s="1"/>
      <c r="I868" s="1"/>
      <c r="J868" s="1"/>
      <c r="K868" s="1"/>
      <c r="L868" s="1"/>
      <c r="M868" s="1"/>
      <c r="N868" s="1"/>
      <c r="O868" s="1"/>
      <c r="P868" s="1"/>
      <c r="Q868" s="1"/>
      <c r="R868" s="1"/>
      <c r="S868" s="1"/>
      <c r="T868" s="1"/>
      <c r="U868" s="2"/>
      <c r="V868" s="1"/>
      <c r="W868" s="1"/>
      <c r="X868" s="1"/>
      <c r="Y868" s="1"/>
      <c r="Z868" s="1"/>
    </row>
    <row r="869" spans="1:26" ht="24.75" customHeight="1">
      <c r="A869" s="1"/>
      <c r="B869" s="1"/>
      <c r="C869" s="1"/>
      <c r="D869" s="1"/>
      <c r="E869" s="1"/>
      <c r="F869" s="1"/>
      <c r="G869" s="1"/>
      <c r="H869" s="1"/>
      <c r="I869" s="1"/>
      <c r="J869" s="1"/>
      <c r="K869" s="1"/>
      <c r="L869" s="1"/>
      <c r="M869" s="1"/>
      <c r="N869" s="1"/>
      <c r="O869" s="1"/>
      <c r="P869" s="1"/>
      <c r="Q869" s="1"/>
      <c r="R869" s="1"/>
      <c r="S869" s="1"/>
      <c r="T869" s="1"/>
      <c r="U869" s="2"/>
      <c r="V869" s="1"/>
      <c r="W869" s="1"/>
      <c r="X869" s="1"/>
      <c r="Y869" s="1"/>
      <c r="Z869" s="1"/>
    </row>
    <row r="870" spans="1:26" ht="24.75" customHeight="1">
      <c r="A870" s="1"/>
      <c r="B870" s="1"/>
      <c r="C870" s="1"/>
      <c r="D870" s="1"/>
      <c r="E870" s="1"/>
      <c r="F870" s="1"/>
      <c r="G870" s="1"/>
      <c r="H870" s="1"/>
      <c r="I870" s="1"/>
      <c r="J870" s="1"/>
      <c r="K870" s="1"/>
      <c r="L870" s="1"/>
      <c r="M870" s="1"/>
      <c r="N870" s="1"/>
      <c r="O870" s="1"/>
      <c r="P870" s="1"/>
      <c r="Q870" s="1"/>
      <c r="R870" s="1"/>
      <c r="S870" s="1"/>
      <c r="T870" s="1"/>
      <c r="U870" s="2"/>
      <c r="V870" s="1"/>
      <c r="W870" s="1"/>
      <c r="X870" s="1"/>
      <c r="Y870" s="1"/>
      <c r="Z870" s="1"/>
    </row>
    <row r="871" spans="1:26" ht="24.75" customHeight="1">
      <c r="A871" s="1"/>
      <c r="B871" s="1"/>
      <c r="C871" s="1"/>
      <c r="D871" s="1"/>
      <c r="E871" s="1"/>
      <c r="F871" s="1"/>
      <c r="G871" s="1"/>
      <c r="H871" s="1"/>
      <c r="I871" s="1"/>
      <c r="J871" s="1"/>
      <c r="K871" s="1"/>
      <c r="L871" s="1"/>
      <c r="M871" s="1"/>
      <c r="N871" s="1"/>
      <c r="O871" s="1"/>
      <c r="P871" s="1"/>
      <c r="Q871" s="1"/>
      <c r="R871" s="1"/>
      <c r="S871" s="1"/>
      <c r="T871" s="1"/>
      <c r="U871" s="2"/>
      <c r="V871" s="1"/>
      <c r="W871" s="1"/>
      <c r="X871" s="1"/>
      <c r="Y871" s="1"/>
      <c r="Z871" s="1"/>
    </row>
    <row r="872" spans="1:26" ht="24.75" customHeight="1">
      <c r="A872" s="1"/>
      <c r="B872" s="1"/>
      <c r="C872" s="1"/>
      <c r="D872" s="1"/>
      <c r="E872" s="1"/>
      <c r="F872" s="1"/>
      <c r="G872" s="1"/>
      <c r="H872" s="1"/>
      <c r="I872" s="1"/>
      <c r="J872" s="1"/>
      <c r="K872" s="1"/>
      <c r="L872" s="1"/>
      <c r="M872" s="1"/>
      <c r="N872" s="1"/>
      <c r="O872" s="1"/>
      <c r="P872" s="1"/>
      <c r="Q872" s="1"/>
      <c r="R872" s="1"/>
      <c r="S872" s="1"/>
      <c r="T872" s="1"/>
      <c r="U872" s="2"/>
      <c r="V872" s="1"/>
      <c r="W872" s="1"/>
      <c r="X872" s="1"/>
      <c r="Y872" s="1"/>
      <c r="Z872" s="1"/>
    </row>
    <row r="873" spans="1:26" ht="24.75" customHeight="1">
      <c r="A873" s="1"/>
      <c r="B873" s="1"/>
      <c r="C873" s="1"/>
      <c r="D873" s="1"/>
      <c r="E873" s="1"/>
      <c r="F873" s="1"/>
      <c r="G873" s="1"/>
      <c r="H873" s="1"/>
      <c r="I873" s="1"/>
      <c r="J873" s="1"/>
      <c r="K873" s="1"/>
      <c r="L873" s="1"/>
      <c r="M873" s="1"/>
      <c r="N873" s="1"/>
      <c r="O873" s="1"/>
      <c r="P873" s="1"/>
      <c r="Q873" s="1"/>
      <c r="R873" s="1"/>
      <c r="S873" s="1"/>
      <c r="T873" s="1"/>
      <c r="U873" s="2"/>
      <c r="V873" s="1"/>
      <c r="W873" s="1"/>
      <c r="X873" s="1"/>
      <c r="Y873" s="1"/>
      <c r="Z873" s="1"/>
    </row>
    <row r="874" spans="1:26" ht="24.75" customHeight="1">
      <c r="A874" s="1"/>
      <c r="B874" s="1"/>
      <c r="C874" s="1"/>
      <c r="D874" s="1"/>
      <c r="E874" s="1"/>
      <c r="F874" s="1"/>
      <c r="G874" s="1"/>
      <c r="H874" s="1"/>
      <c r="I874" s="1"/>
      <c r="J874" s="1"/>
      <c r="K874" s="1"/>
      <c r="L874" s="1"/>
      <c r="M874" s="1"/>
      <c r="N874" s="1"/>
      <c r="O874" s="1"/>
      <c r="P874" s="1"/>
      <c r="Q874" s="1"/>
      <c r="R874" s="1"/>
      <c r="S874" s="1"/>
      <c r="T874" s="1"/>
      <c r="U874" s="2"/>
      <c r="V874" s="1"/>
      <c r="W874" s="1"/>
      <c r="X874" s="1"/>
      <c r="Y874" s="1"/>
      <c r="Z874" s="1"/>
    </row>
    <row r="875" spans="1:26" ht="24.75" customHeight="1">
      <c r="A875" s="1"/>
      <c r="B875" s="1"/>
      <c r="C875" s="1"/>
      <c r="D875" s="1"/>
      <c r="E875" s="1"/>
      <c r="F875" s="1"/>
      <c r="G875" s="1"/>
      <c r="H875" s="1"/>
      <c r="I875" s="1"/>
      <c r="J875" s="1"/>
      <c r="K875" s="1"/>
      <c r="L875" s="1"/>
      <c r="M875" s="1"/>
      <c r="N875" s="1"/>
      <c r="O875" s="1"/>
      <c r="P875" s="1"/>
      <c r="Q875" s="1"/>
      <c r="R875" s="1"/>
      <c r="S875" s="1"/>
      <c r="T875" s="1"/>
      <c r="U875" s="2"/>
      <c r="V875" s="1"/>
      <c r="W875" s="1"/>
      <c r="X875" s="1"/>
      <c r="Y875" s="1"/>
      <c r="Z875" s="1"/>
    </row>
    <row r="876" spans="1:26" ht="24.75" customHeight="1">
      <c r="A876" s="1"/>
      <c r="B876" s="1"/>
      <c r="C876" s="1"/>
      <c r="D876" s="1"/>
      <c r="E876" s="1"/>
      <c r="F876" s="1"/>
      <c r="G876" s="1"/>
      <c r="H876" s="1"/>
      <c r="I876" s="1"/>
      <c r="J876" s="1"/>
      <c r="K876" s="1"/>
      <c r="L876" s="1"/>
      <c r="M876" s="1"/>
      <c r="N876" s="1"/>
      <c r="O876" s="1"/>
      <c r="P876" s="1"/>
      <c r="Q876" s="1"/>
      <c r="R876" s="1"/>
      <c r="S876" s="1"/>
      <c r="T876" s="1"/>
      <c r="U876" s="2"/>
      <c r="V876" s="1"/>
      <c r="W876" s="1"/>
      <c r="X876" s="1"/>
      <c r="Y876" s="1"/>
      <c r="Z876" s="1"/>
    </row>
    <row r="877" spans="1:26" ht="24.75" customHeight="1">
      <c r="A877" s="1"/>
      <c r="B877" s="1"/>
      <c r="C877" s="1"/>
      <c r="D877" s="1"/>
      <c r="E877" s="1"/>
      <c r="F877" s="1"/>
      <c r="G877" s="1"/>
      <c r="H877" s="1"/>
      <c r="I877" s="1"/>
      <c r="J877" s="1"/>
      <c r="K877" s="1"/>
      <c r="L877" s="1"/>
      <c r="M877" s="1"/>
      <c r="N877" s="1"/>
      <c r="O877" s="1"/>
      <c r="P877" s="1"/>
      <c r="Q877" s="1"/>
      <c r="R877" s="1"/>
      <c r="S877" s="1"/>
      <c r="T877" s="1"/>
      <c r="U877" s="2"/>
      <c r="V877" s="1"/>
      <c r="W877" s="1"/>
      <c r="X877" s="1"/>
      <c r="Y877" s="1"/>
      <c r="Z877" s="1"/>
    </row>
    <row r="878" spans="1:26" ht="24.75" customHeight="1">
      <c r="A878" s="1"/>
      <c r="B878" s="1"/>
      <c r="C878" s="1"/>
      <c r="D878" s="1"/>
      <c r="E878" s="1"/>
      <c r="F878" s="1"/>
      <c r="G878" s="1"/>
      <c r="H878" s="1"/>
      <c r="I878" s="1"/>
      <c r="J878" s="1"/>
      <c r="K878" s="1"/>
      <c r="L878" s="1"/>
      <c r="M878" s="1"/>
      <c r="N878" s="1"/>
      <c r="O878" s="1"/>
      <c r="P878" s="1"/>
      <c r="Q878" s="1"/>
      <c r="R878" s="1"/>
      <c r="S878" s="1"/>
      <c r="T878" s="1"/>
      <c r="U878" s="2"/>
      <c r="V878" s="1"/>
      <c r="W878" s="1"/>
      <c r="X878" s="1"/>
      <c r="Y878" s="1"/>
      <c r="Z878" s="1"/>
    </row>
    <row r="879" spans="1:26" ht="24.75" customHeight="1">
      <c r="A879" s="1"/>
      <c r="B879" s="1"/>
      <c r="C879" s="1"/>
      <c r="D879" s="1"/>
      <c r="E879" s="1"/>
      <c r="F879" s="1"/>
      <c r="G879" s="1"/>
      <c r="H879" s="1"/>
      <c r="I879" s="1"/>
      <c r="J879" s="1"/>
      <c r="K879" s="1"/>
      <c r="L879" s="1"/>
      <c r="M879" s="1"/>
      <c r="N879" s="1"/>
      <c r="O879" s="1"/>
      <c r="P879" s="1"/>
      <c r="Q879" s="1"/>
      <c r="R879" s="1"/>
      <c r="S879" s="1"/>
      <c r="T879" s="1"/>
      <c r="U879" s="2"/>
      <c r="V879" s="1"/>
      <c r="W879" s="1"/>
      <c r="X879" s="1"/>
      <c r="Y879" s="1"/>
      <c r="Z879" s="1"/>
    </row>
    <row r="880" spans="1:26" ht="24.75" customHeight="1">
      <c r="A880" s="1"/>
      <c r="B880" s="1"/>
      <c r="C880" s="1"/>
      <c r="D880" s="1"/>
      <c r="E880" s="1"/>
      <c r="F880" s="1"/>
      <c r="G880" s="1"/>
      <c r="H880" s="1"/>
      <c r="I880" s="1"/>
      <c r="J880" s="1"/>
      <c r="K880" s="1"/>
      <c r="L880" s="1"/>
      <c r="M880" s="1"/>
      <c r="N880" s="1"/>
      <c r="O880" s="1"/>
      <c r="P880" s="1"/>
      <c r="Q880" s="1"/>
      <c r="R880" s="1"/>
      <c r="S880" s="1"/>
      <c r="T880" s="1"/>
      <c r="U880" s="2"/>
      <c r="V880" s="1"/>
      <c r="W880" s="1"/>
      <c r="X880" s="1"/>
      <c r="Y880" s="1"/>
      <c r="Z880" s="1"/>
    </row>
    <row r="881" spans="1:26" ht="24.75" customHeight="1">
      <c r="A881" s="1"/>
      <c r="B881" s="1"/>
      <c r="C881" s="1"/>
      <c r="D881" s="1"/>
      <c r="E881" s="1"/>
      <c r="F881" s="1"/>
      <c r="G881" s="1"/>
      <c r="H881" s="1"/>
      <c r="I881" s="1"/>
      <c r="J881" s="1"/>
      <c r="K881" s="1"/>
      <c r="L881" s="1"/>
      <c r="M881" s="1"/>
      <c r="N881" s="1"/>
      <c r="O881" s="1"/>
      <c r="P881" s="1"/>
      <c r="Q881" s="1"/>
      <c r="R881" s="1"/>
      <c r="S881" s="1"/>
      <c r="T881" s="1"/>
      <c r="U881" s="2"/>
      <c r="V881" s="1"/>
      <c r="W881" s="1"/>
      <c r="X881" s="1"/>
      <c r="Y881" s="1"/>
      <c r="Z881" s="1"/>
    </row>
    <row r="882" spans="1:26" ht="24.75" customHeight="1">
      <c r="A882" s="1"/>
      <c r="B882" s="1"/>
      <c r="C882" s="1"/>
      <c r="D882" s="1"/>
      <c r="E882" s="1"/>
      <c r="F882" s="1"/>
      <c r="G882" s="1"/>
      <c r="H882" s="1"/>
      <c r="I882" s="1"/>
      <c r="J882" s="1"/>
      <c r="K882" s="1"/>
      <c r="L882" s="1"/>
      <c r="M882" s="1"/>
      <c r="N882" s="1"/>
      <c r="O882" s="1"/>
      <c r="P882" s="1"/>
      <c r="Q882" s="1"/>
      <c r="R882" s="1"/>
      <c r="S882" s="1"/>
      <c r="T882" s="1"/>
      <c r="U882" s="2"/>
      <c r="V882" s="1"/>
      <c r="W882" s="1"/>
      <c r="X882" s="1"/>
      <c r="Y882" s="1"/>
      <c r="Z882" s="1"/>
    </row>
    <row r="883" spans="1:26" ht="24.75" customHeight="1">
      <c r="A883" s="1"/>
      <c r="B883" s="1"/>
      <c r="C883" s="1"/>
      <c r="D883" s="1"/>
      <c r="E883" s="1"/>
      <c r="F883" s="1"/>
      <c r="G883" s="1"/>
      <c r="H883" s="1"/>
      <c r="I883" s="1"/>
      <c r="J883" s="1"/>
      <c r="K883" s="1"/>
      <c r="L883" s="1"/>
      <c r="M883" s="1"/>
      <c r="N883" s="1"/>
      <c r="O883" s="1"/>
      <c r="P883" s="1"/>
      <c r="Q883" s="1"/>
      <c r="R883" s="1"/>
      <c r="S883" s="1"/>
      <c r="T883" s="1"/>
      <c r="U883" s="2"/>
      <c r="V883" s="1"/>
      <c r="W883" s="1"/>
      <c r="X883" s="1"/>
      <c r="Y883" s="1"/>
      <c r="Z883" s="1"/>
    </row>
    <row r="884" spans="1:26" ht="24.75" customHeight="1">
      <c r="A884" s="1"/>
      <c r="B884" s="1"/>
      <c r="C884" s="1"/>
      <c r="D884" s="1"/>
      <c r="E884" s="1"/>
      <c r="F884" s="1"/>
      <c r="G884" s="1"/>
      <c r="H884" s="1"/>
      <c r="I884" s="1"/>
      <c r="J884" s="1"/>
      <c r="K884" s="1"/>
      <c r="L884" s="1"/>
      <c r="M884" s="1"/>
      <c r="N884" s="1"/>
      <c r="O884" s="1"/>
      <c r="P884" s="1"/>
      <c r="Q884" s="1"/>
      <c r="R884" s="1"/>
      <c r="S884" s="1"/>
      <c r="T884" s="1"/>
      <c r="U884" s="2"/>
      <c r="V884" s="1"/>
      <c r="W884" s="1"/>
      <c r="X884" s="1"/>
      <c r="Y884" s="1"/>
      <c r="Z884" s="1"/>
    </row>
    <row r="885" spans="1:26" ht="24.75" customHeight="1">
      <c r="A885" s="1"/>
      <c r="B885" s="1"/>
      <c r="C885" s="1"/>
      <c r="D885" s="1"/>
      <c r="E885" s="1"/>
      <c r="F885" s="1"/>
      <c r="G885" s="1"/>
      <c r="H885" s="1"/>
      <c r="I885" s="1"/>
      <c r="J885" s="1"/>
      <c r="K885" s="1"/>
      <c r="L885" s="1"/>
      <c r="M885" s="1"/>
      <c r="N885" s="1"/>
      <c r="O885" s="1"/>
      <c r="P885" s="1"/>
      <c r="Q885" s="1"/>
      <c r="R885" s="1"/>
      <c r="S885" s="1"/>
      <c r="T885" s="1"/>
      <c r="U885" s="2"/>
      <c r="V885" s="1"/>
      <c r="W885" s="1"/>
      <c r="X885" s="1"/>
      <c r="Y885" s="1"/>
      <c r="Z885" s="1"/>
    </row>
    <row r="886" spans="1:26" ht="24.75" customHeight="1">
      <c r="A886" s="1"/>
      <c r="B886" s="1"/>
      <c r="C886" s="1"/>
      <c r="D886" s="1"/>
      <c r="E886" s="1"/>
      <c r="F886" s="1"/>
      <c r="G886" s="1"/>
      <c r="H886" s="1"/>
      <c r="I886" s="1"/>
      <c r="J886" s="1"/>
      <c r="K886" s="1"/>
      <c r="L886" s="1"/>
      <c r="M886" s="1"/>
      <c r="N886" s="1"/>
      <c r="O886" s="1"/>
      <c r="P886" s="1"/>
      <c r="Q886" s="1"/>
      <c r="R886" s="1"/>
      <c r="S886" s="1"/>
      <c r="T886" s="1"/>
      <c r="U886" s="2"/>
      <c r="V886" s="1"/>
      <c r="W886" s="1"/>
      <c r="X886" s="1"/>
      <c r="Y886" s="1"/>
      <c r="Z886" s="1"/>
    </row>
    <row r="887" spans="1:26" ht="24.75" customHeight="1">
      <c r="A887" s="1"/>
      <c r="B887" s="1"/>
      <c r="C887" s="1"/>
      <c r="D887" s="1"/>
      <c r="E887" s="1"/>
      <c r="F887" s="1"/>
      <c r="G887" s="1"/>
      <c r="H887" s="1"/>
      <c r="I887" s="1"/>
      <c r="J887" s="1"/>
      <c r="K887" s="1"/>
      <c r="L887" s="1"/>
      <c r="M887" s="1"/>
      <c r="N887" s="1"/>
      <c r="O887" s="1"/>
      <c r="P887" s="1"/>
      <c r="Q887" s="1"/>
      <c r="R887" s="1"/>
      <c r="S887" s="1"/>
      <c r="T887" s="1"/>
      <c r="U887" s="2"/>
      <c r="V887" s="1"/>
      <c r="W887" s="1"/>
      <c r="X887" s="1"/>
      <c r="Y887" s="1"/>
      <c r="Z887" s="1"/>
    </row>
    <row r="888" spans="1:26" ht="24.75" customHeight="1">
      <c r="A888" s="1"/>
      <c r="B888" s="1"/>
      <c r="C888" s="1"/>
      <c r="D888" s="1"/>
      <c r="E888" s="1"/>
      <c r="F888" s="1"/>
      <c r="G888" s="1"/>
      <c r="H888" s="1"/>
      <c r="I888" s="1"/>
      <c r="J888" s="1"/>
      <c r="K888" s="1"/>
      <c r="L888" s="1"/>
      <c r="M888" s="1"/>
      <c r="N888" s="1"/>
      <c r="O888" s="1"/>
      <c r="P888" s="1"/>
      <c r="Q888" s="1"/>
      <c r="R888" s="1"/>
      <c r="S888" s="1"/>
      <c r="T888" s="1"/>
      <c r="U888" s="2"/>
      <c r="V888" s="1"/>
      <c r="W888" s="1"/>
      <c r="X888" s="1"/>
      <c r="Y888" s="1"/>
      <c r="Z888" s="1"/>
    </row>
    <row r="889" spans="1:26" ht="24.75" customHeight="1">
      <c r="A889" s="1"/>
      <c r="B889" s="1"/>
      <c r="C889" s="1"/>
      <c r="D889" s="1"/>
      <c r="E889" s="1"/>
      <c r="F889" s="1"/>
      <c r="G889" s="1"/>
      <c r="H889" s="1"/>
      <c r="I889" s="1"/>
      <c r="J889" s="1"/>
      <c r="K889" s="1"/>
      <c r="L889" s="1"/>
      <c r="M889" s="1"/>
      <c r="N889" s="1"/>
      <c r="O889" s="1"/>
      <c r="P889" s="1"/>
      <c r="Q889" s="1"/>
      <c r="R889" s="1"/>
      <c r="S889" s="1"/>
      <c r="T889" s="1"/>
      <c r="U889" s="2"/>
      <c r="V889" s="1"/>
      <c r="W889" s="1"/>
      <c r="X889" s="1"/>
      <c r="Y889" s="1"/>
      <c r="Z889" s="1"/>
    </row>
    <row r="890" spans="1:26" ht="24.75" customHeight="1">
      <c r="A890" s="1"/>
      <c r="B890" s="1"/>
      <c r="C890" s="1"/>
      <c r="D890" s="1"/>
      <c r="E890" s="1"/>
      <c r="F890" s="1"/>
      <c r="G890" s="1"/>
      <c r="H890" s="1"/>
      <c r="I890" s="1"/>
      <c r="J890" s="1"/>
      <c r="K890" s="1"/>
      <c r="L890" s="1"/>
      <c r="M890" s="1"/>
      <c r="N890" s="1"/>
      <c r="O890" s="1"/>
      <c r="P890" s="1"/>
      <c r="Q890" s="1"/>
      <c r="R890" s="1"/>
      <c r="S890" s="1"/>
      <c r="T890" s="1"/>
      <c r="U890" s="2"/>
      <c r="V890" s="1"/>
      <c r="W890" s="1"/>
      <c r="X890" s="1"/>
      <c r="Y890" s="1"/>
      <c r="Z890" s="1"/>
    </row>
    <row r="891" spans="1:26" ht="24.75" customHeight="1">
      <c r="A891" s="1"/>
      <c r="B891" s="1"/>
      <c r="C891" s="1"/>
      <c r="D891" s="1"/>
      <c r="E891" s="1"/>
      <c r="F891" s="1"/>
      <c r="G891" s="1"/>
      <c r="H891" s="1"/>
      <c r="I891" s="1"/>
      <c r="J891" s="1"/>
      <c r="K891" s="1"/>
      <c r="L891" s="1"/>
      <c r="M891" s="1"/>
      <c r="N891" s="1"/>
      <c r="O891" s="1"/>
      <c r="P891" s="1"/>
      <c r="Q891" s="1"/>
      <c r="R891" s="1"/>
      <c r="S891" s="1"/>
      <c r="T891" s="1"/>
      <c r="U891" s="2"/>
      <c r="V891" s="1"/>
      <c r="W891" s="1"/>
      <c r="X891" s="1"/>
      <c r="Y891" s="1"/>
      <c r="Z891" s="1"/>
    </row>
    <row r="892" spans="1:26" ht="24.75" customHeight="1">
      <c r="A892" s="1"/>
      <c r="B892" s="1"/>
      <c r="C892" s="1"/>
      <c r="D892" s="1"/>
      <c r="E892" s="1"/>
      <c r="F892" s="1"/>
      <c r="G892" s="1"/>
      <c r="H892" s="1"/>
      <c r="I892" s="1"/>
      <c r="J892" s="1"/>
      <c r="K892" s="1"/>
      <c r="L892" s="1"/>
      <c r="M892" s="1"/>
      <c r="N892" s="1"/>
      <c r="O892" s="1"/>
      <c r="P892" s="1"/>
      <c r="Q892" s="1"/>
      <c r="R892" s="1"/>
      <c r="S892" s="1"/>
      <c r="T892" s="1"/>
      <c r="U892" s="2"/>
      <c r="V892" s="1"/>
      <c r="W892" s="1"/>
      <c r="X892" s="1"/>
      <c r="Y892" s="1"/>
      <c r="Z892" s="1"/>
    </row>
    <row r="893" spans="1:26" ht="24.75" customHeight="1">
      <c r="A893" s="1"/>
      <c r="B893" s="1"/>
      <c r="C893" s="1"/>
      <c r="D893" s="1"/>
      <c r="E893" s="1"/>
      <c r="F893" s="1"/>
      <c r="G893" s="1"/>
      <c r="H893" s="1"/>
      <c r="I893" s="1"/>
      <c r="J893" s="1"/>
      <c r="K893" s="1"/>
      <c r="L893" s="1"/>
      <c r="M893" s="1"/>
      <c r="N893" s="1"/>
      <c r="O893" s="1"/>
      <c r="P893" s="1"/>
      <c r="Q893" s="1"/>
      <c r="R893" s="1"/>
      <c r="S893" s="1"/>
      <c r="T893" s="1"/>
      <c r="U893" s="2"/>
      <c r="V893" s="1"/>
      <c r="W893" s="1"/>
      <c r="X893" s="1"/>
      <c r="Y893" s="1"/>
      <c r="Z893" s="1"/>
    </row>
    <row r="894" spans="1:26" ht="24.75" customHeight="1">
      <c r="A894" s="1"/>
      <c r="B894" s="1"/>
      <c r="C894" s="1"/>
      <c r="D894" s="1"/>
      <c r="E894" s="1"/>
      <c r="F894" s="1"/>
      <c r="G894" s="1"/>
      <c r="H894" s="1"/>
      <c r="I894" s="1"/>
      <c r="J894" s="1"/>
      <c r="K894" s="1"/>
      <c r="L894" s="1"/>
      <c r="M894" s="1"/>
      <c r="N894" s="1"/>
      <c r="O894" s="1"/>
      <c r="P894" s="1"/>
      <c r="Q894" s="1"/>
      <c r="R894" s="1"/>
      <c r="S894" s="1"/>
      <c r="T894" s="1"/>
      <c r="U894" s="2"/>
      <c r="V894" s="1"/>
      <c r="W894" s="1"/>
      <c r="X894" s="1"/>
      <c r="Y894" s="1"/>
      <c r="Z894" s="1"/>
    </row>
    <row r="895" spans="1:26" ht="24.75" customHeight="1">
      <c r="A895" s="1"/>
      <c r="B895" s="1"/>
      <c r="C895" s="1"/>
      <c r="D895" s="1"/>
      <c r="E895" s="1"/>
      <c r="F895" s="1"/>
      <c r="G895" s="1"/>
      <c r="H895" s="1"/>
      <c r="I895" s="1"/>
      <c r="J895" s="1"/>
      <c r="K895" s="1"/>
      <c r="L895" s="1"/>
      <c r="M895" s="1"/>
      <c r="N895" s="1"/>
      <c r="O895" s="1"/>
      <c r="P895" s="1"/>
      <c r="Q895" s="1"/>
      <c r="R895" s="1"/>
      <c r="S895" s="1"/>
      <c r="T895" s="1"/>
      <c r="U895" s="2"/>
      <c r="V895" s="1"/>
      <c r="W895" s="1"/>
      <c r="X895" s="1"/>
      <c r="Y895" s="1"/>
      <c r="Z895" s="1"/>
    </row>
    <row r="896" spans="1:26" ht="24.75" customHeight="1">
      <c r="A896" s="1"/>
      <c r="B896" s="1"/>
      <c r="C896" s="1"/>
      <c r="D896" s="1"/>
      <c r="E896" s="1"/>
      <c r="F896" s="1"/>
      <c r="G896" s="1"/>
      <c r="H896" s="1"/>
      <c r="I896" s="1"/>
      <c r="J896" s="1"/>
      <c r="K896" s="1"/>
      <c r="L896" s="1"/>
      <c r="M896" s="1"/>
      <c r="N896" s="1"/>
      <c r="O896" s="1"/>
      <c r="P896" s="1"/>
      <c r="Q896" s="1"/>
      <c r="R896" s="1"/>
      <c r="S896" s="1"/>
      <c r="T896" s="1"/>
      <c r="U896" s="2"/>
      <c r="V896" s="1"/>
      <c r="W896" s="1"/>
      <c r="X896" s="1"/>
      <c r="Y896" s="1"/>
      <c r="Z896" s="1"/>
    </row>
    <row r="897" spans="1:26" ht="24.75" customHeight="1">
      <c r="A897" s="1"/>
      <c r="B897" s="1"/>
      <c r="C897" s="1"/>
      <c r="D897" s="1"/>
      <c r="E897" s="1"/>
      <c r="F897" s="1"/>
      <c r="G897" s="1"/>
      <c r="H897" s="1"/>
      <c r="I897" s="1"/>
      <c r="J897" s="1"/>
      <c r="K897" s="1"/>
      <c r="L897" s="1"/>
      <c r="M897" s="1"/>
      <c r="N897" s="1"/>
      <c r="O897" s="1"/>
      <c r="P897" s="1"/>
      <c r="Q897" s="1"/>
      <c r="R897" s="1"/>
      <c r="S897" s="1"/>
      <c r="T897" s="1"/>
      <c r="U897" s="2"/>
      <c r="V897" s="1"/>
      <c r="W897" s="1"/>
      <c r="X897" s="1"/>
      <c r="Y897" s="1"/>
      <c r="Z897" s="1"/>
    </row>
    <row r="898" spans="1:26" ht="24.75" customHeight="1">
      <c r="A898" s="1"/>
      <c r="B898" s="1"/>
      <c r="C898" s="1"/>
      <c r="D898" s="1"/>
      <c r="E898" s="1"/>
      <c r="F898" s="1"/>
      <c r="G898" s="1"/>
      <c r="H898" s="1"/>
      <c r="I898" s="1"/>
      <c r="J898" s="1"/>
      <c r="K898" s="1"/>
      <c r="L898" s="1"/>
      <c r="M898" s="1"/>
      <c r="N898" s="1"/>
      <c r="O898" s="1"/>
      <c r="P898" s="1"/>
      <c r="Q898" s="1"/>
      <c r="R898" s="1"/>
      <c r="S898" s="1"/>
      <c r="T898" s="1"/>
      <c r="U898" s="2"/>
      <c r="V898" s="1"/>
      <c r="W898" s="1"/>
      <c r="X898" s="1"/>
      <c r="Y898" s="1"/>
      <c r="Z898" s="1"/>
    </row>
    <row r="899" spans="1:26" ht="24.75" customHeight="1">
      <c r="A899" s="1"/>
      <c r="B899" s="1"/>
      <c r="C899" s="1"/>
      <c r="D899" s="1"/>
      <c r="E899" s="1"/>
      <c r="F899" s="1"/>
      <c r="G899" s="1"/>
      <c r="H899" s="1"/>
      <c r="I899" s="1"/>
      <c r="J899" s="1"/>
      <c r="K899" s="1"/>
      <c r="L899" s="1"/>
      <c r="M899" s="1"/>
      <c r="N899" s="1"/>
      <c r="O899" s="1"/>
      <c r="P899" s="1"/>
      <c r="Q899" s="1"/>
      <c r="R899" s="1"/>
      <c r="S899" s="1"/>
      <c r="T899" s="1"/>
      <c r="U899" s="2"/>
      <c r="V899" s="1"/>
      <c r="W899" s="1"/>
      <c r="X899" s="1"/>
      <c r="Y899" s="1"/>
      <c r="Z899" s="1"/>
    </row>
    <row r="900" spans="1:26" ht="24.75" customHeight="1">
      <c r="A900" s="1"/>
      <c r="B900" s="1"/>
      <c r="C900" s="1"/>
      <c r="D900" s="1"/>
      <c r="E900" s="1"/>
      <c r="F900" s="1"/>
      <c r="G900" s="1"/>
      <c r="H900" s="1"/>
      <c r="I900" s="1"/>
      <c r="J900" s="1"/>
      <c r="K900" s="1"/>
      <c r="L900" s="1"/>
      <c r="M900" s="1"/>
      <c r="N900" s="1"/>
      <c r="O900" s="1"/>
      <c r="P900" s="1"/>
      <c r="Q900" s="1"/>
      <c r="R900" s="1"/>
      <c r="S900" s="1"/>
      <c r="T900" s="1"/>
      <c r="U900" s="2"/>
      <c r="V900" s="1"/>
      <c r="W900" s="1"/>
      <c r="X900" s="1"/>
      <c r="Y900" s="1"/>
      <c r="Z900" s="1"/>
    </row>
    <row r="901" spans="1:26" ht="24.75" customHeight="1">
      <c r="A901" s="1"/>
      <c r="B901" s="1"/>
      <c r="C901" s="1"/>
      <c r="D901" s="1"/>
      <c r="E901" s="1"/>
      <c r="F901" s="1"/>
      <c r="G901" s="1"/>
      <c r="H901" s="1"/>
      <c r="I901" s="1"/>
      <c r="J901" s="1"/>
      <c r="K901" s="1"/>
      <c r="L901" s="1"/>
      <c r="M901" s="1"/>
      <c r="N901" s="1"/>
      <c r="O901" s="1"/>
      <c r="P901" s="1"/>
      <c r="Q901" s="1"/>
      <c r="R901" s="1"/>
      <c r="S901" s="1"/>
      <c r="T901" s="1"/>
      <c r="U901" s="2"/>
      <c r="V901" s="1"/>
      <c r="W901" s="1"/>
      <c r="X901" s="1"/>
      <c r="Y901" s="1"/>
      <c r="Z901" s="1"/>
    </row>
    <row r="902" spans="1:26" ht="24.75" customHeight="1">
      <c r="A902" s="1"/>
      <c r="B902" s="1"/>
      <c r="C902" s="1"/>
      <c r="D902" s="1"/>
      <c r="E902" s="1"/>
      <c r="F902" s="1"/>
      <c r="G902" s="1"/>
      <c r="H902" s="1"/>
      <c r="I902" s="1"/>
      <c r="J902" s="1"/>
      <c r="K902" s="1"/>
      <c r="L902" s="1"/>
      <c r="M902" s="1"/>
      <c r="N902" s="1"/>
      <c r="O902" s="1"/>
      <c r="P902" s="1"/>
      <c r="Q902" s="1"/>
      <c r="R902" s="1"/>
      <c r="S902" s="1"/>
      <c r="T902" s="1"/>
      <c r="U902" s="2"/>
      <c r="V902" s="1"/>
      <c r="W902" s="1"/>
      <c r="X902" s="1"/>
      <c r="Y902" s="1"/>
      <c r="Z902" s="1"/>
    </row>
    <row r="903" spans="1:26" ht="24.75" customHeight="1">
      <c r="A903" s="1"/>
      <c r="B903" s="1"/>
      <c r="C903" s="1"/>
      <c r="D903" s="1"/>
      <c r="E903" s="1"/>
      <c r="F903" s="1"/>
      <c r="G903" s="1"/>
      <c r="H903" s="1"/>
      <c r="I903" s="1"/>
      <c r="J903" s="1"/>
      <c r="K903" s="1"/>
      <c r="L903" s="1"/>
      <c r="M903" s="1"/>
      <c r="N903" s="1"/>
      <c r="O903" s="1"/>
      <c r="P903" s="1"/>
      <c r="Q903" s="1"/>
      <c r="R903" s="1"/>
      <c r="S903" s="1"/>
      <c r="T903" s="1"/>
      <c r="U903" s="2"/>
      <c r="V903" s="1"/>
      <c r="W903" s="1"/>
      <c r="X903" s="1"/>
      <c r="Y903" s="1"/>
      <c r="Z903" s="1"/>
    </row>
    <row r="904" spans="1:26" ht="24.75" customHeight="1">
      <c r="A904" s="1"/>
      <c r="B904" s="1"/>
      <c r="C904" s="1"/>
      <c r="D904" s="1"/>
      <c r="E904" s="1"/>
      <c r="F904" s="1"/>
      <c r="G904" s="1"/>
      <c r="H904" s="1"/>
      <c r="I904" s="1"/>
      <c r="J904" s="1"/>
      <c r="K904" s="1"/>
      <c r="L904" s="1"/>
      <c r="M904" s="1"/>
      <c r="N904" s="1"/>
      <c r="O904" s="1"/>
      <c r="P904" s="1"/>
      <c r="Q904" s="1"/>
      <c r="R904" s="1"/>
      <c r="S904" s="1"/>
      <c r="T904" s="1"/>
      <c r="U904" s="2"/>
      <c r="V904" s="1"/>
      <c r="W904" s="1"/>
      <c r="X904" s="1"/>
      <c r="Y904" s="1"/>
      <c r="Z904" s="1"/>
    </row>
    <row r="905" spans="1:26" ht="24.75" customHeight="1">
      <c r="A905" s="1"/>
      <c r="B905" s="1"/>
      <c r="C905" s="1"/>
      <c r="D905" s="1"/>
      <c r="E905" s="1"/>
      <c r="F905" s="1"/>
      <c r="G905" s="1"/>
      <c r="H905" s="1"/>
      <c r="I905" s="1"/>
      <c r="J905" s="1"/>
      <c r="K905" s="1"/>
      <c r="L905" s="1"/>
      <c r="M905" s="1"/>
      <c r="N905" s="1"/>
      <c r="O905" s="1"/>
      <c r="P905" s="1"/>
      <c r="Q905" s="1"/>
      <c r="R905" s="1"/>
      <c r="S905" s="1"/>
      <c r="T905" s="1"/>
      <c r="U905" s="2"/>
      <c r="V905" s="1"/>
      <c r="W905" s="1"/>
      <c r="X905" s="1"/>
      <c r="Y905" s="1"/>
      <c r="Z905" s="1"/>
    </row>
    <row r="906" spans="1:26" ht="24.75" customHeight="1">
      <c r="A906" s="1"/>
      <c r="B906" s="1"/>
      <c r="C906" s="1"/>
      <c r="D906" s="1"/>
      <c r="E906" s="1"/>
      <c r="F906" s="1"/>
      <c r="G906" s="1"/>
      <c r="H906" s="1"/>
      <c r="I906" s="1"/>
      <c r="J906" s="1"/>
      <c r="K906" s="1"/>
      <c r="L906" s="1"/>
      <c r="M906" s="1"/>
      <c r="N906" s="1"/>
      <c r="O906" s="1"/>
      <c r="P906" s="1"/>
      <c r="Q906" s="1"/>
      <c r="R906" s="1"/>
      <c r="S906" s="1"/>
      <c r="T906" s="1"/>
      <c r="U906" s="2"/>
      <c r="V906" s="1"/>
      <c r="W906" s="1"/>
      <c r="X906" s="1"/>
      <c r="Y906" s="1"/>
      <c r="Z906" s="1"/>
    </row>
    <row r="907" spans="1:26" ht="24.75" customHeight="1">
      <c r="A907" s="1"/>
      <c r="B907" s="1"/>
      <c r="C907" s="1"/>
      <c r="D907" s="1"/>
      <c r="E907" s="1"/>
      <c r="F907" s="1"/>
      <c r="G907" s="1"/>
      <c r="H907" s="1"/>
      <c r="I907" s="1"/>
      <c r="J907" s="1"/>
      <c r="K907" s="1"/>
      <c r="L907" s="1"/>
      <c r="M907" s="1"/>
      <c r="N907" s="1"/>
      <c r="O907" s="1"/>
      <c r="P907" s="1"/>
      <c r="Q907" s="1"/>
      <c r="R907" s="1"/>
      <c r="S907" s="1"/>
      <c r="T907" s="1"/>
      <c r="U907" s="2"/>
      <c r="V907" s="1"/>
      <c r="W907" s="1"/>
      <c r="X907" s="1"/>
      <c r="Y907" s="1"/>
      <c r="Z907" s="1"/>
    </row>
    <row r="908" spans="1:26" ht="24.75" customHeight="1">
      <c r="A908" s="1"/>
      <c r="B908" s="1"/>
      <c r="C908" s="1"/>
      <c r="D908" s="1"/>
      <c r="E908" s="1"/>
      <c r="F908" s="1"/>
      <c r="G908" s="1"/>
      <c r="H908" s="1"/>
      <c r="I908" s="1"/>
      <c r="J908" s="1"/>
      <c r="K908" s="1"/>
      <c r="L908" s="1"/>
      <c r="M908" s="1"/>
      <c r="N908" s="1"/>
      <c r="O908" s="1"/>
      <c r="P908" s="1"/>
      <c r="Q908" s="1"/>
      <c r="R908" s="1"/>
      <c r="S908" s="1"/>
      <c r="T908" s="1"/>
      <c r="U908" s="2"/>
      <c r="V908" s="1"/>
      <c r="W908" s="1"/>
      <c r="X908" s="1"/>
      <c r="Y908" s="1"/>
      <c r="Z908" s="1"/>
    </row>
    <row r="909" spans="1:26" ht="24.75" customHeight="1">
      <c r="A909" s="1"/>
      <c r="B909" s="1"/>
      <c r="C909" s="1"/>
      <c r="D909" s="1"/>
      <c r="E909" s="1"/>
      <c r="F909" s="1"/>
      <c r="G909" s="1"/>
      <c r="H909" s="1"/>
      <c r="I909" s="1"/>
      <c r="J909" s="1"/>
      <c r="K909" s="1"/>
      <c r="L909" s="1"/>
      <c r="M909" s="1"/>
      <c r="N909" s="1"/>
      <c r="O909" s="1"/>
      <c r="P909" s="1"/>
      <c r="Q909" s="1"/>
      <c r="R909" s="1"/>
      <c r="S909" s="1"/>
      <c r="T909" s="1"/>
      <c r="U909" s="2"/>
      <c r="V909" s="1"/>
      <c r="W909" s="1"/>
      <c r="X909" s="1"/>
      <c r="Y909" s="1"/>
      <c r="Z909" s="1"/>
    </row>
    <row r="910" spans="1:26" ht="24.75" customHeight="1">
      <c r="A910" s="1"/>
      <c r="B910" s="1"/>
      <c r="C910" s="1"/>
      <c r="D910" s="1"/>
      <c r="E910" s="1"/>
      <c r="F910" s="1"/>
      <c r="G910" s="1"/>
      <c r="H910" s="1"/>
      <c r="I910" s="1"/>
      <c r="J910" s="1"/>
      <c r="K910" s="1"/>
      <c r="L910" s="1"/>
      <c r="M910" s="1"/>
      <c r="N910" s="1"/>
      <c r="O910" s="1"/>
      <c r="P910" s="1"/>
      <c r="Q910" s="1"/>
      <c r="R910" s="1"/>
      <c r="S910" s="1"/>
      <c r="T910" s="1"/>
      <c r="U910" s="2"/>
      <c r="V910" s="1"/>
      <c r="W910" s="1"/>
      <c r="X910" s="1"/>
      <c r="Y910" s="1"/>
      <c r="Z910" s="1"/>
    </row>
    <row r="911" spans="1:26" ht="24.75" customHeight="1">
      <c r="A911" s="1"/>
      <c r="B911" s="1"/>
      <c r="C911" s="1"/>
      <c r="D911" s="1"/>
      <c r="E911" s="1"/>
      <c r="F911" s="1"/>
      <c r="G911" s="1"/>
      <c r="H911" s="1"/>
      <c r="I911" s="1"/>
      <c r="J911" s="1"/>
      <c r="K911" s="1"/>
      <c r="L911" s="1"/>
      <c r="M911" s="1"/>
      <c r="N911" s="1"/>
      <c r="O911" s="1"/>
      <c r="P911" s="1"/>
      <c r="Q911" s="1"/>
      <c r="R911" s="1"/>
      <c r="S911" s="1"/>
      <c r="T911" s="1"/>
      <c r="U911" s="2"/>
      <c r="V911" s="1"/>
      <c r="W911" s="1"/>
      <c r="X911" s="1"/>
      <c r="Y911" s="1"/>
      <c r="Z911" s="1"/>
    </row>
    <row r="912" spans="1:26" ht="24.75" customHeight="1">
      <c r="A912" s="1"/>
      <c r="B912" s="1"/>
      <c r="C912" s="1"/>
      <c r="D912" s="1"/>
      <c r="E912" s="1"/>
      <c r="F912" s="1"/>
      <c r="G912" s="1"/>
      <c r="H912" s="1"/>
      <c r="I912" s="1"/>
      <c r="J912" s="1"/>
      <c r="K912" s="1"/>
      <c r="L912" s="1"/>
      <c r="M912" s="1"/>
      <c r="N912" s="1"/>
      <c r="O912" s="1"/>
      <c r="P912" s="1"/>
      <c r="Q912" s="1"/>
      <c r="R912" s="1"/>
      <c r="S912" s="1"/>
      <c r="T912" s="1"/>
      <c r="U912" s="2"/>
      <c r="V912" s="1"/>
      <c r="W912" s="1"/>
      <c r="X912" s="1"/>
      <c r="Y912" s="1"/>
      <c r="Z912" s="1"/>
    </row>
    <row r="913" spans="1:26" ht="24.75" customHeight="1">
      <c r="A913" s="1"/>
      <c r="B913" s="1"/>
      <c r="C913" s="1"/>
      <c r="D913" s="1"/>
      <c r="E913" s="1"/>
      <c r="F913" s="1"/>
      <c r="G913" s="1"/>
      <c r="H913" s="1"/>
      <c r="I913" s="1"/>
      <c r="J913" s="1"/>
      <c r="K913" s="1"/>
      <c r="L913" s="1"/>
      <c r="M913" s="1"/>
      <c r="N913" s="1"/>
      <c r="O913" s="1"/>
      <c r="P913" s="1"/>
      <c r="Q913" s="1"/>
      <c r="R913" s="1"/>
      <c r="S913" s="1"/>
      <c r="T913" s="1"/>
      <c r="U913" s="2"/>
      <c r="V913" s="1"/>
      <c r="W913" s="1"/>
      <c r="X913" s="1"/>
      <c r="Y913" s="1"/>
      <c r="Z913" s="1"/>
    </row>
    <row r="914" spans="1:26" ht="24.75" customHeight="1">
      <c r="A914" s="1"/>
      <c r="B914" s="1"/>
      <c r="C914" s="1"/>
      <c r="D914" s="1"/>
      <c r="E914" s="1"/>
      <c r="F914" s="1"/>
      <c r="G914" s="1"/>
      <c r="H914" s="1"/>
      <c r="I914" s="1"/>
      <c r="J914" s="1"/>
      <c r="K914" s="1"/>
      <c r="L914" s="1"/>
      <c r="M914" s="1"/>
      <c r="N914" s="1"/>
      <c r="O914" s="1"/>
      <c r="P914" s="1"/>
      <c r="Q914" s="1"/>
      <c r="R914" s="1"/>
      <c r="S914" s="1"/>
      <c r="T914" s="1"/>
      <c r="U914" s="2"/>
      <c r="V914" s="1"/>
      <c r="W914" s="1"/>
      <c r="X914" s="1"/>
      <c r="Y914" s="1"/>
      <c r="Z914" s="1"/>
    </row>
    <row r="915" spans="1:26" ht="24.75" customHeight="1">
      <c r="A915" s="1"/>
      <c r="B915" s="1"/>
      <c r="C915" s="1"/>
      <c r="D915" s="1"/>
      <c r="E915" s="1"/>
      <c r="F915" s="1"/>
      <c r="G915" s="1"/>
      <c r="H915" s="1"/>
      <c r="I915" s="1"/>
      <c r="J915" s="1"/>
      <c r="K915" s="1"/>
      <c r="L915" s="1"/>
      <c r="M915" s="1"/>
      <c r="N915" s="1"/>
      <c r="O915" s="1"/>
      <c r="P915" s="1"/>
      <c r="Q915" s="1"/>
      <c r="R915" s="1"/>
      <c r="S915" s="1"/>
      <c r="T915" s="1"/>
      <c r="U915" s="2"/>
      <c r="V915" s="1"/>
      <c r="W915" s="1"/>
      <c r="X915" s="1"/>
      <c r="Y915" s="1"/>
      <c r="Z915" s="1"/>
    </row>
    <row r="916" spans="1:26" ht="24.75" customHeight="1">
      <c r="A916" s="1"/>
      <c r="B916" s="1"/>
      <c r="C916" s="1"/>
      <c r="D916" s="1"/>
      <c r="E916" s="1"/>
      <c r="F916" s="1"/>
      <c r="G916" s="1"/>
      <c r="H916" s="1"/>
      <c r="I916" s="1"/>
      <c r="J916" s="1"/>
      <c r="K916" s="1"/>
      <c r="L916" s="1"/>
      <c r="M916" s="1"/>
      <c r="N916" s="1"/>
      <c r="O916" s="1"/>
      <c r="P916" s="1"/>
      <c r="Q916" s="1"/>
      <c r="R916" s="1"/>
      <c r="S916" s="1"/>
      <c r="T916" s="1"/>
      <c r="U916" s="2"/>
      <c r="V916" s="1"/>
      <c r="W916" s="1"/>
      <c r="X916" s="1"/>
      <c r="Y916" s="1"/>
      <c r="Z916" s="1"/>
    </row>
    <row r="917" spans="1:26" ht="24.75" customHeight="1">
      <c r="A917" s="1"/>
      <c r="B917" s="1"/>
      <c r="C917" s="1"/>
      <c r="D917" s="1"/>
      <c r="E917" s="1"/>
      <c r="F917" s="1"/>
      <c r="G917" s="1"/>
      <c r="H917" s="1"/>
      <c r="I917" s="1"/>
      <c r="J917" s="1"/>
      <c r="K917" s="1"/>
      <c r="L917" s="1"/>
      <c r="M917" s="1"/>
      <c r="N917" s="1"/>
      <c r="O917" s="1"/>
      <c r="P917" s="1"/>
      <c r="Q917" s="1"/>
      <c r="R917" s="1"/>
      <c r="S917" s="1"/>
      <c r="T917" s="1"/>
      <c r="U917" s="2"/>
      <c r="V917" s="1"/>
      <c r="W917" s="1"/>
      <c r="X917" s="1"/>
      <c r="Y917" s="1"/>
      <c r="Z917" s="1"/>
    </row>
    <row r="918" spans="1:26" ht="24.75" customHeight="1">
      <c r="A918" s="1"/>
      <c r="B918" s="1"/>
      <c r="C918" s="1"/>
      <c r="D918" s="1"/>
      <c r="E918" s="1"/>
      <c r="F918" s="1"/>
      <c r="G918" s="1"/>
      <c r="H918" s="1"/>
      <c r="I918" s="1"/>
      <c r="J918" s="1"/>
      <c r="K918" s="1"/>
      <c r="L918" s="1"/>
      <c r="M918" s="1"/>
      <c r="N918" s="1"/>
      <c r="O918" s="1"/>
      <c r="P918" s="1"/>
      <c r="Q918" s="1"/>
      <c r="R918" s="1"/>
      <c r="S918" s="1"/>
      <c r="T918" s="1"/>
      <c r="U918" s="2"/>
      <c r="V918" s="1"/>
      <c r="W918" s="1"/>
      <c r="X918" s="1"/>
      <c r="Y918" s="1"/>
      <c r="Z918" s="1"/>
    </row>
    <row r="919" spans="1:26" ht="24.75" customHeight="1">
      <c r="A919" s="1"/>
      <c r="B919" s="1"/>
      <c r="C919" s="1"/>
      <c r="D919" s="1"/>
      <c r="E919" s="1"/>
      <c r="F919" s="1"/>
      <c r="G919" s="1"/>
      <c r="H919" s="1"/>
      <c r="I919" s="1"/>
      <c r="J919" s="1"/>
      <c r="K919" s="1"/>
      <c r="L919" s="1"/>
      <c r="M919" s="1"/>
      <c r="N919" s="1"/>
      <c r="O919" s="1"/>
      <c r="P919" s="1"/>
      <c r="Q919" s="1"/>
      <c r="R919" s="1"/>
      <c r="S919" s="1"/>
      <c r="T919" s="1"/>
      <c r="U919" s="2"/>
      <c r="V919" s="1"/>
      <c r="W919" s="1"/>
      <c r="X919" s="1"/>
      <c r="Y919" s="1"/>
      <c r="Z919" s="1"/>
    </row>
    <row r="920" spans="1:26" ht="24.75" customHeight="1">
      <c r="A920" s="1"/>
      <c r="B920" s="1"/>
      <c r="C920" s="1"/>
      <c r="D920" s="1"/>
      <c r="E920" s="1"/>
      <c r="F920" s="1"/>
      <c r="G920" s="1"/>
      <c r="H920" s="1"/>
      <c r="I920" s="1"/>
      <c r="J920" s="1"/>
      <c r="K920" s="1"/>
      <c r="L920" s="1"/>
      <c r="M920" s="1"/>
      <c r="N920" s="1"/>
      <c r="O920" s="1"/>
      <c r="P920" s="1"/>
      <c r="Q920" s="1"/>
      <c r="R920" s="1"/>
      <c r="S920" s="1"/>
      <c r="T920" s="1"/>
      <c r="U920" s="2"/>
      <c r="V920" s="1"/>
      <c r="W920" s="1"/>
      <c r="X920" s="1"/>
      <c r="Y920" s="1"/>
      <c r="Z920" s="1"/>
    </row>
    <row r="921" spans="1:26" ht="24.75" customHeight="1">
      <c r="A921" s="1"/>
      <c r="B921" s="1"/>
      <c r="C921" s="1"/>
      <c r="D921" s="1"/>
      <c r="E921" s="1"/>
      <c r="F921" s="1"/>
      <c r="G921" s="1"/>
      <c r="H921" s="1"/>
      <c r="I921" s="1"/>
      <c r="J921" s="1"/>
      <c r="K921" s="1"/>
      <c r="L921" s="1"/>
      <c r="M921" s="1"/>
      <c r="N921" s="1"/>
      <c r="O921" s="1"/>
      <c r="P921" s="1"/>
      <c r="Q921" s="1"/>
      <c r="R921" s="1"/>
      <c r="S921" s="1"/>
      <c r="T921" s="1"/>
      <c r="U921" s="2"/>
      <c r="V921" s="1"/>
      <c r="W921" s="1"/>
      <c r="X921" s="1"/>
      <c r="Y921" s="1"/>
      <c r="Z921" s="1"/>
    </row>
    <row r="922" spans="1:26" ht="24.75" customHeight="1">
      <c r="A922" s="1"/>
      <c r="B922" s="1"/>
      <c r="C922" s="1"/>
      <c r="D922" s="1"/>
      <c r="E922" s="1"/>
      <c r="F922" s="1"/>
      <c r="G922" s="1"/>
      <c r="H922" s="1"/>
      <c r="I922" s="1"/>
      <c r="J922" s="1"/>
      <c r="K922" s="1"/>
      <c r="L922" s="1"/>
      <c r="M922" s="1"/>
      <c r="N922" s="1"/>
      <c r="O922" s="1"/>
      <c r="P922" s="1"/>
      <c r="Q922" s="1"/>
      <c r="R922" s="1"/>
      <c r="S922" s="1"/>
      <c r="T922" s="1"/>
      <c r="U922" s="2"/>
      <c r="V922" s="1"/>
      <c r="W922" s="1"/>
      <c r="X922" s="1"/>
      <c r="Y922" s="1"/>
      <c r="Z922" s="1"/>
    </row>
    <row r="923" spans="1:26" ht="24.75" customHeight="1">
      <c r="A923" s="1"/>
      <c r="B923" s="1"/>
      <c r="C923" s="1"/>
      <c r="D923" s="1"/>
      <c r="E923" s="1"/>
      <c r="F923" s="1"/>
      <c r="G923" s="1"/>
      <c r="H923" s="1"/>
      <c r="I923" s="1"/>
      <c r="J923" s="1"/>
      <c r="K923" s="1"/>
      <c r="L923" s="1"/>
      <c r="M923" s="1"/>
      <c r="N923" s="1"/>
      <c r="O923" s="1"/>
      <c r="P923" s="1"/>
      <c r="Q923" s="1"/>
      <c r="R923" s="1"/>
      <c r="S923" s="1"/>
      <c r="T923" s="1"/>
      <c r="U923" s="2"/>
      <c r="V923" s="1"/>
      <c r="W923" s="1"/>
      <c r="X923" s="1"/>
      <c r="Y923" s="1"/>
      <c r="Z923" s="1"/>
    </row>
    <row r="924" spans="1:26" ht="24.75" customHeight="1">
      <c r="A924" s="1"/>
      <c r="B924" s="1"/>
      <c r="C924" s="1"/>
      <c r="D924" s="1"/>
      <c r="E924" s="1"/>
      <c r="F924" s="1"/>
      <c r="G924" s="1"/>
      <c r="H924" s="1"/>
      <c r="I924" s="1"/>
      <c r="J924" s="1"/>
      <c r="K924" s="1"/>
      <c r="L924" s="1"/>
      <c r="M924" s="1"/>
      <c r="N924" s="1"/>
      <c r="O924" s="1"/>
      <c r="P924" s="1"/>
      <c r="Q924" s="1"/>
      <c r="R924" s="1"/>
      <c r="S924" s="1"/>
      <c r="T924" s="1"/>
      <c r="U924" s="2"/>
      <c r="V924" s="1"/>
      <c r="W924" s="1"/>
      <c r="X924" s="1"/>
      <c r="Y924" s="1"/>
      <c r="Z924" s="1"/>
    </row>
    <row r="925" spans="1:26" ht="24.75" customHeight="1">
      <c r="A925" s="1"/>
      <c r="B925" s="1"/>
      <c r="C925" s="1"/>
      <c r="D925" s="1"/>
      <c r="E925" s="1"/>
      <c r="F925" s="1"/>
      <c r="G925" s="1"/>
      <c r="H925" s="1"/>
      <c r="I925" s="1"/>
      <c r="J925" s="1"/>
      <c r="K925" s="1"/>
      <c r="L925" s="1"/>
      <c r="M925" s="1"/>
      <c r="N925" s="1"/>
      <c r="O925" s="1"/>
      <c r="P925" s="1"/>
      <c r="Q925" s="1"/>
      <c r="R925" s="1"/>
      <c r="S925" s="1"/>
      <c r="T925" s="1"/>
      <c r="U925" s="2"/>
      <c r="V925" s="1"/>
      <c r="W925" s="1"/>
      <c r="X925" s="1"/>
      <c r="Y925" s="1"/>
      <c r="Z925" s="1"/>
    </row>
    <row r="926" spans="1:26" ht="24.75" customHeight="1">
      <c r="A926" s="1"/>
      <c r="B926" s="1"/>
      <c r="C926" s="1"/>
      <c r="D926" s="1"/>
      <c r="E926" s="1"/>
      <c r="F926" s="1"/>
      <c r="G926" s="1"/>
      <c r="H926" s="1"/>
      <c r="I926" s="1"/>
      <c r="J926" s="1"/>
      <c r="K926" s="1"/>
      <c r="L926" s="1"/>
      <c r="M926" s="1"/>
      <c r="N926" s="1"/>
      <c r="O926" s="1"/>
      <c r="P926" s="1"/>
      <c r="Q926" s="1"/>
      <c r="R926" s="1"/>
      <c r="S926" s="1"/>
      <c r="T926" s="1"/>
      <c r="U926" s="2"/>
      <c r="V926" s="1"/>
      <c r="W926" s="1"/>
      <c r="X926" s="1"/>
      <c r="Y926" s="1"/>
      <c r="Z926" s="1"/>
    </row>
    <row r="927" spans="1:26" ht="24.75" customHeight="1">
      <c r="A927" s="1"/>
      <c r="B927" s="1"/>
      <c r="C927" s="1"/>
      <c r="D927" s="1"/>
      <c r="E927" s="1"/>
      <c r="F927" s="1"/>
      <c r="G927" s="1"/>
      <c r="H927" s="1"/>
      <c r="I927" s="1"/>
      <c r="J927" s="1"/>
      <c r="K927" s="1"/>
      <c r="L927" s="1"/>
      <c r="M927" s="1"/>
      <c r="N927" s="1"/>
      <c r="O927" s="1"/>
      <c r="P927" s="1"/>
      <c r="Q927" s="1"/>
      <c r="R927" s="1"/>
      <c r="S927" s="1"/>
      <c r="T927" s="1"/>
      <c r="U927" s="2"/>
      <c r="V927" s="1"/>
      <c r="W927" s="1"/>
      <c r="X927" s="1"/>
      <c r="Y927" s="1"/>
      <c r="Z927" s="1"/>
    </row>
    <row r="928" spans="1:26" ht="24.75" customHeight="1">
      <c r="A928" s="1"/>
      <c r="B928" s="1"/>
      <c r="C928" s="1"/>
      <c r="D928" s="1"/>
      <c r="E928" s="1"/>
      <c r="F928" s="1"/>
      <c r="G928" s="1"/>
      <c r="H928" s="1"/>
      <c r="I928" s="1"/>
      <c r="J928" s="1"/>
      <c r="K928" s="1"/>
      <c r="L928" s="1"/>
      <c r="M928" s="1"/>
      <c r="N928" s="1"/>
      <c r="O928" s="1"/>
      <c r="P928" s="1"/>
      <c r="Q928" s="1"/>
      <c r="R928" s="1"/>
      <c r="S928" s="1"/>
      <c r="T928" s="1"/>
      <c r="U928" s="2"/>
      <c r="V928" s="1"/>
      <c r="W928" s="1"/>
      <c r="X928" s="1"/>
      <c r="Y928" s="1"/>
      <c r="Z928" s="1"/>
    </row>
    <row r="929" spans="1:26" ht="24.75" customHeight="1">
      <c r="A929" s="1"/>
      <c r="B929" s="1"/>
      <c r="C929" s="1"/>
      <c r="D929" s="1"/>
      <c r="E929" s="1"/>
      <c r="F929" s="1"/>
      <c r="G929" s="1"/>
      <c r="H929" s="1"/>
      <c r="I929" s="1"/>
      <c r="J929" s="1"/>
      <c r="K929" s="1"/>
      <c r="L929" s="1"/>
      <c r="M929" s="1"/>
      <c r="N929" s="1"/>
      <c r="O929" s="1"/>
      <c r="P929" s="1"/>
      <c r="Q929" s="1"/>
      <c r="R929" s="1"/>
      <c r="S929" s="1"/>
      <c r="T929" s="1"/>
      <c r="U929" s="2"/>
      <c r="V929" s="1"/>
      <c r="W929" s="1"/>
      <c r="X929" s="1"/>
      <c r="Y929" s="1"/>
      <c r="Z929" s="1"/>
    </row>
    <row r="930" spans="1:26" ht="24.75" customHeight="1">
      <c r="A930" s="1"/>
      <c r="B930" s="1"/>
      <c r="C930" s="1"/>
      <c r="D930" s="1"/>
      <c r="E930" s="1"/>
      <c r="F930" s="1"/>
      <c r="G930" s="1"/>
      <c r="H930" s="1"/>
      <c r="I930" s="1"/>
      <c r="J930" s="1"/>
      <c r="K930" s="1"/>
      <c r="L930" s="1"/>
      <c r="M930" s="1"/>
      <c r="N930" s="1"/>
      <c r="O930" s="1"/>
      <c r="P930" s="1"/>
      <c r="Q930" s="1"/>
      <c r="R930" s="1"/>
      <c r="S930" s="1"/>
      <c r="T930" s="1"/>
      <c r="U930" s="2"/>
      <c r="V930" s="1"/>
      <c r="W930" s="1"/>
      <c r="X930" s="1"/>
      <c r="Y930" s="1"/>
      <c r="Z930" s="1"/>
    </row>
    <row r="931" spans="1:26" ht="24.75" customHeight="1">
      <c r="A931" s="1"/>
      <c r="B931" s="1"/>
      <c r="C931" s="1"/>
      <c r="D931" s="1"/>
      <c r="E931" s="1"/>
      <c r="F931" s="1"/>
      <c r="G931" s="1"/>
      <c r="H931" s="1"/>
      <c r="I931" s="1"/>
      <c r="J931" s="1"/>
      <c r="K931" s="1"/>
      <c r="L931" s="1"/>
      <c r="M931" s="1"/>
      <c r="N931" s="1"/>
      <c r="O931" s="1"/>
      <c r="P931" s="1"/>
      <c r="Q931" s="1"/>
      <c r="R931" s="1"/>
      <c r="S931" s="1"/>
      <c r="T931" s="1"/>
      <c r="U931" s="2"/>
      <c r="V931" s="1"/>
      <c r="W931" s="1"/>
      <c r="X931" s="1"/>
      <c r="Y931" s="1"/>
      <c r="Z931" s="1"/>
    </row>
    <row r="932" spans="1:26" ht="24.75" customHeight="1">
      <c r="A932" s="1"/>
      <c r="B932" s="1"/>
      <c r="C932" s="1"/>
      <c r="D932" s="1"/>
      <c r="E932" s="1"/>
      <c r="F932" s="1"/>
      <c r="G932" s="1"/>
      <c r="H932" s="1"/>
      <c r="I932" s="1"/>
      <c r="J932" s="1"/>
      <c r="K932" s="1"/>
      <c r="L932" s="1"/>
      <c r="M932" s="1"/>
      <c r="N932" s="1"/>
      <c r="O932" s="1"/>
      <c r="P932" s="1"/>
      <c r="Q932" s="1"/>
      <c r="R932" s="1"/>
      <c r="S932" s="1"/>
      <c r="T932" s="1"/>
      <c r="U932" s="2"/>
      <c r="V932" s="1"/>
      <c r="W932" s="1"/>
      <c r="X932" s="1"/>
      <c r="Y932" s="1"/>
      <c r="Z932" s="1"/>
    </row>
    <row r="933" spans="1:26" ht="24.75" customHeight="1">
      <c r="A933" s="1"/>
      <c r="B933" s="1"/>
      <c r="C933" s="1"/>
      <c r="D933" s="1"/>
      <c r="E933" s="1"/>
      <c r="F933" s="1"/>
      <c r="G933" s="1"/>
      <c r="H933" s="1"/>
      <c r="I933" s="1"/>
      <c r="J933" s="1"/>
      <c r="K933" s="1"/>
      <c r="L933" s="1"/>
      <c r="M933" s="1"/>
      <c r="N933" s="1"/>
      <c r="O933" s="1"/>
      <c r="P933" s="1"/>
      <c r="Q933" s="1"/>
      <c r="R933" s="1"/>
      <c r="S933" s="1"/>
      <c r="T933" s="1"/>
      <c r="U933" s="2"/>
      <c r="V933" s="1"/>
      <c r="W933" s="1"/>
      <c r="X933" s="1"/>
      <c r="Y933" s="1"/>
      <c r="Z933" s="1"/>
    </row>
    <row r="934" spans="1:26" ht="24.75" customHeight="1">
      <c r="A934" s="1"/>
      <c r="B934" s="1"/>
      <c r="C934" s="1"/>
      <c r="D934" s="1"/>
      <c r="E934" s="1"/>
      <c r="F934" s="1"/>
      <c r="G934" s="1"/>
      <c r="H934" s="1"/>
      <c r="I934" s="1"/>
      <c r="J934" s="1"/>
      <c r="K934" s="1"/>
      <c r="L934" s="1"/>
      <c r="M934" s="1"/>
      <c r="N934" s="1"/>
      <c r="O934" s="1"/>
      <c r="P934" s="1"/>
      <c r="Q934" s="1"/>
      <c r="R934" s="1"/>
      <c r="S934" s="1"/>
      <c r="T934" s="1"/>
      <c r="U934" s="2"/>
      <c r="V934" s="1"/>
      <c r="W934" s="1"/>
      <c r="X934" s="1"/>
      <c r="Y934" s="1"/>
      <c r="Z934" s="1"/>
    </row>
    <row r="935" spans="1:26" ht="24.75" customHeight="1">
      <c r="A935" s="1"/>
      <c r="B935" s="1"/>
      <c r="C935" s="1"/>
      <c r="D935" s="1"/>
      <c r="E935" s="1"/>
      <c r="F935" s="1"/>
      <c r="G935" s="1"/>
      <c r="H935" s="1"/>
      <c r="I935" s="1"/>
      <c r="J935" s="1"/>
      <c r="K935" s="1"/>
      <c r="L935" s="1"/>
      <c r="M935" s="1"/>
      <c r="N935" s="1"/>
      <c r="O935" s="1"/>
      <c r="P935" s="1"/>
      <c r="Q935" s="1"/>
      <c r="R935" s="1"/>
      <c r="S935" s="1"/>
      <c r="T935" s="1"/>
      <c r="U935" s="2"/>
      <c r="V935" s="1"/>
      <c r="W935" s="1"/>
      <c r="X935" s="1"/>
      <c r="Y935" s="1"/>
      <c r="Z935" s="1"/>
    </row>
    <row r="936" spans="1:26" ht="24.75" customHeight="1">
      <c r="A936" s="1"/>
      <c r="B936" s="1"/>
      <c r="C936" s="1"/>
      <c r="D936" s="1"/>
      <c r="E936" s="1"/>
      <c r="F936" s="1"/>
      <c r="G936" s="1"/>
      <c r="H936" s="1"/>
      <c r="I936" s="1"/>
      <c r="J936" s="1"/>
      <c r="K936" s="1"/>
      <c r="L936" s="1"/>
      <c r="M936" s="1"/>
      <c r="N936" s="1"/>
      <c r="O936" s="1"/>
      <c r="P936" s="1"/>
      <c r="Q936" s="1"/>
      <c r="R936" s="1"/>
      <c r="S936" s="1"/>
      <c r="T936" s="1"/>
      <c r="U936" s="2"/>
      <c r="V936" s="1"/>
      <c r="W936" s="1"/>
      <c r="X936" s="1"/>
      <c r="Y936" s="1"/>
      <c r="Z936" s="1"/>
    </row>
    <row r="937" spans="1:26" ht="24.75" customHeight="1">
      <c r="A937" s="1"/>
      <c r="B937" s="1"/>
      <c r="C937" s="1"/>
      <c r="D937" s="1"/>
      <c r="E937" s="1"/>
      <c r="F937" s="1"/>
      <c r="G937" s="1"/>
      <c r="H937" s="1"/>
      <c r="I937" s="1"/>
      <c r="J937" s="1"/>
      <c r="K937" s="1"/>
      <c r="L937" s="1"/>
      <c r="M937" s="1"/>
      <c r="N937" s="1"/>
      <c r="O937" s="1"/>
      <c r="P937" s="1"/>
      <c r="Q937" s="1"/>
      <c r="R937" s="1"/>
      <c r="S937" s="1"/>
      <c r="T937" s="1"/>
      <c r="U937" s="2"/>
      <c r="V937" s="1"/>
      <c r="W937" s="1"/>
      <c r="X937" s="1"/>
      <c r="Y937" s="1"/>
      <c r="Z937" s="1"/>
    </row>
    <row r="938" spans="1:26" ht="24.75" customHeight="1">
      <c r="A938" s="1"/>
      <c r="B938" s="1"/>
      <c r="C938" s="1"/>
      <c r="D938" s="1"/>
      <c r="E938" s="1"/>
      <c r="F938" s="1"/>
      <c r="G938" s="1"/>
      <c r="H938" s="1"/>
      <c r="I938" s="1"/>
      <c r="J938" s="1"/>
      <c r="K938" s="1"/>
      <c r="L938" s="1"/>
      <c r="M938" s="1"/>
      <c r="N938" s="1"/>
      <c r="O938" s="1"/>
      <c r="P938" s="1"/>
      <c r="Q938" s="1"/>
      <c r="R938" s="1"/>
      <c r="S938" s="1"/>
      <c r="T938" s="1"/>
      <c r="U938" s="2"/>
      <c r="V938" s="1"/>
      <c r="W938" s="1"/>
      <c r="X938" s="1"/>
      <c r="Y938" s="1"/>
      <c r="Z938" s="1"/>
    </row>
    <row r="939" spans="1:26" ht="24.75" customHeight="1">
      <c r="A939" s="1"/>
      <c r="B939" s="1"/>
      <c r="C939" s="1"/>
      <c r="D939" s="1"/>
      <c r="E939" s="1"/>
      <c r="F939" s="1"/>
      <c r="G939" s="1"/>
      <c r="H939" s="1"/>
      <c r="I939" s="1"/>
      <c r="J939" s="1"/>
      <c r="K939" s="1"/>
      <c r="L939" s="1"/>
      <c r="M939" s="1"/>
      <c r="N939" s="1"/>
      <c r="O939" s="1"/>
      <c r="P939" s="1"/>
      <c r="Q939" s="1"/>
      <c r="R939" s="1"/>
      <c r="S939" s="1"/>
      <c r="T939" s="1"/>
      <c r="U939" s="2"/>
      <c r="V939" s="1"/>
      <c r="W939" s="1"/>
      <c r="X939" s="1"/>
      <c r="Y939" s="1"/>
      <c r="Z939" s="1"/>
    </row>
    <row r="940" spans="1:26" ht="24.75" customHeight="1">
      <c r="A940" s="1"/>
      <c r="B940" s="1"/>
      <c r="C940" s="1"/>
      <c r="D940" s="1"/>
      <c r="E940" s="1"/>
      <c r="F940" s="1"/>
      <c r="G940" s="1"/>
      <c r="H940" s="1"/>
      <c r="I940" s="1"/>
      <c r="J940" s="1"/>
      <c r="K940" s="1"/>
      <c r="L940" s="1"/>
      <c r="M940" s="1"/>
      <c r="N940" s="1"/>
      <c r="O940" s="1"/>
      <c r="P940" s="1"/>
      <c r="Q940" s="1"/>
      <c r="R940" s="1"/>
      <c r="S940" s="1"/>
      <c r="T940" s="1"/>
      <c r="U940" s="2"/>
      <c r="V940" s="1"/>
      <c r="W940" s="1"/>
      <c r="X940" s="1"/>
      <c r="Y940" s="1"/>
      <c r="Z940" s="1"/>
    </row>
    <row r="941" spans="1:26" ht="24.75" customHeight="1">
      <c r="A941" s="1"/>
      <c r="B941" s="1"/>
      <c r="C941" s="1"/>
      <c r="D941" s="1"/>
      <c r="E941" s="1"/>
      <c r="F941" s="1"/>
      <c r="G941" s="1"/>
      <c r="H941" s="1"/>
      <c r="I941" s="1"/>
      <c r="J941" s="1"/>
      <c r="K941" s="1"/>
      <c r="L941" s="1"/>
      <c r="M941" s="1"/>
      <c r="N941" s="1"/>
      <c r="O941" s="1"/>
      <c r="P941" s="1"/>
      <c r="Q941" s="1"/>
      <c r="R941" s="1"/>
      <c r="S941" s="1"/>
      <c r="T941" s="1"/>
      <c r="U941" s="2"/>
      <c r="V941" s="1"/>
      <c r="W941" s="1"/>
      <c r="X941" s="1"/>
      <c r="Y941" s="1"/>
      <c r="Z941" s="1"/>
    </row>
    <row r="942" spans="1:26" ht="24.75" customHeight="1">
      <c r="A942" s="1"/>
      <c r="B942" s="1"/>
      <c r="C942" s="1"/>
      <c r="D942" s="1"/>
      <c r="E942" s="1"/>
      <c r="F942" s="1"/>
      <c r="G942" s="1"/>
      <c r="H942" s="1"/>
      <c r="I942" s="1"/>
      <c r="J942" s="1"/>
      <c r="K942" s="1"/>
      <c r="L942" s="1"/>
      <c r="M942" s="1"/>
      <c r="N942" s="1"/>
      <c r="O942" s="1"/>
      <c r="P942" s="1"/>
      <c r="Q942" s="1"/>
      <c r="R942" s="1"/>
      <c r="S942" s="1"/>
      <c r="T942" s="1"/>
      <c r="U942" s="2"/>
      <c r="V942" s="1"/>
      <c r="W942" s="1"/>
      <c r="X942" s="1"/>
      <c r="Y942" s="1"/>
      <c r="Z942" s="1"/>
    </row>
    <row r="943" spans="1:26" ht="24.75" customHeight="1">
      <c r="A943" s="1"/>
      <c r="B943" s="1"/>
      <c r="C943" s="1"/>
      <c r="D943" s="1"/>
      <c r="E943" s="1"/>
      <c r="F943" s="1"/>
      <c r="G943" s="1"/>
      <c r="H943" s="1"/>
      <c r="I943" s="1"/>
      <c r="J943" s="1"/>
      <c r="K943" s="1"/>
      <c r="L943" s="1"/>
      <c r="M943" s="1"/>
      <c r="N943" s="1"/>
      <c r="O943" s="1"/>
      <c r="P943" s="1"/>
      <c r="Q943" s="1"/>
      <c r="R943" s="1"/>
      <c r="S943" s="1"/>
      <c r="T943" s="1"/>
      <c r="U943" s="2"/>
      <c r="V943" s="1"/>
      <c r="W943" s="1"/>
      <c r="X943" s="1"/>
      <c r="Y943" s="1"/>
      <c r="Z943" s="1"/>
    </row>
    <row r="944" spans="1:26" ht="24.75" customHeight="1">
      <c r="A944" s="1"/>
      <c r="B944" s="1"/>
      <c r="C944" s="1"/>
      <c r="D944" s="1"/>
      <c r="E944" s="1"/>
      <c r="F944" s="1"/>
      <c r="G944" s="1"/>
      <c r="H944" s="1"/>
      <c r="I944" s="1"/>
      <c r="J944" s="1"/>
      <c r="K944" s="1"/>
      <c r="L944" s="1"/>
      <c r="M944" s="1"/>
      <c r="N944" s="1"/>
      <c r="O944" s="1"/>
      <c r="P944" s="1"/>
      <c r="Q944" s="1"/>
      <c r="R944" s="1"/>
      <c r="S944" s="1"/>
      <c r="T944" s="1"/>
      <c r="U944" s="2"/>
      <c r="V944" s="1"/>
      <c r="W944" s="1"/>
      <c r="X944" s="1"/>
      <c r="Y944" s="1"/>
      <c r="Z944" s="1"/>
    </row>
    <row r="945" spans="1:26" ht="24.75" customHeight="1">
      <c r="A945" s="1"/>
      <c r="B945" s="1"/>
      <c r="C945" s="1"/>
      <c r="D945" s="1"/>
      <c r="E945" s="1"/>
      <c r="F945" s="1"/>
      <c r="G945" s="1"/>
      <c r="H945" s="1"/>
      <c r="I945" s="1"/>
      <c r="J945" s="1"/>
      <c r="K945" s="1"/>
      <c r="L945" s="1"/>
      <c r="M945" s="1"/>
      <c r="N945" s="1"/>
      <c r="O945" s="1"/>
      <c r="P945" s="1"/>
      <c r="Q945" s="1"/>
      <c r="R945" s="1"/>
      <c r="S945" s="1"/>
      <c r="T945" s="1"/>
      <c r="U945" s="2"/>
      <c r="V945" s="1"/>
      <c r="W945" s="1"/>
      <c r="X945" s="1"/>
      <c r="Y945" s="1"/>
      <c r="Z945" s="1"/>
    </row>
    <row r="946" spans="1:26" ht="24.75" customHeight="1">
      <c r="A946" s="1"/>
      <c r="B946" s="1"/>
      <c r="C946" s="1"/>
      <c r="D946" s="1"/>
      <c r="E946" s="1"/>
      <c r="F946" s="1"/>
      <c r="G946" s="1"/>
      <c r="H946" s="1"/>
      <c r="I946" s="1"/>
      <c r="J946" s="1"/>
      <c r="K946" s="1"/>
      <c r="L946" s="1"/>
      <c r="M946" s="1"/>
      <c r="N946" s="1"/>
      <c r="O946" s="1"/>
      <c r="P946" s="1"/>
      <c r="Q946" s="1"/>
      <c r="R946" s="1"/>
      <c r="S946" s="1"/>
      <c r="T946" s="1"/>
      <c r="U946" s="2"/>
      <c r="V946" s="1"/>
      <c r="W946" s="1"/>
      <c r="X946" s="1"/>
      <c r="Y946" s="1"/>
      <c r="Z946" s="1"/>
    </row>
    <row r="947" spans="1:26" ht="24.75" customHeight="1">
      <c r="A947" s="1"/>
      <c r="B947" s="1"/>
      <c r="C947" s="1"/>
      <c r="D947" s="1"/>
      <c r="E947" s="1"/>
      <c r="F947" s="1"/>
      <c r="G947" s="1"/>
      <c r="H947" s="1"/>
      <c r="I947" s="1"/>
      <c r="J947" s="1"/>
      <c r="K947" s="1"/>
      <c r="L947" s="1"/>
      <c r="M947" s="1"/>
      <c r="N947" s="1"/>
      <c r="O947" s="1"/>
      <c r="P947" s="1"/>
      <c r="Q947" s="1"/>
      <c r="R947" s="1"/>
      <c r="S947" s="1"/>
      <c r="T947" s="1"/>
      <c r="U947" s="2"/>
      <c r="V947" s="1"/>
      <c r="W947" s="1"/>
      <c r="X947" s="1"/>
      <c r="Y947" s="1"/>
      <c r="Z947" s="1"/>
    </row>
    <row r="948" spans="1:26" ht="24.75" customHeight="1">
      <c r="A948" s="1"/>
      <c r="B948" s="1"/>
      <c r="C948" s="1"/>
      <c r="D948" s="1"/>
      <c r="E948" s="1"/>
      <c r="F948" s="1"/>
      <c r="G948" s="1"/>
      <c r="H948" s="1"/>
      <c r="I948" s="1"/>
      <c r="J948" s="1"/>
      <c r="K948" s="1"/>
      <c r="L948" s="1"/>
      <c r="M948" s="1"/>
      <c r="N948" s="1"/>
      <c r="O948" s="1"/>
      <c r="P948" s="1"/>
      <c r="Q948" s="1"/>
      <c r="R948" s="1"/>
      <c r="S948" s="1"/>
      <c r="T948" s="1"/>
      <c r="U948" s="2"/>
      <c r="V948" s="1"/>
      <c r="W948" s="1"/>
      <c r="X948" s="1"/>
      <c r="Y948" s="1"/>
      <c r="Z948" s="1"/>
    </row>
    <row r="949" spans="1:26" ht="24.75" customHeight="1">
      <c r="A949" s="1"/>
      <c r="B949" s="1"/>
      <c r="C949" s="1"/>
      <c r="D949" s="1"/>
      <c r="E949" s="1"/>
      <c r="F949" s="1"/>
      <c r="G949" s="1"/>
      <c r="H949" s="1"/>
      <c r="I949" s="1"/>
      <c r="J949" s="1"/>
      <c r="K949" s="1"/>
      <c r="L949" s="1"/>
      <c r="M949" s="1"/>
      <c r="N949" s="1"/>
      <c r="O949" s="1"/>
      <c r="P949" s="1"/>
      <c r="Q949" s="1"/>
      <c r="R949" s="1"/>
      <c r="S949" s="1"/>
      <c r="T949" s="1"/>
      <c r="U949" s="2"/>
      <c r="V949" s="1"/>
      <c r="W949" s="1"/>
      <c r="X949" s="1"/>
      <c r="Y949" s="1"/>
      <c r="Z949" s="1"/>
    </row>
    <row r="950" spans="1:26" ht="24.75" customHeight="1">
      <c r="A950" s="1"/>
      <c r="B950" s="1"/>
      <c r="C950" s="1"/>
      <c r="D950" s="1"/>
      <c r="E950" s="1"/>
      <c r="F950" s="1"/>
      <c r="G950" s="1"/>
      <c r="H950" s="1"/>
      <c r="I950" s="1"/>
      <c r="J950" s="1"/>
      <c r="K950" s="1"/>
      <c r="L950" s="1"/>
      <c r="M950" s="1"/>
      <c r="N950" s="1"/>
      <c r="O950" s="1"/>
      <c r="P950" s="1"/>
      <c r="Q950" s="1"/>
      <c r="R950" s="1"/>
      <c r="S950" s="1"/>
      <c r="T950" s="1"/>
      <c r="U950" s="2"/>
      <c r="V950" s="1"/>
      <c r="W950" s="1"/>
      <c r="X950" s="1"/>
      <c r="Y950" s="1"/>
      <c r="Z950" s="1"/>
    </row>
    <row r="951" spans="1:26" ht="24.75" customHeight="1">
      <c r="A951" s="1"/>
      <c r="B951" s="1"/>
      <c r="C951" s="1"/>
      <c r="D951" s="1"/>
      <c r="E951" s="1"/>
      <c r="F951" s="1"/>
      <c r="G951" s="1"/>
      <c r="H951" s="1"/>
      <c r="I951" s="1"/>
      <c r="J951" s="1"/>
      <c r="K951" s="1"/>
      <c r="L951" s="1"/>
      <c r="M951" s="1"/>
      <c r="N951" s="1"/>
      <c r="O951" s="1"/>
      <c r="P951" s="1"/>
      <c r="Q951" s="1"/>
      <c r="R951" s="1"/>
      <c r="S951" s="1"/>
      <c r="T951" s="1"/>
      <c r="U951" s="2"/>
      <c r="V951" s="1"/>
      <c r="W951" s="1"/>
      <c r="X951" s="1"/>
      <c r="Y951" s="1"/>
      <c r="Z951" s="1"/>
    </row>
    <row r="952" spans="1:26" ht="24.75" customHeight="1">
      <c r="A952" s="1"/>
      <c r="B952" s="1"/>
      <c r="C952" s="1"/>
      <c r="D952" s="1"/>
      <c r="E952" s="1"/>
      <c r="F952" s="1"/>
      <c r="G952" s="1"/>
      <c r="H952" s="1"/>
      <c r="I952" s="1"/>
      <c r="J952" s="1"/>
      <c r="K952" s="1"/>
      <c r="L952" s="1"/>
      <c r="M952" s="1"/>
      <c r="N952" s="1"/>
      <c r="O952" s="1"/>
      <c r="P952" s="1"/>
      <c r="Q952" s="1"/>
      <c r="R952" s="1"/>
      <c r="S952" s="1"/>
      <c r="T952" s="1"/>
      <c r="U952" s="2"/>
      <c r="V952" s="1"/>
      <c r="W952" s="1"/>
      <c r="X952" s="1"/>
      <c r="Y952" s="1"/>
      <c r="Z952" s="1"/>
    </row>
    <row r="953" spans="1:26" ht="24.75" customHeight="1">
      <c r="A953" s="1"/>
      <c r="B953" s="1"/>
      <c r="C953" s="1"/>
      <c r="D953" s="1"/>
      <c r="E953" s="1"/>
      <c r="F953" s="1"/>
      <c r="G953" s="1"/>
      <c r="H953" s="1"/>
      <c r="I953" s="1"/>
      <c r="J953" s="1"/>
      <c r="K953" s="1"/>
      <c r="L953" s="1"/>
      <c r="M953" s="1"/>
      <c r="N953" s="1"/>
      <c r="O953" s="1"/>
      <c r="P953" s="1"/>
      <c r="Q953" s="1"/>
      <c r="R953" s="1"/>
      <c r="S953" s="1"/>
      <c r="T953" s="1"/>
      <c r="U953" s="2"/>
      <c r="V953" s="1"/>
      <c r="W953" s="1"/>
      <c r="X953" s="1"/>
      <c r="Y953" s="1"/>
      <c r="Z953" s="1"/>
    </row>
    <row r="954" spans="1:26" ht="24.75" customHeight="1">
      <c r="A954" s="1"/>
      <c r="B954" s="1"/>
      <c r="C954" s="1"/>
      <c r="D954" s="1"/>
      <c r="E954" s="1"/>
      <c r="F954" s="1"/>
      <c r="G954" s="1"/>
      <c r="H954" s="1"/>
      <c r="I954" s="1"/>
      <c r="J954" s="1"/>
      <c r="K954" s="1"/>
      <c r="L954" s="1"/>
      <c r="M954" s="1"/>
      <c r="N954" s="1"/>
      <c r="O954" s="1"/>
      <c r="P954" s="1"/>
      <c r="Q954" s="1"/>
      <c r="R954" s="1"/>
      <c r="S954" s="1"/>
      <c r="T954" s="1"/>
      <c r="U954" s="2"/>
      <c r="V954" s="1"/>
      <c r="W954" s="1"/>
      <c r="X954" s="1"/>
      <c r="Y954" s="1"/>
      <c r="Z954" s="1"/>
    </row>
    <row r="955" spans="1:26" ht="24.75" customHeight="1">
      <c r="A955" s="1"/>
      <c r="B955" s="1"/>
      <c r="C955" s="1"/>
      <c r="D955" s="1"/>
      <c r="E955" s="1"/>
      <c r="F955" s="1"/>
      <c r="G955" s="1"/>
      <c r="H955" s="1"/>
      <c r="I955" s="1"/>
      <c r="J955" s="1"/>
      <c r="K955" s="1"/>
      <c r="L955" s="1"/>
      <c r="M955" s="1"/>
      <c r="N955" s="1"/>
      <c r="O955" s="1"/>
      <c r="P955" s="1"/>
      <c r="Q955" s="1"/>
      <c r="R955" s="1"/>
      <c r="S955" s="1"/>
      <c r="T955" s="1"/>
      <c r="U955" s="2"/>
      <c r="V955" s="1"/>
      <c r="W955" s="1"/>
      <c r="X955" s="1"/>
      <c r="Y955" s="1"/>
      <c r="Z955" s="1"/>
    </row>
    <row r="956" spans="1:26" ht="24.75" customHeight="1">
      <c r="A956" s="1"/>
      <c r="B956" s="1"/>
      <c r="C956" s="1"/>
      <c r="D956" s="1"/>
      <c r="E956" s="1"/>
      <c r="F956" s="1"/>
      <c r="G956" s="1"/>
      <c r="H956" s="1"/>
      <c r="I956" s="1"/>
      <c r="J956" s="1"/>
      <c r="K956" s="1"/>
      <c r="L956" s="1"/>
      <c r="M956" s="1"/>
      <c r="N956" s="1"/>
      <c r="O956" s="1"/>
      <c r="P956" s="1"/>
      <c r="Q956" s="1"/>
      <c r="R956" s="1"/>
      <c r="S956" s="1"/>
      <c r="T956" s="1"/>
      <c r="U956" s="2"/>
      <c r="V956" s="1"/>
      <c r="W956" s="1"/>
      <c r="X956" s="1"/>
      <c r="Y956" s="1"/>
      <c r="Z956" s="1"/>
    </row>
    <row r="957" spans="1:26" ht="24.75" customHeight="1">
      <c r="A957" s="1"/>
      <c r="B957" s="1"/>
      <c r="C957" s="1"/>
      <c r="D957" s="1"/>
      <c r="E957" s="1"/>
      <c r="F957" s="1"/>
      <c r="G957" s="1"/>
      <c r="H957" s="1"/>
      <c r="I957" s="1"/>
      <c r="J957" s="1"/>
      <c r="K957" s="1"/>
      <c r="L957" s="1"/>
      <c r="M957" s="1"/>
      <c r="N957" s="1"/>
      <c r="O957" s="1"/>
      <c r="P957" s="1"/>
      <c r="Q957" s="1"/>
      <c r="R957" s="1"/>
      <c r="S957" s="1"/>
      <c r="T957" s="1"/>
      <c r="U957" s="2"/>
      <c r="V957" s="1"/>
      <c r="W957" s="1"/>
      <c r="X957" s="1"/>
      <c r="Y957" s="1"/>
      <c r="Z957" s="1"/>
    </row>
    <row r="958" spans="1:26" ht="24.75" customHeight="1">
      <c r="A958" s="1"/>
      <c r="B958" s="1"/>
      <c r="C958" s="1"/>
      <c r="D958" s="1"/>
      <c r="E958" s="1"/>
      <c r="F958" s="1"/>
      <c r="G958" s="1"/>
      <c r="H958" s="1"/>
      <c r="I958" s="1"/>
      <c r="J958" s="1"/>
      <c r="K958" s="1"/>
      <c r="L958" s="1"/>
      <c r="M958" s="1"/>
      <c r="N958" s="1"/>
      <c r="O958" s="1"/>
      <c r="P958" s="1"/>
      <c r="Q958" s="1"/>
      <c r="R958" s="1"/>
      <c r="S958" s="1"/>
      <c r="T958" s="1"/>
      <c r="U958" s="2"/>
      <c r="V958" s="1"/>
      <c r="W958" s="1"/>
      <c r="X958" s="1"/>
      <c r="Y958" s="1"/>
      <c r="Z958" s="1"/>
    </row>
    <row r="959" spans="1:26" ht="24.75" customHeight="1">
      <c r="A959" s="1"/>
      <c r="B959" s="1"/>
      <c r="C959" s="1"/>
      <c r="D959" s="1"/>
      <c r="E959" s="1"/>
      <c r="F959" s="1"/>
      <c r="G959" s="1"/>
      <c r="H959" s="1"/>
      <c r="I959" s="1"/>
      <c r="J959" s="1"/>
      <c r="K959" s="1"/>
      <c r="L959" s="1"/>
      <c r="M959" s="1"/>
      <c r="N959" s="1"/>
      <c r="O959" s="1"/>
      <c r="P959" s="1"/>
      <c r="Q959" s="1"/>
      <c r="R959" s="1"/>
      <c r="S959" s="1"/>
      <c r="T959" s="1"/>
      <c r="U959" s="2"/>
      <c r="V959" s="1"/>
      <c r="W959" s="1"/>
      <c r="X959" s="1"/>
      <c r="Y959" s="1"/>
      <c r="Z959" s="1"/>
    </row>
    <row r="960" spans="1:26" ht="24.75" customHeight="1">
      <c r="A960" s="1"/>
      <c r="B960" s="1"/>
      <c r="C960" s="1"/>
      <c r="D960" s="1"/>
      <c r="E960" s="1"/>
      <c r="F960" s="1"/>
      <c r="G960" s="1"/>
      <c r="H960" s="1"/>
      <c r="I960" s="1"/>
      <c r="J960" s="1"/>
      <c r="K960" s="1"/>
      <c r="L960" s="1"/>
      <c r="M960" s="1"/>
      <c r="N960" s="1"/>
      <c r="O960" s="1"/>
      <c r="P960" s="1"/>
      <c r="Q960" s="1"/>
      <c r="R960" s="1"/>
      <c r="S960" s="1"/>
      <c r="T960" s="1"/>
      <c r="U960" s="2"/>
      <c r="V960" s="1"/>
      <c r="W960" s="1"/>
      <c r="X960" s="1"/>
      <c r="Y960" s="1"/>
      <c r="Z960" s="1"/>
    </row>
    <row r="961" spans="1:26" ht="24.75" customHeight="1">
      <c r="A961" s="1"/>
      <c r="B961" s="1"/>
      <c r="C961" s="1"/>
      <c r="D961" s="1"/>
      <c r="E961" s="1"/>
      <c r="F961" s="1"/>
      <c r="G961" s="1"/>
      <c r="H961" s="1"/>
      <c r="I961" s="1"/>
      <c r="J961" s="1"/>
      <c r="K961" s="1"/>
      <c r="L961" s="1"/>
      <c r="M961" s="1"/>
      <c r="N961" s="1"/>
      <c r="O961" s="1"/>
      <c r="P961" s="1"/>
      <c r="Q961" s="1"/>
      <c r="R961" s="1"/>
      <c r="S961" s="1"/>
      <c r="T961" s="1"/>
      <c r="U961" s="2"/>
      <c r="V961" s="1"/>
      <c r="W961" s="1"/>
      <c r="X961" s="1"/>
      <c r="Y961" s="1"/>
      <c r="Z961" s="1"/>
    </row>
    <row r="962" spans="1:26" ht="24.75" customHeight="1">
      <c r="A962" s="1"/>
      <c r="B962" s="1"/>
      <c r="C962" s="1"/>
      <c r="D962" s="1"/>
      <c r="E962" s="1"/>
      <c r="F962" s="1"/>
      <c r="G962" s="1"/>
      <c r="H962" s="1"/>
      <c r="I962" s="1"/>
      <c r="J962" s="1"/>
      <c r="K962" s="1"/>
      <c r="L962" s="1"/>
      <c r="M962" s="1"/>
      <c r="N962" s="1"/>
      <c r="O962" s="1"/>
      <c r="P962" s="1"/>
      <c r="Q962" s="1"/>
      <c r="R962" s="1"/>
      <c r="S962" s="1"/>
      <c r="T962" s="1"/>
      <c r="U962" s="2"/>
      <c r="V962" s="1"/>
      <c r="W962" s="1"/>
      <c r="X962" s="1"/>
      <c r="Y962" s="1"/>
      <c r="Z962" s="1"/>
    </row>
    <row r="963" spans="1:26" ht="24.75" customHeight="1">
      <c r="A963" s="1"/>
      <c r="B963" s="1"/>
      <c r="C963" s="1"/>
      <c r="D963" s="1"/>
      <c r="E963" s="1"/>
      <c r="F963" s="1"/>
      <c r="G963" s="1"/>
      <c r="H963" s="1"/>
      <c r="I963" s="1"/>
      <c r="J963" s="1"/>
      <c r="K963" s="1"/>
      <c r="L963" s="1"/>
      <c r="M963" s="1"/>
      <c r="N963" s="1"/>
      <c r="O963" s="1"/>
      <c r="P963" s="1"/>
      <c r="Q963" s="1"/>
      <c r="R963" s="1"/>
      <c r="S963" s="1"/>
      <c r="T963" s="1"/>
      <c r="U963" s="2"/>
      <c r="V963" s="1"/>
      <c r="W963" s="1"/>
      <c r="X963" s="1"/>
      <c r="Y963" s="1"/>
      <c r="Z963" s="1"/>
    </row>
    <row r="964" spans="1:26" ht="24.75" customHeight="1">
      <c r="A964" s="1"/>
      <c r="B964" s="1"/>
      <c r="C964" s="1"/>
      <c r="D964" s="1"/>
      <c r="E964" s="1"/>
      <c r="F964" s="1"/>
      <c r="G964" s="1"/>
      <c r="H964" s="1"/>
      <c r="I964" s="1"/>
      <c r="J964" s="1"/>
      <c r="K964" s="1"/>
      <c r="L964" s="1"/>
      <c r="M964" s="1"/>
      <c r="N964" s="1"/>
      <c r="O964" s="1"/>
      <c r="P964" s="1"/>
      <c r="Q964" s="1"/>
      <c r="R964" s="1"/>
      <c r="S964" s="1"/>
      <c r="T964" s="1"/>
      <c r="U964" s="2"/>
      <c r="V964" s="1"/>
      <c r="W964" s="1"/>
      <c r="X964" s="1"/>
      <c r="Y964" s="1"/>
      <c r="Z964" s="1"/>
    </row>
    <row r="965" spans="1:26" ht="24.75" customHeight="1">
      <c r="A965" s="1"/>
      <c r="B965" s="1"/>
      <c r="C965" s="1"/>
      <c r="D965" s="1"/>
      <c r="E965" s="1"/>
      <c r="F965" s="1"/>
      <c r="G965" s="1"/>
      <c r="H965" s="1"/>
      <c r="I965" s="1"/>
      <c r="J965" s="1"/>
      <c r="K965" s="1"/>
      <c r="L965" s="1"/>
      <c r="M965" s="1"/>
      <c r="N965" s="1"/>
      <c r="O965" s="1"/>
      <c r="P965" s="1"/>
      <c r="Q965" s="1"/>
      <c r="R965" s="1"/>
      <c r="S965" s="1"/>
      <c r="T965" s="1"/>
      <c r="U965" s="2"/>
      <c r="V965" s="1"/>
      <c r="W965" s="1"/>
      <c r="X965" s="1"/>
      <c r="Y965" s="1"/>
      <c r="Z965" s="1"/>
    </row>
    <row r="966" spans="1:26" ht="24.75" customHeight="1">
      <c r="A966" s="1"/>
      <c r="B966" s="1"/>
      <c r="C966" s="1"/>
      <c r="D966" s="1"/>
      <c r="E966" s="1"/>
      <c r="F966" s="1"/>
      <c r="G966" s="1"/>
      <c r="H966" s="1"/>
      <c r="I966" s="1"/>
      <c r="J966" s="1"/>
      <c r="K966" s="1"/>
      <c r="L966" s="1"/>
      <c r="M966" s="1"/>
      <c r="N966" s="1"/>
      <c r="O966" s="1"/>
      <c r="P966" s="1"/>
      <c r="Q966" s="1"/>
      <c r="R966" s="1"/>
      <c r="S966" s="1"/>
      <c r="T966" s="1"/>
      <c r="U966" s="2"/>
      <c r="V966" s="1"/>
      <c r="W966" s="1"/>
      <c r="X966" s="1"/>
      <c r="Y966" s="1"/>
      <c r="Z966" s="1"/>
    </row>
    <row r="967" spans="1:26" ht="24.75" customHeight="1">
      <c r="A967" s="1"/>
      <c r="B967" s="1"/>
      <c r="C967" s="1"/>
      <c r="D967" s="1"/>
      <c r="E967" s="1"/>
      <c r="F967" s="1"/>
      <c r="G967" s="1"/>
      <c r="H967" s="1"/>
      <c r="I967" s="1"/>
      <c r="J967" s="1"/>
      <c r="K967" s="1"/>
      <c r="L967" s="1"/>
      <c r="M967" s="1"/>
      <c r="N967" s="1"/>
      <c r="O967" s="1"/>
      <c r="P967" s="1"/>
      <c r="Q967" s="1"/>
      <c r="R967" s="1"/>
      <c r="S967" s="1"/>
      <c r="T967" s="1"/>
      <c r="U967" s="2"/>
      <c r="V967" s="1"/>
      <c r="W967" s="1"/>
      <c r="X967" s="1"/>
      <c r="Y967" s="1"/>
      <c r="Z967" s="1"/>
    </row>
    <row r="968" spans="1:26" ht="24.75" customHeight="1">
      <c r="A968" s="1"/>
      <c r="B968" s="1"/>
      <c r="C968" s="1"/>
      <c r="D968" s="1"/>
      <c r="E968" s="1"/>
      <c r="F968" s="1"/>
      <c r="G968" s="1"/>
      <c r="H968" s="1"/>
      <c r="I968" s="1"/>
      <c r="J968" s="1"/>
      <c r="K968" s="1"/>
      <c r="L968" s="1"/>
      <c r="M968" s="1"/>
      <c r="N968" s="1"/>
      <c r="O968" s="1"/>
      <c r="P968" s="1"/>
      <c r="Q968" s="1"/>
      <c r="R968" s="1"/>
      <c r="S968" s="1"/>
      <c r="T968" s="1"/>
      <c r="U968" s="2"/>
      <c r="V968" s="1"/>
      <c r="W968" s="1"/>
      <c r="X968" s="1"/>
      <c r="Y968" s="1"/>
      <c r="Z968" s="1"/>
    </row>
    <row r="969" spans="1:26" ht="24.75" customHeight="1">
      <c r="A969" s="1"/>
      <c r="B969" s="1"/>
      <c r="C969" s="1"/>
      <c r="D969" s="1"/>
      <c r="E969" s="1"/>
      <c r="F969" s="1"/>
      <c r="G969" s="1"/>
      <c r="H969" s="1"/>
      <c r="I969" s="1"/>
      <c r="J969" s="1"/>
      <c r="K969" s="1"/>
      <c r="L969" s="1"/>
      <c r="M969" s="1"/>
      <c r="N969" s="1"/>
      <c r="O969" s="1"/>
      <c r="P969" s="1"/>
      <c r="Q969" s="1"/>
      <c r="R969" s="1"/>
      <c r="S969" s="1"/>
      <c r="T969" s="1"/>
      <c r="U969" s="2"/>
      <c r="V969" s="1"/>
      <c r="W969" s="1"/>
      <c r="X969" s="1"/>
      <c r="Y969" s="1"/>
      <c r="Z969" s="1"/>
    </row>
    <row r="970" spans="1:26" ht="24.75" customHeight="1">
      <c r="A970" s="1"/>
      <c r="B970" s="1"/>
      <c r="C970" s="1"/>
      <c r="D970" s="1"/>
      <c r="E970" s="1"/>
      <c r="F970" s="1"/>
      <c r="G970" s="1"/>
      <c r="H970" s="1"/>
      <c r="I970" s="1"/>
      <c r="J970" s="1"/>
      <c r="K970" s="1"/>
      <c r="L970" s="1"/>
      <c r="M970" s="1"/>
      <c r="N970" s="1"/>
      <c r="O970" s="1"/>
      <c r="P970" s="1"/>
      <c r="Q970" s="1"/>
      <c r="R970" s="1"/>
      <c r="S970" s="1"/>
      <c r="T970" s="1"/>
      <c r="U970" s="2"/>
      <c r="V970" s="1"/>
      <c r="W970" s="1"/>
      <c r="X970" s="1"/>
      <c r="Y970" s="1"/>
      <c r="Z970" s="1"/>
    </row>
    <row r="971" spans="1:26" ht="24.75" customHeight="1">
      <c r="A971" s="1"/>
      <c r="B971" s="1"/>
      <c r="C971" s="1"/>
      <c r="D971" s="1"/>
      <c r="E971" s="1"/>
      <c r="F971" s="1"/>
      <c r="G971" s="1"/>
      <c r="H971" s="1"/>
      <c r="I971" s="1"/>
      <c r="J971" s="1"/>
      <c r="K971" s="1"/>
      <c r="L971" s="1"/>
      <c r="M971" s="1"/>
      <c r="N971" s="1"/>
      <c r="O971" s="1"/>
      <c r="P971" s="1"/>
      <c r="Q971" s="1"/>
      <c r="R971" s="1"/>
      <c r="S971" s="1"/>
      <c r="T971" s="1"/>
      <c r="U971" s="2"/>
      <c r="V971" s="1"/>
      <c r="W971" s="1"/>
      <c r="X971" s="1"/>
      <c r="Y971" s="1"/>
      <c r="Z971" s="1"/>
    </row>
    <row r="972" spans="1:26" ht="24.75" customHeight="1">
      <c r="A972" s="1"/>
      <c r="B972" s="1"/>
      <c r="C972" s="1"/>
      <c r="D972" s="1"/>
      <c r="E972" s="1"/>
      <c r="F972" s="1"/>
      <c r="G972" s="1"/>
      <c r="H972" s="1"/>
      <c r="I972" s="1"/>
      <c r="J972" s="1"/>
      <c r="K972" s="1"/>
      <c r="L972" s="1"/>
      <c r="M972" s="1"/>
      <c r="N972" s="1"/>
      <c r="O972" s="1"/>
      <c r="P972" s="1"/>
      <c r="Q972" s="1"/>
      <c r="R972" s="1"/>
      <c r="S972" s="1"/>
      <c r="T972" s="1"/>
      <c r="U972" s="2"/>
      <c r="V972" s="1"/>
      <c r="W972" s="1"/>
      <c r="X972" s="1"/>
      <c r="Y972" s="1"/>
      <c r="Z972" s="1"/>
    </row>
    <row r="973" spans="1:26" ht="24.75" customHeight="1">
      <c r="A973" s="1"/>
      <c r="B973" s="1"/>
      <c r="C973" s="1"/>
      <c r="D973" s="1"/>
      <c r="E973" s="1"/>
      <c r="F973" s="1"/>
      <c r="G973" s="1"/>
      <c r="H973" s="1"/>
      <c r="I973" s="1"/>
      <c r="J973" s="1"/>
      <c r="K973" s="1"/>
      <c r="L973" s="1"/>
      <c r="M973" s="1"/>
      <c r="N973" s="1"/>
      <c r="O973" s="1"/>
      <c r="P973" s="1"/>
      <c r="Q973" s="1"/>
      <c r="R973" s="1"/>
      <c r="S973" s="1"/>
      <c r="T973" s="1"/>
      <c r="U973" s="2"/>
      <c r="V973" s="1"/>
      <c r="W973" s="1"/>
      <c r="X973" s="1"/>
      <c r="Y973" s="1"/>
      <c r="Z973" s="1"/>
    </row>
    <row r="974" spans="1:26" ht="24.75" customHeight="1">
      <c r="A974" s="1"/>
      <c r="B974" s="1"/>
      <c r="C974" s="1"/>
      <c r="D974" s="1"/>
      <c r="E974" s="1"/>
      <c r="F974" s="1"/>
      <c r="G974" s="1"/>
      <c r="H974" s="1"/>
      <c r="I974" s="1"/>
      <c r="J974" s="1"/>
      <c r="K974" s="1"/>
      <c r="L974" s="1"/>
      <c r="M974" s="1"/>
      <c r="N974" s="1"/>
      <c r="O974" s="1"/>
      <c r="P974" s="1"/>
      <c r="Q974" s="1"/>
      <c r="R974" s="1"/>
      <c r="S974" s="1"/>
      <c r="T974" s="1"/>
      <c r="U974" s="2"/>
      <c r="V974" s="1"/>
      <c r="W974" s="1"/>
      <c r="X974" s="1"/>
      <c r="Y974" s="1"/>
      <c r="Z974" s="1"/>
    </row>
    <row r="975" spans="1:26" ht="24.75" customHeight="1">
      <c r="A975" s="1"/>
      <c r="B975" s="1"/>
      <c r="C975" s="1"/>
      <c r="D975" s="1"/>
      <c r="E975" s="1"/>
      <c r="F975" s="1"/>
      <c r="G975" s="1"/>
      <c r="H975" s="1"/>
      <c r="I975" s="1"/>
      <c r="J975" s="1"/>
      <c r="K975" s="1"/>
      <c r="L975" s="1"/>
      <c r="M975" s="1"/>
      <c r="N975" s="1"/>
      <c r="O975" s="1"/>
      <c r="P975" s="1"/>
      <c r="Q975" s="1"/>
      <c r="R975" s="1"/>
      <c r="S975" s="1"/>
      <c r="T975" s="1"/>
      <c r="U975" s="2"/>
      <c r="V975" s="1"/>
      <c r="W975" s="1"/>
      <c r="X975" s="1"/>
      <c r="Y975" s="1"/>
      <c r="Z975" s="1"/>
    </row>
    <row r="976" spans="1:26" ht="24.75" customHeight="1">
      <c r="A976" s="1"/>
      <c r="B976" s="1"/>
      <c r="C976" s="1"/>
      <c r="D976" s="1"/>
      <c r="E976" s="1"/>
      <c r="F976" s="1"/>
      <c r="G976" s="1"/>
      <c r="H976" s="1"/>
      <c r="I976" s="1"/>
      <c r="J976" s="1"/>
      <c r="K976" s="1"/>
      <c r="L976" s="1"/>
      <c r="M976" s="1"/>
      <c r="N976" s="1"/>
      <c r="O976" s="1"/>
      <c r="P976" s="1"/>
      <c r="Q976" s="1"/>
      <c r="R976" s="1"/>
      <c r="S976" s="1"/>
      <c r="T976" s="1"/>
      <c r="U976" s="2"/>
      <c r="V976" s="1"/>
      <c r="W976" s="1"/>
      <c r="X976" s="1"/>
      <c r="Y976" s="1"/>
      <c r="Z976" s="1"/>
    </row>
    <row r="977" spans="1:26" ht="24.75" customHeight="1">
      <c r="A977" s="1"/>
      <c r="B977" s="1"/>
      <c r="C977" s="1"/>
      <c r="D977" s="1"/>
      <c r="E977" s="1"/>
      <c r="F977" s="1"/>
      <c r="G977" s="1"/>
      <c r="H977" s="1"/>
      <c r="I977" s="1"/>
      <c r="J977" s="1"/>
      <c r="K977" s="1"/>
      <c r="L977" s="1"/>
      <c r="M977" s="1"/>
      <c r="N977" s="1"/>
      <c r="O977" s="1"/>
      <c r="P977" s="1"/>
      <c r="Q977" s="1"/>
      <c r="R977" s="1"/>
      <c r="S977" s="1"/>
      <c r="T977" s="1"/>
      <c r="U977" s="2"/>
      <c r="V977" s="1"/>
      <c r="W977" s="1"/>
      <c r="X977" s="1"/>
      <c r="Y977" s="1"/>
      <c r="Z977" s="1"/>
    </row>
    <row r="978" spans="1:26" ht="24.75" customHeight="1">
      <c r="A978" s="1"/>
      <c r="B978" s="1"/>
      <c r="C978" s="1"/>
      <c r="D978" s="1"/>
      <c r="E978" s="1"/>
      <c r="F978" s="1"/>
      <c r="G978" s="1"/>
      <c r="H978" s="1"/>
      <c r="I978" s="1"/>
      <c r="J978" s="1"/>
      <c r="K978" s="1"/>
      <c r="L978" s="1"/>
      <c r="M978" s="1"/>
      <c r="N978" s="1"/>
      <c r="O978" s="1"/>
      <c r="P978" s="1"/>
      <c r="Q978" s="1"/>
      <c r="R978" s="1"/>
      <c r="S978" s="1"/>
      <c r="T978" s="1"/>
      <c r="U978" s="2"/>
      <c r="V978" s="1"/>
      <c r="W978" s="1"/>
      <c r="X978" s="1"/>
      <c r="Y978" s="1"/>
      <c r="Z978" s="1"/>
    </row>
    <row r="979" spans="1:26" ht="24.75" customHeight="1">
      <c r="A979" s="1"/>
      <c r="B979" s="1"/>
      <c r="C979" s="1"/>
      <c r="D979" s="1"/>
      <c r="E979" s="1"/>
      <c r="F979" s="1"/>
      <c r="G979" s="1"/>
      <c r="H979" s="1"/>
      <c r="I979" s="1"/>
      <c r="J979" s="1"/>
      <c r="K979" s="1"/>
      <c r="L979" s="1"/>
      <c r="M979" s="1"/>
      <c r="N979" s="1"/>
      <c r="O979" s="1"/>
      <c r="P979" s="1"/>
      <c r="Q979" s="1"/>
      <c r="R979" s="1"/>
      <c r="S979" s="1"/>
      <c r="T979" s="1"/>
      <c r="U979" s="2"/>
      <c r="V979" s="1"/>
      <c r="W979" s="1"/>
      <c r="X979" s="1"/>
      <c r="Y979" s="1"/>
      <c r="Z979" s="1"/>
    </row>
    <row r="980" spans="1:26" ht="24.75" customHeight="1">
      <c r="A980" s="1"/>
      <c r="B980" s="1"/>
      <c r="C980" s="1"/>
      <c r="D980" s="1"/>
      <c r="E980" s="1"/>
      <c r="F980" s="1"/>
      <c r="G980" s="1"/>
      <c r="H980" s="1"/>
      <c r="I980" s="1"/>
      <c r="J980" s="1"/>
      <c r="K980" s="1"/>
      <c r="L980" s="1"/>
      <c r="M980" s="1"/>
      <c r="N980" s="1"/>
      <c r="O980" s="1"/>
      <c r="P980" s="1"/>
      <c r="Q980" s="1"/>
      <c r="R980" s="1"/>
      <c r="S980" s="1"/>
      <c r="T980" s="1"/>
      <c r="U980" s="2"/>
      <c r="V980" s="1"/>
      <c r="W980" s="1"/>
      <c r="X980" s="1"/>
      <c r="Y980" s="1"/>
      <c r="Z980" s="1"/>
    </row>
    <row r="981" spans="1:26" ht="24.75" customHeight="1">
      <c r="A981" s="1"/>
      <c r="B981" s="1"/>
      <c r="C981" s="1"/>
      <c r="D981" s="1"/>
      <c r="E981" s="1"/>
      <c r="F981" s="1"/>
      <c r="G981" s="1"/>
      <c r="H981" s="1"/>
      <c r="I981" s="1"/>
      <c r="J981" s="1"/>
      <c r="K981" s="1"/>
      <c r="L981" s="1"/>
      <c r="M981" s="1"/>
      <c r="N981" s="1"/>
      <c r="O981" s="1"/>
      <c r="P981" s="1"/>
      <c r="Q981" s="1"/>
      <c r="R981" s="1"/>
      <c r="S981" s="1"/>
      <c r="T981" s="1"/>
      <c r="U981" s="2"/>
      <c r="V981" s="1"/>
      <c r="W981" s="1"/>
      <c r="X981" s="1"/>
      <c r="Y981" s="1"/>
      <c r="Z981" s="1"/>
    </row>
    <row r="982" spans="1:26" ht="24.75" customHeight="1">
      <c r="A982" s="1"/>
      <c r="B982" s="1"/>
      <c r="C982" s="1"/>
      <c r="D982" s="1"/>
      <c r="E982" s="1"/>
      <c r="F982" s="1"/>
      <c r="G982" s="1"/>
      <c r="H982" s="1"/>
      <c r="I982" s="1"/>
      <c r="J982" s="1"/>
      <c r="K982" s="1"/>
      <c r="L982" s="1"/>
      <c r="M982" s="1"/>
      <c r="N982" s="1"/>
      <c r="O982" s="1"/>
      <c r="P982" s="1"/>
      <c r="Q982" s="1"/>
      <c r="R982" s="1"/>
      <c r="S982" s="1"/>
      <c r="T982" s="1"/>
      <c r="U982" s="2"/>
      <c r="V982" s="1"/>
      <c r="W982" s="1"/>
      <c r="X982" s="1"/>
      <c r="Y982" s="1"/>
      <c r="Z982" s="1"/>
    </row>
    <row r="983" spans="1:26" ht="24.75" customHeight="1">
      <c r="A983" s="1"/>
      <c r="B983" s="1"/>
      <c r="C983" s="1"/>
      <c r="D983" s="1"/>
      <c r="E983" s="1"/>
      <c r="F983" s="1"/>
      <c r="G983" s="1"/>
      <c r="H983" s="1"/>
      <c r="I983" s="1"/>
      <c r="J983" s="1"/>
      <c r="K983" s="1"/>
      <c r="L983" s="1"/>
      <c r="M983" s="1"/>
      <c r="N983" s="1"/>
      <c r="O983" s="1"/>
      <c r="P983" s="1"/>
      <c r="Q983" s="1"/>
      <c r="R983" s="1"/>
      <c r="S983" s="1"/>
      <c r="T983" s="1"/>
      <c r="U983" s="2"/>
      <c r="V983" s="1"/>
      <c r="W983" s="1"/>
      <c r="X983" s="1"/>
      <c r="Y983" s="1"/>
      <c r="Z983" s="1"/>
    </row>
    <row r="984" spans="1:26" ht="24.75" customHeight="1">
      <c r="A984" s="1"/>
      <c r="B984" s="1"/>
      <c r="C984" s="1"/>
      <c r="D984" s="1"/>
      <c r="E984" s="1"/>
      <c r="F984" s="1"/>
      <c r="G984" s="1"/>
      <c r="H984" s="1"/>
      <c r="I984" s="1"/>
      <c r="J984" s="1"/>
      <c r="K984" s="1"/>
      <c r="L984" s="1"/>
      <c r="M984" s="1"/>
      <c r="N984" s="1"/>
      <c r="O984" s="1"/>
      <c r="P984" s="1"/>
      <c r="Q984" s="1"/>
      <c r="R984" s="1"/>
      <c r="S984" s="1"/>
      <c r="T984" s="1"/>
      <c r="U984" s="2"/>
      <c r="V984" s="1"/>
      <c r="W984" s="1"/>
      <c r="X984" s="1"/>
      <c r="Y984" s="1"/>
      <c r="Z984" s="1"/>
    </row>
    <row r="985" spans="1:26" ht="24.75" customHeight="1">
      <c r="A985" s="1"/>
      <c r="B985" s="1"/>
      <c r="C985" s="1"/>
      <c r="D985" s="1"/>
      <c r="E985" s="1"/>
      <c r="F985" s="1"/>
      <c r="G985" s="1"/>
      <c r="H985" s="1"/>
      <c r="I985" s="1"/>
      <c r="J985" s="1"/>
      <c r="K985" s="1"/>
      <c r="L985" s="1"/>
      <c r="M985" s="1"/>
      <c r="N985" s="1"/>
      <c r="O985" s="1"/>
      <c r="P985" s="1"/>
      <c r="Q985" s="1"/>
      <c r="R985" s="1"/>
      <c r="S985" s="1"/>
      <c r="T985" s="1"/>
      <c r="U985" s="2"/>
      <c r="V985" s="1"/>
      <c r="W985" s="1"/>
      <c r="X985" s="1"/>
      <c r="Y985" s="1"/>
      <c r="Z985" s="1"/>
    </row>
    <row r="986" spans="1:26" ht="24.75" customHeight="1">
      <c r="A986" s="1"/>
      <c r="B986" s="1"/>
      <c r="C986" s="1"/>
      <c r="D986" s="1"/>
      <c r="E986" s="1"/>
      <c r="F986" s="1"/>
      <c r="G986" s="1"/>
      <c r="H986" s="1"/>
      <c r="I986" s="1"/>
      <c r="J986" s="1"/>
      <c r="K986" s="1"/>
      <c r="L986" s="1"/>
      <c r="M986" s="1"/>
      <c r="N986" s="1"/>
      <c r="O986" s="1"/>
      <c r="P986" s="1"/>
      <c r="Q986" s="1"/>
      <c r="R986" s="1"/>
      <c r="S986" s="1"/>
      <c r="T986" s="1"/>
      <c r="U986" s="2"/>
      <c r="V986" s="1"/>
      <c r="W986" s="1"/>
      <c r="X986" s="1"/>
      <c r="Y986" s="1"/>
      <c r="Z986" s="1"/>
    </row>
    <row r="987" spans="1:26" ht="24.75" customHeight="1">
      <c r="A987" s="1"/>
      <c r="B987" s="1"/>
      <c r="C987" s="1"/>
      <c r="D987" s="1"/>
      <c r="E987" s="1"/>
      <c r="F987" s="1"/>
      <c r="G987" s="1"/>
      <c r="H987" s="1"/>
      <c r="I987" s="1"/>
      <c r="J987" s="1"/>
      <c r="K987" s="1"/>
      <c r="L987" s="1"/>
      <c r="M987" s="1"/>
      <c r="N987" s="1"/>
      <c r="O987" s="1"/>
      <c r="P987" s="1"/>
      <c r="Q987" s="1"/>
      <c r="R987" s="1"/>
      <c r="S987" s="1"/>
      <c r="T987" s="1"/>
      <c r="U987" s="2"/>
      <c r="V987" s="1"/>
      <c r="W987" s="1"/>
      <c r="X987" s="1"/>
      <c r="Y987" s="1"/>
      <c r="Z987" s="1"/>
    </row>
    <row r="988" spans="1:26" ht="24.75" customHeight="1">
      <c r="A988" s="1"/>
      <c r="B988" s="1"/>
      <c r="C988" s="1"/>
      <c r="D988" s="1"/>
      <c r="E988" s="1"/>
      <c r="F988" s="1"/>
      <c r="G988" s="1"/>
      <c r="H988" s="1"/>
      <c r="I988" s="1"/>
      <c r="J988" s="1"/>
      <c r="K988" s="1"/>
      <c r="L988" s="1"/>
      <c r="M988" s="1"/>
      <c r="N988" s="1"/>
      <c r="O988" s="1"/>
      <c r="P988" s="1"/>
      <c r="Q988" s="1"/>
      <c r="R988" s="1"/>
      <c r="S988" s="1"/>
      <c r="T988" s="1"/>
      <c r="U988" s="2"/>
      <c r="V988" s="1"/>
      <c r="W988" s="1"/>
      <c r="X988" s="1"/>
      <c r="Y988" s="1"/>
      <c r="Z988" s="1"/>
    </row>
    <row r="989" spans="1:26" ht="24.75" customHeight="1">
      <c r="A989" s="1"/>
      <c r="B989" s="1"/>
      <c r="C989" s="1"/>
      <c r="D989" s="1"/>
      <c r="E989" s="1"/>
      <c r="F989" s="1"/>
      <c r="G989" s="1"/>
      <c r="H989" s="1"/>
      <c r="I989" s="1"/>
      <c r="J989" s="1"/>
      <c r="K989" s="1"/>
      <c r="L989" s="1"/>
      <c r="M989" s="1"/>
      <c r="N989" s="1"/>
      <c r="O989" s="1"/>
      <c r="P989" s="1"/>
      <c r="Q989" s="1"/>
      <c r="R989" s="1"/>
      <c r="S989" s="1"/>
      <c r="T989" s="1"/>
      <c r="U989" s="2"/>
      <c r="V989" s="1"/>
      <c r="W989" s="1"/>
      <c r="X989" s="1"/>
      <c r="Y989" s="1"/>
      <c r="Z989" s="1"/>
    </row>
    <row r="990" spans="1:26" ht="24.75" customHeight="1">
      <c r="A990" s="1"/>
      <c r="B990" s="1"/>
      <c r="C990" s="1"/>
      <c r="D990" s="1"/>
      <c r="E990" s="1"/>
      <c r="F990" s="1"/>
      <c r="G990" s="1"/>
      <c r="H990" s="1"/>
      <c r="I990" s="1"/>
      <c r="J990" s="1"/>
      <c r="K990" s="1"/>
      <c r="L990" s="1"/>
      <c r="M990" s="1"/>
      <c r="N990" s="1"/>
      <c r="O990" s="1"/>
      <c r="P990" s="1"/>
      <c r="Q990" s="1"/>
      <c r="R990" s="1"/>
      <c r="S990" s="1"/>
      <c r="T990" s="1"/>
      <c r="U990" s="2"/>
      <c r="V990" s="1"/>
      <c r="W990" s="1"/>
      <c r="X990" s="1"/>
      <c r="Y990" s="1"/>
      <c r="Z990" s="1"/>
    </row>
    <row r="991" spans="1:26" ht="24.75" customHeight="1">
      <c r="A991" s="1"/>
      <c r="B991" s="1"/>
      <c r="C991" s="1"/>
      <c r="D991" s="1"/>
      <c r="E991" s="1"/>
      <c r="F991" s="1"/>
      <c r="G991" s="1"/>
      <c r="H991" s="1"/>
      <c r="I991" s="1"/>
      <c r="J991" s="1"/>
      <c r="K991" s="1"/>
      <c r="L991" s="1"/>
      <c r="M991" s="1"/>
      <c r="N991" s="1"/>
      <c r="O991" s="1"/>
      <c r="P991" s="1"/>
      <c r="Q991" s="1"/>
      <c r="R991" s="1"/>
      <c r="S991" s="1"/>
      <c r="T991" s="1"/>
      <c r="U991" s="2"/>
      <c r="V991" s="1"/>
      <c r="W991" s="1"/>
      <c r="X991" s="1"/>
      <c r="Y991" s="1"/>
      <c r="Z991" s="1"/>
    </row>
    <row r="992" spans="1:26" ht="24.75" customHeight="1">
      <c r="A992" s="1"/>
      <c r="B992" s="1"/>
      <c r="C992" s="1"/>
      <c r="D992" s="1"/>
      <c r="E992" s="1"/>
      <c r="F992" s="1"/>
      <c r="G992" s="1"/>
      <c r="H992" s="1"/>
      <c r="I992" s="1"/>
      <c r="J992" s="1"/>
      <c r="K992" s="1"/>
      <c r="L992" s="1"/>
      <c r="M992" s="1"/>
      <c r="N992" s="1"/>
      <c r="O992" s="1"/>
      <c r="P992" s="1"/>
      <c r="Q992" s="1"/>
      <c r="R992" s="1"/>
      <c r="S992" s="1"/>
      <c r="T992" s="1"/>
      <c r="U992" s="2"/>
      <c r="V992" s="1"/>
      <c r="W992" s="1"/>
      <c r="X992" s="1"/>
      <c r="Y992" s="1"/>
      <c r="Z992" s="1"/>
    </row>
    <row r="993" spans="1:26" ht="24.75" customHeight="1">
      <c r="A993" s="1"/>
      <c r="B993" s="1"/>
      <c r="C993" s="1"/>
      <c r="D993" s="1"/>
      <c r="E993" s="1"/>
      <c r="F993" s="1"/>
      <c r="G993" s="1"/>
      <c r="H993" s="1"/>
      <c r="I993" s="1"/>
      <c r="J993" s="1"/>
      <c r="K993" s="1"/>
      <c r="L993" s="1"/>
      <c r="M993" s="1"/>
      <c r="N993" s="1"/>
      <c r="O993" s="1"/>
      <c r="P993" s="1"/>
      <c r="Q993" s="1"/>
      <c r="R993" s="1"/>
      <c r="S993" s="1"/>
      <c r="T993" s="1"/>
      <c r="U993" s="2"/>
      <c r="V993" s="1"/>
      <c r="W993" s="1"/>
      <c r="X993" s="1"/>
      <c r="Y993" s="1"/>
      <c r="Z993" s="1"/>
    </row>
    <row r="994" spans="1:26" ht="24.75" customHeight="1">
      <c r="A994" s="1"/>
      <c r="B994" s="1"/>
      <c r="C994" s="1"/>
      <c r="D994" s="1"/>
      <c r="E994" s="1"/>
      <c r="F994" s="1"/>
      <c r="G994" s="1"/>
      <c r="H994" s="1"/>
      <c r="I994" s="1"/>
      <c r="J994" s="1"/>
      <c r="K994" s="1"/>
      <c r="L994" s="1"/>
      <c r="M994" s="1"/>
      <c r="N994" s="1"/>
      <c r="O994" s="1"/>
      <c r="P994" s="1"/>
      <c r="Q994" s="1"/>
      <c r="R994" s="1"/>
      <c r="S994" s="1"/>
      <c r="T994" s="1"/>
      <c r="U994" s="2"/>
      <c r="V994" s="1"/>
      <c r="W994" s="1"/>
      <c r="X994" s="1"/>
      <c r="Y994" s="1"/>
      <c r="Z994" s="1"/>
    </row>
    <row r="995" spans="1:26" ht="24.75" customHeight="1">
      <c r="A995" s="1"/>
      <c r="B995" s="1"/>
      <c r="C995" s="1"/>
      <c r="D995" s="1"/>
      <c r="E995" s="1"/>
      <c r="F995" s="1"/>
      <c r="G995" s="1"/>
      <c r="H995" s="1"/>
      <c r="I995" s="1"/>
      <c r="J995" s="1"/>
      <c r="K995" s="1"/>
      <c r="L995" s="1"/>
      <c r="M995" s="1"/>
      <c r="N995" s="1"/>
      <c r="O995" s="1"/>
      <c r="P995" s="1"/>
      <c r="Q995" s="1"/>
      <c r="R995" s="1"/>
      <c r="S995" s="1"/>
      <c r="T995" s="1"/>
      <c r="U995" s="2"/>
      <c r="V995" s="1"/>
      <c r="W995" s="1"/>
      <c r="X995" s="1"/>
      <c r="Y995" s="1"/>
      <c r="Z995" s="1"/>
    </row>
    <row r="996" spans="1:26" ht="24.75" customHeight="1">
      <c r="A996" s="1"/>
      <c r="B996" s="1"/>
      <c r="C996" s="1"/>
      <c r="D996" s="1"/>
      <c r="E996" s="1"/>
      <c r="F996" s="1"/>
      <c r="G996" s="1"/>
      <c r="H996" s="1"/>
      <c r="I996" s="1"/>
      <c r="J996" s="1"/>
      <c r="K996" s="1"/>
      <c r="L996" s="1"/>
      <c r="M996" s="1"/>
      <c r="N996" s="1"/>
      <c r="O996" s="1"/>
      <c r="P996" s="1"/>
      <c r="Q996" s="1"/>
      <c r="R996" s="1"/>
      <c r="S996" s="1"/>
      <c r="T996" s="1"/>
      <c r="U996" s="2"/>
      <c r="V996" s="1"/>
      <c r="W996" s="1"/>
      <c r="X996" s="1"/>
      <c r="Y996" s="1"/>
      <c r="Z996" s="1"/>
    </row>
    <row r="997" spans="1:26" ht="24.75" customHeight="1">
      <c r="A997" s="1"/>
      <c r="B997" s="1"/>
      <c r="C997" s="1"/>
      <c r="D997" s="1"/>
      <c r="E997" s="1"/>
      <c r="F997" s="1"/>
      <c r="G997" s="1"/>
      <c r="H997" s="1"/>
      <c r="I997" s="1"/>
      <c r="J997" s="1"/>
      <c r="K997" s="1"/>
      <c r="L997" s="1"/>
      <c r="M997" s="1"/>
      <c r="N997" s="1"/>
      <c r="O997" s="1"/>
      <c r="P997" s="1"/>
      <c r="Q997" s="1"/>
      <c r="R997" s="1"/>
      <c r="S997" s="1"/>
      <c r="T997" s="1"/>
      <c r="U997" s="2"/>
      <c r="V997" s="1"/>
      <c r="W997" s="1"/>
      <c r="X997" s="1"/>
      <c r="Y997" s="1"/>
      <c r="Z997" s="1"/>
    </row>
    <row r="998" spans="1:26" ht="24.75" customHeight="1">
      <c r="A998" s="1"/>
      <c r="B998" s="1"/>
      <c r="C998" s="1"/>
      <c r="D998" s="1"/>
      <c r="E998" s="1"/>
      <c r="F998" s="1"/>
      <c r="G998" s="1"/>
      <c r="H998" s="1"/>
      <c r="I998" s="1"/>
      <c r="J998" s="1"/>
      <c r="K998" s="1"/>
      <c r="L998" s="1"/>
      <c r="M998" s="1"/>
      <c r="N998" s="1"/>
      <c r="O998" s="1"/>
      <c r="P998" s="1"/>
      <c r="Q998" s="1"/>
      <c r="R998" s="1"/>
      <c r="S998" s="1"/>
      <c r="T998" s="1"/>
      <c r="U998" s="2"/>
      <c r="V998" s="1"/>
      <c r="W998" s="1"/>
      <c r="X998" s="1"/>
      <c r="Y998" s="1"/>
      <c r="Z998" s="1"/>
    </row>
    <row r="999" spans="1:26" ht="24.75" customHeight="1">
      <c r="A999" s="1"/>
      <c r="B999" s="1"/>
      <c r="C999" s="1"/>
      <c r="D999" s="1"/>
      <c r="E999" s="1"/>
      <c r="F999" s="1"/>
      <c r="G999" s="1"/>
      <c r="H999" s="1"/>
      <c r="I999" s="1"/>
      <c r="J999" s="1"/>
      <c r="K999" s="1"/>
      <c r="L999" s="1"/>
      <c r="M999" s="1"/>
      <c r="N999" s="1"/>
      <c r="O999" s="1"/>
      <c r="P999" s="1"/>
      <c r="Q999" s="1"/>
      <c r="R999" s="1"/>
      <c r="S999" s="1"/>
      <c r="T999" s="1"/>
      <c r="U999" s="2"/>
      <c r="V999" s="1"/>
      <c r="W999" s="1"/>
      <c r="X999" s="1"/>
      <c r="Y999" s="1"/>
      <c r="Z999" s="1"/>
    </row>
    <row r="1000" spans="1:26" ht="24.75" customHeight="1">
      <c r="A1000" s="1"/>
      <c r="B1000" s="1"/>
      <c r="C1000" s="1"/>
      <c r="D1000" s="1"/>
      <c r="E1000" s="1"/>
      <c r="F1000" s="1"/>
      <c r="G1000" s="1"/>
      <c r="H1000" s="1"/>
      <c r="I1000" s="1"/>
      <c r="J1000" s="1"/>
      <c r="K1000" s="1"/>
      <c r="L1000" s="1"/>
      <c r="M1000" s="1"/>
      <c r="N1000" s="1"/>
      <c r="O1000" s="1"/>
      <c r="P1000" s="1"/>
      <c r="Q1000" s="1"/>
      <c r="R1000" s="1"/>
      <c r="S1000" s="1"/>
      <c r="T1000" s="1"/>
      <c r="U1000" s="2"/>
      <c r="V1000" s="1"/>
      <c r="W1000" s="1"/>
      <c r="X1000" s="1"/>
      <c r="Y1000" s="1"/>
      <c r="Z1000" s="1"/>
    </row>
  </sheetData>
  <mergeCells count="101">
    <mergeCell ref="B204:B206"/>
    <mergeCell ref="C204:C206"/>
    <mergeCell ref="B209:D209"/>
    <mergeCell ref="A210:D210"/>
    <mergeCell ref="A135:A158"/>
    <mergeCell ref="B135:B136"/>
    <mergeCell ref="B138:B144"/>
    <mergeCell ref="B145:B146"/>
    <mergeCell ref="B147:B149"/>
    <mergeCell ref="B158:D158"/>
    <mergeCell ref="A159:A209"/>
    <mergeCell ref="C135:C136"/>
    <mergeCell ref="C138:C144"/>
    <mergeCell ref="C145:C146"/>
    <mergeCell ref="C147:C149"/>
    <mergeCell ref="C150:C153"/>
    <mergeCell ref="B173:B179"/>
    <mergeCell ref="C173:C179"/>
    <mergeCell ref="B180:B183"/>
    <mergeCell ref="C180:C183"/>
    <mergeCell ref="B184:B186"/>
    <mergeCell ref="C184:C186"/>
    <mergeCell ref="B187:B192"/>
    <mergeCell ref="C187:C192"/>
    <mergeCell ref="B150:B153"/>
    <mergeCell ref="B159:B162"/>
    <mergeCell ref="C159:C162"/>
    <mergeCell ref="B163:B167"/>
    <mergeCell ref="C163:C167"/>
    <mergeCell ref="B168:B172"/>
    <mergeCell ref="C168:C172"/>
    <mergeCell ref="B202:B203"/>
    <mergeCell ref="C202:C203"/>
    <mergeCell ref="B194:B199"/>
    <mergeCell ref="C194:C199"/>
    <mergeCell ref="B200:B201"/>
    <mergeCell ref="C200:C201"/>
    <mergeCell ref="C94:C103"/>
    <mergeCell ref="B104:B105"/>
    <mergeCell ref="C104:C105"/>
    <mergeCell ref="B106:B110"/>
    <mergeCell ref="C106:C110"/>
    <mergeCell ref="B111:B113"/>
    <mergeCell ref="C111:C113"/>
    <mergeCell ref="B94:B103"/>
    <mergeCell ref="A94:A134"/>
    <mergeCell ref="B114:B118"/>
    <mergeCell ref="C114:C118"/>
    <mergeCell ref="B119:B120"/>
    <mergeCell ref="C119:C120"/>
    <mergeCell ref="B122:B125"/>
    <mergeCell ref="C122:C125"/>
    <mergeCell ref="B128:B130"/>
    <mergeCell ref="C128:C130"/>
    <mergeCell ref="B131:B132"/>
    <mergeCell ref="C131:C132"/>
    <mergeCell ref="B134:D134"/>
    <mergeCell ref="B79:B85"/>
    <mergeCell ref="C79:C85"/>
    <mergeCell ref="B75:B78"/>
    <mergeCell ref="B57:B66"/>
    <mergeCell ref="C57:C66"/>
    <mergeCell ref="A69:A93"/>
    <mergeCell ref="B70:B74"/>
    <mergeCell ref="C70:C74"/>
    <mergeCell ref="C75:C78"/>
    <mergeCell ref="B86:B89"/>
    <mergeCell ref="C86:C89"/>
    <mergeCell ref="B93:D93"/>
    <mergeCell ref="B47:B56"/>
    <mergeCell ref="C47:C56"/>
    <mergeCell ref="C6:C23"/>
    <mergeCell ref="B24:B25"/>
    <mergeCell ref="C24:C25"/>
    <mergeCell ref="Q4:Q5"/>
    <mergeCell ref="R4:R5"/>
    <mergeCell ref="S4:S5"/>
    <mergeCell ref="A1:E1"/>
    <mergeCell ref="A4:A5"/>
    <mergeCell ref="C4:C5"/>
    <mergeCell ref="D4:D5"/>
    <mergeCell ref="E4:E5"/>
    <mergeCell ref="F4:F5"/>
    <mergeCell ref="A6:A68"/>
    <mergeCell ref="B68:D68"/>
    <mergeCell ref="B4:B5"/>
    <mergeCell ref="B6:B23"/>
    <mergeCell ref="B26:B36"/>
    <mergeCell ref="C26:C36"/>
    <mergeCell ref="B37:B39"/>
    <mergeCell ref="C37:C39"/>
    <mergeCell ref="B40:B46"/>
    <mergeCell ref="U4:U5"/>
    <mergeCell ref="G4:H4"/>
    <mergeCell ref="I4:I5"/>
    <mergeCell ref="J4:L4"/>
    <mergeCell ref="M4:M5"/>
    <mergeCell ref="N4:N5"/>
    <mergeCell ref="O4:O5"/>
    <mergeCell ref="P4:P5"/>
    <mergeCell ref="C40:C46"/>
  </mergeCells>
  <conditionalFormatting sqref="U94">
    <cfRule type="notContainsBlanks" dxfId="0" priority="1">
      <formula>LEN(TRIM(U94))&gt;0</formula>
    </cfRule>
  </conditionalFormatting>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dimension ref="A1:Z1000"/>
  <sheetViews>
    <sheetView workbookViewId="0">
      <pane xSplit="3" ySplit="5" topLeftCell="D81" activePane="bottomRight" state="frozen"/>
      <selection pane="topRight" activeCell="D1" sqref="D1"/>
      <selection pane="bottomLeft" activeCell="A6" sqref="A6"/>
      <selection pane="bottomRight" activeCell="N69" sqref="N69"/>
    </sheetView>
  </sheetViews>
  <sheetFormatPr defaultColWidth="14.42578125" defaultRowHeight="15" customHeight="1"/>
  <cols>
    <col min="1" max="1" width="6.7109375" style="3" customWidth="1"/>
    <col min="2" max="2" width="7.28515625" style="3" customWidth="1"/>
    <col min="3" max="3" width="11.28515625" style="3" customWidth="1"/>
    <col min="4" max="4" width="5.85546875" style="3" customWidth="1"/>
    <col min="5" max="5" width="35.85546875" style="3" customWidth="1"/>
    <col min="6" max="6" width="7.42578125" style="3" customWidth="1"/>
    <col min="7" max="7" width="10.7109375" style="3" customWidth="1"/>
    <col min="8" max="8" width="8.28515625" style="3" customWidth="1"/>
    <col min="9" max="9" width="10.5703125" style="3" customWidth="1"/>
    <col min="10" max="10" width="11.85546875" style="3" customWidth="1"/>
    <col min="11" max="11" width="9.28515625" style="3" customWidth="1"/>
    <col min="12" max="12" width="6.7109375" style="3" customWidth="1"/>
    <col min="13" max="13" width="9" style="3" customWidth="1"/>
    <col min="14" max="14" width="9.7109375" style="3" customWidth="1"/>
    <col min="15" max="15" width="7.140625" style="3" customWidth="1"/>
    <col min="16" max="16" width="11" style="3" customWidth="1"/>
    <col min="17" max="17" width="8.28515625" style="3" customWidth="1"/>
    <col min="18" max="18" width="9.5703125" style="3" customWidth="1"/>
    <col min="19" max="19" width="10.42578125" style="3" customWidth="1"/>
    <col min="20" max="20" width="15.7109375" style="3" customWidth="1"/>
    <col min="21" max="21" width="42.42578125" style="61" customWidth="1"/>
    <col min="22" max="16384" width="14.42578125" style="3"/>
  </cols>
  <sheetData>
    <row r="1" spans="1:26" ht="24.75" customHeight="1">
      <c r="A1" s="172" t="s">
        <v>379</v>
      </c>
      <c r="B1" s="173"/>
      <c r="C1" s="173"/>
      <c r="D1" s="173"/>
      <c r="E1" s="174"/>
      <c r="F1" s="1"/>
      <c r="G1" s="1"/>
      <c r="H1" s="1"/>
      <c r="I1" s="1"/>
      <c r="J1" s="1"/>
      <c r="K1" s="1"/>
      <c r="L1" s="1"/>
      <c r="M1" s="1"/>
      <c r="N1" s="1"/>
      <c r="O1" s="1"/>
      <c r="P1" s="1"/>
      <c r="Q1" s="1"/>
      <c r="R1" s="1"/>
      <c r="S1" s="1"/>
      <c r="T1" s="1"/>
      <c r="U1" s="2"/>
      <c r="V1" s="1"/>
      <c r="W1" s="1"/>
      <c r="X1" s="1"/>
      <c r="Y1" s="1"/>
      <c r="Z1" s="1"/>
    </row>
    <row r="2" spans="1:26" ht="24.75" hidden="1" customHeight="1">
      <c r="A2" s="1"/>
      <c r="B2" s="1"/>
      <c r="C2" s="1"/>
      <c r="D2" s="1"/>
      <c r="E2" s="1"/>
      <c r="F2" s="1"/>
      <c r="G2" s="1"/>
      <c r="H2" s="1"/>
      <c r="I2" s="1"/>
      <c r="J2" s="1"/>
      <c r="K2" s="1"/>
      <c r="L2" s="1"/>
      <c r="M2" s="1"/>
      <c r="N2" s="1"/>
      <c r="O2" s="1"/>
      <c r="P2" s="1"/>
      <c r="Q2" s="1"/>
      <c r="R2" s="1"/>
      <c r="S2" s="1"/>
      <c r="T2" s="1"/>
      <c r="U2" s="2"/>
      <c r="V2" s="1"/>
      <c r="W2" s="1"/>
      <c r="X2" s="1"/>
      <c r="Y2" s="1"/>
      <c r="Z2" s="1"/>
    </row>
    <row r="3" spans="1:26" ht="24.75" hidden="1" customHeight="1">
      <c r="A3" s="1"/>
      <c r="B3" s="4"/>
      <c r="C3" s="4"/>
      <c r="D3" s="4"/>
      <c r="E3" s="4"/>
      <c r="F3" s="4"/>
      <c r="G3" s="4"/>
      <c r="H3" s="4"/>
      <c r="I3" s="4"/>
      <c r="J3" s="4"/>
      <c r="K3" s="4"/>
      <c r="L3" s="4"/>
      <c r="M3" s="4"/>
      <c r="N3" s="4"/>
      <c r="O3" s="4"/>
      <c r="P3" s="4"/>
      <c r="Q3" s="4"/>
      <c r="R3" s="4"/>
      <c r="S3" s="4"/>
      <c r="T3" s="4"/>
      <c r="U3" s="60" t="s">
        <v>1</v>
      </c>
      <c r="V3" s="1"/>
      <c r="W3" s="1"/>
      <c r="X3" s="1"/>
      <c r="Y3" s="1"/>
      <c r="Z3" s="1"/>
    </row>
    <row r="4" spans="1:26" ht="24.75" customHeight="1">
      <c r="A4" s="168" t="s">
        <v>2</v>
      </c>
      <c r="B4" s="168" t="s">
        <v>3</v>
      </c>
      <c r="C4" s="168" t="s">
        <v>4</v>
      </c>
      <c r="D4" s="168" t="s">
        <v>5</v>
      </c>
      <c r="E4" s="168" t="s">
        <v>6</v>
      </c>
      <c r="F4" s="168" t="s">
        <v>7</v>
      </c>
      <c r="G4" s="166" t="s">
        <v>8</v>
      </c>
      <c r="H4" s="167"/>
      <c r="I4" s="168" t="s">
        <v>9</v>
      </c>
      <c r="J4" s="166" t="s">
        <v>10</v>
      </c>
      <c r="K4" s="170"/>
      <c r="L4" s="167"/>
      <c r="M4" s="168" t="s">
        <v>570</v>
      </c>
      <c r="N4" s="168" t="s">
        <v>11</v>
      </c>
      <c r="O4" s="168" t="s">
        <v>12</v>
      </c>
      <c r="P4" s="168" t="s">
        <v>380</v>
      </c>
      <c r="Q4" s="168" t="s">
        <v>14</v>
      </c>
      <c r="R4" s="168" t="s">
        <v>15</v>
      </c>
      <c r="S4" s="168" t="s">
        <v>16</v>
      </c>
      <c r="T4" s="5" t="s">
        <v>597</v>
      </c>
      <c r="U4" s="164" t="s">
        <v>17</v>
      </c>
      <c r="V4" s="1"/>
      <c r="W4" s="1"/>
      <c r="X4" s="1"/>
      <c r="Y4" s="1"/>
      <c r="Z4" s="1"/>
    </row>
    <row r="5" spans="1:26" ht="24.75" customHeight="1">
      <c r="A5" s="169"/>
      <c r="B5" s="169"/>
      <c r="C5" s="169"/>
      <c r="D5" s="169"/>
      <c r="E5" s="169"/>
      <c r="F5" s="169"/>
      <c r="G5" s="5" t="s">
        <v>18</v>
      </c>
      <c r="H5" s="5" t="s">
        <v>19</v>
      </c>
      <c r="I5" s="169"/>
      <c r="J5" s="5" t="s">
        <v>571</v>
      </c>
      <c r="K5" s="5" t="s">
        <v>20</v>
      </c>
      <c r="L5" s="5" t="s">
        <v>21</v>
      </c>
      <c r="M5" s="169"/>
      <c r="N5" s="169"/>
      <c r="O5" s="169"/>
      <c r="P5" s="169"/>
      <c r="Q5" s="169"/>
      <c r="R5" s="169"/>
      <c r="S5" s="169"/>
      <c r="T5" s="5" t="s">
        <v>22</v>
      </c>
      <c r="U5" s="165"/>
      <c r="V5" s="1"/>
      <c r="W5" s="1"/>
      <c r="X5" s="1"/>
      <c r="Y5" s="1"/>
      <c r="Z5" s="1"/>
    </row>
    <row r="6" spans="1:26" ht="24.75" customHeight="1">
      <c r="A6" s="175" t="s">
        <v>23</v>
      </c>
      <c r="B6" s="168" t="s">
        <v>24</v>
      </c>
      <c r="C6" s="168" t="s">
        <v>25</v>
      </c>
      <c r="D6" s="5">
        <v>1</v>
      </c>
      <c r="E6" s="5" t="s">
        <v>26</v>
      </c>
      <c r="F6" s="5"/>
      <c r="G6" s="5"/>
      <c r="H6" s="5"/>
      <c r="I6" s="5"/>
      <c r="J6" s="5"/>
      <c r="K6" s="5"/>
      <c r="L6" s="5"/>
      <c r="M6" s="5"/>
      <c r="N6" s="5"/>
      <c r="O6" s="5"/>
      <c r="P6" s="5"/>
      <c r="Q6" s="5"/>
      <c r="R6" s="5"/>
      <c r="S6" s="5"/>
      <c r="T6" s="6">
        <f t="shared" ref="T6:T69" si="0">SUM(F6:S6)</f>
        <v>0</v>
      </c>
      <c r="U6" s="9"/>
      <c r="V6" s="1"/>
      <c r="W6" s="1"/>
      <c r="X6" s="1"/>
      <c r="Y6" s="1"/>
      <c r="Z6" s="1"/>
    </row>
    <row r="7" spans="1:26" ht="24.75" customHeight="1">
      <c r="A7" s="171"/>
      <c r="B7" s="171"/>
      <c r="C7" s="171"/>
      <c r="D7" s="5">
        <v>2</v>
      </c>
      <c r="E7" s="5" t="s">
        <v>27</v>
      </c>
      <c r="F7" s="5"/>
      <c r="G7" s="5"/>
      <c r="H7" s="5"/>
      <c r="I7" s="5"/>
      <c r="J7" s="5"/>
      <c r="K7" s="6">
        <v>143.61000000000001</v>
      </c>
      <c r="L7" s="5"/>
      <c r="M7" s="5"/>
      <c r="N7" s="5"/>
      <c r="O7" s="5"/>
      <c r="P7" s="8">
        <v>2</v>
      </c>
      <c r="Q7" s="5"/>
      <c r="R7" s="5"/>
      <c r="S7" s="5"/>
      <c r="T7" s="6">
        <f t="shared" si="0"/>
        <v>145.61000000000001</v>
      </c>
      <c r="U7" s="9" t="s">
        <v>28</v>
      </c>
      <c r="V7" s="1"/>
      <c r="W7" s="1"/>
      <c r="X7" s="1"/>
      <c r="Y7" s="1"/>
      <c r="Z7" s="1"/>
    </row>
    <row r="8" spans="1:26" ht="24.75" customHeight="1">
      <c r="A8" s="171"/>
      <c r="B8" s="171"/>
      <c r="C8" s="171"/>
      <c r="D8" s="5">
        <v>3</v>
      </c>
      <c r="E8" s="5" t="s">
        <v>29</v>
      </c>
      <c r="F8" s="8">
        <v>98.28</v>
      </c>
      <c r="G8" s="5"/>
      <c r="H8" s="5"/>
      <c r="I8" s="5"/>
      <c r="J8" s="5"/>
      <c r="K8" s="5"/>
      <c r="L8" s="5"/>
      <c r="M8" s="5"/>
      <c r="N8" s="5"/>
      <c r="O8" s="8">
        <v>77.92</v>
      </c>
      <c r="P8" s="5"/>
      <c r="Q8" s="5"/>
      <c r="R8" s="8">
        <v>4.5199999999999996</v>
      </c>
      <c r="S8" s="5"/>
      <c r="T8" s="6">
        <f t="shared" si="0"/>
        <v>180.72</v>
      </c>
      <c r="U8" s="9" t="s">
        <v>30</v>
      </c>
      <c r="V8" s="1"/>
      <c r="W8" s="1"/>
      <c r="X8" s="1"/>
      <c r="Y8" s="1"/>
      <c r="Z8" s="1"/>
    </row>
    <row r="9" spans="1:26" ht="24.75" customHeight="1">
      <c r="A9" s="171"/>
      <c r="B9" s="171"/>
      <c r="C9" s="171"/>
      <c r="D9" s="5">
        <v>4</v>
      </c>
      <c r="E9" s="5" t="s">
        <v>31</v>
      </c>
      <c r="F9" s="5"/>
      <c r="G9" s="5"/>
      <c r="H9" s="5"/>
      <c r="I9" s="5"/>
      <c r="J9" s="5"/>
      <c r="K9" s="5"/>
      <c r="L9" s="5"/>
      <c r="M9" s="6">
        <v>48.95</v>
      </c>
      <c r="N9" s="5"/>
      <c r="O9" s="5"/>
      <c r="P9" s="8">
        <f>74.25+2.45</f>
        <v>76.7</v>
      </c>
      <c r="Q9" s="5"/>
      <c r="R9" s="5"/>
      <c r="S9" s="5"/>
      <c r="T9" s="6">
        <f t="shared" si="0"/>
        <v>125.65</v>
      </c>
      <c r="U9" s="9" t="s">
        <v>32</v>
      </c>
      <c r="V9" s="1"/>
      <c r="W9" s="1"/>
      <c r="X9" s="1"/>
      <c r="Y9" s="1"/>
      <c r="Z9" s="1"/>
    </row>
    <row r="10" spans="1:26" ht="24.75" customHeight="1">
      <c r="A10" s="171"/>
      <c r="B10" s="171"/>
      <c r="C10" s="171"/>
      <c r="D10" s="5">
        <v>5</v>
      </c>
      <c r="E10" s="5" t="s">
        <v>33</v>
      </c>
      <c r="F10" s="5"/>
      <c r="G10" s="5"/>
      <c r="H10" s="5"/>
      <c r="I10" s="5"/>
      <c r="J10" s="5"/>
      <c r="K10" s="5"/>
      <c r="L10" s="5"/>
      <c r="M10" s="5"/>
      <c r="N10" s="5"/>
      <c r="O10" s="5"/>
      <c r="P10" s="6">
        <v>81.59</v>
      </c>
      <c r="Q10" s="5"/>
      <c r="R10" s="5"/>
      <c r="S10" s="5"/>
      <c r="T10" s="6">
        <f t="shared" si="0"/>
        <v>81.59</v>
      </c>
      <c r="U10" s="9" t="s">
        <v>34</v>
      </c>
      <c r="V10" s="1"/>
      <c r="W10" s="1"/>
      <c r="X10" s="1"/>
      <c r="Y10" s="1"/>
      <c r="Z10" s="1"/>
    </row>
    <row r="11" spans="1:26" ht="24.75" customHeight="1">
      <c r="A11" s="171"/>
      <c r="B11" s="171"/>
      <c r="C11" s="171"/>
      <c r="D11" s="5">
        <v>6</v>
      </c>
      <c r="E11" s="5" t="s">
        <v>35</v>
      </c>
      <c r="F11" s="5"/>
      <c r="G11" s="5"/>
      <c r="H11" s="5"/>
      <c r="I11" s="5"/>
      <c r="J11" s="5"/>
      <c r="K11" s="5"/>
      <c r="L11" s="5"/>
      <c r="M11" s="5"/>
      <c r="N11" s="8"/>
      <c r="O11" s="5"/>
      <c r="P11" s="8">
        <v>1</v>
      </c>
      <c r="Q11" s="5"/>
      <c r="R11" s="5"/>
      <c r="S11" s="5"/>
      <c r="T11" s="6">
        <f t="shared" si="0"/>
        <v>1</v>
      </c>
      <c r="U11" s="9" t="s">
        <v>36</v>
      </c>
      <c r="V11" s="1"/>
      <c r="W11" s="1"/>
      <c r="X11" s="1"/>
      <c r="Y11" s="1"/>
      <c r="Z11" s="1"/>
    </row>
    <row r="12" spans="1:26" ht="24.75" customHeight="1">
      <c r="A12" s="171"/>
      <c r="B12" s="171"/>
      <c r="C12" s="171"/>
      <c r="D12" s="5">
        <v>7</v>
      </c>
      <c r="E12" s="5" t="s">
        <v>37</v>
      </c>
      <c r="F12" s="5"/>
      <c r="G12" s="5"/>
      <c r="H12" s="5"/>
      <c r="I12" s="5"/>
      <c r="J12" s="5"/>
      <c r="K12" s="5"/>
      <c r="L12" s="5"/>
      <c r="M12" s="5"/>
      <c r="N12" s="5"/>
      <c r="O12" s="5"/>
      <c r="P12" s="8">
        <v>0.06</v>
      </c>
      <c r="Q12" s="8"/>
      <c r="R12" s="5"/>
      <c r="S12" s="5"/>
      <c r="T12" s="6">
        <f t="shared" si="0"/>
        <v>0.06</v>
      </c>
      <c r="U12" s="9" t="s">
        <v>38</v>
      </c>
      <c r="V12" s="1"/>
      <c r="W12" s="1"/>
      <c r="X12" s="1"/>
      <c r="Y12" s="1"/>
      <c r="Z12" s="1"/>
    </row>
    <row r="13" spans="1:26" ht="24.75" customHeight="1">
      <c r="A13" s="171"/>
      <c r="B13" s="171"/>
      <c r="C13" s="171"/>
      <c r="D13" s="5">
        <v>8</v>
      </c>
      <c r="E13" s="5" t="s">
        <v>39</v>
      </c>
      <c r="F13" s="5"/>
      <c r="G13" s="5"/>
      <c r="H13" s="5"/>
      <c r="I13" s="5"/>
      <c r="J13" s="5"/>
      <c r="K13" s="5"/>
      <c r="L13" s="5"/>
      <c r="M13" s="5"/>
      <c r="N13" s="6"/>
      <c r="O13" s="5"/>
      <c r="P13" s="5"/>
      <c r="Q13" s="5"/>
      <c r="R13" s="5"/>
      <c r="S13" s="5"/>
      <c r="T13" s="6">
        <f t="shared" si="0"/>
        <v>0</v>
      </c>
      <c r="U13" s="9"/>
      <c r="V13" s="1"/>
      <c r="W13" s="1"/>
      <c r="X13" s="1"/>
      <c r="Y13" s="1"/>
      <c r="Z13" s="1"/>
    </row>
    <row r="14" spans="1:26" ht="24.75" customHeight="1">
      <c r="A14" s="171"/>
      <c r="B14" s="171"/>
      <c r="C14" s="171"/>
      <c r="D14" s="5">
        <v>9</v>
      </c>
      <c r="E14" s="5" t="s">
        <v>40</v>
      </c>
      <c r="F14" s="5"/>
      <c r="G14" s="5"/>
      <c r="H14" s="5"/>
      <c r="I14" s="5"/>
      <c r="J14" s="5"/>
      <c r="K14" s="5"/>
      <c r="L14" s="5"/>
      <c r="M14" s="5"/>
      <c r="N14" s="6">
        <v>0.18</v>
      </c>
      <c r="O14" s="5"/>
      <c r="P14" s="5"/>
      <c r="Q14" s="8"/>
      <c r="R14" s="5"/>
      <c r="S14" s="8">
        <v>0.66</v>
      </c>
      <c r="T14" s="6">
        <f t="shared" si="0"/>
        <v>0.84000000000000008</v>
      </c>
      <c r="U14" s="9" t="s">
        <v>41</v>
      </c>
      <c r="V14" s="1"/>
      <c r="W14" s="1"/>
      <c r="X14" s="1"/>
      <c r="Y14" s="1"/>
      <c r="Z14" s="1"/>
    </row>
    <row r="15" spans="1:26" ht="24.75" customHeight="1">
      <c r="A15" s="171"/>
      <c r="B15" s="171"/>
      <c r="C15" s="171"/>
      <c r="D15" s="5">
        <v>10</v>
      </c>
      <c r="E15" s="5" t="s">
        <v>42</v>
      </c>
      <c r="F15" s="5"/>
      <c r="G15" s="5"/>
      <c r="H15" s="5"/>
      <c r="I15" s="6"/>
      <c r="J15" s="5"/>
      <c r="K15" s="5"/>
      <c r="L15" s="5"/>
      <c r="M15" s="5"/>
      <c r="N15" s="6">
        <v>0.45750000000000002</v>
      </c>
      <c r="O15" s="5"/>
      <c r="P15" s="5"/>
      <c r="Q15" s="5"/>
      <c r="R15" s="5"/>
      <c r="S15" s="5"/>
      <c r="T15" s="6">
        <f t="shared" si="0"/>
        <v>0.45750000000000002</v>
      </c>
      <c r="U15" s="10" t="s">
        <v>43</v>
      </c>
      <c r="V15" s="1"/>
      <c r="W15" s="1"/>
      <c r="X15" s="1"/>
      <c r="Y15" s="1"/>
      <c r="Z15" s="1"/>
    </row>
    <row r="16" spans="1:26" ht="24.75" customHeight="1">
      <c r="A16" s="171"/>
      <c r="B16" s="171"/>
      <c r="C16" s="171"/>
      <c r="D16" s="5">
        <v>11</v>
      </c>
      <c r="E16" s="5" t="s">
        <v>44</v>
      </c>
      <c r="F16" s="5"/>
      <c r="G16" s="8"/>
      <c r="H16" s="8"/>
      <c r="I16" s="5"/>
      <c r="J16" s="5"/>
      <c r="K16" s="5"/>
      <c r="L16" s="5"/>
      <c r="M16" s="5"/>
      <c r="N16" s="5"/>
      <c r="O16" s="5"/>
      <c r="P16" s="5"/>
      <c r="Q16" s="5"/>
      <c r="R16" s="5"/>
      <c r="S16" s="5"/>
      <c r="T16" s="6">
        <f t="shared" si="0"/>
        <v>0</v>
      </c>
      <c r="U16" s="9"/>
      <c r="V16" s="1"/>
      <c r="W16" s="1"/>
      <c r="X16" s="1"/>
      <c r="Y16" s="1"/>
      <c r="Z16" s="1"/>
    </row>
    <row r="17" spans="1:26" ht="24.75" customHeight="1">
      <c r="A17" s="171"/>
      <c r="B17" s="171"/>
      <c r="C17" s="171"/>
      <c r="D17" s="5">
        <v>12</v>
      </c>
      <c r="E17" s="5" t="s">
        <v>45</v>
      </c>
      <c r="F17" s="5"/>
      <c r="G17" s="5"/>
      <c r="H17" s="5"/>
      <c r="I17" s="5"/>
      <c r="J17" s="5"/>
      <c r="K17" s="5"/>
      <c r="L17" s="5"/>
      <c r="M17" s="5"/>
      <c r="N17" s="6">
        <f>3.495</f>
        <v>3.4950000000000001</v>
      </c>
      <c r="O17" s="5"/>
      <c r="P17" s="5"/>
      <c r="Q17" s="5"/>
      <c r="R17" s="5"/>
      <c r="S17" s="5"/>
      <c r="T17" s="6">
        <f t="shared" si="0"/>
        <v>3.4950000000000001</v>
      </c>
      <c r="U17" s="9" t="s">
        <v>46</v>
      </c>
      <c r="V17" s="1"/>
      <c r="W17" s="1"/>
      <c r="X17" s="1"/>
      <c r="Y17" s="1"/>
      <c r="Z17" s="1"/>
    </row>
    <row r="18" spans="1:26" ht="24.75" customHeight="1">
      <c r="A18" s="171"/>
      <c r="B18" s="171"/>
      <c r="C18" s="171"/>
      <c r="D18" s="5">
        <v>13</v>
      </c>
      <c r="E18" s="5" t="s">
        <v>47</v>
      </c>
      <c r="F18" s="5"/>
      <c r="G18" s="5"/>
      <c r="H18" s="5"/>
      <c r="I18" s="5"/>
      <c r="J18" s="5"/>
      <c r="K18" s="5"/>
      <c r="L18" s="5"/>
      <c r="M18" s="5"/>
      <c r="N18" s="5"/>
      <c r="O18" s="5"/>
      <c r="P18" s="8"/>
      <c r="Q18" s="5"/>
      <c r="R18" s="5"/>
      <c r="S18" s="5"/>
      <c r="T18" s="6">
        <f t="shared" si="0"/>
        <v>0</v>
      </c>
      <c r="U18" s="9"/>
      <c r="V18" s="1"/>
      <c r="W18" s="1"/>
      <c r="X18" s="1"/>
      <c r="Y18" s="1"/>
      <c r="Z18" s="1"/>
    </row>
    <row r="19" spans="1:26" ht="24.75" customHeight="1">
      <c r="A19" s="171"/>
      <c r="B19" s="171"/>
      <c r="C19" s="171"/>
      <c r="D19" s="5">
        <v>14</v>
      </c>
      <c r="E19" s="5" t="s">
        <v>48</v>
      </c>
      <c r="F19" s="5"/>
      <c r="G19" s="5"/>
      <c r="H19" s="5"/>
      <c r="I19" s="5"/>
      <c r="J19" s="5"/>
      <c r="K19" s="5"/>
      <c r="L19" s="5"/>
      <c r="M19" s="5"/>
      <c r="N19" s="5"/>
      <c r="O19" s="5"/>
      <c r="P19" s="5"/>
      <c r="Q19" s="5"/>
      <c r="R19" s="5"/>
      <c r="S19" s="5"/>
      <c r="T19" s="6">
        <f t="shared" si="0"/>
        <v>0</v>
      </c>
      <c r="U19" s="9"/>
      <c r="V19" s="1"/>
      <c r="W19" s="1"/>
      <c r="X19" s="1"/>
      <c r="Y19" s="1"/>
      <c r="Z19" s="1"/>
    </row>
    <row r="20" spans="1:26" ht="24.75" customHeight="1">
      <c r="A20" s="171"/>
      <c r="B20" s="171"/>
      <c r="C20" s="171"/>
      <c r="D20" s="5">
        <v>15</v>
      </c>
      <c r="E20" s="5" t="s">
        <v>49</v>
      </c>
      <c r="F20" s="5"/>
      <c r="G20" s="5"/>
      <c r="H20" s="5"/>
      <c r="I20" s="8">
        <v>1.57</v>
      </c>
      <c r="J20" s="5"/>
      <c r="K20" s="5"/>
      <c r="L20" s="5"/>
      <c r="M20" s="5"/>
      <c r="N20" s="6">
        <v>0.74785000000000001</v>
      </c>
      <c r="O20" s="5"/>
      <c r="P20" s="8"/>
      <c r="Q20" s="8"/>
      <c r="R20" s="5"/>
      <c r="S20" s="5"/>
      <c r="T20" s="6">
        <f t="shared" si="0"/>
        <v>2.31785</v>
      </c>
      <c r="U20" s="9" t="s">
        <v>50</v>
      </c>
      <c r="V20" s="1"/>
      <c r="W20" s="1"/>
      <c r="X20" s="1"/>
      <c r="Y20" s="1"/>
      <c r="Z20" s="1"/>
    </row>
    <row r="21" spans="1:26" ht="24.75" customHeight="1">
      <c r="A21" s="171"/>
      <c r="B21" s="171"/>
      <c r="C21" s="171"/>
      <c r="D21" s="5">
        <v>16</v>
      </c>
      <c r="E21" s="5" t="s">
        <v>51</v>
      </c>
      <c r="F21" s="5"/>
      <c r="G21" s="5"/>
      <c r="H21" s="5"/>
      <c r="I21" s="5"/>
      <c r="J21" s="5"/>
      <c r="K21" s="5"/>
      <c r="L21" s="5"/>
      <c r="M21" s="5"/>
      <c r="N21" s="5"/>
      <c r="O21" s="5"/>
      <c r="P21" s="5"/>
      <c r="Q21" s="5"/>
      <c r="R21" s="5"/>
      <c r="S21" s="5"/>
      <c r="T21" s="6">
        <f t="shared" si="0"/>
        <v>0</v>
      </c>
      <c r="U21" s="9"/>
      <c r="V21" s="1"/>
      <c r="W21" s="1"/>
      <c r="X21" s="1"/>
      <c r="Y21" s="1"/>
      <c r="Z21" s="1"/>
    </row>
    <row r="22" spans="1:26" ht="24.75" customHeight="1">
      <c r="A22" s="171"/>
      <c r="B22" s="171"/>
      <c r="C22" s="171"/>
      <c r="D22" s="5">
        <v>17</v>
      </c>
      <c r="E22" s="5" t="s">
        <v>52</v>
      </c>
      <c r="F22" s="5"/>
      <c r="G22" s="5"/>
      <c r="H22" s="5"/>
      <c r="I22" s="6"/>
      <c r="J22" s="5"/>
      <c r="K22" s="5"/>
      <c r="L22" s="5"/>
      <c r="M22" s="5"/>
      <c r="N22" s="6">
        <v>1.179</v>
      </c>
      <c r="O22" s="5"/>
      <c r="P22" s="8">
        <v>0.3</v>
      </c>
      <c r="Q22" s="6">
        <v>2.5</v>
      </c>
      <c r="R22" s="5"/>
      <c r="S22" s="8"/>
      <c r="T22" s="6">
        <f t="shared" si="0"/>
        <v>3.9790000000000001</v>
      </c>
      <c r="U22" s="9" t="s">
        <v>461</v>
      </c>
      <c r="V22" s="1"/>
      <c r="W22" s="1"/>
      <c r="X22" s="1"/>
      <c r="Y22" s="1"/>
      <c r="Z22" s="1"/>
    </row>
    <row r="23" spans="1:26" ht="24.75" customHeight="1">
      <c r="A23" s="171"/>
      <c r="B23" s="169"/>
      <c r="C23" s="169"/>
      <c r="D23" s="5">
        <v>18</v>
      </c>
      <c r="E23" s="5" t="s">
        <v>54</v>
      </c>
      <c r="F23" s="5"/>
      <c r="G23" s="5"/>
      <c r="H23" s="5"/>
      <c r="I23" s="5"/>
      <c r="J23" s="5"/>
      <c r="K23" s="5"/>
      <c r="L23" s="5"/>
      <c r="M23" s="5"/>
      <c r="N23" s="5"/>
      <c r="O23" s="5"/>
      <c r="P23" s="8">
        <f>0.6+0.15</f>
        <v>0.75</v>
      </c>
      <c r="Q23" s="8"/>
      <c r="R23" s="5"/>
      <c r="S23" s="8"/>
      <c r="T23" s="6">
        <f t="shared" si="0"/>
        <v>0.75</v>
      </c>
      <c r="U23" s="9" t="s">
        <v>55</v>
      </c>
      <c r="V23" s="1"/>
      <c r="W23" s="1"/>
      <c r="X23" s="1"/>
      <c r="Y23" s="1"/>
      <c r="Z23" s="1"/>
    </row>
    <row r="24" spans="1:26" ht="24.75" customHeight="1">
      <c r="A24" s="171"/>
      <c r="B24" s="168" t="s">
        <v>56</v>
      </c>
      <c r="C24" s="168" t="s">
        <v>57</v>
      </c>
      <c r="D24" s="5">
        <v>19</v>
      </c>
      <c r="E24" s="5" t="s">
        <v>57</v>
      </c>
      <c r="F24" s="5"/>
      <c r="G24" s="5"/>
      <c r="H24" s="5"/>
      <c r="I24" s="5"/>
      <c r="J24" s="5"/>
      <c r="K24" s="5"/>
      <c r="L24" s="5"/>
      <c r="M24" s="5"/>
      <c r="N24" s="5"/>
      <c r="O24" s="5"/>
      <c r="P24" s="5"/>
      <c r="Q24" s="5"/>
      <c r="R24" s="5"/>
      <c r="S24" s="5"/>
      <c r="T24" s="6">
        <f t="shared" si="0"/>
        <v>0</v>
      </c>
      <c r="U24" s="9"/>
      <c r="V24" s="1"/>
      <c r="W24" s="1"/>
      <c r="X24" s="1"/>
      <c r="Y24" s="1"/>
      <c r="Z24" s="1"/>
    </row>
    <row r="25" spans="1:26" ht="24.75" customHeight="1">
      <c r="A25" s="171"/>
      <c r="B25" s="169"/>
      <c r="C25" s="169"/>
      <c r="D25" s="5">
        <v>20</v>
      </c>
      <c r="E25" s="5" t="s">
        <v>58</v>
      </c>
      <c r="F25" s="5"/>
      <c r="G25" s="5"/>
      <c r="H25" s="5"/>
      <c r="I25" s="5"/>
      <c r="J25" s="5"/>
      <c r="K25" s="5"/>
      <c r="L25" s="5"/>
      <c r="M25" s="5"/>
      <c r="N25" s="5"/>
      <c r="O25" s="5"/>
      <c r="P25" s="5"/>
      <c r="Q25" s="6">
        <v>0.22</v>
      </c>
      <c r="R25" s="5"/>
      <c r="S25" s="5"/>
      <c r="T25" s="6">
        <f t="shared" si="0"/>
        <v>0.22</v>
      </c>
      <c r="U25" s="9" t="s">
        <v>359</v>
      </c>
      <c r="V25" s="1"/>
      <c r="W25" s="1"/>
      <c r="X25" s="1"/>
      <c r="Y25" s="1"/>
      <c r="Z25" s="1"/>
    </row>
    <row r="26" spans="1:26" ht="24.75" customHeight="1">
      <c r="A26" s="171"/>
      <c r="B26" s="168" t="s">
        <v>60</v>
      </c>
      <c r="C26" s="168" t="s">
        <v>61</v>
      </c>
      <c r="D26" s="5">
        <v>21</v>
      </c>
      <c r="E26" s="5" t="s">
        <v>62</v>
      </c>
      <c r="F26" s="123"/>
      <c r="G26" s="123"/>
      <c r="H26" s="124"/>
      <c r="I26" s="125">
        <v>4.375</v>
      </c>
      <c r="J26" s="123"/>
      <c r="K26" s="125"/>
      <c r="L26" s="123"/>
      <c r="M26" s="123"/>
      <c r="N26" s="125">
        <f>1.488+0.4565+0.375+1</f>
        <v>3.3195000000000001</v>
      </c>
      <c r="O26" s="123"/>
      <c r="P26" s="124">
        <f>11.52+4.716</f>
        <v>16.236000000000001</v>
      </c>
      <c r="Q26" s="124">
        <f>0.3125</f>
        <v>0.3125</v>
      </c>
      <c r="R26" s="125">
        <f>0.5+0.4375</f>
        <v>0.9375</v>
      </c>
      <c r="S26" s="123"/>
      <c r="T26" s="125">
        <f t="shared" ref="T26:T36" si="1">SUM(F26:S26)</f>
        <v>25.180500000000002</v>
      </c>
      <c r="U26" s="9" t="s">
        <v>65</v>
      </c>
      <c r="V26" s="1"/>
      <c r="W26" s="1"/>
      <c r="X26" s="1"/>
      <c r="Y26" s="1"/>
      <c r="Z26" s="1"/>
    </row>
    <row r="27" spans="1:26" ht="24.75" customHeight="1">
      <c r="A27" s="171"/>
      <c r="B27" s="171"/>
      <c r="C27" s="171"/>
      <c r="D27" s="5">
        <v>22</v>
      </c>
      <c r="E27" s="5" t="s">
        <v>64</v>
      </c>
      <c r="F27" s="124"/>
      <c r="G27" s="123"/>
      <c r="H27" s="124"/>
      <c r="I27" s="125"/>
      <c r="J27" s="123"/>
      <c r="K27" s="123"/>
      <c r="L27" s="123"/>
      <c r="M27" s="124">
        <v>0.75</v>
      </c>
      <c r="N27" s="123"/>
      <c r="O27" s="123"/>
      <c r="P27" s="124">
        <v>301.2</v>
      </c>
      <c r="Q27" s="124"/>
      <c r="R27" s="125"/>
      <c r="S27" s="123"/>
      <c r="T27" s="125">
        <f t="shared" si="1"/>
        <v>301.95</v>
      </c>
      <c r="U27" s="9" t="s">
        <v>65</v>
      </c>
      <c r="V27" s="1"/>
      <c r="W27" s="1"/>
      <c r="X27" s="1"/>
      <c r="Y27" s="1"/>
      <c r="Z27" s="1"/>
    </row>
    <row r="28" spans="1:26" ht="24.75" customHeight="1">
      <c r="A28" s="171"/>
      <c r="B28" s="171"/>
      <c r="C28" s="171"/>
      <c r="D28" s="5">
        <v>23</v>
      </c>
      <c r="E28" s="5" t="s">
        <v>66</v>
      </c>
      <c r="F28" s="123"/>
      <c r="G28" s="123"/>
      <c r="H28" s="123"/>
      <c r="I28" s="123"/>
      <c r="J28" s="123"/>
      <c r="K28" s="125"/>
      <c r="L28" s="123"/>
      <c r="M28" s="123"/>
      <c r="N28" s="123"/>
      <c r="O28" s="124">
        <f>82.62725+3.93</f>
        <v>86.55725000000001</v>
      </c>
      <c r="P28" s="123"/>
      <c r="Q28" s="124"/>
      <c r="R28" s="123"/>
      <c r="S28" s="123"/>
      <c r="T28" s="125">
        <f t="shared" si="1"/>
        <v>86.55725000000001</v>
      </c>
      <c r="U28" s="9" t="s">
        <v>65</v>
      </c>
      <c r="V28" s="1"/>
      <c r="W28" s="1"/>
      <c r="X28" s="1"/>
      <c r="Y28" s="1"/>
      <c r="Z28" s="1"/>
    </row>
    <row r="29" spans="1:26" ht="24.75" customHeight="1">
      <c r="A29" s="171"/>
      <c r="B29" s="171"/>
      <c r="C29" s="171"/>
      <c r="D29" s="5">
        <v>24</v>
      </c>
      <c r="E29" s="5" t="s">
        <v>67</v>
      </c>
      <c r="F29" s="123"/>
      <c r="G29" s="123"/>
      <c r="H29" s="124"/>
      <c r="I29" s="123"/>
      <c r="J29" s="123"/>
      <c r="K29" s="123"/>
      <c r="L29" s="123"/>
      <c r="M29" s="123"/>
      <c r="N29" s="125">
        <f>1.72+1.72+1+1</f>
        <v>5.4399999999999995</v>
      </c>
      <c r="O29" s="124"/>
      <c r="P29" s="123">
        <f>1+5+0.7+5+12.25</f>
        <v>23.95</v>
      </c>
      <c r="Q29" s="125"/>
      <c r="R29" s="123"/>
      <c r="S29" s="123"/>
      <c r="T29" s="125">
        <f t="shared" si="1"/>
        <v>29.39</v>
      </c>
      <c r="U29" s="9" t="s">
        <v>423</v>
      </c>
      <c r="V29" s="1"/>
      <c r="W29" s="1"/>
      <c r="X29" s="1"/>
      <c r="Y29" s="1"/>
      <c r="Z29" s="1"/>
    </row>
    <row r="30" spans="1:26" ht="24.75" customHeight="1">
      <c r="A30" s="171"/>
      <c r="B30" s="171"/>
      <c r="C30" s="171"/>
      <c r="D30" s="5">
        <v>25</v>
      </c>
      <c r="E30" s="5" t="s">
        <v>69</v>
      </c>
      <c r="F30" s="123"/>
      <c r="G30" s="123"/>
      <c r="H30" s="123"/>
      <c r="I30" s="123"/>
      <c r="J30" s="123"/>
      <c r="K30" s="123"/>
      <c r="L30" s="123"/>
      <c r="M30" s="123"/>
      <c r="N30" s="125">
        <v>0.5</v>
      </c>
      <c r="O30" s="123"/>
      <c r="P30" s="123"/>
      <c r="Q30" s="123"/>
      <c r="R30" s="123"/>
      <c r="S30" s="123"/>
      <c r="T30" s="125">
        <f t="shared" si="1"/>
        <v>0.5</v>
      </c>
      <c r="U30" s="9" t="s">
        <v>65</v>
      </c>
      <c r="V30" s="1"/>
      <c r="W30" s="1"/>
      <c r="X30" s="1"/>
      <c r="Y30" s="1"/>
      <c r="Z30" s="1"/>
    </row>
    <row r="31" spans="1:26" ht="24.75" customHeight="1">
      <c r="A31" s="171"/>
      <c r="B31" s="171"/>
      <c r="C31" s="171"/>
      <c r="D31" s="5">
        <v>26</v>
      </c>
      <c r="E31" s="5" t="s">
        <v>70</v>
      </c>
      <c r="F31" s="123"/>
      <c r="G31" s="123"/>
      <c r="H31" s="123"/>
      <c r="I31" s="125"/>
      <c r="J31" s="123"/>
      <c r="K31" s="123"/>
      <c r="L31" s="123"/>
      <c r="M31" s="123"/>
      <c r="N31" s="125">
        <v>4.74</v>
      </c>
      <c r="O31" s="123"/>
      <c r="P31" s="123"/>
      <c r="Q31" s="125"/>
      <c r="R31" s="124"/>
      <c r="S31" s="123"/>
      <c r="T31" s="125">
        <f t="shared" si="1"/>
        <v>4.74</v>
      </c>
      <c r="U31" s="9" t="s">
        <v>360</v>
      </c>
      <c r="V31" s="1"/>
      <c r="W31" s="1"/>
      <c r="X31" s="1"/>
      <c r="Y31" s="1"/>
      <c r="Z31" s="1"/>
    </row>
    <row r="32" spans="1:26" ht="24.75" customHeight="1">
      <c r="A32" s="171"/>
      <c r="B32" s="171"/>
      <c r="C32" s="171"/>
      <c r="D32" s="5">
        <v>27</v>
      </c>
      <c r="E32" s="5" t="s">
        <v>72</v>
      </c>
      <c r="F32" s="123"/>
      <c r="G32" s="123"/>
      <c r="H32" s="124"/>
      <c r="I32" s="125"/>
      <c r="J32" s="123"/>
      <c r="K32" s="123"/>
      <c r="L32" s="123"/>
      <c r="M32" s="123"/>
      <c r="N32" s="125"/>
      <c r="O32" s="124"/>
      <c r="P32" s="124"/>
      <c r="Q32" s="123"/>
      <c r="R32" s="123"/>
      <c r="S32" s="123"/>
      <c r="T32" s="125">
        <f t="shared" si="1"/>
        <v>0</v>
      </c>
      <c r="U32" s="9"/>
      <c r="V32" s="1"/>
      <c r="W32" s="1"/>
      <c r="X32" s="1"/>
      <c r="Y32" s="1"/>
      <c r="Z32" s="1"/>
    </row>
    <row r="33" spans="1:26" ht="24.75" customHeight="1">
      <c r="A33" s="171"/>
      <c r="B33" s="171"/>
      <c r="C33" s="171"/>
      <c r="D33" s="5">
        <v>28</v>
      </c>
      <c r="E33" s="5" t="s">
        <v>31</v>
      </c>
      <c r="F33" s="123"/>
      <c r="G33" s="123"/>
      <c r="H33" s="123"/>
      <c r="I33" s="123"/>
      <c r="J33" s="123"/>
      <c r="K33" s="125">
        <v>4.8959999999999999</v>
      </c>
      <c r="L33" s="123"/>
      <c r="M33" s="125">
        <v>4.8959999999999999</v>
      </c>
      <c r="N33" s="123"/>
      <c r="O33" s="123"/>
      <c r="P33" s="123"/>
      <c r="Q33" s="123"/>
      <c r="R33" s="123"/>
      <c r="S33" s="123"/>
      <c r="T33" s="125">
        <f t="shared" si="1"/>
        <v>9.7919999999999998</v>
      </c>
      <c r="U33" s="9" t="s">
        <v>65</v>
      </c>
      <c r="V33" s="1"/>
      <c r="W33" s="1"/>
      <c r="X33" s="1"/>
      <c r="Y33" s="1"/>
      <c r="Z33" s="1"/>
    </row>
    <row r="34" spans="1:26" ht="24.75" customHeight="1">
      <c r="A34" s="171"/>
      <c r="B34" s="171"/>
      <c r="C34" s="171"/>
      <c r="D34" s="5">
        <v>29</v>
      </c>
      <c r="E34" s="5" t="s">
        <v>33</v>
      </c>
      <c r="F34" s="123"/>
      <c r="G34" s="123"/>
      <c r="H34" s="123"/>
      <c r="I34" s="123"/>
      <c r="J34" s="123"/>
      <c r="K34" s="123"/>
      <c r="L34" s="123"/>
      <c r="M34" s="123"/>
      <c r="N34" s="123"/>
      <c r="O34" s="123"/>
      <c r="P34" s="125">
        <v>12.24</v>
      </c>
      <c r="Q34" s="123"/>
      <c r="R34" s="123"/>
      <c r="S34" s="123"/>
      <c r="T34" s="125">
        <f t="shared" si="1"/>
        <v>12.24</v>
      </c>
      <c r="U34" s="9" t="s">
        <v>65</v>
      </c>
      <c r="V34" s="1"/>
      <c r="W34" s="1"/>
      <c r="X34" s="1"/>
      <c r="Y34" s="1"/>
      <c r="Z34" s="1"/>
    </row>
    <row r="35" spans="1:26" ht="24.75" customHeight="1">
      <c r="A35" s="171"/>
      <c r="B35" s="171"/>
      <c r="C35" s="171"/>
      <c r="D35" s="5">
        <v>30</v>
      </c>
      <c r="E35" s="5" t="s">
        <v>73</v>
      </c>
      <c r="F35" s="123"/>
      <c r="G35" s="123"/>
      <c r="H35" s="123"/>
      <c r="I35" s="125"/>
      <c r="J35" s="123"/>
      <c r="K35" s="123"/>
      <c r="L35" s="123"/>
      <c r="M35" s="123"/>
      <c r="N35" s="123"/>
      <c r="O35" s="123"/>
      <c r="P35" s="123"/>
      <c r="Q35" s="125">
        <v>4</v>
      </c>
      <c r="R35" s="124">
        <v>1.81</v>
      </c>
      <c r="S35" s="123"/>
      <c r="T35" s="125">
        <f t="shared" si="1"/>
        <v>5.8100000000000005</v>
      </c>
      <c r="U35" s="9" t="s">
        <v>360</v>
      </c>
      <c r="V35" s="1"/>
      <c r="W35" s="1"/>
      <c r="X35" s="1"/>
      <c r="Y35" s="1"/>
      <c r="Z35" s="1"/>
    </row>
    <row r="36" spans="1:26" ht="24.75" customHeight="1">
      <c r="A36" s="171"/>
      <c r="B36" s="169"/>
      <c r="C36" s="169"/>
      <c r="D36" s="5">
        <v>31</v>
      </c>
      <c r="E36" s="5" t="s">
        <v>54</v>
      </c>
      <c r="F36" s="123"/>
      <c r="G36" s="123"/>
      <c r="H36" s="123"/>
      <c r="I36" s="123"/>
      <c r="J36" s="123"/>
      <c r="K36" s="123"/>
      <c r="L36" s="123"/>
      <c r="M36" s="123"/>
      <c r="N36" s="123"/>
      <c r="O36" s="123"/>
      <c r="P36" s="123"/>
      <c r="Q36" s="123"/>
      <c r="R36" s="123"/>
      <c r="S36" s="123"/>
      <c r="T36" s="125">
        <f t="shared" si="1"/>
        <v>0</v>
      </c>
      <c r="U36" s="9"/>
      <c r="V36" s="1"/>
      <c r="W36" s="1"/>
      <c r="X36" s="1"/>
      <c r="Y36" s="1"/>
      <c r="Z36" s="1"/>
    </row>
    <row r="37" spans="1:26" ht="24.75" customHeight="1">
      <c r="A37" s="171"/>
      <c r="B37" s="168" t="s">
        <v>75</v>
      </c>
      <c r="C37" s="168" t="s">
        <v>76</v>
      </c>
      <c r="D37" s="5">
        <v>32</v>
      </c>
      <c r="E37" s="5" t="s">
        <v>77</v>
      </c>
      <c r="F37" s="5"/>
      <c r="G37" s="5"/>
      <c r="H37" s="5"/>
      <c r="I37" s="6"/>
      <c r="J37" s="5"/>
      <c r="K37" s="5"/>
      <c r="L37" s="5"/>
      <c r="M37" s="6"/>
      <c r="N37" s="6">
        <v>2.87</v>
      </c>
      <c r="O37" s="8">
        <v>190</v>
      </c>
      <c r="P37" s="8">
        <v>24.43</v>
      </c>
      <c r="Q37" s="6">
        <v>1.5</v>
      </c>
      <c r="R37" s="8">
        <v>5.8879999999999999</v>
      </c>
      <c r="S37" s="5"/>
      <c r="T37" s="6">
        <f t="shared" si="0"/>
        <v>224.68800000000002</v>
      </c>
      <c r="U37" s="9" t="s">
        <v>361</v>
      </c>
      <c r="V37" s="1"/>
      <c r="W37" s="1"/>
      <c r="X37" s="1"/>
      <c r="Y37" s="1"/>
      <c r="Z37" s="1"/>
    </row>
    <row r="38" spans="1:26" ht="24.75" customHeight="1">
      <c r="A38" s="171"/>
      <c r="B38" s="171"/>
      <c r="C38" s="171"/>
      <c r="D38" s="5">
        <v>33</v>
      </c>
      <c r="E38" s="5" t="s">
        <v>79</v>
      </c>
      <c r="F38" s="5"/>
      <c r="G38" s="5"/>
      <c r="H38" s="5"/>
      <c r="I38" s="5"/>
      <c r="J38" s="5"/>
      <c r="K38" s="5"/>
      <c r="L38" s="5"/>
      <c r="M38" s="5"/>
      <c r="N38" s="5"/>
      <c r="O38" s="5"/>
      <c r="P38" s="5"/>
      <c r="Q38" s="5"/>
      <c r="R38" s="5"/>
      <c r="S38" s="5"/>
      <c r="T38" s="6">
        <f t="shared" si="0"/>
        <v>0</v>
      </c>
      <c r="U38" s="9"/>
      <c r="V38" s="1"/>
      <c r="W38" s="1"/>
      <c r="X38" s="1"/>
      <c r="Y38" s="1"/>
      <c r="Z38" s="1"/>
    </row>
    <row r="39" spans="1:26" ht="24.75" customHeight="1">
      <c r="A39" s="171"/>
      <c r="B39" s="169"/>
      <c r="C39" s="169"/>
      <c r="D39" s="5">
        <v>34</v>
      </c>
      <c r="E39" s="5" t="s">
        <v>80</v>
      </c>
      <c r="F39" s="5"/>
      <c r="G39" s="5"/>
      <c r="H39" s="5"/>
      <c r="I39" s="5"/>
      <c r="J39" s="5"/>
      <c r="K39" s="5"/>
      <c r="L39" s="5"/>
      <c r="M39" s="5"/>
      <c r="N39" s="6"/>
      <c r="O39" s="5"/>
      <c r="P39" s="8"/>
      <c r="Q39" s="5"/>
      <c r="R39" s="5"/>
      <c r="S39" s="5"/>
      <c r="T39" s="6">
        <f t="shared" si="0"/>
        <v>0</v>
      </c>
      <c r="U39" s="9"/>
      <c r="V39" s="1"/>
      <c r="W39" s="1"/>
      <c r="X39" s="1"/>
      <c r="Y39" s="1"/>
      <c r="Z39" s="1"/>
    </row>
    <row r="40" spans="1:26" ht="24.75" customHeight="1">
      <c r="A40" s="171"/>
      <c r="B40" s="168" t="s">
        <v>81</v>
      </c>
      <c r="C40" s="168" t="s">
        <v>82</v>
      </c>
      <c r="D40" s="5">
        <v>35</v>
      </c>
      <c r="E40" s="5" t="s">
        <v>83</v>
      </c>
      <c r="F40" s="5"/>
      <c r="G40" s="5"/>
      <c r="H40" s="5"/>
      <c r="I40" s="6"/>
      <c r="J40" s="5"/>
      <c r="K40" s="5"/>
      <c r="L40" s="5"/>
      <c r="M40" s="5"/>
      <c r="N40" s="6">
        <v>2.75</v>
      </c>
      <c r="O40" s="5"/>
      <c r="P40" s="8">
        <v>6.12</v>
      </c>
      <c r="Q40" s="8"/>
      <c r="R40" s="5">
        <v>0.1</v>
      </c>
      <c r="S40" s="5"/>
      <c r="T40" s="6">
        <f t="shared" si="0"/>
        <v>8.9700000000000006</v>
      </c>
      <c r="U40" s="9" t="s">
        <v>608</v>
      </c>
      <c r="V40" s="1"/>
      <c r="W40" s="1"/>
      <c r="X40" s="1"/>
      <c r="Y40" s="1"/>
      <c r="Z40" s="1"/>
    </row>
    <row r="41" spans="1:26" ht="24.75" customHeight="1">
      <c r="A41" s="171"/>
      <c r="B41" s="171"/>
      <c r="C41" s="171"/>
      <c r="D41" s="5">
        <v>36</v>
      </c>
      <c r="E41" s="5" t="s">
        <v>84</v>
      </c>
      <c r="F41" s="5"/>
      <c r="G41" s="5"/>
      <c r="H41" s="5"/>
      <c r="I41" s="5"/>
      <c r="J41" s="5"/>
      <c r="K41" s="6"/>
      <c r="L41" s="5"/>
      <c r="M41" s="5"/>
      <c r="N41" s="6">
        <v>0.75</v>
      </c>
      <c r="O41" s="5"/>
      <c r="P41" s="5"/>
      <c r="Q41" s="5"/>
      <c r="R41" s="5"/>
      <c r="S41" s="5"/>
      <c r="T41" s="6">
        <f t="shared" si="0"/>
        <v>0.75</v>
      </c>
      <c r="U41" s="9" t="s">
        <v>462</v>
      </c>
      <c r="V41" s="1"/>
      <c r="W41" s="1"/>
      <c r="X41" s="1"/>
      <c r="Y41" s="1"/>
      <c r="Z41" s="1"/>
    </row>
    <row r="42" spans="1:26" ht="24.75" customHeight="1">
      <c r="A42" s="171"/>
      <c r="B42" s="171"/>
      <c r="C42" s="171"/>
      <c r="D42" s="5">
        <v>37</v>
      </c>
      <c r="E42" s="5" t="s">
        <v>86</v>
      </c>
      <c r="F42" s="5"/>
      <c r="G42" s="5"/>
      <c r="H42" s="5"/>
      <c r="I42" s="5"/>
      <c r="J42" s="5"/>
      <c r="K42" s="6"/>
      <c r="L42" s="5"/>
      <c r="M42" s="5"/>
      <c r="N42" s="5"/>
      <c r="O42" s="5"/>
      <c r="P42" s="5"/>
      <c r="Q42" s="5"/>
      <c r="R42" s="5"/>
      <c r="S42" s="5"/>
      <c r="T42" s="6">
        <f t="shared" si="0"/>
        <v>0</v>
      </c>
      <c r="U42" s="9"/>
      <c r="V42" s="1"/>
      <c r="W42" s="1"/>
      <c r="X42" s="1"/>
      <c r="Y42" s="1"/>
      <c r="Z42" s="1"/>
    </row>
    <row r="43" spans="1:26" ht="24.75" customHeight="1">
      <c r="A43" s="171"/>
      <c r="B43" s="171"/>
      <c r="C43" s="171"/>
      <c r="D43" s="5">
        <v>38</v>
      </c>
      <c r="E43" s="5" t="s">
        <v>87</v>
      </c>
      <c r="F43" s="5"/>
      <c r="G43" s="5"/>
      <c r="H43" s="5"/>
      <c r="I43" s="5"/>
      <c r="J43" s="5"/>
      <c r="K43" s="5"/>
      <c r="L43" s="5"/>
      <c r="M43" s="5"/>
      <c r="N43" s="6">
        <v>19.63</v>
      </c>
      <c r="O43" s="8">
        <v>0.48</v>
      </c>
      <c r="P43" s="8">
        <v>26.4</v>
      </c>
      <c r="Q43" s="8">
        <v>3.5</v>
      </c>
      <c r="R43" s="5">
        <v>1</v>
      </c>
      <c r="S43" s="5"/>
      <c r="T43" s="6">
        <f t="shared" si="0"/>
        <v>51.01</v>
      </c>
      <c r="U43" s="9" t="s">
        <v>609</v>
      </c>
      <c r="V43" s="1"/>
      <c r="W43" s="1"/>
      <c r="X43" s="1"/>
      <c r="Y43" s="1"/>
      <c r="Z43" s="1"/>
    </row>
    <row r="44" spans="1:26" ht="24.75" customHeight="1">
      <c r="A44" s="171"/>
      <c r="B44" s="171"/>
      <c r="C44" s="171"/>
      <c r="D44" s="5">
        <v>39</v>
      </c>
      <c r="E44" s="5" t="s">
        <v>88</v>
      </c>
      <c r="F44" s="5"/>
      <c r="G44" s="5"/>
      <c r="H44" s="5"/>
      <c r="I44" s="5"/>
      <c r="J44" s="5"/>
      <c r="K44" s="5"/>
      <c r="L44" s="5"/>
      <c r="M44" s="5"/>
      <c r="N44" s="5"/>
      <c r="O44" s="5"/>
      <c r="P44" s="8">
        <v>2.61</v>
      </c>
      <c r="Q44" s="8">
        <v>15.5</v>
      </c>
      <c r="R44" s="5"/>
      <c r="S44" s="5"/>
      <c r="T44" s="6">
        <f t="shared" si="0"/>
        <v>18.11</v>
      </c>
      <c r="U44" s="9" t="s">
        <v>610</v>
      </c>
      <c r="V44" s="1"/>
      <c r="W44" s="1"/>
      <c r="X44" s="1"/>
      <c r="Y44" s="1"/>
      <c r="Z44" s="1"/>
    </row>
    <row r="45" spans="1:26" ht="24.75" customHeight="1">
      <c r="A45" s="171"/>
      <c r="B45" s="171"/>
      <c r="C45" s="171"/>
      <c r="D45" s="5">
        <v>40</v>
      </c>
      <c r="E45" s="5" t="s">
        <v>89</v>
      </c>
      <c r="F45" s="5"/>
      <c r="G45" s="5"/>
      <c r="H45" s="5"/>
      <c r="I45" s="5"/>
      <c r="J45" s="5"/>
      <c r="K45" s="5"/>
      <c r="L45" s="5"/>
      <c r="M45" s="5"/>
      <c r="N45" s="6">
        <v>0.10920000000000001</v>
      </c>
      <c r="O45" s="5"/>
      <c r="P45" s="8">
        <v>0.45</v>
      </c>
      <c r="Q45" s="6">
        <v>0.32</v>
      </c>
      <c r="R45" s="8">
        <v>2</v>
      </c>
      <c r="S45" s="5"/>
      <c r="T45" s="6">
        <f t="shared" si="0"/>
        <v>2.8792</v>
      </c>
      <c r="U45" s="9" t="s">
        <v>831</v>
      </c>
      <c r="V45" s="1"/>
      <c r="W45" s="1"/>
      <c r="X45" s="1"/>
      <c r="Y45" s="1"/>
      <c r="Z45" s="1"/>
    </row>
    <row r="46" spans="1:26" ht="24.75" customHeight="1">
      <c r="A46" s="171"/>
      <c r="B46" s="169"/>
      <c r="C46" s="169"/>
      <c r="D46" s="5">
        <v>41</v>
      </c>
      <c r="E46" s="5" t="s">
        <v>54</v>
      </c>
      <c r="F46" s="5"/>
      <c r="G46" s="5"/>
      <c r="H46" s="5"/>
      <c r="I46" s="5"/>
      <c r="J46" s="5"/>
      <c r="K46" s="5"/>
      <c r="L46" s="5"/>
      <c r="M46" s="5"/>
      <c r="N46" s="5"/>
      <c r="O46" s="5"/>
      <c r="P46" s="5"/>
      <c r="Q46" s="5"/>
      <c r="R46" s="5"/>
      <c r="S46" s="5"/>
      <c r="T46" s="6">
        <f t="shared" si="0"/>
        <v>0</v>
      </c>
      <c r="U46" s="9"/>
      <c r="V46" s="1"/>
      <c r="W46" s="1"/>
      <c r="X46" s="1"/>
      <c r="Y46" s="1"/>
      <c r="Z46" s="1"/>
    </row>
    <row r="47" spans="1:26" ht="24.75" customHeight="1">
      <c r="A47" s="171"/>
      <c r="B47" s="168" t="s">
        <v>90</v>
      </c>
      <c r="C47" s="168" t="s">
        <v>91</v>
      </c>
      <c r="D47" s="5">
        <v>42</v>
      </c>
      <c r="E47" s="5" t="s">
        <v>92</v>
      </c>
      <c r="F47" s="8">
        <v>14.46</v>
      </c>
      <c r="G47" s="5"/>
      <c r="H47" s="5"/>
      <c r="I47" s="6"/>
      <c r="J47" s="5"/>
      <c r="K47" s="5"/>
      <c r="L47" s="5"/>
      <c r="M47" s="5"/>
      <c r="N47" s="6">
        <v>1.37</v>
      </c>
      <c r="O47" s="5"/>
      <c r="P47" s="8">
        <v>4.3</v>
      </c>
      <c r="Q47" s="5"/>
      <c r="R47" s="5"/>
      <c r="S47" s="5"/>
      <c r="T47" s="6">
        <f t="shared" si="0"/>
        <v>20.130000000000003</v>
      </c>
      <c r="U47" s="9"/>
      <c r="V47" s="1"/>
      <c r="W47" s="1"/>
      <c r="X47" s="1"/>
      <c r="Y47" s="1"/>
      <c r="Z47" s="1"/>
    </row>
    <row r="48" spans="1:26" ht="24.75" customHeight="1">
      <c r="A48" s="171"/>
      <c r="B48" s="171"/>
      <c r="C48" s="171"/>
      <c r="D48" s="5">
        <v>43</v>
      </c>
      <c r="E48" s="5" t="s">
        <v>93</v>
      </c>
      <c r="F48" s="8">
        <v>0.45</v>
      </c>
      <c r="G48" s="5"/>
      <c r="H48" s="5"/>
      <c r="I48" s="6"/>
      <c r="J48" s="5"/>
      <c r="K48" s="5"/>
      <c r="L48" s="5"/>
      <c r="M48" s="5"/>
      <c r="N48" s="6">
        <v>0.45750000000000002</v>
      </c>
      <c r="O48" s="5"/>
      <c r="P48" s="8">
        <v>3</v>
      </c>
      <c r="Q48" s="5"/>
      <c r="R48" s="5"/>
      <c r="S48" s="5"/>
      <c r="T48" s="6">
        <f t="shared" si="0"/>
        <v>3.9074999999999998</v>
      </c>
      <c r="U48" s="9"/>
      <c r="V48" s="1"/>
      <c r="W48" s="1"/>
      <c r="X48" s="1"/>
      <c r="Y48" s="1"/>
      <c r="Z48" s="1"/>
    </row>
    <row r="49" spans="1:26" ht="24.75" customHeight="1">
      <c r="A49" s="171"/>
      <c r="B49" s="171"/>
      <c r="C49" s="171"/>
      <c r="D49" s="5">
        <v>44</v>
      </c>
      <c r="E49" s="5" t="s">
        <v>94</v>
      </c>
      <c r="F49" s="8">
        <v>2.4900000000000002</v>
      </c>
      <c r="G49" s="5"/>
      <c r="H49" s="5"/>
      <c r="I49" s="6"/>
      <c r="J49" s="5"/>
      <c r="K49" s="5"/>
      <c r="L49" s="5"/>
      <c r="M49" s="5"/>
      <c r="N49" s="6">
        <v>2.94</v>
      </c>
      <c r="O49" s="8">
        <v>0.66</v>
      </c>
      <c r="P49" s="8">
        <v>0.5</v>
      </c>
      <c r="Q49" s="5"/>
      <c r="R49" s="5"/>
      <c r="S49" s="5"/>
      <c r="T49" s="6">
        <f t="shared" si="0"/>
        <v>6.59</v>
      </c>
      <c r="U49" s="9" t="s">
        <v>463</v>
      </c>
      <c r="V49" s="1"/>
      <c r="W49" s="1"/>
      <c r="X49" s="1"/>
      <c r="Y49" s="1"/>
      <c r="Z49" s="1"/>
    </row>
    <row r="50" spans="1:26" ht="24.75" customHeight="1">
      <c r="A50" s="171"/>
      <c r="B50" s="171"/>
      <c r="C50" s="171"/>
      <c r="D50" s="5">
        <v>45</v>
      </c>
      <c r="E50" s="5" t="s">
        <v>96</v>
      </c>
      <c r="F50" s="8">
        <v>0.16</v>
      </c>
      <c r="G50" s="5"/>
      <c r="H50" s="5"/>
      <c r="I50" s="5"/>
      <c r="J50" s="5"/>
      <c r="K50" s="5"/>
      <c r="L50" s="5"/>
      <c r="M50" s="5"/>
      <c r="N50" s="6">
        <v>1</v>
      </c>
      <c r="O50" s="8">
        <v>0.16</v>
      </c>
      <c r="P50" s="5"/>
      <c r="Q50" s="5"/>
      <c r="R50" s="5"/>
      <c r="S50" s="5"/>
      <c r="T50" s="6">
        <f t="shared" si="0"/>
        <v>1.3199999999999998</v>
      </c>
      <c r="U50" s="9"/>
      <c r="V50" s="1"/>
      <c r="W50" s="1"/>
      <c r="X50" s="1"/>
      <c r="Y50" s="1"/>
      <c r="Z50" s="1"/>
    </row>
    <row r="51" spans="1:26" ht="24.75" customHeight="1">
      <c r="A51" s="171"/>
      <c r="B51" s="171"/>
      <c r="C51" s="171"/>
      <c r="D51" s="5">
        <v>46</v>
      </c>
      <c r="E51" s="5" t="s">
        <v>97</v>
      </c>
      <c r="F51" s="5"/>
      <c r="G51" s="5"/>
      <c r="H51" s="5"/>
      <c r="I51" s="5"/>
      <c r="J51" s="5"/>
      <c r="K51" s="5"/>
      <c r="L51" s="5"/>
      <c r="M51" s="5"/>
      <c r="N51" s="5"/>
      <c r="O51" s="5"/>
      <c r="P51" s="5"/>
      <c r="Q51" s="5"/>
      <c r="R51" s="5"/>
      <c r="S51" s="5"/>
      <c r="T51" s="6">
        <f t="shared" si="0"/>
        <v>0</v>
      </c>
      <c r="U51" s="9"/>
      <c r="V51" s="1"/>
      <c r="W51" s="1"/>
      <c r="X51" s="1"/>
      <c r="Y51" s="1"/>
      <c r="Z51" s="1"/>
    </row>
    <row r="52" spans="1:26" ht="24.75" customHeight="1">
      <c r="A52" s="171"/>
      <c r="B52" s="171"/>
      <c r="C52" s="171"/>
      <c r="D52" s="5">
        <v>47</v>
      </c>
      <c r="E52" s="5" t="s">
        <v>98</v>
      </c>
      <c r="F52" s="8">
        <v>4.8</v>
      </c>
      <c r="G52" s="5"/>
      <c r="H52" s="5"/>
      <c r="I52" s="5"/>
      <c r="J52" s="5"/>
      <c r="K52" s="5"/>
      <c r="L52" s="5"/>
      <c r="M52" s="5"/>
      <c r="N52" s="5"/>
      <c r="O52" s="5"/>
      <c r="P52" s="5"/>
      <c r="Q52" s="5"/>
      <c r="R52" s="5"/>
      <c r="S52" s="5"/>
      <c r="T52" s="6">
        <f t="shared" si="0"/>
        <v>4.8</v>
      </c>
      <c r="U52" s="9"/>
      <c r="V52" s="1"/>
      <c r="W52" s="1"/>
      <c r="X52" s="1"/>
      <c r="Y52" s="1"/>
      <c r="Z52" s="1"/>
    </row>
    <row r="53" spans="1:26" ht="24.75" customHeight="1">
      <c r="A53" s="171"/>
      <c r="B53" s="171"/>
      <c r="C53" s="171"/>
      <c r="D53" s="5">
        <v>48</v>
      </c>
      <c r="E53" s="5" t="s">
        <v>99</v>
      </c>
      <c r="F53" s="5"/>
      <c r="G53" s="5"/>
      <c r="H53" s="5"/>
      <c r="I53" s="5"/>
      <c r="J53" s="5"/>
      <c r="K53" s="5"/>
      <c r="L53" s="5"/>
      <c r="M53" s="5"/>
      <c r="N53" s="6">
        <v>0.1</v>
      </c>
      <c r="O53" s="5"/>
      <c r="P53" s="8"/>
      <c r="Q53" s="5"/>
      <c r="R53" s="5"/>
      <c r="S53" s="5"/>
      <c r="T53" s="6">
        <f t="shared" si="0"/>
        <v>0.1</v>
      </c>
      <c r="U53" s="9"/>
      <c r="V53" s="1"/>
      <c r="W53" s="1"/>
      <c r="X53" s="1"/>
      <c r="Y53" s="1"/>
      <c r="Z53" s="1"/>
    </row>
    <row r="54" spans="1:26" ht="24.75" customHeight="1">
      <c r="A54" s="171"/>
      <c r="B54" s="171"/>
      <c r="C54" s="171"/>
      <c r="D54" s="5">
        <v>49</v>
      </c>
      <c r="E54" s="5" t="s">
        <v>100</v>
      </c>
      <c r="F54" s="5"/>
      <c r="G54" s="5"/>
      <c r="H54" s="5"/>
      <c r="I54" s="5"/>
      <c r="J54" s="5"/>
      <c r="K54" s="5"/>
      <c r="L54" s="5"/>
      <c r="M54" s="5"/>
      <c r="N54" s="5"/>
      <c r="O54" s="5"/>
      <c r="P54" s="5"/>
      <c r="Q54" s="6">
        <v>1.55</v>
      </c>
      <c r="R54" s="8">
        <v>1.41</v>
      </c>
      <c r="S54" s="5"/>
      <c r="T54" s="6">
        <f t="shared" si="0"/>
        <v>2.96</v>
      </c>
      <c r="U54" s="9" t="s">
        <v>310</v>
      </c>
      <c r="V54" s="1"/>
      <c r="W54" s="1"/>
      <c r="X54" s="1"/>
      <c r="Y54" s="1"/>
      <c r="Z54" s="1"/>
    </row>
    <row r="55" spans="1:26" ht="24.75" customHeight="1">
      <c r="A55" s="171"/>
      <c r="B55" s="171"/>
      <c r="C55" s="171"/>
      <c r="D55" s="5">
        <v>50</v>
      </c>
      <c r="E55" s="5" t="s">
        <v>102</v>
      </c>
      <c r="F55" s="5"/>
      <c r="G55" s="5"/>
      <c r="H55" s="5"/>
      <c r="I55" s="6"/>
      <c r="J55" s="5"/>
      <c r="K55" s="5"/>
      <c r="L55" s="5"/>
      <c r="M55" s="5"/>
      <c r="N55" s="6">
        <v>1.1299999999999999</v>
      </c>
      <c r="O55" s="5"/>
      <c r="P55" s="8">
        <v>0.73</v>
      </c>
      <c r="Q55" s="6">
        <v>2</v>
      </c>
      <c r="R55" s="8">
        <v>0.113</v>
      </c>
      <c r="S55" s="5"/>
      <c r="T55" s="6">
        <f t="shared" si="0"/>
        <v>3.9729999999999999</v>
      </c>
      <c r="U55" s="9" t="s">
        <v>310</v>
      </c>
      <c r="V55" s="1"/>
      <c r="W55" s="1"/>
      <c r="X55" s="1"/>
      <c r="Y55" s="1"/>
      <c r="Z55" s="1"/>
    </row>
    <row r="56" spans="1:26" ht="24.75" customHeight="1">
      <c r="A56" s="171"/>
      <c r="B56" s="169"/>
      <c r="C56" s="169"/>
      <c r="D56" s="5">
        <v>51</v>
      </c>
      <c r="E56" s="5" t="s">
        <v>54</v>
      </c>
      <c r="F56" s="5"/>
      <c r="G56" s="5"/>
      <c r="H56" s="5"/>
      <c r="I56" s="5"/>
      <c r="J56" s="5"/>
      <c r="K56" s="5"/>
      <c r="L56" s="5"/>
      <c r="M56" s="5"/>
      <c r="N56" s="8"/>
      <c r="O56" s="5"/>
      <c r="P56" s="5">
        <v>1</v>
      </c>
      <c r="Q56" s="5"/>
      <c r="R56" s="5"/>
      <c r="S56" s="5"/>
      <c r="T56" s="6">
        <f t="shared" si="0"/>
        <v>1</v>
      </c>
      <c r="U56" s="9"/>
      <c r="V56" s="1"/>
      <c r="W56" s="1"/>
      <c r="X56" s="1"/>
      <c r="Y56" s="1"/>
      <c r="Z56" s="1"/>
    </row>
    <row r="57" spans="1:26" ht="24.75" customHeight="1">
      <c r="A57" s="171"/>
      <c r="B57" s="168" t="s">
        <v>103</v>
      </c>
      <c r="C57" s="168" t="s">
        <v>104</v>
      </c>
      <c r="D57" s="5">
        <v>52</v>
      </c>
      <c r="E57" s="5" t="s">
        <v>105</v>
      </c>
      <c r="F57" s="123"/>
      <c r="G57" s="123"/>
      <c r="H57" s="123"/>
      <c r="I57" s="125"/>
      <c r="J57" s="123"/>
      <c r="K57" s="125"/>
      <c r="L57" s="123"/>
      <c r="M57" s="123"/>
      <c r="N57" s="125">
        <v>2</v>
      </c>
      <c r="O57" s="124">
        <v>58.05</v>
      </c>
      <c r="P57" s="123"/>
      <c r="Q57" s="123"/>
      <c r="R57" s="123"/>
      <c r="S57" s="123"/>
      <c r="T57" s="125">
        <f t="shared" ref="T57:T66" si="2">SUM(F57:S57)</f>
        <v>60.05</v>
      </c>
      <c r="U57" s="9" t="s">
        <v>65</v>
      </c>
      <c r="V57" s="1"/>
      <c r="W57" s="1"/>
      <c r="X57" s="1"/>
      <c r="Y57" s="1"/>
      <c r="Z57" s="1"/>
    </row>
    <row r="58" spans="1:26" ht="24.75" customHeight="1">
      <c r="A58" s="171"/>
      <c r="B58" s="171"/>
      <c r="C58" s="171"/>
      <c r="D58" s="5">
        <v>53</v>
      </c>
      <c r="E58" s="5" t="s">
        <v>106</v>
      </c>
      <c r="F58" s="123"/>
      <c r="G58" s="123"/>
      <c r="H58" s="123"/>
      <c r="I58" s="123"/>
      <c r="J58" s="123"/>
      <c r="K58" s="125"/>
      <c r="L58" s="123"/>
      <c r="M58" s="123"/>
      <c r="N58" s="125"/>
      <c r="O58" s="124">
        <v>6.45</v>
      </c>
      <c r="P58" s="123"/>
      <c r="Q58" s="124">
        <v>3</v>
      </c>
      <c r="R58" s="123"/>
      <c r="S58" s="123"/>
      <c r="T58" s="125">
        <f t="shared" si="2"/>
        <v>9.4499999999999993</v>
      </c>
      <c r="U58" s="9" t="s">
        <v>65</v>
      </c>
      <c r="V58" s="1"/>
      <c r="W58" s="1"/>
      <c r="X58" s="1"/>
      <c r="Y58" s="1"/>
      <c r="Z58" s="1"/>
    </row>
    <row r="59" spans="1:26" ht="24.75" customHeight="1">
      <c r="A59" s="171"/>
      <c r="B59" s="171"/>
      <c r="C59" s="171"/>
      <c r="D59" s="5">
        <v>54</v>
      </c>
      <c r="E59" s="5" t="s">
        <v>107</v>
      </c>
      <c r="F59" s="123"/>
      <c r="G59" s="123"/>
      <c r="H59" s="124"/>
      <c r="I59" s="123"/>
      <c r="J59" s="123"/>
      <c r="K59" s="123"/>
      <c r="L59" s="123"/>
      <c r="M59" s="123"/>
      <c r="N59" s="123"/>
      <c r="O59" s="124"/>
      <c r="P59" s="124"/>
      <c r="Q59" s="123"/>
      <c r="R59" s="123"/>
      <c r="S59" s="123"/>
      <c r="T59" s="125">
        <f t="shared" si="2"/>
        <v>0</v>
      </c>
      <c r="U59" s="9"/>
      <c r="V59" s="1"/>
      <c r="W59" s="1"/>
      <c r="X59" s="1"/>
      <c r="Y59" s="1"/>
      <c r="Z59" s="1"/>
    </row>
    <row r="60" spans="1:26" ht="24.75" customHeight="1">
      <c r="A60" s="171"/>
      <c r="B60" s="171"/>
      <c r="C60" s="171"/>
      <c r="D60" s="5">
        <v>55</v>
      </c>
      <c r="E60" s="5" t="s">
        <v>108</v>
      </c>
      <c r="F60" s="123"/>
      <c r="G60" s="123"/>
      <c r="H60" s="123"/>
      <c r="I60" s="123"/>
      <c r="J60" s="123"/>
      <c r="K60" s="125"/>
      <c r="L60" s="123"/>
      <c r="M60" s="123"/>
      <c r="N60" s="123"/>
      <c r="O60" s="123"/>
      <c r="P60" s="123"/>
      <c r="Q60" s="123"/>
      <c r="R60" s="123"/>
      <c r="S60" s="123"/>
      <c r="T60" s="125">
        <f t="shared" si="2"/>
        <v>0</v>
      </c>
      <c r="U60" s="9"/>
      <c r="V60" s="1"/>
      <c r="W60" s="1"/>
      <c r="X60" s="1"/>
      <c r="Y60" s="1"/>
      <c r="Z60" s="1"/>
    </row>
    <row r="61" spans="1:26" ht="24.75" customHeight="1">
      <c r="A61" s="171"/>
      <c r="B61" s="171"/>
      <c r="C61" s="171"/>
      <c r="D61" s="5">
        <v>56</v>
      </c>
      <c r="E61" s="5" t="s">
        <v>109</v>
      </c>
      <c r="F61" s="123"/>
      <c r="G61" s="123"/>
      <c r="H61" s="123"/>
      <c r="I61" s="123"/>
      <c r="J61" s="123"/>
      <c r="K61" s="123"/>
      <c r="L61" s="123"/>
      <c r="M61" s="123"/>
      <c r="N61" s="123"/>
      <c r="O61" s="124">
        <v>12.9</v>
      </c>
      <c r="P61" s="123"/>
      <c r="Q61" s="123"/>
      <c r="R61" s="123"/>
      <c r="S61" s="123"/>
      <c r="T61" s="125">
        <f t="shared" si="2"/>
        <v>12.9</v>
      </c>
      <c r="U61" s="9" t="s">
        <v>65</v>
      </c>
      <c r="V61" s="1"/>
      <c r="W61" s="1"/>
      <c r="X61" s="1"/>
      <c r="Y61" s="1"/>
      <c r="Z61" s="1"/>
    </row>
    <row r="62" spans="1:26" ht="24.75" customHeight="1">
      <c r="A62" s="171"/>
      <c r="B62" s="171"/>
      <c r="C62" s="171"/>
      <c r="D62" s="5">
        <v>57</v>
      </c>
      <c r="E62" s="5" t="s">
        <v>110</v>
      </c>
      <c r="F62" s="123"/>
      <c r="G62" s="123"/>
      <c r="H62" s="124"/>
      <c r="I62" s="123"/>
      <c r="J62" s="123"/>
      <c r="K62" s="123"/>
      <c r="L62" s="123"/>
      <c r="M62" s="125">
        <v>1.05</v>
      </c>
      <c r="N62" s="123"/>
      <c r="O62" s="123"/>
      <c r="P62" s="123"/>
      <c r="Q62" s="123"/>
      <c r="R62" s="123"/>
      <c r="S62" s="123"/>
      <c r="T62" s="125">
        <f t="shared" si="2"/>
        <v>1.05</v>
      </c>
      <c r="U62" s="9" t="s">
        <v>65</v>
      </c>
      <c r="V62" s="1"/>
      <c r="W62" s="1"/>
      <c r="X62" s="1"/>
      <c r="Y62" s="1"/>
      <c r="Z62" s="1"/>
    </row>
    <row r="63" spans="1:26" ht="24.75" customHeight="1">
      <c r="A63" s="171"/>
      <c r="B63" s="171"/>
      <c r="C63" s="171"/>
      <c r="D63" s="5">
        <v>58</v>
      </c>
      <c r="E63" s="5" t="s">
        <v>111</v>
      </c>
      <c r="F63" s="123"/>
      <c r="G63" s="123"/>
      <c r="H63" s="123"/>
      <c r="I63" s="123"/>
      <c r="J63" s="123"/>
      <c r="K63" s="125"/>
      <c r="L63" s="123"/>
      <c r="M63" s="123"/>
      <c r="N63" s="123"/>
      <c r="O63" s="124">
        <v>3.23</v>
      </c>
      <c r="P63" s="123"/>
      <c r="Q63" s="124">
        <v>0.75</v>
      </c>
      <c r="R63" s="123"/>
      <c r="S63" s="123"/>
      <c r="T63" s="125">
        <f t="shared" si="2"/>
        <v>3.98</v>
      </c>
      <c r="U63" s="9" t="s">
        <v>65</v>
      </c>
      <c r="V63" s="1"/>
      <c r="W63" s="1"/>
      <c r="X63" s="1"/>
      <c r="Y63" s="1"/>
      <c r="Z63" s="1"/>
    </row>
    <row r="64" spans="1:26" ht="24.75" customHeight="1">
      <c r="A64" s="171"/>
      <c r="B64" s="171"/>
      <c r="C64" s="171"/>
      <c r="D64" s="5">
        <v>59</v>
      </c>
      <c r="E64" s="5" t="s">
        <v>112</v>
      </c>
      <c r="F64" s="123"/>
      <c r="G64" s="123"/>
      <c r="H64" s="123"/>
      <c r="I64" s="123"/>
      <c r="J64" s="123"/>
      <c r="K64" s="123"/>
      <c r="L64" s="123"/>
      <c r="M64" s="123"/>
      <c r="N64" s="123"/>
      <c r="O64" s="123"/>
      <c r="P64" s="123"/>
      <c r="Q64" s="123"/>
      <c r="R64" s="123"/>
      <c r="S64" s="123"/>
      <c r="T64" s="125">
        <f t="shared" si="2"/>
        <v>0</v>
      </c>
      <c r="U64" s="9"/>
      <c r="V64" s="1"/>
      <c r="W64" s="1"/>
      <c r="X64" s="1"/>
      <c r="Y64" s="1"/>
      <c r="Z64" s="1"/>
    </row>
    <row r="65" spans="1:26" ht="24.75" customHeight="1">
      <c r="A65" s="171"/>
      <c r="B65" s="171"/>
      <c r="C65" s="171"/>
      <c r="D65" s="5">
        <v>60</v>
      </c>
      <c r="E65" s="5" t="s">
        <v>113</v>
      </c>
      <c r="F65" s="123"/>
      <c r="G65" s="123"/>
      <c r="H65" s="123"/>
      <c r="I65" s="123"/>
      <c r="J65" s="123"/>
      <c r="K65" s="123"/>
      <c r="L65" s="123"/>
      <c r="M65" s="123"/>
      <c r="N65" s="123"/>
      <c r="O65" s="123"/>
      <c r="P65" s="123"/>
      <c r="Q65" s="123"/>
      <c r="R65" s="123"/>
      <c r="S65" s="123"/>
      <c r="T65" s="125">
        <f t="shared" si="2"/>
        <v>0</v>
      </c>
      <c r="U65" s="9"/>
      <c r="V65" s="1"/>
      <c r="W65" s="1"/>
      <c r="X65" s="1"/>
      <c r="Y65" s="1"/>
      <c r="Z65" s="1"/>
    </row>
    <row r="66" spans="1:26" ht="24.75" customHeight="1">
      <c r="A66" s="171"/>
      <c r="B66" s="169"/>
      <c r="C66" s="169"/>
      <c r="D66" s="5">
        <v>61</v>
      </c>
      <c r="E66" s="5" t="s">
        <v>54</v>
      </c>
      <c r="F66" s="123"/>
      <c r="G66" s="123"/>
      <c r="H66" s="123"/>
      <c r="I66" s="123"/>
      <c r="J66" s="123"/>
      <c r="K66" s="123"/>
      <c r="L66" s="123"/>
      <c r="M66" s="123"/>
      <c r="N66" s="123"/>
      <c r="O66" s="123"/>
      <c r="P66" s="123"/>
      <c r="Q66" s="123"/>
      <c r="R66" s="123"/>
      <c r="S66" s="123"/>
      <c r="T66" s="125">
        <f t="shared" si="2"/>
        <v>0</v>
      </c>
      <c r="U66" s="9"/>
      <c r="V66" s="1"/>
      <c r="W66" s="1"/>
      <c r="X66" s="1"/>
      <c r="Y66" s="1"/>
      <c r="Z66" s="1"/>
    </row>
    <row r="67" spans="1:26" ht="24.75" customHeight="1">
      <c r="A67" s="171"/>
      <c r="B67" s="5" t="s">
        <v>114</v>
      </c>
      <c r="C67" s="5" t="s">
        <v>115</v>
      </c>
      <c r="D67" s="5">
        <v>62</v>
      </c>
      <c r="E67" s="5" t="s">
        <v>116</v>
      </c>
      <c r="F67" s="5"/>
      <c r="G67" s="5"/>
      <c r="H67" s="5"/>
      <c r="I67" s="5"/>
      <c r="J67" s="5"/>
      <c r="K67" s="5"/>
      <c r="L67" s="5"/>
      <c r="M67" s="6"/>
      <c r="N67" s="5"/>
      <c r="O67" s="8">
        <v>1</v>
      </c>
      <c r="P67" s="8"/>
      <c r="Q67" s="6">
        <v>0.25</v>
      </c>
      <c r="R67" s="5"/>
      <c r="S67" s="8"/>
      <c r="T67" s="6">
        <f t="shared" si="0"/>
        <v>1.25</v>
      </c>
      <c r="U67" s="61" t="s">
        <v>577</v>
      </c>
      <c r="V67" s="1"/>
      <c r="W67" s="1"/>
      <c r="X67" s="1"/>
      <c r="Y67" s="1"/>
      <c r="Z67" s="1"/>
    </row>
    <row r="68" spans="1:26" ht="24.75" customHeight="1">
      <c r="A68" s="169"/>
      <c r="B68" s="176" t="s">
        <v>117</v>
      </c>
      <c r="C68" s="177"/>
      <c r="D68" s="178"/>
      <c r="E68" s="51"/>
      <c r="F68" s="51">
        <f t="shared" ref="F68:S68" si="3">SUM(F6:F67)</f>
        <v>120.64</v>
      </c>
      <c r="G68" s="51">
        <f t="shared" si="3"/>
        <v>0</v>
      </c>
      <c r="H68" s="51">
        <f t="shared" si="3"/>
        <v>0</v>
      </c>
      <c r="I68" s="51">
        <f t="shared" si="3"/>
        <v>5.9450000000000003</v>
      </c>
      <c r="J68" s="51">
        <f t="shared" si="3"/>
        <v>0</v>
      </c>
      <c r="K68" s="51">
        <f t="shared" si="3"/>
        <v>148.506</v>
      </c>
      <c r="L68" s="51">
        <f t="shared" si="3"/>
        <v>0</v>
      </c>
      <c r="M68" s="51">
        <f t="shared" si="3"/>
        <v>55.646000000000001</v>
      </c>
      <c r="N68" s="51">
        <f t="shared" si="3"/>
        <v>55.165550000000003</v>
      </c>
      <c r="O68" s="51">
        <f t="shared" si="3"/>
        <v>437.40725000000009</v>
      </c>
      <c r="P68" s="51">
        <f t="shared" si="3"/>
        <v>585.56599999999992</v>
      </c>
      <c r="Q68" s="51">
        <f t="shared" si="3"/>
        <v>35.402500000000003</v>
      </c>
      <c r="R68" s="51">
        <f t="shared" si="3"/>
        <v>17.778499999999998</v>
      </c>
      <c r="S68" s="51">
        <f t="shared" si="3"/>
        <v>0.66</v>
      </c>
      <c r="T68" s="6">
        <f t="shared" si="0"/>
        <v>1462.7167999999999</v>
      </c>
      <c r="U68" s="9"/>
      <c r="V68" s="1"/>
      <c r="W68" s="1"/>
      <c r="X68" s="1"/>
      <c r="Y68" s="1"/>
      <c r="Z68" s="1"/>
    </row>
    <row r="69" spans="1:26" ht="39.75" customHeight="1">
      <c r="A69" s="175" t="s">
        <v>118</v>
      </c>
      <c r="B69" s="5" t="s">
        <v>119</v>
      </c>
      <c r="C69" s="5" t="s">
        <v>120</v>
      </c>
      <c r="D69" s="5">
        <v>63</v>
      </c>
      <c r="E69" s="5" t="s">
        <v>121</v>
      </c>
      <c r="F69" s="5"/>
      <c r="G69" s="5"/>
      <c r="H69" s="5"/>
      <c r="I69" s="5"/>
      <c r="J69" s="5"/>
      <c r="K69" s="5"/>
      <c r="L69" s="5"/>
      <c r="M69" s="8"/>
      <c r="N69" s="6">
        <v>11.05</v>
      </c>
      <c r="O69" s="5"/>
      <c r="P69" s="6"/>
      <c r="Q69" s="5"/>
      <c r="R69" s="8">
        <v>5</v>
      </c>
      <c r="S69" s="8">
        <v>2</v>
      </c>
      <c r="T69" s="6">
        <f t="shared" si="0"/>
        <v>18.05</v>
      </c>
      <c r="U69" s="9" t="s">
        <v>407</v>
      </c>
      <c r="V69" s="1"/>
      <c r="W69" s="1"/>
      <c r="X69" s="1"/>
      <c r="Y69" s="1"/>
      <c r="Z69" s="1"/>
    </row>
    <row r="70" spans="1:26" ht="39.75" customHeight="1">
      <c r="A70" s="171"/>
      <c r="B70" s="168" t="s">
        <v>122</v>
      </c>
      <c r="C70" s="168" t="s">
        <v>123</v>
      </c>
      <c r="D70" s="5">
        <v>64</v>
      </c>
      <c r="E70" s="5" t="s">
        <v>124</v>
      </c>
      <c r="F70" s="15"/>
      <c r="G70" s="15"/>
      <c r="H70" s="16"/>
      <c r="I70" s="17"/>
      <c r="J70" s="15"/>
      <c r="K70" s="17"/>
      <c r="L70" s="15"/>
      <c r="M70" s="15"/>
      <c r="N70" s="17">
        <v>6.92</v>
      </c>
      <c r="O70" s="16">
        <v>0.5625</v>
      </c>
      <c r="P70" s="17">
        <f>33.84+2.28</f>
        <v>36.120000000000005</v>
      </c>
      <c r="Q70" s="17">
        <f>0.75+0.5</f>
        <v>1.25</v>
      </c>
      <c r="R70" s="16">
        <v>3</v>
      </c>
      <c r="S70" s="16">
        <v>5</v>
      </c>
      <c r="T70" s="6">
        <f t="shared" ref="T70:T133" si="4">SUM(F70:S70)</f>
        <v>52.852500000000006</v>
      </c>
      <c r="U70" s="9" t="s">
        <v>464</v>
      </c>
      <c r="V70" s="1"/>
      <c r="W70" s="1"/>
      <c r="X70" s="1"/>
      <c r="Y70" s="1"/>
      <c r="Z70" s="1"/>
    </row>
    <row r="71" spans="1:26" ht="39.75" customHeight="1">
      <c r="A71" s="171"/>
      <c r="B71" s="171"/>
      <c r="C71" s="171"/>
      <c r="D71" s="5">
        <v>65</v>
      </c>
      <c r="E71" s="5" t="s">
        <v>126</v>
      </c>
      <c r="F71" s="15"/>
      <c r="G71" s="15"/>
      <c r="H71" s="15"/>
      <c r="I71" s="15"/>
      <c r="J71" s="15"/>
      <c r="K71" s="15"/>
      <c r="L71" s="15"/>
      <c r="M71" s="15"/>
      <c r="N71" s="17"/>
      <c r="O71" s="15"/>
      <c r="P71" s="16">
        <v>0.17</v>
      </c>
      <c r="Q71" s="15"/>
      <c r="R71" s="15"/>
      <c r="S71" s="16"/>
      <c r="T71" s="6">
        <f t="shared" si="4"/>
        <v>0.17</v>
      </c>
      <c r="U71" s="9" t="s">
        <v>366</v>
      </c>
      <c r="V71" s="1"/>
      <c r="W71" s="1"/>
      <c r="X71" s="1"/>
      <c r="Y71" s="1"/>
      <c r="Z71" s="1"/>
    </row>
    <row r="72" spans="1:26" ht="39.75" customHeight="1">
      <c r="A72" s="171"/>
      <c r="B72" s="171"/>
      <c r="C72" s="171"/>
      <c r="D72" s="5">
        <v>66</v>
      </c>
      <c r="E72" s="5" t="s">
        <v>128</v>
      </c>
      <c r="F72" s="15"/>
      <c r="G72" s="15"/>
      <c r="H72" s="15"/>
      <c r="I72" s="15"/>
      <c r="J72" s="15"/>
      <c r="K72" s="17"/>
      <c r="L72" s="15"/>
      <c r="M72" s="15"/>
      <c r="N72" s="17">
        <v>0.2</v>
      </c>
      <c r="O72" s="15"/>
      <c r="P72" s="16"/>
      <c r="Q72" s="17">
        <v>0.05</v>
      </c>
      <c r="R72" s="34">
        <v>0.15</v>
      </c>
      <c r="S72" s="15"/>
      <c r="T72" s="6">
        <f t="shared" si="4"/>
        <v>0.4</v>
      </c>
      <c r="U72" s="9" t="s">
        <v>129</v>
      </c>
      <c r="V72" s="1"/>
      <c r="W72" s="1"/>
      <c r="X72" s="1"/>
      <c r="Y72" s="1"/>
      <c r="Z72" s="1"/>
    </row>
    <row r="73" spans="1:26" ht="39.75" customHeight="1">
      <c r="A73" s="171"/>
      <c r="B73" s="171"/>
      <c r="C73" s="171"/>
      <c r="D73" s="5">
        <v>67</v>
      </c>
      <c r="E73" s="5" t="s">
        <v>131</v>
      </c>
      <c r="F73" s="15"/>
      <c r="G73" s="15"/>
      <c r="H73" s="15"/>
      <c r="I73" s="15">
        <v>1.075</v>
      </c>
      <c r="J73" s="15"/>
      <c r="K73" s="17"/>
      <c r="L73" s="15"/>
      <c r="M73" s="15"/>
      <c r="N73" s="17">
        <v>0.6</v>
      </c>
      <c r="O73" s="15">
        <v>1.5</v>
      </c>
      <c r="P73" s="16">
        <v>2</v>
      </c>
      <c r="Q73" s="17">
        <v>1.145</v>
      </c>
      <c r="R73" s="16">
        <v>3.75</v>
      </c>
      <c r="S73" s="16"/>
      <c r="T73" s="6">
        <f t="shared" si="4"/>
        <v>10.07</v>
      </c>
      <c r="U73" s="9" t="s">
        <v>367</v>
      </c>
      <c r="V73" s="1"/>
      <c r="W73" s="1"/>
      <c r="X73" s="1"/>
      <c r="Y73" s="1"/>
      <c r="Z73" s="1"/>
    </row>
    <row r="74" spans="1:26" ht="39.75" customHeight="1">
      <c r="A74" s="171"/>
      <c r="B74" s="169"/>
      <c r="C74" s="169"/>
      <c r="D74" s="5">
        <v>68</v>
      </c>
      <c r="E74" s="5" t="s">
        <v>133</v>
      </c>
      <c r="F74" s="16"/>
      <c r="G74" s="15"/>
      <c r="H74" s="15"/>
      <c r="I74" s="17"/>
      <c r="J74" s="15"/>
      <c r="K74" s="17"/>
      <c r="L74" s="15"/>
      <c r="M74" s="15"/>
      <c r="N74" s="17">
        <v>1.1000000000000001</v>
      </c>
      <c r="O74" s="16"/>
      <c r="P74" s="16">
        <v>9.7249999999999996</v>
      </c>
      <c r="Q74" s="17">
        <v>3</v>
      </c>
      <c r="R74" s="16">
        <f>-0.35+6.5</f>
        <v>6.15</v>
      </c>
      <c r="S74" s="16">
        <f>0.35+16.51</f>
        <v>16.860000000000003</v>
      </c>
      <c r="T74" s="6">
        <f t="shared" si="4"/>
        <v>36.835000000000008</v>
      </c>
      <c r="U74" s="9" t="s">
        <v>452</v>
      </c>
      <c r="V74" s="1"/>
      <c r="W74" s="1"/>
      <c r="X74" s="1"/>
      <c r="Y74" s="1"/>
      <c r="Z74" s="1"/>
    </row>
    <row r="75" spans="1:26" ht="39.75" customHeight="1">
      <c r="A75" s="171"/>
      <c r="B75" s="168" t="s">
        <v>136</v>
      </c>
      <c r="C75" s="168" t="s">
        <v>137</v>
      </c>
      <c r="D75" s="5">
        <v>69</v>
      </c>
      <c r="E75" s="5" t="s">
        <v>138</v>
      </c>
      <c r="F75" s="20"/>
      <c r="G75" s="20"/>
      <c r="H75" s="20"/>
      <c r="I75" s="20"/>
      <c r="J75" s="20"/>
      <c r="K75" s="20"/>
      <c r="L75" s="20"/>
      <c r="M75" s="20">
        <v>0.68</v>
      </c>
      <c r="N75" s="20"/>
      <c r="O75" s="20">
        <v>101.85</v>
      </c>
      <c r="P75" s="20">
        <v>1.8</v>
      </c>
      <c r="Q75" s="20"/>
      <c r="R75" s="20"/>
      <c r="S75" s="20"/>
      <c r="T75" s="6">
        <f t="shared" si="4"/>
        <v>104.33</v>
      </c>
      <c r="U75" s="10" t="s">
        <v>465</v>
      </c>
      <c r="V75" s="18"/>
      <c r="W75" s="1"/>
      <c r="X75" s="1"/>
      <c r="Y75" s="1"/>
      <c r="Z75" s="1"/>
    </row>
    <row r="76" spans="1:26" ht="39.75" customHeight="1">
      <c r="A76" s="171"/>
      <c r="B76" s="171"/>
      <c r="C76" s="171"/>
      <c r="D76" s="5">
        <v>70</v>
      </c>
      <c r="E76" s="5" t="s">
        <v>140</v>
      </c>
      <c r="F76" s="20"/>
      <c r="G76" s="20"/>
      <c r="H76" s="20"/>
      <c r="I76" s="22">
        <v>0.41199999999999998</v>
      </c>
      <c r="J76" s="20"/>
      <c r="K76" s="20"/>
      <c r="L76" s="20"/>
      <c r="M76" s="20"/>
      <c r="N76" s="20"/>
      <c r="O76" s="20"/>
      <c r="P76" s="20">
        <v>0.3</v>
      </c>
      <c r="Q76" s="20"/>
      <c r="R76" s="20"/>
      <c r="S76" s="20"/>
      <c r="T76" s="6">
        <f t="shared" si="4"/>
        <v>0.71199999999999997</v>
      </c>
      <c r="U76" s="10" t="s">
        <v>466</v>
      </c>
      <c r="V76" s="18"/>
      <c r="W76" s="1"/>
      <c r="X76" s="1"/>
      <c r="Y76" s="1"/>
      <c r="Z76" s="1"/>
    </row>
    <row r="77" spans="1:26" ht="39.75" customHeight="1">
      <c r="A77" s="171"/>
      <c r="B77" s="171"/>
      <c r="C77" s="171"/>
      <c r="D77" s="5">
        <v>71</v>
      </c>
      <c r="E77" s="5" t="s">
        <v>142</v>
      </c>
      <c r="F77" s="20"/>
      <c r="G77" s="20"/>
      <c r="H77" s="20"/>
      <c r="I77" s="20"/>
      <c r="J77" s="20"/>
      <c r="K77" s="20"/>
      <c r="L77" s="20"/>
      <c r="M77" s="20"/>
      <c r="N77" s="20"/>
      <c r="O77" s="20"/>
      <c r="P77" s="20"/>
      <c r="Q77" s="20"/>
      <c r="R77" s="20"/>
      <c r="S77" s="20"/>
      <c r="T77" s="6">
        <f t="shared" si="4"/>
        <v>0</v>
      </c>
      <c r="U77" s="10"/>
      <c r="V77" s="18"/>
      <c r="W77" s="1"/>
      <c r="X77" s="1"/>
      <c r="Y77" s="1"/>
      <c r="Z77" s="1"/>
    </row>
    <row r="78" spans="1:26" ht="39.75" customHeight="1">
      <c r="A78" s="171"/>
      <c r="B78" s="169"/>
      <c r="C78" s="169"/>
      <c r="D78" s="5">
        <v>72</v>
      </c>
      <c r="E78" s="5" t="s">
        <v>143</v>
      </c>
      <c r="F78" s="20"/>
      <c r="G78" s="20"/>
      <c r="H78" s="20"/>
      <c r="I78" s="20"/>
      <c r="J78" s="20"/>
      <c r="K78" s="20"/>
      <c r="L78" s="20"/>
      <c r="M78" s="20"/>
      <c r="N78" s="20">
        <v>5.875</v>
      </c>
      <c r="O78" s="20"/>
      <c r="P78" s="20"/>
      <c r="Q78" s="20">
        <v>3.323</v>
      </c>
      <c r="R78" s="20">
        <v>3.048</v>
      </c>
      <c r="S78" s="20"/>
      <c r="T78" s="6">
        <f t="shared" si="4"/>
        <v>12.246</v>
      </c>
      <c r="U78" s="10" t="s">
        <v>467</v>
      </c>
      <c r="V78" s="18"/>
      <c r="W78" s="1"/>
      <c r="X78" s="1"/>
      <c r="Y78" s="1"/>
      <c r="Z78" s="1"/>
    </row>
    <row r="79" spans="1:26" ht="39.75" customHeight="1">
      <c r="A79" s="171"/>
      <c r="B79" s="168" t="s">
        <v>145</v>
      </c>
      <c r="C79" s="168" t="s">
        <v>146</v>
      </c>
      <c r="D79" s="5">
        <v>73</v>
      </c>
      <c r="E79" s="5" t="s">
        <v>147</v>
      </c>
      <c r="F79" s="128">
        <v>6.8</v>
      </c>
      <c r="G79" s="128"/>
      <c r="H79" s="128">
        <v>2.5</v>
      </c>
      <c r="I79" s="128">
        <f>2.5+2.4+2+1.5</f>
        <v>8.4</v>
      </c>
      <c r="J79" s="112"/>
      <c r="K79" s="128">
        <f>3.1</f>
        <v>3.1</v>
      </c>
      <c r="L79" s="112"/>
      <c r="M79" s="128">
        <f>4.9+5.9</f>
        <v>10.8</v>
      </c>
      <c r="N79" s="128">
        <f>4.4+2.2+0.7</f>
        <v>7.3000000000000007</v>
      </c>
      <c r="O79" s="128"/>
      <c r="P79" s="128">
        <f>1.3+0.25+1.7</f>
        <v>3.25</v>
      </c>
      <c r="Q79" s="112"/>
      <c r="R79" s="128">
        <f>4.8+3.2+5.2+2.2+3.5+1.1</f>
        <v>20</v>
      </c>
      <c r="S79" s="128">
        <f>0.7</f>
        <v>0.7</v>
      </c>
      <c r="T79" s="129">
        <f>SUM(F79:S79)</f>
        <v>62.850000000000009</v>
      </c>
      <c r="U79" s="130" t="s">
        <v>787</v>
      </c>
      <c r="V79" s="1"/>
      <c r="W79" s="1"/>
      <c r="X79" s="1"/>
      <c r="Y79" s="1"/>
      <c r="Z79" s="1"/>
    </row>
    <row r="80" spans="1:26" ht="39.75" customHeight="1">
      <c r="A80" s="171"/>
      <c r="B80" s="171"/>
      <c r="C80" s="171"/>
      <c r="D80" s="5">
        <v>74</v>
      </c>
      <c r="E80" s="5" t="s">
        <v>148</v>
      </c>
      <c r="F80" s="128">
        <f>60+4.6</f>
        <v>64.599999999999994</v>
      </c>
      <c r="G80" s="128"/>
      <c r="H80" s="112"/>
      <c r="I80" s="112"/>
      <c r="J80" s="112"/>
      <c r="K80" s="112"/>
      <c r="L80" s="112"/>
      <c r="M80" s="112"/>
      <c r="N80" s="112"/>
      <c r="O80" s="112"/>
      <c r="P80" s="112"/>
      <c r="Q80" s="112"/>
      <c r="R80" s="112"/>
      <c r="S80" s="112"/>
      <c r="T80" s="129">
        <f t="shared" ref="T80:T84" si="5">SUM(F80:S80)</f>
        <v>64.599999999999994</v>
      </c>
      <c r="U80" s="130" t="s">
        <v>788</v>
      </c>
      <c r="V80" s="1"/>
      <c r="W80" s="1"/>
      <c r="X80" s="1"/>
      <c r="Y80" s="1"/>
      <c r="Z80" s="1"/>
    </row>
    <row r="81" spans="1:26" ht="39.75" customHeight="1">
      <c r="A81" s="171"/>
      <c r="B81" s="171"/>
      <c r="C81" s="171"/>
      <c r="D81" s="5">
        <v>75</v>
      </c>
      <c r="E81" s="5" t="s">
        <v>149</v>
      </c>
      <c r="F81" s="128">
        <f>5.2+2.1</f>
        <v>7.3000000000000007</v>
      </c>
      <c r="G81" s="128"/>
      <c r="H81" s="112"/>
      <c r="I81" s="112"/>
      <c r="J81" s="112"/>
      <c r="K81" s="112"/>
      <c r="L81" s="112"/>
      <c r="M81" s="112"/>
      <c r="N81" s="112"/>
      <c r="O81" s="112"/>
      <c r="P81" s="128">
        <f>11.8</f>
        <v>11.8</v>
      </c>
      <c r="Q81" s="112"/>
      <c r="R81" s="112"/>
      <c r="S81" s="112"/>
      <c r="T81" s="129">
        <f t="shared" si="5"/>
        <v>19.100000000000001</v>
      </c>
      <c r="U81" s="130" t="s">
        <v>789</v>
      </c>
      <c r="V81" s="1"/>
      <c r="W81" s="1"/>
      <c r="X81" s="1"/>
      <c r="Y81" s="1"/>
      <c r="Z81" s="1"/>
    </row>
    <row r="82" spans="1:26" ht="39.75" customHeight="1">
      <c r="A82" s="171"/>
      <c r="B82" s="171"/>
      <c r="C82" s="171"/>
      <c r="D82" s="5">
        <v>76</v>
      </c>
      <c r="E82" s="5" t="s">
        <v>150</v>
      </c>
      <c r="F82" s="112"/>
      <c r="G82" s="112"/>
      <c r="H82" s="112"/>
      <c r="I82" s="112"/>
      <c r="J82" s="112"/>
      <c r="K82" s="128"/>
      <c r="L82" s="112"/>
      <c r="M82" s="128">
        <v>2.4</v>
      </c>
      <c r="N82" s="112"/>
      <c r="O82" s="112"/>
      <c r="P82" s="112"/>
      <c r="Q82" s="112"/>
      <c r="R82" s="112"/>
      <c r="S82" s="112"/>
      <c r="T82" s="129">
        <f t="shared" si="5"/>
        <v>2.4</v>
      </c>
      <c r="U82" s="131" t="s">
        <v>775</v>
      </c>
      <c r="V82" s="1"/>
      <c r="W82" s="1"/>
      <c r="X82" s="1"/>
      <c r="Y82" s="1"/>
      <c r="Z82" s="1"/>
    </row>
    <row r="83" spans="1:26" ht="39.75" customHeight="1">
      <c r="A83" s="171"/>
      <c r="B83" s="171"/>
      <c r="C83" s="171"/>
      <c r="D83" s="5">
        <v>77</v>
      </c>
      <c r="E83" s="5" t="s">
        <v>151</v>
      </c>
      <c r="F83" s="128">
        <v>2.2000000000000002</v>
      </c>
      <c r="G83" s="128"/>
      <c r="H83" s="128">
        <v>1.5</v>
      </c>
      <c r="I83" s="128">
        <f>1+1</f>
        <v>2</v>
      </c>
      <c r="J83" s="112"/>
      <c r="K83" s="128">
        <f>2.3</f>
        <v>2.2999999999999998</v>
      </c>
      <c r="L83" s="112"/>
      <c r="M83" s="128"/>
      <c r="N83" s="128">
        <f>0.4</f>
        <v>0.4</v>
      </c>
      <c r="O83" s="112"/>
      <c r="P83" s="112"/>
      <c r="Q83" s="112"/>
      <c r="R83" s="112"/>
      <c r="S83" s="128">
        <v>0.5</v>
      </c>
      <c r="T83" s="129">
        <f t="shared" si="5"/>
        <v>8.9</v>
      </c>
      <c r="U83" s="130" t="s">
        <v>790</v>
      </c>
      <c r="V83" s="1"/>
      <c r="W83" s="1"/>
      <c r="X83" s="1"/>
      <c r="Y83" s="1"/>
      <c r="Z83" s="1"/>
    </row>
    <row r="84" spans="1:26" ht="39.75" customHeight="1">
      <c r="A84" s="171"/>
      <c r="B84" s="171"/>
      <c r="C84" s="171"/>
      <c r="D84" s="5">
        <v>78</v>
      </c>
      <c r="E84" s="5" t="s">
        <v>152</v>
      </c>
      <c r="F84" s="112"/>
      <c r="G84" s="112"/>
      <c r="H84" s="112"/>
      <c r="I84" s="112"/>
      <c r="J84" s="112"/>
      <c r="K84" s="112"/>
      <c r="L84" s="112"/>
      <c r="M84" s="112"/>
      <c r="N84" s="112"/>
      <c r="O84" s="112"/>
      <c r="P84" s="112"/>
      <c r="Q84" s="128">
        <f>12.6+1.5</f>
        <v>14.1</v>
      </c>
      <c r="R84" s="112"/>
      <c r="S84" s="112"/>
      <c r="T84" s="129">
        <f t="shared" si="5"/>
        <v>14.1</v>
      </c>
      <c r="U84" s="130" t="s">
        <v>791</v>
      </c>
      <c r="V84" s="1"/>
      <c r="W84" s="1"/>
      <c r="X84" s="1"/>
      <c r="Y84" s="1"/>
      <c r="Z84" s="1"/>
    </row>
    <row r="85" spans="1:26" ht="39.75" customHeight="1">
      <c r="A85" s="171"/>
      <c r="B85" s="169"/>
      <c r="C85" s="169"/>
      <c r="D85" s="5">
        <v>79</v>
      </c>
      <c r="E85" s="5" t="s">
        <v>54</v>
      </c>
      <c r="F85" s="112"/>
      <c r="G85" s="112"/>
      <c r="H85" s="112"/>
      <c r="I85" s="112"/>
      <c r="J85" s="112"/>
      <c r="K85" s="112"/>
      <c r="L85" s="112"/>
      <c r="M85" s="112"/>
      <c r="N85" s="112"/>
      <c r="O85" s="112"/>
      <c r="P85" s="112"/>
      <c r="Q85" s="112"/>
      <c r="R85" s="112"/>
      <c r="S85" s="112"/>
      <c r="T85" s="129"/>
      <c r="U85" s="112"/>
      <c r="V85" s="1"/>
      <c r="W85" s="1"/>
      <c r="X85" s="1"/>
      <c r="Y85" s="1"/>
      <c r="Z85" s="1"/>
    </row>
    <row r="86" spans="1:26" ht="39.75" customHeight="1">
      <c r="A86" s="171"/>
      <c r="B86" s="168" t="s">
        <v>153</v>
      </c>
      <c r="C86" s="168" t="s">
        <v>154</v>
      </c>
      <c r="D86" s="5">
        <v>80</v>
      </c>
      <c r="E86" s="5" t="s">
        <v>155</v>
      </c>
      <c r="F86" s="5"/>
      <c r="G86" s="5"/>
      <c r="H86" s="5"/>
      <c r="I86" s="5"/>
      <c r="J86" s="5"/>
      <c r="K86" s="25"/>
      <c r="L86" s="5"/>
      <c r="M86" s="6"/>
      <c r="N86" s="5"/>
      <c r="O86" s="5"/>
      <c r="P86" s="8">
        <v>3.6</v>
      </c>
      <c r="Q86" s="6">
        <v>1</v>
      </c>
      <c r="R86" s="8"/>
      <c r="S86" s="5"/>
      <c r="T86" s="6">
        <f t="shared" si="4"/>
        <v>4.5999999999999996</v>
      </c>
      <c r="U86" s="46"/>
      <c r="V86" s="1"/>
      <c r="W86" s="1"/>
      <c r="X86" s="1"/>
      <c r="Y86" s="1"/>
      <c r="Z86" s="1"/>
    </row>
    <row r="87" spans="1:26" ht="39.75" customHeight="1">
      <c r="A87" s="171"/>
      <c r="B87" s="171"/>
      <c r="C87" s="171"/>
      <c r="D87" s="5">
        <v>81</v>
      </c>
      <c r="E87" s="5" t="s">
        <v>156</v>
      </c>
      <c r="F87" s="5"/>
      <c r="G87" s="5"/>
      <c r="H87" s="5"/>
      <c r="I87" s="5"/>
      <c r="J87" s="5"/>
      <c r="K87" s="5"/>
      <c r="L87" s="5"/>
      <c r="M87" s="6"/>
      <c r="N87" s="6"/>
      <c r="O87" s="5"/>
      <c r="P87" s="8"/>
      <c r="Q87" s="8"/>
      <c r="R87" s="5"/>
      <c r="S87" s="5"/>
      <c r="T87" s="6">
        <f t="shared" si="4"/>
        <v>0</v>
      </c>
      <c r="U87" s="46" t="s">
        <v>468</v>
      </c>
      <c r="V87" s="1"/>
      <c r="W87" s="1"/>
      <c r="X87" s="1"/>
      <c r="Y87" s="1"/>
      <c r="Z87" s="1"/>
    </row>
    <row r="88" spans="1:26" ht="39.75" customHeight="1">
      <c r="A88" s="171"/>
      <c r="B88" s="171"/>
      <c r="C88" s="171"/>
      <c r="D88" s="5">
        <v>82</v>
      </c>
      <c r="E88" s="5" t="s">
        <v>157</v>
      </c>
      <c r="F88" s="5"/>
      <c r="G88" s="5"/>
      <c r="H88" s="5"/>
      <c r="I88" s="5"/>
      <c r="J88" s="5"/>
      <c r="K88" s="5"/>
      <c r="L88" s="5"/>
      <c r="M88" s="5"/>
      <c r="N88" s="5"/>
      <c r="O88" s="5"/>
      <c r="P88" s="8"/>
      <c r="Q88" s="5"/>
      <c r="R88" s="5"/>
      <c r="S88" s="5"/>
      <c r="T88" s="6">
        <f t="shared" si="4"/>
        <v>0</v>
      </c>
      <c r="U88" s="20"/>
      <c r="V88" s="1"/>
      <c r="W88" s="1"/>
      <c r="X88" s="1"/>
      <c r="Y88" s="1"/>
      <c r="Z88" s="1"/>
    </row>
    <row r="89" spans="1:26" ht="39.75" customHeight="1">
      <c r="A89" s="171"/>
      <c r="B89" s="169"/>
      <c r="C89" s="169"/>
      <c r="D89" s="5">
        <v>83</v>
      </c>
      <c r="E89" s="5" t="s">
        <v>158</v>
      </c>
      <c r="F89" s="5"/>
      <c r="G89" s="5"/>
      <c r="H89" s="5"/>
      <c r="I89" s="5"/>
      <c r="J89" s="5"/>
      <c r="K89" s="6">
        <v>3</v>
      </c>
      <c r="L89" s="5"/>
      <c r="M89" s="8"/>
      <c r="N89" s="6"/>
      <c r="O89" s="5"/>
      <c r="P89" s="8">
        <v>1.54</v>
      </c>
      <c r="Q89" s="6"/>
      <c r="R89" s="8"/>
      <c r="S89" s="5"/>
      <c r="T89" s="6">
        <f t="shared" si="4"/>
        <v>4.54</v>
      </c>
      <c r="U89" s="20" t="s">
        <v>607</v>
      </c>
      <c r="V89" s="1"/>
      <c r="W89" s="1"/>
      <c r="X89" s="1"/>
      <c r="Y89" s="1"/>
      <c r="Z89" s="1"/>
    </row>
    <row r="90" spans="1:26" ht="39.75" customHeight="1">
      <c r="A90" s="171"/>
      <c r="B90" s="5" t="s">
        <v>159</v>
      </c>
      <c r="C90" s="5" t="s">
        <v>160</v>
      </c>
      <c r="D90" s="5">
        <v>84</v>
      </c>
      <c r="E90" s="5" t="s">
        <v>161</v>
      </c>
      <c r="F90" s="5"/>
      <c r="G90" s="5"/>
      <c r="H90" s="5"/>
      <c r="I90" s="6"/>
      <c r="J90" s="5"/>
      <c r="K90" s="6"/>
      <c r="L90" s="5"/>
      <c r="M90" s="5"/>
      <c r="N90" s="6">
        <v>0.78</v>
      </c>
      <c r="O90" s="5"/>
      <c r="P90" s="5"/>
      <c r="Q90" s="6">
        <v>2.5</v>
      </c>
      <c r="R90" s="8">
        <v>0.2</v>
      </c>
      <c r="S90" s="5"/>
      <c r="T90" s="6">
        <f t="shared" si="4"/>
        <v>3.4800000000000004</v>
      </c>
      <c r="U90" s="9" t="s">
        <v>581</v>
      </c>
      <c r="V90" s="1"/>
      <c r="W90" s="1"/>
      <c r="X90" s="1"/>
      <c r="Y90" s="1"/>
      <c r="Z90" s="1"/>
    </row>
    <row r="91" spans="1:26" ht="39.75" customHeight="1">
      <c r="A91" s="171"/>
      <c r="B91" s="5" t="s">
        <v>162</v>
      </c>
      <c r="C91" s="5" t="s">
        <v>163</v>
      </c>
      <c r="D91" s="5">
        <v>85</v>
      </c>
      <c r="E91" s="5" t="s">
        <v>164</v>
      </c>
      <c r="F91" s="5"/>
      <c r="G91" s="5"/>
      <c r="H91" s="5"/>
      <c r="I91" s="5"/>
      <c r="J91" s="5"/>
      <c r="K91" s="6"/>
      <c r="L91" s="5"/>
      <c r="M91" s="5"/>
      <c r="N91" s="6">
        <v>0.25</v>
      </c>
      <c r="O91" s="5"/>
      <c r="P91" s="5"/>
      <c r="Q91" s="6">
        <v>1</v>
      </c>
      <c r="R91" s="8"/>
      <c r="S91" s="5"/>
      <c r="T91" s="6">
        <f t="shared" si="4"/>
        <v>1.25</v>
      </c>
      <c r="U91" s="9" t="s">
        <v>165</v>
      </c>
      <c r="V91" s="1"/>
      <c r="W91" s="1"/>
      <c r="X91" s="1"/>
      <c r="Y91" s="1"/>
      <c r="Z91" s="1"/>
    </row>
    <row r="92" spans="1:26" ht="39.75" customHeight="1">
      <c r="A92" s="171"/>
      <c r="B92" s="5" t="s">
        <v>166</v>
      </c>
      <c r="C92" s="5" t="s">
        <v>54</v>
      </c>
      <c r="D92" s="5">
        <v>86</v>
      </c>
      <c r="E92" s="5" t="s">
        <v>167</v>
      </c>
      <c r="F92" s="5"/>
      <c r="G92" s="5"/>
      <c r="H92" s="5"/>
      <c r="I92" s="5"/>
      <c r="J92" s="5"/>
      <c r="K92" s="5"/>
      <c r="L92" s="5"/>
      <c r="M92" s="5"/>
      <c r="N92" s="5"/>
      <c r="O92" s="5"/>
      <c r="P92" s="5"/>
      <c r="Q92" s="5"/>
      <c r="R92" s="5"/>
      <c r="S92" s="5"/>
      <c r="T92" s="6">
        <f t="shared" si="4"/>
        <v>0</v>
      </c>
      <c r="U92" s="9"/>
      <c r="V92" s="1"/>
      <c r="W92" s="1"/>
      <c r="X92" s="1"/>
      <c r="Y92" s="1"/>
      <c r="Z92" s="1"/>
    </row>
    <row r="93" spans="1:26" ht="39.75" customHeight="1">
      <c r="A93" s="169"/>
      <c r="B93" s="176" t="s">
        <v>168</v>
      </c>
      <c r="C93" s="177"/>
      <c r="D93" s="178"/>
      <c r="E93" s="51"/>
      <c r="F93" s="51">
        <f t="shared" ref="F93:S93" si="6">SUM(F69:F92)</f>
        <v>80.899999999999991</v>
      </c>
      <c r="G93" s="51">
        <f t="shared" si="6"/>
        <v>0</v>
      </c>
      <c r="H93" s="51">
        <f t="shared" si="6"/>
        <v>4</v>
      </c>
      <c r="I93" s="51">
        <f t="shared" si="6"/>
        <v>11.887</v>
      </c>
      <c r="J93" s="51">
        <f t="shared" si="6"/>
        <v>0</v>
      </c>
      <c r="K93" s="51">
        <f t="shared" si="6"/>
        <v>8.4</v>
      </c>
      <c r="L93" s="51">
        <f t="shared" si="6"/>
        <v>0</v>
      </c>
      <c r="M93" s="56">
        <f t="shared" si="6"/>
        <v>13.88</v>
      </c>
      <c r="N93" s="52">
        <f t="shared" si="6"/>
        <v>34.475000000000001</v>
      </c>
      <c r="O93" s="51">
        <f t="shared" si="6"/>
        <v>103.91249999999999</v>
      </c>
      <c r="P93" s="52">
        <f t="shared" si="6"/>
        <v>70.305000000000007</v>
      </c>
      <c r="Q93" s="51">
        <f t="shared" si="6"/>
        <v>27.368000000000002</v>
      </c>
      <c r="R93" s="56">
        <f t="shared" si="6"/>
        <v>41.298000000000002</v>
      </c>
      <c r="S93" s="56">
        <f t="shared" si="6"/>
        <v>25.060000000000002</v>
      </c>
      <c r="T93" s="52">
        <f t="shared" si="4"/>
        <v>421.4855</v>
      </c>
      <c r="U93" s="9"/>
      <c r="V93" s="1"/>
      <c r="W93" s="1"/>
      <c r="X93" s="1"/>
      <c r="Y93" s="1"/>
      <c r="Z93" s="1"/>
    </row>
    <row r="94" spans="1:26" ht="39.75" customHeight="1">
      <c r="A94" s="175" t="s">
        <v>169</v>
      </c>
      <c r="B94" s="168" t="s">
        <v>170</v>
      </c>
      <c r="C94" s="168" t="s">
        <v>171</v>
      </c>
      <c r="D94" s="5">
        <v>87</v>
      </c>
      <c r="E94" s="5" t="s">
        <v>172</v>
      </c>
      <c r="F94" s="114">
        <v>0</v>
      </c>
      <c r="G94" s="114"/>
      <c r="H94" s="114"/>
      <c r="I94" s="114"/>
      <c r="J94" s="114"/>
      <c r="K94" s="115">
        <v>9</v>
      </c>
      <c r="L94" s="114"/>
      <c r="M94" s="114"/>
      <c r="N94" s="114"/>
      <c r="O94" s="114"/>
      <c r="P94" s="114"/>
      <c r="Q94" s="114"/>
      <c r="R94" s="114"/>
      <c r="S94" s="116"/>
      <c r="T94" s="117">
        <f>SUM(F94:S94)</f>
        <v>9</v>
      </c>
      <c r="U94" s="88" t="s">
        <v>723</v>
      </c>
      <c r="V94" s="18"/>
      <c r="W94" s="1"/>
      <c r="X94" s="1"/>
      <c r="Y94" s="1"/>
      <c r="Z94" s="1"/>
    </row>
    <row r="95" spans="1:26" ht="39.75" customHeight="1">
      <c r="A95" s="171"/>
      <c r="B95" s="171"/>
      <c r="C95" s="171"/>
      <c r="D95" s="5">
        <v>88</v>
      </c>
      <c r="E95" s="5" t="s">
        <v>173</v>
      </c>
      <c r="F95" s="114"/>
      <c r="G95" s="114"/>
      <c r="H95" s="114"/>
      <c r="I95" s="114"/>
      <c r="J95" s="114"/>
      <c r="K95" s="114"/>
      <c r="L95" s="114"/>
      <c r="M95" s="114"/>
      <c r="N95" s="114"/>
      <c r="O95" s="114"/>
      <c r="P95" s="118">
        <v>10</v>
      </c>
      <c r="Q95" s="114"/>
      <c r="R95" s="114"/>
      <c r="S95" s="116"/>
      <c r="T95" s="117">
        <f t="shared" ref="T95:T103" si="7">SUM(F95:S95)</f>
        <v>10</v>
      </c>
      <c r="U95" s="88" t="s">
        <v>372</v>
      </c>
      <c r="V95" s="18"/>
      <c r="W95" s="1"/>
      <c r="X95" s="1"/>
      <c r="Y95" s="1"/>
      <c r="Z95" s="1"/>
    </row>
    <row r="96" spans="1:26" ht="39.75" customHeight="1">
      <c r="A96" s="171"/>
      <c r="B96" s="171"/>
      <c r="C96" s="171"/>
      <c r="D96" s="5">
        <v>89</v>
      </c>
      <c r="E96" s="5" t="s">
        <v>174</v>
      </c>
      <c r="F96" s="114"/>
      <c r="G96" s="114"/>
      <c r="H96" s="114"/>
      <c r="I96" s="114"/>
      <c r="J96" s="114"/>
      <c r="K96" s="114"/>
      <c r="L96" s="114"/>
      <c r="M96" s="114"/>
      <c r="N96" s="114"/>
      <c r="O96" s="114"/>
      <c r="P96" s="114"/>
      <c r="Q96" s="114"/>
      <c r="R96" s="114"/>
      <c r="S96" s="116"/>
      <c r="T96" s="117">
        <f t="shared" si="7"/>
        <v>0</v>
      </c>
      <c r="U96" s="88"/>
      <c r="V96" s="18"/>
      <c r="W96" s="1"/>
      <c r="X96" s="1"/>
      <c r="Y96" s="1"/>
      <c r="Z96" s="1"/>
    </row>
    <row r="97" spans="1:26" ht="39.75" customHeight="1">
      <c r="A97" s="171"/>
      <c r="B97" s="171"/>
      <c r="C97" s="171"/>
      <c r="D97" s="5">
        <v>90</v>
      </c>
      <c r="E97" s="5" t="s">
        <v>175</v>
      </c>
      <c r="F97" s="114"/>
      <c r="G97" s="114"/>
      <c r="H97" s="114"/>
      <c r="I97" s="114"/>
      <c r="J97" s="114"/>
      <c r="K97" s="114"/>
      <c r="L97" s="114"/>
      <c r="M97" s="114"/>
      <c r="N97" s="114"/>
      <c r="O97" s="114"/>
      <c r="P97" s="118"/>
      <c r="Q97" s="114"/>
      <c r="R97" s="114"/>
      <c r="S97" s="116"/>
      <c r="T97" s="117">
        <f t="shared" si="7"/>
        <v>0</v>
      </c>
      <c r="U97" s="88"/>
      <c r="V97" s="18"/>
      <c r="W97" s="1"/>
      <c r="X97" s="1"/>
      <c r="Y97" s="1"/>
      <c r="Z97" s="1"/>
    </row>
    <row r="98" spans="1:26" ht="39.75" customHeight="1">
      <c r="A98" s="171"/>
      <c r="B98" s="171"/>
      <c r="C98" s="171"/>
      <c r="D98" s="5">
        <v>91</v>
      </c>
      <c r="E98" s="5" t="s">
        <v>176</v>
      </c>
      <c r="F98" s="114"/>
      <c r="G98" s="114"/>
      <c r="H98" s="114"/>
      <c r="I98" s="114"/>
      <c r="J98" s="114"/>
      <c r="K98" s="115">
        <v>0</v>
      </c>
      <c r="L98" s="114"/>
      <c r="M98" s="114"/>
      <c r="N98" s="114"/>
      <c r="O98" s="114"/>
      <c r="P98" s="118">
        <v>4</v>
      </c>
      <c r="Q98" s="114"/>
      <c r="R98" s="114"/>
      <c r="S98" s="116"/>
      <c r="T98" s="117">
        <f t="shared" si="7"/>
        <v>4</v>
      </c>
      <c r="U98" s="119" t="s">
        <v>724</v>
      </c>
      <c r="V98" s="18"/>
      <c r="W98" s="1"/>
      <c r="X98" s="1"/>
      <c r="Y98" s="1"/>
      <c r="Z98" s="1"/>
    </row>
    <row r="99" spans="1:26" ht="39.75" customHeight="1">
      <c r="A99" s="171"/>
      <c r="B99" s="171"/>
      <c r="C99" s="171"/>
      <c r="D99" s="5">
        <v>92</v>
      </c>
      <c r="E99" s="5" t="s">
        <v>178</v>
      </c>
      <c r="F99" s="114"/>
      <c r="G99" s="114"/>
      <c r="H99" s="114"/>
      <c r="I99" s="114"/>
      <c r="J99" s="114"/>
      <c r="K99" s="114"/>
      <c r="L99" s="114"/>
      <c r="M99" s="114"/>
      <c r="N99" s="114"/>
      <c r="O99" s="114"/>
      <c r="P99" s="118">
        <v>0</v>
      </c>
      <c r="Q99" s="114"/>
      <c r="R99" s="114"/>
      <c r="S99" s="116"/>
      <c r="T99" s="117">
        <f t="shared" si="7"/>
        <v>0</v>
      </c>
      <c r="U99" s="120"/>
      <c r="V99" s="18"/>
      <c r="W99" s="1"/>
      <c r="X99" s="1"/>
      <c r="Y99" s="1"/>
      <c r="Z99" s="1"/>
    </row>
    <row r="100" spans="1:26" ht="39.75" customHeight="1">
      <c r="A100" s="171"/>
      <c r="B100" s="171"/>
      <c r="C100" s="171"/>
      <c r="D100" s="5">
        <v>93</v>
      </c>
      <c r="E100" s="5" t="s">
        <v>180</v>
      </c>
      <c r="F100" s="114"/>
      <c r="G100" s="114"/>
      <c r="H100" s="114"/>
      <c r="I100" s="118"/>
      <c r="J100" s="114"/>
      <c r="K100" s="114"/>
      <c r="L100" s="114"/>
      <c r="M100" s="114"/>
      <c r="N100" s="114"/>
      <c r="O100" s="114"/>
      <c r="P100" s="114"/>
      <c r="Q100" s="114"/>
      <c r="R100" s="114"/>
      <c r="S100" s="116"/>
      <c r="T100" s="117">
        <f t="shared" si="7"/>
        <v>0</v>
      </c>
      <c r="U100" s="119"/>
      <c r="V100" s="18"/>
      <c r="W100" s="1"/>
      <c r="X100" s="1"/>
      <c r="Y100" s="1"/>
      <c r="Z100" s="1"/>
    </row>
    <row r="101" spans="1:26" ht="39.75" customHeight="1">
      <c r="A101" s="171"/>
      <c r="B101" s="171"/>
      <c r="C101" s="171"/>
      <c r="D101" s="5">
        <v>94</v>
      </c>
      <c r="E101" s="5" t="s">
        <v>181</v>
      </c>
      <c r="F101" s="114"/>
      <c r="G101" s="114"/>
      <c r="H101" s="114"/>
      <c r="I101" s="118"/>
      <c r="J101" s="114"/>
      <c r="K101" s="114"/>
      <c r="L101" s="114"/>
      <c r="M101" s="114"/>
      <c r="N101" s="114"/>
      <c r="O101" s="114"/>
      <c r="P101" s="114"/>
      <c r="Q101" s="114"/>
      <c r="R101" s="114"/>
      <c r="S101" s="116"/>
      <c r="T101" s="117">
        <f t="shared" si="7"/>
        <v>0</v>
      </c>
      <c r="U101" s="120"/>
      <c r="V101" s="18"/>
      <c r="W101" s="1"/>
      <c r="X101" s="1"/>
      <c r="Y101" s="1"/>
      <c r="Z101" s="1"/>
    </row>
    <row r="102" spans="1:26" ht="39.75" customHeight="1">
      <c r="A102" s="171"/>
      <c r="B102" s="171"/>
      <c r="C102" s="171"/>
      <c r="D102" s="5">
        <v>95</v>
      </c>
      <c r="E102" s="5" t="s">
        <v>182</v>
      </c>
      <c r="F102" s="114"/>
      <c r="G102" s="114"/>
      <c r="H102" s="118"/>
      <c r="I102" s="115">
        <v>6</v>
      </c>
      <c r="J102" s="114"/>
      <c r="K102" s="114"/>
      <c r="L102" s="114"/>
      <c r="M102" s="114"/>
      <c r="N102" s="114"/>
      <c r="O102" s="114"/>
      <c r="P102" s="114"/>
      <c r="Q102" s="114"/>
      <c r="R102" s="114"/>
      <c r="S102" s="116"/>
      <c r="T102" s="117">
        <f t="shared" si="7"/>
        <v>6</v>
      </c>
      <c r="U102" s="88" t="s">
        <v>725</v>
      </c>
      <c r="V102" s="18"/>
      <c r="W102" s="1"/>
      <c r="X102" s="1"/>
      <c r="Y102" s="1"/>
      <c r="Z102" s="1"/>
    </row>
    <row r="103" spans="1:26" ht="39.75" customHeight="1">
      <c r="A103" s="171"/>
      <c r="B103" s="169"/>
      <c r="C103" s="169"/>
      <c r="D103" s="5">
        <v>96</v>
      </c>
      <c r="E103" s="5" t="s">
        <v>183</v>
      </c>
      <c r="F103" s="114"/>
      <c r="G103" s="114"/>
      <c r="H103" s="114"/>
      <c r="I103" s="114"/>
      <c r="J103" s="114"/>
      <c r="K103" s="114"/>
      <c r="L103" s="114"/>
      <c r="M103" s="114"/>
      <c r="N103" s="115"/>
      <c r="O103" s="114"/>
      <c r="P103" s="114"/>
      <c r="Q103" s="115">
        <v>1</v>
      </c>
      <c r="R103" s="118">
        <v>1</v>
      </c>
      <c r="S103" s="116"/>
      <c r="T103" s="117">
        <f t="shared" si="7"/>
        <v>2</v>
      </c>
      <c r="U103" s="88" t="s">
        <v>421</v>
      </c>
      <c r="V103" s="18"/>
      <c r="W103" s="1"/>
      <c r="X103" s="1"/>
      <c r="Y103" s="1"/>
      <c r="Z103" s="1"/>
    </row>
    <row r="104" spans="1:26" ht="39.75" customHeight="1">
      <c r="A104" s="171"/>
      <c r="B104" s="168" t="s">
        <v>184</v>
      </c>
      <c r="C104" s="168" t="s">
        <v>185</v>
      </c>
      <c r="D104" s="5">
        <v>97</v>
      </c>
      <c r="E104" s="5" t="s">
        <v>186</v>
      </c>
      <c r="F104" s="5"/>
      <c r="G104" s="5"/>
      <c r="H104" s="5"/>
      <c r="I104" s="6"/>
      <c r="J104" s="5"/>
      <c r="K104" s="6"/>
      <c r="L104" s="5"/>
      <c r="M104" s="6">
        <v>2.86</v>
      </c>
      <c r="N104" s="6">
        <v>5.5</v>
      </c>
      <c r="O104" s="5"/>
      <c r="P104" s="8">
        <v>23.1</v>
      </c>
      <c r="Q104" s="6">
        <v>4</v>
      </c>
      <c r="R104" s="8">
        <v>23.55</v>
      </c>
      <c r="S104" s="5"/>
      <c r="T104" s="6">
        <f t="shared" si="4"/>
        <v>59.010000000000005</v>
      </c>
      <c r="U104" s="10" t="s">
        <v>373</v>
      </c>
      <c r="V104" s="1"/>
      <c r="W104" s="1"/>
      <c r="X104" s="1"/>
      <c r="Y104" s="1"/>
      <c r="Z104" s="1"/>
    </row>
    <row r="105" spans="1:26" ht="39.75" customHeight="1">
      <c r="A105" s="171"/>
      <c r="B105" s="169"/>
      <c r="C105" s="169"/>
      <c r="D105" s="5">
        <v>98</v>
      </c>
      <c r="E105" s="5" t="s">
        <v>54</v>
      </c>
      <c r="F105" s="5"/>
      <c r="G105" s="5"/>
      <c r="H105" s="5"/>
      <c r="I105" s="5"/>
      <c r="J105" s="5"/>
      <c r="K105" s="5"/>
      <c r="L105" s="5"/>
      <c r="M105" s="5"/>
      <c r="N105" s="5"/>
      <c r="O105" s="5"/>
      <c r="P105" s="5"/>
      <c r="Q105" s="5"/>
      <c r="R105" s="5"/>
      <c r="S105" s="5"/>
      <c r="T105" s="6">
        <f t="shared" si="4"/>
        <v>0</v>
      </c>
      <c r="U105" s="46"/>
      <c r="V105" s="1"/>
      <c r="W105" s="1"/>
      <c r="X105" s="1"/>
      <c r="Y105" s="1"/>
      <c r="Z105" s="1"/>
    </row>
    <row r="106" spans="1:26" ht="39.75" customHeight="1">
      <c r="A106" s="171"/>
      <c r="B106" s="168" t="s">
        <v>188</v>
      </c>
      <c r="C106" s="168" t="s">
        <v>189</v>
      </c>
      <c r="D106" s="5">
        <v>99</v>
      </c>
      <c r="E106" s="5" t="s">
        <v>190</v>
      </c>
      <c r="F106" s="5"/>
      <c r="G106" s="5"/>
      <c r="H106" s="8"/>
      <c r="I106" s="6">
        <v>2</v>
      </c>
      <c r="J106" s="5"/>
      <c r="K106" s="6"/>
      <c r="L106" s="5"/>
      <c r="M106" s="5"/>
      <c r="N106" s="6">
        <v>0.8</v>
      </c>
      <c r="O106" s="5"/>
      <c r="P106" s="5"/>
      <c r="Q106" s="6">
        <v>2</v>
      </c>
      <c r="R106" s="5"/>
      <c r="S106" s="5"/>
      <c r="T106" s="6">
        <f t="shared" si="4"/>
        <v>4.8</v>
      </c>
      <c r="U106" s="46" t="s">
        <v>374</v>
      </c>
      <c r="V106" s="1"/>
      <c r="W106" s="1"/>
      <c r="X106" s="1"/>
      <c r="Y106" s="1"/>
      <c r="Z106" s="1"/>
    </row>
    <row r="107" spans="1:26" ht="39.75" customHeight="1">
      <c r="A107" s="171"/>
      <c r="B107" s="171"/>
      <c r="C107" s="171"/>
      <c r="D107" s="5">
        <v>100</v>
      </c>
      <c r="E107" s="5" t="s">
        <v>192</v>
      </c>
      <c r="F107" s="5"/>
      <c r="G107" s="5"/>
      <c r="H107" s="5"/>
      <c r="I107" s="6">
        <v>1.05</v>
      </c>
      <c r="J107" s="5"/>
      <c r="K107" s="6"/>
      <c r="L107" s="5"/>
      <c r="M107" s="5"/>
      <c r="N107" s="5"/>
      <c r="O107" s="5"/>
      <c r="P107" s="5"/>
      <c r="Q107" s="5"/>
      <c r="R107" s="5"/>
      <c r="S107" s="5"/>
      <c r="T107" s="6">
        <f t="shared" si="4"/>
        <v>1.05</v>
      </c>
      <c r="U107" s="46" t="s">
        <v>193</v>
      </c>
      <c r="V107" s="1"/>
      <c r="W107" s="1"/>
      <c r="X107" s="1"/>
      <c r="Y107" s="1"/>
      <c r="Z107" s="1"/>
    </row>
    <row r="108" spans="1:26" ht="39.75" customHeight="1">
      <c r="A108" s="171"/>
      <c r="B108" s="171"/>
      <c r="C108" s="171"/>
      <c r="D108" s="5">
        <v>101</v>
      </c>
      <c r="E108" s="5" t="s">
        <v>194</v>
      </c>
      <c r="F108" s="5"/>
      <c r="G108" s="5"/>
      <c r="H108" s="5"/>
      <c r="I108" s="5"/>
      <c r="J108" s="5"/>
      <c r="K108" s="5"/>
      <c r="L108" s="5"/>
      <c r="M108" s="5"/>
      <c r="N108" s="5"/>
      <c r="O108" s="5"/>
      <c r="P108" s="5"/>
      <c r="Q108" s="5"/>
      <c r="R108" s="5"/>
      <c r="S108" s="5"/>
      <c r="T108" s="6">
        <f t="shared" si="4"/>
        <v>0</v>
      </c>
      <c r="U108" s="9"/>
      <c r="V108" s="1"/>
      <c r="W108" s="1"/>
      <c r="X108" s="1"/>
      <c r="Y108" s="1"/>
      <c r="Z108" s="1"/>
    </row>
    <row r="109" spans="1:26" ht="39.75" customHeight="1">
      <c r="A109" s="171"/>
      <c r="B109" s="171"/>
      <c r="C109" s="171"/>
      <c r="D109" s="5">
        <v>102</v>
      </c>
      <c r="E109" s="5" t="s">
        <v>195</v>
      </c>
      <c r="F109" s="5"/>
      <c r="G109" s="5"/>
      <c r="H109" s="5"/>
      <c r="I109" s="5"/>
      <c r="J109" s="5"/>
      <c r="K109" s="5"/>
      <c r="L109" s="5"/>
      <c r="M109" s="5"/>
      <c r="N109" s="5"/>
      <c r="O109" s="5"/>
      <c r="P109" s="5"/>
      <c r="Q109" s="6"/>
      <c r="R109" s="5"/>
      <c r="S109" s="5"/>
      <c r="T109" s="6">
        <f t="shared" si="4"/>
        <v>0</v>
      </c>
      <c r="U109" s="9"/>
      <c r="V109" s="1"/>
      <c r="W109" s="1"/>
      <c r="X109" s="1"/>
      <c r="Y109" s="1"/>
      <c r="Z109" s="1"/>
    </row>
    <row r="110" spans="1:26" ht="39.75" customHeight="1">
      <c r="A110" s="171"/>
      <c r="B110" s="169"/>
      <c r="C110" s="169"/>
      <c r="D110" s="5">
        <v>103</v>
      </c>
      <c r="E110" s="5" t="s">
        <v>54</v>
      </c>
      <c r="F110" s="5"/>
      <c r="G110" s="5"/>
      <c r="H110" s="5"/>
      <c r="I110" s="5"/>
      <c r="J110" s="5"/>
      <c r="K110" s="5"/>
      <c r="L110" s="5"/>
      <c r="M110" s="5"/>
      <c r="N110" s="5"/>
      <c r="O110" s="5"/>
      <c r="P110" s="8">
        <v>1.1000000000000001</v>
      </c>
      <c r="Q110" s="5"/>
      <c r="R110" s="8"/>
      <c r="S110" s="8"/>
      <c r="T110" s="6">
        <f t="shared" si="4"/>
        <v>1.1000000000000001</v>
      </c>
      <c r="U110" s="10" t="s">
        <v>196</v>
      </c>
      <c r="V110" s="1"/>
      <c r="W110" s="1"/>
      <c r="X110" s="1"/>
      <c r="Y110" s="1"/>
      <c r="Z110" s="1"/>
    </row>
    <row r="111" spans="1:26" ht="39.75" customHeight="1">
      <c r="A111" s="171"/>
      <c r="B111" s="168" t="s">
        <v>197</v>
      </c>
      <c r="C111" s="168" t="s">
        <v>198</v>
      </c>
      <c r="D111" s="5">
        <v>104</v>
      </c>
      <c r="E111" s="5" t="s">
        <v>199</v>
      </c>
      <c r="F111" s="5"/>
      <c r="G111" s="5"/>
      <c r="H111" s="5"/>
      <c r="I111" s="5"/>
      <c r="J111" s="5"/>
      <c r="K111" s="5"/>
      <c r="L111" s="5"/>
      <c r="M111" s="5"/>
      <c r="N111" s="8">
        <v>2</v>
      </c>
      <c r="O111" s="5"/>
      <c r="P111" s="8">
        <v>3</v>
      </c>
      <c r="Q111" s="8">
        <v>1</v>
      </c>
      <c r="R111" s="8"/>
      <c r="S111" s="8"/>
      <c r="T111" s="6">
        <f t="shared" si="4"/>
        <v>6</v>
      </c>
      <c r="U111" s="113" t="s">
        <v>691</v>
      </c>
      <c r="V111" s="1"/>
      <c r="W111" s="1"/>
      <c r="X111" s="1"/>
      <c r="Y111" s="1"/>
      <c r="Z111" s="1"/>
    </row>
    <row r="112" spans="1:26" ht="39.75" customHeight="1">
      <c r="A112" s="171"/>
      <c r="B112" s="171"/>
      <c r="C112" s="171"/>
      <c r="D112" s="5">
        <v>105</v>
      </c>
      <c r="E112" s="5" t="s">
        <v>200</v>
      </c>
      <c r="F112" s="5"/>
      <c r="G112" s="5"/>
      <c r="H112" s="5"/>
      <c r="I112" s="5"/>
      <c r="J112" s="5"/>
      <c r="K112" s="5"/>
      <c r="L112" s="5"/>
      <c r="M112" s="5"/>
      <c r="N112" s="5"/>
      <c r="O112" s="5"/>
      <c r="P112" s="5"/>
      <c r="Q112" s="5"/>
      <c r="R112" s="5"/>
      <c r="S112" s="5"/>
      <c r="T112" s="6">
        <f t="shared" si="4"/>
        <v>0</v>
      </c>
      <c r="U112" s="9"/>
      <c r="V112" s="1"/>
      <c r="W112" s="1"/>
      <c r="X112" s="1"/>
      <c r="Y112" s="1"/>
      <c r="Z112" s="1"/>
    </row>
    <row r="113" spans="1:26" ht="39.75" customHeight="1">
      <c r="A113" s="171"/>
      <c r="B113" s="169"/>
      <c r="C113" s="169"/>
      <c r="D113" s="5">
        <v>106</v>
      </c>
      <c r="E113" s="5" t="s">
        <v>201</v>
      </c>
      <c r="F113" s="5"/>
      <c r="G113" s="5"/>
      <c r="H113" s="5"/>
      <c r="I113" s="6"/>
      <c r="J113" s="5"/>
      <c r="K113" s="6"/>
      <c r="L113" s="5"/>
      <c r="M113" s="5"/>
      <c r="N113" s="6"/>
      <c r="O113" s="5"/>
      <c r="P113" s="8"/>
      <c r="Q113" s="6">
        <v>2</v>
      </c>
      <c r="R113" s="8">
        <v>3</v>
      </c>
      <c r="S113" s="8"/>
      <c r="T113" s="6">
        <f t="shared" si="4"/>
        <v>5</v>
      </c>
      <c r="U113" s="113" t="s">
        <v>689</v>
      </c>
      <c r="V113" s="1"/>
      <c r="W113" s="1"/>
      <c r="X113" s="1"/>
      <c r="Y113" s="1"/>
      <c r="Z113" s="1"/>
    </row>
    <row r="114" spans="1:26" ht="39.75" customHeight="1">
      <c r="A114" s="171"/>
      <c r="B114" s="168" t="s">
        <v>202</v>
      </c>
      <c r="C114" s="168" t="s">
        <v>203</v>
      </c>
      <c r="D114" s="5">
        <v>107</v>
      </c>
      <c r="E114" s="5" t="s">
        <v>204</v>
      </c>
      <c r="F114" s="5"/>
      <c r="G114" s="5"/>
      <c r="H114" s="5"/>
      <c r="I114" s="6"/>
      <c r="J114" s="5"/>
      <c r="K114" s="6"/>
      <c r="L114" s="5"/>
      <c r="M114" s="5"/>
      <c r="N114" s="6"/>
      <c r="O114" s="5"/>
      <c r="P114" s="8">
        <v>3.5</v>
      </c>
      <c r="Q114" s="5"/>
      <c r="R114" s="8"/>
      <c r="S114" s="5"/>
      <c r="T114" s="6">
        <f t="shared" si="4"/>
        <v>3.5</v>
      </c>
      <c r="U114" s="46" t="s">
        <v>205</v>
      </c>
      <c r="V114" s="1"/>
      <c r="W114" s="1"/>
      <c r="X114" s="1"/>
      <c r="Y114" s="1"/>
      <c r="Z114" s="1"/>
    </row>
    <row r="115" spans="1:26" ht="39.75" customHeight="1">
      <c r="A115" s="171"/>
      <c r="B115" s="171"/>
      <c r="C115" s="171"/>
      <c r="D115" s="5">
        <v>108</v>
      </c>
      <c r="E115" s="5" t="s">
        <v>206</v>
      </c>
      <c r="F115" s="5"/>
      <c r="G115" s="5"/>
      <c r="H115" s="5"/>
      <c r="I115" s="6"/>
      <c r="J115" s="5"/>
      <c r="K115" s="6"/>
      <c r="L115" s="5"/>
      <c r="M115" s="5"/>
      <c r="N115" s="5"/>
      <c r="O115" s="5"/>
      <c r="P115" s="8">
        <v>16.8</v>
      </c>
      <c r="Q115" s="5"/>
      <c r="R115" s="5"/>
      <c r="S115" s="5"/>
      <c r="T115" s="6">
        <f t="shared" si="4"/>
        <v>16.8</v>
      </c>
      <c r="U115" s="46" t="s">
        <v>207</v>
      </c>
      <c r="V115" s="1"/>
      <c r="W115" s="1"/>
      <c r="X115" s="1"/>
      <c r="Y115" s="1"/>
      <c r="Z115" s="1"/>
    </row>
    <row r="116" spans="1:26" ht="39.75" customHeight="1">
      <c r="A116" s="171"/>
      <c r="B116" s="171"/>
      <c r="C116" s="171"/>
      <c r="D116" s="5">
        <v>109</v>
      </c>
      <c r="E116" s="5" t="s">
        <v>208</v>
      </c>
      <c r="F116" s="5"/>
      <c r="G116" s="5"/>
      <c r="H116" s="8"/>
      <c r="I116" s="6"/>
      <c r="J116" s="5"/>
      <c r="K116" s="6"/>
      <c r="L116" s="5"/>
      <c r="M116" s="5"/>
      <c r="N116" s="5"/>
      <c r="O116" s="5"/>
      <c r="P116" s="5"/>
      <c r="Q116" s="5"/>
      <c r="R116" s="5"/>
      <c r="S116" s="5"/>
      <c r="T116" s="6">
        <f t="shared" si="4"/>
        <v>0</v>
      </c>
      <c r="U116" s="9"/>
      <c r="V116" s="1"/>
      <c r="W116" s="1"/>
      <c r="X116" s="1"/>
      <c r="Y116" s="1"/>
      <c r="Z116" s="1"/>
    </row>
    <row r="117" spans="1:26" ht="39.75" customHeight="1">
      <c r="A117" s="171"/>
      <c r="B117" s="171"/>
      <c r="C117" s="171"/>
      <c r="D117" s="5">
        <v>110</v>
      </c>
      <c r="E117" s="5" t="s">
        <v>209</v>
      </c>
      <c r="F117" s="5"/>
      <c r="G117" s="5"/>
      <c r="H117" s="5"/>
      <c r="I117" s="6"/>
      <c r="J117" s="5"/>
      <c r="K117" s="6"/>
      <c r="L117" s="5"/>
      <c r="M117" s="8"/>
      <c r="N117" s="6">
        <v>3</v>
      </c>
      <c r="O117" s="8">
        <v>19.350000000000001</v>
      </c>
      <c r="P117" s="6"/>
      <c r="Q117" s="8">
        <v>7.1</v>
      </c>
      <c r="R117" s="8">
        <v>11.4</v>
      </c>
      <c r="S117" s="5"/>
      <c r="T117" s="6">
        <f t="shared" si="4"/>
        <v>40.85</v>
      </c>
      <c r="U117" s="9" t="s">
        <v>375</v>
      </c>
      <c r="V117" s="1"/>
      <c r="W117" s="1"/>
      <c r="X117" s="1"/>
      <c r="Y117" s="1"/>
      <c r="Z117" s="1"/>
    </row>
    <row r="118" spans="1:26" ht="39.75" customHeight="1">
      <c r="A118" s="171"/>
      <c r="B118" s="169"/>
      <c r="C118" s="169"/>
      <c r="D118" s="5">
        <v>111</v>
      </c>
      <c r="E118" s="5" t="s">
        <v>54</v>
      </c>
      <c r="F118" s="5"/>
      <c r="G118" s="5"/>
      <c r="H118" s="5"/>
      <c r="I118" s="8"/>
      <c r="J118" s="5"/>
      <c r="K118" s="8"/>
      <c r="L118" s="5"/>
      <c r="M118" s="5">
        <v>6</v>
      </c>
      <c r="N118" s="5"/>
      <c r="O118" s="5"/>
      <c r="P118" s="8"/>
      <c r="Q118" s="6"/>
      <c r="R118" s="5"/>
      <c r="S118" s="8"/>
      <c r="T118" s="6">
        <f t="shared" si="4"/>
        <v>6</v>
      </c>
      <c r="U118" s="113" t="s">
        <v>683</v>
      </c>
      <c r="V118" s="1"/>
      <c r="W118" s="1"/>
      <c r="X118" s="1"/>
      <c r="Y118" s="1"/>
      <c r="Z118" s="1"/>
    </row>
    <row r="119" spans="1:26" ht="39.75" customHeight="1">
      <c r="A119" s="171"/>
      <c r="B119" s="168" t="s">
        <v>211</v>
      </c>
      <c r="C119" s="168" t="s">
        <v>212</v>
      </c>
      <c r="D119" s="5">
        <v>112</v>
      </c>
      <c r="E119" s="5" t="s">
        <v>213</v>
      </c>
      <c r="F119" s="5"/>
      <c r="G119" s="5"/>
      <c r="H119" s="5"/>
      <c r="I119" s="6"/>
      <c r="J119" s="5"/>
      <c r="K119" s="6"/>
      <c r="L119" s="5"/>
      <c r="M119" s="5"/>
      <c r="N119" s="5"/>
      <c r="O119" s="5"/>
      <c r="P119" s="5"/>
      <c r="Q119" s="6"/>
      <c r="R119" s="5"/>
      <c r="S119" s="5"/>
      <c r="T119" s="6">
        <f t="shared" si="4"/>
        <v>0</v>
      </c>
      <c r="U119" s="9"/>
      <c r="V119" s="1"/>
      <c r="W119" s="1"/>
      <c r="X119" s="1"/>
      <c r="Y119" s="1"/>
      <c r="Z119" s="1"/>
    </row>
    <row r="120" spans="1:26" ht="39.75" customHeight="1">
      <c r="A120" s="171"/>
      <c r="B120" s="169"/>
      <c r="C120" s="169"/>
      <c r="D120" s="5">
        <v>113</v>
      </c>
      <c r="E120" s="5" t="s">
        <v>214</v>
      </c>
      <c r="F120" s="5"/>
      <c r="G120" s="5"/>
      <c r="H120" s="5"/>
      <c r="I120" s="6"/>
      <c r="J120" s="5"/>
      <c r="K120" s="6"/>
      <c r="L120" s="5"/>
      <c r="M120" s="6"/>
      <c r="N120" s="6">
        <v>0.5</v>
      </c>
      <c r="O120" s="5"/>
      <c r="P120" s="5"/>
      <c r="Q120" s="6">
        <v>0.5</v>
      </c>
      <c r="R120" s="5"/>
      <c r="S120" s="5"/>
      <c r="T120" s="6">
        <f t="shared" si="4"/>
        <v>1</v>
      </c>
      <c r="U120" s="10" t="s">
        <v>215</v>
      </c>
      <c r="V120" s="1"/>
      <c r="W120" s="1"/>
      <c r="X120" s="1"/>
      <c r="Y120" s="1"/>
      <c r="Z120" s="1"/>
    </row>
    <row r="121" spans="1:26" ht="39.75" customHeight="1">
      <c r="A121" s="171"/>
      <c r="B121" s="5" t="s">
        <v>216</v>
      </c>
      <c r="C121" s="5" t="s">
        <v>217</v>
      </c>
      <c r="D121" s="5">
        <v>114</v>
      </c>
      <c r="E121" s="5" t="s">
        <v>218</v>
      </c>
      <c r="F121" s="5"/>
      <c r="G121" s="5"/>
      <c r="H121" s="8"/>
      <c r="I121" s="5"/>
      <c r="J121" s="5"/>
      <c r="K121" s="5"/>
      <c r="L121" s="5"/>
      <c r="M121" s="5"/>
      <c r="N121" s="8">
        <v>1.5</v>
      </c>
      <c r="O121" s="5"/>
      <c r="P121" s="8">
        <v>6.5</v>
      </c>
      <c r="Q121" s="6">
        <v>2</v>
      </c>
      <c r="R121" s="8">
        <v>1</v>
      </c>
      <c r="S121" s="8"/>
      <c r="T121" s="6">
        <f t="shared" si="4"/>
        <v>11</v>
      </c>
      <c r="U121" s="113" t="s">
        <v>681</v>
      </c>
      <c r="V121" s="1"/>
      <c r="W121" s="1"/>
      <c r="X121" s="1"/>
      <c r="Y121" s="1"/>
      <c r="Z121" s="1"/>
    </row>
    <row r="122" spans="1:26" ht="39.75" customHeight="1">
      <c r="A122" s="171"/>
      <c r="B122" s="168" t="s">
        <v>219</v>
      </c>
      <c r="C122" s="168" t="s">
        <v>220</v>
      </c>
      <c r="D122" s="5">
        <v>115</v>
      </c>
      <c r="E122" s="5" t="s">
        <v>221</v>
      </c>
      <c r="F122" s="5"/>
      <c r="G122" s="5"/>
      <c r="H122" s="5"/>
      <c r="I122" s="5"/>
      <c r="J122" s="5"/>
      <c r="K122" s="5"/>
      <c r="L122" s="5"/>
      <c r="M122" s="6"/>
      <c r="N122" s="5"/>
      <c r="O122" s="5"/>
      <c r="P122" s="5"/>
      <c r="Q122" s="5"/>
      <c r="R122" s="5"/>
      <c r="S122" s="5"/>
      <c r="T122" s="6">
        <f t="shared" si="4"/>
        <v>0</v>
      </c>
      <c r="U122" s="9"/>
      <c r="V122" s="1"/>
      <c r="W122" s="1"/>
      <c r="X122" s="1"/>
      <c r="Y122" s="1"/>
      <c r="Z122" s="1"/>
    </row>
    <row r="123" spans="1:26" ht="39.75" customHeight="1">
      <c r="A123" s="171"/>
      <c r="B123" s="171"/>
      <c r="C123" s="171"/>
      <c r="D123" s="5">
        <v>116</v>
      </c>
      <c r="E123" s="5" t="s">
        <v>222</v>
      </c>
      <c r="F123" s="5"/>
      <c r="G123" s="5"/>
      <c r="H123" s="5"/>
      <c r="I123" s="5"/>
      <c r="J123" s="5"/>
      <c r="K123" s="5"/>
      <c r="L123" s="5"/>
      <c r="M123" s="6">
        <v>12.4</v>
      </c>
      <c r="N123" s="5"/>
      <c r="O123" s="5"/>
      <c r="P123" s="5"/>
      <c r="Q123" s="6">
        <v>7.05</v>
      </c>
      <c r="R123" s="5"/>
      <c r="S123" s="5"/>
      <c r="T123" s="6">
        <f t="shared" si="4"/>
        <v>19.45</v>
      </c>
      <c r="U123" s="113" t="s">
        <v>679</v>
      </c>
      <c r="V123" s="1"/>
      <c r="W123" s="1"/>
      <c r="X123" s="1"/>
      <c r="Y123" s="1"/>
      <c r="Z123" s="1"/>
    </row>
    <row r="124" spans="1:26" ht="39.75" customHeight="1">
      <c r="A124" s="171"/>
      <c r="B124" s="171"/>
      <c r="C124" s="171"/>
      <c r="D124" s="5">
        <v>117</v>
      </c>
      <c r="E124" s="5" t="s">
        <v>224</v>
      </c>
      <c r="F124" s="5"/>
      <c r="G124" s="5"/>
      <c r="H124" s="5"/>
      <c r="I124" s="5"/>
      <c r="J124" s="5"/>
      <c r="K124" s="5"/>
      <c r="L124" s="5"/>
      <c r="M124" s="5"/>
      <c r="N124" s="5"/>
      <c r="O124" s="5"/>
      <c r="P124" s="5"/>
      <c r="Q124" s="5"/>
      <c r="R124" s="5"/>
      <c r="S124" s="5"/>
      <c r="T124" s="6">
        <f t="shared" si="4"/>
        <v>0</v>
      </c>
      <c r="U124" s="46"/>
      <c r="V124" s="1"/>
      <c r="W124" s="1"/>
      <c r="X124" s="1"/>
      <c r="Y124" s="1"/>
      <c r="Z124" s="1"/>
    </row>
    <row r="125" spans="1:26" ht="39.75" customHeight="1">
      <c r="A125" s="171"/>
      <c r="B125" s="169"/>
      <c r="C125" s="169"/>
      <c r="D125" s="5">
        <v>118</v>
      </c>
      <c r="E125" s="5" t="s">
        <v>54</v>
      </c>
      <c r="F125" s="5"/>
      <c r="G125" s="5"/>
      <c r="H125" s="5"/>
      <c r="I125" s="5"/>
      <c r="J125" s="5"/>
      <c r="K125" s="5"/>
      <c r="L125" s="5"/>
      <c r="M125" s="5"/>
      <c r="N125" s="5"/>
      <c r="O125" s="5"/>
      <c r="P125" s="5"/>
      <c r="Q125" s="6"/>
      <c r="R125" s="5"/>
      <c r="S125" s="5"/>
      <c r="T125" s="6">
        <f t="shared" si="4"/>
        <v>0</v>
      </c>
      <c r="U125" s="9"/>
      <c r="V125" s="1"/>
      <c r="W125" s="1"/>
      <c r="X125" s="1"/>
      <c r="Y125" s="1"/>
      <c r="Z125" s="1"/>
    </row>
    <row r="126" spans="1:26" ht="39.75" customHeight="1">
      <c r="A126" s="171"/>
      <c r="B126" s="5" t="s">
        <v>225</v>
      </c>
      <c r="C126" s="5" t="s">
        <v>226</v>
      </c>
      <c r="D126" s="5">
        <v>119</v>
      </c>
      <c r="E126" s="5" t="s">
        <v>227</v>
      </c>
      <c r="F126" s="5"/>
      <c r="G126" s="5"/>
      <c r="H126" s="8">
        <v>6</v>
      </c>
      <c r="I126" s="6">
        <v>1</v>
      </c>
      <c r="J126" s="5"/>
      <c r="K126" s="5"/>
      <c r="L126" s="5"/>
      <c r="M126" s="5"/>
      <c r="N126" s="6">
        <v>1</v>
      </c>
      <c r="O126" s="5"/>
      <c r="P126" s="8">
        <v>8</v>
      </c>
      <c r="Q126" s="6">
        <v>2</v>
      </c>
      <c r="R126" s="5"/>
      <c r="S126" s="5"/>
      <c r="T126" s="6">
        <f t="shared" si="4"/>
        <v>18</v>
      </c>
      <c r="U126" s="113" t="s">
        <v>678</v>
      </c>
      <c r="V126" s="1"/>
      <c r="W126" s="1"/>
      <c r="X126" s="1"/>
      <c r="Y126" s="1"/>
      <c r="Z126" s="1"/>
    </row>
    <row r="127" spans="1:26" ht="39.75" customHeight="1">
      <c r="A127" s="171"/>
      <c r="B127" s="5" t="s">
        <v>228</v>
      </c>
      <c r="C127" s="5" t="s">
        <v>229</v>
      </c>
      <c r="D127" s="5">
        <v>120</v>
      </c>
      <c r="E127" s="5" t="s">
        <v>230</v>
      </c>
      <c r="F127" s="5"/>
      <c r="G127" s="5"/>
      <c r="H127" s="5"/>
      <c r="I127" s="5"/>
      <c r="J127" s="5"/>
      <c r="K127" s="8"/>
      <c r="L127" s="5"/>
      <c r="M127" s="8"/>
      <c r="N127" s="6"/>
      <c r="O127" s="5"/>
      <c r="P127" s="8"/>
      <c r="Q127" s="6"/>
      <c r="R127" s="8"/>
      <c r="S127" s="5"/>
      <c r="T127" s="6">
        <f t="shared" si="4"/>
        <v>0</v>
      </c>
      <c r="U127" s="9"/>
      <c r="V127" s="1"/>
      <c r="W127" s="1"/>
      <c r="X127" s="1"/>
      <c r="Y127" s="1"/>
      <c r="Z127" s="1"/>
    </row>
    <row r="128" spans="1:26" ht="39.75" customHeight="1">
      <c r="A128" s="171"/>
      <c r="B128" s="168" t="s">
        <v>231</v>
      </c>
      <c r="C128" s="168" t="s">
        <v>232</v>
      </c>
      <c r="D128" s="5">
        <v>121</v>
      </c>
      <c r="E128" s="5" t="s">
        <v>233</v>
      </c>
      <c r="F128" s="5"/>
      <c r="G128" s="5"/>
      <c r="H128" s="5"/>
      <c r="I128" s="6"/>
      <c r="J128" s="5"/>
      <c r="K128" s="5"/>
      <c r="L128" s="5"/>
      <c r="M128" s="5"/>
      <c r="N128" s="5"/>
      <c r="O128" s="5"/>
      <c r="P128" s="5"/>
      <c r="Q128" s="5"/>
      <c r="R128" s="5"/>
      <c r="S128" s="5"/>
      <c r="T128" s="6">
        <f t="shared" si="4"/>
        <v>0</v>
      </c>
      <c r="U128" s="10"/>
      <c r="V128" s="18"/>
      <c r="W128" s="1"/>
      <c r="X128" s="1"/>
      <c r="Y128" s="1"/>
      <c r="Z128" s="1"/>
    </row>
    <row r="129" spans="1:26" ht="39.75" customHeight="1">
      <c r="A129" s="171"/>
      <c r="B129" s="171"/>
      <c r="C129" s="171"/>
      <c r="D129" s="5">
        <v>122</v>
      </c>
      <c r="E129" s="5" t="s">
        <v>234</v>
      </c>
      <c r="F129" s="5"/>
      <c r="G129" s="5"/>
      <c r="H129" s="5"/>
      <c r="I129" s="5"/>
      <c r="J129" s="5"/>
      <c r="K129" s="5"/>
      <c r="L129" s="5"/>
      <c r="M129" s="5"/>
      <c r="N129" s="5"/>
      <c r="O129" s="5"/>
      <c r="P129" s="5"/>
      <c r="Q129" s="5"/>
      <c r="R129" s="5"/>
      <c r="S129" s="5"/>
      <c r="T129" s="6">
        <f t="shared" si="4"/>
        <v>0</v>
      </c>
      <c r="U129" s="10"/>
      <c r="V129" s="18"/>
      <c r="W129" s="1"/>
      <c r="X129" s="1"/>
      <c r="Y129" s="1"/>
      <c r="Z129" s="1"/>
    </row>
    <row r="130" spans="1:26" ht="39.75" customHeight="1">
      <c r="A130" s="171"/>
      <c r="B130" s="169"/>
      <c r="C130" s="169"/>
      <c r="D130" s="5">
        <v>123</v>
      </c>
      <c r="E130" s="5" t="s">
        <v>235</v>
      </c>
      <c r="F130" s="5"/>
      <c r="G130" s="5"/>
      <c r="H130" s="5"/>
      <c r="I130" s="5"/>
      <c r="J130" s="5"/>
      <c r="K130" s="5"/>
      <c r="L130" s="5"/>
      <c r="M130" s="5"/>
      <c r="N130" s="5"/>
      <c r="O130" s="5"/>
      <c r="P130" s="8">
        <v>0</v>
      </c>
      <c r="Q130" s="6">
        <v>2</v>
      </c>
      <c r="R130" s="5"/>
      <c r="S130" s="5"/>
      <c r="T130" s="6">
        <f t="shared" si="4"/>
        <v>2</v>
      </c>
      <c r="U130" s="10" t="s">
        <v>236</v>
      </c>
      <c r="V130" s="18"/>
      <c r="W130" s="1"/>
      <c r="X130" s="1"/>
      <c r="Y130" s="1"/>
      <c r="Z130" s="1"/>
    </row>
    <row r="131" spans="1:26" ht="39.75" customHeight="1">
      <c r="A131" s="171"/>
      <c r="B131" s="168" t="s">
        <v>237</v>
      </c>
      <c r="C131" s="168" t="s">
        <v>238</v>
      </c>
      <c r="D131" s="5">
        <v>124</v>
      </c>
      <c r="E131" s="5" t="s">
        <v>239</v>
      </c>
      <c r="F131" s="5"/>
      <c r="G131" s="5"/>
      <c r="H131" s="8"/>
      <c r="I131" s="5"/>
      <c r="J131" s="5"/>
      <c r="K131" s="5"/>
      <c r="L131" s="5"/>
      <c r="M131" s="5"/>
      <c r="N131" s="5"/>
      <c r="O131" s="5"/>
      <c r="P131" s="5"/>
      <c r="Q131" s="8">
        <v>2</v>
      </c>
      <c r="R131" s="5"/>
      <c r="S131" s="5"/>
      <c r="T131" s="6">
        <f t="shared" si="4"/>
        <v>2</v>
      </c>
      <c r="U131" s="10" t="s">
        <v>240</v>
      </c>
      <c r="V131" s="1"/>
      <c r="W131" s="1"/>
      <c r="X131" s="1"/>
      <c r="Y131" s="1"/>
      <c r="Z131" s="1"/>
    </row>
    <row r="132" spans="1:26" ht="39.75" customHeight="1">
      <c r="A132" s="171"/>
      <c r="B132" s="169"/>
      <c r="C132" s="169"/>
      <c r="D132" s="5">
        <v>125</v>
      </c>
      <c r="E132" s="5" t="s">
        <v>241</v>
      </c>
      <c r="F132" s="5"/>
      <c r="G132" s="5"/>
      <c r="H132" s="8"/>
      <c r="I132" s="5"/>
      <c r="J132" s="5"/>
      <c r="K132" s="5"/>
      <c r="L132" s="5"/>
      <c r="M132" s="5"/>
      <c r="N132" s="5"/>
      <c r="O132" s="5"/>
      <c r="P132" s="5"/>
      <c r="Q132" s="5"/>
      <c r="R132" s="5"/>
      <c r="S132" s="5"/>
      <c r="T132" s="6">
        <f t="shared" si="4"/>
        <v>0</v>
      </c>
      <c r="U132" s="9"/>
      <c r="V132" s="1"/>
      <c r="W132" s="1"/>
      <c r="X132" s="1"/>
      <c r="Y132" s="1"/>
      <c r="Z132" s="1"/>
    </row>
    <row r="133" spans="1:26" ht="39.75" customHeight="1">
      <c r="A133" s="171"/>
      <c r="B133" s="5" t="s">
        <v>242</v>
      </c>
      <c r="C133" s="5" t="s">
        <v>243</v>
      </c>
      <c r="D133" s="5">
        <v>126</v>
      </c>
      <c r="E133" s="5" t="s">
        <v>167</v>
      </c>
      <c r="F133" s="5"/>
      <c r="G133" s="5"/>
      <c r="H133" s="5"/>
      <c r="I133" s="5"/>
      <c r="J133" s="5"/>
      <c r="K133" s="5"/>
      <c r="L133" s="5"/>
      <c r="M133" s="5"/>
      <c r="N133" s="5"/>
      <c r="O133" s="5"/>
      <c r="P133" s="5"/>
      <c r="Q133" s="5"/>
      <c r="R133" s="5"/>
      <c r="S133" s="5"/>
      <c r="T133" s="6">
        <f t="shared" si="4"/>
        <v>0</v>
      </c>
      <c r="U133" s="9"/>
      <c r="V133" s="1"/>
      <c r="W133" s="1"/>
      <c r="X133" s="1"/>
      <c r="Y133" s="1"/>
      <c r="Z133" s="1"/>
    </row>
    <row r="134" spans="1:26" ht="39.75" customHeight="1">
      <c r="A134" s="169"/>
      <c r="B134" s="176" t="s">
        <v>244</v>
      </c>
      <c r="C134" s="177"/>
      <c r="D134" s="178"/>
      <c r="E134" s="51"/>
      <c r="F134" s="51">
        <f t="shared" ref="F134:S134" si="8">SUM(F94:F133)</f>
        <v>0</v>
      </c>
      <c r="G134" s="51">
        <f t="shared" si="8"/>
        <v>0</v>
      </c>
      <c r="H134" s="51">
        <f t="shared" si="8"/>
        <v>6</v>
      </c>
      <c r="I134" s="51">
        <f t="shared" si="8"/>
        <v>10.050000000000001</v>
      </c>
      <c r="J134" s="51">
        <f t="shared" si="8"/>
        <v>0</v>
      </c>
      <c r="K134" s="52">
        <f t="shared" si="8"/>
        <v>9</v>
      </c>
      <c r="L134" s="51">
        <f t="shared" si="8"/>
        <v>0</v>
      </c>
      <c r="M134" s="51">
        <f t="shared" si="8"/>
        <v>21.259999999999998</v>
      </c>
      <c r="N134" s="51">
        <f t="shared" si="8"/>
        <v>14.3</v>
      </c>
      <c r="O134" s="51">
        <f t="shared" si="8"/>
        <v>19.350000000000001</v>
      </c>
      <c r="P134" s="51">
        <f t="shared" si="8"/>
        <v>76</v>
      </c>
      <c r="Q134" s="51">
        <f t="shared" si="8"/>
        <v>32.650000000000006</v>
      </c>
      <c r="R134" s="51">
        <f t="shared" si="8"/>
        <v>39.950000000000003</v>
      </c>
      <c r="S134" s="51">
        <f t="shared" si="8"/>
        <v>0</v>
      </c>
      <c r="T134" s="52">
        <f t="shared" ref="T134:T197" si="9">SUM(F134:S134)</f>
        <v>228.56</v>
      </c>
      <c r="U134" s="9"/>
      <c r="V134" s="1"/>
      <c r="W134" s="1"/>
      <c r="X134" s="1"/>
      <c r="Y134" s="1"/>
      <c r="Z134" s="1"/>
    </row>
    <row r="135" spans="1:26" ht="39.75" customHeight="1">
      <c r="A135" s="175" t="s">
        <v>245</v>
      </c>
      <c r="B135" s="168" t="s">
        <v>246</v>
      </c>
      <c r="C135" s="168" t="s">
        <v>247</v>
      </c>
      <c r="D135" s="5">
        <v>127</v>
      </c>
      <c r="E135" s="5" t="s">
        <v>248</v>
      </c>
      <c r="F135" s="98"/>
      <c r="G135" s="98"/>
      <c r="H135" s="98"/>
      <c r="I135" s="98"/>
      <c r="J135" s="98"/>
      <c r="K135" s="98"/>
      <c r="L135" s="98"/>
      <c r="M135" s="98"/>
      <c r="N135" s="98"/>
      <c r="O135" s="98"/>
      <c r="P135" s="98"/>
      <c r="Q135" s="98"/>
      <c r="R135" s="98"/>
      <c r="S135" s="98"/>
      <c r="T135" s="99">
        <f t="shared" si="9"/>
        <v>0</v>
      </c>
      <c r="U135" s="100"/>
      <c r="V135" s="1"/>
      <c r="W135" s="1"/>
      <c r="X135" s="1"/>
      <c r="Y135" s="1"/>
      <c r="Z135" s="1"/>
    </row>
    <row r="136" spans="1:26" ht="39.75" customHeight="1">
      <c r="A136" s="171"/>
      <c r="B136" s="169"/>
      <c r="C136" s="169"/>
      <c r="D136" s="5">
        <v>128</v>
      </c>
      <c r="E136" s="5" t="s">
        <v>249</v>
      </c>
      <c r="F136" s="98"/>
      <c r="G136" s="98"/>
      <c r="H136" s="98"/>
      <c r="I136" s="98"/>
      <c r="J136" s="98"/>
      <c r="K136" s="99"/>
      <c r="L136" s="98"/>
      <c r="M136" s="98"/>
      <c r="N136" s="99"/>
      <c r="O136" s="98"/>
      <c r="P136" s="99"/>
      <c r="Q136" s="99">
        <f>(14*0.75)+(14*0.1)</f>
        <v>11.9</v>
      </c>
      <c r="R136" s="98"/>
      <c r="S136" s="98"/>
      <c r="T136" s="99">
        <f t="shared" si="9"/>
        <v>11.9</v>
      </c>
      <c r="U136" s="101" t="s">
        <v>662</v>
      </c>
      <c r="V136" s="1"/>
      <c r="W136" s="1"/>
      <c r="X136" s="1"/>
      <c r="Y136" s="1"/>
      <c r="Z136" s="1"/>
    </row>
    <row r="137" spans="1:26" ht="39.75" customHeight="1">
      <c r="A137" s="171"/>
      <c r="B137" s="28"/>
      <c r="C137" s="28"/>
      <c r="D137" s="5">
        <v>129</v>
      </c>
      <c r="E137" s="5" t="s">
        <v>250</v>
      </c>
      <c r="F137" s="98"/>
      <c r="G137" s="98"/>
      <c r="H137" s="98"/>
      <c r="I137" s="98"/>
      <c r="J137" s="98"/>
      <c r="K137" s="98"/>
      <c r="L137" s="98"/>
      <c r="M137" s="98"/>
      <c r="N137" s="98"/>
      <c r="O137" s="98"/>
      <c r="P137" s="98"/>
      <c r="Q137" s="98"/>
      <c r="R137" s="98"/>
      <c r="S137" s="98"/>
      <c r="T137" s="99">
        <f t="shared" si="9"/>
        <v>0</v>
      </c>
      <c r="U137" s="100"/>
      <c r="V137" s="1"/>
      <c r="W137" s="1"/>
      <c r="X137" s="1"/>
      <c r="Y137" s="1"/>
      <c r="Z137" s="1"/>
    </row>
    <row r="138" spans="1:26" ht="39.75" customHeight="1">
      <c r="A138" s="171"/>
      <c r="B138" s="168" t="s">
        <v>251</v>
      </c>
      <c r="C138" s="168" t="s">
        <v>252</v>
      </c>
      <c r="D138" s="5">
        <v>130</v>
      </c>
      <c r="E138" s="5" t="s">
        <v>253</v>
      </c>
      <c r="F138" s="98"/>
      <c r="G138" s="98"/>
      <c r="H138" s="98"/>
      <c r="I138" s="98"/>
      <c r="J138" s="98"/>
      <c r="K138" s="98"/>
      <c r="L138" s="98"/>
      <c r="M138" s="98"/>
      <c r="N138" s="98"/>
      <c r="O138" s="98"/>
      <c r="P138" s="98"/>
      <c r="Q138" s="98"/>
      <c r="R138" s="98"/>
      <c r="S138" s="98"/>
      <c r="T138" s="99">
        <f t="shared" si="9"/>
        <v>0</v>
      </c>
      <c r="U138" s="100"/>
      <c r="V138" s="1"/>
      <c r="W138" s="1"/>
      <c r="X138" s="1"/>
      <c r="Y138" s="1"/>
      <c r="Z138" s="1"/>
    </row>
    <row r="139" spans="1:26" ht="39.75" customHeight="1">
      <c r="A139" s="171"/>
      <c r="B139" s="171"/>
      <c r="C139" s="171"/>
      <c r="D139" s="5">
        <v>131</v>
      </c>
      <c r="E139" s="5" t="s">
        <v>254</v>
      </c>
      <c r="F139" s="98"/>
      <c r="G139" s="98"/>
      <c r="H139" s="98"/>
      <c r="I139" s="98"/>
      <c r="J139" s="98"/>
      <c r="K139" s="98"/>
      <c r="L139" s="98"/>
      <c r="M139" s="98"/>
      <c r="N139" s="99">
        <f>0.01*100</f>
        <v>1</v>
      </c>
      <c r="O139" s="98"/>
      <c r="P139" s="98"/>
      <c r="Q139" s="98"/>
      <c r="R139" s="98"/>
      <c r="S139" s="98"/>
      <c r="T139" s="99">
        <f t="shared" si="9"/>
        <v>1</v>
      </c>
      <c r="U139" s="102" t="s">
        <v>667</v>
      </c>
      <c r="V139" s="1"/>
      <c r="W139" s="1"/>
      <c r="X139" s="1"/>
      <c r="Y139" s="1"/>
      <c r="Z139" s="1"/>
    </row>
    <row r="140" spans="1:26" ht="39.75" customHeight="1">
      <c r="A140" s="171"/>
      <c r="B140" s="171"/>
      <c r="C140" s="171"/>
      <c r="D140" s="5">
        <v>132</v>
      </c>
      <c r="E140" s="5" t="s">
        <v>255</v>
      </c>
      <c r="F140" s="98"/>
      <c r="G140" s="98"/>
      <c r="H140" s="98"/>
      <c r="I140" s="98"/>
      <c r="J140" s="98"/>
      <c r="K140" s="98"/>
      <c r="L140" s="98"/>
      <c r="M140" s="98"/>
      <c r="N140" s="98"/>
      <c r="O140" s="98"/>
      <c r="P140" s="98"/>
      <c r="Q140" s="98"/>
      <c r="R140" s="98"/>
      <c r="S140" s="98"/>
      <c r="T140" s="99">
        <f t="shared" si="9"/>
        <v>0</v>
      </c>
      <c r="U140" s="100"/>
      <c r="V140" s="1"/>
      <c r="W140" s="1"/>
      <c r="X140" s="1"/>
      <c r="Y140" s="1"/>
      <c r="Z140" s="1"/>
    </row>
    <row r="141" spans="1:26" ht="39.75" customHeight="1">
      <c r="A141" s="171"/>
      <c r="B141" s="171"/>
      <c r="C141" s="171"/>
      <c r="D141" s="5">
        <v>133</v>
      </c>
      <c r="E141" s="5" t="s">
        <v>256</v>
      </c>
      <c r="F141" s="98"/>
      <c r="G141" s="98"/>
      <c r="H141" s="98"/>
      <c r="I141" s="98"/>
      <c r="J141" s="98"/>
      <c r="K141" s="98"/>
      <c r="L141" s="98"/>
      <c r="M141" s="98"/>
      <c r="N141" s="98"/>
      <c r="O141" s="98"/>
      <c r="P141" s="98"/>
      <c r="Q141" s="98"/>
      <c r="R141" s="98"/>
      <c r="S141" s="98"/>
      <c r="T141" s="99">
        <f t="shared" si="9"/>
        <v>0</v>
      </c>
      <c r="U141" s="100"/>
      <c r="V141" s="1"/>
      <c r="W141" s="1"/>
      <c r="X141" s="1"/>
      <c r="Y141" s="1"/>
      <c r="Z141" s="1"/>
    </row>
    <row r="142" spans="1:26" ht="39.75" customHeight="1">
      <c r="A142" s="171"/>
      <c r="B142" s="171"/>
      <c r="C142" s="171"/>
      <c r="D142" s="5">
        <v>134</v>
      </c>
      <c r="E142" s="5" t="s">
        <v>257</v>
      </c>
      <c r="F142" s="98"/>
      <c r="G142" s="98"/>
      <c r="H142" s="98"/>
      <c r="I142" s="98"/>
      <c r="J142" s="98"/>
      <c r="K142" s="98"/>
      <c r="L142" s="98"/>
      <c r="M142" s="98"/>
      <c r="N142" s="98"/>
      <c r="O142" s="98"/>
      <c r="P142" s="99">
        <f>(65*0.005*12)+(65*0.0025*12)+(14*4*0.1)</f>
        <v>11.450000000000001</v>
      </c>
      <c r="Q142" s="98"/>
      <c r="R142" s="98"/>
      <c r="S142" s="98"/>
      <c r="T142" s="99">
        <f t="shared" si="9"/>
        <v>11.450000000000001</v>
      </c>
      <c r="U142" s="100" t="s">
        <v>258</v>
      </c>
      <c r="V142" s="1"/>
      <c r="W142" s="1"/>
      <c r="X142" s="1"/>
      <c r="Y142" s="1"/>
      <c r="Z142" s="1"/>
    </row>
    <row r="143" spans="1:26" ht="39.75" customHeight="1">
      <c r="A143" s="171"/>
      <c r="B143" s="171"/>
      <c r="C143" s="171"/>
      <c r="D143" s="5">
        <v>135</v>
      </c>
      <c r="E143" s="5" t="s">
        <v>259</v>
      </c>
      <c r="F143" s="98"/>
      <c r="G143" s="98"/>
      <c r="H143" s="98"/>
      <c r="I143" s="98"/>
      <c r="J143" s="98"/>
      <c r="K143" s="98"/>
      <c r="L143" s="98"/>
      <c r="M143" s="98"/>
      <c r="N143" s="98"/>
      <c r="O143" s="98"/>
      <c r="P143" s="98"/>
      <c r="Q143" s="98"/>
      <c r="R143" s="98"/>
      <c r="S143" s="98"/>
      <c r="T143" s="99">
        <f t="shared" si="9"/>
        <v>0</v>
      </c>
      <c r="U143" s="100"/>
      <c r="V143" s="1"/>
      <c r="W143" s="1"/>
      <c r="X143" s="1"/>
      <c r="Y143" s="1"/>
      <c r="Z143" s="1"/>
    </row>
    <row r="144" spans="1:26" ht="39.75" customHeight="1">
      <c r="A144" s="171"/>
      <c r="B144" s="169"/>
      <c r="C144" s="169"/>
      <c r="D144" s="5">
        <v>136</v>
      </c>
      <c r="E144" s="5" t="s">
        <v>260</v>
      </c>
      <c r="F144" s="98"/>
      <c r="G144" s="98"/>
      <c r="H144" s="98"/>
      <c r="I144" s="98"/>
      <c r="J144" s="98"/>
      <c r="K144" s="98"/>
      <c r="L144" s="98"/>
      <c r="M144" s="98"/>
      <c r="N144" s="98"/>
      <c r="O144" s="98"/>
      <c r="P144" s="99"/>
      <c r="Q144" s="98"/>
      <c r="R144" s="98"/>
      <c r="S144" s="98"/>
      <c r="T144" s="99">
        <f t="shared" si="9"/>
        <v>0</v>
      </c>
      <c r="U144" s="101"/>
      <c r="V144" s="1"/>
      <c r="W144" s="1"/>
      <c r="X144" s="1"/>
      <c r="Y144" s="1"/>
      <c r="Z144" s="1"/>
    </row>
    <row r="145" spans="1:26" ht="39.75" customHeight="1">
      <c r="A145" s="171"/>
      <c r="B145" s="168" t="s">
        <v>261</v>
      </c>
      <c r="C145" s="168" t="s">
        <v>262</v>
      </c>
      <c r="D145" s="5">
        <v>137</v>
      </c>
      <c r="E145" s="5" t="s">
        <v>263</v>
      </c>
      <c r="F145" s="98"/>
      <c r="G145" s="98"/>
      <c r="H145" s="98"/>
      <c r="I145" s="98"/>
      <c r="J145" s="98"/>
      <c r="K145" s="98"/>
      <c r="L145" s="98"/>
      <c r="M145" s="99"/>
      <c r="N145" s="98"/>
      <c r="O145" s="98"/>
      <c r="P145" s="99">
        <f>0.24*14</f>
        <v>3.36</v>
      </c>
      <c r="Q145" s="98"/>
      <c r="R145" s="98"/>
      <c r="S145" s="98"/>
      <c r="T145" s="99">
        <f t="shared" si="9"/>
        <v>3.36</v>
      </c>
      <c r="U145" s="101" t="s">
        <v>264</v>
      </c>
      <c r="V145" s="1"/>
      <c r="W145" s="1"/>
      <c r="X145" s="1"/>
      <c r="Y145" s="1"/>
      <c r="Z145" s="1"/>
    </row>
    <row r="146" spans="1:26" ht="39.75" customHeight="1">
      <c r="A146" s="171"/>
      <c r="B146" s="169"/>
      <c r="C146" s="169"/>
      <c r="D146" s="5">
        <v>138</v>
      </c>
      <c r="E146" s="5" t="s">
        <v>265</v>
      </c>
      <c r="F146" s="103"/>
      <c r="G146" s="103"/>
      <c r="H146" s="104"/>
      <c r="I146" s="104"/>
      <c r="J146" s="103"/>
      <c r="K146" s="104"/>
      <c r="L146" s="103"/>
      <c r="M146" s="104"/>
      <c r="N146" s="103"/>
      <c r="O146" s="103"/>
      <c r="P146" s="103"/>
      <c r="Q146" s="103"/>
      <c r="R146" s="103"/>
      <c r="S146" s="103"/>
      <c r="T146" s="104">
        <f t="shared" si="9"/>
        <v>0</v>
      </c>
      <c r="U146" s="105"/>
      <c r="V146" s="1"/>
      <c r="W146" s="1"/>
      <c r="X146" s="1"/>
      <c r="Y146" s="1"/>
      <c r="Z146" s="1"/>
    </row>
    <row r="147" spans="1:26" ht="39.75" customHeight="1">
      <c r="A147" s="171"/>
      <c r="B147" s="168" t="s">
        <v>266</v>
      </c>
      <c r="C147" s="168" t="s">
        <v>267</v>
      </c>
      <c r="D147" s="5">
        <v>139</v>
      </c>
      <c r="E147" s="5" t="s">
        <v>268</v>
      </c>
      <c r="F147" s="98"/>
      <c r="G147" s="98"/>
      <c r="H147" s="98"/>
      <c r="I147" s="98"/>
      <c r="J147" s="98"/>
      <c r="K147" s="98"/>
      <c r="L147" s="98"/>
      <c r="M147" s="98"/>
      <c r="N147" s="99"/>
      <c r="O147" s="98"/>
      <c r="P147" s="99">
        <v>14</v>
      </c>
      <c r="Q147" s="98"/>
      <c r="R147" s="99"/>
      <c r="S147" s="98"/>
      <c r="T147" s="99">
        <f t="shared" si="9"/>
        <v>14</v>
      </c>
      <c r="U147" s="101" t="s">
        <v>668</v>
      </c>
      <c r="V147" s="1"/>
      <c r="W147" s="1"/>
      <c r="X147" s="1"/>
      <c r="Y147" s="1"/>
      <c r="Z147" s="1"/>
    </row>
    <row r="148" spans="1:26" ht="39.75" customHeight="1">
      <c r="A148" s="171"/>
      <c r="B148" s="171"/>
      <c r="C148" s="171"/>
      <c r="D148" s="5">
        <v>140</v>
      </c>
      <c r="E148" s="5" t="s">
        <v>269</v>
      </c>
      <c r="F148" s="98"/>
      <c r="G148" s="98"/>
      <c r="H148" s="98"/>
      <c r="I148" s="98"/>
      <c r="J148" s="98"/>
      <c r="K148" s="98"/>
      <c r="L148" s="98"/>
      <c r="M148" s="98"/>
      <c r="N148" s="98"/>
      <c r="O148" s="98"/>
      <c r="P148" s="99">
        <f>14+(14*0.055)+(0.08*5)</f>
        <v>15.17</v>
      </c>
      <c r="Q148" s="98"/>
      <c r="R148" s="98"/>
      <c r="S148" s="98"/>
      <c r="T148" s="99">
        <f t="shared" si="9"/>
        <v>15.17</v>
      </c>
      <c r="U148" s="101" t="s">
        <v>666</v>
      </c>
      <c r="V148" s="1"/>
      <c r="W148" s="1"/>
      <c r="X148" s="1"/>
      <c r="Y148" s="1"/>
      <c r="Z148" s="1"/>
    </row>
    <row r="149" spans="1:26" ht="39.75" customHeight="1">
      <c r="A149" s="171"/>
      <c r="B149" s="169"/>
      <c r="C149" s="169"/>
      <c r="D149" s="5">
        <v>141</v>
      </c>
      <c r="E149" s="5" t="s">
        <v>270</v>
      </c>
      <c r="F149" s="98"/>
      <c r="G149" s="98"/>
      <c r="H149" s="98"/>
      <c r="I149" s="98"/>
      <c r="J149" s="98"/>
      <c r="K149" s="98"/>
      <c r="L149" s="98"/>
      <c r="M149" s="98"/>
      <c r="N149" s="98"/>
      <c r="O149" s="98"/>
      <c r="P149" s="98"/>
      <c r="Q149" s="98"/>
      <c r="R149" s="98"/>
      <c r="S149" s="98"/>
      <c r="T149" s="99">
        <f t="shared" si="9"/>
        <v>0</v>
      </c>
      <c r="U149" s="100"/>
      <c r="V149" s="1"/>
      <c r="W149" s="1"/>
      <c r="X149" s="1"/>
      <c r="Y149" s="1"/>
      <c r="Z149" s="1"/>
    </row>
    <row r="150" spans="1:26" ht="39.75" customHeight="1">
      <c r="A150" s="171"/>
      <c r="B150" s="168" t="s">
        <v>271</v>
      </c>
      <c r="C150" s="168" t="s">
        <v>272</v>
      </c>
      <c r="D150" s="5">
        <v>142</v>
      </c>
      <c r="E150" s="5" t="s">
        <v>273</v>
      </c>
      <c r="F150" s="98"/>
      <c r="G150" s="98"/>
      <c r="H150" s="98"/>
      <c r="I150" s="98"/>
      <c r="J150" s="98"/>
      <c r="K150" s="98"/>
      <c r="L150" s="98"/>
      <c r="M150" s="98"/>
      <c r="N150" s="98"/>
      <c r="O150" s="98"/>
      <c r="P150" s="98"/>
      <c r="Q150" s="98"/>
      <c r="R150" s="98">
        <v>570.16</v>
      </c>
      <c r="S150" s="98"/>
      <c r="T150" s="99">
        <f t="shared" si="9"/>
        <v>570.16</v>
      </c>
      <c r="U150" s="100"/>
      <c r="V150" s="1"/>
      <c r="W150" s="1"/>
      <c r="X150" s="1"/>
      <c r="Y150" s="1"/>
      <c r="Z150" s="1"/>
    </row>
    <row r="151" spans="1:26" ht="39.75" customHeight="1">
      <c r="A151" s="171"/>
      <c r="B151" s="171"/>
      <c r="C151" s="171"/>
      <c r="D151" s="5">
        <v>143</v>
      </c>
      <c r="E151" s="5" t="s">
        <v>274</v>
      </c>
      <c r="F151" s="98"/>
      <c r="G151" s="98"/>
      <c r="H151" s="98"/>
      <c r="I151" s="98"/>
      <c r="J151" s="98"/>
      <c r="K151" s="98"/>
      <c r="L151" s="98"/>
      <c r="M151" s="98"/>
      <c r="N151" s="98"/>
      <c r="O151" s="98"/>
      <c r="P151" s="98"/>
      <c r="Q151" s="98"/>
      <c r="R151" s="98"/>
      <c r="S151" s="98"/>
      <c r="T151" s="99">
        <f t="shared" si="9"/>
        <v>0</v>
      </c>
      <c r="U151" s="100"/>
      <c r="V151" s="1"/>
      <c r="W151" s="1"/>
      <c r="X151" s="1"/>
      <c r="Y151" s="1"/>
      <c r="Z151" s="1"/>
    </row>
    <row r="152" spans="1:26" ht="39.75" customHeight="1">
      <c r="A152" s="171"/>
      <c r="B152" s="171"/>
      <c r="C152" s="171"/>
      <c r="D152" s="5">
        <v>144</v>
      </c>
      <c r="E152" s="5" t="s">
        <v>275</v>
      </c>
      <c r="F152" s="98"/>
      <c r="G152" s="98"/>
      <c r="H152" s="98"/>
      <c r="I152" s="98"/>
      <c r="J152" s="98"/>
      <c r="K152" s="98"/>
      <c r="L152" s="98"/>
      <c r="M152" s="98"/>
      <c r="N152" s="98"/>
      <c r="O152" s="98"/>
      <c r="P152" s="98"/>
      <c r="Q152" s="98"/>
      <c r="R152" s="98"/>
      <c r="S152" s="98"/>
      <c r="T152" s="99">
        <f t="shared" si="9"/>
        <v>0</v>
      </c>
      <c r="U152" s="100"/>
      <c r="V152" s="1"/>
      <c r="W152" s="1"/>
      <c r="X152" s="1"/>
      <c r="Y152" s="1"/>
      <c r="Z152" s="1"/>
    </row>
    <row r="153" spans="1:26" ht="39.75" customHeight="1">
      <c r="A153" s="171"/>
      <c r="B153" s="169"/>
      <c r="C153" s="169"/>
      <c r="D153" s="5">
        <v>145</v>
      </c>
      <c r="E153" s="5" t="s">
        <v>276</v>
      </c>
      <c r="F153" s="98"/>
      <c r="G153" s="98"/>
      <c r="H153" s="98"/>
      <c r="I153" s="98"/>
      <c r="J153" s="98"/>
      <c r="K153" s="98"/>
      <c r="L153" s="98"/>
      <c r="M153" s="98"/>
      <c r="N153" s="98"/>
      <c r="O153" s="98"/>
      <c r="P153" s="98"/>
      <c r="Q153" s="98"/>
      <c r="R153" s="98"/>
      <c r="S153" s="98"/>
      <c r="T153" s="99">
        <f t="shared" si="9"/>
        <v>0</v>
      </c>
      <c r="U153" s="100"/>
      <c r="V153" s="1"/>
      <c r="W153" s="1"/>
      <c r="X153" s="1"/>
      <c r="Y153" s="1"/>
      <c r="Z153" s="1"/>
    </row>
    <row r="154" spans="1:26" ht="39.75" customHeight="1">
      <c r="A154" s="171"/>
      <c r="B154" s="5" t="s">
        <v>277</v>
      </c>
      <c r="C154" s="5" t="s">
        <v>278</v>
      </c>
      <c r="D154" s="5">
        <v>146</v>
      </c>
      <c r="E154" s="5" t="s">
        <v>279</v>
      </c>
      <c r="F154" s="98"/>
      <c r="G154" s="98"/>
      <c r="H154" s="98"/>
      <c r="I154" s="98"/>
      <c r="J154" s="98"/>
      <c r="K154" s="98"/>
      <c r="L154" s="98"/>
      <c r="M154" s="98"/>
      <c r="N154" s="98"/>
      <c r="O154" s="98"/>
      <c r="P154" s="98"/>
      <c r="Q154" s="98"/>
      <c r="R154" s="99">
        <v>5.4</v>
      </c>
      <c r="S154" s="98"/>
      <c r="T154" s="99">
        <f t="shared" si="9"/>
        <v>5.4</v>
      </c>
      <c r="U154" s="102" t="s">
        <v>280</v>
      </c>
      <c r="V154" s="1"/>
      <c r="W154" s="1"/>
      <c r="X154" s="1"/>
      <c r="Y154" s="1"/>
      <c r="Z154" s="1"/>
    </row>
    <row r="155" spans="1:26" ht="39.75" customHeight="1">
      <c r="A155" s="171"/>
      <c r="B155" s="5" t="s">
        <v>281</v>
      </c>
      <c r="C155" s="5" t="s">
        <v>282</v>
      </c>
      <c r="D155" s="5">
        <v>147</v>
      </c>
      <c r="E155" s="5" t="s">
        <v>149</v>
      </c>
      <c r="F155" s="98"/>
      <c r="G155" s="98"/>
      <c r="H155" s="98"/>
      <c r="I155" s="98"/>
      <c r="J155" s="98"/>
      <c r="K155" s="98"/>
      <c r="L155" s="98"/>
      <c r="M155" s="98"/>
      <c r="N155" s="98"/>
      <c r="O155" s="98"/>
      <c r="P155" s="98"/>
      <c r="Q155" s="98"/>
      <c r="R155" s="98"/>
      <c r="S155" s="98"/>
      <c r="T155" s="99">
        <f t="shared" si="9"/>
        <v>0</v>
      </c>
      <c r="U155" s="100"/>
      <c r="V155" s="1"/>
      <c r="W155" s="1"/>
      <c r="X155" s="1"/>
      <c r="Y155" s="1"/>
      <c r="Z155" s="1"/>
    </row>
    <row r="156" spans="1:26" ht="39.75" customHeight="1">
      <c r="A156" s="171"/>
      <c r="B156" s="5" t="s">
        <v>283</v>
      </c>
      <c r="C156" s="5" t="s">
        <v>284</v>
      </c>
      <c r="D156" s="5">
        <v>148</v>
      </c>
      <c r="E156" s="5" t="s">
        <v>285</v>
      </c>
      <c r="F156" s="98"/>
      <c r="G156" s="98"/>
      <c r="H156" s="98"/>
      <c r="I156" s="98"/>
      <c r="J156" s="98"/>
      <c r="K156" s="98"/>
      <c r="L156" s="98"/>
      <c r="M156" s="98"/>
      <c r="N156" s="99"/>
      <c r="O156" s="98"/>
      <c r="P156" s="99"/>
      <c r="Q156" s="98"/>
      <c r="R156" s="98"/>
      <c r="S156" s="98"/>
      <c r="T156" s="99">
        <f t="shared" si="9"/>
        <v>0</v>
      </c>
      <c r="U156" s="101"/>
      <c r="V156" s="1"/>
      <c r="W156" s="1"/>
      <c r="X156" s="1"/>
      <c r="Y156" s="1"/>
      <c r="Z156" s="1"/>
    </row>
    <row r="157" spans="1:26" ht="39.75" customHeight="1">
      <c r="A157" s="171"/>
      <c r="B157" s="5" t="s">
        <v>286</v>
      </c>
      <c r="C157" s="5" t="s">
        <v>287</v>
      </c>
      <c r="D157" s="5">
        <v>149</v>
      </c>
      <c r="E157" s="5" t="s">
        <v>288</v>
      </c>
      <c r="F157" s="106"/>
      <c r="G157" s="106"/>
      <c r="H157" s="106"/>
      <c r="I157" s="106"/>
      <c r="J157" s="106"/>
      <c r="K157" s="106"/>
      <c r="L157" s="106"/>
      <c r="M157" s="106"/>
      <c r="N157" s="106"/>
      <c r="O157" s="106"/>
      <c r="P157" s="99">
        <f>(5*1.75)+(9*1)+(0.05*100)</f>
        <v>22.75</v>
      </c>
      <c r="Q157" s="106"/>
      <c r="R157" s="106"/>
      <c r="S157" s="106"/>
      <c r="T157" s="99">
        <f t="shared" si="9"/>
        <v>22.75</v>
      </c>
      <c r="U157" s="101"/>
      <c r="V157" s="1"/>
      <c r="W157" s="1"/>
      <c r="X157" s="1"/>
      <c r="Y157" s="1"/>
      <c r="Z157" s="1"/>
    </row>
    <row r="158" spans="1:26" ht="39.75" customHeight="1">
      <c r="A158" s="169"/>
      <c r="B158" s="176" t="s">
        <v>289</v>
      </c>
      <c r="C158" s="177"/>
      <c r="D158" s="178"/>
      <c r="E158" s="51"/>
      <c r="F158" s="51">
        <f t="shared" ref="F158:S158" si="10">SUM(F135:F157)</f>
        <v>0</v>
      </c>
      <c r="G158" s="51">
        <f t="shared" si="10"/>
        <v>0</v>
      </c>
      <c r="H158" s="51">
        <f t="shared" si="10"/>
        <v>0</v>
      </c>
      <c r="I158" s="51">
        <f t="shared" si="10"/>
        <v>0</v>
      </c>
      <c r="J158" s="51">
        <f t="shared" si="10"/>
        <v>0</v>
      </c>
      <c r="K158" s="51">
        <f t="shared" si="10"/>
        <v>0</v>
      </c>
      <c r="L158" s="51">
        <f t="shared" si="10"/>
        <v>0</v>
      </c>
      <c r="M158" s="51">
        <f t="shared" si="10"/>
        <v>0</v>
      </c>
      <c r="N158" s="51">
        <f t="shared" si="10"/>
        <v>1</v>
      </c>
      <c r="O158" s="51">
        <f t="shared" si="10"/>
        <v>0</v>
      </c>
      <c r="P158" s="51">
        <f t="shared" si="10"/>
        <v>66.73</v>
      </c>
      <c r="Q158" s="51">
        <f t="shared" si="10"/>
        <v>11.9</v>
      </c>
      <c r="R158" s="51">
        <f t="shared" si="10"/>
        <v>575.55999999999995</v>
      </c>
      <c r="S158" s="51">
        <f t="shared" si="10"/>
        <v>0</v>
      </c>
      <c r="T158" s="52">
        <f t="shared" si="9"/>
        <v>655.18999999999994</v>
      </c>
      <c r="U158" s="9"/>
      <c r="V158" s="29"/>
      <c r="W158" s="29"/>
      <c r="X158" s="29"/>
      <c r="Y158" s="29"/>
      <c r="Z158" s="29"/>
    </row>
    <row r="159" spans="1:26" ht="39.75" customHeight="1">
      <c r="A159" s="175" t="s">
        <v>290</v>
      </c>
      <c r="B159" s="168" t="s">
        <v>291</v>
      </c>
      <c r="C159" s="168" t="s">
        <v>247</v>
      </c>
      <c r="D159" s="5">
        <v>150</v>
      </c>
      <c r="E159" s="5" t="s">
        <v>292</v>
      </c>
      <c r="F159" s="5"/>
      <c r="G159" s="8">
        <v>719.25</v>
      </c>
      <c r="H159" s="8">
        <v>959</v>
      </c>
      <c r="I159" s="5"/>
      <c r="J159" s="5"/>
      <c r="K159" s="5"/>
      <c r="L159" s="5"/>
      <c r="M159" s="5"/>
      <c r="N159" s="6">
        <v>2.5</v>
      </c>
      <c r="O159" s="5"/>
      <c r="P159" s="8"/>
      <c r="Q159" s="5"/>
      <c r="R159" s="5"/>
      <c r="S159" s="5"/>
      <c r="T159" s="6">
        <f t="shared" si="9"/>
        <v>1680.75</v>
      </c>
      <c r="U159" s="62" t="s">
        <v>376</v>
      </c>
      <c r="V159" s="1"/>
      <c r="W159" s="1"/>
      <c r="X159" s="1"/>
      <c r="Y159" s="1"/>
      <c r="Z159" s="1"/>
    </row>
    <row r="160" spans="1:26" ht="39.75" customHeight="1">
      <c r="A160" s="171"/>
      <c r="B160" s="171"/>
      <c r="C160" s="171"/>
      <c r="D160" s="5">
        <v>151</v>
      </c>
      <c r="E160" s="5" t="s">
        <v>294</v>
      </c>
      <c r="F160" s="5"/>
      <c r="G160" s="8"/>
      <c r="H160" s="8"/>
      <c r="I160" s="6"/>
      <c r="J160" s="5"/>
      <c r="K160" s="5"/>
      <c r="L160" s="5"/>
      <c r="M160" s="5"/>
      <c r="N160" s="6"/>
      <c r="O160" s="8"/>
      <c r="P160" s="8"/>
      <c r="Q160" s="6"/>
      <c r="R160" s="8">
        <v>6</v>
      </c>
      <c r="S160" s="5"/>
      <c r="T160" s="6">
        <f t="shared" si="9"/>
        <v>6</v>
      </c>
      <c r="U160" s="9" t="s">
        <v>640</v>
      </c>
      <c r="V160" s="1"/>
      <c r="W160" s="1"/>
      <c r="X160" s="1"/>
      <c r="Y160" s="1"/>
      <c r="Z160" s="1"/>
    </row>
    <row r="161" spans="1:26" ht="39.75" customHeight="1">
      <c r="A161" s="171"/>
      <c r="B161" s="171"/>
      <c r="C161" s="171"/>
      <c r="D161" s="5">
        <v>152</v>
      </c>
      <c r="E161" s="5" t="s">
        <v>295</v>
      </c>
      <c r="F161" s="5"/>
      <c r="G161" s="5"/>
      <c r="H161" s="5"/>
      <c r="I161" s="5"/>
      <c r="J161" s="5"/>
      <c r="K161" s="5"/>
      <c r="L161" s="5"/>
      <c r="M161" s="5"/>
      <c r="N161" s="5"/>
      <c r="O161" s="5"/>
      <c r="P161" s="8">
        <v>15</v>
      </c>
      <c r="Q161" s="5"/>
      <c r="R161" s="5"/>
      <c r="S161" s="5"/>
      <c r="T161" s="6">
        <f t="shared" si="9"/>
        <v>15</v>
      </c>
      <c r="U161" s="9" t="s">
        <v>296</v>
      </c>
      <c r="V161" s="1"/>
      <c r="W161" s="1"/>
      <c r="X161" s="1"/>
      <c r="Y161" s="1"/>
      <c r="Z161" s="1"/>
    </row>
    <row r="162" spans="1:26" ht="39.75" customHeight="1">
      <c r="A162" s="171"/>
      <c r="B162" s="179"/>
      <c r="C162" s="179"/>
      <c r="D162" s="5">
        <v>153</v>
      </c>
      <c r="E162" s="5" t="s">
        <v>297</v>
      </c>
      <c r="F162" s="24"/>
      <c r="G162" s="24"/>
      <c r="H162" s="24"/>
      <c r="I162" s="24"/>
      <c r="J162" s="24"/>
      <c r="K162" s="24"/>
      <c r="L162" s="24"/>
      <c r="M162" s="24"/>
      <c r="N162" s="6"/>
      <c r="O162" s="24"/>
      <c r="P162" s="24"/>
      <c r="Q162" s="24"/>
      <c r="R162" s="24"/>
      <c r="S162" s="24"/>
      <c r="T162" s="6">
        <f t="shared" si="9"/>
        <v>0</v>
      </c>
      <c r="U162" s="9" t="s">
        <v>298</v>
      </c>
      <c r="V162" s="1"/>
      <c r="W162" s="1"/>
      <c r="X162" s="1"/>
      <c r="Y162" s="1"/>
      <c r="Z162" s="1"/>
    </row>
    <row r="163" spans="1:26" ht="39.75" customHeight="1">
      <c r="A163" s="171"/>
      <c r="B163" s="168" t="s">
        <v>299</v>
      </c>
      <c r="C163" s="168" t="s">
        <v>300</v>
      </c>
      <c r="D163" s="5">
        <v>154</v>
      </c>
      <c r="E163" s="5" t="s">
        <v>301</v>
      </c>
      <c r="F163" s="5"/>
      <c r="G163" s="5"/>
      <c r="H163" s="5"/>
      <c r="I163" s="5"/>
      <c r="J163" s="5"/>
      <c r="K163" s="6"/>
      <c r="L163" s="5"/>
      <c r="M163" s="6"/>
      <c r="N163" s="5"/>
      <c r="O163" s="5"/>
      <c r="P163" s="5"/>
      <c r="Q163" s="8"/>
      <c r="R163" s="5"/>
      <c r="S163" s="5"/>
      <c r="T163" s="6">
        <f t="shared" si="9"/>
        <v>0</v>
      </c>
      <c r="U163" s="9"/>
      <c r="V163" s="1"/>
      <c r="W163" s="1"/>
      <c r="X163" s="1"/>
      <c r="Y163" s="1"/>
      <c r="Z163" s="1"/>
    </row>
    <row r="164" spans="1:26" ht="39.75" customHeight="1">
      <c r="A164" s="171"/>
      <c r="B164" s="171"/>
      <c r="C164" s="171"/>
      <c r="D164" s="5">
        <v>155</v>
      </c>
      <c r="E164" s="5" t="s">
        <v>302</v>
      </c>
      <c r="F164" s="5"/>
      <c r="G164" s="5"/>
      <c r="H164" s="5"/>
      <c r="I164" s="5"/>
      <c r="J164" s="5"/>
      <c r="K164" s="5"/>
      <c r="L164" s="5"/>
      <c r="M164" s="5"/>
      <c r="N164" s="5"/>
      <c r="O164" s="5"/>
      <c r="P164" s="8">
        <v>15</v>
      </c>
      <c r="Q164" s="5"/>
      <c r="R164" s="5"/>
      <c r="S164" s="5"/>
      <c r="T164" s="6">
        <f t="shared" si="9"/>
        <v>15</v>
      </c>
      <c r="U164" s="9"/>
      <c r="V164" s="1"/>
      <c r="W164" s="1"/>
      <c r="X164" s="1"/>
      <c r="Y164" s="1"/>
      <c r="Z164" s="1"/>
    </row>
    <row r="165" spans="1:26" ht="39.75" customHeight="1">
      <c r="A165" s="171"/>
      <c r="B165" s="171"/>
      <c r="C165" s="171"/>
      <c r="D165" s="5">
        <v>156</v>
      </c>
      <c r="E165" s="5" t="s">
        <v>303</v>
      </c>
      <c r="F165" s="5"/>
      <c r="G165" s="5"/>
      <c r="H165" s="8"/>
      <c r="I165" s="6"/>
      <c r="J165" s="5"/>
      <c r="K165" s="5"/>
      <c r="L165" s="5"/>
      <c r="M165" s="5"/>
      <c r="N165" s="5"/>
      <c r="O165" s="5"/>
      <c r="P165" s="8">
        <v>1.6</v>
      </c>
      <c r="Q165" s="5"/>
      <c r="R165" s="5"/>
      <c r="S165" s="5"/>
      <c r="T165" s="6">
        <f t="shared" si="9"/>
        <v>1.6</v>
      </c>
      <c r="U165" s="9"/>
      <c r="V165" s="1"/>
      <c r="W165" s="1"/>
      <c r="X165" s="1"/>
      <c r="Y165" s="1"/>
      <c r="Z165" s="1"/>
    </row>
    <row r="166" spans="1:26" ht="39.75" customHeight="1">
      <c r="A166" s="171"/>
      <c r="B166" s="171"/>
      <c r="C166" s="171"/>
      <c r="D166" s="5">
        <v>157</v>
      </c>
      <c r="E166" s="5" t="s">
        <v>304</v>
      </c>
      <c r="F166" s="5"/>
      <c r="G166" s="5"/>
      <c r="H166" s="5"/>
      <c r="I166" s="5"/>
      <c r="J166" s="5"/>
      <c r="K166" s="5"/>
      <c r="L166" s="5"/>
      <c r="M166" s="5"/>
      <c r="N166" s="5"/>
      <c r="O166" s="5"/>
      <c r="P166" s="5"/>
      <c r="Q166" s="5"/>
      <c r="R166" s="5"/>
      <c r="S166" s="5"/>
      <c r="T166" s="6">
        <f t="shared" si="9"/>
        <v>0</v>
      </c>
      <c r="U166" s="9"/>
      <c r="V166" s="1"/>
      <c r="W166" s="1"/>
      <c r="X166" s="1"/>
      <c r="Y166" s="1"/>
      <c r="Z166" s="1"/>
    </row>
    <row r="167" spans="1:26" ht="39.75" customHeight="1">
      <c r="A167" s="171"/>
      <c r="B167" s="169"/>
      <c r="C167" s="169"/>
      <c r="D167" s="5">
        <v>158</v>
      </c>
      <c r="E167" s="5" t="s">
        <v>305</v>
      </c>
      <c r="F167" s="5"/>
      <c r="G167" s="5"/>
      <c r="H167" s="5"/>
      <c r="I167" s="5"/>
      <c r="J167" s="5"/>
      <c r="K167" s="5"/>
      <c r="L167" s="5"/>
      <c r="M167" s="5"/>
      <c r="N167" s="5"/>
      <c r="O167" s="5"/>
      <c r="P167" s="5"/>
      <c r="Q167" s="6"/>
      <c r="R167" s="5"/>
      <c r="S167" s="5"/>
      <c r="T167" s="6">
        <f t="shared" si="9"/>
        <v>0</v>
      </c>
      <c r="U167" s="9"/>
      <c r="V167" s="1"/>
      <c r="W167" s="1"/>
      <c r="X167" s="1"/>
      <c r="Y167" s="1"/>
      <c r="Z167" s="1"/>
    </row>
    <row r="168" spans="1:26" ht="39.75" customHeight="1">
      <c r="A168" s="171"/>
      <c r="B168" s="168" t="s">
        <v>306</v>
      </c>
      <c r="C168" s="168" t="s">
        <v>252</v>
      </c>
      <c r="D168" s="5">
        <v>159</v>
      </c>
      <c r="E168" s="5" t="s">
        <v>253</v>
      </c>
      <c r="F168" s="5"/>
      <c r="G168" s="5"/>
      <c r="H168" s="5"/>
      <c r="I168" s="5"/>
      <c r="J168" s="5"/>
      <c r="K168" s="6"/>
      <c r="L168" s="5"/>
      <c r="M168" s="5"/>
      <c r="N168" s="8">
        <v>45.4</v>
      </c>
      <c r="O168" s="8">
        <v>851.4</v>
      </c>
      <c r="P168" s="8">
        <v>83.84</v>
      </c>
      <c r="Q168" s="6">
        <v>6.48</v>
      </c>
      <c r="R168" s="5"/>
      <c r="S168" s="5"/>
      <c r="T168" s="6">
        <f t="shared" si="9"/>
        <v>987.12</v>
      </c>
      <c r="U168" s="12" t="s">
        <v>459</v>
      </c>
      <c r="V168" s="1"/>
      <c r="W168" s="1"/>
      <c r="X168" s="1"/>
      <c r="Y168" s="1"/>
      <c r="Z168" s="1"/>
    </row>
    <row r="169" spans="1:26" ht="39.75" customHeight="1">
      <c r="A169" s="171"/>
      <c r="B169" s="171"/>
      <c r="C169" s="171"/>
      <c r="D169" s="5">
        <v>160</v>
      </c>
      <c r="E169" s="5" t="s">
        <v>308</v>
      </c>
      <c r="F169" s="5"/>
      <c r="G169" s="5"/>
      <c r="H169" s="5"/>
      <c r="I169" s="5"/>
      <c r="J169" s="5"/>
      <c r="K169" s="5"/>
      <c r="L169" s="5"/>
      <c r="M169" s="5"/>
      <c r="N169" s="5"/>
      <c r="O169" s="5"/>
      <c r="P169" s="5"/>
      <c r="Q169" s="5"/>
      <c r="R169" s="5"/>
      <c r="S169" s="5"/>
      <c r="T169" s="6">
        <f t="shared" si="9"/>
        <v>0</v>
      </c>
      <c r="U169" s="9"/>
      <c r="V169" s="1"/>
      <c r="W169" s="1"/>
      <c r="X169" s="1"/>
      <c r="Y169" s="1"/>
      <c r="Z169" s="1"/>
    </row>
    <row r="170" spans="1:26" ht="39.75" customHeight="1">
      <c r="A170" s="171"/>
      <c r="B170" s="171"/>
      <c r="C170" s="171"/>
      <c r="D170" s="5">
        <v>161</v>
      </c>
      <c r="E170" s="5" t="s">
        <v>255</v>
      </c>
      <c r="F170" s="5"/>
      <c r="G170" s="5"/>
      <c r="H170" s="5"/>
      <c r="I170" s="5"/>
      <c r="J170" s="5"/>
      <c r="K170" s="5"/>
      <c r="L170" s="5"/>
      <c r="M170" s="5"/>
      <c r="N170" s="5"/>
      <c r="O170" s="5"/>
      <c r="P170" s="5"/>
      <c r="Q170" s="5"/>
      <c r="R170" s="5"/>
      <c r="S170" s="5"/>
      <c r="T170" s="6">
        <f t="shared" si="9"/>
        <v>0</v>
      </c>
      <c r="U170" s="9"/>
      <c r="V170" s="1"/>
      <c r="W170" s="1"/>
      <c r="X170" s="1"/>
      <c r="Y170" s="1"/>
      <c r="Z170" s="1"/>
    </row>
    <row r="171" spans="1:26" ht="39.75" customHeight="1">
      <c r="A171" s="171"/>
      <c r="B171" s="171"/>
      <c r="C171" s="171"/>
      <c r="D171" s="5">
        <v>162</v>
      </c>
      <c r="E171" s="5" t="s">
        <v>256</v>
      </c>
      <c r="F171" s="5"/>
      <c r="G171" s="5"/>
      <c r="H171" s="5"/>
      <c r="I171" s="5"/>
      <c r="J171" s="5"/>
      <c r="K171" s="5"/>
      <c r="L171" s="5"/>
      <c r="M171" s="5"/>
      <c r="N171" s="5"/>
      <c r="O171" s="5"/>
      <c r="P171" s="5"/>
      <c r="Q171" s="5"/>
      <c r="R171" s="5"/>
      <c r="S171" s="5"/>
      <c r="T171" s="6">
        <f t="shared" si="9"/>
        <v>0</v>
      </c>
      <c r="U171" s="9"/>
      <c r="V171" s="1"/>
      <c r="W171" s="1"/>
      <c r="X171" s="1"/>
      <c r="Y171" s="1"/>
      <c r="Z171" s="1"/>
    </row>
    <row r="172" spans="1:26" ht="39.75" customHeight="1">
      <c r="A172" s="171"/>
      <c r="B172" s="169"/>
      <c r="C172" s="169"/>
      <c r="D172" s="5">
        <v>163</v>
      </c>
      <c r="E172" s="5" t="s">
        <v>309</v>
      </c>
      <c r="F172" s="5"/>
      <c r="G172" s="5"/>
      <c r="H172" s="5"/>
      <c r="I172" s="5"/>
      <c r="J172" s="5"/>
      <c r="K172" s="5"/>
      <c r="L172" s="5"/>
      <c r="M172" s="5"/>
      <c r="N172" s="5"/>
      <c r="O172" s="8"/>
      <c r="P172" s="8">
        <v>2</v>
      </c>
      <c r="Q172" s="6">
        <v>0.5</v>
      </c>
      <c r="R172" s="5"/>
      <c r="S172" s="5"/>
      <c r="T172" s="6">
        <f t="shared" si="9"/>
        <v>2.5</v>
      </c>
      <c r="U172" s="9" t="s">
        <v>310</v>
      </c>
      <c r="V172" s="1"/>
      <c r="W172" s="1"/>
      <c r="X172" s="1"/>
      <c r="Y172" s="1"/>
      <c r="Z172" s="1"/>
    </row>
    <row r="173" spans="1:26" ht="39.75" customHeight="1">
      <c r="A173" s="171"/>
      <c r="B173" s="168" t="s">
        <v>311</v>
      </c>
      <c r="C173" s="168" t="s">
        <v>312</v>
      </c>
      <c r="D173" s="5">
        <v>164</v>
      </c>
      <c r="E173" s="5" t="s">
        <v>313</v>
      </c>
      <c r="F173" s="5"/>
      <c r="G173" s="8"/>
      <c r="H173" s="8"/>
      <c r="I173" s="5"/>
      <c r="J173" s="5"/>
      <c r="K173" s="5"/>
      <c r="L173" s="5"/>
      <c r="M173" s="5"/>
      <c r="N173" s="5"/>
      <c r="O173" s="5"/>
      <c r="P173" s="5"/>
      <c r="Q173" s="5"/>
      <c r="R173" s="5"/>
      <c r="S173" s="5"/>
      <c r="T173" s="6">
        <f t="shared" si="9"/>
        <v>0</v>
      </c>
      <c r="U173" s="9"/>
      <c r="V173" s="1"/>
      <c r="W173" s="1"/>
      <c r="X173" s="1"/>
      <c r="Y173" s="1"/>
      <c r="Z173" s="1"/>
    </row>
    <row r="174" spans="1:26" ht="39.75" customHeight="1">
      <c r="A174" s="171"/>
      <c r="B174" s="171"/>
      <c r="C174" s="171"/>
      <c r="D174" s="5">
        <v>165</v>
      </c>
      <c r="E174" s="5" t="s">
        <v>314</v>
      </c>
      <c r="F174" s="5"/>
      <c r="G174" s="8"/>
      <c r="H174" s="8"/>
      <c r="I174" s="5"/>
      <c r="J174" s="5"/>
      <c r="K174" s="5"/>
      <c r="L174" s="5"/>
      <c r="M174" s="5"/>
      <c r="N174" s="5"/>
      <c r="O174" s="5"/>
      <c r="P174" s="5"/>
      <c r="Q174" s="5"/>
      <c r="R174" s="5"/>
      <c r="S174" s="5"/>
      <c r="T174" s="6">
        <f t="shared" si="9"/>
        <v>0</v>
      </c>
      <c r="U174" s="9"/>
      <c r="V174" s="1"/>
      <c r="W174" s="1"/>
      <c r="X174" s="1"/>
      <c r="Y174" s="1"/>
      <c r="Z174" s="1"/>
    </row>
    <row r="175" spans="1:26" ht="39.75" customHeight="1">
      <c r="A175" s="171"/>
      <c r="B175" s="171"/>
      <c r="C175" s="171"/>
      <c r="D175" s="5">
        <v>166</v>
      </c>
      <c r="E175" s="5" t="s">
        <v>315</v>
      </c>
      <c r="F175" s="5"/>
      <c r="G175" s="8"/>
      <c r="H175" s="8"/>
      <c r="I175" s="5"/>
      <c r="J175" s="5"/>
      <c r="K175" s="5"/>
      <c r="L175" s="5"/>
      <c r="M175" s="5"/>
      <c r="N175" s="5"/>
      <c r="O175" s="5"/>
      <c r="P175" s="5"/>
      <c r="Q175" s="5"/>
      <c r="R175" s="5"/>
      <c r="S175" s="5"/>
      <c r="T175" s="6">
        <f t="shared" si="9"/>
        <v>0</v>
      </c>
      <c r="U175" s="9"/>
      <c r="V175" s="1"/>
      <c r="W175" s="1"/>
      <c r="X175" s="1"/>
      <c r="Y175" s="1"/>
      <c r="Z175" s="1"/>
    </row>
    <row r="176" spans="1:26" ht="39.75" customHeight="1">
      <c r="A176" s="171"/>
      <c r="B176" s="171"/>
      <c r="C176" s="171"/>
      <c r="D176" s="5">
        <v>167</v>
      </c>
      <c r="E176" s="5" t="s">
        <v>316</v>
      </c>
      <c r="F176" s="5"/>
      <c r="G176" s="8"/>
      <c r="H176" s="8"/>
      <c r="I176" s="5"/>
      <c r="J176" s="5"/>
      <c r="K176" s="5"/>
      <c r="L176" s="5"/>
      <c r="M176" s="5"/>
      <c r="N176" s="5"/>
      <c r="O176" s="5"/>
      <c r="P176" s="5"/>
      <c r="Q176" s="5"/>
      <c r="R176" s="5"/>
      <c r="S176" s="5"/>
      <c r="T176" s="6">
        <f t="shared" si="9"/>
        <v>0</v>
      </c>
      <c r="U176" s="9"/>
      <c r="V176" s="1"/>
      <c r="W176" s="1"/>
      <c r="X176" s="1"/>
      <c r="Y176" s="1"/>
      <c r="Z176" s="1"/>
    </row>
    <row r="177" spans="1:26" ht="39.75" customHeight="1">
      <c r="A177" s="171"/>
      <c r="B177" s="171"/>
      <c r="C177" s="171"/>
      <c r="D177" s="5">
        <v>168</v>
      </c>
      <c r="E177" s="5" t="s">
        <v>317</v>
      </c>
      <c r="F177" s="5"/>
      <c r="G177" s="8"/>
      <c r="H177" s="8"/>
      <c r="I177" s="5"/>
      <c r="J177" s="5"/>
      <c r="K177" s="5"/>
      <c r="L177" s="5"/>
      <c r="M177" s="5"/>
      <c r="N177" s="5"/>
      <c r="O177" s="5"/>
      <c r="P177" s="5"/>
      <c r="Q177" s="5"/>
      <c r="R177" s="5"/>
      <c r="S177" s="5"/>
      <c r="T177" s="6">
        <f t="shared" si="9"/>
        <v>0</v>
      </c>
      <c r="U177" s="9"/>
      <c r="V177" s="1"/>
      <c r="W177" s="1"/>
      <c r="X177" s="1"/>
      <c r="Y177" s="1"/>
      <c r="Z177" s="1"/>
    </row>
    <row r="178" spans="1:26" ht="39.75" customHeight="1">
      <c r="A178" s="171"/>
      <c r="B178" s="171"/>
      <c r="C178" s="171"/>
      <c r="D178" s="5">
        <v>169</v>
      </c>
      <c r="E178" s="5" t="s">
        <v>318</v>
      </c>
      <c r="F178" s="5"/>
      <c r="G178" s="8"/>
      <c r="H178" s="8"/>
      <c r="I178" s="6"/>
      <c r="J178" s="5"/>
      <c r="K178" s="5"/>
      <c r="L178" s="5"/>
      <c r="M178" s="5"/>
      <c r="N178" s="5"/>
      <c r="O178" s="5"/>
      <c r="P178" s="5"/>
      <c r="Q178" s="5"/>
      <c r="R178" s="5"/>
      <c r="S178" s="5"/>
      <c r="T178" s="6">
        <f t="shared" si="9"/>
        <v>0</v>
      </c>
      <c r="U178" s="9"/>
      <c r="V178" s="1"/>
      <c r="W178" s="1"/>
      <c r="X178" s="1"/>
      <c r="Y178" s="1"/>
      <c r="Z178" s="1"/>
    </row>
    <row r="179" spans="1:26" ht="39.75" customHeight="1">
      <c r="A179" s="171"/>
      <c r="B179" s="169"/>
      <c r="C179" s="169"/>
      <c r="D179" s="5">
        <v>170</v>
      </c>
      <c r="E179" s="5" t="s">
        <v>319</v>
      </c>
      <c r="F179" s="5"/>
      <c r="G179" s="5"/>
      <c r="H179" s="5"/>
      <c r="I179" s="5"/>
      <c r="J179" s="5"/>
      <c r="K179" s="5"/>
      <c r="L179" s="5"/>
      <c r="M179" s="5"/>
      <c r="N179" s="5"/>
      <c r="O179" s="5"/>
      <c r="P179" s="5"/>
      <c r="Q179" s="5"/>
      <c r="R179" s="5"/>
      <c r="S179" s="5"/>
      <c r="T179" s="6">
        <f t="shared" si="9"/>
        <v>0</v>
      </c>
      <c r="U179" s="9"/>
      <c r="V179" s="1"/>
      <c r="W179" s="1"/>
      <c r="X179" s="1"/>
      <c r="Y179" s="1"/>
      <c r="Z179" s="1"/>
    </row>
    <row r="180" spans="1:26" ht="39.75" customHeight="1">
      <c r="A180" s="171"/>
      <c r="B180" s="168" t="s">
        <v>320</v>
      </c>
      <c r="C180" s="168" t="s">
        <v>321</v>
      </c>
      <c r="D180" s="5">
        <v>171</v>
      </c>
      <c r="E180" s="5" t="s">
        <v>322</v>
      </c>
      <c r="F180" s="5"/>
      <c r="G180" s="5"/>
      <c r="H180" s="5"/>
      <c r="I180" s="5"/>
      <c r="J180" s="5"/>
      <c r="K180" s="5"/>
      <c r="L180" s="5"/>
      <c r="M180" s="5"/>
      <c r="N180" s="5"/>
      <c r="O180" s="5"/>
      <c r="P180" s="5"/>
      <c r="Q180" s="5"/>
      <c r="R180" s="5"/>
      <c r="S180" s="5"/>
      <c r="T180" s="6">
        <f t="shared" si="9"/>
        <v>0</v>
      </c>
      <c r="U180" s="9"/>
      <c r="V180" s="1"/>
      <c r="W180" s="1"/>
      <c r="X180" s="1"/>
      <c r="Y180" s="1"/>
      <c r="Z180" s="1"/>
    </row>
    <row r="181" spans="1:26" ht="39.75" customHeight="1">
      <c r="A181" s="171"/>
      <c r="B181" s="171"/>
      <c r="C181" s="171"/>
      <c r="D181" s="5">
        <v>172</v>
      </c>
      <c r="E181" s="5" t="s">
        <v>323</v>
      </c>
      <c r="F181" s="5"/>
      <c r="G181" s="5"/>
      <c r="H181" s="5"/>
      <c r="I181" s="5"/>
      <c r="J181" s="5"/>
      <c r="K181" s="5"/>
      <c r="L181" s="5"/>
      <c r="M181" s="5"/>
      <c r="N181" s="5"/>
      <c r="O181" s="5"/>
      <c r="P181" s="6"/>
      <c r="Q181" s="5"/>
      <c r="R181" s="5"/>
      <c r="S181" s="5"/>
      <c r="T181" s="6">
        <f t="shared" si="9"/>
        <v>0</v>
      </c>
      <c r="U181" s="9"/>
      <c r="V181" s="1"/>
      <c r="W181" s="1"/>
      <c r="X181" s="1"/>
      <c r="Y181" s="1"/>
      <c r="Z181" s="1"/>
    </row>
    <row r="182" spans="1:26" ht="39.75" customHeight="1">
      <c r="A182" s="171"/>
      <c r="B182" s="171"/>
      <c r="C182" s="171"/>
      <c r="D182" s="5">
        <v>173</v>
      </c>
      <c r="E182" s="5" t="s">
        <v>324</v>
      </c>
      <c r="F182" s="5"/>
      <c r="G182" s="5"/>
      <c r="H182" s="5"/>
      <c r="I182" s="5"/>
      <c r="J182" s="5"/>
      <c r="K182" s="5"/>
      <c r="L182" s="5"/>
      <c r="M182" s="5"/>
      <c r="N182" s="5"/>
      <c r="O182" s="5"/>
      <c r="P182" s="5"/>
      <c r="Q182" s="5"/>
      <c r="R182" s="5"/>
      <c r="S182" s="5"/>
      <c r="T182" s="6">
        <f t="shared" si="9"/>
        <v>0</v>
      </c>
      <c r="U182" s="9"/>
      <c r="V182" s="1"/>
      <c r="W182" s="1"/>
      <c r="X182" s="1"/>
      <c r="Y182" s="1"/>
      <c r="Z182" s="1"/>
    </row>
    <row r="183" spans="1:26" ht="39.75" customHeight="1">
      <c r="A183" s="171"/>
      <c r="B183" s="169"/>
      <c r="C183" s="169"/>
      <c r="D183" s="5">
        <v>174</v>
      </c>
      <c r="E183" s="5" t="s">
        <v>325</v>
      </c>
      <c r="F183" s="5"/>
      <c r="G183" s="5"/>
      <c r="H183" s="5"/>
      <c r="I183" s="5"/>
      <c r="J183" s="5"/>
      <c r="K183" s="5"/>
      <c r="L183" s="5"/>
      <c r="M183" s="5"/>
      <c r="N183" s="5"/>
      <c r="O183" s="5"/>
      <c r="P183" s="6"/>
      <c r="Q183" s="5"/>
      <c r="R183" s="5"/>
      <c r="S183" s="5"/>
      <c r="T183" s="6">
        <f t="shared" si="9"/>
        <v>0</v>
      </c>
      <c r="U183" s="9"/>
      <c r="V183" s="1"/>
      <c r="W183" s="1"/>
      <c r="X183" s="1"/>
      <c r="Y183" s="1"/>
      <c r="Z183" s="1"/>
    </row>
    <row r="184" spans="1:26" ht="39.75" customHeight="1">
      <c r="A184" s="171"/>
      <c r="B184" s="168" t="s">
        <v>326</v>
      </c>
      <c r="C184" s="168" t="s">
        <v>267</v>
      </c>
      <c r="D184" s="5">
        <v>175</v>
      </c>
      <c r="E184" s="5" t="s">
        <v>268</v>
      </c>
      <c r="F184" s="141"/>
      <c r="G184" s="141"/>
      <c r="H184" s="141"/>
      <c r="I184" s="142">
        <v>12.7</v>
      </c>
      <c r="J184" s="141"/>
      <c r="K184" s="141"/>
      <c r="L184" s="141"/>
      <c r="M184" s="141"/>
      <c r="N184" s="143">
        <f>10.59+1.5</f>
        <v>12.09</v>
      </c>
      <c r="O184" s="141"/>
      <c r="P184" s="142">
        <v>4</v>
      </c>
      <c r="Q184" s="144">
        <v>4.2857000000000003</v>
      </c>
      <c r="R184" s="142">
        <f>0.504+0.252</f>
        <v>0.75600000000000001</v>
      </c>
      <c r="S184" s="142"/>
      <c r="T184" s="143">
        <f t="shared" ref="T184:T186" si="11">SUM(F184:S184)</f>
        <v>33.831699999999998</v>
      </c>
      <c r="U184" s="145" t="s">
        <v>856</v>
      </c>
      <c r="V184" s="1"/>
      <c r="W184" s="1"/>
      <c r="X184" s="1"/>
      <c r="Y184" s="1"/>
      <c r="Z184" s="1"/>
    </row>
    <row r="185" spans="1:26" ht="39.75" customHeight="1">
      <c r="A185" s="171"/>
      <c r="B185" s="171"/>
      <c r="C185" s="171"/>
      <c r="D185" s="5">
        <v>176</v>
      </c>
      <c r="E185" s="5" t="s">
        <v>269</v>
      </c>
      <c r="F185" s="141"/>
      <c r="G185" s="141"/>
      <c r="H185" s="141"/>
      <c r="I185" s="141"/>
      <c r="J185" s="141"/>
      <c r="K185" s="141"/>
      <c r="L185" s="141"/>
      <c r="M185" s="142">
        <v>37.200000000000003</v>
      </c>
      <c r="N185" s="141"/>
      <c r="O185" s="141"/>
      <c r="P185" s="142">
        <v>63.85</v>
      </c>
      <c r="Q185" s="142">
        <v>7.02</v>
      </c>
      <c r="R185" s="141"/>
      <c r="S185" s="141"/>
      <c r="T185" s="143">
        <f t="shared" si="11"/>
        <v>108.07000000000001</v>
      </c>
      <c r="U185" s="145" t="s">
        <v>857</v>
      </c>
      <c r="V185" s="1"/>
      <c r="W185" s="1"/>
      <c r="X185" s="1"/>
      <c r="Y185" s="1"/>
      <c r="Z185" s="1"/>
    </row>
    <row r="186" spans="1:26" ht="39.75" customHeight="1">
      <c r="A186" s="171"/>
      <c r="B186" s="169"/>
      <c r="C186" s="169"/>
      <c r="D186" s="5">
        <v>177</v>
      </c>
      <c r="E186" s="5" t="s">
        <v>270</v>
      </c>
      <c r="F186" s="141"/>
      <c r="G186" s="141"/>
      <c r="H186" s="141"/>
      <c r="I186" s="141"/>
      <c r="J186" s="141"/>
      <c r="K186" s="141"/>
      <c r="L186" s="141"/>
      <c r="M186" s="141"/>
      <c r="N186" s="143">
        <v>1</v>
      </c>
      <c r="O186" s="141"/>
      <c r="P186" s="141"/>
      <c r="Q186" s="141"/>
      <c r="R186" s="141"/>
      <c r="S186" s="141"/>
      <c r="T186" s="143">
        <f t="shared" si="11"/>
        <v>1</v>
      </c>
      <c r="U186" s="145" t="s">
        <v>839</v>
      </c>
      <c r="V186" s="1"/>
      <c r="W186" s="1"/>
      <c r="X186" s="1"/>
      <c r="Y186" s="1"/>
      <c r="Z186" s="1"/>
    </row>
    <row r="187" spans="1:26" ht="39.75" customHeight="1">
      <c r="A187" s="171"/>
      <c r="B187" s="168" t="s">
        <v>327</v>
      </c>
      <c r="C187" s="168" t="s">
        <v>328</v>
      </c>
      <c r="D187" s="5">
        <v>178</v>
      </c>
      <c r="E187" s="5" t="s">
        <v>329</v>
      </c>
      <c r="F187" s="5"/>
      <c r="G187" s="5"/>
      <c r="H187" s="5"/>
      <c r="I187" s="5"/>
      <c r="J187" s="5"/>
      <c r="K187" s="5"/>
      <c r="L187" s="5"/>
      <c r="M187" s="5"/>
      <c r="N187" s="5"/>
      <c r="O187" s="5"/>
      <c r="P187" s="5"/>
      <c r="Q187" s="5"/>
      <c r="R187" s="5"/>
      <c r="S187" s="5"/>
      <c r="T187" s="6">
        <f t="shared" si="9"/>
        <v>0</v>
      </c>
      <c r="U187" s="9"/>
      <c r="V187" s="1"/>
      <c r="W187" s="1"/>
      <c r="X187" s="1"/>
      <c r="Y187" s="1"/>
      <c r="Z187" s="1"/>
    </row>
    <row r="188" spans="1:26" ht="39.75" customHeight="1">
      <c r="A188" s="171"/>
      <c r="B188" s="171"/>
      <c r="C188" s="171"/>
      <c r="D188" s="5">
        <v>179</v>
      </c>
      <c r="E188" s="5" t="s">
        <v>149</v>
      </c>
      <c r="F188" s="5"/>
      <c r="G188" s="5"/>
      <c r="H188" s="5"/>
      <c r="I188" s="5"/>
      <c r="J188" s="5"/>
      <c r="K188" s="5"/>
      <c r="L188" s="5"/>
      <c r="M188" s="5"/>
      <c r="N188" s="5"/>
      <c r="O188" s="5"/>
      <c r="P188" s="5"/>
      <c r="Q188" s="5"/>
      <c r="R188" s="5"/>
      <c r="S188" s="5"/>
      <c r="T188" s="6">
        <f t="shared" si="9"/>
        <v>0</v>
      </c>
      <c r="U188" s="9"/>
      <c r="V188" s="1"/>
      <c r="W188" s="1"/>
      <c r="X188" s="1"/>
      <c r="Y188" s="1"/>
      <c r="Z188" s="1"/>
    </row>
    <row r="189" spans="1:26" ht="39.75" customHeight="1">
      <c r="A189" s="171"/>
      <c r="B189" s="171"/>
      <c r="C189" s="171"/>
      <c r="D189" s="5">
        <v>180</v>
      </c>
      <c r="E189" s="5" t="s">
        <v>330</v>
      </c>
      <c r="F189" s="5"/>
      <c r="G189" s="5"/>
      <c r="H189" s="5"/>
      <c r="I189" s="5"/>
      <c r="J189" s="5"/>
      <c r="K189" s="6"/>
      <c r="L189" s="5"/>
      <c r="M189" s="5"/>
      <c r="N189" s="5"/>
      <c r="O189" s="5"/>
      <c r="P189" s="8"/>
      <c r="Q189" s="5"/>
      <c r="R189" s="5"/>
      <c r="S189" s="5"/>
      <c r="T189" s="6">
        <f t="shared" si="9"/>
        <v>0</v>
      </c>
      <c r="U189" s="9"/>
      <c r="V189" s="1"/>
      <c r="W189" s="1"/>
      <c r="X189" s="1"/>
      <c r="Y189" s="1"/>
      <c r="Z189" s="1"/>
    </row>
    <row r="190" spans="1:26" ht="39.75" customHeight="1">
      <c r="A190" s="171"/>
      <c r="B190" s="171"/>
      <c r="C190" s="171"/>
      <c r="D190" s="5">
        <v>181</v>
      </c>
      <c r="E190" s="5" t="s">
        <v>331</v>
      </c>
      <c r="F190" s="5"/>
      <c r="G190" s="5"/>
      <c r="H190" s="5"/>
      <c r="I190" s="5"/>
      <c r="J190" s="5"/>
      <c r="K190" s="5"/>
      <c r="L190" s="5"/>
      <c r="M190" s="5"/>
      <c r="N190" s="5"/>
      <c r="O190" s="5"/>
      <c r="P190" s="5"/>
      <c r="Q190" s="5"/>
      <c r="R190" s="5"/>
      <c r="S190" s="5"/>
      <c r="T190" s="6">
        <f t="shared" si="9"/>
        <v>0</v>
      </c>
      <c r="U190" s="9"/>
      <c r="V190" s="1"/>
      <c r="W190" s="1"/>
      <c r="X190" s="1"/>
      <c r="Y190" s="1"/>
      <c r="Z190" s="1"/>
    </row>
    <row r="191" spans="1:26" ht="39.75" customHeight="1">
      <c r="A191" s="171"/>
      <c r="B191" s="171"/>
      <c r="C191" s="171"/>
      <c r="D191" s="5">
        <v>182</v>
      </c>
      <c r="E191" s="5" t="s">
        <v>332</v>
      </c>
      <c r="F191" s="5"/>
      <c r="G191" s="5"/>
      <c r="H191" s="5"/>
      <c r="I191" s="5"/>
      <c r="J191" s="5"/>
      <c r="K191" s="5"/>
      <c r="L191" s="5"/>
      <c r="M191" s="5"/>
      <c r="N191" s="5"/>
      <c r="O191" s="5"/>
      <c r="P191" s="6">
        <v>27.6</v>
      </c>
      <c r="Q191" s="5"/>
      <c r="R191" s="5"/>
      <c r="S191" s="5"/>
      <c r="T191" s="6">
        <f t="shared" si="9"/>
        <v>27.6</v>
      </c>
      <c r="U191" s="9" t="s">
        <v>333</v>
      </c>
      <c r="V191" s="1"/>
      <c r="W191" s="1"/>
      <c r="X191" s="1"/>
      <c r="Y191" s="1"/>
      <c r="Z191" s="1"/>
    </row>
    <row r="192" spans="1:26" ht="39.75" customHeight="1">
      <c r="A192" s="171"/>
      <c r="B192" s="169"/>
      <c r="C192" s="169"/>
      <c r="D192" s="5">
        <v>183</v>
      </c>
      <c r="E192" s="5" t="s">
        <v>334</v>
      </c>
      <c r="F192" s="5"/>
      <c r="G192" s="5"/>
      <c r="H192" s="5"/>
      <c r="I192" s="5"/>
      <c r="J192" s="5"/>
      <c r="K192" s="5"/>
      <c r="L192" s="5"/>
      <c r="M192" s="5"/>
      <c r="N192" s="5"/>
      <c r="O192" s="5"/>
      <c r="P192" s="8"/>
      <c r="Q192" s="5"/>
      <c r="R192" s="5"/>
      <c r="S192" s="5"/>
      <c r="T192" s="6">
        <f t="shared" si="9"/>
        <v>0</v>
      </c>
      <c r="U192" s="9"/>
      <c r="V192" s="1"/>
      <c r="W192" s="1"/>
      <c r="X192" s="1"/>
      <c r="Y192" s="1"/>
      <c r="Z192" s="1"/>
    </row>
    <row r="193" spans="1:26" ht="39.75" customHeight="1">
      <c r="A193" s="171"/>
      <c r="B193" s="5" t="s">
        <v>335</v>
      </c>
      <c r="C193" s="5" t="s">
        <v>336</v>
      </c>
      <c r="D193" s="5">
        <v>184</v>
      </c>
      <c r="E193" s="5" t="s">
        <v>337</v>
      </c>
      <c r="F193" s="5"/>
      <c r="G193" s="5"/>
      <c r="H193" s="5"/>
      <c r="I193" s="5"/>
      <c r="J193" s="5"/>
      <c r="K193" s="5"/>
      <c r="L193" s="5"/>
      <c r="M193" s="5"/>
      <c r="N193" s="5"/>
      <c r="O193" s="5"/>
      <c r="P193" s="6"/>
      <c r="Q193" s="5"/>
      <c r="R193" s="5"/>
      <c r="S193" s="5"/>
      <c r="T193" s="6">
        <f t="shared" si="9"/>
        <v>0</v>
      </c>
      <c r="U193" s="9"/>
      <c r="V193" s="1"/>
      <c r="W193" s="1"/>
      <c r="X193" s="1"/>
      <c r="Y193" s="1"/>
      <c r="Z193" s="1"/>
    </row>
    <row r="194" spans="1:26" ht="39.75" customHeight="1">
      <c r="A194" s="171"/>
      <c r="B194" s="168" t="s">
        <v>338</v>
      </c>
      <c r="C194" s="168" t="s">
        <v>272</v>
      </c>
      <c r="D194" s="5">
        <v>185</v>
      </c>
      <c r="E194" s="5" t="s">
        <v>273</v>
      </c>
      <c r="F194" s="5"/>
      <c r="G194" s="5"/>
      <c r="H194" s="5"/>
      <c r="I194" s="5"/>
      <c r="J194" s="5"/>
      <c r="K194" s="5"/>
      <c r="L194" s="5"/>
      <c r="M194" s="5"/>
      <c r="N194" s="5"/>
      <c r="O194" s="5"/>
      <c r="P194" s="5"/>
      <c r="Q194" s="5"/>
      <c r="R194" s="5">
        <v>2993.7</v>
      </c>
      <c r="S194" s="5"/>
      <c r="T194" s="6">
        <f t="shared" si="9"/>
        <v>2993.7</v>
      </c>
      <c r="U194" s="9" t="s">
        <v>639</v>
      </c>
      <c r="V194" s="1"/>
      <c r="W194" s="1"/>
      <c r="X194" s="1"/>
      <c r="Y194" s="1"/>
      <c r="Z194" s="1"/>
    </row>
    <row r="195" spans="1:26" ht="39.75" customHeight="1">
      <c r="A195" s="171"/>
      <c r="B195" s="171"/>
      <c r="C195" s="171"/>
      <c r="D195" s="5">
        <v>186</v>
      </c>
      <c r="E195" s="5" t="s">
        <v>274</v>
      </c>
      <c r="F195" s="5"/>
      <c r="G195" s="5"/>
      <c r="H195" s="5"/>
      <c r="I195" s="5"/>
      <c r="J195" s="5"/>
      <c r="K195" s="5"/>
      <c r="L195" s="5"/>
      <c r="M195" s="5"/>
      <c r="N195" s="5"/>
      <c r="O195" s="5"/>
      <c r="P195" s="8">
        <v>2.48</v>
      </c>
      <c r="Q195" s="6"/>
      <c r="R195" s="5"/>
      <c r="S195" s="5"/>
      <c r="T195" s="6">
        <f t="shared" si="9"/>
        <v>2.48</v>
      </c>
      <c r="U195" s="9" t="s">
        <v>636</v>
      </c>
      <c r="V195" s="1"/>
      <c r="W195" s="1"/>
      <c r="X195" s="1"/>
      <c r="Y195" s="1"/>
      <c r="Z195" s="1"/>
    </row>
    <row r="196" spans="1:26" ht="39.75" customHeight="1">
      <c r="A196" s="171"/>
      <c r="B196" s="171"/>
      <c r="C196" s="171"/>
      <c r="D196" s="5">
        <v>187</v>
      </c>
      <c r="E196" s="5" t="s">
        <v>339</v>
      </c>
      <c r="F196" s="5"/>
      <c r="G196" s="5"/>
      <c r="H196" s="5"/>
      <c r="I196" s="5"/>
      <c r="J196" s="5"/>
      <c r="K196" s="5"/>
      <c r="L196" s="5"/>
      <c r="M196" s="5"/>
      <c r="N196" s="5"/>
      <c r="O196" s="5"/>
      <c r="P196" s="5"/>
      <c r="Q196" s="5"/>
      <c r="R196" s="5"/>
      <c r="S196" s="5"/>
      <c r="T196" s="6">
        <f t="shared" si="9"/>
        <v>0</v>
      </c>
      <c r="U196" s="9"/>
      <c r="V196" s="1"/>
      <c r="W196" s="1"/>
      <c r="X196" s="1"/>
      <c r="Y196" s="1"/>
      <c r="Z196" s="1"/>
    </row>
    <row r="197" spans="1:26" ht="39.75" customHeight="1">
      <c r="A197" s="171"/>
      <c r="B197" s="171"/>
      <c r="C197" s="171"/>
      <c r="D197" s="5">
        <v>188</v>
      </c>
      <c r="E197" s="5" t="s">
        <v>275</v>
      </c>
      <c r="F197" s="5"/>
      <c r="G197" s="5"/>
      <c r="H197" s="5"/>
      <c r="I197" s="5"/>
      <c r="J197" s="5"/>
      <c r="K197" s="5"/>
      <c r="L197" s="5"/>
      <c r="M197" s="5"/>
      <c r="N197" s="5"/>
      <c r="O197" s="5"/>
      <c r="P197" s="5"/>
      <c r="Q197" s="5"/>
      <c r="R197" s="5"/>
      <c r="S197" s="5"/>
      <c r="T197" s="6">
        <f t="shared" si="9"/>
        <v>0</v>
      </c>
      <c r="U197" s="9"/>
      <c r="V197" s="1"/>
      <c r="W197" s="1"/>
      <c r="X197" s="1"/>
      <c r="Y197" s="1"/>
      <c r="Z197" s="1"/>
    </row>
    <row r="198" spans="1:26" ht="39.75" customHeight="1">
      <c r="A198" s="171"/>
      <c r="B198" s="171"/>
      <c r="C198" s="171"/>
      <c r="D198" s="5">
        <v>189</v>
      </c>
      <c r="E198" s="5" t="s">
        <v>276</v>
      </c>
      <c r="F198" s="5"/>
      <c r="G198" s="5"/>
      <c r="H198" s="5"/>
      <c r="I198" s="5"/>
      <c r="J198" s="5"/>
      <c r="K198" s="5"/>
      <c r="L198" s="5"/>
      <c r="M198" s="5"/>
      <c r="N198" s="5"/>
      <c r="O198" s="5"/>
      <c r="P198" s="5"/>
      <c r="Q198" s="5"/>
      <c r="R198" s="5"/>
      <c r="S198" s="5"/>
      <c r="T198" s="6">
        <f t="shared" ref="T198:T208" si="12">SUM(F198:S198)</f>
        <v>0</v>
      </c>
      <c r="U198" s="9"/>
      <c r="V198" s="1"/>
      <c r="W198" s="1"/>
      <c r="X198" s="1"/>
      <c r="Y198" s="1"/>
      <c r="Z198" s="1"/>
    </row>
    <row r="199" spans="1:26" ht="39.75" customHeight="1">
      <c r="A199" s="171"/>
      <c r="B199" s="169"/>
      <c r="C199" s="169"/>
      <c r="D199" s="5">
        <v>190</v>
      </c>
      <c r="E199" s="5" t="s">
        <v>340</v>
      </c>
      <c r="F199" s="5"/>
      <c r="G199" s="5"/>
      <c r="H199" s="5"/>
      <c r="I199" s="5"/>
      <c r="J199" s="5"/>
      <c r="K199" s="5"/>
      <c r="L199" s="5"/>
      <c r="M199" s="5"/>
      <c r="N199" s="5"/>
      <c r="O199" s="5"/>
      <c r="P199" s="8"/>
      <c r="Q199" s="5">
        <v>0.5</v>
      </c>
      <c r="R199" s="5"/>
      <c r="S199" s="5"/>
      <c r="T199" s="6">
        <f t="shared" si="12"/>
        <v>0.5</v>
      </c>
      <c r="U199" s="9" t="s">
        <v>633</v>
      </c>
      <c r="V199" s="1"/>
      <c r="W199" s="1"/>
      <c r="X199" s="1"/>
      <c r="Y199" s="1"/>
      <c r="Z199" s="1"/>
    </row>
    <row r="200" spans="1:26" ht="39.75" customHeight="1">
      <c r="A200" s="171"/>
      <c r="B200" s="168" t="s">
        <v>341</v>
      </c>
      <c r="C200" s="168" t="s">
        <v>342</v>
      </c>
      <c r="D200" s="5">
        <v>191</v>
      </c>
      <c r="E200" s="5" t="s">
        <v>343</v>
      </c>
      <c r="F200" s="5"/>
      <c r="G200" s="5"/>
      <c r="H200" s="5"/>
      <c r="I200" s="5"/>
      <c r="J200" s="5"/>
      <c r="K200" s="5"/>
      <c r="L200" s="5"/>
      <c r="M200" s="5"/>
      <c r="N200" s="6"/>
      <c r="O200" s="5"/>
      <c r="P200" s="5"/>
      <c r="Q200" s="5"/>
      <c r="R200" s="5"/>
      <c r="S200" s="5"/>
      <c r="T200" s="6">
        <f t="shared" si="12"/>
        <v>0</v>
      </c>
      <c r="U200" s="9"/>
      <c r="V200" s="1"/>
      <c r="W200" s="1"/>
      <c r="X200" s="1"/>
      <c r="Y200" s="1"/>
      <c r="Z200" s="1"/>
    </row>
    <row r="201" spans="1:26" ht="39.75" customHeight="1">
      <c r="A201" s="171"/>
      <c r="B201" s="169"/>
      <c r="C201" s="169"/>
      <c r="D201" s="5">
        <v>192</v>
      </c>
      <c r="E201" s="5" t="s">
        <v>345</v>
      </c>
      <c r="F201" s="5"/>
      <c r="G201" s="5"/>
      <c r="H201" s="8"/>
      <c r="I201" s="5"/>
      <c r="J201" s="5"/>
      <c r="K201" s="5"/>
      <c r="L201" s="5"/>
      <c r="M201" s="5"/>
      <c r="N201" s="6">
        <v>0.5</v>
      </c>
      <c r="O201" s="5"/>
      <c r="P201" s="6"/>
      <c r="Q201" s="8"/>
      <c r="R201" s="5"/>
      <c r="S201" s="5"/>
      <c r="T201" s="6">
        <f t="shared" si="12"/>
        <v>0.5</v>
      </c>
      <c r="U201" s="61" t="s">
        <v>651</v>
      </c>
      <c r="V201" s="1"/>
      <c r="W201" s="1"/>
      <c r="X201" s="1"/>
      <c r="Y201" s="1"/>
      <c r="Z201" s="1"/>
    </row>
    <row r="202" spans="1:26" ht="39.75" customHeight="1">
      <c r="A202" s="171"/>
      <c r="B202" s="168" t="s">
        <v>346</v>
      </c>
      <c r="C202" s="168" t="s">
        <v>278</v>
      </c>
      <c r="D202" s="5">
        <v>193</v>
      </c>
      <c r="E202" s="5" t="s">
        <v>347</v>
      </c>
      <c r="F202" s="5"/>
      <c r="G202" s="5"/>
      <c r="H202" s="5"/>
      <c r="I202" s="5"/>
      <c r="J202" s="5"/>
      <c r="K202" s="5"/>
      <c r="L202" s="5"/>
      <c r="M202" s="5"/>
      <c r="N202" s="5"/>
      <c r="O202" s="5"/>
      <c r="P202" s="6"/>
      <c r="Q202" s="5"/>
      <c r="R202" s="5"/>
      <c r="S202" s="8"/>
      <c r="T202" s="6">
        <f t="shared" si="12"/>
        <v>0</v>
      </c>
      <c r="U202" s="9"/>
      <c r="V202" s="1"/>
      <c r="W202" s="1"/>
      <c r="X202" s="1"/>
      <c r="Y202" s="1"/>
      <c r="Z202" s="1"/>
    </row>
    <row r="203" spans="1:26" ht="39.75" customHeight="1">
      <c r="A203" s="171"/>
      <c r="B203" s="169"/>
      <c r="C203" s="169"/>
      <c r="D203" s="5">
        <v>194</v>
      </c>
      <c r="E203" s="5" t="s">
        <v>279</v>
      </c>
      <c r="F203" s="5"/>
      <c r="G203" s="5"/>
      <c r="H203" s="5"/>
      <c r="I203" s="5"/>
      <c r="J203" s="5"/>
      <c r="K203" s="5"/>
      <c r="L203" s="5"/>
      <c r="M203" s="5"/>
      <c r="N203" s="6"/>
      <c r="O203" s="5"/>
      <c r="P203" s="5"/>
      <c r="Q203" s="6"/>
      <c r="R203" s="6">
        <v>47.03</v>
      </c>
      <c r="S203" s="5"/>
      <c r="T203" s="6">
        <f t="shared" si="12"/>
        <v>47.03</v>
      </c>
      <c r="U203" s="9" t="s">
        <v>629</v>
      </c>
      <c r="V203" s="1"/>
      <c r="W203" s="1"/>
      <c r="X203" s="1"/>
      <c r="Y203" s="1"/>
      <c r="Z203" s="1"/>
    </row>
    <row r="204" spans="1:26" ht="39.75" customHeight="1">
      <c r="A204" s="171"/>
      <c r="B204" s="168" t="s">
        <v>348</v>
      </c>
      <c r="C204" s="168" t="s">
        <v>349</v>
      </c>
      <c r="D204" s="5">
        <v>195</v>
      </c>
      <c r="E204" s="5" t="s">
        <v>350</v>
      </c>
      <c r="F204" s="5"/>
      <c r="G204" s="5"/>
      <c r="H204" s="5"/>
      <c r="I204" s="5"/>
      <c r="J204" s="5"/>
      <c r="K204" s="5"/>
      <c r="L204" s="5"/>
      <c r="M204" s="5"/>
      <c r="N204" s="5"/>
      <c r="O204" s="5"/>
      <c r="P204" s="6">
        <v>1.75</v>
      </c>
      <c r="Q204" s="8">
        <v>1.72</v>
      </c>
      <c r="R204" s="6">
        <v>2</v>
      </c>
      <c r="S204" s="5"/>
      <c r="T204" s="6">
        <f t="shared" si="12"/>
        <v>5.47</v>
      </c>
      <c r="U204" s="61" t="s">
        <v>351</v>
      </c>
      <c r="V204" s="1"/>
      <c r="W204" s="1"/>
      <c r="X204" s="1"/>
      <c r="Y204" s="1"/>
      <c r="Z204" s="1"/>
    </row>
    <row r="205" spans="1:26" ht="39.75" customHeight="1">
      <c r="A205" s="171"/>
      <c r="B205" s="171"/>
      <c r="C205" s="171"/>
      <c r="D205" s="5">
        <v>196</v>
      </c>
      <c r="E205" s="5" t="s">
        <v>352</v>
      </c>
      <c r="F205" s="5"/>
      <c r="G205" s="5"/>
      <c r="H205" s="5"/>
      <c r="I205" s="5"/>
      <c r="J205" s="5"/>
      <c r="K205" s="5"/>
      <c r="L205" s="5"/>
      <c r="M205" s="5"/>
      <c r="N205" s="5"/>
      <c r="O205" s="5"/>
      <c r="P205" s="5"/>
      <c r="Q205" s="5"/>
      <c r="R205" s="5"/>
      <c r="S205" s="5"/>
      <c r="T205" s="6">
        <f t="shared" si="12"/>
        <v>0</v>
      </c>
      <c r="U205" s="9"/>
      <c r="V205" s="1"/>
      <c r="W205" s="1"/>
      <c r="X205" s="1"/>
      <c r="Y205" s="1"/>
      <c r="Z205" s="1"/>
    </row>
    <row r="206" spans="1:26" ht="39.75" customHeight="1">
      <c r="A206" s="171"/>
      <c r="B206" s="169"/>
      <c r="C206" s="169"/>
      <c r="D206" s="5">
        <v>197</v>
      </c>
      <c r="E206" s="5" t="s">
        <v>353</v>
      </c>
      <c r="F206" s="5"/>
      <c r="G206" s="5"/>
      <c r="H206" s="5"/>
      <c r="I206" s="5"/>
      <c r="J206" s="5"/>
      <c r="K206" s="5"/>
      <c r="L206" s="5"/>
      <c r="M206" s="5"/>
      <c r="N206" s="5"/>
      <c r="O206" s="5"/>
      <c r="P206" s="6"/>
      <c r="Q206" s="5"/>
      <c r="R206" s="5"/>
      <c r="S206" s="5"/>
      <c r="T206" s="6">
        <f t="shared" si="12"/>
        <v>0</v>
      </c>
      <c r="U206" s="9"/>
      <c r="V206" s="1"/>
      <c r="W206" s="1"/>
      <c r="X206" s="1"/>
      <c r="Y206" s="1"/>
      <c r="Z206" s="1"/>
    </row>
    <row r="207" spans="1:26" ht="39.75" customHeight="1">
      <c r="A207" s="171"/>
      <c r="B207" s="5" t="s">
        <v>354</v>
      </c>
      <c r="C207" s="5" t="s">
        <v>284</v>
      </c>
      <c r="D207" s="5">
        <v>198</v>
      </c>
      <c r="E207" s="5" t="s">
        <v>285</v>
      </c>
      <c r="F207" s="5"/>
      <c r="G207" s="5"/>
      <c r="H207" s="5"/>
      <c r="I207" s="5"/>
      <c r="J207" s="5"/>
      <c r="K207" s="5"/>
      <c r="L207" s="5"/>
      <c r="M207" s="5"/>
      <c r="N207" s="5"/>
      <c r="O207" s="5"/>
      <c r="P207" s="5"/>
      <c r="Q207" s="5"/>
      <c r="R207" s="5"/>
      <c r="S207" s="5"/>
      <c r="T207" s="6">
        <f t="shared" si="12"/>
        <v>0</v>
      </c>
      <c r="U207" s="9"/>
      <c r="V207" s="1"/>
      <c r="W207" s="1"/>
      <c r="X207" s="1"/>
      <c r="Y207" s="1"/>
      <c r="Z207" s="1"/>
    </row>
    <row r="208" spans="1:26" ht="39.75" customHeight="1">
      <c r="A208" s="171"/>
      <c r="B208" s="5" t="s">
        <v>355</v>
      </c>
      <c r="C208" s="5" t="s">
        <v>287</v>
      </c>
      <c r="D208" s="5">
        <v>199</v>
      </c>
      <c r="E208" s="5" t="s">
        <v>288</v>
      </c>
      <c r="F208" s="24"/>
      <c r="G208" s="24"/>
      <c r="H208" s="24"/>
      <c r="I208" s="24"/>
      <c r="J208" s="24"/>
      <c r="K208" s="24"/>
      <c r="L208" s="24"/>
      <c r="M208" s="24"/>
      <c r="N208" s="24"/>
      <c r="O208" s="24"/>
      <c r="P208" s="24">
        <v>361.95</v>
      </c>
      <c r="Q208" s="24"/>
      <c r="R208" s="24"/>
      <c r="S208" s="24"/>
      <c r="T208" s="6">
        <f t="shared" si="12"/>
        <v>361.95</v>
      </c>
      <c r="U208" s="76" t="s">
        <v>631</v>
      </c>
      <c r="V208" s="1"/>
      <c r="W208" s="1"/>
      <c r="X208" s="1"/>
      <c r="Y208" s="1"/>
      <c r="Z208" s="1"/>
    </row>
    <row r="209" spans="1:26" ht="39.75" customHeight="1">
      <c r="A209" s="169"/>
      <c r="B209" s="176" t="s">
        <v>356</v>
      </c>
      <c r="C209" s="183"/>
      <c r="D209" s="184"/>
      <c r="E209" s="51"/>
      <c r="F209" s="51">
        <f t="shared" ref="F209:T209" si="13">SUM(F159:F208)</f>
        <v>0</v>
      </c>
      <c r="G209" s="56">
        <f t="shared" si="13"/>
        <v>719.25</v>
      </c>
      <c r="H209" s="56">
        <f t="shared" si="13"/>
        <v>959</v>
      </c>
      <c r="I209" s="51">
        <f t="shared" si="13"/>
        <v>12.7</v>
      </c>
      <c r="J209" s="51">
        <f t="shared" si="13"/>
        <v>0</v>
      </c>
      <c r="K209" s="51">
        <f t="shared" si="13"/>
        <v>0</v>
      </c>
      <c r="L209" s="51">
        <f t="shared" si="13"/>
        <v>0</v>
      </c>
      <c r="M209" s="51">
        <f t="shared" si="13"/>
        <v>37.200000000000003</v>
      </c>
      <c r="N209" s="52">
        <f t="shared" si="13"/>
        <v>61.489999999999995</v>
      </c>
      <c r="O209" s="51">
        <f t="shared" si="13"/>
        <v>851.4</v>
      </c>
      <c r="P209" s="56">
        <f t="shared" si="13"/>
        <v>579.06999999999994</v>
      </c>
      <c r="Q209" s="51">
        <f t="shared" si="13"/>
        <v>20.505699999999997</v>
      </c>
      <c r="R209" s="51">
        <f t="shared" si="13"/>
        <v>3049.4859999999999</v>
      </c>
      <c r="S209" s="51">
        <f t="shared" si="13"/>
        <v>0</v>
      </c>
      <c r="T209" s="52">
        <f t="shared" si="13"/>
        <v>6290.1016999999993</v>
      </c>
      <c r="U209" s="9"/>
      <c r="V209" s="1"/>
      <c r="W209" s="1"/>
      <c r="X209" s="1"/>
      <c r="Y209" s="1"/>
      <c r="Z209" s="1"/>
    </row>
    <row r="210" spans="1:26" ht="39.75" customHeight="1">
      <c r="A210" s="180" t="s">
        <v>357</v>
      </c>
      <c r="B210" s="181"/>
      <c r="C210" s="181"/>
      <c r="D210" s="182"/>
      <c r="E210" s="64"/>
      <c r="F210" s="65">
        <f t="shared" ref="F210:T210" si="14">F209+F158+F134+F93+F68</f>
        <v>201.54</v>
      </c>
      <c r="G210" s="66">
        <f t="shared" si="14"/>
        <v>719.25</v>
      </c>
      <c r="H210" s="66">
        <f t="shared" si="14"/>
        <v>969</v>
      </c>
      <c r="I210" s="65">
        <f t="shared" si="14"/>
        <v>40.582000000000001</v>
      </c>
      <c r="J210" s="65">
        <f t="shared" si="14"/>
        <v>0</v>
      </c>
      <c r="K210" s="67">
        <f t="shared" si="14"/>
        <v>165.90600000000001</v>
      </c>
      <c r="L210" s="65">
        <f t="shared" si="14"/>
        <v>0</v>
      </c>
      <c r="M210" s="66">
        <f t="shared" si="14"/>
        <v>127.986</v>
      </c>
      <c r="N210" s="67">
        <f t="shared" si="14"/>
        <v>166.43054999999998</v>
      </c>
      <c r="O210" s="65">
        <f t="shared" si="14"/>
        <v>1412.0697500000001</v>
      </c>
      <c r="P210" s="66">
        <f t="shared" si="14"/>
        <v>1377.6709999999998</v>
      </c>
      <c r="Q210" s="65">
        <f t="shared" si="14"/>
        <v>127.8262</v>
      </c>
      <c r="R210" s="66">
        <f t="shared" si="14"/>
        <v>3724.0724999999998</v>
      </c>
      <c r="S210" s="66">
        <f t="shared" si="14"/>
        <v>25.720000000000002</v>
      </c>
      <c r="T210" s="67">
        <f t="shared" si="14"/>
        <v>9058.0539999999983</v>
      </c>
      <c r="U210" s="9"/>
      <c r="V210" s="1"/>
      <c r="W210" s="1"/>
      <c r="X210" s="1"/>
      <c r="Y210" s="1"/>
      <c r="Z210" s="1"/>
    </row>
    <row r="211" spans="1:26" ht="24.75" customHeight="1">
      <c r="A211" s="1"/>
      <c r="B211" s="1"/>
      <c r="C211" s="1"/>
      <c r="D211" s="1"/>
      <c r="E211" s="1"/>
      <c r="F211" s="1"/>
      <c r="G211" s="1"/>
      <c r="H211" s="1"/>
      <c r="I211" s="1"/>
      <c r="J211" s="1"/>
      <c r="K211" s="1"/>
      <c r="L211" s="1"/>
      <c r="M211" s="1"/>
      <c r="N211" s="1"/>
      <c r="O211" s="1"/>
      <c r="P211" s="1"/>
      <c r="Q211" s="1"/>
      <c r="R211" s="1"/>
      <c r="S211" s="1"/>
      <c r="T211" s="32"/>
      <c r="U211" s="2"/>
      <c r="V211" s="1"/>
      <c r="W211" s="1"/>
      <c r="X211" s="1"/>
      <c r="Y211" s="1"/>
      <c r="Z211" s="1"/>
    </row>
    <row r="212" spans="1:26" ht="24.75" customHeight="1">
      <c r="A212" s="1"/>
      <c r="B212" s="1"/>
      <c r="C212" s="1"/>
      <c r="D212" s="1"/>
      <c r="E212" s="1"/>
      <c r="F212" s="1"/>
      <c r="G212" s="1"/>
      <c r="H212" s="1"/>
      <c r="I212" s="1"/>
      <c r="J212" s="1"/>
      <c r="K212" s="1"/>
      <c r="L212" s="1"/>
      <c r="M212" s="1"/>
      <c r="N212" s="1"/>
      <c r="O212" s="1"/>
      <c r="P212" s="1"/>
      <c r="Q212" s="1"/>
      <c r="R212" s="1"/>
      <c r="S212" s="1"/>
      <c r="T212" s="1"/>
      <c r="U212" s="2"/>
      <c r="V212" s="1"/>
      <c r="W212" s="1"/>
      <c r="X212" s="1"/>
      <c r="Y212" s="1"/>
      <c r="Z212" s="1"/>
    </row>
    <row r="213" spans="1:26" ht="24.75" customHeight="1">
      <c r="A213" s="1"/>
      <c r="B213" s="1"/>
      <c r="C213" s="1"/>
      <c r="D213" s="1"/>
      <c r="E213" s="1"/>
      <c r="F213" s="1"/>
      <c r="G213" s="1"/>
      <c r="H213" s="1"/>
      <c r="I213" s="1"/>
      <c r="J213" s="1"/>
      <c r="K213" s="1"/>
      <c r="L213" s="1"/>
      <c r="M213" s="1"/>
      <c r="N213" s="1"/>
      <c r="O213" s="1"/>
      <c r="P213" s="1"/>
      <c r="Q213" s="1"/>
      <c r="R213" s="1"/>
      <c r="S213" s="1"/>
      <c r="T213" s="1"/>
      <c r="U213" s="2"/>
      <c r="V213" s="1"/>
      <c r="W213" s="1"/>
      <c r="X213" s="1"/>
      <c r="Y213" s="1"/>
      <c r="Z213" s="1"/>
    </row>
    <row r="214" spans="1:26" ht="24.75" customHeight="1">
      <c r="A214" s="1"/>
      <c r="B214" s="1"/>
      <c r="C214" s="1"/>
      <c r="D214" s="1"/>
      <c r="E214" s="1"/>
      <c r="F214" s="1"/>
      <c r="G214" s="1"/>
      <c r="H214" s="1"/>
      <c r="I214" s="1"/>
      <c r="J214" s="1"/>
      <c r="K214" s="1"/>
      <c r="L214" s="1"/>
      <c r="M214" s="1"/>
      <c r="N214" s="1"/>
      <c r="O214" s="1"/>
      <c r="P214" s="1"/>
      <c r="Q214" s="1"/>
      <c r="R214" s="1"/>
      <c r="S214" s="1"/>
      <c r="T214" s="1"/>
      <c r="U214" s="2"/>
      <c r="V214" s="1"/>
      <c r="W214" s="1"/>
      <c r="X214" s="1"/>
      <c r="Y214" s="1"/>
      <c r="Z214" s="1"/>
    </row>
    <row r="215" spans="1:26" ht="24.75" customHeight="1">
      <c r="A215" s="1"/>
      <c r="B215" s="1"/>
      <c r="C215" s="1"/>
      <c r="D215" s="1"/>
      <c r="E215" s="1"/>
      <c r="F215" s="1"/>
      <c r="G215" s="1"/>
      <c r="H215" s="1"/>
      <c r="I215" s="1"/>
      <c r="J215" s="1"/>
      <c r="K215" s="1"/>
      <c r="L215" s="1"/>
      <c r="M215" s="1"/>
      <c r="N215" s="1"/>
      <c r="O215" s="1"/>
      <c r="P215" s="1"/>
      <c r="Q215" s="1"/>
      <c r="R215" s="1"/>
      <c r="S215" s="1"/>
      <c r="T215" s="1"/>
      <c r="U215" s="2"/>
      <c r="V215" s="1"/>
      <c r="W215" s="1"/>
      <c r="X215" s="1"/>
      <c r="Y215" s="1"/>
      <c r="Z215" s="1"/>
    </row>
    <row r="216" spans="1:26" ht="24.75" customHeight="1">
      <c r="A216" s="1"/>
      <c r="B216" s="1"/>
      <c r="C216" s="1"/>
      <c r="D216" s="1"/>
      <c r="E216" s="1"/>
      <c r="F216" s="1"/>
      <c r="G216" s="1"/>
      <c r="H216" s="1"/>
      <c r="I216" s="1"/>
      <c r="J216" s="1"/>
      <c r="K216" s="1"/>
      <c r="L216" s="1"/>
      <c r="M216" s="1"/>
      <c r="N216" s="1"/>
      <c r="O216" s="1"/>
      <c r="P216" s="1"/>
      <c r="Q216" s="1"/>
      <c r="R216" s="1"/>
      <c r="S216" s="1"/>
      <c r="T216" s="1"/>
      <c r="U216" s="2"/>
      <c r="V216" s="1"/>
      <c r="W216" s="1"/>
      <c r="X216" s="1"/>
      <c r="Y216" s="1"/>
      <c r="Z216" s="1"/>
    </row>
    <row r="217" spans="1:26" ht="24.75" customHeight="1">
      <c r="A217" s="1"/>
      <c r="B217" s="1"/>
      <c r="C217" s="1"/>
      <c r="D217" s="1"/>
      <c r="E217" s="1"/>
      <c r="F217" s="1"/>
      <c r="G217" s="1"/>
      <c r="H217" s="1"/>
      <c r="I217" s="1"/>
      <c r="J217" s="1"/>
      <c r="K217" s="1"/>
      <c r="L217" s="1"/>
      <c r="M217" s="1"/>
      <c r="N217" s="1"/>
      <c r="O217" s="1"/>
      <c r="P217" s="1"/>
      <c r="Q217" s="1"/>
      <c r="R217" s="1"/>
      <c r="S217" s="1"/>
      <c r="T217" s="1"/>
      <c r="U217" s="2"/>
      <c r="V217" s="1"/>
      <c r="W217" s="1"/>
      <c r="X217" s="1"/>
      <c r="Y217" s="1"/>
      <c r="Z217" s="1"/>
    </row>
    <row r="218" spans="1:26" ht="24.75" customHeight="1">
      <c r="A218" s="1"/>
      <c r="B218" s="1"/>
      <c r="C218" s="1"/>
      <c r="D218" s="1"/>
      <c r="E218" s="1"/>
      <c r="F218" s="1"/>
      <c r="G218" s="1"/>
      <c r="H218" s="1"/>
      <c r="I218" s="1"/>
      <c r="J218" s="1"/>
      <c r="K218" s="1"/>
      <c r="L218" s="1"/>
      <c r="M218" s="1"/>
      <c r="N218" s="1"/>
      <c r="O218" s="1"/>
      <c r="P218" s="1"/>
      <c r="Q218" s="1"/>
      <c r="R218" s="1"/>
      <c r="S218" s="1"/>
      <c r="T218" s="1"/>
      <c r="U218" s="2"/>
      <c r="V218" s="1"/>
      <c r="W218" s="1"/>
      <c r="X218" s="1"/>
      <c r="Y218" s="1"/>
      <c r="Z218" s="1"/>
    </row>
    <row r="219" spans="1:26" ht="24.75" customHeight="1">
      <c r="A219" s="1"/>
      <c r="B219" s="1"/>
      <c r="C219" s="1"/>
      <c r="D219" s="1"/>
      <c r="E219" s="1"/>
      <c r="F219" s="1"/>
      <c r="G219" s="1"/>
      <c r="H219" s="1"/>
      <c r="I219" s="1"/>
      <c r="J219" s="1"/>
      <c r="K219" s="1"/>
      <c r="L219" s="1"/>
      <c r="M219" s="1"/>
      <c r="N219" s="1"/>
      <c r="O219" s="1"/>
      <c r="P219" s="1"/>
      <c r="Q219" s="1"/>
      <c r="R219" s="1"/>
      <c r="S219" s="1"/>
      <c r="T219" s="1"/>
      <c r="U219" s="2"/>
      <c r="V219" s="1"/>
      <c r="W219" s="1"/>
      <c r="X219" s="1"/>
      <c r="Y219" s="1"/>
      <c r="Z219" s="1"/>
    </row>
    <row r="220" spans="1:26" ht="24.75" customHeight="1">
      <c r="A220" s="1"/>
      <c r="B220" s="1"/>
      <c r="C220" s="1"/>
      <c r="D220" s="1"/>
      <c r="E220" s="1"/>
      <c r="F220" s="1"/>
      <c r="G220" s="1"/>
      <c r="H220" s="1"/>
      <c r="I220" s="1"/>
      <c r="J220" s="1"/>
      <c r="K220" s="1"/>
      <c r="L220" s="1"/>
      <c r="M220" s="1"/>
      <c r="N220" s="1"/>
      <c r="O220" s="1"/>
      <c r="P220" s="1"/>
      <c r="Q220" s="1"/>
      <c r="R220" s="1"/>
      <c r="S220" s="1"/>
      <c r="T220" s="1"/>
      <c r="U220" s="2"/>
      <c r="V220" s="1"/>
      <c r="W220" s="1"/>
      <c r="X220" s="1"/>
      <c r="Y220" s="1"/>
      <c r="Z220" s="1"/>
    </row>
    <row r="221" spans="1:26" ht="24.75" customHeight="1">
      <c r="A221" s="1"/>
      <c r="B221" s="1"/>
      <c r="C221" s="1"/>
      <c r="D221" s="1"/>
      <c r="E221" s="1"/>
      <c r="F221" s="1"/>
      <c r="G221" s="1"/>
      <c r="H221" s="1"/>
      <c r="I221" s="1"/>
      <c r="J221" s="1"/>
      <c r="K221" s="1"/>
      <c r="L221" s="1"/>
      <c r="M221" s="1"/>
      <c r="N221" s="1"/>
      <c r="O221" s="1"/>
      <c r="P221" s="1"/>
      <c r="Q221" s="1"/>
      <c r="R221" s="1"/>
      <c r="S221" s="1"/>
      <c r="T221" s="1"/>
      <c r="U221" s="2"/>
      <c r="V221" s="1"/>
      <c r="W221" s="1"/>
      <c r="X221" s="1"/>
      <c r="Y221" s="1"/>
      <c r="Z221" s="1"/>
    </row>
    <row r="222" spans="1:26" ht="24.75" customHeight="1">
      <c r="A222" s="1"/>
      <c r="B222" s="1"/>
      <c r="C222" s="1"/>
      <c r="D222" s="1"/>
      <c r="E222" s="1"/>
      <c r="F222" s="1"/>
      <c r="G222" s="1"/>
      <c r="H222" s="1"/>
      <c r="I222" s="1"/>
      <c r="J222" s="1"/>
      <c r="K222" s="1"/>
      <c r="L222" s="1"/>
      <c r="M222" s="1"/>
      <c r="N222" s="1"/>
      <c r="O222" s="1"/>
      <c r="P222" s="1"/>
      <c r="Q222" s="1"/>
      <c r="R222" s="1"/>
      <c r="S222" s="1"/>
      <c r="T222" s="1"/>
      <c r="U222" s="2"/>
      <c r="V222" s="1"/>
      <c r="W222" s="1"/>
      <c r="X222" s="1"/>
      <c r="Y222" s="1"/>
      <c r="Z222" s="1"/>
    </row>
    <row r="223" spans="1:26" ht="24.75" customHeight="1">
      <c r="A223" s="1"/>
      <c r="B223" s="1"/>
      <c r="C223" s="1"/>
      <c r="D223" s="1"/>
      <c r="E223" s="1"/>
      <c r="F223" s="1"/>
      <c r="G223" s="1"/>
      <c r="H223" s="1"/>
      <c r="I223" s="1"/>
      <c r="J223" s="1"/>
      <c r="K223" s="1"/>
      <c r="L223" s="1"/>
      <c r="M223" s="1"/>
      <c r="N223" s="1"/>
      <c r="O223" s="1"/>
      <c r="P223" s="1"/>
      <c r="Q223" s="1"/>
      <c r="R223" s="1"/>
      <c r="S223" s="1"/>
      <c r="T223" s="1"/>
      <c r="U223" s="2"/>
      <c r="V223" s="1"/>
      <c r="W223" s="1"/>
      <c r="X223" s="1"/>
      <c r="Y223" s="1"/>
      <c r="Z223" s="1"/>
    </row>
    <row r="224" spans="1:26" ht="24.75" customHeight="1">
      <c r="A224" s="1"/>
      <c r="B224" s="1"/>
      <c r="C224" s="1"/>
      <c r="D224" s="1"/>
      <c r="E224" s="1"/>
      <c r="F224" s="1"/>
      <c r="G224" s="1"/>
      <c r="H224" s="1"/>
      <c r="I224" s="1"/>
      <c r="J224" s="1"/>
      <c r="K224" s="1"/>
      <c r="L224" s="1"/>
      <c r="M224" s="1"/>
      <c r="N224" s="1"/>
      <c r="O224" s="1"/>
      <c r="P224" s="1"/>
      <c r="Q224" s="1"/>
      <c r="R224" s="1"/>
      <c r="S224" s="1"/>
      <c r="T224" s="1"/>
      <c r="U224" s="2"/>
      <c r="V224" s="1"/>
      <c r="W224" s="1"/>
      <c r="X224" s="1"/>
      <c r="Y224" s="1"/>
      <c r="Z224" s="1"/>
    </row>
    <row r="225" spans="1:26" ht="24.75" customHeight="1">
      <c r="A225" s="1"/>
      <c r="B225" s="1"/>
      <c r="C225" s="1"/>
      <c r="D225" s="1"/>
      <c r="E225" s="1"/>
      <c r="F225" s="1"/>
      <c r="G225" s="1"/>
      <c r="H225" s="1"/>
      <c r="I225" s="1"/>
      <c r="J225" s="1"/>
      <c r="K225" s="1"/>
      <c r="L225" s="1"/>
      <c r="M225" s="1"/>
      <c r="N225" s="1"/>
      <c r="O225" s="1"/>
      <c r="P225" s="1"/>
      <c r="Q225" s="1"/>
      <c r="R225" s="1"/>
      <c r="S225" s="1"/>
      <c r="T225" s="1"/>
      <c r="U225" s="2"/>
      <c r="V225" s="1"/>
      <c r="W225" s="1"/>
      <c r="X225" s="1"/>
      <c r="Y225" s="1"/>
      <c r="Z225" s="1"/>
    </row>
    <row r="226" spans="1:26" ht="24.75" customHeight="1">
      <c r="A226" s="1"/>
      <c r="B226" s="1"/>
      <c r="C226" s="1"/>
      <c r="D226" s="1"/>
      <c r="E226" s="1"/>
      <c r="F226" s="1"/>
      <c r="G226" s="1"/>
      <c r="H226" s="1"/>
      <c r="I226" s="1"/>
      <c r="J226" s="1"/>
      <c r="K226" s="1"/>
      <c r="L226" s="1"/>
      <c r="M226" s="1"/>
      <c r="N226" s="1"/>
      <c r="O226" s="1"/>
      <c r="P226" s="1"/>
      <c r="Q226" s="1"/>
      <c r="R226" s="1"/>
      <c r="S226" s="1"/>
      <c r="T226" s="1"/>
      <c r="U226" s="2"/>
      <c r="V226" s="1"/>
      <c r="W226" s="1"/>
      <c r="X226" s="1"/>
      <c r="Y226" s="1"/>
      <c r="Z226" s="1"/>
    </row>
    <row r="227" spans="1:26" ht="24.75" customHeight="1">
      <c r="A227" s="1"/>
      <c r="B227" s="1"/>
      <c r="C227" s="1"/>
      <c r="D227" s="1"/>
      <c r="E227" s="1"/>
      <c r="F227" s="1"/>
      <c r="G227" s="1"/>
      <c r="H227" s="1"/>
      <c r="I227" s="1"/>
      <c r="J227" s="1"/>
      <c r="K227" s="1"/>
      <c r="L227" s="1"/>
      <c r="M227" s="1"/>
      <c r="N227" s="1"/>
      <c r="O227" s="1"/>
      <c r="P227" s="1"/>
      <c r="Q227" s="1"/>
      <c r="R227" s="1"/>
      <c r="S227" s="1"/>
      <c r="T227" s="1"/>
      <c r="U227" s="2"/>
      <c r="V227" s="1"/>
      <c r="W227" s="1"/>
      <c r="X227" s="1"/>
      <c r="Y227" s="1"/>
      <c r="Z227" s="1"/>
    </row>
    <row r="228" spans="1:26" ht="24.75" customHeight="1">
      <c r="A228" s="1"/>
      <c r="B228" s="1"/>
      <c r="C228" s="1"/>
      <c r="D228" s="1"/>
      <c r="E228" s="1"/>
      <c r="F228" s="1"/>
      <c r="G228" s="1"/>
      <c r="H228" s="1"/>
      <c r="I228" s="1"/>
      <c r="J228" s="1"/>
      <c r="K228" s="1"/>
      <c r="L228" s="1"/>
      <c r="M228" s="1"/>
      <c r="N228" s="1"/>
      <c r="O228" s="1"/>
      <c r="P228" s="1"/>
      <c r="Q228" s="1"/>
      <c r="R228" s="1"/>
      <c r="S228" s="1"/>
      <c r="T228" s="1"/>
      <c r="U228" s="2"/>
      <c r="V228" s="1"/>
      <c r="W228" s="1"/>
      <c r="X228" s="1"/>
      <c r="Y228" s="1"/>
      <c r="Z228" s="1"/>
    </row>
    <row r="229" spans="1:26" ht="24.75" customHeight="1">
      <c r="A229" s="1"/>
      <c r="B229" s="1"/>
      <c r="C229" s="1"/>
      <c r="D229" s="1"/>
      <c r="E229" s="1"/>
      <c r="F229" s="1"/>
      <c r="G229" s="1"/>
      <c r="H229" s="1"/>
      <c r="I229" s="1"/>
      <c r="J229" s="1"/>
      <c r="K229" s="1"/>
      <c r="L229" s="1"/>
      <c r="M229" s="1"/>
      <c r="N229" s="1"/>
      <c r="O229" s="1"/>
      <c r="P229" s="1"/>
      <c r="Q229" s="1"/>
      <c r="R229" s="1"/>
      <c r="S229" s="1"/>
      <c r="T229" s="1"/>
      <c r="U229" s="2"/>
      <c r="V229" s="1"/>
      <c r="W229" s="1"/>
      <c r="X229" s="1"/>
      <c r="Y229" s="1"/>
      <c r="Z229" s="1"/>
    </row>
    <row r="230" spans="1:26" ht="24.75" customHeight="1">
      <c r="A230" s="1"/>
      <c r="B230" s="1"/>
      <c r="C230" s="1"/>
      <c r="D230" s="1"/>
      <c r="E230" s="1"/>
      <c r="F230" s="1"/>
      <c r="G230" s="1"/>
      <c r="H230" s="1"/>
      <c r="I230" s="1"/>
      <c r="J230" s="1"/>
      <c r="K230" s="1"/>
      <c r="L230" s="1"/>
      <c r="M230" s="1"/>
      <c r="N230" s="1"/>
      <c r="O230" s="1"/>
      <c r="P230" s="1"/>
      <c r="Q230" s="1"/>
      <c r="R230" s="1"/>
      <c r="S230" s="1"/>
      <c r="T230" s="1"/>
      <c r="U230" s="2"/>
      <c r="V230" s="1"/>
      <c r="W230" s="1"/>
      <c r="X230" s="1"/>
      <c r="Y230" s="1"/>
      <c r="Z230" s="1"/>
    </row>
    <row r="231" spans="1:26" ht="24.75" customHeight="1">
      <c r="A231" s="1"/>
      <c r="B231" s="1"/>
      <c r="C231" s="1"/>
      <c r="D231" s="1"/>
      <c r="E231" s="1"/>
      <c r="F231" s="1"/>
      <c r="G231" s="1"/>
      <c r="H231" s="1"/>
      <c r="I231" s="1"/>
      <c r="J231" s="1"/>
      <c r="K231" s="1"/>
      <c r="L231" s="1"/>
      <c r="M231" s="1"/>
      <c r="N231" s="1"/>
      <c r="O231" s="1"/>
      <c r="P231" s="1"/>
      <c r="Q231" s="1"/>
      <c r="R231" s="1"/>
      <c r="S231" s="1"/>
      <c r="T231" s="1"/>
      <c r="U231" s="2"/>
      <c r="V231" s="1"/>
      <c r="W231" s="1"/>
      <c r="X231" s="1"/>
      <c r="Y231" s="1"/>
      <c r="Z231" s="1"/>
    </row>
    <row r="232" spans="1:26" ht="24.75" customHeight="1">
      <c r="A232" s="1"/>
      <c r="B232" s="1"/>
      <c r="C232" s="1"/>
      <c r="D232" s="1"/>
      <c r="E232" s="1"/>
      <c r="F232" s="1"/>
      <c r="G232" s="1"/>
      <c r="H232" s="1"/>
      <c r="I232" s="1"/>
      <c r="J232" s="1"/>
      <c r="K232" s="1"/>
      <c r="L232" s="1"/>
      <c r="M232" s="1"/>
      <c r="N232" s="1"/>
      <c r="O232" s="1"/>
      <c r="P232" s="1"/>
      <c r="Q232" s="1"/>
      <c r="R232" s="1"/>
      <c r="S232" s="1"/>
      <c r="T232" s="1"/>
      <c r="U232" s="2"/>
      <c r="V232" s="1"/>
      <c r="W232" s="1"/>
      <c r="X232" s="1"/>
      <c r="Y232" s="1"/>
      <c r="Z232" s="1"/>
    </row>
    <row r="233" spans="1:26" ht="24.75" customHeight="1">
      <c r="A233" s="1"/>
      <c r="B233" s="1"/>
      <c r="C233" s="1"/>
      <c r="D233" s="1"/>
      <c r="E233" s="1"/>
      <c r="F233" s="1"/>
      <c r="G233" s="1"/>
      <c r="H233" s="1"/>
      <c r="I233" s="1"/>
      <c r="J233" s="1"/>
      <c r="K233" s="1"/>
      <c r="L233" s="1"/>
      <c r="M233" s="1"/>
      <c r="N233" s="1"/>
      <c r="O233" s="1"/>
      <c r="P233" s="1"/>
      <c r="Q233" s="1"/>
      <c r="R233" s="1"/>
      <c r="S233" s="1"/>
      <c r="T233" s="1"/>
      <c r="U233" s="2"/>
      <c r="V233" s="1"/>
      <c r="W233" s="1"/>
      <c r="X233" s="1"/>
      <c r="Y233" s="1"/>
      <c r="Z233" s="1"/>
    </row>
    <row r="234" spans="1:26" ht="24.75" customHeight="1">
      <c r="A234" s="1"/>
      <c r="B234" s="1"/>
      <c r="C234" s="1"/>
      <c r="D234" s="1"/>
      <c r="E234" s="1"/>
      <c r="F234" s="1"/>
      <c r="G234" s="1"/>
      <c r="H234" s="1"/>
      <c r="I234" s="1"/>
      <c r="J234" s="1"/>
      <c r="K234" s="1"/>
      <c r="L234" s="1"/>
      <c r="M234" s="1"/>
      <c r="N234" s="1"/>
      <c r="O234" s="1"/>
      <c r="P234" s="1"/>
      <c r="Q234" s="1"/>
      <c r="R234" s="1"/>
      <c r="S234" s="1"/>
      <c r="T234" s="1"/>
      <c r="U234" s="2"/>
      <c r="V234" s="1"/>
      <c r="W234" s="1"/>
      <c r="X234" s="1"/>
      <c r="Y234" s="1"/>
      <c r="Z234" s="1"/>
    </row>
    <row r="235" spans="1:26" ht="24.75" customHeight="1">
      <c r="A235" s="1"/>
      <c r="B235" s="1"/>
      <c r="C235" s="1"/>
      <c r="D235" s="1"/>
      <c r="E235" s="1"/>
      <c r="F235" s="1"/>
      <c r="G235" s="1"/>
      <c r="H235" s="1"/>
      <c r="I235" s="1"/>
      <c r="J235" s="1"/>
      <c r="K235" s="1"/>
      <c r="L235" s="1"/>
      <c r="M235" s="1"/>
      <c r="N235" s="1"/>
      <c r="O235" s="1"/>
      <c r="P235" s="1"/>
      <c r="Q235" s="1"/>
      <c r="R235" s="1"/>
      <c r="S235" s="1"/>
      <c r="T235" s="1"/>
      <c r="U235" s="2"/>
      <c r="V235" s="1"/>
      <c r="W235" s="1"/>
      <c r="X235" s="1"/>
      <c r="Y235" s="1"/>
      <c r="Z235" s="1"/>
    </row>
    <row r="236" spans="1:26" ht="24.75" customHeight="1">
      <c r="A236" s="1"/>
      <c r="B236" s="1"/>
      <c r="C236" s="1"/>
      <c r="D236" s="1"/>
      <c r="E236" s="1"/>
      <c r="F236" s="1"/>
      <c r="G236" s="1"/>
      <c r="H236" s="1"/>
      <c r="I236" s="1"/>
      <c r="J236" s="1"/>
      <c r="K236" s="1"/>
      <c r="L236" s="1"/>
      <c r="M236" s="1"/>
      <c r="N236" s="1"/>
      <c r="O236" s="1"/>
      <c r="P236" s="1"/>
      <c r="Q236" s="1"/>
      <c r="R236" s="1"/>
      <c r="S236" s="1"/>
      <c r="T236" s="1"/>
      <c r="U236" s="2"/>
      <c r="V236" s="1"/>
      <c r="W236" s="1"/>
      <c r="X236" s="1"/>
      <c r="Y236" s="1"/>
      <c r="Z236" s="1"/>
    </row>
    <row r="237" spans="1:26" ht="24.75" customHeight="1">
      <c r="A237" s="1"/>
      <c r="B237" s="1"/>
      <c r="C237" s="1"/>
      <c r="D237" s="1"/>
      <c r="E237" s="1"/>
      <c r="F237" s="1"/>
      <c r="G237" s="1"/>
      <c r="H237" s="1"/>
      <c r="I237" s="1"/>
      <c r="J237" s="1"/>
      <c r="K237" s="1"/>
      <c r="L237" s="1"/>
      <c r="M237" s="1"/>
      <c r="N237" s="1"/>
      <c r="O237" s="1"/>
      <c r="P237" s="1"/>
      <c r="Q237" s="1"/>
      <c r="R237" s="1"/>
      <c r="S237" s="1"/>
      <c r="T237" s="1"/>
      <c r="U237" s="2"/>
      <c r="V237" s="1"/>
      <c r="W237" s="1"/>
      <c r="X237" s="1"/>
      <c r="Y237" s="1"/>
      <c r="Z237" s="1"/>
    </row>
    <row r="238" spans="1:26" ht="24.75" customHeight="1">
      <c r="A238" s="1"/>
      <c r="B238" s="1"/>
      <c r="C238" s="1"/>
      <c r="D238" s="1"/>
      <c r="E238" s="1"/>
      <c r="F238" s="1"/>
      <c r="G238" s="1"/>
      <c r="H238" s="1"/>
      <c r="I238" s="1"/>
      <c r="J238" s="1"/>
      <c r="K238" s="1"/>
      <c r="L238" s="1"/>
      <c r="M238" s="1"/>
      <c r="N238" s="1"/>
      <c r="O238" s="1"/>
      <c r="P238" s="1"/>
      <c r="Q238" s="1"/>
      <c r="R238" s="1"/>
      <c r="S238" s="1"/>
      <c r="T238" s="1"/>
      <c r="U238" s="2"/>
      <c r="V238" s="1"/>
      <c r="W238" s="1"/>
      <c r="X238" s="1"/>
      <c r="Y238" s="1"/>
      <c r="Z238" s="1"/>
    </row>
    <row r="239" spans="1:26" ht="24.75" customHeight="1">
      <c r="A239" s="1"/>
      <c r="B239" s="1"/>
      <c r="C239" s="1"/>
      <c r="D239" s="1"/>
      <c r="E239" s="1"/>
      <c r="F239" s="1"/>
      <c r="G239" s="1"/>
      <c r="H239" s="1"/>
      <c r="I239" s="1"/>
      <c r="J239" s="1"/>
      <c r="K239" s="1"/>
      <c r="L239" s="1"/>
      <c r="M239" s="1"/>
      <c r="N239" s="1"/>
      <c r="O239" s="1"/>
      <c r="P239" s="1"/>
      <c r="Q239" s="1"/>
      <c r="R239" s="1"/>
      <c r="S239" s="1"/>
      <c r="T239" s="1"/>
      <c r="U239" s="2"/>
      <c r="V239" s="1"/>
      <c r="W239" s="1"/>
      <c r="X239" s="1"/>
      <c r="Y239" s="1"/>
      <c r="Z239" s="1"/>
    </row>
    <row r="240" spans="1:26" ht="24.75" customHeight="1">
      <c r="A240" s="1"/>
      <c r="B240" s="1"/>
      <c r="C240" s="1"/>
      <c r="D240" s="1"/>
      <c r="E240" s="1"/>
      <c r="F240" s="1"/>
      <c r="G240" s="1"/>
      <c r="H240" s="1"/>
      <c r="I240" s="1"/>
      <c r="J240" s="1"/>
      <c r="K240" s="1"/>
      <c r="L240" s="1"/>
      <c r="M240" s="1"/>
      <c r="N240" s="1"/>
      <c r="O240" s="1"/>
      <c r="P240" s="1"/>
      <c r="Q240" s="1"/>
      <c r="R240" s="1"/>
      <c r="S240" s="1"/>
      <c r="T240" s="1"/>
      <c r="U240" s="2"/>
      <c r="V240" s="1"/>
      <c r="W240" s="1"/>
      <c r="X240" s="1"/>
      <c r="Y240" s="1"/>
      <c r="Z240" s="1"/>
    </row>
    <row r="241" spans="1:26" ht="24.75" customHeight="1">
      <c r="A241" s="1"/>
      <c r="B241" s="1"/>
      <c r="C241" s="1"/>
      <c r="D241" s="1"/>
      <c r="E241" s="1"/>
      <c r="F241" s="1"/>
      <c r="G241" s="1"/>
      <c r="H241" s="1"/>
      <c r="I241" s="1"/>
      <c r="J241" s="1"/>
      <c r="K241" s="1"/>
      <c r="L241" s="1"/>
      <c r="M241" s="1"/>
      <c r="N241" s="1"/>
      <c r="O241" s="1"/>
      <c r="P241" s="1"/>
      <c r="Q241" s="1"/>
      <c r="R241" s="1"/>
      <c r="S241" s="1"/>
      <c r="T241" s="1"/>
      <c r="U241" s="2"/>
      <c r="V241" s="1"/>
      <c r="W241" s="1"/>
      <c r="X241" s="1"/>
      <c r="Y241" s="1"/>
      <c r="Z241" s="1"/>
    </row>
    <row r="242" spans="1:26" ht="24.75" customHeight="1">
      <c r="A242" s="1"/>
      <c r="B242" s="1"/>
      <c r="C242" s="1"/>
      <c r="D242" s="1"/>
      <c r="E242" s="1"/>
      <c r="F242" s="1"/>
      <c r="G242" s="1"/>
      <c r="H242" s="1"/>
      <c r="I242" s="1"/>
      <c r="J242" s="1"/>
      <c r="K242" s="1"/>
      <c r="L242" s="1"/>
      <c r="M242" s="1"/>
      <c r="N242" s="1"/>
      <c r="O242" s="1"/>
      <c r="P242" s="1"/>
      <c r="Q242" s="1"/>
      <c r="R242" s="1"/>
      <c r="S242" s="1"/>
      <c r="T242" s="1"/>
      <c r="U242" s="2"/>
      <c r="V242" s="1"/>
      <c r="W242" s="1"/>
      <c r="X242" s="1"/>
      <c r="Y242" s="1"/>
      <c r="Z242" s="1"/>
    </row>
    <row r="243" spans="1:26" ht="24.75" customHeight="1">
      <c r="A243" s="1"/>
      <c r="B243" s="1"/>
      <c r="C243" s="1"/>
      <c r="D243" s="1"/>
      <c r="E243" s="1"/>
      <c r="F243" s="1"/>
      <c r="G243" s="1"/>
      <c r="H243" s="1"/>
      <c r="I243" s="1"/>
      <c r="J243" s="1"/>
      <c r="K243" s="1"/>
      <c r="L243" s="1"/>
      <c r="M243" s="1"/>
      <c r="N243" s="1"/>
      <c r="O243" s="1"/>
      <c r="P243" s="1"/>
      <c r="Q243" s="1"/>
      <c r="R243" s="1"/>
      <c r="S243" s="1"/>
      <c r="T243" s="1"/>
      <c r="U243" s="2"/>
      <c r="V243" s="1"/>
      <c r="W243" s="1"/>
      <c r="X243" s="1"/>
      <c r="Y243" s="1"/>
      <c r="Z243" s="1"/>
    </row>
    <row r="244" spans="1:26" ht="24.75" customHeight="1">
      <c r="A244" s="1"/>
      <c r="B244" s="1"/>
      <c r="C244" s="1"/>
      <c r="D244" s="1"/>
      <c r="E244" s="1"/>
      <c r="F244" s="1"/>
      <c r="G244" s="1"/>
      <c r="H244" s="1"/>
      <c r="I244" s="1"/>
      <c r="J244" s="1"/>
      <c r="K244" s="1"/>
      <c r="L244" s="1"/>
      <c r="M244" s="1"/>
      <c r="N244" s="1"/>
      <c r="O244" s="1"/>
      <c r="P244" s="1"/>
      <c r="Q244" s="1"/>
      <c r="R244" s="1"/>
      <c r="S244" s="1"/>
      <c r="T244" s="1"/>
      <c r="U244" s="2"/>
      <c r="V244" s="1"/>
      <c r="W244" s="1"/>
      <c r="X244" s="1"/>
      <c r="Y244" s="1"/>
      <c r="Z244" s="1"/>
    </row>
    <row r="245" spans="1:26" ht="24.75" customHeight="1">
      <c r="A245" s="1"/>
      <c r="B245" s="1"/>
      <c r="C245" s="1"/>
      <c r="D245" s="1"/>
      <c r="E245" s="1"/>
      <c r="F245" s="1"/>
      <c r="G245" s="1"/>
      <c r="H245" s="1"/>
      <c r="I245" s="1"/>
      <c r="J245" s="1"/>
      <c r="K245" s="1"/>
      <c r="L245" s="1"/>
      <c r="M245" s="1"/>
      <c r="N245" s="1"/>
      <c r="O245" s="1"/>
      <c r="P245" s="1"/>
      <c r="Q245" s="1"/>
      <c r="R245" s="1"/>
      <c r="S245" s="1"/>
      <c r="T245" s="1"/>
      <c r="U245" s="2"/>
      <c r="V245" s="1"/>
      <c r="W245" s="1"/>
      <c r="X245" s="1"/>
      <c r="Y245" s="1"/>
      <c r="Z245" s="1"/>
    </row>
    <row r="246" spans="1:26" ht="24.75" customHeight="1">
      <c r="A246" s="1"/>
      <c r="B246" s="1"/>
      <c r="C246" s="1"/>
      <c r="D246" s="1"/>
      <c r="E246" s="1"/>
      <c r="F246" s="1"/>
      <c r="G246" s="1"/>
      <c r="H246" s="1"/>
      <c r="I246" s="1"/>
      <c r="J246" s="1"/>
      <c r="K246" s="1"/>
      <c r="L246" s="1"/>
      <c r="M246" s="1"/>
      <c r="N246" s="1"/>
      <c r="O246" s="1"/>
      <c r="P246" s="1"/>
      <c r="Q246" s="1"/>
      <c r="R246" s="1"/>
      <c r="S246" s="1"/>
      <c r="T246" s="1"/>
      <c r="U246" s="2"/>
      <c r="V246" s="1"/>
      <c r="W246" s="1"/>
      <c r="X246" s="1"/>
      <c r="Y246" s="1"/>
      <c r="Z246" s="1"/>
    </row>
    <row r="247" spans="1:26" ht="24.75" customHeight="1">
      <c r="A247" s="1"/>
      <c r="B247" s="1"/>
      <c r="C247" s="1"/>
      <c r="D247" s="1"/>
      <c r="E247" s="1"/>
      <c r="F247" s="1"/>
      <c r="G247" s="1"/>
      <c r="H247" s="1"/>
      <c r="I247" s="1"/>
      <c r="J247" s="1"/>
      <c r="K247" s="1"/>
      <c r="L247" s="1"/>
      <c r="M247" s="1"/>
      <c r="N247" s="1"/>
      <c r="O247" s="1"/>
      <c r="P247" s="1"/>
      <c r="Q247" s="1"/>
      <c r="R247" s="1"/>
      <c r="S247" s="1"/>
      <c r="T247" s="1"/>
      <c r="U247" s="2"/>
      <c r="V247" s="1"/>
      <c r="W247" s="1"/>
      <c r="X247" s="1"/>
      <c r="Y247" s="1"/>
      <c r="Z247" s="1"/>
    </row>
    <row r="248" spans="1:26" ht="24.75" customHeight="1">
      <c r="A248" s="1"/>
      <c r="B248" s="1"/>
      <c r="C248" s="1"/>
      <c r="D248" s="1"/>
      <c r="E248" s="1"/>
      <c r="F248" s="1"/>
      <c r="G248" s="1"/>
      <c r="H248" s="1"/>
      <c r="I248" s="1"/>
      <c r="J248" s="1"/>
      <c r="K248" s="1"/>
      <c r="L248" s="1"/>
      <c r="M248" s="1"/>
      <c r="N248" s="1"/>
      <c r="O248" s="1"/>
      <c r="P248" s="1"/>
      <c r="Q248" s="1"/>
      <c r="R248" s="1"/>
      <c r="S248" s="1"/>
      <c r="T248" s="1"/>
      <c r="U248" s="2"/>
      <c r="V248" s="1"/>
      <c r="W248" s="1"/>
      <c r="X248" s="1"/>
      <c r="Y248" s="1"/>
      <c r="Z248" s="1"/>
    </row>
    <row r="249" spans="1:26" ht="24.75" customHeight="1">
      <c r="A249" s="1"/>
      <c r="B249" s="1"/>
      <c r="C249" s="1"/>
      <c r="D249" s="1"/>
      <c r="E249" s="1"/>
      <c r="F249" s="1"/>
      <c r="G249" s="1"/>
      <c r="H249" s="1"/>
      <c r="I249" s="1"/>
      <c r="J249" s="1"/>
      <c r="K249" s="1"/>
      <c r="L249" s="1"/>
      <c r="M249" s="1"/>
      <c r="N249" s="1"/>
      <c r="O249" s="1"/>
      <c r="P249" s="1"/>
      <c r="Q249" s="1"/>
      <c r="R249" s="1"/>
      <c r="S249" s="1"/>
      <c r="T249" s="1"/>
      <c r="U249" s="2"/>
      <c r="V249" s="1"/>
      <c r="W249" s="1"/>
      <c r="X249" s="1"/>
      <c r="Y249" s="1"/>
      <c r="Z249" s="1"/>
    </row>
    <row r="250" spans="1:26" ht="24.75" customHeight="1">
      <c r="A250" s="1"/>
      <c r="B250" s="1"/>
      <c r="C250" s="1"/>
      <c r="D250" s="1"/>
      <c r="E250" s="1"/>
      <c r="F250" s="1"/>
      <c r="G250" s="1"/>
      <c r="H250" s="1"/>
      <c r="I250" s="1"/>
      <c r="J250" s="1"/>
      <c r="K250" s="1"/>
      <c r="L250" s="1"/>
      <c r="M250" s="1"/>
      <c r="N250" s="1"/>
      <c r="O250" s="1"/>
      <c r="P250" s="1"/>
      <c r="Q250" s="1"/>
      <c r="R250" s="1"/>
      <c r="S250" s="1"/>
      <c r="T250" s="1"/>
      <c r="U250" s="2"/>
      <c r="V250" s="1"/>
      <c r="W250" s="1"/>
      <c r="X250" s="1"/>
      <c r="Y250" s="1"/>
      <c r="Z250" s="1"/>
    </row>
    <row r="251" spans="1:26" ht="24.75" customHeight="1">
      <c r="A251" s="1"/>
      <c r="B251" s="1"/>
      <c r="C251" s="1"/>
      <c r="D251" s="1"/>
      <c r="E251" s="1"/>
      <c r="F251" s="1"/>
      <c r="G251" s="1"/>
      <c r="H251" s="1"/>
      <c r="I251" s="1"/>
      <c r="J251" s="1"/>
      <c r="K251" s="1"/>
      <c r="L251" s="1"/>
      <c r="M251" s="1"/>
      <c r="N251" s="1"/>
      <c r="O251" s="1"/>
      <c r="P251" s="1"/>
      <c r="Q251" s="1"/>
      <c r="R251" s="1"/>
      <c r="S251" s="1"/>
      <c r="T251" s="1"/>
      <c r="U251" s="2"/>
      <c r="V251" s="1"/>
      <c r="W251" s="1"/>
      <c r="X251" s="1"/>
      <c r="Y251" s="1"/>
      <c r="Z251" s="1"/>
    </row>
    <row r="252" spans="1:26" ht="24.75" customHeight="1">
      <c r="A252" s="1"/>
      <c r="B252" s="1"/>
      <c r="C252" s="1"/>
      <c r="D252" s="1"/>
      <c r="E252" s="1"/>
      <c r="F252" s="1"/>
      <c r="G252" s="1"/>
      <c r="H252" s="1"/>
      <c r="I252" s="1"/>
      <c r="J252" s="1"/>
      <c r="K252" s="1"/>
      <c r="L252" s="1"/>
      <c r="M252" s="1"/>
      <c r="N252" s="1"/>
      <c r="O252" s="1"/>
      <c r="P252" s="1"/>
      <c r="Q252" s="1"/>
      <c r="R252" s="1"/>
      <c r="S252" s="1"/>
      <c r="T252" s="1"/>
      <c r="U252" s="2"/>
      <c r="V252" s="1"/>
      <c r="W252" s="1"/>
      <c r="X252" s="1"/>
      <c r="Y252" s="1"/>
      <c r="Z252" s="1"/>
    </row>
    <row r="253" spans="1:26" ht="24.75" customHeight="1">
      <c r="A253" s="1"/>
      <c r="B253" s="1"/>
      <c r="C253" s="1"/>
      <c r="D253" s="1"/>
      <c r="E253" s="1"/>
      <c r="F253" s="1"/>
      <c r="G253" s="1"/>
      <c r="H253" s="1"/>
      <c r="I253" s="1"/>
      <c r="J253" s="1"/>
      <c r="K253" s="1"/>
      <c r="L253" s="1"/>
      <c r="M253" s="1"/>
      <c r="N253" s="1"/>
      <c r="O253" s="1"/>
      <c r="P253" s="1"/>
      <c r="Q253" s="1"/>
      <c r="R253" s="1"/>
      <c r="S253" s="1"/>
      <c r="T253" s="1"/>
      <c r="U253" s="2"/>
      <c r="V253" s="1"/>
      <c r="W253" s="1"/>
      <c r="X253" s="1"/>
      <c r="Y253" s="1"/>
      <c r="Z253" s="1"/>
    </row>
    <row r="254" spans="1:26" ht="24.75" customHeight="1">
      <c r="A254" s="1"/>
      <c r="B254" s="1"/>
      <c r="C254" s="1"/>
      <c r="D254" s="1"/>
      <c r="E254" s="1"/>
      <c r="F254" s="1"/>
      <c r="G254" s="1"/>
      <c r="H254" s="1"/>
      <c r="I254" s="1"/>
      <c r="J254" s="1"/>
      <c r="K254" s="1"/>
      <c r="L254" s="1"/>
      <c r="M254" s="1"/>
      <c r="N254" s="1"/>
      <c r="O254" s="1"/>
      <c r="P254" s="1"/>
      <c r="Q254" s="1"/>
      <c r="R254" s="1"/>
      <c r="S254" s="1"/>
      <c r="T254" s="1"/>
      <c r="U254" s="2"/>
      <c r="V254" s="1"/>
      <c r="W254" s="1"/>
      <c r="X254" s="1"/>
      <c r="Y254" s="1"/>
      <c r="Z254" s="1"/>
    </row>
    <row r="255" spans="1:26" ht="24.75" customHeight="1">
      <c r="A255" s="1"/>
      <c r="B255" s="1"/>
      <c r="C255" s="1"/>
      <c r="D255" s="1"/>
      <c r="E255" s="1"/>
      <c r="F255" s="1"/>
      <c r="G255" s="1"/>
      <c r="H255" s="1"/>
      <c r="I255" s="1"/>
      <c r="J255" s="1"/>
      <c r="K255" s="1"/>
      <c r="L255" s="1"/>
      <c r="M255" s="1"/>
      <c r="N255" s="1"/>
      <c r="O255" s="1"/>
      <c r="P255" s="1"/>
      <c r="Q255" s="1"/>
      <c r="R255" s="1"/>
      <c r="S255" s="1"/>
      <c r="T255" s="1"/>
      <c r="U255" s="2"/>
      <c r="V255" s="1"/>
      <c r="W255" s="1"/>
      <c r="X255" s="1"/>
      <c r="Y255" s="1"/>
      <c r="Z255" s="1"/>
    </row>
    <row r="256" spans="1:26" ht="24.75" customHeight="1">
      <c r="A256" s="1"/>
      <c r="B256" s="1"/>
      <c r="C256" s="1"/>
      <c r="D256" s="1"/>
      <c r="E256" s="1"/>
      <c r="F256" s="1"/>
      <c r="G256" s="1"/>
      <c r="H256" s="1"/>
      <c r="I256" s="1"/>
      <c r="J256" s="1"/>
      <c r="K256" s="1"/>
      <c r="L256" s="1"/>
      <c r="M256" s="1"/>
      <c r="N256" s="1"/>
      <c r="O256" s="1"/>
      <c r="P256" s="1"/>
      <c r="Q256" s="1"/>
      <c r="R256" s="1"/>
      <c r="S256" s="1"/>
      <c r="T256" s="1"/>
      <c r="U256" s="2"/>
      <c r="V256" s="1"/>
      <c r="W256" s="1"/>
      <c r="X256" s="1"/>
      <c r="Y256" s="1"/>
      <c r="Z256" s="1"/>
    </row>
    <row r="257" spans="1:26" ht="24.75" customHeight="1">
      <c r="A257" s="1"/>
      <c r="B257" s="1"/>
      <c r="C257" s="1"/>
      <c r="D257" s="1"/>
      <c r="E257" s="1"/>
      <c r="F257" s="1"/>
      <c r="G257" s="1"/>
      <c r="H257" s="1"/>
      <c r="I257" s="1"/>
      <c r="J257" s="1"/>
      <c r="K257" s="1"/>
      <c r="L257" s="1"/>
      <c r="M257" s="1"/>
      <c r="N257" s="1"/>
      <c r="O257" s="1"/>
      <c r="P257" s="1"/>
      <c r="Q257" s="1"/>
      <c r="R257" s="1"/>
      <c r="S257" s="1"/>
      <c r="T257" s="1"/>
      <c r="U257" s="2"/>
      <c r="V257" s="1"/>
      <c r="W257" s="1"/>
      <c r="X257" s="1"/>
      <c r="Y257" s="1"/>
      <c r="Z257" s="1"/>
    </row>
    <row r="258" spans="1:26" ht="24.75" customHeight="1">
      <c r="A258" s="1"/>
      <c r="B258" s="1"/>
      <c r="C258" s="1"/>
      <c r="D258" s="1"/>
      <c r="E258" s="1"/>
      <c r="F258" s="1"/>
      <c r="G258" s="1"/>
      <c r="H258" s="1"/>
      <c r="I258" s="1"/>
      <c r="J258" s="1"/>
      <c r="K258" s="1"/>
      <c r="L258" s="1"/>
      <c r="M258" s="1"/>
      <c r="N258" s="1"/>
      <c r="O258" s="1"/>
      <c r="P258" s="1"/>
      <c r="Q258" s="1"/>
      <c r="R258" s="1"/>
      <c r="S258" s="1"/>
      <c r="T258" s="1"/>
      <c r="U258" s="2"/>
      <c r="V258" s="1"/>
      <c r="W258" s="1"/>
      <c r="X258" s="1"/>
      <c r="Y258" s="1"/>
      <c r="Z258" s="1"/>
    </row>
    <row r="259" spans="1:26" ht="24.75" customHeight="1">
      <c r="A259" s="1"/>
      <c r="B259" s="1"/>
      <c r="C259" s="1"/>
      <c r="D259" s="1"/>
      <c r="E259" s="1"/>
      <c r="F259" s="1"/>
      <c r="G259" s="1"/>
      <c r="H259" s="1"/>
      <c r="I259" s="1"/>
      <c r="J259" s="1"/>
      <c r="K259" s="1"/>
      <c r="L259" s="1"/>
      <c r="M259" s="1"/>
      <c r="N259" s="1"/>
      <c r="O259" s="1"/>
      <c r="P259" s="1"/>
      <c r="Q259" s="1"/>
      <c r="R259" s="1"/>
      <c r="S259" s="1"/>
      <c r="T259" s="1"/>
      <c r="U259" s="2"/>
      <c r="V259" s="1"/>
      <c r="W259" s="1"/>
      <c r="X259" s="1"/>
      <c r="Y259" s="1"/>
      <c r="Z259" s="1"/>
    </row>
    <row r="260" spans="1:26" ht="24.75" customHeight="1">
      <c r="A260" s="1"/>
      <c r="B260" s="1"/>
      <c r="C260" s="1"/>
      <c r="D260" s="1"/>
      <c r="E260" s="1"/>
      <c r="F260" s="1"/>
      <c r="G260" s="1"/>
      <c r="H260" s="1"/>
      <c r="I260" s="1"/>
      <c r="J260" s="1"/>
      <c r="K260" s="1"/>
      <c r="L260" s="1"/>
      <c r="M260" s="1"/>
      <c r="N260" s="1"/>
      <c r="O260" s="1"/>
      <c r="P260" s="1"/>
      <c r="Q260" s="1"/>
      <c r="R260" s="1"/>
      <c r="S260" s="1"/>
      <c r="T260" s="1"/>
      <c r="U260" s="2"/>
      <c r="V260" s="1"/>
      <c r="W260" s="1"/>
      <c r="X260" s="1"/>
      <c r="Y260" s="1"/>
      <c r="Z260" s="1"/>
    </row>
    <row r="261" spans="1:26" ht="24.75" customHeight="1">
      <c r="A261" s="1"/>
      <c r="B261" s="1"/>
      <c r="C261" s="1"/>
      <c r="D261" s="1"/>
      <c r="E261" s="1"/>
      <c r="F261" s="1"/>
      <c r="G261" s="1"/>
      <c r="H261" s="1"/>
      <c r="I261" s="1"/>
      <c r="J261" s="1"/>
      <c r="K261" s="1"/>
      <c r="L261" s="1"/>
      <c r="M261" s="1"/>
      <c r="N261" s="1"/>
      <c r="O261" s="1"/>
      <c r="P261" s="1"/>
      <c r="Q261" s="1"/>
      <c r="R261" s="1"/>
      <c r="S261" s="1"/>
      <c r="T261" s="1"/>
      <c r="U261" s="2"/>
      <c r="V261" s="1"/>
      <c r="W261" s="1"/>
      <c r="X261" s="1"/>
      <c r="Y261" s="1"/>
      <c r="Z261" s="1"/>
    </row>
    <row r="262" spans="1:26" ht="24.75" customHeight="1">
      <c r="A262" s="1"/>
      <c r="B262" s="1"/>
      <c r="C262" s="1"/>
      <c r="D262" s="1"/>
      <c r="E262" s="1"/>
      <c r="F262" s="1"/>
      <c r="G262" s="1"/>
      <c r="H262" s="1"/>
      <c r="I262" s="1"/>
      <c r="J262" s="1"/>
      <c r="K262" s="1"/>
      <c r="L262" s="1"/>
      <c r="M262" s="1"/>
      <c r="N262" s="1"/>
      <c r="O262" s="1"/>
      <c r="P262" s="1"/>
      <c r="Q262" s="1"/>
      <c r="R262" s="1"/>
      <c r="S262" s="1"/>
      <c r="T262" s="1"/>
      <c r="U262" s="2"/>
      <c r="V262" s="1"/>
      <c r="W262" s="1"/>
      <c r="X262" s="1"/>
      <c r="Y262" s="1"/>
      <c r="Z262" s="1"/>
    </row>
    <row r="263" spans="1:26" ht="24.75" customHeight="1">
      <c r="A263" s="1"/>
      <c r="B263" s="1"/>
      <c r="C263" s="1"/>
      <c r="D263" s="1"/>
      <c r="E263" s="1"/>
      <c r="F263" s="1"/>
      <c r="G263" s="1"/>
      <c r="H263" s="1"/>
      <c r="I263" s="1"/>
      <c r="J263" s="1"/>
      <c r="K263" s="1"/>
      <c r="L263" s="1"/>
      <c r="M263" s="1"/>
      <c r="N263" s="1"/>
      <c r="O263" s="1"/>
      <c r="P263" s="1"/>
      <c r="Q263" s="1"/>
      <c r="R263" s="1"/>
      <c r="S263" s="1"/>
      <c r="T263" s="1"/>
      <c r="U263" s="2"/>
      <c r="V263" s="1"/>
      <c r="W263" s="1"/>
      <c r="X263" s="1"/>
      <c r="Y263" s="1"/>
      <c r="Z263" s="1"/>
    </row>
    <row r="264" spans="1:26" ht="24.75" customHeight="1">
      <c r="A264" s="1"/>
      <c r="B264" s="1"/>
      <c r="C264" s="1"/>
      <c r="D264" s="1"/>
      <c r="E264" s="1"/>
      <c r="F264" s="1"/>
      <c r="G264" s="1"/>
      <c r="H264" s="1"/>
      <c r="I264" s="1"/>
      <c r="J264" s="1"/>
      <c r="K264" s="1"/>
      <c r="L264" s="1"/>
      <c r="M264" s="1"/>
      <c r="N264" s="1"/>
      <c r="O264" s="1"/>
      <c r="P264" s="1"/>
      <c r="Q264" s="1"/>
      <c r="R264" s="1"/>
      <c r="S264" s="1"/>
      <c r="T264" s="1"/>
      <c r="U264" s="2"/>
      <c r="V264" s="1"/>
      <c r="W264" s="1"/>
      <c r="X264" s="1"/>
      <c r="Y264" s="1"/>
      <c r="Z264" s="1"/>
    </row>
    <row r="265" spans="1:26" ht="24.75" customHeight="1">
      <c r="A265" s="1"/>
      <c r="B265" s="1"/>
      <c r="C265" s="1"/>
      <c r="D265" s="1"/>
      <c r="E265" s="1"/>
      <c r="F265" s="1"/>
      <c r="G265" s="1"/>
      <c r="H265" s="1"/>
      <c r="I265" s="1"/>
      <c r="J265" s="1"/>
      <c r="K265" s="1"/>
      <c r="L265" s="1"/>
      <c r="M265" s="1"/>
      <c r="N265" s="1"/>
      <c r="O265" s="1"/>
      <c r="P265" s="1"/>
      <c r="Q265" s="1"/>
      <c r="R265" s="1"/>
      <c r="S265" s="1"/>
      <c r="T265" s="1"/>
      <c r="U265" s="2"/>
      <c r="V265" s="1"/>
      <c r="W265" s="1"/>
      <c r="X265" s="1"/>
      <c r="Y265" s="1"/>
      <c r="Z265" s="1"/>
    </row>
    <row r="266" spans="1:26" ht="24.75" customHeight="1">
      <c r="A266" s="1"/>
      <c r="B266" s="1"/>
      <c r="C266" s="1"/>
      <c r="D266" s="1"/>
      <c r="E266" s="1"/>
      <c r="F266" s="1"/>
      <c r="G266" s="1"/>
      <c r="H266" s="1"/>
      <c r="I266" s="1"/>
      <c r="J266" s="1"/>
      <c r="K266" s="1"/>
      <c r="L266" s="1"/>
      <c r="M266" s="1"/>
      <c r="N266" s="1"/>
      <c r="O266" s="1"/>
      <c r="P266" s="1"/>
      <c r="Q266" s="1"/>
      <c r="R266" s="1"/>
      <c r="S266" s="1"/>
      <c r="T266" s="1"/>
      <c r="U266" s="2"/>
      <c r="V266" s="1"/>
      <c r="W266" s="1"/>
      <c r="X266" s="1"/>
      <c r="Y266" s="1"/>
      <c r="Z266" s="1"/>
    </row>
    <row r="267" spans="1:26" ht="24.75" customHeight="1">
      <c r="A267" s="1"/>
      <c r="B267" s="1"/>
      <c r="C267" s="1"/>
      <c r="D267" s="1"/>
      <c r="E267" s="1"/>
      <c r="F267" s="1"/>
      <c r="G267" s="1"/>
      <c r="H267" s="1"/>
      <c r="I267" s="1"/>
      <c r="J267" s="1"/>
      <c r="K267" s="1"/>
      <c r="L267" s="1"/>
      <c r="M267" s="1"/>
      <c r="N267" s="1"/>
      <c r="O267" s="1"/>
      <c r="P267" s="1"/>
      <c r="Q267" s="1"/>
      <c r="R267" s="1"/>
      <c r="S267" s="1"/>
      <c r="T267" s="1"/>
      <c r="U267" s="2"/>
      <c r="V267" s="1"/>
      <c r="W267" s="1"/>
      <c r="X267" s="1"/>
      <c r="Y267" s="1"/>
      <c r="Z267" s="1"/>
    </row>
    <row r="268" spans="1:26" ht="24.75" customHeight="1">
      <c r="A268" s="1"/>
      <c r="B268" s="1"/>
      <c r="C268" s="1"/>
      <c r="D268" s="1"/>
      <c r="E268" s="1"/>
      <c r="F268" s="1"/>
      <c r="G268" s="1"/>
      <c r="H268" s="1"/>
      <c r="I268" s="1"/>
      <c r="J268" s="1"/>
      <c r="K268" s="1"/>
      <c r="L268" s="1"/>
      <c r="M268" s="1"/>
      <c r="N268" s="1"/>
      <c r="O268" s="1"/>
      <c r="P268" s="1"/>
      <c r="Q268" s="1"/>
      <c r="R268" s="1"/>
      <c r="S268" s="1"/>
      <c r="T268" s="1"/>
      <c r="U268" s="2"/>
      <c r="V268" s="1"/>
      <c r="W268" s="1"/>
      <c r="X268" s="1"/>
      <c r="Y268" s="1"/>
      <c r="Z268" s="1"/>
    </row>
    <row r="269" spans="1:26" ht="24.75" customHeight="1">
      <c r="A269" s="1"/>
      <c r="B269" s="1"/>
      <c r="C269" s="1"/>
      <c r="D269" s="1"/>
      <c r="E269" s="1"/>
      <c r="F269" s="1"/>
      <c r="G269" s="1"/>
      <c r="H269" s="1"/>
      <c r="I269" s="1"/>
      <c r="J269" s="1"/>
      <c r="K269" s="1"/>
      <c r="L269" s="1"/>
      <c r="M269" s="1"/>
      <c r="N269" s="1"/>
      <c r="O269" s="1"/>
      <c r="P269" s="1"/>
      <c r="Q269" s="1"/>
      <c r="R269" s="1"/>
      <c r="S269" s="1"/>
      <c r="T269" s="1"/>
      <c r="U269" s="2"/>
      <c r="V269" s="1"/>
      <c r="W269" s="1"/>
      <c r="X269" s="1"/>
      <c r="Y269" s="1"/>
      <c r="Z269" s="1"/>
    </row>
    <row r="270" spans="1:26" ht="24.75" customHeight="1">
      <c r="A270" s="1"/>
      <c r="B270" s="1"/>
      <c r="C270" s="1"/>
      <c r="D270" s="1"/>
      <c r="E270" s="1"/>
      <c r="F270" s="1"/>
      <c r="G270" s="1"/>
      <c r="H270" s="1"/>
      <c r="I270" s="1"/>
      <c r="J270" s="1"/>
      <c r="K270" s="1"/>
      <c r="L270" s="1"/>
      <c r="M270" s="1"/>
      <c r="N270" s="1"/>
      <c r="O270" s="1"/>
      <c r="P270" s="1"/>
      <c r="Q270" s="1"/>
      <c r="R270" s="1"/>
      <c r="S270" s="1"/>
      <c r="T270" s="1"/>
      <c r="U270" s="2"/>
      <c r="V270" s="1"/>
      <c r="W270" s="1"/>
      <c r="X270" s="1"/>
      <c r="Y270" s="1"/>
      <c r="Z270" s="1"/>
    </row>
    <row r="271" spans="1:26" ht="24.75" customHeight="1">
      <c r="A271" s="1"/>
      <c r="B271" s="1"/>
      <c r="C271" s="1"/>
      <c r="D271" s="1"/>
      <c r="E271" s="1"/>
      <c r="F271" s="1"/>
      <c r="G271" s="1"/>
      <c r="H271" s="1"/>
      <c r="I271" s="1"/>
      <c r="J271" s="1"/>
      <c r="K271" s="1"/>
      <c r="L271" s="1"/>
      <c r="M271" s="1"/>
      <c r="N271" s="1"/>
      <c r="O271" s="1"/>
      <c r="P271" s="1"/>
      <c r="Q271" s="1"/>
      <c r="R271" s="1"/>
      <c r="S271" s="1"/>
      <c r="T271" s="1"/>
      <c r="U271" s="2"/>
      <c r="V271" s="1"/>
      <c r="W271" s="1"/>
      <c r="X271" s="1"/>
      <c r="Y271" s="1"/>
      <c r="Z271" s="1"/>
    </row>
    <row r="272" spans="1:26" ht="24.75" customHeight="1">
      <c r="A272" s="1"/>
      <c r="B272" s="1"/>
      <c r="C272" s="1"/>
      <c r="D272" s="1"/>
      <c r="E272" s="1"/>
      <c r="F272" s="1"/>
      <c r="G272" s="1"/>
      <c r="H272" s="1"/>
      <c r="I272" s="1"/>
      <c r="J272" s="1"/>
      <c r="K272" s="1"/>
      <c r="L272" s="1"/>
      <c r="M272" s="1"/>
      <c r="N272" s="1"/>
      <c r="O272" s="1"/>
      <c r="P272" s="1"/>
      <c r="Q272" s="1"/>
      <c r="R272" s="1"/>
      <c r="S272" s="1"/>
      <c r="T272" s="1"/>
      <c r="U272" s="2"/>
      <c r="V272" s="1"/>
      <c r="W272" s="1"/>
      <c r="X272" s="1"/>
      <c r="Y272" s="1"/>
      <c r="Z272" s="1"/>
    </row>
    <row r="273" spans="1:26" ht="24.75" customHeight="1">
      <c r="A273" s="1"/>
      <c r="B273" s="1"/>
      <c r="C273" s="1"/>
      <c r="D273" s="1"/>
      <c r="E273" s="1"/>
      <c r="F273" s="1"/>
      <c r="G273" s="1"/>
      <c r="H273" s="1"/>
      <c r="I273" s="1"/>
      <c r="J273" s="1"/>
      <c r="K273" s="1"/>
      <c r="L273" s="1"/>
      <c r="M273" s="1"/>
      <c r="N273" s="1"/>
      <c r="O273" s="1"/>
      <c r="P273" s="1"/>
      <c r="Q273" s="1"/>
      <c r="R273" s="1"/>
      <c r="S273" s="1"/>
      <c r="T273" s="1"/>
      <c r="U273" s="2"/>
      <c r="V273" s="1"/>
      <c r="W273" s="1"/>
      <c r="X273" s="1"/>
      <c r="Y273" s="1"/>
      <c r="Z273" s="1"/>
    </row>
    <row r="274" spans="1:26" ht="24.75" customHeight="1">
      <c r="A274" s="1"/>
      <c r="B274" s="1"/>
      <c r="C274" s="1"/>
      <c r="D274" s="1"/>
      <c r="E274" s="1"/>
      <c r="F274" s="1"/>
      <c r="G274" s="1"/>
      <c r="H274" s="1"/>
      <c r="I274" s="1"/>
      <c r="J274" s="1"/>
      <c r="K274" s="1"/>
      <c r="L274" s="1"/>
      <c r="M274" s="1"/>
      <c r="N274" s="1"/>
      <c r="O274" s="1"/>
      <c r="P274" s="1"/>
      <c r="Q274" s="1"/>
      <c r="R274" s="1"/>
      <c r="S274" s="1"/>
      <c r="T274" s="1"/>
      <c r="U274" s="2"/>
      <c r="V274" s="1"/>
      <c r="W274" s="1"/>
      <c r="X274" s="1"/>
      <c r="Y274" s="1"/>
      <c r="Z274" s="1"/>
    </row>
    <row r="275" spans="1:26" ht="24.75" customHeight="1">
      <c r="A275" s="1"/>
      <c r="B275" s="1"/>
      <c r="C275" s="1"/>
      <c r="D275" s="1"/>
      <c r="E275" s="1"/>
      <c r="F275" s="1"/>
      <c r="G275" s="1"/>
      <c r="H275" s="1"/>
      <c r="I275" s="1"/>
      <c r="J275" s="1"/>
      <c r="K275" s="1"/>
      <c r="L275" s="1"/>
      <c r="M275" s="1"/>
      <c r="N275" s="1"/>
      <c r="O275" s="1"/>
      <c r="P275" s="1"/>
      <c r="Q275" s="1"/>
      <c r="R275" s="1"/>
      <c r="S275" s="1"/>
      <c r="T275" s="1"/>
      <c r="U275" s="2"/>
      <c r="V275" s="1"/>
      <c r="W275" s="1"/>
      <c r="X275" s="1"/>
      <c r="Y275" s="1"/>
      <c r="Z275" s="1"/>
    </row>
    <row r="276" spans="1:26" ht="24.75" customHeight="1">
      <c r="A276" s="1"/>
      <c r="B276" s="1"/>
      <c r="C276" s="1"/>
      <c r="D276" s="1"/>
      <c r="E276" s="1"/>
      <c r="F276" s="1"/>
      <c r="G276" s="1"/>
      <c r="H276" s="1"/>
      <c r="I276" s="1"/>
      <c r="J276" s="1"/>
      <c r="K276" s="1"/>
      <c r="L276" s="1"/>
      <c r="M276" s="1"/>
      <c r="N276" s="1"/>
      <c r="O276" s="1"/>
      <c r="P276" s="1"/>
      <c r="Q276" s="1"/>
      <c r="R276" s="1"/>
      <c r="S276" s="1"/>
      <c r="T276" s="1"/>
      <c r="U276" s="2"/>
      <c r="V276" s="1"/>
      <c r="W276" s="1"/>
      <c r="X276" s="1"/>
      <c r="Y276" s="1"/>
      <c r="Z276" s="1"/>
    </row>
    <row r="277" spans="1:26" ht="24.75" customHeight="1">
      <c r="A277" s="1"/>
      <c r="B277" s="1"/>
      <c r="C277" s="1"/>
      <c r="D277" s="1"/>
      <c r="E277" s="1"/>
      <c r="F277" s="1"/>
      <c r="G277" s="1"/>
      <c r="H277" s="1"/>
      <c r="I277" s="1"/>
      <c r="J277" s="1"/>
      <c r="K277" s="1"/>
      <c r="L277" s="1"/>
      <c r="M277" s="1"/>
      <c r="N277" s="1"/>
      <c r="O277" s="1"/>
      <c r="P277" s="1"/>
      <c r="Q277" s="1"/>
      <c r="R277" s="1"/>
      <c r="S277" s="1"/>
      <c r="T277" s="1"/>
      <c r="U277" s="2"/>
      <c r="V277" s="1"/>
      <c r="W277" s="1"/>
      <c r="X277" s="1"/>
      <c r="Y277" s="1"/>
      <c r="Z277" s="1"/>
    </row>
    <row r="278" spans="1:26" ht="24.75" customHeight="1">
      <c r="A278" s="1"/>
      <c r="B278" s="1"/>
      <c r="C278" s="1"/>
      <c r="D278" s="1"/>
      <c r="E278" s="1"/>
      <c r="F278" s="1"/>
      <c r="G278" s="1"/>
      <c r="H278" s="1"/>
      <c r="I278" s="1"/>
      <c r="J278" s="1"/>
      <c r="K278" s="1"/>
      <c r="L278" s="1"/>
      <c r="M278" s="1"/>
      <c r="N278" s="1"/>
      <c r="O278" s="1"/>
      <c r="P278" s="1"/>
      <c r="Q278" s="1"/>
      <c r="R278" s="1"/>
      <c r="S278" s="1"/>
      <c r="T278" s="1"/>
      <c r="U278" s="2"/>
      <c r="V278" s="1"/>
      <c r="W278" s="1"/>
      <c r="X278" s="1"/>
      <c r="Y278" s="1"/>
      <c r="Z278" s="1"/>
    </row>
    <row r="279" spans="1:26" ht="24.75" customHeight="1">
      <c r="A279" s="1"/>
      <c r="B279" s="1"/>
      <c r="C279" s="1"/>
      <c r="D279" s="1"/>
      <c r="E279" s="1"/>
      <c r="F279" s="1"/>
      <c r="G279" s="1"/>
      <c r="H279" s="1"/>
      <c r="I279" s="1"/>
      <c r="J279" s="1"/>
      <c r="K279" s="1"/>
      <c r="L279" s="1"/>
      <c r="M279" s="1"/>
      <c r="N279" s="1"/>
      <c r="O279" s="1"/>
      <c r="P279" s="1"/>
      <c r="Q279" s="1"/>
      <c r="R279" s="1"/>
      <c r="S279" s="1"/>
      <c r="T279" s="1"/>
      <c r="U279" s="2"/>
      <c r="V279" s="1"/>
      <c r="W279" s="1"/>
      <c r="X279" s="1"/>
      <c r="Y279" s="1"/>
      <c r="Z279" s="1"/>
    </row>
    <row r="280" spans="1:26" ht="24.75" customHeight="1">
      <c r="A280" s="1"/>
      <c r="B280" s="1"/>
      <c r="C280" s="1"/>
      <c r="D280" s="1"/>
      <c r="E280" s="1"/>
      <c r="F280" s="1"/>
      <c r="G280" s="1"/>
      <c r="H280" s="1"/>
      <c r="I280" s="1"/>
      <c r="J280" s="1"/>
      <c r="K280" s="1"/>
      <c r="L280" s="1"/>
      <c r="M280" s="1"/>
      <c r="N280" s="1"/>
      <c r="O280" s="1"/>
      <c r="P280" s="1"/>
      <c r="Q280" s="1"/>
      <c r="R280" s="1"/>
      <c r="S280" s="1"/>
      <c r="T280" s="1"/>
      <c r="U280" s="2"/>
      <c r="V280" s="1"/>
      <c r="W280" s="1"/>
      <c r="X280" s="1"/>
      <c r="Y280" s="1"/>
      <c r="Z280" s="1"/>
    </row>
    <row r="281" spans="1:26" ht="24.75" customHeight="1">
      <c r="A281" s="1"/>
      <c r="B281" s="1"/>
      <c r="C281" s="1"/>
      <c r="D281" s="1"/>
      <c r="E281" s="1"/>
      <c r="F281" s="1"/>
      <c r="G281" s="1"/>
      <c r="H281" s="1"/>
      <c r="I281" s="1"/>
      <c r="J281" s="1"/>
      <c r="K281" s="1"/>
      <c r="L281" s="1"/>
      <c r="M281" s="1"/>
      <c r="N281" s="1"/>
      <c r="O281" s="1"/>
      <c r="P281" s="1"/>
      <c r="Q281" s="1"/>
      <c r="R281" s="1"/>
      <c r="S281" s="1"/>
      <c r="T281" s="1"/>
      <c r="U281" s="2"/>
      <c r="V281" s="1"/>
      <c r="W281" s="1"/>
      <c r="X281" s="1"/>
      <c r="Y281" s="1"/>
      <c r="Z281" s="1"/>
    </row>
    <row r="282" spans="1:26" ht="24.75" customHeight="1">
      <c r="A282" s="1"/>
      <c r="B282" s="1"/>
      <c r="C282" s="1"/>
      <c r="D282" s="1"/>
      <c r="E282" s="1"/>
      <c r="F282" s="1"/>
      <c r="G282" s="1"/>
      <c r="H282" s="1"/>
      <c r="I282" s="1"/>
      <c r="J282" s="1"/>
      <c r="K282" s="1"/>
      <c r="L282" s="1"/>
      <c r="M282" s="1"/>
      <c r="N282" s="1"/>
      <c r="O282" s="1"/>
      <c r="P282" s="1"/>
      <c r="Q282" s="1"/>
      <c r="R282" s="1"/>
      <c r="S282" s="1"/>
      <c r="T282" s="1"/>
      <c r="U282" s="2"/>
      <c r="V282" s="1"/>
      <c r="W282" s="1"/>
      <c r="X282" s="1"/>
      <c r="Y282" s="1"/>
      <c r="Z282" s="1"/>
    </row>
    <row r="283" spans="1:26" ht="24.75" customHeight="1">
      <c r="A283" s="1"/>
      <c r="B283" s="1"/>
      <c r="C283" s="1"/>
      <c r="D283" s="1"/>
      <c r="E283" s="1"/>
      <c r="F283" s="1"/>
      <c r="G283" s="1"/>
      <c r="H283" s="1"/>
      <c r="I283" s="1"/>
      <c r="J283" s="1"/>
      <c r="K283" s="1"/>
      <c r="L283" s="1"/>
      <c r="M283" s="1"/>
      <c r="N283" s="1"/>
      <c r="O283" s="1"/>
      <c r="P283" s="1"/>
      <c r="Q283" s="1"/>
      <c r="R283" s="1"/>
      <c r="S283" s="1"/>
      <c r="T283" s="1"/>
      <c r="U283" s="2"/>
      <c r="V283" s="1"/>
      <c r="W283" s="1"/>
      <c r="X283" s="1"/>
      <c r="Y283" s="1"/>
      <c r="Z283" s="1"/>
    </row>
    <row r="284" spans="1:26" ht="24.75" customHeight="1">
      <c r="A284" s="1"/>
      <c r="B284" s="1"/>
      <c r="C284" s="1"/>
      <c r="D284" s="1"/>
      <c r="E284" s="1"/>
      <c r="F284" s="1"/>
      <c r="G284" s="1"/>
      <c r="H284" s="1"/>
      <c r="I284" s="1"/>
      <c r="J284" s="1"/>
      <c r="K284" s="1"/>
      <c r="L284" s="1"/>
      <c r="M284" s="1"/>
      <c r="N284" s="1"/>
      <c r="O284" s="1"/>
      <c r="P284" s="1"/>
      <c r="Q284" s="1"/>
      <c r="R284" s="1"/>
      <c r="S284" s="1"/>
      <c r="T284" s="1"/>
      <c r="U284" s="2"/>
      <c r="V284" s="1"/>
      <c r="W284" s="1"/>
      <c r="X284" s="1"/>
      <c r="Y284" s="1"/>
      <c r="Z284" s="1"/>
    </row>
    <row r="285" spans="1:26" ht="24.75" customHeight="1">
      <c r="A285" s="1"/>
      <c r="B285" s="1"/>
      <c r="C285" s="1"/>
      <c r="D285" s="1"/>
      <c r="E285" s="1"/>
      <c r="F285" s="1"/>
      <c r="G285" s="1"/>
      <c r="H285" s="1"/>
      <c r="I285" s="1"/>
      <c r="J285" s="1"/>
      <c r="K285" s="1"/>
      <c r="L285" s="1"/>
      <c r="M285" s="1"/>
      <c r="N285" s="1"/>
      <c r="O285" s="1"/>
      <c r="P285" s="1"/>
      <c r="Q285" s="1"/>
      <c r="R285" s="1"/>
      <c r="S285" s="1"/>
      <c r="T285" s="1"/>
      <c r="U285" s="2"/>
      <c r="V285" s="1"/>
      <c r="W285" s="1"/>
      <c r="X285" s="1"/>
      <c r="Y285" s="1"/>
      <c r="Z285" s="1"/>
    </row>
    <row r="286" spans="1:26" ht="24.75" customHeight="1">
      <c r="A286" s="1"/>
      <c r="B286" s="1"/>
      <c r="C286" s="1"/>
      <c r="D286" s="1"/>
      <c r="E286" s="1"/>
      <c r="F286" s="1"/>
      <c r="G286" s="1"/>
      <c r="H286" s="1"/>
      <c r="I286" s="1"/>
      <c r="J286" s="1"/>
      <c r="K286" s="1"/>
      <c r="L286" s="1"/>
      <c r="M286" s="1"/>
      <c r="N286" s="1"/>
      <c r="O286" s="1"/>
      <c r="P286" s="1"/>
      <c r="Q286" s="1"/>
      <c r="R286" s="1"/>
      <c r="S286" s="1"/>
      <c r="T286" s="1"/>
      <c r="U286" s="2"/>
      <c r="V286" s="1"/>
      <c r="W286" s="1"/>
      <c r="X286" s="1"/>
      <c r="Y286" s="1"/>
      <c r="Z286" s="1"/>
    </row>
    <row r="287" spans="1:26" ht="24.75" customHeight="1">
      <c r="A287" s="1"/>
      <c r="B287" s="1"/>
      <c r="C287" s="1"/>
      <c r="D287" s="1"/>
      <c r="E287" s="1"/>
      <c r="F287" s="1"/>
      <c r="G287" s="1"/>
      <c r="H287" s="1"/>
      <c r="I287" s="1"/>
      <c r="J287" s="1"/>
      <c r="K287" s="1"/>
      <c r="L287" s="1"/>
      <c r="M287" s="1"/>
      <c r="N287" s="1"/>
      <c r="O287" s="1"/>
      <c r="P287" s="1"/>
      <c r="Q287" s="1"/>
      <c r="R287" s="1"/>
      <c r="S287" s="1"/>
      <c r="T287" s="1"/>
      <c r="U287" s="2"/>
      <c r="V287" s="1"/>
      <c r="W287" s="1"/>
      <c r="X287" s="1"/>
      <c r="Y287" s="1"/>
      <c r="Z287" s="1"/>
    </row>
    <row r="288" spans="1:26" ht="24.75" customHeight="1">
      <c r="A288" s="1"/>
      <c r="B288" s="1"/>
      <c r="C288" s="1"/>
      <c r="D288" s="1"/>
      <c r="E288" s="1"/>
      <c r="F288" s="1"/>
      <c r="G288" s="1"/>
      <c r="H288" s="1"/>
      <c r="I288" s="1"/>
      <c r="J288" s="1"/>
      <c r="K288" s="1"/>
      <c r="L288" s="1"/>
      <c r="M288" s="1"/>
      <c r="N288" s="1"/>
      <c r="O288" s="1"/>
      <c r="P288" s="1"/>
      <c r="Q288" s="1"/>
      <c r="R288" s="1"/>
      <c r="S288" s="1"/>
      <c r="T288" s="1"/>
      <c r="U288" s="2"/>
      <c r="V288" s="1"/>
      <c r="W288" s="1"/>
      <c r="X288" s="1"/>
      <c r="Y288" s="1"/>
      <c r="Z288" s="1"/>
    </row>
    <row r="289" spans="1:26" ht="24.75" customHeight="1">
      <c r="A289" s="1"/>
      <c r="B289" s="1"/>
      <c r="C289" s="1"/>
      <c r="D289" s="1"/>
      <c r="E289" s="1"/>
      <c r="F289" s="1"/>
      <c r="G289" s="1"/>
      <c r="H289" s="1"/>
      <c r="I289" s="1"/>
      <c r="J289" s="1"/>
      <c r="K289" s="1"/>
      <c r="L289" s="1"/>
      <c r="M289" s="1"/>
      <c r="N289" s="1"/>
      <c r="O289" s="1"/>
      <c r="P289" s="1"/>
      <c r="Q289" s="1"/>
      <c r="R289" s="1"/>
      <c r="S289" s="1"/>
      <c r="T289" s="1"/>
      <c r="U289" s="2"/>
      <c r="V289" s="1"/>
      <c r="W289" s="1"/>
      <c r="X289" s="1"/>
      <c r="Y289" s="1"/>
      <c r="Z289" s="1"/>
    </row>
    <row r="290" spans="1:26" ht="24.75" customHeight="1">
      <c r="A290" s="1"/>
      <c r="B290" s="1"/>
      <c r="C290" s="1"/>
      <c r="D290" s="1"/>
      <c r="E290" s="1"/>
      <c r="F290" s="1"/>
      <c r="G290" s="1"/>
      <c r="H290" s="1"/>
      <c r="I290" s="1"/>
      <c r="J290" s="1"/>
      <c r="K290" s="1"/>
      <c r="L290" s="1"/>
      <c r="M290" s="1"/>
      <c r="N290" s="1"/>
      <c r="O290" s="1"/>
      <c r="P290" s="1"/>
      <c r="Q290" s="1"/>
      <c r="R290" s="1"/>
      <c r="S290" s="1"/>
      <c r="T290" s="1"/>
      <c r="U290" s="2"/>
      <c r="V290" s="1"/>
      <c r="W290" s="1"/>
      <c r="X290" s="1"/>
      <c r="Y290" s="1"/>
      <c r="Z290" s="1"/>
    </row>
    <row r="291" spans="1:26" ht="24.75" customHeight="1">
      <c r="A291" s="1"/>
      <c r="B291" s="1"/>
      <c r="C291" s="1"/>
      <c r="D291" s="1"/>
      <c r="E291" s="1"/>
      <c r="F291" s="1"/>
      <c r="G291" s="1"/>
      <c r="H291" s="1"/>
      <c r="I291" s="1"/>
      <c r="J291" s="1"/>
      <c r="K291" s="1"/>
      <c r="L291" s="1"/>
      <c r="M291" s="1"/>
      <c r="N291" s="1"/>
      <c r="O291" s="1"/>
      <c r="P291" s="1"/>
      <c r="Q291" s="1"/>
      <c r="R291" s="1"/>
      <c r="S291" s="1"/>
      <c r="T291" s="1"/>
      <c r="U291" s="2"/>
      <c r="V291" s="1"/>
      <c r="W291" s="1"/>
      <c r="X291" s="1"/>
      <c r="Y291" s="1"/>
      <c r="Z291" s="1"/>
    </row>
    <row r="292" spans="1:26" ht="24.75" customHeight="1">
      <c r="A292" s="1"/>
      <c r="B292" s="1"/>
      <c r="C292" s="1"/>
      <c r="D292" s="1"/>
      <c r="E292" s="1"/>
      <c r="F292" s="1"/>
      <c r="G292" s="1"/>
      <c r="H292" s="1"/>
      <c r="I292" s="1"/>
      <c r="J292" s="1"/>
      <c r="K292" s="1"/>
      <c r="L292" s="1"/>
      <c r="M292" s="1"/>
      <c r="N292" s="1"/>
      <c r="O292" s="1"/>
      <c r="P292" s="1"/>
      <c r="Q292" s="1"/>
      <c r="R292" s="1"/>
      <c r="S292" s="1"/>
      <c r="T292" s="1"/>
      <c r="U292" s="2"/>
      <c r="V292" s="1"/>
      <c r="W292" s="1"/>
      <c r="X292" s="1"/>
      <c r="Y292" s="1"/>
      <c r="Z292" s="1"/>
    </row>
    <row r="293" spans="1:26" ht="24.75" customHeight="1">
      <c r="A293" s="1"/>
      <c r="B293" s="1"/>
      <c r="C293" s="1"/>
      <c r="D293" s="1"/>
      <c r="E293" s="1"/>
      <c r="F293" s="1"/>
      <c r="G293" s="1"/>
      <c r="H293" s="1"/>
      <c r="I293" s="1"/>
      <c r="J293" s="1"/>
      <c r="K293" s="1"/>
      <c r="L293" s="1"/>
      <c r="M293" s="1"/>
      <c r="N293" s="1"/>
      <c r="O293" s="1"/>
      <c r="P293" s="1"/>
      <c r="Q293" s="1"/>
      <c r="R293" s="1"/>
      <c r="S293" s="1"/>
      <c r="T293" s="1"/>
      <c r="U293" s="2"/>
      <c r="V293" s="1"/>
      <c r="W293" s="1"/>
      <c r="X293" s="1"/>
      <c r="Y293" s="1"/>
      <c r="Z293" s="1"/>
    </row>
    <row r="294" spans="1:26" ht="24.75" customHeight="1">
      <c r="A294" s="1"/>
      <c r="B294" s="1"/>
      <c r="C294" s="1"/>
      <c r="D294" s="1"/>
      <c r="E294" s="1"/>
      <c r="F294" s="1"/>
      <c r="G294" s="1"/>
      <c r="H294" s="1"/>
      <c r="I294" s="1"/>
      <c r="J294" s="1"/>
      <c r="K294" s="1"/>
      <c r="L294" s="1"/>
      <c r="M294" s="1"/>
      <c r="N294" s="1"/>
      <c r="O294" s="1"/>
      <c r="P294" s="1"/>
      <c r="Q294" s="1"/>
      <c r="R294" s="1"/>
      <c r="S294" s="1"/>
      <c r="T294" s="1"/>
      <c r="U294" s="2"/>
      <c r="V294" s="1"/>
      <c r="W294" s="1"/>
      <c r="X294" s="1"/>
      <c r="Y294" s="1"/>
      <c r="Z294" s="1"/>
    </row>
    <row r="295" spans="1:26" ht="24.75" customHeight="1">
      <c r="A295" s="1"/>
      <c r="B295" s="1"/>
      <c r="C295" s="1"/>
      <c r="D295" s="1"/>
      <c r="E295" s="1"/>
      <c r="F295" s="1"/>
      <c r="G295" s="1"/>
      <c r="H295" s="1"/>
      <c r="I295" s="1"/>
      <c r="J295" s="1"/>
      <c r="K295" s="1"/>
      <c r="L295" s="1"/>
      <c r="M295" s="1"/>
      <c r="N295" s="1"/>
      <c r="O295" s="1"/>
      <c r="P295" s="1"/>
      <c r="Q295" s="1"/>
      <c r="R295" s="1"/>
      <c r="S295" s="1"/>
      <c r="T295" s="1"/>
      <c r="U295" s="2"/>
      <c r="V295" s="1"/>
      <c r="W295" s="1"/>
      <c r="X295" s="1"/>
      <c r="Y295" s="1"/>
      <c r="Z295" s="1"/>
    </row>
    <row r="296" spans="1:26" ht="24.75" customHeight="1">
      <c r="A296" s="1"/>
      <c r="B296" s="1"/>
      <c r="C296" s="1"/>
      <c r="D296" s="1"/>
      <c r="E296" s="1"/>
      <c r="F296" s="1"/>
      <c r="G296" s="1"/>
      <c r="H296" s="1"/>
      <c r="I296" s="1"/>
      <c r="J296" s="1"/>
      <c r="K296" s="1"/>
      <c r="L296" s="1"/>
      <c r="M296" s="1"/>
      <c r="N296" s="1"/>
      <c r="O296" s="1"/>
      <c r="P296" s="1"/>
      <c r="Q296" s="1"/>
      <c r="R296" s="1"/>
      <c r="S296" s="1"/>
      <c r="T296" s="1"/>
      <c r="U296" s="2"/>
      <c r="V296" s="1"/>
      <c r="W296" s="1"/>
      <c r="X296" s="1"/>
      <c r="Y296" s="1"/>
      <c r="Z296" s="1"/>
    </row>
    <row r="297" spans="1:26" ht="24.75" customHeight="1">
      <c r="A297" s="1"/>
      <c r="B297" s="1"/>
      <c r="C297" s="1"/>
      <c r="D297" s="1"/>
      <c r="E297" s="1"/>
      <c r="F297" s="1"/>
      <c r="G297" s="1"/>
      <c r="H297" s="1"/>
      <c r="I297" s="1"/>
      <c r="J297" s="1"/>
      <c r="K297" s="1"/>
      <c r="L297" s="1"/>
      <c r="M297" s="1"/>
      <c r="N297" s="1"/>
      <c r="O297" s="1"/>
      <c r="P297" s="1"/>
      <c r="Q297" s="1"/>
      <c r="R297" s="1"/>
      <c r="S297" s="1"/>
      <c r="T297" s="1"/>
      <c r="U297" s="2"/>
      <c r="V297" s="1"/>
      <c r="W297" s="1"/>
      <c r="X297" s="1"/>
      <c r="Y297" s="1"/>
      <c r="Z297" s="1"/>
    </row>
    <row r="298" spans="1:26" ht="24.75" customHeight="1">
      <c r="A298" s="1"/>
      <c r="B298" s="1"/>
      <c r="C298" s="1"/>
      <c r="D298" s="1"/>
      <c r="E298" s="1"/>
      <c r="F298" s="1"/>
      <c r="G298" s="1"/>
      <c r="H298" s="1"/>
      <c r="I298" s="1"/>
      <c r="J298" s="1"/>
      <c r="K298" s="1"/>
      <c r="L298" s="1"/>
      <c r="M298" s="1"/>
      <c r="N298" s="1"/>
      <c r="O298" s="1"/>
      <c r="P298" s="1"/>
      <c r="Q298" s="1"/>
      <c r="R298" s="1"/>
      <c r="S298" s="1"/>
      <c r="T298" s="1"/>
      <c r="U298" s="2"/>
      <c r="V298" s="1"/>
      <c r="W298" s="1"/>
      <c r="X298" s="1"/>
      <c r="Y298" s="1"/>
      <c r="Z298" s="1"/>
    </row>
    <row r="299" spans="1:26" ht="24.75" customHeight="1">
      <c r="A299" s="1"/>
      <c r="B299" s="1"/>
      <c r="C299" s="1"/>
      <c r="D299" s="1"/>
      <c r="E299" s="1"/>
      <c r="F299" s="1"/>
      <c r="G299" s="1"/>
      <c r="H299" s="1"/>
      <c r="I299" s="1"/>
      <c r="J299" s="1"/>
      <c r="K299" s="1"/>
      <c r="L299" s="1"/>
      <c r="M299" s="1"/>
      <c r="N299" s="1"/>
      <c r="O299" s="1"/>
      <c r="P299" s="1"/>
      <c r="Q299" s="1"/>
      <c r="R299" s="1"/>
      <c r="S299" s="1"/>
      <c r="T299" s="1"/>
      <c r="U299" s="2"/>
      <c r="V299" s="1"/>
      <c r="W299" s="1"/>
      <c r="X299" s="1"/>
      <c r="Y299" s="1"/>
      <c r="Z299" s="1"/>
    </row>
    <row r="300" spans="1:26" ht="24.75" customHeight="1">
      <c r="A300" s="1"/>
      <c r="B300" s="1"/>
      <c r="C300" s="1"/>
      <c r="D300" s="1"/>
      <c r="E300" s="1"/>
      <c r="F300" s="1"/>
      <c r="G300" s="1"/>
      <c r="H300" s="1"/>
      <c r="I300" s="1"/>
      <c r="J300" s="1"/>
      <c r="K300" s="1"/>
      <c r="L300" s="1"/>
      <c r="M300" s="1"/>
      <c r="N300" s="1"/>
      <c r="O300" s="1"/>
      <c r="P300" s="1"/>
      <c r="Q300" s="1"/>
      <c r="R300" s="1"/>
      <c r="S300" s="1"/>
      <c r="T300" s="1"/>
      <c r="U300" s="2"/>
      <c r="V300" s="1"/>
      <c r="W300" s="1"/>
      <c r="X300" s="1"/>
      <c r="Y300" s="1"/>
      <c r="Z300" s="1"/>
    </row>
    <row r="301" spans="1:26" ht="24.75" customHeight="1">
      <c r="A301" s="1"/>
      <c r="B301" s="1"/>
      <c r="C301" s="1"/>
      <c r="D301" s="1"/>
      <c r="E301" s="1"/>
      <c r="F301" s="1"/>
      <c r="G301" s="1"/>
      <c r="H301" s="1"/>
      <c r="I301" s="1"/>
      <c r="J301" s="1"/>
      <c r="K301" s="1"/>
      <c r="L301" s="1"/>
      <c r="M301" s="1"/>
      <c r="N301" s="1"/>
      <c r="O301" s="1"/>
      <c r="P301" s="1"/>
      <c r="Q301" s="1"/>
      <c r="R301" s="1"/>
      <c r="S301" s="1"/>
      <c r="T301" s="1"/>
      <c r="U301" s="2"/>
      <c r="V301" s="1"/>
      <c r="W301" s="1"/>
      <c r="X301" s="1"/>
      <c r="Y301" s="1"/>
      <c r="Z301" s="1"/>
    </row>
    <row r="302" spans="1:26" ht="24.75" customHeight="1">
      <c r="A302" s="1"/>
      <c r="B302" s="1"/>
      <c r="C302" s="1"/>
      <c r="D302" s="1"/>
      <c r="E302" s="1"/>
      <c r="F302" s="1"/>
      <c r="G302" s="1"/>
      <c r="H302" s="1"/>
      <c r="I302" s="1"/>
      <c r="J302" s="1"/>
      <c r="K302" s="1"/>
      <c r="L302" s="1"/>
      <c r="M302" s="1"/>
      <c r="N302" s="1"/>
      <c r="O302" s="1"/>
      <c r="P302" s="1"/>
      <c r="Q302" s="1"/>
      <c r="R302" s="1"/>
      <c r="S302" s="1"/>
      <c r="T302" s="1"/>
      <c r="U302" s="2"/>
      <c r="V302" s="1"/>
      <c r="W302" s="1"/>
      <c r="X302" s="1"/>
      <c r="Y302" s="1"/>
      <c r="Z302" s="1"/>
    </row>
    <row r="303" spans="1:26" ht="24.75" customHeight="1">
      <c r="A303" s="1"/>
      <c r="B303" s="1"/>
      <c r="C303" s="1"/>
      <c r="D303" s="1"/>
      <c r="E303" s="1"/>
      <c r="F303" s="1"/>
      <c r="G303" s="1"/>
      <c r="H303" s="1"/>
      <c r="I303" s="1"/>
      <c r="J303" s="1"/>
      <c r="K303" s="1"/>
      <c r="L303" s="1"/>
      <c r="M303" s="1"/>
      <c r="N303" s="1"/>
      <c r="O303" s="1"/>
      <c r="P303" s="1"/>
      <c r="Q303" s="1"/>
      <c r="R303" s="1"/>
      <c r="S303" s="1"/>
      <c r="T303" s="1"/>
      <c r="U303" s="2"/>
      <c r="V303" s="1"/>
      <c r="W303" s="1"/>
      <c r="X303" s="1"/>
      <c r="Y303" s="1"/>
      <c r="Z303" s="1"/>
    </row>
    <row r="304" spans="1:26" ht="24.75" customHeight="1">
      <c r="A304" s="1"/>
      <c r="B304" s="1"/>
      <c r="C304" s="1"/>
      <c r="D304" s="1"/>
      <c r="E304" s="1"/>
      <c r="F304" s="1"/>
      <c r="G304" s="1"/>
      <c r="H304" s="1"/>
      <c r="I304" s="1"/>
      <c r="J304" s="1"/>
      <c r="K304" s="1"/>
      <c r="L304" s="1"/>
      <c r="M304" s="1"/>
      <c r="N304" s="1"/>
      <c r="O304" s="1"/>
      <c r="P304" s="1"/>
      <c r="Q304" s="1"/>
      <c r="R304" s="1"/>
      <c r="S304" s="1"/>
      <c r="T304" s="1"/>
      <c r="U304" s="2"/>
      <c r="V304" s="1"/>
      <c r="W304" s="1"/>
      <c r="X304" s="1"/>
      <c r="Y304" s="1"/>
      <c r="Z304" s="1"/>
    </row>
    <row r="305" spans="1:26" ht="24.75" customHeight="1">
      <c r="A305" s="1"/>
      <c r="B305" s="1"/>
      <c r="C305" s="1"/>
      <c r="D305" s="1"/>
      <c r="E305" s="1"/>
      <c r="F305" s="1"/>
      <c r="G305" s="1"/>
      <c r="H305" s="1"/>
      <c r="I305" s="1"/>
      <c r="J305" s="1"/>
      <c r="K305" s="1"/>
      <c r="L305" s="1"/>
      <c r="M305" s="1"/>
      <c r="N305" s="1"/>
      <c r="O305" s="1"/>
      <c r="P305" s="1"/>
      <c r="Q305" s="1"/>
      <c r="R305" s="1"/>
      <c r="S305" s="1"/>
      <c r="T305" s="1"/>
      <c r="U305" s="2"/>
      <c r="V305" s="1"/>
      <c r="W305" s="1"/>
      <c r="X305" s="1"/>
      <c r="Y305" s="1"/>
      <c r="Z305" s="1"/>
    </row>
    <row r="306" spans="1:26" ht="24.75" customHeight="1">
      <c r="A306" s="1"/>
      <c r="B306" s="1"/>
      <c r="C306" s="1"/>
      <c r="D306" s="1"/>
      <c r="E306" s="1"/>
      <c r="F306" s="1"/>
      <c r="G306" s="1"/>
      <c r="H306" s="1"/>
      <c r="I306" s="1"/>
      <c r="J306" s="1"/>
      <c r="K306" s="1"/>
      <c r="L306" s="1"/>
      <c r="M306" s="1"/>
      <c r="N306" s="1"/>
      <c r="O306" s="1"/>
      <c r="P306" s="1"/>
      <c r="Q306" s="1"/>
      <c r="R306" s="1"/>
      <c r="S306" s="1"/>
      <c r="T306" s="1"/>
      <c r="U306" s="2"/>
      <c r="V306" s="1"/>
      <c r="W306" s="1"/>
      <c r="X306" s="1"/>
      <c r="Y306" s="1"/>
      <c r="Z306" s="1"/>
    </row>
    <row r="307" spans="1:26" ht="24.75" customHeight="1">
      <c r="A307" s="1"/>
      <c r="B307" s="1"/>
      <c r="C307" s="1"/>
      <c r="D307" s="1"/>
      <c r="E307" s="1"/>
      <c r="F307" s="1"/>
      <c r="G307" s="1"/>
      <c r="H307" s="1"/>
      <c r="I307" s="1"/>
      <c r="J307" s="1"/>
      <c r="K307" s="1"/>
      <c r="L307" s="1"/>
      <c r="M307" s="1"/>
      <c r="N307" s="1"/>
      <c r="O307" s="1"/>
      <c r="P307" s="1"/>
      <c r="Q307" s="1"/>
      <c r="R307" s="1"/>
      <c r="S307" s="1"/>
      <c r="T307" s="1"/>
      <c r="U307" s="2"/>
      <c r="V307" s="1"/>
      <c r="W307" s="1"/>
      <c r="X307" s="1"/>
      <c r="Y307" s="1"/>
      <c r="Z307" s="1"/>
    </row>
    <row r="308" spans="1:26" ht="24.75" customHeight="1">
      <c r="A308" s="1"/>
      <c r="B308" s="1"/>
      <c r="C308" s="1"/>
      <c r="D308" s="1"/>
      <c r="E308" s="1"/>
      <c r="F308" s="1"/>
      <c r="G308" s="1"/>
      <c r="H308" s="1"/>
      <c r="I308" s="1"/>
      <c r="J308" s="1"/>
      <c r="K308" s="1"/>
      <c r="L308" s="1"/>
      <c r="M308" s="1"/>
      <c r="N308" s="1"/>
      <c r="O308" s="1"/>
      <c r="P308" s="1"/>
      <c r="Q308" s="1"/>
      <c r="R308" s="1"/>
      <c r="S308" s="1"/>
      <c r="T308" s="1"/>
      <c r="U308" s="2"/>
      <c r="V308" s="1"/>
      <c r="W308" s="1"/>
      <c r="X308" s="1"/>
      <c r="Y308" s="1"/>
      <c r="Z308" s="1"/>
    </row>
    <row r="309" spans="1:26" ht="24.75" customHeight="1">
      <c r="A309" s="1"/>
      <c r="B309" s="1"/>
      <c r="C309" s="1"/>
      <c r="D309" s="1"/>
      <c r="E309" s="1"/>
      <c r="F309" s="1"/>
      <c r="G309" s="1"/>
      <c r="H309" s="1"/>
      <c r="I309" s="1"/>
      <c r="J309" s="1"/>
      <c r="K309" s="1"/>
      <c r="L309" s="1"/>
      <c r="M309" s="1"/>
      <c r="N309" s="1"/>
      <c r="O309" s="1"/>
      <c r="P309" s="1"/>
      <c r="Q309" s="1"/>
      <c r="R309" s="1"/>
      <c r="S309" s="1"/>
      <c r="T309" s="1"/>
      <c r="U309" s="2"/>
      <c r="V309" s="1"/>
      <c r="W309" s="1"/>
      <c r="X309" s="1"/>
      <c r="Y309" s="1"/>
      <c r="Z309" s="1"/>
    </row>
    <row r="310" spans="1:26" ht="24.75" customHeight="1">
      <c r="A310" s="1"/>
      <c r="B310" s="1"/>
      <c r="C310" s="1"/>
      <c r="D310" s="1"/>
      <c r="E310" s="1"/>
      <c r="F310" s="1"/>
      <c r="G310" s="1"/>
      <c r="H310" s="1"/>
      <c r="I310" s="1"/>
      <c r="J310" s="1"/>
      <c r="K310" s="1"/>
      <c r="L310" s="1"/>
      <c r="M310" s="1"/>
      <c r="N310" s="1"/>
      <c r="O310" s="1"/>
      <c r="P310" s="1"/>
      <c r="Q310" s="1"/>
      <c r="R310" s="1"/>
      <c r="S310" s="1"/>
      <c r="T310" s="1"/>
      <c r="U310" s="2"/>
      <c r="V310" s="1"/>
      <c r="W310" s="1"/>
      <c r="X310" s="1"/>
      <c r="Y310" s="1"/>
      <c r="Z310" s="1"/>
    </row>
    <row r="311" spans="1:26" ht="24.75" customHeight="1">
      <c r="A311" s="1"/>
      <c r="B311" s="1"/>
      <c r="C311" s="1"/>
      <c r="D311" s="1"/>
      <c r="E311" s="1"/>
      <c r="F311" s="1"/>
      <c r="G311" s="1"/>
      <c r="H311" s="1"/>
      <c r="I311" s="1"/>
      <c r="J311" s="1"/>
      <c r="K311" s="1"/>
      <c r="L311" s="1"/>
      <c r="M311" s="1"/>
      <c r="N311" s="1"/>
      <c r="O311" s="1"/>
      <c r="P311" s="1"/>
      <c r="Q311" s="1"/>
      <c r="R311" s="1"/>
      <c r="S311" s="1"/>
      <c r="T311" s="1"/>
      <c r="U311" s="2"/>
      <c r="V311" s="1"/>
      <c r="W311" s="1"/>
      <c r="X311" s="1"/>
      <c r="Y311" s="1"/>
      <c r="Z311" s="1"/>
    </row>
    <row r="312" spans="1:26" ht="24.75" customHeight="1">
      <c r="A312" s="1"/>
      <c r="B312" s="1"/>
      <c r="C312" s="1"/>
      <c r="D312" s="1"/>
      <c r="E312" s="1"/>
      <c r="F312" s="1"/>
      <c r="G312" s="1"/>
      <c r="H312" s="1"/>
      <c r="I312" s="1"/>
      <c r="J312" s="1"/>
      <c r="K312" s="1"/>
      <c r="L312" s="1"/>
      <c r="M312" s="1"/>
      <c r="N312" s="1"/>
      <c r="O312" s="1"/>
      <c r="P312" s="1"/>
      <c r="Q312" s="1"/>
      <c r="R312" s="1"/>
      <c r="S312" s="1"/>
      <c r="T312" s="1"/>
      <c r="U312" s="2"/>
      <c r="V312" s="1"/>
      <c r="W312" s="1"/>
      <c r="X312" s="1"/>
      <c r="Y312" s="1"/>
      <c r="Z312" s="1"/>
    </row>
    <row r="313" spans="1:26" ht="24.75" customHeight="1">
      <c r="A313" s="1"/>
      <c r="B313" s="1"/>
      <c r="C313" s="1"/>
      <c r="D313" s="1"/>
      <c r="E313" s="1"/>
      <c r="F313" s="1"/>
      <c r="G313" s="1"/>
      <c r="H313" s="1"/>
      <c r="I313" s="1"/>
      <c r="J313" s="1"/>
      <c r="K313" s="1"/>
      <c r="L313" s="1"/>
      <c r="M313" s="1"/>
      <c r="N313" s="1"/>
      <c r="O313" s="1"/>
      <c r="P313" s="1"/>
      <c r="Q313" s="1"/>
      <c r="R313" s="1"/>
      <c r="S313" s="1"/>
      <c r="T313" s="1"/>
      <c r="U313" s="2"/>
      <c r="V313" s="1"/>
      <c r="W313" s="1"/>
      <c r="X313" s="1"/>
      <c r="Y313" s="1"/>
      <c r="Z313" s="1"/>
    </row>
    <row r="314" spans="1:26" ht="24.75" customHeight="1">
      <c r="A314" s="1"/>
      <c r="B314" s="1"/>
      <c r="C314" s="1"/>
      <c r="D314" s="1"/>
      <c r="E314" s="1"/>
      <c r="F314" s="1"/>
      <c r="G314" s="1"/>
      <c r="H314" s="1"/>
      <c r="I314" s="1"/>
      <c r="J314" s="1"/>
      <c r="K314" s="1"/>
      <c r="L314" s="1"/>
      <c r="M314" s="1"/>
      <c r="N314" s="1"/>
      <c r="O314" s="1"/>
      <c r="P314" s="1"/>
      <c r="Q314" s="1"/>
      <c r="R314" s="1"/>
      <c r="S314" s="1"/>
      <c r="T314" s="1"/>
      <c r="U314" s="2"/>
      <c r="V314" s="1"/>
      <c r="W314" s="1"/>
      <c r="X314" s="1"/>
      <c r="Y314" s="1"/>
      <c r="Z314" s="1"/>
    </row>
    <row r="315" spans="1:26" ht="24.75" customHeight="1">
      <c r="A315" s="1"/>
      <c r="B315" s="1"/>
      <c r="C315" s="1"/>
      <c r="D315" s="1"/>
      <c r="E315" s="1"/>
      <c r="F315" s="1"/>
      <c r="G315" s="1"/>
      <c r="H315" s="1"/>
      <c r="I315" s="1"/>
      <c r="J315" s="1"/>
      <c r="K315" s="1"/>
      <c r="L315" s="1"/>
      <c r="M315" s="1"/>
      <c r="N315" s="1"/>
      <c r="O315" s="1"/>
      <c r="P315" s="1"/>
      <c r="Q315" s="1"/>
      <c r="R315" s="1"/>
      <c r="S315" s="1"/>
      <c r="T315" s="1"/>
      <c r="U315" s="2"/>
      <c r="V315" s="1"/>
      <c r="W315" s="1"/>
      <c r="X315" s="1"/>
      <c r="Y315" s="1"/>
      <c r="Z315" s="1"/>
    </row>
    <row r="316" spans="1:26" ht="24.75" customHeight="1">
      <c r="A316" s="1"/>
      <c r="B316" s="1"/>
      <c r="C316" s="1"/>
      <c r="D316" s="1"/>
      <c r="E316" s="1"/>
      <c r="F316" s="1"/>
      <c r="G316" s="1"/>
      <c r="H316" s="1"/>
      <c r="I316" s="1"/>
      <c r="J316" s="1"/>
      <c r="K316" s="1"/>
      <c r="L316" s="1"/>
      <c r="M316" s="1"/>
      <c r="N316" s="1"/>
      <c r="O316" s="1"/>
      <c r="P316" s="1"/>
      <c r="Q316" s="1"/>
      <c r="R316" s="1"/>
      <c r="S316" s="1"/>
      <c r="T316" s="1"/>
      <c r="U316" s="2"/>
      <c r="V316" s="1"/>
      <c r="W316" s="1"/>
      <c r="X316" s="1"/>
      <c r="Y316" s="1"/>
      <c r="Z316" s="1"/>
    </row>
    <row r="317" spans="1:26" ht="24.75" customHeight="1">
      <c r="A317" s="1"/>
      <c r="B317" s="1"/>
      <c r="C317" s="1"/>
      <c r="D317" s="1"/>
      <c r="E317" s="1"/>
      <c r="F317" s="1"/>
      <c r="G317" s="1"/>
      <c r="H317" s="1"/>
      <c r="I317" s="1"/>
      <c r="J317" s="1"/>
      <c r="K317" s="1"/>
      <c r="L317" s="1"/>
      <c r="M317" s="1"/>
      <c r="N317" s="1"/>
      <c r="O317" s="1"/>
      <c r="P317" s="1"/>
      <c r="Q317" s="1"/>
      <c r="R317" s="1"/>
      <c r="S317" s="1"/>
      <c r="T317" s="1"/>
      <c r="U317" s="2"/>
      <c r="V317" s="1"/>
      <c r="W317" s="1"/>
      <c r="X317" s="1"/>
      <c r="Y317" s="1"/>
      <c r="Z317" s="1"/>
    </row>
    <row r="318" spans="1:26" ht="24.75" customHeight="1">
      <c r="A318" s="1"/>
      <c r="B318" s="1"/>
      <c r="C318" s="1"/>
      <c r="D318" s="1"/>
      <c r="E318" s="1"/>
      <c r="F318" s="1"/>
      <c r="G318" s="1"/>
      <c r="H318" s="1"/>
      <c r="I318" s="1"/>
      <c r="J318" s="1"/>
      <c r="K318" s="1"/>
      <c r="L318" s="1"/>
      <c r="M318" s="1"/>
      <c r="N318" s="1"/>
      <c r="O318" s="1"/>
      <c r="P318" s="1"/>
      <c r="Q318" s="1"/>
      <c r="R318" s="1"/>
      <c r="S318" s="1"/>
      <c r="T318" s="1"/>
      <c r="U318" s="2"/>
      <c r="V318" s="1"/>
      <c r="W318" s="1"/>
      <c r="X318" s="1"/>
      <c r="Y318" s="1"/>
      <c r="Z318" s="1"/>
    </row>
    <row r="319" spans="1:26" ht="24.75" customHeight="1">
      <c r="A319" s="1"/>
      <c r="B319" s="1"/>
      <c r="C319" s="1"/>
      <c r="D319" s="1"/>
      <c r="E319" s="1"/>
      <c r="F319" s="1"/>
      <c r="G319" s="1"/>
      <c r="H319" s="1"/>
      <c r="I319" s="1"/>
      <c r="J319" s="1"/>
      <c r="K319" s="1"/>
      <c r="L319" s="1"/>
      <c r="M319" s="1"/>
      <c r="N319" s="1"/>
      <c r="O319" s="1"/>
      <c r="P319" s="1"/>
      <c r="Q319" s="1"/>
      <c r="R319" s="1"/>
      <c r="S319" s="1"/>
      <c r="T319" s="1"/>
      <c r="U319" s="2"/>
      <c r="V319" s="1"/>
      <c r="W319" s="1"/>
      <c r="X319" s="1"/>
      <c r="Y319" s="1"/>
      <c r="Z319" s="1"/>
    </row>
    <row r="320" spans="1:26" ht="24.75" customHeight="1">
      <c r="A320" s="1"/>
      <c r="B320" s="1"/>
      <c r="C320" s="1"/>
      <c r="D320" s="1"/>
      <c r="E320" s="1"/>
      <c r="F320" s="1"/>
      <c r="G320" s="1"/>
      <c r="H320" s="1"/>
      <c r="I320" s="1"/>
      <c r="J320" s="1"/>
      <c r="K320" s="1"/>
      <c r="L320" s="1"/>
      <c r="M320" s="1"/>
      <c r="N320" s="1"/>
      <c r="O320" s="1"/>
      <c r="P320" s="1"/>
      <c r="Q320" s="1"/>
      <c r="R320" s="1"/>
      <c r="S320" s="1"/>
      <c r="T320" s="1"/>
      <c r="U320" s="2"/>
      <c r="V320" s="1"/>
      <c r="W320" s="1"/>
      <c r="X320" s="1"/>
      <c r="Y320" s="1"/>
      <c r="Z320" s="1"/>
    </row>
    <row r="321" spans="1:26" ht="24.75" customHeight="1">
      <c r="A321" s="1"/>
      <c r="B321" s="1"/>
      <c r="C321" s="1"/>
      <c r="D321" s="1"/>
      <c r="E321" s="1"/>
      <c r="F321" s="1"/>
      <c r="G321" s="1"/>
      <c r="H321" s="1"/>
      <c r="I321" s="1"/>
      <c r="J321" s="1"/>
      <c r="K321" s="1"/>
      <c r="L321" s="1"/>
      <c r="M321" s="1"/>
      <c r="N321" s="1"/>
      <c r="O321" s="1"/>
      <c r="P321" s="1"/>
      <c r="Q321" s="1"/>
      <c r="R321" s="1"/>
      <c r="S321" s="1"/>
      <c r="T321" s="1"/>
      <c r="U321" s="2"/>
      <c r="V321" s="1"/>
      <c r="W321" s="1"/>
      <c r="X321" s="1"/>
      <c r="Y321" s="1"/>
      <c r="Z321" s="1"/>
    </row>
    <row r="322" spans="1:26" ht="24.75" customHeight="1">
      <c r="A322" s="1"/>
      <c r="B322" s="1"/>
      <c r="C322" s="1"/>
      <c r="D322" s="1"/>
      <c r="E322" s="1"/>
      <c r="F322" s="1"/>
      <c r="G322" s="1"/>
      <c r="H322" s="1"/>
      <c r="I322" s="1"/>
      <c r="J322" s="1"/>
      <c r="K322" s="1"/>
      <c r="L322" s="1"/>
      <c r="M322" s="1"/>
      <c r="N322" s="1"/>
      <c r="O322" s="1"/>
      <c r="P322" s="1"/>
      <c r="Q322" s="1"/>
      <c r="R322" s="1"/>
      <c r="S322" s="1"/>
      <c r="T322" s="1"/>
      <c r="U322" s="2"/>
      <c r="V322" s="1"/>
      <c r="W322" s="1"/>
      <c r="X322" s="1"/>
      <c r="Y322" s="1"/>
      <c r="Z322" s="1"/>
    </row>
    <row r="323" spans="1:26" ht="24.75" customHeight="1">
      <c r="A323" s="1"/>
      <c r="B323" s="1"/>
      <c r="C323" s="1"/>
      <c r="D323" s="1"/>
      <c r="E323" s="1"/>
      <c r="F323" s="1"/>
      <c r="G323" s="1"/>
      <c r="H323" s="1"/>
      <c r="I323" s="1"/>
      <c r="J323" s="1"/>
      <c r="K323" s="1"/>
      <c r="L323" s="1"/>
      <c r="M323" s="1"/>
      <c r="N323" s="1"/>
      <c r="O323" s="1"/>
      <c r="P323" s="1"/>
      <c r="Q323" s="1"/>
      <c r="R323" s="1"/>
      <c r="S323" s="1"/>
      <c r="T323" s="1"/>
      <c r="U323" s="2"/>
      <c r="V323" s="1"/>
      <c r="W323" s="1"/>
      <c r="X323" s="1"/>
      <c r="Y323" s="1"/>
      <c r="Z323" s="1"/>
    </row>
    <row r="324" spans="1:26" ht="24.75" customHeight="1">
      <c r="A324" s="1"/>
      <c r="B324" s="1"/>
      <c r="C324" s="1"/>
      <c r="D324" s="1"/>
      <c r="E324" s="1"/>
      <c r="F324" s="1"/>
      <c r="G324" s="1"/>
      <c r="H324" s="1"/>
      <c r="I324" s="1"/>
      <c r="J324" s="1"/>
      <c r="K324" s="1"/>
      <c r="L324" s="1"/>
      <c r="M324" s="1"/>
      <c r="N324" s="1"/>
      <c r="O324" s="1"/>
      <c r="P324" s="1"/>
      <c r="Q324" s="1"/>
      <c r="R324" s="1"/>
      <c r="S324" s="1"/>
      <c r="T324" s="1"/>
      <c r="U324" s="2"/>
      <c r="V324" s="1"/>
      <c r="W324" s="1"/>
      <c r="X324" s="1"/>
      <c r="Y324" s="1"/>
      <c r="Z324" s="1"/>
    </row>
    <row r="325" spans="1:26" ht="24.75" customHeight="1">
      <c r="A325" s="1"/>
      <c r="B325" s="1"/>
      <c r="C325" s="1"/>
      <c r="D325" s="1"/>
      <c r="E325" s="1"/>
      <c r="F325" s="1"/>
      <c r="G325" s="1"/>
      <c r="H325" s="1"/>
      <c r="I325" s="1"/>
      <c r="J325" s="1"/>
      <c r="K325" s="1"/>
      <c r="L325" s="1"/>
      <c r="M325" s="1"/>
      <c r="N325" s="1"/>
      <c r="O325" s="1"/>
      <c r="P325" s="1"/>
      <c r="Q325" s="1"/>
      <c r="R325" s="1"/>
      <c r="S325" s="1"/>
      <c r="T325" s="1"/>
      <c r="U325" s="2"/>
      <c r="V325" s="1"/>
      <c r="W325" s="1"/>
      <c r="X325" s="1"/>
      <c r="Y325" s="1"/>
      <c r="Z325" s="1"/>
    </row>
    <row r="326" spans="1:26" ht="24.75" customHeight="1">
      <c r="A326" s="1"/>
      <c r="B326" s="1"/>
      <c r="C326" s="1"/>
      <c r="D326" s="1"/>
      <c r="E326" s="1"/>
      <c r="F326" s="1"/>
      <c r="G326" s="1"/>
      <c r="H326" s="1"/>
      <c r="I326" s="1"/>
      <c r="J326" s="1"/>
      <c r="K326" s="1"/>
      <c r="L326" s="1"/>
      <c r="M326" s="1"/>
      <c r="N326" s="1"/>
      <c r="O326" s="1"/>
      <c r="P326" s="1"/>
      <c r="Q326" s="1"/>
      <c r="R326" s="1"/>
      <c r="S326" s="1"/>
      <c r="T326" s="1"/>
      <c r="U326" s="2"/>
      <c r="V326" s="1"/>
      <c r="W326" s="1"/>
      <c r="X326" s="1"/>
      <c r="Y326" s="1"/>
      <c r="Z326" s="1"/>
    </row>
    <row r="327" spans="1:26" ht="24.75" customHeight="1">
      <c r="A327" s="1"/>
      <c r="B327" s="1"/>
      <c r="C327" s="1"/>
      <c r="D327" s="1"/>
      <c r="E327" s="1"/>
      <c r="F327" s="1"/>
      <c r="G327" s="1"/>
      <c r="H327" s="1"/>
      <c r="I327" s="1"/>
      <c r="J327" s="1"/>
      <c r="K327" s="1"/>
      <c r="L327" s="1"/>
      <c r="M327" s="1"/>
      <c r="N327" s="1"/>
      <c r="O327" s="1"/>
      <c r="P327" s="1"/>
      <c r="Q327" s="1"/>
      <c r="R327" s="1"/>
      <c r="S327" s="1"/>
      <c r="T327" s="1"/>
      <c r="U327" s="2"/>
      <c r="V327" s="1"/>
      <c r="W327" s="1"/>
      <c r="X327" s="1"/>
      <c r="Y327" s="1"/>
      <c r="Z327" s="1"/>
    </row>
    <row r="328" spans="1:26" ht="24.75" customHeight="1">
      <c r="A328" s="1"/>
      <c r="B328" s="1"/>
      <c r="C328" s="1"/>
      <c r="D328" s="1"/>
      <c r="E328" s="1"/>
      <c r="F328" s="1"/>
      <c r="G328" s="1"/>
      <c r="H328" s="1"/>
      <c r="I328" s="1"/>
      <c r="J328" s="1"/>
      <c r="K328" s="1"/>
      <c r="L328" s="1"/>
      <c r="M328" s="1"/>
      <c r="N328" s="1"/>
      <c r="O328" s="1"/>
      <c r="P328" s="1"/>
      <c r="Q328" s="1"/>
      <c r="R328" s="1"/>
      <c r="S328" s="1"/>
      <c r="T328" s="1"/>
      <c r="U328" s="2"/>
      <c r="V328" s="1"/>
      <c r="W328" s="1"/>
      <c r="X328" s="1"/>
      <c r="Y328" s="1"/>
      <c r="Z328" s="1"/>
    </row>
    <row r="329" spans="1:26" ht="24.75" customHeight="1">
      <c r="A329" s="1"/>
      <c r="B329" s="1"/>
      <c r="C329" s="1"/>
      <c r="D329" s="1"/>
      <c r="E329" s="1"/>
      <c r="F329" s="1"/>
      <c r="G329" s="1"/>
      <c r="H329" s="1"/>
      <c r="I329" s="1"/>
      <c r="J329" s="1"/>
      <c r="K329" s="1"/>
      <c r="L329" s="1"/>
      <c r="M329" s="1"/>
      <c r="N329" s="1"/>
      <c r="O329" s="1"/>
      <c r="P329" s="1"/>
      <c r="Q329" s="1"/>
      <c r="R329" s="1"/>
      <c r="S329" s="1"/>
      <c r="T329" s="1"/>
      <c r="U329" s="2"/>
      <c r="V329" s="1"/>
      <c r="W329" s="1"/>
      <c r="X329" s="1"/>
      <c r="Y329" s="1"/>
      <c r="Z329" s="1"/>
    </row>
    <row r="330" spans="1:26" ht="24.75" customHeight="1">
      <c r="A330" s="1"/>
      <c r="B330" s="1"/>
      <c r="C330" s="1"/>
      <c r="D330" s="1"/>
      <c r="E330" s="1"/>
      <c r="F330" s="1"/>
      <c r="G330" s="1"/>
      <c r="H330" s="1"/>
      <c r="I330" s="1"/>
      <c r="J330" s="1"/>
      <c r="K330" s="1"/>
      <c r="L330" s="1"/>
      <c r="M330" s="1"/>
      <c r="N330" s="1"/>
      <c r="O330" s="1"/>
      <c r="P330" s="1"/>
      <c r="Q330" s="1"/>
      <c r="R330" s="1"/>
      <c r="S330" s="1"/>
      <c r="T330" s="1"/>
      <c r="U330" s="2"/>
      <c r="V330" s="1"/>
      <c r="W330" s="1"/>
      <c r="X330" s="1"/>
      <c r="Y330" s="1"/>
      <c r="Z330" s="1"/>
    </row>
    <row r="331" spans="1:26" ht="24.75" customHeight="1">
      <c r="A331" s="1"/>
      <c r="B331" s="1"/>
      <c r="C331" s="1"/>
      <c r="D331" s="1"/>
      <c r="E331" s="1"/>
      <c r="F331" s="1"/>
      <c r="G331" s="1"/>
      <c r="H331" s="1"/>
      <c r="I331" s="1"/>
      <c r="J331" s="1"/>
      <c r="K331" s="1"/>
      <c r="L331" s="1"/>
      <c r="M331" s="1"/>
      <c r="N331" s="1"/>
      <c r="O331" s="1"/>
      <c r="P331" s="1"/>
      <c r="Q331" s="1"/>
      <c r="R331" s="1"/>
      <c r="S331" s="1"/>
      <c r="T331" s="1"/>
      <c r="U331" s="2"/>
      <c r="V331" s="1"/>
      <c r="W331" s="1"/>
      <c r="X331" s="1"/>
      <c r="Y331" s="1"/>
      <c r="Z331" s="1"/>
    </row>
    <row r="332" spans="1:26" ht="24.75" customHeight="1">
      <c r="A332" s="1"/>
      <c r="B332" s="1"/>
      <c r="C332" s="1"/>
      <c r="D332" s="1"/>
      <c r="E332" s="1"/>
      <c r="F332" s="1"/>
      <c r="G332" s="1"/>
      <c r="H332" s="1"/>
      <c r="I332" s="1"/>
      <c r="J332" s="1"/>
      <c r="K332" s="1"/>
      <c r="L332" s="1"/>
      <c r="M332" s="1"/>
      <c r="N332" s="1"/>
      <c r="O332" s="1"/>
      <c r="P332" s="1"/>
      <c r="Q332" s="1"/>
      <c r="R332" s="1"/>
      <c r="S332" s="1"/>
      <c r="T332" s="1"/>
      <c r="U332" s="2"/>
      <c r="V332" s="1"/>
      <c r="W332" s="1"/>
      <c r="X332" s="1"/>
      <c r="Y332" s="1"/>
      <c r="Z332" s="1"/>
    </row>
    <row r="333" spans="1:26" ht="24.75" customHeight="1">
      <c r="A333" s="1"/>
      <c r="B333" s="1"/>
      <c r="C333" s="1"/>
      <c r="D333" s="1"/>
      <c r="E333" s="1"/>
      <c r="F333" s="1"/>
      <c r="G333" s="1"/>
      <c r="H333" s="1"/>
      <c r="I333" s="1"/>
      <c r="J333" s="1"/>
      <c r="K333" s="1"/>
      <c r="L333" s="1"/>
      <c r="M333" s="1"/>
      <c r="N333" s="1"/>
      <c r="O333" s="1"/>
      <c r="P333" s="1"/>
      <c r="Q333" s="1"/>
      <c r="R333" s="1"/>
      <c r="S333" s="1"/>
      <c r="T333" s="1"/>
      <c r="U333" s="2"/>
      <c r="V333" s="1"/>
      <c r="W333" s="1"/>
      <c r="X333" s="1"/>
      <c r="Y333" s="1"/>
      <c r="Z333" s="1"/>
    </row>
    <row r="334" spans="1:26" ht="24.75" customHeight="1">
      <c r="A334" s="1"/>
      <c r="B334" s="1"/>
      <c r="C334" s="1"/>
      <c r="D334" s="1"/>
      <c r="E334" s="1"/>
      <c r="F334" s="1"/>
      <c r="G334" s="1"/>
      <c r="H334" s="1"/>
      <c r="I334" s="1"/>
      <c r="J334" s="1"/>
      <c r="K334" s="1"/>
      <c r="L334" s="1"/>
      <c r="M334" s="1"/>
      <c r="N334" s="1"/>
      <c r="O334" s="1"/>
      <c r="P334" s="1"/>
      <c r="Q334" s="1"/>
      <c r="R334" s="1"/>
      <c r="S334" s="1"/>
      <c r="T334" s="1"/>
      <c r="U334" s="2"/>
      <c r="V334" s="1"/>
      <c r="W334" s="1"/>
      <c r="X334" s="1"/>
      <c r="Y334" s="1"/>
      <c r="Z334" s="1"/>
    </row>
    <row r="335" spans="1:26" ht="24.75" customHeight="1">
      <c r="A335" s="1"/>
      <c r="B335" s="1"/>
      <c r="C335" s="1"/>
      <c r="D335" s="1"/>
      <c r="E335" s="1"/>
      <c r="F335" s="1"/>
      <c r="G335" s="1"/>
      <c r="H335" s="1"/>
      <c r="I335" s="1"/>
      <c r="J335" s="1"/>
      <c r="K335" s="1"/>
      <c r="L335" s="1"/>
      <c r="M335" s="1"/>
      <c r="N335" s="1"/>
      <c r="O335" s="1"/>
      <c r="P335" s="1"/>
      <c r="Q335" s="1"/>
      <c r="R335" s="1"/>
      <c r="S335" s="1"/>
      <c r="T335" s="1"/>
      <c r="U335" s="2"/>
      <c r="V335" s="1"/>
      <c r="W335" s="1"/>
      <c r="X335" s="1"/>
      <c r="Y335" s="1"/>
      <c r="Z335" s="1"/>
    </row>
    <row r="336" spans="1:26" ht="24.75" customHeight="1">
      <c r="A336" s="1"/>
      <c r="B336" s="1"/>
      <c r="C336" s="1"/>
      <c r="D336" s="1"/>
      <c r="E336" s="1"/>
      <c r="F336" s="1"/>
      <c r="G336" s="1"/>
      <c r="H336" s="1"/>
      <c r="I336" s="1"/>
      <c r="J336" s="1"/>
      <c r="K336" s="1"/>
      <c r="L336" s="1"/>
      <c r="M336" s="1"/>
      <c r="N336" s="1"/>
      <c r="O336" s="1"/>
      <c r="P336" s="1"/>
      <c r="Q336" s="1"/>
      <c r="R336" s="1"/>
      <c r="S336" s="1"/>
      <c r="T336" s="1"/>
      <c r="U336" s="2"/>
      <c r="V336" s="1"/>
      <c r="W336" s="1"/>
      <c r="X336" s="1"/>
      <c r="Y336" s="1"/>
      <c r="Z336" s="1"/>
    </row>
    <row r="337" spans="1:26" ht="24.75" customHeight="1">
      <c r="A337" s="1"/>
      <c r="B337" s="1"/>
      <c r="C337" s="1"/>
      <c r="D337" s="1"/>
      <c r="E337" s="1"/>
      <c r="F337" s="1"/>
      <c r="G337" s="1"/>
      <c r="H337" s="1"/>
      <c r="I337" s="1"/>
      <c r="J337" s="1"/>
      <c r="K337" s="1"/>
      <c r="L337" s="1"/>
      <c r="M337" s="1"/>
      <c r="N337" s="1"/>
      <c r="O337" s="1"/>
      <c r="P337" s="1"/>
      <c r="Q337" s="1"/>
      <c r="R337" s="1"/>
      <c r="S337" s="1"/>
      <c r="T337" s="1"/>
      <c r="U337" s="2"/>
      <c r="V337" s="1"/>
      <c r="W337" s="1"/>
      <c r="X337" s="1"/>
      <c r="Y337" s="1"/>
      <c r="Z337" s="1"/>
    </row>
    <row r="338" spans="1:26" ht="24.75" customHeight="1">
      <c r="A338" s="1"/>
      <c r="B338" s="1"/>
      <c r="C338" s="1"/>
      <c r="D338" s="1"/>
      <c r="E338" s="1"/>
      <c r="F338" s="1"/>
      <c r="G338" s="1"/>
      <c r="H338" s="1"/>
      <c r="I338" s="1"/>
      <c r="J338" s="1"/>
      <c r="K338" s="1"/>
      <c r="L338" s="1"/>
      <c r="M338" s="1"/>
      <c r="N338" s="1"/>
      <c r="O338" s="1"/>
      <c r="P338" s="1"/>
      <c r="Q338" s="1"/>
      <c r="R338" s="1"/>
      <c r="S338" s="1"/>
      <c r="T338" s="1"/>
      <c r="U338" s="2"/>
      <c r="V338" s="1"/>
      <c r="W338" s="1"/>
      <c r="X338" s="1"/>
      <c r="Y338" s="1"/>
      <c r="Z338" s="1"/>
    </row>
    <row r="339" spans="1:26" ht="24.75" customHeight="1">
      <c r="A339" s="1"/>
      <c r="B339" s="1"/>
      <c r="C339" s="1"/>
      <c r="D339" s="1"/>
      <c r="E339" s="1"/>
      <c r="F339" s="1"/>
      <c r="G339" s="1"/>
      <c r="H339" s="1"/>
      <c r="I339" s="1"/>
      <c r="J339" s="1"/>
      <c r="K339" s="1"/>
      <c r="L339" s="1"/>
      <c r="M339" s="1"/>
      <c r="N339" s="1"/>
      <c r="O339" s="1"/>
      <c r="P339" s="1"/>
      <c r="Q339" s="1"/>
      <c r="R339" s="1"/>
      <c r="S339" s="1"/>
      <c r="T339" s="1"/>
      <c r="U339" s="2"/>
      <c r="V339" s="1"/>
      <c r="W339" s="1"/>
      <c r="X339" s="1"/>
      <c r="Y339" s="1"/>
      <c r="Z339" s="1"/>
    </row>
    <row r="340" spans="1:26" ht="24.75" customHeight="1">
      <c r="A340" s="1"/>
      <c r="B340" s="1"/>
      <c r="C340" s="1"/>
      <c r="D340" s="1"/>
      <c r="E340" s="1"/>
      <c r="F340" s="1"/>
      <c r="G340" s="1"/>
      <c r="H340" s="1"/>
      <c r="I340" s="1"/>
      <c r="J340" s="1"/>
      <c r="K340" s="1"/>
      <c r="L340" s="1"/>
      <c r="M340" s="1"/>
      <c r="N340" s="1"/>
      <c r="O340" s="1"/>
      <c r="P340" s="1"/>
      <c r="Q340" s="1"/>
      <c r="R340" s="1"/>
      <c r="S340" s="1"/>
      <c r="T340" s="1"/>
      <c r="U340" s="2"/>
      <c r="V340" s="1"/>
      <c r="W340" s="1"/>
      <c r="X340" s="1"/>
      <c r="Y340" s="1"/>
      <c r="Z340" s="1"/>
    </row>
    <row r="341" spans="1:26" ht="24.75" customHeight="1">
      <c r="A341" s="1"/>
      <c r="B341" s="1"/>
      <c r="C341" s="1"/>
      <c r="D341" s="1"/>
      <c r="E341" s="1"/>
      <c r="F341" s="1"/>
      <c r="G341" s="1"/>
      <c r="H341" s="1"/>
      <c r="I341" s="1"/>
      <c r="J341" s="1"/>
      <c r="K341" s="1"/>
      <c r="L341" s="1"/>
      <c r="M341" s="1"/>
      <c r="N341" s="1"/>
      <c r="O341" s="1"/>
      <c r="P341" s="1"/>
      <c r="Q341" s="1"/>
      <c r="R341" s="1"/>
      <c r="S341" s="1"/>
      <c r="T341" s="1"/>
      <c r="U341" s="2"/>
      <c r="V341" s="1"/>
      <c r="W341" s="1"/>
      <c r="X341" s="1"/>
      <c r="Y341" s="1"/>
      <c r="Z341" s="1"/>
    </row>
    <row r="342" spans="1:26" ht="24.75" customHeight="1">
      <c r="A342" s="1"/>
      <c r="B342" s="1"/>
      <c r="C342" s="1"/>
      <c r="D342" s="1"/>
      <c r="E342" s="1"/>
      <c r="F342" s="1"/>
      <c r="G342" s="1"/>
      <c r="H342" s="1"/>
      <c r="I342" s="1"/>
      <c r="J342" s="1"/>
      <c r="K342" s="1"/>
      <c r="L342" s="1"/>
      <c r="M342" s="1"/>
      <c r="N342" s="1"/>
      <c r="O342" s="1"/>
      <c r="P342" s="1"/>
      <c r="Q342" s="1"/>
      <c r="R342" s="1"/>
      <c r="S342" s="1"/>
      <c r="T342" s="1"/>
      <c r="U342" s="2"/>
      <c r="V342" s="1"/>
      <c r="W342" s="1"/>
      <c r="X342" s="1"/>
      <c r="Y342" s="1"/>
      <c r="Z342" s="1"/>
    </row>
    <row r="343" spans="1:26" ht="24.75" customHeight="1">
      <c r="A343" s="1"/>
      <c r="B343" s="1"/>
      <c r="C343" s="1"/>
      <c r="D343" s="1"/>
      <c r="E343" s="1"/>
      <c r="F343" s="1"/>
      <c r="G343" s="1"/>
      <c r="H343" s="1"/>
      <c r="I343" s="1"/>
      <c r="J343" s="1"/>
      <c r="K343" s="1"/>
      <c r="L343" s="1"/>
      <c r="M343" s="1"/>
      <c r="N343" s="1"/>
      <c r="O343" s="1"/>
      <c r="P343" s="1"/>
      <c r="Q343" s="1"/>
      <c r="R343" s="1"/>
      <c r="S343" s="1"/>
      <c r="T343" s="1"/>
      <c r="U343" s="2"/>
      <c r="V343" s="1"/>
      <c r="W343" s="1"/>
      <c r="X343" s="1"/>
      <c r="Y343" s="1"/>
      <c r="Z343" s="1"/>
    </row>
    <row r="344" spans="1:26" ht="24.75" customHeight="1">
      <c r="A344" s="1"/>
      <c r="B344" s="1"/>
      <c r="C344" s="1"/>
      <c r="D344" s="1"/>
      <c r="E344" s="1"/>
      <c r="F344" s="1"/>
      <c r="G344" s="1"/>
      <c r="H344" s="1"/>
      <c r="I344" s="1"/>
      <c r="J344" s="1"/>
      <c r="K344" s="1"/>
      <c r="L344" s="1"/>
      <c r="M344" s="1"/>
      <c r="N344" s="1"/>
      <c r="O344" s="1"/>
      <c r="P344" s="1"/>
      <c r="Q344" s="1"/>
      <c r="R344" s="1"/>
      <c r="S344" s="1"/>
      <c r="T344" s="1"/>
      <c r="U344" s="2"/>
      <c r="V344" s="1"/>
      <c r="W344" s="1"/>
      <c r="X344" s="1"/>
      <c r="Y344" s="1"/>
      <c r="Z344" s="1"/>
    </row>
    <row r="345" spans="1:26" ht="24.75" customHeight="1">
      <c r="A345" s="1"/>
      <c r="B345" s="1"/>
      <c r="C345" s="1"/>
      <c r="D345" s="1"/>
      <c r="E345" s="1"/>
      <c r="F345" s="1"/>
      <c r="G345" s="1"/>
      <c r="H345" s="1"/>
      <c r="I345" s="1"/>
      <c r="J345" s="1"/>
      <c r="K345" s="1"/>
      <c r="L345" s="1"/>
      <c r="M345" s="1"/>
      <c r="N345" s="1"/>
      <c r="O345" s="1"/>
      <c r="P345" s="1"/>
      <c r="Q345" s="1"/>
      <c r="R345" s="1"/>
      <c r="S345" s="1"/>
      <c r="T345" s="1"/>
      <c r="U345" s="2"/>
      <c r="V345" s="1"/>
      <c r="W345" s="1"/>
      <c r="X345" s="1"/>
      <c r="Y345" s="1"/>
      <c r="Z345" s="1"/>
    </row>
    <row r="346" spans="1:26" ht="24.75" customHeight="1">
      <c r="A346" s="1"/>
      <c r="B346" s="1"/>
      <c r="C346" s="1"/>
      <c r="D346" s="1"/>
      <c r="E346" s="1"/>
      <c r="F346" s="1"/>
      <c r="G346" s="1"/>
      <c r="H346" s="1"/>
      <c r="I346" s="1"/>
      <c r="J346" s="1"/>
      <c r="K346" s="1"/>
      <c r="L346" s="1"/>
      <c r="M346" s="1"/>
      <c r="N346" s="1"/>
      <c r="O346" s="1"/>
      <c r="P346" s="1"/>
      <c r="Q346" s="1"/>
      <c r="R346" s="1"/>
      <c r="S346" s="1"/>
      <c r="T346" s="1"/>
      <c r="U346" s="2"/>
      <c r="V346" s="1"/>
      <c r="W346" s="1"/>
      <c r="X346" s="1"/>
      <c r="Y346" s="1"/>
      <c r="Z346" s="1"/>
    </row>
    <row r="347" spans="1:26" ht="24.75" customHeight="1">
      <c r="A347" s="1"/>
      <c r="B347" s="1"/>
      <c r="C347" s="1"/>
      <c r="D347" s="1"/>
      <c r="E347" s="1"/>
      <c r="F347" s="1"/>
      <c r="G347" s="1"/>
      <c r="H347" s="1"/>
      <c r="I347" s="1"/>
      <c r="J347" s="1"/>
      <c r="K347" s="1"/>
      <c r="L347" s="1"/>
      <c r="M347" s="1"/>
      <c r="N347" s="1"/>
      <c r="O347" s="1"/>
      <c r="P347" s="1"/>
      <c r="Q347" s="1"/>
      <c r="R347" s="1"/>
      <c r="S347" s="1"/>
      <c r="T347" s="1"/>
      <c r="U347" s="2"/>
      <c r="V347" s="1"/>
      <c r="W347" s="1"/>
      <c r="X347" s="1"/>
      <c r="Y347" s="1"/>
      <c r="Z347" s="1"/>
    </row>
    <row r="348" spans="1:26" ht="24.75" customHeight="1">
      <c r="A348" s="1"/>
      <c r="B348" s="1"/>
      <c r="C348" s="1"/>
      <c r="D348" s="1"/>
      <c r="E348" s="1"/>
      <c r="F348" s="1"/>
      <c r="G348" s="1"/>
      <c r="H348" s="1"/>
      <c r="I348" s="1"/>
      <c r="J348" s="1"/>
      <c r="K348" s="1"/>
      <c r="L348" s="1"/>
      <c r="M348" s="1"/>
      <c r="N348" s="1"/>
      <c r="O348" s="1"/>
      <c r="P348" s="1"/>
      <c r="Q348" s="1"/>
      <c r="R348" s="1"/>
      <c r="S348" s="1"/>
      <c r="T348" s="1"/>
      <c r="U348" s="2"/>
      <c r="V348" s="1"/>
      <c r="W348" s="1"/>
      <c r="X348" s="1"/>
      <c r="Y348" s="1"/>
      <c r="Z348" s="1"/>
    </row>
    <row r="349" spans="1:26" ht="24.75" customHeight="1">
      <c r="A349" s="1"/>
      <c r="B349" s="1"/>
      <c r="C349" s="1"/>
      <c r="D349" s="1"/>
      <c r="E349" s="1"/>
      <c r="F349" s="1"/>
      <c r="G349" s="1"/>
      <c r="H349" s="1"/>
      <c r="I349" s="1"/>
      <c r="J349" s="1"/>
      <c r="K349" s="1"/>
      <c r="L349" s="1"/>
      <c r="M349" s="1"/>
      <c r="N349" s="1"/>
      <c r="O349" s="1"/>
      <c r="P349" s="1"/>
      <c r="Q349" s="1"/>
      <c r="R349" s="1"/>
      <c r="S349" s="1"/>
      <c r="T349" s="1"/>
      <c r="U349" s="2"/>
      <c r="V349" s="1"/>
      <c r="W349" s="1"/>
      <c r="X349" s="1"/>
      <c r="Y349" s="1"/>
      <c r="Z349" s="1"/>
    </row>
    <row r="350" spans="1:26" ht="24.75" customHeight="1">
      <c r="A350" s="1"/>
      <c r="B350" s="1"/>
      <c r="C350" s="1"/>
      <c r="D350" s="1"/>
      <c r="E350" s="1"/>
      <c r="F350" s="1"/>
      <c r="G350" s="1"/>
      <c r="H350" s="1"/>
      <c r="I350" s="1"/>
      <c r="J350" s="1"/>
      <c r="K350" s="1"/>
      <c r="L350" s="1"/>
      <c r="M350" s="1"/>
      <c r="N350" s="1"/>
      <c r="O350" s="1"/>
      <c r="P350" s="1"/>
      <c r="Q350" s="1"/>
      <c r="R350" s="1"/>
      <c r="S350" s="1"/>
      <c r="T350" s="1"/>
      <c r="U350" s="2"/>
      <c r="V350" s="1"/>
      <c r="W350" s="1"/>
      <c r="X350" s="1"/>
      <c r="Y350" s="1"/>
      <c r="Z350" s="1"/>
    </row>
    <row r="351" spans="1:26" ht="24.75" customHeight="1">
      <c r="A351" s="1"/>
      <c r="B351" s="1"/>
      <c r="C351" s="1"/>
      <c r="D351" s="1"/>
      <c r="E351" s="1"/>
      <c r="F351" s="1"/>
      <c r="G351" s="1"/>
      <c r="H351" s="1"/>
      <c r="I351" s="1"/>
      <c r="J351" s="1"/>
      <c r="K351" s="1"/>
      <c r="L351" s="1"/>
      <c r="M351" s="1"/>
      <c r="N351" s="1"/>
      <c r="O351" s="1"/>
      <c r="P351" s="1"/>
      <c r="Q351" s="1"/>
      <c r="R351" s="1"/>
      <c r="S351" s="1"/>
      <c r="T351" s="1"/>
      <c r="U351" s="2"/>
      <c r="V351" s="1"/>
      <c r="W351" s="1"/>
      <c r="X351" s="1"/>
      <c r="Y351" s="1"/>
      <c r="Z351" s="1"/>
    </row>
    <row r="352" spans="1:26" ht="24.75" customHeight="1">
      <c r="A352" s="1"/>
      <c r="B352" s="1"/>
      <c r="C352" s="1"/>
      <c r="D352" s="1"/>
      <c r="E352" s="1"/>
      <c r="F352" s="1"/>
      <c r="G352" s="1"/>
      <c r="H352" s="1"/>
      <c r="I352" s="1"/>
      <c r="J352" s="1"/>
      <c r="K352" s="1"/>
      <c r="L352" s="1"/>
      <c r="M352" s="1"/>
      <c r="N352" s="1"/>
      <c r="O352" s="1"/>
      <c r="P352" s="1"/>
      <c r="Q352" s="1"/>
      <c r="R352" s="1"/>
      <c r="S352" s="1"/>
      <c r="T352" s="1"/>
      <c r="U352" s="2"/>
      <c r="V352" s="1"/>
      <c r="W352" s="1"/>
      <c r="X352" s="1"/>
      <c r="Y352" s="1"/>
      <c r="Z352" s="1"/>
    </row>
    <row r="353" spans="1:26" ht="24.75" customHeight="1">
      <c r="A353" s="1"/>
      <c r="B353" s="1"/>
      <c r="C353" s="1"/>
      <c r="D353" s="1"/>
      <c r="E353" s="1"/>
      <c r="F353" s="1"/>
      <c r="G353" s="1"/>
      <c r="H353" s="1"/>
      <c r="I353" s="1"/>
      <c r="J353" s="1"/>
      <c r="K353" s="1"/>
      <c r="L353" s="1"/>
      <c r="M353" s="1"/>
      <c r="N353" s="1"/>
      <c r="O353" s="1"/>
      <c r="P353" s="1"/>
      <c r="Q353" s="1"/>
      <c r="R353" s="1"/>
      <c r="S353" s="1"/>
      <c r="T353" s="1"/>
      <c r="U353" s="2"/>
      <c r="V353" s="1"/>
      <c r="W353" s="1"/>
      <c r="X353" s="1"/>
      <c r="Y353" s="1"/>
      <c r="Z353" s="1"/>
    </row>
    <row r="354" spans="1:26" ht="24.75" customHeight="1">
      <c r="A354" s="1"/>
      <c r="B354" s="1"/>
      <c r="C354" s="1"/>
      <c r="D354" s="1"/>
      <c r="E354" s="1"/>
      <c r="F354" s="1"/>
      <c r="G354" s="1"/>
      <c r="H354" s="1"/>
      <c r="I354" s="1"/>
      <c r="J354" s="1"/>
      <c r="K354" s="1"/>
      <c r="L354" s="1"/>
      <c r="M354" s="1"/>
      <c r="N354" s="1"/>
      <c r="O354" s="1"/>
      <c r="P354" s="1"/>
      <c r="Q354" s="1"/>
      <c r="R354" s="1"/>
      <c r="S354" s="1"/>
      <c r="T354" s="1"/>
      <c r="U354" s="2"/>
      <c r="V354" s="1"/>
      <c r="W354" s="1"/>
      <c r="X354" s="1"/>
      <c r="Y354" s="1"/>
      <c r="Z354" s="1"/>
    </row>
    <row r="355" spans="1:26" ht="24.75" customHeight="1">
      <c r="A355" s="1"/>
      <c r="B355" s="1"/>
      <c r="C355" s="1"/>
      <c r="D355" s="1"/>
      <c r="E355" s="1"/>
      <c r="F355" s="1"/>
      <c r="G355" s="1"/>
      <c r="H355" s="1"/>
      <c r="I355" s="1"/>
      <c r="J355" s="1"/>
      <c r="K355" s="1"/>
      <c r="L355" s="1"/>
      <c r="M355" s="1"/>
      <c r="N355" s="1"/>
      <c r="O355" s="1"/>
      <c r="P355" s="1"/>
      <c r="Q355" s="1"/>
      <c r="R355" s="1"/>
      <c r="S355" s="1"/>
      <c r="T355" s="1"/>
      <c r="U355" s="2"/>
      <c r="V355" s="1"/>
      <c r="W355" s="1"/>
      <c r="X355" s="1"/>
      <c r="Y355" s="1"/>
      <c r="Z355" s="1"/>
    </row>
    <row r="356" spans="1:26" ht="24.75" customHeight="1">
      <c r="A356" s="1"/>
      <c r="B356" s="1"/>
      <c r="C356" s="1"/>
      <c r="D356" s="1"/>
      <c r="E356" s="1"/>
      <c r="F356" s="1"/>
      <c r="G356" s="1"/>
      <c r="H356" s="1"/>
      <c r="I356" s="1"/>
      <c r="J356" s="1"/>
      <c r="K356" s="1"/>
      <c r="L356" s="1"/>
      <c r="M356" s="1"/>
      <c r="N356" s="1"/>
      <c r="O356" s="1"/>
      <c r="P356" s="1"/>
      <c r="Q356" s="1"/>
      <c r="R356" s="1"/>
      <c r="S356" s="1"/>
      <c r="T356" s="1"/>
      <c r="U356" s="2"/>
      <c r="V356" s="1"/>
      <c r="W356" s="1"/>
      <c r="X356" s="1"/>
      <c r="Y356" s="1"/>
      <c r="Z356" s="1"/>
    </row>
    <row r="357" spans="1:26" ht="24.75" customHeight="1">
      <c r="A357" s="1"/>
      <c r="B357" s="1"/>
      <c r="C357" s="1"/>
      <c r="D357" s="1"/>
      <c r="E357" s="1"/>
      <c r="F357" s="1"/>
      <c r="G357" s="1"/>
      <c r="H357" s="1"/>
      <c r="I357" s="1"/>
      <c r="J357" s="1"/>
      <c r="K357" s="1"/>
      <c r="L357" s="1"/>
      <c r="M357" s="1"/>
      <c r="N357" s="1"/>
      <c r="O357" s="1"/>
      <c r="P357" s="1"/>
      <c r="Q357" s="1"/>
      <c r="R357" s="1"/>
      <c r="S357" s="1"/>
      <c r="T357" s="1"/>
      <c r="U357" s="2"/>
      <c r="V357" s="1"/>
      <c r="W357" s="1"/>
      <c r="X357" s="1"/>
      <c r="Y357" s="1"/>
      <c r="Z357" s="1"/>
    </row>
    <row r="358" spans="1:26" ht="24.75" customHeight="1">
      <c r="A358" s="1"/>
      <c r="B358" s="1"/>
      <c r="C358" s="1"/>
      <c r="D358" s="1"/>
      <c r="E358" s="1"/>
      <c r="F358" s="1"/>
      <c r="G358" s="1"/>
      <c r="H358" s="1"/>
      <c r="I358" s="1"/>
      <c r="J358" s="1"/>
      <c r="K358" s="1"/>
      <c r="L358" s="1"/>
      <c r="M358" s="1"/>
      <c r="N358" s="1"/>
      <c r="O358" s="1"/>
      <c r="P358" s="1"/>
      <c r="Q358" s="1"/>
      <c r="R358" s="1"/>
      <c r="S358" s="1"/>
      <c r="T358" s="1"/>
      <c r="U358" s="2"/>
      <c r="V358" s="1"/>
      <c r="W358" s="1"/>
      <c r="X358" s="1"/>
      <c r="Y358" s="1"/>
      <c r="Z358" s="1"/>
    </row>
    <row r="359" spans="1:26" ht="24.75" customHeight="1">
      <c r="A359" s="1"/>
      <c r="B359" s="1"/>
      <c r="C359" s="1"/>
      <c r="D359" s="1"/>
      <c r="E359" s="1"/>
      <c r="F359" s="1"/>
      <c r="G359" s="1"/>
      <c r="H359" s="1"/>
      <c r="I359" s="1"/>
      <c r="J359" s="1"/>
      <c r="K359" s="1"/>
      <c r="L359" s="1"/>
      <c r="M359" s="1"/>
      <c r="N359" s="1"/>
      <c r="O359" s="1"/>
      <c r="P359" s="1"/>
      <c r="Q359" s="1"/>
      <c r="R359" s="1"/>
      <c r="S359" s="1"/>
      <c r="T359" s="1"/>
      <c r="U359" s="2"/>
      <c r="V359" s="1"/>
      <c r="W359" s="1"/>
      <c r="X359" s="1"/>
      <c r="Y359" s="1"/>
      <c r="Z359" s="1"/>
    </row>
    <row r="360" spans="1:26" ht="24.75" customHeight="1">
      <c r="A360" s="1"/>
      <c r="B360" s="1"/>
      <c r="C360" s="1"/>
      <c r="D360" s="1"/>
      <c r="E360" s="1"/>
      <c r="F360" s="1"/>
      <c r="G360" s="1"/>
      <c r="H360" s="1"/>
      <c r="I360" s="1"/>
      <c r="J360" s="1"/>
      <c r="K360" s="1"/>
      <c r="L360" s="1"/>
      <c r="M360" s="1"/>
      <c r="N360" s="1"/>
      <c r="O360" s="1"/>
      <c r="P360" s="1"/>
      <c r="Q360" s="1"/>
      <c r="R360" s="1"/>
      <c r="S360" s="1"/>
      <c r="T360" s="1"/>
      <c r="U360" s="2"/>
      <c r="V360" s="1"/>
      <c r="W360" s="1"/>
      <c r="X360" s="1"/>
      <c r="Y360" s="1"/>
      <c r="Z360" s="1"/>
    </row>
    <row r="361" spans="1:26" ht="24.75" customHeight="1">
      <c r="A361" s="1"/>
      <c r="B361" s="1"/>
      <c r="C361" s="1"/>
      <c r="D361" s="1"/>
      <c r="E361" s="1"/>
      <c r="F361" s="1"/>
      <c r="G361" s="1"/>
      <c r="H361" s="1"/>
      <c r="I361" s="1"/>
      <c r="J361" s="1"/>
      <c r="K361" s="1"/>
      <c r="L361" s="1"/>
      <c r="M361" s="1"/>
      <c r="N361" s="1"/>
      <c r="O361" s="1"/>
      <c r="P361" s="1"/>
      <c r="Q361" s="1"/>
      <c r="R361" s="1"/>
      <c r="S361" s="1"/>
      <c r="T361" s="1"/>
      <c r="U361" s="2"/>
      <c r="V361" s="1"/>
      <c r="W361" s="1"/>
      <c r="X361" s="1"/>
      <c r="Y361" s="1"/>
      <c r="Z361" s="1"/>
    </row>
    <row r="362" spans="1:26" ht="24.75" customHeight="1">
      <c r="A362" s="1"/>
      <c r="B362" s="1"/>
      <c r="C362" s="1"/>
      <c r="D362" s="1"/>
      <c r="E362" s="1"/>
      <c r="F362" s="1"/>
      <c r="G362" s="1"/>
      <c r="H362" s="1"/>
      <c r="I362" s="1"/>
      <c r="J362" s="1"/>
      <c r="K362" s="1"/>
      <c r="L362" s="1"/>
      <c r="M362" s="1"/>
      <c r="N362" s="1"/>
      <c r="O362" s="1"/>
      <c r="P362" s="1"/>
      <c r="Q362" s="1"/>
      <c r="R362" s="1"/>
      <c r="S362" s="1"/>
      <c r="T362" s="1"/>
      <c r="U362" s="2"/>
      <c r="V362" s="1"/>
      <c r="W362" s="1"/>
      <c r="X362" s="1"/>
      <c r="Y362" s="1"/>
      <c r="Z362" s="1"/>
    </row>
    <row r="363" spans="1:26" ht="24.75" customHeight="1">
      <c r="A363" s="1"/>
      <c r="B363" s="1"/>
      <c r="C363" s="1"/>
      <c r="D363" s="1"/>
      <c r="E363" s="1"/>
      <c r="F363" s="1"/>
      <c r="G363" s="1"/>
      <c r="H363" s="1"/>
      <c r="I363" s="1"/>
      <c r="J363" s="1"/>
      <c r="K363" s="1"/>
      <c r="L363" s="1"/>
      <c r="M363" s="1"/>
      <c r="N363" s="1"/>
      <c r="O363" s="1"/>
      <c r="P363" s="1"/>
      <c r="Q363" s="1"/>
      <c r="R363" s="1"/>
      <c r="S363" s="1"/>
      <c r="T363" s="1"/>
      <c r="U363" s="2"/>
      <c r="V363" s="1"/>
      <c r="W363" s="1"/>
      <c r="X363" s="1"/>
      <c r="Y363" s="1"/>
      <c r="Z363" s="1"/>
    </row>
    <row r="364" spans="1:26" ht="24.75" customHeight="1">
      <c r="A364" s="1"/>
      <c r="B364" s="1"/>
      <c r="C364" s="1"/>
      <c r="D364" s="1"/>
      <c r="E364" s="1"/>
      <c r="F364" s="1"/>
      <c r="G364" s="1"/>
      <c r="H364" s="1"/>
      <c r="I364" s="1"/>
      <c r="J364" s="1"/>
      <c r="K364" s="1"/>
      <c r="L364" s="1"/>
      <c r="M364" s="1"/>
      <c r="N364" s="1"/>
      <c r="O364" s="1"/>
      <c r="P364" s="1"/>
      <c r="Q364" s="1"/>
      <c r="R364" s="1"/>
      <c r="S364" s="1"/>
      <c r="T364" s="1"/>
      <c r="U364" s="2"/>
      <c r="V364" s="1"/>
      <c r="W364" s="1"/>
      <c r="X364" s="1"/>
      <c r="Y364" s="1"/>
      <c r="Z364" s="1"/>
    </row>
    <row r="365" spans="1:26" ht="24.75" customHeight="1">
      <c r="A365" s="1"/>
      <c r="B365" s="1"/>
      <c r="C365" s="1"/>
      <c r="D365" s="1"/>
      <c r="E365" s="1"/>
      <c r="F365" s="1"/>
      <c r="G365" s="1"/>
      <c r="H365" s="1"/>
      <c r="I365" s="1"/>
      <c r="J365" s="1"/>
      <c r="K365" s="1"/>
      <c r="L365" s="1"/>
      <c r="M365" s="1"/>
      <c r="N365" s="1"/>
      <c r="O365" s="1"/>
      <c r="P365" s="1"/>
      <c r="Q365" s="1"/>
      <c r="R365" s="1"/>
      <c r="S365" s="1"/>
      <c r="T365" s="1"/>
      <c r="U365" s="2"/>
      <c r="V365" s="1"/>
      <c r="W365" s="1"/>
      <c r="X365" s="1"/>
      <c r="Y365" s="1"/>
      <c r="Z365" s="1"/>
    </row>
    <row r="366" spans="1:26" ht="24.75" customHeight="1">
      <c r="A366" s="1"/>
      <c r="B366" s="1"/>
      <c r="C366" s="1"/>
      <c r="D366" s="1"/>
      <c r="E366" s="1"/>
      <c r="F366" s="1"/>
      <c r="G366" s="1"/>
      <c r="H366" s="1"/>
      <c r="I366" s="1"/>
      <c r="J366" s="1"/>
      <c r="K366" s="1"/>
      <c r="L366" s="1"/>
      <c r="M366" s="1"/>
      <c r="N366" s="1"/>
      <c r="O366" s="1"/>
      <c r="P366" s="1"/>
      <c r="Q366" s="1"/>
      <c r="R366" s="1"/>
      <c r="S366" s="1"/>
      <c r="T366" s="1"/>
      <c r="U366" s="2"/>
      <c r="V366" s="1"/>
      <c r="W366" s="1"/>
      <c r="X366" s="1"/>
      <c r="Y366" s="1"/>
      <c r="Z366" s="1"/>
    </row>
    <row r="367" spans="1:26" ht="24.75" customHeight="1">
      <c r="A367" s="1"/>
      <c r="B367" s="1"/>
      <c r="C367" s="1"/>
      <c r="D367" s="1"/>
      <c r="E367" s="1"/>
      <c r="F367" s="1"/>
      <c r="G367" s="1"/>
      <c r="H367" s="1"/>
      <c r="I367" s="1"/>
      <c r="J367" s="1"/>
      <c r="K367" s="1"/>
      <c r="L367" s="1"/>
      <c r="M367" s="1"/>
      <c r="N367" s="1"/>
      <c r="O367" s="1"/>
      <c r="P367" s="1"/>
      <c r="Q367" s="1"/>
      <c r="R367" s="1"/>
      <c r="S367" s="1"/>
      <c r="T367" s="1"/>
      <c r="U367" s="2"/>
      <c r="V367" s="1"/>
      <c r="W367" s="1"/>
      <c r="X367" s="1"/>
      <c r="Y367" s="1"/>
      <c r="Z367" s="1"/>
    </row>
    <row r="368" spans="1:26" ht="24.75" customHeight="1">
      <c r="A368" s="1"/>
      <c r="B368" s="1"/>
      <c r="C368" s="1"/>
      <c r="D368" s="1"/>
      <c r="E368" s="1"/>
      <c r="F368" s="1"/>
      <c r="G368" s="1"/>
      <c r="H368" s="1"/>
      <c r="I368" s="1"/>
      <c r="J368" s="1"/>
      <c r="K368" s="1"/>
      <c r="L368" s="1"/>
      <c r="M368" s="1"/>
      <c r="N368" s="1"/>
      <c r="O368" s="1"/>
      <c r="P368" s="1"/>
      <c r="Q368" s="1"/>
      <c r="R368" s="1"/>
      <c r="S368" s="1"/>
      <c r="T368" s="1"/>
      <c r="U368" s="2"/>
      <c r="V368" s="1"/>
      <c r="W368" s="1"/>
      <c r="X368" s="1"/>
      <c r="Y368" s="1"/>
      <c r="Z368" s="1"/>
    </row>
    <row r="369" spans="1:26" ht="24.75" customHeight="1">
      <c r="A369" s="1"/>
      <c r="B369" s="1"/>
      <c r="C369" s="1"/>
      <c r="D369" s="1"/>
      <c r="E369" s="1"/>
      <c r="F369" s="1"/>
      <c r="G369" s="1"/>
      <c r="H369" s="1"/>
      <c r="I369" s="1"/>
      <c r="J369" s="1"/>
      <c r="K369" s="1"/>
      <c r="L369" s="1"/>
      <c r="M369" s="1"/>
      <c r="N369" s="1"/>
      <c r="O369" s="1"/>
      <c r="P369" s="1"/>
      <c r="Q369" s="1"/>
      <c r="R369" s="1"/>
      <c r="S369" s="1"/>
      <c r="T369" s="1"/>
      <c r="U369" s="2"/>
      <c r="V369" s="1"/>
      <c r="W369" s="1"/>
      <c r="X369" s="1"/>
      <c r="Y369" s="1"/>
      <c r="Z369" s="1"/>
    </row>
    <row r="370" spans="1:26" ht="24.75" customHeight="1">
      <c r="A370" s="1"/>
      <c r="B370" s="1"/>
      <c r="C370" s="1"/>
      <c r="D370" s="1"/>
      <c r="E370" s="1"/>
      <c r="F370" s="1"/>
      <c r="G370" s="1"/>
      <c r="H370" s="1"/>
      <c r="I370" s="1"/>
      <c r="J370" s="1"/>
      <c r="K370" s="1"/>
      <c r="L370" s="1"/>
      <c r="M370" s="1"/>
      <c r="N370" s="1"/>
      <c r="O370" s="1"/>
      <c r="P370" s="1"/>
      <c r="Q370" s="1"/>
      <c r="R370" s="1"/>
      <c r="S370" s="1"/>
      <c r="T370" s="1"/>
      <c r="U370" s="2"/>
      <c r="V370" s="1"/>
      <c r="W370" s="1"/>
      <c r="X370" s="1"/>
      <c r="Y370" s="1"/>
      <c r="Z370" s="1"/>
    </row>
    <row r="371" spans="1:26" ht="24.75" customHeight="1">
      <c r="A371" s="1"/>
      <c r="B371" s="1"/>
      <c r="C371" s="1"/>
      <c r="D371" s="1"/>
      <c r="E371" s="1"/>
      <c r="F371" s="1"/>
      <c r="G371" s="1"/>
      <c r="H371" s="1"/>
      <c r="I371" s="1"/>
      <c r="J371" s="1"/>
      <c r="K371" s="1"/>
      <c r="L371" s="1"/>
      <c r="M371" s="1"/>
      <c r="N371" s="1"/>
      <c r="O371" s="1"/>
      <c r="P371" s="1"/>
      <c r="Q371" s="1"/>
      <c r="R371" s="1"/>
      <c r="S371" s="1"/>
      <c r="T371" s="1"/>
      <c r="U371" s="2"/>
      <c r="V371" s="1"/>
      <c r="W371" s="1"/>
      <c r="X371" s="1"/>
      <c r="Y371" s="1"/>
      <c r="Z371" s="1"/>
    </row>
    <row r="372" spans="1:26" ht="24.75" customHeight="1">
      <c r="A372" s="1"/>
      <c r="B372" s="1"/>
      <c r="C372" s="1"/>
      <c r="D372" s="1"/>
      <c r="E372" s="1"/>
      <c r="F372" s="1"/>
      <c r="G372" s="1"/>
      <c r="H372" s="1"/>
      <c r="I372" s="1"/>
      <c r="J372" s="1"/>
      <c r="K372" s="1"/>
      <c r="L372" s="1"/>
      <c r="M372" s="1"/>
      <c r="N372" s="1"/>
      <c r="O372" s="1"/>
      <c r="P372" s="1"/>
      <c r="Q372" s="1"/>
      <c r="R372" s="1"/>
      <c r="S372" s="1"/>
      <c r="T372" s="1"/>
      <c r="U372" s="2"/>
      <c r="V372" s="1"/>
      <c r="W372" s="1"/>
      <c r="X372" s="1"/>
      <c r="Y372" s="1"/>
      <c r="Z372" s="1"/>
    </row>
    <row r="373" spans="1:26" ht="24.75" customHeight="1">
      <c r="A373" s="1"/>
      <c r="B373" s="1"/>
      <c r="C373" s="1"/>
      <c r="D373" s="1"/>
      <c r="E373" s="1"/>
      <c r="F373" s="1"/>
      <c r="G373" s="1"/>
      <c r="H373" s="1"/>
      <c r="I373" s="1"/>
      <c r="J373" s="1"/>
      <c r="K373" s="1"/>
      <c r="L373" s="1"/>
      <c r="M373" s="1"/>
      <c r="N373" s="1"/>
      <c r="O373" s="1"/>
      <c r="P373" s="1"/>
      <c r="Q373" s="1"/>
      <c r="R373" s="1"/>
      <c r="S373" s="1"/>
      <c r="T373" s="1"/>
      <c r="U373" s="2"/>
      <c r="V373" s="1"/>
      <c r="W373" s="1"/>
      <c r="X373" s="1"/>
      <c r="Y373" s="1"/>
      <c r="Z373" s="1"/>
    </row>
    <row r="374" spans="1:26" ht="24.75" customHeight="1">
      <c r="A374" s="1"/>
      <c r="B374" s="1"/>
      <c r="C374" s="1"/>
      <c r="D374" s="1"/>
      <c r="E374" s="1"/>
      <c r="F374" s="1"/>
      <c r="G374" s="1"/>
      <c r="H374" s="1"/>
      <c r="I374" s="1"/>
      <c r="J374" s="1"/>
      <c r="K374" s="1"/>
      <c r="L374" s="1"/>
      <c r="M374" s="1"/>
      <c r="N374" s="1"/>
      <c r="O374" s="1"/>
      <c r="P374" s="1"/>
      <c r="Q374" s="1"/>
      <c r="R374" s="1"/>
      <c r="S374" s="1"/>
      <c r="T374" s="1"/>
      <c r="U374" s="2"/>
      <c r="V374" s="1"/>
      <c r="W374" s="1"/>
      <c r="X374" s="1"/>
      <c r="Y374" s="1"/>
      <c r="Z374" s="1"/>
    </row>
    <row r="375" spans="1:26" ht="24.75" customHeight="1">
      <c r="A375" s="1"/>
      <c r="B375" s="1"/>
      <c r="C375" s="1"/>
      <c r="D375" s="1"/>
      <c r="E375" s="1"/>
      <c r="F375" s="1"/>
      <c r="G375" s="1"/>
      <c r="H375" s="1"/>
      <c r="I375" s="1"/>
      <c r="J375" s="1"/>
      <c r="K375" s="1"/>
      <c r="L375" s="1"/>
      <c r="M375" s="1"/>
      <c r="N375" s="1"/>
      <c r="O375" s="1"/>
      <c r="P375" s="1"/>
      <c r="Q375" s="1"/>
      <c r="R375" s="1"/>
      <c r="S375" s="1"/>
      <c r="T375" s="1"/>
      <c r="U375" s="2"/>
      <c r="V375" s="1"/>
      <c r="W375" s="1"/>
      <c r="X375" s="1"/>
      <c r="Y375" s="1"/>
      <c r="Z375" s="1"/>
    </row>
    <row r="376" spans="1:26" ht="24.75" customHeight="1">
      <c r="A376" s="1"/>
      <c r="B376" s="1"/>
      <c r="C376" s="1"/>
      <c r="D376" s="1"/>
      <c r="E376" s="1"/>
      <c r="F376" s="1"/>
      <c r="G376" s="1"/>
      <c r="H376" s="1"/>
      <c r="I376" s="1"/>
      <c r="J376" s="1"/>
      <c r="K376" s="1"/>
      <c r="L376" s="1"/>
      <c r="M376" s="1"/>
      <c r="N376" s="1"/>
      <c r="O376" s="1"/>
      <c r="P376" s="1"/>
      <c r="Q376" s="1"/>
      <c r="R376" s="1"/>
      <c r="S376" s="1"/>
      <c r="T376" s="1"/>
      <c r="U376" s="2"/>
      <c r="V376" s="1"/>
      <c r="W376" s="1"/>
      <c r="X376" s="1"/>
      <c r="Y376" s="1"/>
      <c r="Z376" s="1"/>
    </row>
    <row r="377" spans="1:26" ht="24.75" customHeight="1">
      <c r="A377" s="1"/>
      <c r="B377" s="1"/>
      <c r="C377" s="1"/>
      <c r="D377" s="1"/>
      <c r="E377" s="1"/>
      <c r="F377" s="1"/>
      <c r="G377" s="1"/>
      <c r="H377" s="1"/>
      <c r="I377" s="1"/>
      <c r="J377" s="1"/>
      <c r="K377" s="1"/>
      <c r="L377" s="1"/>
      <c r="M377" s="1"/>
      <c r="N377" s="1"/>
      <c r="O377" s="1"/>
      <c r="P377" s="1"/>
      <c r="Q377" s="1"/>
      <c r="R377" s="1"/>
      <c r="S377" s="1"/>
      <c r="T377" s="1"/>
      <c r="U377" s="2"/>
      <c r="V377" s="1"/>
      <c r="W377" s="1"/>
      <c r="X377" s="1"/>
      <c r="Y377" s="1"/>
      <c r="Z377" s="1"/>
    </row>
    <row r="378" spans="1:26" ht="24.75" customHeight="1">
      <c r="A378" s="1"/>
      <c r="B378" s="1"/>
      <c r="C378" s="1"/>
      <c r="D378" s="1"/>
      <c r="E378" s="1"/>
      <c r="F378" s="1"/>
      <c r="G378" s="1"/>
      <c r="H378" s="1"/>
      <c r="I378" s="1"/>
      <c r="J378" s="1"/>
      <c r="K378" s="1"/>
      <c r="L378" s="1"/>
      <c r="M378" s="1"/>
      <c r="N378" s="1"/>
      <c r="O378" s="1"/>
      <c r="P378" s="1"/>
      <c r="Q378" s="1"/>
      <c r="R378" s="1"/>
      <c r="S378" s="1"/>
      <c r="T378" s="1"/>
      <c r="U378" s="2"/>
      <c r="V378" s="1"/>
      <c r="W378" s="1"/>
      <c r="X378" s="1"/>
      <c r="Y378" s="1"/>
      <c r="Z378" s="1"/>
    </row>
    <row r="379" spans="1:26" ht="24.75" customHeight="1">
      <c r="A379" s="1"/>
      <c r="B379" s="1"/>
      <c r="C379" s="1"/>
      <c r="D379" s="1"/>
      <c r="E379" s="1"/>
      <c r="F379" s="1"/>
      <c r="G379" s="1"/>
      <c r="H379" s="1"/>
      <c r="I379" s="1"/>
      <c r="J379" s="1"/>
      <c r="K379" s="1"/>
      <c r="L379" s="1"/>
      <c r="M379" s="1"/>
      <c r="N379" s="1"/>
      <c r="O379" s="1"/>
      <c r="P379" s="1"/>
      <c r="Q379" s="1"/>
      <c r="R379" s="1"/>
      <c r="S379" s="1"/>
      <c r="T379" s="1"/>
      <c r="U379" s="2"/>
      <c r="V379" s="1"/>
      <c r="W379" s="1"/>
      <c r="X379" s="1"/>
      <c r="Y379" s="1"/>
      <c r="Z379" s="1"/>
    </row>
    <row r="380" spans="1:26" ht="24.75" customHeight="1">
      <c r="A380" s="1"/>
      <c r="B380" s="1"/>
      <c r="C380" s="1"/>
      <c r="D380" s="1"/>
      <c r="E380" s="1"/>
      <c r="F380" s="1"/>
      <c r="G380" s="1"/>
      <c r="H380" s="1"/>
      <c r="I380" s="1"/>
      <c r="J380" s="1"/>
      <c r="K380" s="1"/>
      <c r="L380" s="1"/>
      <c r="M380" s="1"/>
      <c r="N380" s="1"/>
      <c r="O380" s="1"/>
      <c r="P380" s="1"/>
      <c r="Q380" s="1"/>
      <c r="R380" s="1"/>
      <c r="S380" s="1"/>
      <c r="T380" s="1"/>
      <c r="U380" s="2"/>
      <c r="V380" s="1"/>
      <c r="W380" s="1"/>
      <c r="X380" s="1"/>
      <c r="Y380" s="1"/>
      <c r="Z380" s="1"/>
    </row>
    <row r="381" spans="1:26" ht="24.75" customHeight="1">
      <c r="A381" s="1"/>
      <c r="B381" s="1"/>
      <c r="C381" s="1"/>
      <c r="D381" s="1"/>
      <c r="E381" s="1"/>
      <c r="F381" s="1"/>
      <c r="G381" s="1"/>
      <c r="H381" s="1"/>
      <c r="I381" s="1"/>
      <c r="J381" s="1"/>
      <c r="K381" s="1"/>
      <c r="L381" s="1"/>
      <c r="M381" s="1"/>
      <c r="N381" s="1"/>
      <c r="O381" s="1"/>
      <c r="P381" s="1"/>
      <c r="Q381" s="1"/>
      <c r="R381" s="1"/>
      <c r="S381" s="1"/>
      <c r="T381" s="1"/>
      <c r="U381" s="2"/>
      <c r="V381" s="1"/>
      <c r="W381" s="1"/>
      <c r="X381" s="1"/>
      <c r="Y381" s="1"/>
      <c r="Z381" s="1"/>
    </row>
    <row r="382" spans="1:26" ht="24.75" customHeight="1">
      <c r="A382" s="1"/>
      <c r="B382" s="1"/>
      <c r="C382" s="1"/>
      <c r="D382" s="1"/>
      <c r="E382" s="1"/>
      <c r="F382" s="1"/>
      <c r="G382" s="1"/>
      <c r="H382" s="1"/>
      <c r="I382" s="1"/>
      <c r="J382" s="1"/>
      <c r="K382" s="1"/>
      <c r="L382" s="1"/>
      <c r="M382" s="1"/>
      <c r="N382" s="1"/>
      <c r="O382" s="1"/>
      <c r="P382" s="1"/>
      <c r="Q382" s="1"/>
      <c r="R382" s="1"/>
      <c r="S382" s="1"/>
      <c r="T382" s="1"/>
      <c r="U382" s="2"/>
      <c r="V382" s="1"/>
      <c r="W382" s="1"/>
      <c r="X382" s="1"/>
      <c r="Y382" s="1"/>
      <c r="Z382" s="1"/>
    </row>
    <row r="383" spans="1:26" ht="24.75" customHeight="1">
      <c r="A383" s="1"/>
      <c r="B383" s="1"/>
      <c r="C383" s="1"/>
      <c r="D383" s="1"/>
      <c r="E383" s="1"/>
      <c r="F383" s="1"/>
      <c r="G383" s="1"/>
      <c r="H383" s="1"/>
      <c r="I383" s="1"/>
      <c r="J383" s="1"/>
      <c r="K383" s="1"/>
      <c r="L383" s="1"/>
      <c r="M383" s="1"/>
      <c r="N383" s="1"/>
      <c r="O383" s="1"/>
      <c r="P383" s="1"/>
      <c r="Q383" s="1"/>
      <c r="R383" s="1"/>
      <c r="S383" s="1"/>
      <c r="T383" s="1"/>
      <c r="U383" s="2"/>
      <c r="V383" s="1"/>
      <c r="W383" s="1"/>
      <c r="X383" s="1"/>
      <c r="Y383" s="1"/>
      <c r="Z383" s="1"/>
    </row>
    <row r="384" spans="1:26" ht="24.75" customHeight="1">
      <c r="A384" s="1"/>
      <c r="B384" s="1"/>
      <c r="C384" s="1"/>
      <c r="D384" s="1"/>
      <c r="E384" s="1"/>
      <c r="F384" s="1"/>
      <c r="G384" s="1"/>
      <c r="H384" s="1"/>
      <c r="I384" s="1"/>
      <c r="J384" s="1"/>
      <c r="K384" s="1"/>
      <c r="L384" s="1"/>
      <c r="M384" s="1"/>
      <c r="N384" s="1"/>
      <c r="O384" s="1"/>
      <c r="P384" s="1"/>
      <c r="Q384" s="1"/>
      <c r="R384" s="1"/>
      <c r="S384" s="1"/>
      <c r="T384" s="1"/>
      <c r="U384" s="2"/>
      <c r="V384" s="1"/>
      <c r="W384" s="1"/>
      <c r="X384" s="1"/>
      <c r="Y384" s="1"/>
      <c r="Z384" s="1"/>
    </row>
    <row r="385" spans="1:26" ht="24.75" customHeight="1">
      <c r="A385" s="1"/>
      <c r="B385" s="1"/>
      <c r="C385" s="1"/>
      <c r="D385" s="1"/>
      <c r="E385" s="1"/>
      <c r="F385" s="1"/>
      <c r="G385" s="1"/>
      <c r="H385" s="1"/>
      <c r="I385" s="1"/>
      <c r="J385" s="1"/>
      <c r="K385" s="1"/>
      <c r="L385" s="1"/>
      <c r="M385" s="1"/>
      <c r="N385" s="1"/>
      <c r="O385" s="1"/>
      <c r="P385" s="1"/>
      <c r="Q385" s="1"/>
      <c r="R385" s="1"/>
      <c r="S385" s="1"/>
      <c r="T385" s="1"/>
      <c r="U385" s="2"/>
      <c r="V385" s="1"/>
      <c r="W385" s="1"/>
      <c r="X385" s="1"/>
      <c r="Y385" s="1"/>
      <c r="Z385" s="1"/>
    </row>
    <row r="386" spans="1:26" ht="24.75" customHeight="1">
      <c r="A386" s="1"/>
      <c r="B386" s="1"/>
      <c r="C386" s="1"/>
      <c r="D386" s="1"/>
      <c r="E386" s="1"/>
      <c r="F386" s="1"/>
      <c r="G386" s="1"/>
      <c r="H386" s="1"/>
      <c r="I386" s="1"/>
      <c r="J386" s="1"/>
      <c r="K386" s="1"/>
      <c r="L386" s="1"/>
      <c r="M386" s="1"/>
      <c r="N386" s="1"/>
      <c r="O386" s="1"/>
      <c r="P386" s="1"/>
      <c r="Q386" s="1"/>
      <c r="R386" s="1"/>
      <c r="S386" s="1"/>
      <c r="T386" s="1"/>
      <c r="U386" s="2"/>
      <c r="V386" s="1"/>
      <c r="W386" s="1"/>
      <c r="X386" s="1"/>
      <c r="Y386" s="1"/>
      <c r="Z386" s="1"/>
    </row>
    <row r="387" spans="1:26" ht="24.75" customHeight="1">
      <c r="A387" s="1"/>
      <c r="B387" s="1"/>
      <c r="C387" s="1"/>
      <c r="D387" s="1"/>
      <c r="E387" s="1"/>
      <c r="F387" s="1"/>
      <c r="G387" s="1"/>
      <c r="H387" s="1"/>
      <c r="I387" s="1"/>
      <c r="J387" s="1"/>
      <c r="K387" s="1"/>
      <c r="L387" s="1"/>
      <c r="M387" s="1"/>
      <c r="N387" s="1"/>
      <c r="O387" s="1"/>
      <c r="P387" s="1"/>
      <c r="Q387" s="1"/>
      <c r="R387" s="1"/>
      <c r="S387" s="1"/>
      <c r="T387" s="1"/>
      <c r="U387" s="2"/>
      <c r="V387" s="1"/>
      <c r="W387" s="1"/>
      <c r="X387" s="1"/>
      <c r="Y387" s="1"/>
      <c r="Z387" s="1"/>
    </row>
    <row r="388" spans="1:26" ht="24.75" customHeight="1">
      <c r="A388" s="1"/>
      <c r="B388" s="1"/>
      <c r="C388" s="1"/>
      <c r="D388" s="1"/>
      <c r="E388" s="1"/>
      <c r="F388" s="1"/>
      <c r="G388" s="1"/>
      <c r="H388" s="1"/>
      <c r="I388" s="1"/>
      <c r="J388" s="1"/>
      <c r="K388" s="1"/>
      <c r="L388" s="1"/>
      <c r="M388" s="1"/>
      <c r="N388" s="1"/>
      <c r="O388" s="1"/>
      <c r="P388" s="1"/>
      <c r="Q388" s="1"/>
      <c r="R388" s="1"/>
      <c r="S388" s="1"/>
      <c r="T388" s="1"/>
      <c r="U388" s="2"/>
      <c r="V388" s="1"/>
      <c r="W388" s="1"/>
      <c r="X388" s="1"/>
      <c r="Y388" s="1"/>
      <c r="Z388" s="1"/>
    </row>
    <row r="389" spans="1:26" ht="24.75" customHeight="1">
      <c r="A389" s="1"/>
      <c r="B389" s="1"/>
      <c r="C389" s="1"/>
      <c r="D389" s="1"/>
      <c r="E389" s="1"/>
      <c r="F389" s="1"/>
      <c r="G389" s="1"/>
      <c r="H389" s="1"/>
      <c r="I389" s="1"/>
      <c r="J389" s="1"/>
      <c r="K389" s="1"/>
      <c r="L389" s="1"/>
      <c r="M389" s="1"/>
      <c r="N389" s="1"/>
      <c r="O389" s="1"/>
      <c r="P389" s="1"/>
      <c r="Q389" s="1"/>
      <c r="R389" s="1"/>
      <c r="S389" s="1"/>
      <c r="T389" s="1"/>
      <c r="U389" s="2"/>
      <c r="V389" s="1"/>
      <c r="W389" s="1"/>
      <c r="X389" s="1"/>
      <c r="Y389" s="1"/>
      <c r="Z389" s="1"/>
    </row>
    <row r="390" spans="1:26" ht="24.75" customHeight="1">
      <c r="A390" s="1"/>
      <c r="B390" s="1"/>
      <c r="C390" s="1"/>
      <c r="D390" s="1"/>
      <c r="E390" s="1"/>
      <c r="F390" s="1"/>
      <c r="G390" s="1"/>
      <c r="H390" s="1"/>
      <c r="I390" s="1"/>
      <c r="J390" s="1"/>
      <c r="K390" s="1"/>
      <c r="L390" s="1"/>
      <c r="M390" s="1"/>
      <c r="N390" s="1"/>
      <c r="O390" s="1"/>
      <c r="P390" s="1"/>
      <c r="Q390" s="1"/>
      <c r="R390" s="1"/>
      <c r="S390" s="1"/>
      <c r="T390" s="1"/>
      <c r="U390" s="2"/>
      <c r="V390" s="1"/>
      <c r="W390" s="1"/>
      <c r="X390" s="1"/>
      <c r="Y390" s="1"/>
      <c r="Z390" s="1"/>
    </row>
    <row r="391" spans="1:26" ht="24.75" customHeight="1">
      <c r="A391" s="1"/>
      <c r="B391" s="1"/>
      <c r="C391" s="1"/>
      <c r="D391" s="1"/>
      <c r="E391" s="1"/>
      <c r="F391" s="1"/>
      <c r="G391" s="1"/>
      <c r="H391" s="1"/>
      <c r="I391" s="1"/>
      <c r="J391" s="1"/>
      <c r="K391" s="1"/>
      <c r="L391" s="1"/>
      <c r="M391" s="1"/>
      <c r="N391" s="1"/>
      <c r="O391" s="1"/>
      <c r="P391" s="1"/>
      <c r="Q391" s="1"/>
      <c r="R391" s="1"/>
      <c r="S391" s="1"/>
      <c r="T391" s="1"/>
      <c r="U391" s="2"/>
      <c r="V391" s="1"/>
      <c r="W391" s="1"/>
      <c r="X391" s="1"/>
      <c r="Y391" s="1"/>
      <c r="Z391" s="1"/>
    </row>
    <row r="392" spans="1:26" ht="24.75" customHeight="1">
      <c r="A392" s="1"/>
      <c r="B392" s="1"/>
      <c r="C392" s="1"/>
      <c r="D392" s="1"/>
      <c r="E392" s="1"/>
      <c r="F392" s="1"/>
      <c r="G392" s="1"/>
      <c r="H392" s="1"/>
      <c r="I392" s="1"/>
      <c r="J392" s="1"/>
      <c r="K392" s="1"/>
      <c r="L392" s="1"/>
      <c r="M392" s="1"/>
      <c r="N392" s="1"/>
      <c r="O392" s="1"/>
      <c r="P392" s="1"/>
      <c r="Q392" s="1"/>
      <c r="R392" s="1"/>
      <c r="S392" s="1"/>
      <c r="T392" s="1"/>
      <c r="U392" s="2"/>
      <c r="V392" s="1"/>
      <c r="W392" s="1"/>
      <c r="X392" s="1"/>
      <c r="Y392" s="1"/>
      <c r="Z392" s="1"/>
    </row>
    <row r="393" spans="1:26" ht="24.75" customHeight="1">
      <c r="A393" s="1"/>
      <c r="B393" s="1"/>
      <c r="C393" s="1"/>
      <c r="D393" s="1"/>
      <c r="E393" s="1"/>
      <c r="F393" s="1"/>
      <c r="G393" s="1"/>
      <c r="H393" s="1"/>
      <c r="I393" s="1"/>
      <c r="J393" s="1"/>
      <c r="K393" s="1"/>
      <c r="L393" s="1"/>
      <c r="M393" s="1"/>
      <c r="N393" s="1"/>
      <c r="O393" s="1"/>
      <c r="P393" s="1"/>
      <c r="Q393" s="1"/>
      <c r="R393" s="1"/>
      <c r="S393" s="1"/>
      <c r="T393" s="1"/>
      <c r="U393" s="2"/>
      <c r="V393" s="1"/>
      <c r="W393" s="1"/>
      <c r="X393" s="1"/>
      <c r="Y393" s="1"/>
      <c r="Z393" s="1"/>
    </row>
    <row r="394" spans="1:26" ht="24.75" customHeight="1">
      <c r="A394" s="1"/>
      <c r="B394" s="1"/>
      <c r="C394" s="1"/>
      <c r="D394" s="1"/>
      <c r="E394" s="1"/>
      <c r="F394" s="1"/>
      <c r="G394" s="1"/>
      <c r="H394" s="1"/>
      <c r="I394" s="1"/>
      <c r="J394" s="1"/>
      <c r="K394" s="1"/>
      <c r="L394" s="1"/>
      <c r="M394" s="1"/>
      <c r="N394" s="1"/>
      <c r="O394" s="1"/>
      <c r="P394" s="1"/>
      <c r="Q394" s="1"/>
      <c r="R394" s="1"/>
      <c r="S394" s="1"/>
      <c r="T394" s="1"/>
      <c r="U394" s="2"/>
      <c r="V394" s="1"/>
      <c r="W394" s="1"/>
      <c r="X394" s="1"/>
      <c r="Y394" s="1"/>
      <c r="Z394" s="1"/>
    </row>
    <row r="395" spans="1:26" ht="24.75" customHeight="1">
      <c r="A395" s="1"/>
      <c r="B395" s="1"/>
      <c r="C395" s="1"/>
      <c r="D395" s="1"/>
      <c r="E395" s="1"/>
      <c r="F395" s="1"/>
      <c r="G395" s="1"/>
      <c r="H395" s="1"/>
      <c r="I395" s="1"/>
      <c r="J395" s="1"/>
      <c r="K395" s="1"/>
      <c r="L395" s="1"/>
      <c r="M395" s="1"/>
      <c r="N395" s="1"/>
      <c r="O395" s="1"/>
      <c r="P395" s="1"/>
      <c r="Q395" s="1"/>
      <c r="R395" s="1"/>
      <c r="S395" s="1"/>
      <c r="T395" s="1"/>
      <c r="U395" s="2"/>
      <c r="V395" s="1"/>
      <c r="W395" s="1"/>
      <c r="X395" s="1"/>
      <c r="Y395" s="1"/>
      <c r="Z395" s="1"/>
    </row>
    <row r="396" spans="1:26" ht="24.75" customHeight="1">
      <c r="A396" s="1"/>
      <c r="B396" s="1"/>
      <c r="C396" s="1"/>
      <c r="D396" s="1"/>
      <c r="E396" s="1"/>
      <c r="F396" s="1"/>
      <c r="G396" s="1"/>
      <c r="H396" s="1"/>
      <c r="I396" s="1"/>
      <c r="J396" s="1"/>
      <c r="K396" s="1"/>
      <c r="L396" s="1"/>
      <c r="M396" s="1"/>
      <c r="N396" s="1"/>
      <c r="O396" s="1"/>
      <c r="P396" s="1"/>
      <c r="Q396" s="1"/>
      <c r="R396" s="1"/>
      <c r="S396" s="1"/>
      <c r="T396" s="1"/>
      <c r="U396" s="2"/>
      <c r="V396" s="1"/>
      <c r="W396" s="1"/>
      <c r="X396" s="1"/>
      <c r="Y396" s="1"/>
      <c r="Z396" s="1"/>
    </row>
    <row r="397" spans="1:26" ht="24.75" customHeight="1">
      <c r="A397" s="1"/>
      <c r="B397" s="1"/>
      <c r="C397" s="1"/>
      <c r="D397" s="1"/>
      <c r="E397" s="1"/>
      <c r="F397" s="1"/>
      <c r="G397" s="1"/>
      <c r="H397" s="1"/>
      <c r="I397" s="1"/>
      <c r="J397" s="1"/>
      <c r="K397" s="1"/>
      <c r="L397" s="1"/>
      <c r="M397" s="1"/>
      <c r="N397" s="1"/>
      <c r="O397" s="1"/>
      <c r="P397" s="1"/>
      <c r="Q397" s="1"/>
      <c r="R397" s="1"/>
      <c r="S397" s="1"/>
      <c r="T397" s="1"/>
      <c r="U397" s="2"/>
      <c r="V397" s="1"/>
      <c r="W397" s="1"/>
      <c r="X397" s="1"/>
      <c r="Y397" s="1"/>
      <c r="Z397" s="1"/>
    </row>
    <row r="398" spans="1:26" ht="24.75" customHeight="1">
      <c r="A398" s="1"/>
      <c r="B398" s="1"/>
      <c r="C398" s="1"/>
      <c r="D398" s="1"/>
      <c r="E398" s="1"/>
      <c r="F398" s="1"/>
      <c r="G398" s="1"/>
      <c r="H398" s="1"/>
      <c r="I398" s="1"/>
      <c r="J398" s="1"/>
      <c r="K398" s="1"/>
      <c r="L398" s="1"/>
      <c r="M398" s="1"/>
      <c r="N398" s="1"/>
      <c r="O398" s="1"/>
      <c r="P398" s="1"/>
      <c r="Q398" s="1"/>
      <c r="R398" s="1"/>
      <c r="S398" s="1"/>
      <c r="T398" s="1"/>
      <c r="U398" s="2"/>
      <c r="V398" s="1"/>
      <c r="W398" s="1"/>
      <c r="X398" s="1"/>
      <c r="Y398" s="1"/>
      <c r="Z398" s="1"/>
    </row>
    <row r="399" spans="1:26" ht="24.75" customHeight="1">
      <c r="A399" s="1"/>
      <c r="B399" s="1"/>
      <c r="C399" s="1"/>
      <c r="D399" s="1"/>
      <c r="E399" s="1"/>
      <c r="F399" s="1"/>
      <c r="G399" s="1"/>
      <c r="H399" s="1"/>
      <c r="I399" s="1"/>
      <c r="J399" s="1"/>
      <c r="K399" s="1"/>
      <c r="L399" s="1"/>
      <c r="M399" s="1"/>
      <c r="N399" s="1"/>
      <c r="O399" s="1"/>
      <c r="P399" s="1"/>
      <c r="Q399" s="1"/>
      <c r="R399" s="1"/>
      <c r="S399" s="1"/>
      <c r="T399" s="1"/>
      <c r="U399" s="2"/>
      <c r="V399" s="1"/>
      <c r="W399" s="1"/>
      <c r="X399" s="1"/>
      <c r="Y399" s="1"/>
      <c r="Z399" s="1"/>
    </row>
    <row r="400" spans="1:26" ht="24.75" customHeight="1">
      <c r="A400" s="1"/>
      <c r="B400" s="1"/>
      <c r="C400" s="1"/>
      <c r="D400" s="1"/>
      <c r="E400" s="1"/>
      <c r="F400" s="1"/>
      <c r="G400" s="1"/>
      <c r="H400" s="1"/>
      <c r="I400" s="1"/>
      <c r="J400" s="1"/>
      <c r="K400" s="1"/>
      <c r="L400" s="1"/>
      <c r="M400" s="1"/>
      <c r="N400" s="1"/>
      <c r="O400" s="1"/>
      <c r="P400" s="1"/>
      <c r="Q400" s="1"/>
      <c r="R400" s="1"/>
      <c r="S400" s="1"/>
      <c r="T400" s="1"/>
      <c r="U400" s="2"/>
      <c r="V400" s="1"/>
      <c r="W400" s="1"/>
      <c r="X400" s="1"/>
      <c r="Y400" s="1"/>
      <c r="Z400" s="1"/>
    </row>
    <row r="401" spans="1:26" ht="24.75" customHeight="1">
      <c r="A401" s="1"/>
      <c r="B401" s="1"/>
      <c r="C401" s="1"/>
      <c r="D401" s="1"/>
      <c r="E401" s="1"/>
      <c r="F401" s="1"/>
      <c r="G401" s="1"/>
      <c r="H401" s="1"/>
      <c r="I401" s="1"/>
      <c r="J401" s="1"/>
      <c r="K401" s="1"/>
      <c r="L401" s="1"/>
      <c r="M401" s="1"/>
      <c r="N401" s="1"/>
      <c r="O401" s="1"/>
      <c r="P401" s="1"/>
      <c r="Q401" s="1"/>
      <c r="R401" s="1"/>
      <c r="S401" s="1"/>
      <c r="T401" s="1"/>
      <c r="U401" s="2"/>
      <c r="V401" s="1"/>
      <c r="W401" s="1"/>
      <c r="X401" s="1"/>
      <c r="Y401" s="1"/>
      <c r="Z401" s="1"/>
    </row>
    <row r="402" spans="1:26" ht="24.75" customHeight="1">
      <c r="A402" s="1"/>
      <c r="B402" s="1"/>
      <c r="C402" s="1"/>
      <c r="D402" s="1"/>
      <c r="E402" s="1"/>
      <c r="F402" s="1"/>
      <c r="G402" s="1"/>
      <c r="H402" s="1"/>
      <c r="I402" s="1"/>
      <c r="J402" s="1"/>
      <c r="K402" s="1"/>
      <c r="L402" s="1"/>
      <c r="M402" s="1"/>
      <c r="N402" s="1"/>
      <c r="O402" s="1"/>
      <c r="P402" s="1"/>
      <c r="Q402" s="1"/>
      <c r="R402" s="1"/>
      <c r="S402" s="1"/>
      <c r="T402" s="1"/>
      <c r="U402" s="2"/>
      <c r="V402" s="1"/>
      <c r="W402" s="1"/>
      <c r="X402" s="1"/>
      <c r="Y402" s="1"/>
      <c r="Z402" s="1"/>
    </row>
    <row r="403" spans="1:26" ht="24.75" customHeight="1">
      <c r="A403" s="1"/>
      <c r="B403" s="1"/>
      <c r="C403" s="1"/>
      <c r="D403" s="1"/>
      <c r="E403" s="1"/>
      <c r="F403" s="1"/>
      <c r="G403" s="1"/>
      <c r="H403" s="1"/>
      <c r="I403" s="1"/>
      <c r="J403" s="1"/>
      <c r="K403" s="1"/>
      <c r="L403" s="1"/>
      <c r="M403" s="1"/>
      <c r="N403" s="1"/>
      <c r="O403" s="1"/>
      <c r="P403" s="1"/>
      <c r="Q403" s="1"/>
      <c r="R403" s="1"/>
      <c r="S403" s="1"/>
      <c r="T403" s="1"/>
      <c r="U403" s="2"/>
      <c r="V403" s="1"/>
      <c r="W403" s="1"/>
      <c r="X403" s="1"/>
      <c r="Y403" s="1"/>
      <c r="Z403" s="1"/>
    </row>
    <row r="404" spans="1:26" ht="24.75" customHeight="1">
      <c r="A404" s="1"/>
      <c r="B404" s="1"/>
      <c r="C404" s="1"/>
      <c r="D404" s="1"/>
      <c r="E404" s="1"/>
      <c r="F404" s="1"/>
      <c r="G404" s="1"/>
      <c r="H404" s="1"/>
      <c r="I404" s="1"/>
      <c r="J404" s="1"/>
      <c r="K404" s="1"/>
      <c r="L404" s="1"/>
      <c r="M404" s="1"/>
      <c r="N404" s="1"/>
      <c r="O404" s="1"/>
      <c r="P404" s="1"/>
      <c r="Q404" s="1"/>
      <c r="R404" s="1"/>
      <c r="S404" s="1"/>
      <c r="T404" s="1"/>
      <c r="U404" s="2"/>
      <c r="V404" s="1"/>
      <c r="W404" s="1"/>
      <c r="X404" s="1"/>
      <c r="Y404" s="1"/>
      <c r="Z404" s="1"/>
    </row>
    <row r="405" spans="1:26" ht="24.75" customHeight="1">
      <c r="A405" s="1"/>
      <c r="B405" s="1"/>
      <c r="C405" s="1"/>
      <c r="D405" s="1"/>
      <c r="E405" s="1"/>
      <c r="F405" s="1"/>
      <c r="G405" s="1"/>
      <c r="H405" s="1"/>
      <c r="I405" s="1"/>
      <c r="J405" s="1"/>
      <c r="K405" s="1"/>
      <c r="L405" s="1"/>
      <c r="M405" s="1"/>
      <c r="N405" s="1"/>
      <c r="O405" s="1"/>
      <c r="P405" s="1"/>
      <c r="Q405" s="1"/>
      <c r="R405" s="1"/>
      <c r="S405" s="1"/>
      <c r="T405" s="1"/>
      <c r="U405" s="2"/>
      <c r="V405" s="1"/>
      <c r="W405" s="1"/>
      <c r="X405" s="1"/>
      <c r="Y405" s="1"/>
      <c r="Z405" s="1"/>
    </row>
    <row r="406" spans="1:26" ht="24.75" customHeight="1">
      <c r="A406" s="1"/>
      <c r="B406" s="1"/>
      <c r="C406" s="1"/>
      <c r="D406" s="1"/>
      <c r="E406" s="1"/>
      <c r="F406" s="1"/>
      <c r="G406" s="1"/>
      <c r="H406" s="1"/>
      <c r="I406" s="1"/>
      <c r="J406" s="1"/>
      <c r="K406" s="1"/>
      <c r="L406" s="1"/>
      <c r="M406" s="1"/>
      <c r="N406" s="1"/>
      <c r="O406" s="1"/>
      <c r="P406" s="1"/>
      <c r="Q406" s="1"/>
      <c r="R406" s="1"/>
      <c r="S406" s="1"/>
      <c r="T406" s="1"/>
      <c r="U406" s="2"/>
      <c r="V406" s="1"/>
      <c r="W406" s="1"/>
      <c r="X406" s="1"/>
      <c r="Y406" s="1"/>
      <c r="Z406" s="1"/>
    </row>
    <row r="407" spans="1:26" ht="24.75" customHeight="1">
      <c r="A407" s="1"/>
      <c r="B407" s="1"/>
      <c r="C407" s="1"/>
      <c r="D407" s="1"/>
      <c r="E407" s="1"/>
      <c r="F407" s="1"/>
      <c r="G407" s="1"/>
      <c r="H407" s="1"/>
      <c r="I407" s="1"/>
      <c r="J407" s="1"/>
      <c r="K407" s="1"/>
      <c r="L407" s="1"/>
      <c r="M407" s="1"/>
      <c r="N407" s="1"/>
      <c r="O407" s="1"/>
      <c r="P407" s="1"/>
      <c r="Q407" s="1"/>
      <c r="R407" s="1"/>
      <c r="S407" s="1"/>
      <c r="T407" s="1"/>
      <c r="U407" s="2"/>
      <c r="V407" s="1"/>
      <c r="W407" s="1"/>
      <c r="X407" s="1"/>
      <c r="Y407" s="1"/>
      <c r="Z407" s="1"/>
    </row>
    <row r="408" spans="1:26" ht="24.75" customHeight="1">
      <c r="A408" s="1"/>
      <c r="B408" s="1"/>
      <c r="C408" s="1"/>
      <c r="D408" s="1"/>
      <c r="E408" s="1"/>
      <c r="F408" s="1"/>
      <c r="G408" s="1"/>
      <c r="H408" s="1"/>
      <c r="I408" s="1"/>
      <c r="J408" s="1"/>
      <c r="K408" s="1"/>
      <c r="L408" s="1"/>
      <c r="M408" s="1"/>
      <c r="N408" s="1"/>
      <c r="O408" s="1"/>
      <c r="P408" s="1"/>
      <c r="Q408" s="1"/>
      <c r="R408" s="1"/>
      <c r="S408" s="1"/>
      <c r="T408" s="1"/>
      <c r="U408" s="2"/>
      <c r="V408" s="1"/>
      <c r="W408" s="1"/>
      <c r="X408" s="1"/>
      <c r="Y408" s="1"/>
      <c r="Z408" s="1"/>
    </row>
    <row r="409" spans="1:26" ht="24.75" customHeight="1">
      <c r="A409" s="1"/>
      <c r="B409" s="1"/>
      <c r="C409" s="1"/>
      <c r="D409" s="1"/>
      <c r="E409" s="1"/>
      <c r="F409" s="1"/>
      <c r="G409" s="1"/>
      <c r="H409" s="1"/>
      <c r="I409" s="1"/>
      <c r="J409" s="1"/>
      <c r="K409" s="1"/>
      <c r="L409" s="1"/>
      <c r="M409" s="1"/>
      <c r="N409" s="1"/>
      <c r="O409" s="1"/>
      <c r="P409" s="1"/>
      <c r="Q409" s="1"/>
      <c r="R409" s="1"/>
      <c r="S409" s="1"/>
      <c r="T409" s="1"/>
      <c r="U409" s="2"/>
      <c r="V409" s="1"/>
      <c r="W409" s="1"/>
      <c r="X409" s="1"/>
      <c r="Y409" s="1"/>
      <c r="Z409" s="1"/>
    </row>
    <row r="410" spans="1:26" ht="24.75" customHeight="1">
      <c r="A410" s="1"/>
      <c r="B410" s="1"/>
      <c r="C410" s="1"/>
      <c r="D410" s="1"/>
      <c r="E410" s="1"/>
      <c r="F410" s="1"/>
      <c r="G410" s="1"/>
      <c r="H410" s="1"/>
      <c r="I410" s="1"/>
      <c r="J410" s="1"/>
      <c r="K410" s="1"/>
      <c r="L410" s="1"/>
      <c r="M410" s="1"/>
      <c r="N410" s="1"/>
      <c r="O410" s="1"/>
      <c r="P410" s="1"/>
      <c r="Q410" s="1"/>
      <c r="R410" s="1"/>
      <c r="S410" s="1"/>
      <c r="T410" s="1"/>
      <c r="U410" s="2"/>
      <c r="V410" s="1"/>
      <c r="W410" s="1"/>
      <c r="X410" s="1"/>
      <c r="Y410" s="1"/>
      <c r="Z410" s="1"/>
    </row>
    <row r="411" spans="1:26" ht="24.75" customHeight="1">
      <c r="A411" s="1"/>
      <c r="B411" s="1"/>
      <c r="C411" s="1"/>
      <c r="D411" s="1"/>
      <c r="E411" s="1"/>
      <c r="F411" s="1"/>
      <c r="G411" s="1"/>
      <c r="H411" s="1"/>
      <c r="I411" s="1"/>
      <c r="J411" s="1"/>
      <c r="K411" s="1"/>
      <c r="L411" s="1"/>
      <c r="M411" s="1"/>
      <c r="N411" s="1"/>
      <c r="O411" s="1"/>
      <c r="P411" s="1"/>
      <c r="Q411" s="1"/>
      <c r="R411" s="1"/>
      <c r="S411" s="1"/>
      <c r="T411" s="1"/>
      <c r="U411" s="2"/>
      <c r="V411" s="1"/>
      <c r="W411" s="1"/>
      <c r="X411" s="1"/>
      <c r="Y411" s="1"/>
      <c r="Z411" s="1"/>
    </row>
    <row r="412" spans="1:26" ht="24.75" customHeight="1">
      <c r="A412" s="1"/>
      <c r="B412" s="1"/>
      <c r="C412" s="1"/>
      <c r="D412" s="1"/>
      <c r="E412" s="1"/>
      <c r="F412" s="1"/>
      <c r="G412" s="1"/>
      <c r="H412" s="1"/>
      <c r="I412" s="1"/>
      <c r="J412" s="1"/>
      <c r="K412" s="1"/>
      <c r="L412" s="1"/>
      <c r="M412" s="1"/>
      <c r="N412" s="1"/>
      <c r="O412" s="1"/>
      <c r="P412" s="1"/>
      <c r="Q412" s="1"/>
      <c r="R412" s="1"/>
      <c r="S412" s="1"/>
      <c r="T412" s="1"/>
      <c r="U412" s="2"/>
      <c r="V412" s="1"/>
      <c r="W412" s="1"/>
      <c r="X412" s="1"/>
      <c r="Y412" s="1"/>
      <c r="Z412" s="1"/>
    </row>
    <row r="413" spans="1:26" ht="24.75" customHeight="1">
      <c r="A413" s="1"/>
      <c r="B413" s="1"/>
      <c r="C413" s="1"/>
      <c r="D413" s="1"/>
      <c r="E413" s="1"/>
      <c r="F413" s="1"/>
      <c r="G413" s="1"/>
      <c r="H413" s="1"/>
      <c r="I413" s="1"/>
      <c r="J413" s="1"/>
      <c r="K413" s="1"/>
      <c r="L413" s="1"/>
      <c r="M413" s="1"/>
      <c r="N413" s="1"/>
      <c r="O413" s="1"/>
      <c r="P413" s="1"/>
      <c r="Q413" s="1"/>
      <c r="R413" s="1"/>
      <c r="S413" s="1"/>
      <c r="T413" s="1"/>
      <c r="U413" s="2"/>
      <c r="V413" s="1"/>
      <c r="W413" s="1"/>
      <c r="X413" s="1"/>
      <c r="Y413" s="1"/>
      <c r="Z413" s="1"/>
    </row>
    <row r="414" spans="1:26" ht="24.75" customHeight="1">
      <c r="A414" s="1"/>
      <c r="B414" s="1"/>
      <c r="C414" s="1"/>
      <c r="D414" s="1"/>
      <c r="E414" s="1"/>
      <c r="F414" s="1"/>
      <c r="G414" s="1"/>
      <c r="H414" s="1"/>
      <c r="I414" s="1"/>
      <c r="J414" s="1"/>
      <c r="K414" s="1"/>
      <c r="L414" s="1"/>
      <c r="M414" s="1"/>
      <c r="N414" s="1"/>
      <c r="O414" s="1"/>
      <c r="P414" s="1"/>
      <c r="Q414" s="1"/>
      <c r="R414" s="1"/>
      <c r="S414" s="1"/>
      <c r="T414" s="1"/>
      <c r="U414" s="2"/>
      <c r="V414" s="1"/>
      <c r="W414" s="1"/>
      <c r="X414" s="1"/>
      <c r="Y414" s="1"/>
      <c r="Z414" s="1"/>
    </row>
    <row r="415" spans="1:26" ht="24.75" customHeight="1">
      <c r="A415" s="1"/>
      <c r="B415" s="1"/>
      <c r="C415" s="1"/>
      <c r="D415" s="1"/>
      <c r="E415" s="1"/>
      <c r="F415" s="1"/>
      <c r="G415" s="1"/>
      <c r="H415" s="1"/>
      <c r="I415" s="1"/>
      <c r="J415" s="1"/>
      <c r="K415" s="1"/>
      <c r="L415" s="1"/>
      <c r="M415" s="1"/>
      <c r="N415" s="1"/>
      <c r="O415" s="1"/>
      <c r="P415" s="1"/>
      <c r="Q415" s="1"/>
      <c r="R415" s="1"/>
      <c r="S415" s="1"/>
      <c r="T415" s="1"/>
      <c r="U415" s="2"/>
      <c r="V415" s="1"/>
      <c r="W415" s="1"/>
      <c r="X415" s="1"/>
      <c r="Y415" s="1"/>
      <c r="Z415" s="1"/>
    </row>
    <row r="416" spans="1:26" ht="24.75" customHeight="1">
      <c r="A416" s="1"/>
      <c r="B416" s="1"/>
      <c r="C416" s="1"/>
      <c r="D416" s="1"/>
      <c r="E416" s="1"/>
      <c r="F416" s="1"/>
      <c r="G416" s="1"/>
      <c r="H416" s="1"/>
      <c r="I416" s="1"/>
      <c r="J416" s="1"/>
      <c r="K416" s="1"/>
      <c r="L416" s="1"/>
      <c r="M416" s="1"/>
      <c r="N416" s="1"/>
      <c r="O416" s="1"/>
      <c r="P416" s="1"/>
      <c r="Q416" s="1"/>
      <c r="R416" s="1"/>
      <c r="S416" s="1"/>
      <c r="T416" s="1"/>
      <c r="U416" s="2"/>
      <c r="V416" s="1"/>
      <c r="W416" s="1"/>
      <c r="X416" s="1"/>
      <c r="Y416" s="1"/>
      <c r="Z416" s="1"/>
    </row>
    <row r="417" spans="1:26" ht="24.75" customHeight="1">
      <c r="A417" s="1"/>
      <c r="B417" s="1"/>
      <c r="C417" s="1"/>
      <c r="D417" s="1"/>
      <c r="E417" s="1"/>
      <c r="F417" s="1"/>
      <c r="G417" s="1"/>
      <c r="H417" s="1"/>
      <c r="I417" s="1"/>
      <c r="J417" s="1"/>
      <c r="K417" s="1"/>
      <c r="L417" s="1"/>
      <c r="M417" s="1"/>
      <c r="N417" s="1"/>
      <c r="O417" s="1"/>
      <c r="P417" s="1"/>
      <c r="Q417" s="1"/>
      <c r="R417" s="1"/>
      <c r="S417" s="1"/>
      <c r="T417" s="1"/>
      <c r="U417" s="2"/>
      <c r="V417" s="1"/>
      <c r="W417" s="1"/>
      <c r="X417" s="1"/>
      <c r="Y417" s="1"/>
      <c r="Z417" s="1"/>
    </row>
    <row r="418" spans="1:26" ht="24.75" customHeight="1">
      <c r="A418" s="1"/>
      <c r="B418" s="1"/>
      <c r="C418" s="1"/>
      <c r="D418" s="1"/>
      <c r="E418" s="1"/>
      <c r="F418" s="1"/>
      <c r="G418" s="1"/>
      <c r="H418" s="1"/>
      <c r="I418" s="1"/>
      <c r="J418" s="1"/>
      <c r="K418" s="1"/>
      <c r="L418" s="1"/>
      <c r="M418" s="1"/>
      <c r="N418" s="1"/>
      <c r="O418" s="1"/>
      <c r="P418" s="1"/>
      <c r="Q418" s="1"/>
      <c r="R418" s="1"/>
      <c r="S418" s="1"/>
      <c r="T418" s="1"/>
      <c r="U418" s="2"/>
      <c r="V418" s="1"/>
      <c r="W418" s="1"/>
      <c r="X418" s="1"/>
      <c r="Y418" s="1"/>
      <c r="Z418" s="1"/>
    </row>
    <row r="419" spans="1:26" ht="24.75" customHeight="1">
      <c r="A419" s="1"/>
      <c r="B419" s="1"/>
      <c r="C419" s="1"/>
      <c r="D419" s="1"/>
      <c r="E419" s="1"/>
      <c r="F419" s="1"/>
      <c r="G419" s="1"/>
      <c r="H419" s="1"/>
      <c r="I419" s="1"/>
      <c r="J419" s="1"/>
      <c r="K419" s="1"/>
      <c r="L419" s="1"/>
      <c r="M419" s="1"/>
      <c r="N419" s="1"/>
      <c r="O419" s="1"/>
      <c r="P419" s="1"/>
      <c r="Q419" s="1"/>
      <c r="R419" s="1"/>
      <c r="S419" s="1"/>
      <c r="T419" s="1"/>
      <c r="U419" s="2"/>
      <c r="V419" s="1"/>
      <c r="W419" s="1"/>
      <c r="X419" s="1"/>
      <c r="Y419" s="1"/>
      <c r="Z419" s="1"/>
    </row>
    <row r="420" spans="1:26" ht="24.75" customHeight="1">
      <c r="A420" s="1"/>
      <c r="B420" s="1"/>
      <c r="C420" s="1"/>
      <c r="D420" s="1"/>
      <c r="E420" s="1"/>
      <c r="F420" s="1"/>
      <c r="G420" s="1"/>
      <c r="H420" s="1"/>
      <c r="I420" s="1"/>
      <c r="J420" s="1"/>
      <c r="K420" s="1"/>
      <c r="L420" s="1"/>
      <c r="M420" s="1"/>
      <c r="N420" s="1"/>
      <c r="O420" s="1"/>
      <c r="P420" s="1"/>
      <c r="Q420" s="1"/>
      <c r="R420" s="1"/>
      <c r="S420" s="1"/>
      <c r="T420" s="1"/>
      <c r="U420" s="2"/>
      <c r="V420" s="1"/>
      <c r="W420" s="1"/>
      <c r="X420" s="1"/>
      <c r="Y420" s="1"/>
      <c r="Z420" s="1"/>
    </row>
    <row r="421" spans="1:26" ht="24.75" customHeight="1">
      <c r="A421" s="1"/>
      <c r="B421" s="1"/>
      <c r="C421" s="1"/>
      <c r="D421" s="1"/>
      <c r="E421" s="1"/>
      <c r="F421" s="1"/>
      <c r="G421" s="1"/>
      <c r="H421" s="1"/>
      <c r="I421" s="1"/>
      <c r="J421" s="1"/>
      <c r="K421" s="1"/>
      <c r="L421" s="1"/>
      <c r="M421" s="1"/>
      <c r="N421" s="1"/>
      <c r="O421" s="1"/>
      <c r="P421" s="1"/>
      <c r="Q421" s="1"/>
      <c r="R421" s="1"/>
      <c r="S421" s="1"/>
      <c r="T421" s="1"/>
      <c r="U421" s="2"/>
      <c r="V421" s="1"/>
      <c r="W421" s="1"/>
      <c r="X421" s="1"/>
      <c r="Y421" s="1"/>
      <c r="Z421" s="1"/>
    </row>
    <row r="422" spans="1:26" ht="24.75" customHeight="1">
      <c r="A422" s="1"/>
      <c r="B422" s="1"/>
      <c r="C422" s="1"/>
      <c r="D422" s="1"/>
      <c r="E422" s="1"/>
      <c r="F422" s="1"/>
      <c r="G422" s="1"/>
      <c r="H422" s="1"/>
      <c r="I422" s="1"/>
      <c r="J422" s="1"/>
      <c r="K422" s="1"/>
      <c r="L422" s="1"/>
      <c r="M422" s="1"/>
      <c r="N422" s="1"/>
      <c r="O422" s="1"/>
      <c r="P422" s="1"/>
      <c r="Q422" s="1"/>
      <c r="R422" s="1"/>
      <c r="S422" s="1"/>
      <c r="T422" s="1"/>
      <c r="U422" s="2"/>
      <c r="V422" s="1"/>
      <c r="W422" s="1"/>
      <c r="X422" s="1"/>
      <c r="Y422" s="1"/>
      <c r="Z422" s="1"/>
    </row>
    <row r="423" spans="1:26" ht="24.75" customHeight="1">
      <c r="A423" s="1"/>
      <c r="B423" s="1"/>
      <c r="C423" s="1"/>
      <c r="D423" s="1"/>
      <c r="E423" s="1"/>
      <c r="F423" s="1"/>
      <c r="G423" s="1"/>
      <c r="H423" s="1"/>
      <c r="I423" s="1"/>
      <c r="J423" s="1"/>
      <c r="K423" s="1"/>
      <c r="L423" s="1"/>
      <c r="M423" s="1"/>
      <c r="N423" s="1"/>
      <c r="O423" s="1"/>
      <c r="P423" s="1"/>
      <c r="Q423" s="1"/>
      <c r="R423" s="1"/>
      <c r="S423" s="1"/>
      <c r="T423" s="1"/>
      <c r="U423" s="2"/>
      <c r="V423" s="1"/>
      <c r="W423" s="1"/>
      <c r="X423" s="1"/>
      <c r="Y423" s="1"/>
      <c r="Z423" s="1"/>
    </row>
    <row r="424" spans="1:26" ht="24.75" customHeight="1">
      <c r="A424" s="1"/>
      <c r="B424" s="1"/>
      <c r="C424" s="1"/>
      <c r="D424" s="1"/>
      <c r="E424" s="1"/>
      <c r="F424" s="1"/>
      <c r="G424" s="1"/>
      <c r="H424" s="1"/>
      <c r="I424" s="1"/>
      <c r="J424" s="1"/>
      <c r="K424" s="1"/>
      <c r="L424" s="1"/>
      <c r="M424" s="1"/>
      <c r="N424" s="1"/>
      <c r="O424" s="1"/>
      <c r="P424" s="1"/>
      <c r="Q424" s="1"/>
      <c r="R424" s="1"/>
      <c r="S424" s="1"/>
      <c r="T424" s="1"/>
      <c r="U424" s="2"/>
      <c r="V424" s="1"/>
      <c r="W424" s="1"/>
      <c r="X424" s="1"/>
      <c r="Y424" s="1"/>
      <c r="Z424" s="1"/>
    </row>
    <row r="425" spans="1:26" ht="24.75" customHeight="1">
      <c r="A425" s="1"/>
      <c r="B425" s="1"/>
      <c r="C425" s="1"/>
      <c r="D425" s="1"/>
      <c r="E425" s="1"/>
      <c r="F425" s="1"/>
      <c r="G425" s="1"/>
      <c r="H425" s="1"/>
      <c r="I425" s="1"/>
      <c r="J425" s="1"/>
      <c r="K425" s="1"/>
      <c r="L425" s="1"/>
      <c r="M425" s="1"/>
      <c r="N425" s="1"/>
      <c r="O425" s="1"/>
      <c r="P425" s="1"/>
      <c r="Q425" s="1"/>
      <c r="R425" s="1"/>
      <c r="S425" s="1"/>
      <c r="T425" s="1"/>
      <c r="U425" s="2"/>
      <c r="V425" s="1"/>
      <c r="W425" s="1"/>
      <c r="X425" s="1"/>
      <c r="Y425" s="1"/>
      <c r="Z425" s="1"/>
    </row>
    <row r="426" spans="1:26" ht="24.75" customHeight="1">
      <c r="A426" s="1"/>
      <c r="B426" s="1"/>
      <c r="C426" s="1"/>
      <c r="D426" s="1"/>
      <c r="E426" s="1"/>
      <c r="F426" s="1"/>
      <c r="G426" s="1"/>
      <c r="H426" s="1"/>
      <c r="I426" s="1"/>
      <c r="J426" s="1"/>
      <c r="K426" s="1"/>
      <c r="L426" s="1"/>
      <c r="M426" s="1"/>
      <c r="N426" s="1"/>
      <c r="O426" s="1"/>
      <c r="P426" s="1"/>
      <c r="Q426" s="1"/>
      <c r="R426" s="1"/>
      <c r="S426" s="1"/>
      <c r="T426" s="1"/>
      <c r="U426" s="2"/>
      <c r="V426" s="1"/>
      <c r="W426" s="1"/>
      <c r="X426" s="1"/>
      <c r="Y426" s="1"/>
      <c r="Z426" s="1"/>
    </row>
    <row r="427" spans="1:26" ht="24.75" customHeight="1">
      <c r="A427" s="1"/>
      <c r="B427" s="1"/>
      <c r="C427" s="1"/>
      <c r="D427" s="1"/>
      <c r="E427" s="1"/>
      <c r="F427" s="1"/>
      <c r="G427" s="1"/>
      <c r="H427" s="1"/>
      <c r="I427" s="1"/>
      <c r="J427" s="1"/>
      <c r="K427" s="1"/>
      <c r="L427" s="1"/>
      <c r="M427" s="1"/>
      <c r="N427" s="1"/>
      <c r="O427" s="1"/>
      <c r="P427" s="1"/>
      <c r="Q427" s="1"/>
      <c r="R427" s="1"/>
      <c r="S427" s="1"/>
      <c r="T427" s="1"/>
      <c r="U427" s="2"/>
      <c r="V427" s="1"/>
      <c r="W427" s="1"/>
      <c r="X427" s="1"/>
      <c r="Y427" s="1"/>
      <c r="Z427" s="1"/>
    </row>
    <row r="428" spans="1:26" ht="24.75" customHeight="1">
      <c r="A428" s="1"/>
      <c r="B428" s="1"/>
      <c r="C428" s="1"/>
      <c r="D428" s="1"/>
      <c r="E428" s="1"/>
      <c r="F428" s="1"/>
      <c r="G428" s="1"/>
      <c r="H428" s="1"/>
      <c r="I428" s="1"/>
      <c r="J428" s="1"/>
      <c r="K428" s="1"/>
      <c r="L428" s="1"/>
      <c r="M428" s="1"/>
      <c r="N428" s="1"/>
      <c r="O428" s="1"/>
      <c r="P428" s="1"/>
      <c r="Q428" s="1"/>
      <c r="R428" s="1"/>
      <c r="S428" s="1"/>
      <c r="T428" s="1"/>
      <c r="U428" s="2"/>
      <c r="V428" s="1"/>
      <c r="W428" s="1"/>
      <c r="X428" s="1"/>
      <c r="Y428" s="1"/>
      <c r="Z428" s="1"/>
    </row>
    <row r="429" spans="1:26" ht="24.75" customHeight="1">
      <c r="A429" s="1"/>
      <c r="B429" s="1"/>
      <c r="C429" s="1"/>
      <c r="D429" s="1"/>
      <c r="E429" s="1"/>
      <c r="F429" s="1"/>
      <c r="G429" s="1"/>
      <c r="H429" s="1"/>
      <c r="I429" s="1"/>
      <c r="J429" s="1"/>
      <c r="K429" s="1"/>
      <c r="L429" s="1"/>
      <c r="M429" s="1"/>
      <c r="N429" s="1"/>
      <c r="O429" s="1"/>
      <c r="P429" s="1"/>
      <c r="Q429" s="1"/>
      <c r="R429" s="1"/>
      <c r="S429" s="1"/>
      <c r="T429" s="1"/>
      <c r="U429" s="2"/>
      <c r="V429" s="1"/>
      <c r="W429" s="1"/>
      <c r="X429" s="1"/>
      <c r="Y429" s="1"/>
      <c r="Z429" s="1"/>
    </row>
    <row r="430" spans="1:26" ht="24.75" customHeight="1">
      <c r="A430" s="1"/>
      <c r="B430" s="1"/>
      <c r="C430" s="1"/>
      <c r="D430" s="1"/>
      <c r="E430" s="1"/>
      <c r="F430" s="1"/>
      <c r="G430" s="1"/>
      <c r="H430" s="1"/>
      <c r="I430" s="1"/>
      <c r="J430" s="1"/>
      <c r="K430" s="1"/>
      <c r="L430" s="1"/>
      <c r="M430" s="1"/>
      <c r="N430" s="1"/>
      <c r="O430" s="1"/>
      <c r="P430" s="1"/>
      <c r="Q430" s="1"/>
      <c r="R430" s="1"/>
      <c r="S430" s="1"/>
      <c r="T430" s="1"/>
      <c r="U430" s="2"/>
      <c r="V430" s="1"/>
      <c r="W430" s="1"/>
      <c r="X430" s="1"/>
      <c r="Y430" s="1"/>
      <c r="Z430" s="1"/>
    </row>
    <row r="431" spans="1:26" ht="24.75" customHeight="1">
      <c r="A431" s="1"/>
      <c r="B431" s="1"/>
      <c r="C431" s="1"/>
      <c r="D431" s="1"/>
      <c r="E431" s="1"/>
      <c r="F431" s="1"/>
      <c r="G431" s="1"/>
      <c r="H431" s="1"/>
      <c r="I431" s="1"/>
      <c r="J431" s="1"/>
      <c r="K431" s="1"/>
      <c r="L431" s="1"/>
      <c r="M431" s="1"/>
      <c r="N431" s="1"/>
      <c r="O431" s="1"/>
      <c r="P431" s="1"/>
      <c r="Q431" s="1"/>
      <c r="R431" s="1"/>
      <c r="S431" s="1"/>
      <c r="T431" s="1"/>
      <c r="U431" s="2"/>
      <c r="V431" s="1"/>
      <c r="W431" s="1"/>
      <c r="X431" s="1"/>
      <c r="Y431" s="1"/>
      <c r="Z431" s="1"/>
    </row>
    <row r="432" spans="1:26" ht="24.75" customHeight="1">
      <c r="A432" s="1"/>
      <c r="B432" s="1"/>
      <c r="C432" s="1"/>
      <c r="D432" s="1"/>
      <c r="E432" s="1"/>
      <c r="F432" s="1"/>
      <c r="G432" s="1"/>
      <c r="H432" s="1"/>
      <c r="I432" s="1"/>
      <c r="J432" s="1"/>
      <c r="K432" s="1"/>
      <c r="L432" s="1"/>
      <c r="M432" s="1"/>
      <c r="N432" s="1"/>
      <c r="O432" s="1"/>
      <c r="P432" s="1"/>
      <c r="Q432" s="1"/>
      <c r="R432" s="1"/>
      <c r="S432" s="1"/>
      <c r="T432" s="1"/>
      <c r="U432" s="2"/>
      <c r="V432" s="1"/>
      <c r="W432" s="1"/>
      <c r="X432" s="1"/>
      <c r="Y432" s="1"/>
      <c r="Z432" s="1"/>
    </row>
    <row r="433" spans="1:26" ht="24.75" customHeight="1">
      <c r="A433" s="1"/>
      <c r="B433" s="1"/>
      <c r="C433" s="1"/>
      <c r="D433" s="1"/>
      <c r="E433" s="1"/>
      <c r="F433" s="1"/>
      <c r="G433" s="1"/>
      <c r="H433" s="1"/>
      <c r="I433" s="1"/>
      <c r="J433" s="1"/>
      <c r="K433" s="1"/>
      <c r="L433" s="1"/>
      <c r="M433" s="1"/>
      <c r="N433" s="1"/>
      <c r="O433" s="1"/>
      <c r="P433" s="1"/>
      <c r="Q433" s="1"/>
      <c r="R433" s="1"/>
      <c r="S433" s="1"/>
      <c r="T433" s="1"/>
      <c r="U433" s="2"/>
      <c r="V433" s="1"/>
      <c r="W433" s="1"/>
      <c r="X433" s="1"/>
      <c r="Y433" s="1"/>
      <c r="Z433" s="1"/>
    </row>
    <row r="434" spans="1:26" ht="24.75" customHeight="1">
      <c r="A434" s="1"/>
      <c r="B434" s="1"/>
      <c r="C434" s="1"/>
      <c r="D434" s="1"/>
      <c r="E434" s="1"/>
      <c r="F434" s="1"/>
      <c r="G434" s="1"/>
      <c r="H434" s="1"/>
      <c r="I434" s="1"/>
      <c r="J434" s="1"/>
      <c r="K434" s="1"/>
      <c r="L434" s="1"/>
      <c r="M434" s="1"/>
      <c r="N434" s="1"/>
      <c r="O434" s="1"/>
      <c r="P434" s="1"/>
      <c r="Q434" s="1"/>
      <c r="R434" s="1"/>
      <c r="S434" s="1"/>
      <c r="T434" s="1"/>
      <c r="U434" s="2"/>
      <c r="V434" s="1"/>
      <c r="W434" s="1"/>
      <c r="X434" s="1"/>
      <c r="Y434" s="1"/>
      <c r="Z434" s="1"/>
    </row>
    <row r="435" spans="1:26" ht="24.75" customHeight="1">
      <c r="A435" s="1"/>
      <c r="B435" s="1"/>
      <c r="C435" s="1"/>
      <c r="D435" s="1"/>
      <c r="E435" s="1"/>
      <c r="F435" s="1"/>
      <c r="G435" s="1"/>
      <c r="H435" s="1"/>
      <c r="I435" s="1"/>
      <c r="J435" s="1"/>
      <c r="K435" s="1"/>
      <c r="L435" s="1"/>
      <c r="M435" s="1"/>
      <c r="N435" s="1"/>
      <c r="O435" s="1"/>
      <c r="P435" s="1"/>
      <c r="Q435" s="1"/>
      <c r="R435" s="1"/>
      <c r="S435" s="1"/>
      <c r="T435" s="1"/>
      <c r="U435" s="2"/>
      <c r="V435" s="1"/>
      <c r="W435" s="1"/>
      <c r="X435" s="1"/>
      <c r="Y435" s="1"/>
      <c r="Z435" s="1"/>
    </row>
    <row r="436" spans="1:26" ht="24.75" customHeight="1">
      <c r="A436" s="1"/>
      <c r="B436" s="1"/>
      <c r="C436" s="1"/>
      <c r="D436" s="1"/>
      <c r="E436" s="1"/>
      <c r="F436" s="1"/>
      <c r="G436" s="1"/>
      <c r="H436" s="1"/>
      <c r="I436" s="1"/>
      <c r="J436" s="1"/>
      <c r="K436" s="1"/>
      <c r="L436" s="1"/>
      <c r="M436" s="1"/>
      <c r="N436" s="1"/>
      <c r="O436" s="1"/>
      <c r="P436" s="1"/>
      <c r="Q436" s="1"/>
      <c r="R436" s="1"/>
      <c r="S436" s="1"/>
      <c r="T436" s="1"/>
      <c r="U436" s="2"/>
      <c r="V436" s="1"/>
      <c r="W436" s="1"/>
      <c r="X436" s="1"/>
      <c r="Y436" s="1"/>
      <c r="Z436" s="1"/>
    </row>
    <row r="437" spans="1:26" ht="24.75" customHeight="1">
      <c r="A437" s="1"/>
      <c r="B437" s="1"/>
      <c r="C437" s="1"/>
      <c r="D437" s="1"/>
      <c r="E437" s="1"/>
      <c r="F437" s="1"/>
      <c r="G437" s="1"/>
      <c r="H437" s="1"/>
      <c r="I437" s="1"/>
      <c r="J437" s="1"/>
      <c r="K437" s="1"/>
      <c r="L437" s="1"/>
      <c r="M437" s="1"/>
      <c r="N437" s="1"/>
      <c r="O437" s="1"/>
      <c r="P437" s="1"/>
      <c r="Q437" s="1"/>
      <c r="R437" s="1"/>
      <c r="S437" s="1"/>
      <c r="T437" s="1"/>
      <c r="U437" s="2"/>
      <c r="V437" s="1"/>
      <c r="W437" s="1"/>
      <c r="X437" s="1"/>
      <c r="Y437" s="1"/>
      <c r="Z437" s="1"/>
    </row>
    <row r="438" spans="1:26" ht="24.75" customHeight="1">
      <c r="A438" s="1"/>
      <c r="B438" s="1"/>
      <c r="C438" s="1"/>
      <c r="D438" s="1"/>
      <c r="E438" s="1"/>
      <c r="F438" s="1"/>
      <c r="G438" s="1"/>
      <c r="H438" s="1"/>
      <c r="I438" s="1"/>
      <c r="J438" s="1"/>
      <c r="K438" s="1"/>
      <c r="L438" s="1"/>
      <c r="M438" s="1"/>
      <c r="N438" s="1"/>
      <c r="O438" s="1"/>
      <c r="P438" s="1"/>
      <c r="Q438" s="1"/>
      <c r="R438" s="1"/>
      <c r="S438" s="1"/>
      <c r="T438" s="1"/>
      <c r="U438" s="2"/>
      <c r="V438" s="1"/>
      <c r="W438" s="1"/>
      <c r="X438" s="1"/>
      <c r="Y438" s="1"/>
      <c r="Z438" s="1"/>
    </row>
    <row r="439" spans="1:26" ht="24.75" customHeight="1">
      <c r="A439" s="1"/>
      <c r="B439" s="1"/>
      <c r="C439" s="1"/>
      <c r="D439" s="1"/>
      <c r="E439" s="1"/>
      <c r="F439" s="1"/>
      <c r="G439" s="1"/>
      <c r="H439" s="1"/>
      <c r="I439" s="1"/>
      <c r="J439" s="1"/>
      <c r="K439" s="1"/>
      <c r="L439" s="1"/>
      <c r="M439" s="1"/>
      <c r="N439" s="1"/>
      <c r="O439" s="1"/>
      <c r="P439" s="1"/>
      <c r="Q439" s="1"/>
      <c r="R439" s="1"/>
      <c r="S439" s="1"/>
      <c r="T439" s="1"/>
      <c r="U439" s="2"/>
      <c r="V439" s="1"/>
      <c r="W439" s="1"/>
      <c r="X439" s="1"/>
      <c r="Y439" s="1"/>
      <c r="Z439" s="1"/>
    </row>
    <row r="440" spans="1:26" ht="24.75" customHeight="1">
      <c r="A440" s="1"/>
      <c r="B440" s="1"/>
      <c r="C440" s="1"/>
      <c r="D440" s="1"/>
      <c r="E440" s="1"/>
      <c r="F440" s="1"/>
      <c r="G440" s="1"/>
      <c r="H440" s="1"/>
      <c r="I440" s="1"/>
      <c r="J440" s="1"/>
      <c r="K440" s="1"/>
      <c r="L440" s="1"/>
      <c r="M440" s="1"/>
      <c r="N440" s="1"/>
      <c r="O440" s="1"/>
      <c r="P440" s="1"/>
      <c r="Q440" s="1"/>
      <c r="R440" s="1"/>
      <c r="S440" s="1"/>
      <c r="T440" s="1"/>
      <c r="U440" s="2"/>
      <c r="V440" s="1"/>
      <c r="W440" s="1"/>
      <c r="X440" s="1"/>
      <c r="Y440" s="1"/>
      <c r="Z440" s="1"/>
    </row>
    <row r="441" spans="1:26" ht="24.75" customHeight="1">
      <c r="A441" s="1"/>
      <c r="B441" s="1"/>
      <c r="C441" s="1"/>
      <c r="D441" s="1"/>
      <c r="E441" s="1"/>
      <c r="F441" s="1"/>
      <c r="G441" s="1"/>
      <c r="H441" s="1"/>
      <c r="I441" s="1"/>
      <c r="J441" s="1"/>
      <c r="K441" s="1"/>
      <c r="L441" s="1"/>
      <c r="M441" s="1"/>
      <c r="N441" s="1"/>
      <c r="O441" s="1"/>
      <c r="P441" s="1"/>
      <c r="Q441" s="1"/>
      <c r="R441" s="1"/>
      <c r="S441" s="1"/>
      <c r="T441" s="1"/>
      <c r="U441" s="2"/>
      <c r="V441" s="1"/>
      <c r="W441" s="1"/>
      <c r="X441" s="1"/>
      <c r="Y441" s="1"/>
      <c r="Z441" s="1"/>
    </row>
    <row r="442" spans="1:26" ht="24.75" customHeight="1">
      <c r="A442" s="1"/>
      <c r="B442" s="1"/>
      <c r="C442" s="1"/>
      <c r="D442" s="1"/>
      <c r="E442" s="1"/>
      <c r="F442" s="1"/>
      <c r="G442" s="1"/>
      <c r="H442" s="1"/>
      <c r="I442" s="1"/>
      <c r="J442" s="1"/>
      <c r="K442" s="1"/>
      <c r="L442" s="1"/>
      <c r="M442" s="1"/>
      <c r="N442" s="1"/>
      <c r="O442" s="1"/>
      <c r="P442" s="1"/>
      <c r="Q442" s="1"/>
      <c r="R442" s="1"/>
      <c r="S442" s="1"/>
      <c r="T442" s="1"/>
      <c r="U442" s="2"/>
      <c r="V442" s="1"/>
      <c r="W442" s="1"/>
      <c r="X442" s="1"/>
      <c r="Y442" s="1"/>
      <c r="Z442" s="1"/>
    </row>
    <row r="443" spans="1:26" ht="24.75" customHeight="1">
      <c r="A443" s="1"/>
      <c r="B443" s="1"/>
      <c r="C443" s="1"/>
      <c r="D443" s="1"/>
      <c r="E443" s="1"/>
      <c r="F443" s="1"/>
      <c r="G443" s="1"/>
      <c r="H443" s="1"/>
      <c r="I443" s="1"/>
      <c r="J443" s="1"/>
      <c r="K443" s="1"/>
      <c r="L443" s="1"/>
      <c r="M443" s="1"/>
      <c r="N443" s="1"/>
      <c r="O443" s="1"/>
      <c r="P443" s="1"/>
      <c r="Q443" s="1"/>
      <c r="R443" s="1"/>
      <c r="S443" s="1"/>
      <c r="T443" s="1"/>
      <c r="U443" s="2"/>
      <c r="V443" s="1"/>
      <c r="W443" s="1"/>
      <c r="X443" s="1"/>
      <c r="Y443" s="1"/>
      <c r="Z443" s="1"/>
    </row>
    <row r="444" spans="1:26" ht="24.75" customHeight="1">
      <c r="A444" s="1"/>
      <c r="B444" s="1"/>
      <c r="C444" s="1"/>
      <c r="D444" s="1"/>
      <c r="E444" s="1"/>
      <c r="F444" s="1"/>
      <c r="G444" s="1"/>
      <c r="H444" s="1"/>
      <c r="I444" s="1"/>
      <c r="J444" s="1"/>
      <c r="K444" s="1"/>
      <c r="L444" s="1"/>
      <c r="M444" s="1"/>
      <c r="N444" s="1"/>
      <c r="O444" s="1"/>
      <c r="P444" s="1"/>
      <c r="Q444" s="1"/>
      <c r="R444" s="1"/>
      <c r="S444" s="1"/>
      <c r="T444" s="1"/>
      <c r="U444" s="2"/>
      <c r="V444" s="1"/>
      <c r="W444" s="1"/>
      <c r="X444" s="1"/>
      <c r="Y444" s="1"/>
      <c r="Z444" s="1"/>
    </row>
    <row r="445" spans="1:26" ht="24.75" customHeight="1">
      <c r="A445" s="1"/>
      <c r="B445" s="1"/>
      <c r="C445" s="1"/>
      <c r="D445" s="1"/>
      <c r="E445" s="1"/>
      <c r="F445" s="1"/>
      <c r="G445" s="1"/>
      <c r="H445" s="1"/>
      <c r="I445" s="1"/>
      <c r="J445" s="1"/>
      <c r="K445" s="1"/>
      <c r="L445" s="1"/>
      <c r="M445" s="1"/>
      <c r="N445" s="1"/>
      <c r="O445" s="1"/>
      <c r="P445" s="1"/>
      <c r="Q445" s="1"/>
      <c r="R445" s="1"/>
      <c r="S445" s="1"/>
      <c r="T445" s="1"/>
      <c r="U445" s="2"/>
      <c r="V445" s="1"/>
      <c r="W445" s="1"/>
      <c r="X445" s="1"/>
      <c r="Y445" s="1"/>
      <c r="Z445" s="1"/>
    </row>
    <row r="446" spans="1:26" ht="24.75" customHeight="1">
      <c r="A446" s="1"/>
      <c r="B446" s="1"/>
      <c r="C446" s="1"/>
      <c r="D446" s="1"/>
      <c r="E446" s="1"/>
      <c r="F446" s="1"/>
      <c r="G446" s="1"/>
      <c r="H446" s="1"/>
      <c r="I446" s="1"/>
      <c r="J446" s="1"/>
      <c r="K446" s="1"/>
      <c r="L446" s="1"/>
      <c r="M446" s="1"/>
      <c r="N446" s="1"/>
      <c r="O446" s="1"/>
      <c r="P446" s="1"/>
      <c r="Q446" s="1"/>
      <c r="R446" s="1"/>
      <c r="S446" s="1"/>
      <c r="T446" s="1"/>
      <c r="U446" s="2"/>
      <c r="V446" s="1"/>
      <c r="W446" s="1"/>
      <c r="X446" s="1"/>
      <c r="Y446" s="1"/>
      <c r="Z446" s="1"/>
    </row>
    <row r="447" spans="1:26" ht="24.75" customHeight="1">
      <c r="A447" s="1"/>
      <c r="B447" s="1"/>
      <c r="C447" s="1"/>
      <c r="D447" s="1"/>
      <c r="E447" s="1"/>
      <c r="F447" s="1"/>
      <c r="G447" s="1"/>
      <c r="H447" s="1"/>
      <c r="I447" s="1"/>
      <c r="J447" s="1"/>
      <c r="K447" s="1"/>
      <c r="L447" s="1"/>
      <c r="M447" s="1"/>
      <c r="N447" s="1"/>
      <c r="O447" s="1"/>
      <c r="P447" s="1"/>
      <c r="Q447" s="1"/>
      <c r="R447" s="1"/>
      <c r="S447" s="1"/>
      <c r="T447" s="1"/>
      <c r="U447" s="2"/>
      <c r="V447" s="1"/>
      <c r="W447" s="1"/>
      <c r="X447" s="1"/>
      <c r="Y447" s="1"/>
      <c r="Z447" s="1"/>
    </row>
    <row r="448" spans="1:26" ht="24.75" customHeight="1">
      <c r="A448" s="1"/>
      <c r="B448" s="1"/>
      <c r="C448" s="1"/>
      <c r="D448" s="1"/>
      <c r="E448" s="1"/>
      <c r="F448" s="1"/>
      <c r="G448" s="1"/>
      <c r="H448" s="1"/>
      <c r="I448" s="1"/>
      <c r="J448" s="1"/>
      <c r="K448" s="1"/>
      <c r="L448" s="1"/>
      <c r="M448" s="1"/>
      <c r="N448" s="1"/>
      <c r="O448" s="1"/>
      <c r="P448" s="1"/>
      <c r="Q448" s="1"/>
      <c r="R448" s="1"/>
      <c r="S448" s="1"/>
      <c r="T448" s="1"/>
      <c r="U448" s="2"/>
      <c r="V448" s="1"/>
      <c r="W448" s="1"/>
      <c r="X448" s="1"/>
      <c r="Y448" s="1"/>
      <c r="Z448" s="1"/>
    </row>
    <row r="449" spans="1:26" ht="24.75" customHeight="1">
      <c r="A449" s="1"/>
      <c r="B449" s="1"/>
      <c r="C449" s="1"/>
      <c r="D449" s="1"/>
      <c r="E449" s="1"/>
      <c r="F449" s="1"/>
      <c r="G449" s="1"/>
      <c r="H449" s="1"/>
      <c r="I449" s="1"/>
      <c r="J449" s="1"/>
      <c r="K449" s="1"/>
      <c r="L449" s="1"/>
      <c r="M449" s="1"/>
      <c r="N449" s="1"/>
      <c r="O449" s="1"/>
      <c r="P449" s="1"/>
      <c r="Q449" s="1"/>
      <c r="R449" s="1"/>
      <c r="S449" s="1"/>
      <c r="T449" s="1"/>
      <c r="U449" s="2"/>
      <c r="V449" s="1"/>
      <c r="W449" s="1"/>
      <c r="X449" s="1"/>
      <c r="Y449" s="1"/>
      <c r="Z449" s="1"/>
    </row>
    <row r="450" spans="1:26" ht="24.75" customHeight="1">
      <c r="A450" s="1"/>
      <c r="B450" s="1"/>
      <c r="C450" s="1"/>
      <c r="D450" s="1"/>
      <c r="E450" s="1"/>
      <c r="F450" s="1"/>
      <c r="G450" s="1"/>
      <c r="H450" s="1"/>
      <c r="I450" s="1"/>
      <c r="J450" s="1"/>
      <c r="K450" s="1"/>
      <c r="L450" s="1"/>
      <c r="M450" s="1"/>
      <c r="N450" s="1"/>
      <c r="O450" s="1"/>
      <c r="P450" s="1"/>
      <c r="Q450" s="1"/>
      <c r="R450" s="1"/>
      <c r="S450" s="1"/>
      <c r="T450" s="1"/>
      <c r="U450" s="2"/>
      <c r="V450" s="1"/>
      <c r="W450" s="1"/>
      <c r="X450" s="1"/>
      <c r="Y450" s="1"/>
      <c r="Z450" s="1"/>
    </row>
    <row r="451" spans="1:26" ht="24.75" customHeight="1">
      <c r="A451" s="1"/>
      <c r="B451" s="1"/>
      <c r="C451" s="1"/>
      <c r="D451" s="1"/>
      <c r="E451" s="1"/>
      <c r="F451" s="1"/>
      <c r="G451" s="1"/>
      <c r="H451" s="1"/>
      <c r="I451" s="1"/>
      <c r="J451" s="1"/>
      <c r="K451" s="1"/>
      <c r="L451" s="1"/>
      <c r="M451" s="1"/>
      <c r="N451" s="1"/>
      <c r="O451" s="1"/>
      <c r="P451" s="1"/>
      <c r="Q451" s="1"/>
      <c r="R451" s="1"/>
      <c r="S451" s="1"/>
      <c r="T451" s="1"/>
      <c r="U451" s="2"/>
      <c r="V451" s="1"/>
      <c r="W451" s="1"/>
      <c r="X451" s="1"/>
      <c r="Y451" s="1"/>
      <c r="Z451" s="1"/>
    </row>
    <row r="452" spans="1:26" ht="24.75" customHeight="1">
      <c r="A452" s="1"/>
      <c r="B452" s="1"/>
      <c r="C452" s="1"/>
      <c r="D452" s="1"/>
      <c r="E452" s="1"/>
      <c r="F452" s="1"/>
      <c r="G452" s="1"/>
      <c r="H452" s="1"/>
      <c r="I452" s="1"/>
      <c r="J452" s="1"/>
      <c r="K452" s="1"/>
      <c r="L452" s="1"/>
      <c r="M452" s="1"/>
      <c r="N452" s="1"/>
      <c r="O452" s="1"/>
      <c r="P452" s="1"/>
      <c r="Q452" s="1"/>
      <c r="R452" s="1"/>
      <c r="S452" s="1"/>
      <c r="T452" s="1"/>
      <c r="U452" s="2"/>
      <c r="V452" s="1"/>
      <c r="W452" s="1"/>
      <c r="X452" s="1"/>
      <c r="Y452" s="1"/>
      <c r="Z452" s="1"/>
    </row>
    <row r="453" spans="1:26" ht="24.75" customHeight="1">
      <c r="A453" s="1"/>
      <c r="B453" s="1"/>
      <c r="C453" s="1"/>
      <c r="D453" s="1"/>
      <c r="E453" s="1"/>
      <c r="F453" s="1"/>
      <c r="G453" s="1"/>
      <c r="H453" s="1"/>
      <c r="I453" s="1"/>
      <c r="J453" s="1"/>
      <c r="K453" s="1"/>
      <c r="L453" s="1"/>
      <c r="M453" s="1"/>
      <c r="N453" s="1"/>
      <c r="O453" s="1"/>
      <c r="P453" s="1"/>
      <c r="Q453" s="1"/>
      <c r="R453" s="1"/>
      <c r="S453" s="1"/>
      <c r="T453" s="1"/>
      <c r="U453" s="2"/>
      <c r="V453" s="1"/>
      <c r="W453" s="1"/>
      <c r="X453" s="1"/>
      <c r="Y453" s="1"/>
      <c r="Z453" s="1"/>
    </row>
    <row r="454" spans="1:26" ht="24.75" customHeight="1">
      <c r="A454" s="1"/>
      <c r="B454" s="1"/>
      <c r="C454" s="1"/>
      <c r="D454" s="1"/>
      <c r="E454" s="1"/>
      <c r="F454" s="1"/>
      <c r="G454" s="1"/>
      <c r="H454" s="1"/>
      <c r="I454" s="1"/>
      <c r="J454" s="1"/>
      <c r="K454" s="1"/>
      <c r="L454" s="1"/>
      <c r="M454" s="1"/>
      <c r="N454" s="1"/>
      <c r="O454" s="1"/>
      <c r="P454" s="1"/>
      <c r="Q454" s="1"/>
      <c r="R454" s="1"/>
      <c r="S454" s="1"/>
      <c r="T454" s="1"/>
      <c r="U454" s="2"/>
      <c r="V454" s="1"/>
      <c r="W454" s="1"/>
      <c r="X454" s="1"/>
      <c r="Y454" s="1"/>
      <c r="Z454" s="1"/>
    </row>
    <row r="455" spans="1:26" ht="24.75" customHeight="1">
      <c r="A455" s="1"/>
      <c r="B455" s="1"/>
      <c r="C455" s="1"/>
      <c r="D455" s="1"/>
      <c r="E455" s="1"/>
      <c r="F455" s="1"/>
      <c r="G455" s="1"/>
      <c r="H455" s="1"/>
      <c r="I455" s="1"/>
      <c r="J455" s="1"/>
      <c r="K455" s="1"/>
      <c r="L455" s="1"/>
      <c r="M455" s="1"/>
      <c r="N455" s="1"/>
      <c r="O455" s="1"/>
      <c r="P455" s="1"/>
      <c r="Q455" s="1"/>
      <c r="R455" s="1"/>
      <c r="S455" s="1"/>
      <c r="T455" s="1"/>
      <c r="U455" s="2"/>
      <c r="V455" s="1"/>
      <c r="W455" s="1"/>
      <c r="X455" s="1"/>
      <c r="Y455" s="1"/>
      <c r="Z455" s="1"/>
    </row>
    <row r="456" spans="1:26" ht="24.75" customHeight="1">
      <c r="A456" s="1"/>
      <c r="B456" s="1"/>
      <c r="C456" s="1"/>
      <c r="D456" s="1"/>
      <c r="E456" s="1"/>
      <c r="F456" s="1"/>
      <c r="G456" s="1"/>
      <c r="H456" s="1"/>
      <c r="I456" s="1"/>
      <c r="J456" s="1"/>
      <c r="K456" s="1"/>
      <c r="L456" s="1"/>
      <c r="M456" s="1"/>
      <c r="N456" s="1"/>
      <c r="O456" s="1"/>
      <c r="P456" s="1"/>
      <c r="Q456" s="1"/>
      <c r="R456" s="1"/>
      <c r="S456" s="1"/>
      <c r="T456" s="1"/>
      <c r="U456" s="2"/>
      <c r="V456" s="1"/>
      <c r="W456" s="1"/>
      <c r="X456" s="1"/>
      <c r="Y456" s="1"/>
      <c r="Z456" s="1"/>
    </row>
    <row r="457" spans="1:26" ht="24.75" customHeight="1">
      <c r="A457" s="1"/>
      <c r="B457" s="1"/>
      <c r="C457" s="1"/>
      <c r="D457" s="1"/>
      <c r="E457" s="1"/>
      <c r="F457" s="1"/>
      <c r="G457" s="1"/>
      <c r="H457" s="1"/>
      <c r="I457" s="1"/>
      <c r="J457" s="1"/>
      <c r="K457" s="1"/>
      <c r="L457" s="1"/>
      <c r="M457" s="1"/>
      <c r="N457" s="1"/>
      <c r="O457" s="1"/>
      <c r="P457" s="1"/>
      <c r="Q457" s="1"/>
      <c r="R457" s="1"/>
      <c r="S457" s="1"/>
      <c r="T457" s="1"/>
      <c r="U457" s="2"/>
      <c r="V457" s="1"/>
      <c r="W457" s="1"/>
      <c r="X457" s="1"/>
      <c r="Y457" s="1"/>
      <c r="Z457" s="1"/>
    </row>
    <row r="458" spans="1:26" ht="24.75" customHeight="1">
      <c r="A458" s="1"/>
      <c r="B458" s="1"/>
      <c r="C458" s="1"/>
      <c r="D458" s="1"/>
      <c r="E458" s="1"/>
      <c r="F458" s="1"/>
      <c r="G458" s="1"/>
      <c r="H458" s="1"/>
      <c r="I458" s="1"/>
      <c r="J458" s="1"/>
      <c r="K458" s="1"/>
      <c r="L458" s="1"/>
      <c r="M458" s="1"/>
      <c r="N458" s="1"/>
      <c r="O458" s="1"/>
      <c r="P458" s="1"/>
      <c r="Q458" s="1"/>
      <c r="R458" s="1"/>
      <c r="S458" s="1"/>
      <c r="T458" s="1"/>
      <c r="U458" s="2"/>
      <c r="V458" s="1"/>
      <c r="W458" s="1"/>
      <c r="X458" s="1"/>
      <c r="Y458" s="1"/>
      <c r="Z458" s="1"/>
    </row>
    <row r="459" spans="1:26" ht="24.75" customHeight="1">
      <c r="A459" s="1"/>
      <c r="B459" s="1"/>
      <c r="C459" s="1"/>
      <c r="D459" s="1"/>
      <c r="E459" s="1"/>
      <c r="F459" s="1"/>
      <c r="G459" s="1"/>
      <c r="H459" s="1"/>
      <c r="I459" s="1"/>
      <c r="J459" s="1"/>
      <c r="K459" s="1"/>
      <c r="L459" s="1"/>
      <c r="M459" s="1"/>
      <c r="N459" s="1"/>
      <c r="O459" s="1"/>
      <c r="P459" s="1"/>
      <c r="Q459" s="1"/>
      <c r="R459" s="1"/>
      <c r="S459" s="1"/>
      <c r="T459" s="1"/>
      <c r="U459" s="2"/>
      <c r="V459" s="1"/>
      <c r="W459" s="1"/>
      <c r="X459" s="1"/>
      <c r="Y459" s="1"/>
      <c r="Z459" s="1"/>
    </row>
    <row r="460" spans="1:26" ht="24.75" customHeight="1">
      <c r="A460" s="1"/>
      <c r="B460" s="1"/>
      <c r="C460" s="1"/>
      <c r="D460" s="1"/>
      <c r="E460" s="1"/>
      <c r="F460" s="1"/>
      <c r="G460" s="1"/>
      <c r="H460" s="1"/>
      <c r="I460" s="1"/>
      <c r="J460" s="1"/>
      <c r="K460" s="1"/>
      <c r="L460" s="1"/>
      <c r="M460" s="1"/>
      <c r="N460" s="1"/>
      <c r="O460" s="1"/>
      <c r="P460" s="1"/>
      <c r="Q460" s="1"/>
      <c r="R460" s="1"/>
      <c r="S460" s="1"/>
      <c r="T460" s="1"/>
      <c r="U460" s="2"/>
      <c r="V460" s="1"/>
      <c r="W460" s="1"/>
      <c r="X460" s="1"/>
      <c r="Y460" s="1"/>
      <c r="Z460" s="1"/>
    </row>
    <row r="461" spans="1:26" ht="24.75" customHeight="1">
      <c r="A461" s="1"/>
      <c r="B461" s="1"/>
      <c r="C461" s="1"/>
      <c r="D461" s="1"/>
      <c r="E461" s="1"/>
      <c r="F461" s="1"/>
      <c r="G461" s="1"/>
      <c r="H461" s="1"/>
      <c r="I461" s="1"/>
      <c r="J461" s="1"/>
      <c r="K461" s="1"/>
      <c r="L461" s="1"/>
      <c r="M461" s="1"/>
      <c r="N461" s="1"/>
      <c r="O461" s="1"/>
      <c r="P461" s="1"/>
      <c r="Q461" s="1"/>
      <c r="R461" s="1"/>
      <c r="S461" s="1"/>
      <c r="T461" s="1"/>
      <c r="U461" s="2"/>
      <c r="V461" s="1"/>
      <c r="W461" s="1"/>
      <c r="X461" s="1"/>
      <c r="Y461" s="1"/>
      <c r="Z461" s="1"/>
    </row>
    <row r="462" spans="1:26" ht="24.75" customHeight="1">
      <c r="A462" s="1"/>
      <c r="B462" s="1"/>
      <c r="C462" s="1"/>
      <c r="D462" s="1"/>
      <c r="E462" s="1"/>
      <c r="F462" s="1"/>
      <c r="G462" s="1"/>
      <c r="H462" s="1"/>
      <c r="I462" s="1"/>
      <c r="J462" s="1"/>
      <c r="K462" s="1"/>
      <c r="L462" s="1"/>
      <c r="M462" s="1"/>
      <c r="N462" s="1"/>
      <c r="O462" s="1"/>
      <c r="P462" s="1"/>
      <c r="Q462" s="1"/>
      <c r="R462" s="1"/>
      <c r="S462" s="1"/>
      <c r="T462" s="1"/>
      <c r="U462" s="2"/>
      <c r="V462" s="1"/>
      <c r="W462" s="1"/>
      <c r="X462" s="1"/>
      <c r="Y462" s="1"/>
      <c r="Z462" s="1"/>
    </row>
    <row r="463" spans="1:26" ht="24.75" customHeight="1">
      <c r="A463" s="1"/>
      <c r="B463" s="1"/>
      <c r="C463" s="1"/>
      <c r="D463" s="1"/>
      <c r="E463" s="1"/>
      <c r="F463" s="1"/>
      <c r="G463" s="1"/>
      <c r="H463" s="1"/>
      <c r="I463" s="1"/>
      <c r="J463" s="1"/>
      <c r="K463" s="1"/>
      <c r="L463" s="1"/>
      <c r="M463" s="1"/>
      <c r="N463" s="1"/>
      <c r="O463" s="1"/>
      <c r="P463" s="1"/>
      <c r="Q463" s="1"/>
      <c r="R463" s="1"/>
      <c r="S463" s="1"/>
      <c r="T463" s="1"/>
      <c r="U463" s="2"/>
      <c r="V463" s="1"/>
      <c r="W463" s="1"/>
      <c r="X463" s="1"/>
      <c r="Y463" s="1"/>
      <c r="Z463" s="1"/>
    </row>
    <row r="464" spans="1:26" ht="24.75" customHeight="1">
      <c r="A464" s="1"/>
      <c r="B464" s="1"/>
      <c r="C464" s="1"/>
      <c r="D464" s="1"/>
      <c r="E464" s="1"/>
      <c r="F464" s="1"/>
      <c r="G464" s="1"/>
      <c r="H464" s="1"/>
      <c r="I464" s="1"/>
      <c r="J464" s="1"/>
      <c r="K464" s="1"/>
      <c r="L464" s="1"/>
      <c r="M464" s="1"/>
      <c r="N464" s="1"/>
      <c r="O464" s="1"/>
      <c r="P464" s="1"/>
      <c r="Q464" s="1"/>
      <c r="R464" s="1"/>
      <c r="S464" s="1"/>
      <c r="T464" s="1"/>
      <c r="U464" s="2"/>
      <c r="V464" s="1"/>
      <c r="W464" s="1"/>
      <c r="X464" s="1"/>
      <c r="Y464" s="1"/>
      <c r="Z464" s="1"/>
    </row>
    <row r="465" spans="1:26" ht="24.75" customHeight="1">
      <c r="A465" s="1"/>
      <c r="B465" s="1"/>
      <c r="C465" s="1"/>
      <c r="D465" s="1"/>
      <c r="E465" s="1"/>
      <c r="F465" s="1"/>
      <c r="G465" s="1"/>
      <c r="H465" s="1"/>
      <c r="I465" s="1"/>
      <c r="J465" s="1"/>
      <c r="K465" s="1"/>
      <c r="L465" s="1"/>
      <c r="M465" s="1"/>
      <c r="N465" s="1"/>
      <c r="O465" s="1"/>
      <c r="P465" s="1"/>
      <c r="Q465" s="1"/>
      <c r="R465" s="1"/>
      <c r="S465" s="1"/>
      <c r="T465" s="1"/>
      <c r="U465" s="2"/>
      <c r="V465" s="1"/>
      <c r="W465" s="1"/>
      <c r="X465" s="1"/>
      <c r="Y465" s="1"/>
      <c r="Z465" s="1"/>
    </row>
    <row r="466" spans="1:26" ht="24.75" customHeight="1">
      <c r="A466" s="1"/>
      <c r="B466" s="1"/>
      <c r="C466" s="1"/>
      <c r="D466" s="1"/>
      <c r="E466" s="1"/>
      <c r="F466" s="1"/>
      <c r="G466" s="1"/>
      <c r="H466" s="1"/>
      <c r="I466" s="1"/>
      <c r="J466" s="1"/>
      <c r="K466" s="1"/>
      <c r="L466" s="1"/>
      <c r="M466" s="1"/>
      <c r="N466" s="1"/>
      <c r="O466" s="1"/>
      <c r="P466" s="1"/>
      <c r="Q466" s="1"/>
      <c r="R466" s="1"/>
      <c r="S466" s="1"/>
      <c r="T466" s="1"/>
      <c r="U466" s="2"/>
      <c r="V466" s="1"/>
      <c r="W466" s="1"/>
      <c r="X466" s="1"/>
      <c r="Y466" s="1"/>
      <c r="Z466" s="1"/>
    </row>
    <row r="467" spans="1:26" ht="24.75" customHeight="1">
      <c r="A467" s="1"/>
      <c r="B467" s="1"/>
      <c r="C467" s="1"/>
      <c r="D467" s="1"/>
      <c r="E467" s="1"/>
      <c r="F467" s="1"/>
      <c r="G467" s="1"/>
      <c r="H467" s="1"/>
      <c r="I467" s="1"/>
      <c r="J467" s="1"/>
      <c r="K467" s="1"/>
      <c r="L467" s="1"/>
      <c r="M467" s="1"/>
      <c r="N467" s="1"/>
      <c r="O467" s="1"/>
      <c r="P467" s="1"/>
      <c r="Q467" s="1"/>
      <c r="R467" s="1"/>
      <c r="S467" s="1"/>
      <c r="T467" s="1"/>
      <c r="U467" s="2"/>
      <c r="V467" s="1"/>
      <c r="W467" s="1"/>
      <c r="X467" s="1"/>
      <c r="Y467" s="1"/>
      <c r="Z467" s="1"/>
    </row>
    <row r="468" spans="1:26" ht="24.75" customHeight="1">
      <c r="A468" s="1"/>
      <c r="B468" s="1"/>
      <c r="C468" s="1"/>
      <c r="D468" s="1"/>
      <c r="E468" s="1"/>
      <c r="F468" s="1"/>
      <c r="G468" s="1"/>
      <c r="H468" s="1"/>
      <c r="I468" s="1"/>
      <c r="J468" s="1"/>
      <c r="K468" s="1"/>
      <c r="L468" s="1"/>
      <c r="M468" s="1"/>
      <c r="N468" s="1"/>
      <c r="O468" s="1"/>
      <c r="P468" s="1"/>
      <c r="Q468" s="1"/>
      <c r="R468" s="1"/>
      <c r="S468" s="1"/>
      <c r="T468" s="1"/>
      <c r="U468" s="2"/>
      <c r="V468" s="1"/>
      <c r="W468" s="1"/>
      <c r="X468" s="1"/>
      <c r="Y468" s="1"/>
      <c r="Z468" s="1"/>
    </row>
    <row r="469" spans="1:26" ht="24.75" customHeight="1">
      <c r="A469" s="1"/>
      <c r="B469" s="1"/>
      <c r="C469" s="1"/>
      <c r="D469" s="1"/>
      <c r="E469" s="1"/>
      <c r="F469" s="1"/>
      <c r="G469" s="1"/>
      <c r="H469" s="1"/>
      <c r="I469" s="1"/>
      <c r="J469" s="1"/>
      <c r="K469" s="1"/>
      <c r="L469" s="1"/>
      <c r="M469" s="1"/>
      <c r="N469" s="1"/>
      <c r="O469" s="1"/>
      <c r="P469" s="1"/>
      <c r="Q469" s="1"/>
      <c r="R469" s="1"/>
      <c r="S469" s="1"/>
      <c r="T469" s="1"/>
      <c r="U469" s="2"/>
      <c r="V469" s="1"/>
      <c r="W469" s="1"/>
      <c r="X469" s="1"/>
      <c r="Y469" s="1"/>
      <c r="Z469" s="1"/>
    </row>
    <row r="470" spans="1:26" ht="24.75" customHeight="1">
      <c r="A470" s="1"/>
      <c r="B470" s="1"/>
      <c r="C470" s="1"/>
      <c r="D470" s="1"/>
      <c r="E470" s="1"/>
      <c r="F470" s="1"/>
      <c r="G470" s="1"/>
      <c r="H470" s="1"/>
      <c r="I470" s="1"/>
      <c r="J470" s="1"/>
      <c r="K470" s="1"/>
      <c r="L470" s="1"/>
      <c r="M470" s="1"/>
      <c r="N470" s="1"/>
      <c r="O470" s="1"/>
      <c r="P470" s="1"/>
      <c r="Q470" s="1"/>
      <c r="R470" s="1"/>
      <c r="S470" s="1"/>
      <c r="T470" s="1"/>
      <c r="U470" s="2"/>
      <c r="V470" s="1"/>
      <c r="W470" s="1"/>
      <c r="X470" s="1"/>
      <c r="Y470" s="1"/>
      <c r="Z470" s="1"/>
    </row>
    <row r="471" spans="1:26" ht="24.75" customHeight="1">
      <c r="A471" s="1"/>
      <c r="B471" s="1"/>
      <c r="C471" s="1"/>
      <c r="D471" s="1"/>
      <c r="E471" s="1"/>
      <c r="F471" s="1"/>
      <c r="G471" s="1"/>
      <c r="H471" s="1"/>
      <c r="I471" s="1"/>
      <c r="J471" s="1"/>
      <c r="K471" s="1"/>
      <c r="L471" s="1"/>
      <c r="M471" s="1"/>
      <c r="N471" s="1"/>
      <c r="O471" s="1"/>
      <c r="P471" s="1"/>
      <c r="Q471" s="1"/>
      <c r="R471" s="1"/>
      <c r="S471" s="1"/>
      <c r="T471" s="1"/>
      <c r="U471" s="2"/>
      <c r="V471" s="1"/>
      <c r="W471" s="1"/>
      <c r="X471" s="1"/>
      <c r="Y471" s="1"/>
      <c r="Z471" s="1"/>
    </row>
    <row r="472" spans="1:26" ht="24.75" customHeight="1">
      <c r="A472" s="1"/>
      <c r="B472" s="1"/>
      <c r="C472" s="1"/>
      <c r="D472" s="1"/>
      <c r="E472" s="1"/>
      <c r="F472" s="1"/>
      <c r="G472" s="1"/>
      <c r="H472" s="1"/>
      <c r="I472" s="1"/>
      <c r="J472" s="1"/>
      <c r="K472" s="1"/>
      <c r="L472" s="1"/>
      <c r="M472" s="1"/>
      <c r="N472" s="1"/>
      <c r="O472" s="1"/>
      <c r="P472" s="1"/>
      <c r="Q472" s="1"/>
      <c r="R472" s="1"/>
      <c r="S472" s="1"/>
      <c r="T472" s="1"/>
      <c r="U472" s="2"/>
      <c r="V472" s="1"/>
      <c r="W472" s="1"/>
      <c r="X472" s="1"/>
      <c r="Y472" s="1"/>
      <c r="Z472" s="1"/>
    </row>
    <row r="473" spans="1:26" ht="24.75" customHeight="1">
      <c r="A473" s="1"/>
      <c r="B473" s="1"/>
      <c r="C473" s="1"/>
      <c r="D473" s="1"/>
      <c r="E473" s="1"/>
      <c r="F473" s="1"/>
      <c r="G473" s="1"/>
      <c r="H473" s="1"/>
      <c r="I473" s="1"/>
      <c r="J473" s="1"/>
      <c r="K473" s="1"/>
      <c r="L473" s="1"/>
      <c r="M473" s="1"/>
      <c r="N473" s="1"/>
      <c r="O473" s="1"/>
      <c r="P473" s="1"/>
      <c r="Q473" s="1"/>
      <c r="R473" s="1"/>
      <c r="S473" s="1"/>
      <c r="T473" s="1"/>
      <c r="U473" s="2"/>
      <c r="V473" s="1"/>
      <c r="W473" s="1"/>
      <c r="X473" s="1"/>
      <c r="Y473" s="1"/>
      <c r="Z473" s="1"/>
    </row>
    <row r="474" spans="1:26" ht="24.75" customHeight="1">
      <c r="A474" s="1"/>
      <c r="B474" s="1"/>
      <c r="C474" s="1"/>
      <c r="D474" s="1"/>
      <c r="E474" s="1"/>
      <c r="F474" s="1"/>
      <c r="G474" s="1"/>
      <c r="H474" s="1"/>
      <c r="I474" s="1"/>
      <c r="J474" s="1"/>
      <c r="K474" s="1"/>
      <c r="L474" s="1"/>
      <c r="M474" s="1"/>
      <c r="N474" s="1"/>
      <c r="O474" s="1"/>
      <c r="P474" s="1"/>
      <c r="Q474" s="1"/>
      <c r="R474" s="1"/>
      <c r="S474" s="1"/>
      <c r="T474" s="1"/>
      <c r="U474" s="2"/>
      <c r="V474" s="1"/>
      <c r="W474" s="1"/>
      <c r="X474" s="1"/>
      <c r="Y474" s="1"/>
      <c r="Z474" s="1"/>
    </row>
    <row r="475" spans="1:26" ht="24.75" customHeight="1">
      <c r="A475" s="1"/>
      <c r="B475" s="1"/>
      <c r="C475" s="1"/>
      <c r="D475" s="1"/>
      <c r="E475" s="1"/>
      <c r="F475" s="1"/>
      <c r="G475" s="1"/>
      <c r="H475" s="1"/>
      <c r="I475" s="1"/>
      <c r="J475" s="1"/>
      <c r="K475" s="1"/>
      <c r="L475" s="1"/>
      <c r="M475" s="1"/>
      <c r="N475" s="1"/>
      <c r="O475" s="1"/>
      <c r="P475" s="1"/>
      <c r="Q475" s="1"/>
      <c r="R475" s="1"/>
      <c r="S475" s="1"/>
      <c r="T475" s="1"/>
      <c r="U475" s="2"/>
      <c r="V475" s="1"/>
      <c r="W475" s="1"/>
      <c r="X475" s="1"/>
      <c r="Y475" s="1"/>
      <c r="Z475" s="1"/>
    </row>
    <row r="476" spans="1:26" ht="24.75" customHeight="1">
      <c r="A476" s="1"/>
      <c r="B476" s="1"/>
      <c r="C476" s="1"/>
      <c r="D476" s="1"/>
      <c r="E476" s="1"/>
      <c r="F476" s="1"/>
      <c r="G476" s="1"/>
      <c r="H476" s="1"/>
      <c r="I476" s="1"/>
      <c r="J476" s="1"/>
      <c r="K476" s="1"/>
      <c r="L476" s="1"/>
      <c r="M476" s="1"/>
      <c r="N476" s="1"/>
      <c r="O476" s="1"/>
      <c r="P476" s="1"/>
      <c r="Q476" s="1"/>
      <c r="R476" s="1"/>
      <c r="S476" s="1"/>
      <c r="T476" s="1"/>
      <c r="U476" s="2"/>
      <c r="V476" s="1"/>
      <c r="W476" s="1"/>
      <c r="X476" s="1"/>
      <c r="Y476" s="1"/>
      <c r="Z476" s="1"/>
    </row>
    <row r="477" spans="1:26" ht="24.75" customHeight="1">
      <c r="A477" s="1"/>
      <c r="B477" s="1"/>
      <c r="C477" s="1"/>
      <c r="D477" s="1"/>
      <c r="E477" s="1"/>
      <c r="F477" s="1"/>
      <c r="G477" s="1"/>
      <c r="H477" s="1"/>
      <c r="I477" s="1"/>
      <c r="J477" s="1"/>
      <c r="K477" s="1"/>
      <c r="L477" s="1"/>
      <c r="M477" s="1"/>
      <c r="N477" s="1"/>
      <c r="O477" s="1"/>
      <c r="P477" s="1"/>
      <c r="Q477" s="1"/>
      <c r="R477" s="1"/>
      <c r="S477" s="1"/>
      <c r="T477" s="1"/>
      <c r="U477" s="2"/>
      <c r="V477" s="1"/>
      <c r="W477" s="1"/>
      <c r="X477" s="1"/>
      <c r="Y477" s="1"/>
      <c r="Z477" s="1"/>
    </row>
    <row r="478" spans="1:26" ht="24.75" customHeight="1">
      <c r="A478" s="1"/>
      <c r="B478" s="1"/>
      <c r="C478" s="1"/>
      <c r="D478" s="1"/>
      <c r="E478" s="1"/>
      <c r="F478" s="1"/>
      <c r="G478" s="1"/>
      <c r="H478" s="1"/>
      <c r="I478" s="1"/>
      <c r="J478" s="1"/>
      <c r="K478" s="1"/>
      <c r="L478" s="1"/>
      <c r="M478" s="1"/>
      <c r="N478" s="1"/>
      <c r="O478" s="1"/>
      <c r="P478" s="1"/>
      <c r="Q478" s="1"/>
      <c r="R478" s="1"/>
      <c r="S478" s="1"/>
      <c r="T478" s="1"/>
      <c r="U478" s="2"/>
      <c r="V478" s="1"/>
      <c r="W478" s="1"/>
      <c r="X478" s="1"/>
      <c r="Y478" s="1"/>
      <c r="Z478" s="1"/>
    </row>
    <row r="479" spans="1:26" ht="24.75" customHeight="1">
      <c r="A479" s="1"/>
      <c r="B479" s="1"/>
      <c r="C479" s="1"/>
      <c r="D479" s="1"/>
      <c r="E479" s="1"/>
      <c r="F479" s="1"/>
      <c r="G479" s="1"/>
      <c r="H479" s="1"/>
      <c r="I479" s="1"/>
      <c r="J479" s="1"/>
      <c r="K479" s="1"/>
      <c r="L479" s="1"/>
      <c r="M479" s="1"/>
      <c r="N479" s="1"/>
      <c r="O479" s="1"/>
      <c r="P479" s="1"/>
      <c r="Q479" s="1"/>
      <c r="R479" s="1"/>
      <c r="S479" s="1"/>
      <c r="T479" s="1"/>
      <c r="U479" s="2"/>
      <c r="V479" s="1"/>
      <c r="W479" s="1"/>
      <c r="X479" s="1"/>
      <c r="Y479" s="1"/>
      <c r="Z479" s="1"/>
    </row>
    <row r="480" spans="1:26" ht="24.75" customHeight="1">
      <c r="A480" s="1"/>
      <c r="B480" s="1"/>
      <c r="C480" s="1"/>
      <c r="D480" s="1"/>
      <c r="E480" s="1"/>
      <c r="F480" s="1"/>
      <c r="G480" s="1"/>
      <c r="H480" s="1"/>
      <c r="I480" s="1"/>
      <c r="J480" s="1"/>
      <c r="K480" s="1"/>
      <c r="L480" s="1"/>
      <c r="M480" s="1"/>
      <c r="N480" s="1"/>
      <c r="O480" s="1"/>
      <c r="P480" s="1"/>
      <c r="Q480" s="1"/>
      <c r="R480" s="1"/>
      <c r="S480" s="1"/>
      <c r="T480" s="1"/>
      <c r="U480" s="2"/>
      <c r="V480" s="1"/>
      <c r="W480" s="1"/>
      <c r="X480" s="1"/>
      <c r="Y480" s="1"/>
      <c r="Z480" s="1"/>
    </row>
    <row r="481" spans="1:26" ht="24.75" customHeight="1">
      <c r="A481" s="1"/>
      <c r="B481" s="1"/>
      <c r="C481" s="1"/>
      <c r="D481" s="1"/>
      <c r="E481" s="1"/>
      <c r="F481" s="1"/>
      <c r="G481" s="1"/>
      <c r="H481" s="1"/>
      <c r="I481" s="1"/>
      <c r="J481" s="1"/>
      <c r="K481" s="1"/>
      <c r="L481" s="1"/>
      <c r="M481" s="1"/>
      <c r="N481" s="1"/>
      <c r="O481" s="1"/>
      <c r="P481" s="1"/>
      <c r="Q481" s="1"/>
      <c r="R481" s="1"/>
      <c r="S481" s="1"/>
      <c r="T481" s="1"/>
      <c r="U481" s="2"/>
      <c r="V481" s="1"/>
      <c r="W481" s="1"/>
      <c r="X481" s="1"/>
      <c r="Y481" s="1"/>
      <c r="Z481" s="1"/>
    </row>
    <row r="482" spans="1:26" ht="24.75" customHeight="1">
      <c r="A482" s="1"/>
      <c r="B482" s="1"/>
      <c r="C482" s="1"/>
      <c r="D482" s="1"/>
      <c r="E482" s="1"/>
      <c r="F482" s="1"/>
      <c r="G482" s="1"/>
      <c r="H482" s="1"/>
      <c r="I482" s="1"/>
      <c r="J482" s="1"/>
      <c r="K482" s="1"/>
      <c r="L482" s="1"/>
      <c r="M482" s="1"/>
      <c r="N482" s="1"/>
      <c r="O482" s="1"/>
      <c r="P482" s="1"/>
      <c r="Q482" s="1"/>
      <c r="R482" s="1"/>
      <c r="S482" s="1"/>
      <c r="T482" s="1"/>
      <c r="U482" s="2"/>
      <c r="V482" s="1"/>
      <c r="W482" s="1"/>
      <c r="X482" s="1"/>
      <c r="Y482" s="1"/>
      <c r="Z482" s="1"/>
    </row>
    <row r="483" spans="1:26" ht="24.75" customHeight="1">
      <c r="A483" s="1"/>
      <c r="B483" s="1"/>
      <c r="C483" s="1"/>
      <c r="D483" s="1"/>
      <c r="E483" s="1"/>
      <c r="F483" s="1"/>
      <c r="G483" s="1"/>
      <c r="H483" s="1"/>
      <c r="I483" s="1"/>
      <c r="J483" s="1"/>
      <c r="K483" s="1"/>
      <c r="L483" s="1"/>
      <c r="M483" s="1"/>
      <c r="N483" s="1"/>
      <c r="O483" s="1"/>
      <c r="P483" s="1"/>
      <c r="Q483" s="1"/>
      <c r="R483" s="1"/>
      <c r="S483" s="1"/>
      <c r="T483" s="1"/>
      <c r="U483" s="2"/>
      <c r="V483" s="1"/>
      <c r="W483" s="1"/>
      <c r="X483" s="1"/>
      <c r="Y483" s="1"/>
      <c r="Z483" s="1"/>
    </row>
    <row r="484" spans="1:26" ht="24.75" customHeight="1">
      <c r="A484" s="1"/>
      <c r="B484" s="1"/>
      <c r="C484" s="1"/>
      <c r="D484" s="1"/>
      <c r="E484" s="1"/>
      <c r="F484" s="1"/>
      <c r="G484" s="1"/>
      <c r="H484" s="1"/>
      <c r="I484" s="1"/>
      <c r="J484" s="1"/>
      <c r="K484" s="1"/>
      <c r="L484" s="1"/>
      <c r="M484" s="1"/>
      <c r="N484" s="1"/>
      <c r="O484" s="1"/>
      <c r="P484" s="1"/>
      <c r="Q484" s="1"/>
      <c r="R484" s="1"/>
      <c r="S484" s="1"/>
      <c r="T484" s="1"/>
      <c r="U484" s="2"/>
      <c r="V484" s="1"/>
      <c r="W484" s="1"/>
      <c r="X484" s="1"/>
      <c r="Y484" s="1"/>
      <c r="Z484" s="1"/>
    </row>
    <row r="485" spans="1:26" ht="24.75" customHeight="1">
      <c r="A485" s="1"/>
      <c r="B485" s="1"/>
      <c r="C485" s="1"/>
      <c r="D485" s="1"/>
      <c r="E485" s="1"/>
      <c r="F485" s="1"/>
      <c r="G485" s="1"/>
      <c r="H485" s="1"/>
      <c r="I485" s="1"/>
      <c r="J485" s="1"/>
      <c r="K485" s="1"/>
      <c r="L485" s="1"/>
      <c r="M485" s="1"/>
      <c r="N485" s="1"/>
      <c r="O485" s="1"/>
      <c r="P485" s="1"/>
      <c r="Q485" s="1"/>
      <c r="R485" s="1"/>
      <c r="S485" s="1"/>
      <c r="T485" s="1"/>
      <c r="U485" s="2"/>
      <c r="V485" s="1"/>
      <c r="W485" s="1"/>
      <c r="X485" s="1"/>
      <c r="Y485" s="1"/>
      <c r="Z485" s="1"/>
    </row>
    <row r="486" spans="1:26" ht="24.75" customHeight="1">
      <c r="A486" s="1"/>
      <c r="B486" s="1"/>
      <c r="C486" s="1"/>
      <c r="D486" s="1"/>
      <c r="E486" s="1"/>
      <c r="F486" s="1"/>
      <c r="G486" s="1"/>
      <c r="H486" s="1"/>
      <c r="I486" s="1"/>
      <c r="J486" s="1"/>
      <c r="K486" s="1"/>
      <c r="L486" s="1"/>
      <c r="M486" s="1"/>
      <c r="N486" s="1"/>
      <c r="O486" s="1"/>
      <c r="P486" s="1"/>
      <c r="Q486" s="1"/>
      <c r="R486" s="1"/>
      <c r="S486" s="1"/>
      <c r="T486" s="1"/>
      <c r="U486" s="2"/>
      <c r="V486" s="1"/>
      <c r="W486" s="1"/>
      <c r="X486" s="1"/>
      <c r="Y486" s="1"/>
      <c r="Z486" s="1"/>
    </row>
    <row r="487" spans="1:26" ht="24.75" customHeight="1">
      <c r="A487" s="1"/>
      <c r="B487" s="1"/>
      <c r="C487" s="1"/>
      <c r="D487" s="1"/>
      <c r="E487" s="1"/>
      <c r="F487" s="1"/>
      <c r="G487" s="1"/>
      <c r="H487" s="1"/>
      <c r="I487" s="1"/>
      <c r="J487" s="1"/>
      <c r="K487" s="1"/>
      <c r="L487" s="1"/>
      <c r="M487" s="1"/>
      <c r="N487" s="1"/>
      <c r="O487" s="1"/>
      <c r="P487" s="1"/>
      <c r="Q487" s="1"/>
      <c r="R487" s="1"/>
      <c r="S487" s="1"/>
      <c r="T487" s="1"/>
      <c r="U487" s="2"/>
      <c r="V487" s="1"/>
      <c r="W487" s="1"/>
      <c r="X487" s="1"/>
      <c r="Y487" s="1"/>
      <c r="Z487" s="1"/>
    </row>
    <row r="488" spans="1:26" ht="24.75" customHeight="1">
      <c r="A488" s="1"/>
      <c r="B488" s="1"/>
      <c r="C488" s="1"/>
      <c r="D488" s="1"/>
      <c r="E488" s="1"/>
      <c r="F488" s="1"/>
      <c r="G488" s="1"/>
      <c r="H488" s="1"/>
      <c r="I488" s="1"/>
      <c r="J488" s="1"/>
      <c r="K488" s="1"/>
      <c r="L488" s="1"/>
      <c r="M488" s="1"/>
      <c r="N488" s="1"/>
      <c r="O488" s="1"/>
      <c r="P488" s="1"/>
      <c r="Q488" s="1"/>
      <c r="R488" s="1"/>
      <c r="S488" s="1"/>
      <c r="T488" s="1"/>
      <c r="U488" s="2"/>
      <c r="V488" s="1"/>
      <c r="W488" s="1"/>
      <c r="X488" s="1"/>
      <c r="Y488" s="1"/>
      <c r="Z488" s="1"/>
    </row>
    <row r="489" spans="1:26" ht="24.75" customHeight="1">
      <c r="A489" s="1"/>
      <c r="B489" s="1"/>
      <c r="C489" s="1"/>
      <c r="D489" s="1"/>
      <c r="E489" s="1"/>
      <c r="F489" s="1"/>
      <c r="G489" s="1"/>
      <c r="H489" s="1"/>
      <c r="I489" s="1"/>
      <c r="J489" s="1"/>
      <c r="K489" s="1"/>
      <c r="L489" s="1"/>
      <c r="M489" s="1"/>
      <c r="N489" s="1"/>
      <c r="O489" s="1"/>
      <c r="P489" s="1"/>
      <c r="Q489" s="1"/>
      <c r="R489" s="1"/>
      <c r="S489" s="1"/>
      <c r="T489" s="1"/>
      <c r="U489" s="2"/>
      <c r="V489" s="1"/>
      <c r="W489" s="1"/>
      <c r="X489" s="1"/>
      <c r="Y489" s="1"/>
      <c r="Z489" s="1"/>
    </row>
    <row r="490" spans="1:26" ht="24.75" customHeight="1">
      <c r="A490" s="1"/>
      <c r="B490" s="1"/>
      <c r="C490" s="1"/>
      <c r="D490" s="1"/>
      <c r="E490" s="1"/>
      <c r="F490" s="1"/>
      <c r="G490" s="1"/>
      <c r="H490" s="1"/>
      <c r="I490" s="1"/>
      <c r="J490" s="1"/>
      <c r="K490" s="1"/>
      <c r="L490" s="1"/>
      <c r="M490" s="1"/>
      <c r="N490" s="1"/>
      <c r="O490" s="1"/>
      <c r="P490" s="1"/>
      <c r="Q490" s="1"/>
      <c r="R490" s="1"/>
      <c r="S490" s="1"/>
      <c r="T490" s="1"/>
      <c r="U490" s="2"/>
      <c r="V490" s="1"/>
      <c r="W490" s="1"/>
      <c r="X490" s="1"/>
      <c r="Y490" s="1"/>
      <c r="Z490" s="1"/>
    </row>
    <row r="491" spans="1:26" ht="24.75" customHeight="1">
      <c r="A491" s="1"/>
      <c r="B491" s="1"/>
      <c r="C491" s="1"/>
      <c r="D491" s="1"/>
      <c r="E491" s="1"/>
      <c r="F491" s="1"/>
      <c r="G491" s="1"/>
      <c r="H491" s="1"/>
      <c r="I491" s="1"/>
      <c r="J491" s="1"/>
      <c r="K491" s="1"/>
      <c r="L491" s="1"/>
      <c r="M491" s="1"/>
      <c r="N491" s="1"/>
      <c r="O491" s="1"/>
      <c r="P491" s="1"/>
      <c r="Q491" s="1"/>
      <c r="R491" s="1"/>
      <c r="S491" s="1"/>
      <c r="T491" s="1"/>
      <c r="U491" s="2"/>
      <c r="V491" s="1"/>
      <c r="W491" s="1"/>
      <c r="X491" s="1"/>
      <c r="Y491" s="1"/>
      <c r="Z491" s="1"/>
    </row>
    <row r="492" spans="1:26" ht="24.75" customHeight="1">
      <c r="A492" s="1"/>
      <c r="B492" s="1"/>
      <c r="C492" s="1"/>
      <c r="D492" s="1"/>
      <c r="E492" s="1"/>
      <c r="F492" s="1"/>
      <c r="G492" s="1"/>
      <c r="H492" s="1"/>
      <c r="I492" s="1"/>
      <c r="J492" s="1"/>
      <c r="K492" s="1"/>
      <c r="L492" s="1"/>
      <c r="M492" s="1"/>
      <c r="N492" s="1"/>
      <c r="O492" s="1"/>
      <c r="P492" s="1"/>
      <c r="Q492" s="1"/>
      <c r="R492" s="1"/>
      <c r="S492" s="1"/>
      <c r="T492" s="1"/>
      <c r="U492" s="2"/>
      <c r="V492" s="1"/>
      <c r="W492" s="1"/>
      <c r="X492" s="1"/>
      <c r="Y492" s="1"/>
      <c r="Z492" s="1"/>
    </row>
    <row r="493" spans="1:26" ht="24.75" customHeight="1">
      <c r="A493" s="1"/>
      <c r="B493" s="1"/>
      <c r="C493" s="1"/>
      <c r="D493" s="1"/>
      <c r="E493" s="1"/>
      <c r="F493" s="1"/>
      <c r="G493" s="1"/>
      <c r="H493" s="1"/>
      <c r="I493" s="1"/>
      <c r="J493" s="1"/>
      <c r="K493" s="1"/>
      <c r="L493" s="1"/>
      <c r="M493" s="1"/>
      <c r="N493" s="1"/>
      <c r="O493" s="1"/>
      <c r="P493" s="1"/>
      <c r="Q493" s="1"/>
      <c r="R493" s="1"/>
      <c r="S493" s="1"/>
      <c r="T493" s="1"/>
      <c r="U493" s="2"/>
      <c r="V493" s="1"/>
      <c r="W493" s="1"/>
      <c r="X493" s="1"/>
      <c r="Y493" s="1"/>
      <c r="Z493" s="1"/>
    </row>
    <row r="494" spans="1:26" ht="24.75" customHeight="1">
      <c r="A494" s="1"/>
      <c r="B494" s="1"/>
      <c r="C494" s="1"/>
      <c r="D494" s="1"/>
      <c r="E494" s="1"/>
      <c r="F494" s="1"/>
      <c r="G494" s="1"/>
      <c r="H494" s="1"/>
      <c r="I494" s="1"/>
      <c r="J494" s="1"/>
      <c r="K494" s="1"/>
      <c r="L494" s="1"/>
      <c r="M494" s="1"/>
      <c r="N494" s="1"/>
      <c r="O494" s="1"/>
      <c r="P494" s="1"/>
      <c r="Q494" s="1"/>
      <c r="R494" s="1"/>
      <c r="S494" s="1"/>
      <c r="T494" s="1"/>
      <c r="U494" s="2"/>
      <c r="V494" s="1"/>
      <c r="W494" s="1"/>
      <c r="X494" s="1"/>
      <c r="Y494" s="1"/>
      <c r="Z494" s="1"/>
    </row>
    <row r="495" spans="1:26" ht="24.75" customHeight="1">
      <c r="A495" s="1"/>
      <c r="B495" s="1"/>
      <c r="C495" s="1"/>
      <c r="D495" s="1"/>
      <c r="E495" s="1"/>
      <c r="F495" s="1"/>
      <c r="G495" s="1"/>
      <c r="H495" s="1"/>
      <c r="I495" s="1"/>
      <c r="J495" s="1"/>
      <c r="K495" s="1"/>
      <c r="L495" s="1"/>
      <c r="M495" s="1"/>
      <c r="N495" s="1"/>
      <c r="O495" s="1"/>
      <c r="P495" s="1"/>
      <c r="Q495" s="1"/>
      <c r="R495" s="1"/>
      <c r="S495" s="1"/>
      <c r="T495" s="1"/>
      <c r="U495" s="2"/>
      <c r="V495" s="1"/>
      <c r="W495" s="1"/>
      <c r="X495" s="1"/>
      <c r="Y495" s="1"/>
      <c r="Z495" s="1"/>
    </row>
    <row r="496" spans="1:26" ht="24.75" customHeight="1">
      <c r="A496" s="1"/>
      <c r="B496" s="1"/>
      <c r="C496" s="1"/>
      <c r="D496" s="1"/>
      <c r="E496" s="1"/>
      <c r="F496" s="1"/>
      <c r="G496" s="1"/>
      <c r="H496" s="1"/>
      <c r="I496" s="1"/>
      <c r="J496" s="1"/>
      <c r="K496" s="1"/>
      <c r="L496" s="1"/>
      <c r="M496" s="1"/>
      <c r="N496" s="1"/>
      <c r="O496" s="1"/>
      <c r="P496" s="1"/>
      <c r="Q496" s="1"/>
      <c r="R496" s="1"/>
      <c r="S496" s="1"/>
      <c r="T496" s="1"/>
      <c r="U496" s="2"/>
      <c r="V496" s="1"/>
      <c r="W496" s="1"/>
      <c r="X496" s="1"/>
      <c r="Y496" s="1"/>
      <c r="Z496" s="1"/>
    </row>
    <row r="497" spans="1:26" ht="24.75" customHeight="1">
      <c r="A497" s="1"/>
      <c r="B497" s="1"/>
      <c r="C497" s="1"/>
      <c r="D497" s="1"/>
      <c r="E497" s="1"/>
      <c r="F497" s="1"/>
      <c r="G497" s="1"/>
      <c r="H497" s="1"/>
      <c r="I497" s="1"/>
      <c r="J497" s="1"/>
      <c r="K497" s="1"/>
      <c r="L497" s="1"/>
      <c r="M497" s="1"/>
      <c r="N497" s="1"/>
      <c r="O497" s="1"/>
      <c r="P497" s="1"/>
      <c r="Q497" s="1"/>
      <c r="R497" s="1"/>
      <c r="S497" s="1"/>
      <c r="T497" s="1"/>
      <c r="U497" s="2"/>
      <c r="V497" s="1"/>
      <c r="W497" s="1"/>
      <c r="X497" s="1"/>
      <c r="Y497" s="1"/>
      <c r="Z497" s="1"/>
    </row>
    <row r="498" spans="1:26" ht="24.75" customHeight="1">
      <c r="A498" s="1"/>
      <c r="B498" s="1"/>
      <c r="C498" s="1"/>
      <c r="D498" s="1"/>
      <c r="E498" s="1"/>
      <c r="F498" s="1"/>
      <c r="G498" s="1"/>
      <c r="H498" s="1"/>
      <c r="I498" s="1"/>
      <c r="J498" s="1"/>
      <c r="K498" s="1"/>
      <c r="L498" s="1"/>
      <c r="M498" s="1"/>
      <c r="N498" s="1"/>
      <c r="O498" s="1"/>
      <c r="P498" s="1"/>
      <c r="Q498" s="1"/>
      <c r="R498" s="1"/>
      <c r="S498" s="1"/>
      <c r="T498" s="1"/>
      <c r="U498" s="2"/>
      <c r="V498" s="1"/>
      <c r="W498" s="1"/>
      <c r="X498" s="1"/>
      <c r="Y498" s="1"/>
      <c r="Z498" s="1"/>
    </row>
    <row r="499" spans="1:26" ht="24.75" customHeight="1">
      <c r="A499" s="1"/>
      <c r="B499" s="1"/>
      <c r="C499" s="1"/>
      <c r="D499" s="1"/>
      <c r="E499" s="1"/>
      <c r="F499" s="1"/>
      <c r="G499" s="1"/>
      <c r="H499" s="1"/>
      <c r="I499" s="1"/>
      <c r="J499" s="1"/>
      <c r="K499" s="1"/>
      <c r="L499" s="1"/>
      <c r="M499" s="1"/>
      <c r="N499" s="1"/>
      <c r="O499" s="1"/>
      <c r="P499" s="1"/>
      <c r="Q499" s="1"/>
      <c r="R499" s="1"/>
      <c r="S499" s="1"/>
      <c r="T499" s="1"/>
      <c r="U499" s="2"/>
      <c r="V499" s="1"/>
      <c r="W499" s="1"/>
      <c r="X499" s="1"/>
      <c r="Y499" s="1"/>
      <c r="Z499" s="1"/>
    </row>
    <row r="500" spans="1:26" ht="24.75" customHeight="1">
      <c r="A500" s="1"/>
      <c r="B500" s="1"/>
      <c r="C500" s="1"/>
      <c r="D500" s="1"/>
      <c r="E500" s="1"/>
      <c r="F500" s="1"/>
      <c r="G500" s="1"/>
      <c r="H500" s="1"/>
      <c r="I500" s="1"/>
      <c r="J500" s="1"/>
      <c r="K500" s="1"/>
      <c r="L500" s="1"/>
      <c r="M500" s="1"/>
      <c r="N500" s="1"/>
      <c r="O500" s="1"/>
      <c r="P500" s="1"/>
      <c r="Q500" s="1"/>
      <c r="R500" s="1"/>
      <c r="S500" s="1"/>
      <c r="T500" s="1"/>
      <c r="U500" s="2"/>
      <c r="V500" s="1"/>
      <c r="W500" s="1"/>
      <c r="X500" s="1"/>
      <c r="Y500" s="1"/>
      <c r="Z500" s="1"/>
    </row>
    <row r="501" spans="1:26" ht="24.75" customHeight="1">
      <c r="A501" s="1"/>
      <c r="B501" s="1"/>
      <c r="C501" s="1"/>
      <c r="D501" s="1"/>
      <c r="E501" s="1"/>
      <c r="F501" s="1"/>
      <c r="G501" s="1"/>
      <c r="H501" s="1"/>
      <c r="I501" s="1"/>
      <c r="J501" s="1"/>
      <c r="K501" s="1"/>
      <c r="L501" s="1"/>
      <c r="M501" s="1"/>
      <c r="N501" s="1"/>
      <c r="O501" s="1"/>
      <c r="P501" s="1"/>
      <c r="Q501" s="1"/>
      <c r="R501" s="1"/>
      <c r="S501" s="1"/>
      <c r="T501" s="1"/>
      <c r="U501" s="2"/>
      <c r="V501" s="1"/>
      <c r="W501" s="1"/>
      <c r="X501" s="1"/>
      <c r="Y501" s="1"/>
      <c r="Z501" s="1"/>
    </row>
    <row r="502" spans="1:26" ht="24.75" customHeight="1">
      <c r="A502" s="1"/>
      <c r="B502" s="1"/>
      <c r="C502" s="1"/>
      <c r="D502" s="1"/>
      <c r="E502" s="1"/>
      <c r="F502" s="1"/>
      <c r="G502" s="1"/>
      <c r="H502" s="1"/>
      <c r="I502" s="1"/>
      <c r="J502" s="1"/>
      <c r="K502" s="1"/>
      <c r="L502" s="1"/>
      <c r="M502" s="1"/>
      <c r="N502" s="1"/>
      <c r="O502" s="1"/>
      <c r="P502" s="1"/>
      <c r="Q502" s="1"/>
      <c r="R502" s="1"/>
      <c r="S502" s="1"/>
      <c r="T502" s="1"/>
      <c r="U502" s="2"/>
      <c r="V502" s="1"/>
      <c r="W502" s="1"/>
      <c r="X502" s="1"/>
      <c r="Y502" s="1"/>
      <c r="Z502" s="1"/>
    </row>
    <row r="503" spans="1:26" ht="24.75" customHeight="1">
      <c r="A503" s="1"/>
      <c r="B503" s="1"/>
      <c r="C503" s="1"/>
      <c r="D503" s="1"/>
      <c r="E503" s="1"/>
      <c r="F503" s="1"/>
      <c r="G503" s="1"/>
      <c r="H503" s="1"/>
      <c r="I503" s="1"/>
      <c r="J503" s="1"/>
      <c r="K503" s="1"/>
      <c r="L503" s="1"/>
      <c r="M503" s="1"/>
      <c r="N503" s="1"/>
      <c r="O503" s="1"/>
      <c r="P503" s="1"/>
      <c r="Q503" s="1"/>
      <c r="R503" s="1"/>
      <c r="S503" s="1"/>
      <c r="T503" s="1"/>
      <c r="U503" s="2"/>
      <c r="V503" s="1"/>
      <c r="W503" s="1"/>
      <c r="X503" s="1"/>
      <c r="Y503" s="1"/>
      <c r="Z503" s="1"/>
    </row>
    <row r="504" spans="1:26" ht="24.75" customHeight="1">
      <c r="A504" s="1"/>
      <c r="B504" s="1"/>
      <c r="C504" s="1"/>
      <c r="D504" s="1"/>
      <c r="E504" s="1"/>
      <c r="F504" s="1"/>
      <c r="G504" s="1"/>
      <c r="H504" s="1"/>
      <c r="I504" s="1"/>
      <c r="J504" s="1"/>
      <c r="K504" s="1"/>
      <c r="L504" s="1"/>
      <c r="M504" s="1"/>
      <c r="N504" s="1"/>
      <c r="O504" s="1"/>
      <c r="P504" s="1"/>
      <c r="Q504" s="1"/>
      <c r="R504" s="1"/>
      <c r="S504" s="1"/>
      <c r="T504" s="1"/>
      <c r="U504" s="2"/>
      <c r="V504" s="1"/>
      <c r="W504" s="1"/>
      <c r="X504" s="1"/>
      <c r="Y504" s="1"/>
      <c r="Z504" s="1"/>
    </row>
    <row r="505" spans="1:26" ht="24.75" customHeight="1">
      <c r="A505" s="1"/>
      <c r="B505" s="1"/>
      <c r="C505" s="1"/>
      <c r="D505" s="1"/>
      <c r="E505" s="1"/>
      <c r="F505" s="1"/>
      <c r="G505" s="1"/>
      <c r="H505" s="1"/>
      <c r="I505" s="1"/>
      <c r="J505" s="1"/>
      <c r="K505" s="1"/>
      <c r="L505" s="1"/>
      <c r="M505" s="1"/>
      <c r="N505" s="1"/>
      <c r="O505" s="1"/>
      <c r="P505" s="1"/>
      <c r="Q505" s="1"/>
      <c r="R505" s="1"/>
      <c r="S505" s="1"/>
      <c r="T505" s="1"/>
      <c r="U505" s="2"/>
      <c r="V505" s="1"/>
      <c r="W505" s="1"/>
      <c r="X505" s="1"/>
      <c r="Y505" s="1"/>
      <c r="Z505" s="1"/>
    </row>
    <row r="506" spans="1:26" ht="24.75" customHeight="1">
      <c r="A506" s="1"/>
      <c r="B506" s="1"/>
      <c r="C506" s="1"/>
      <c r="D506" s="1"/>
      <c r="E506" s="1"/>
      <c r="F506" s="1"/>
      <c r="G506" s="1"/>
      <c r="H506" s="1"/>
      <c r="I506" s="1"/>
      <c r="J506" s="1"/>
      <c r="K506" s="1"/>
      <c r="L506" s="1"/>
      <c r="M506" s="1"/>
      <c r="N506" s="1"/>
      <c r="O506" s="1"/>
      <c r="P506" s="1"/>
      <c r="Q506" s="1"/>
      <c r="R506" s="1"/>
      <c r="S506" s="1"/>
      <c r="T506" s="1"/>
      <c r="U506" s="2"/>
      <c r="V506" s="1"/>
      <c r="W506" s="1"/>
      <c r="X506" s="1"/>
      <c r="Y506" s="1"/>
      <c r="Z506" s="1"/>
    </row>
    <row r="507" spans="1:26" ht="24.75" customHeight="1">
      <c r="A507" s="1"/>
      <c r="B507" s="1"/>
      <c r="C507" s="1"/>
      <c r="D507" s="1"/>
      <c r="E507" s="1"/>
      <c r="F507" s="1"/>
      <c r="G507" s="1"/>
      <c r="H507" s="1"/>
      <c r="I507" s="1"/>
      <c r="J507" s="1"/>
      <c r="K507" s="1"/>
      <c r="L507" s="1"/>
      <c r="M507" s="1"/>
      <c r="N507" s="1"/>
      <c r="O507" s="1"/>
      <c r="P507" s="1"/>
      <c r="Q507" s="1"/>
      <c r="R507" s="1"/>
      <c r="S507" s="1"/>
      <c r="T507" s="1"/>
      <c r="U507" s="2"/>
      <c r="V507" s="1"/>
      <c r="W507" s="1"/>
      <c r="X507" s="1"/>
      <c r="Y507" s="1"/>
      <c r="Z507" s="1"/>
    </row>
    <row r="508" spans="1:26" ht="24.75" customHeight="1">
      <c r="A508" s="1"/>
      <c r="B508" s="1"/>
      <c r="C508" s="1"/>
      <c r="D508" s="1"/>
      <c r="E508" s="1"/>
      <c r="F508" s="1"/>
      <c r="G508" s="1"/>
      <c r="H508" s="1"/>
      <c r="I508" s="1"/>
      <c r="J508" s="1"/>
      <c r="K508" s="1"/>
      <c r="L508" s="1"/>
      <c r="M508" s="1"/>
      <c r="N508" s="1"/>
      <c r="O508" s="1"/>
      <c r="P508" s="1"/>
      <c r="Q508" s="1"/>
      <c r="R508" s="1"/>
      <c r="S508" s="1"/>
      <c r="T508" s="1"/>
      <c r="U508" s="2"/>
      <c r="V508" s="1"/>
      <c r="W508" s="1"/>
      <c r="X508" s="1"/>
      <c r="Y508" s="1"/>
      <c r="Z508" s="1"/>
    </row>
    <row r="509" spans="1:26" ht="24.75" customHeight="1">
      <c r="A509" s="1"/>
      <c r="B509" s="1"/>
      <c r="C509" s="1"/>
      <c r="D509" s="1"/>
      <c r="E509" s="1"/>
      <c r="F509" s="1"/>
      <c r="G509" s="1"/>
      <c r="H509" s="1"/>
      <c r="I509" s="1"/>
      <c r="J509" s="1"/>
      <c r="K509" s="1"/>
      <c r="L509" s="1"/>
      <c r="M509" s="1"/>
      <c r="N509" s="1"/>
      <c r="O509" s="1"/>
      <c r="P509" s="1"/>
      <c r="Q509" s="1"/>
      <c r="R509" s="1"/>
      <c r="S509" s="1"/>
      <c r="T509" s="1"/>
      <c r="U509" s="2"/>
      <c r="V509" s="1"/>
      <c r="W509" s="1"/>
      <c r="X509" s="1"/>
      <c r="Y509" s="1"/>
      <c r="Z509" s="1"/>
    </row>
    <row r="510" spans="1:26" ht="24.75" customHeight="1">
      <c r="A510" s="1"/>
      <c r="B510" s="1"/>
      <c r="C510" s="1"/>
      <c r="D510" s="1"/>
      <c r="E510" s="1"/>
      <c r="F510" s="1"/>
      <c r="G510" s="1"/>
      <c r="H510" s="1"/>
      <c r="I510" s="1"/>
      <c r="J510" s="1"/>
      <c r="K510" s="1"/>
      <c r="L510" s="1"/>
      <c r="M510" s="1"/>
      <c r="N510" s="1"/>
      <c r="O510" s="1"/>
      <c r="P510" s="1"/>
      <c r="Q510" s="1"/>
      <c r="R510" s="1"/>
      <c r="S510" s="1"/>
      <c r="T510" s="1"/>
      <c r="U510" s="2"/>
      <c r="V510" s="1"/>
      <c r="W510" s="1"/>
      <c r="X510" s="1"/>
      <c r="Y510" s="1"/>
      <c r="Z510" s="1"/>
    </row>
    <row r="511" spans="1:26" ht="24.75" customHeight="1">
      <c r="A511" s="1"/>
      <c r="B511" s="1"/>
      <c r="C511" s="1"/>
      <c r="D511" s="1"/>
      <c r="E511" s="1"/>
      <c r="F511" s="1"/>
      <c r="G511" s="1"/>
      <c r="H511" s="1"/>
      <c r="I511" s="1"/>
      <c r="J511" s="1"/>
      <c r="K511" s="1"/>
      <c r="L511" s="1"/>
      <c r="M511" s="1"/>
      <c r="N511" s="1"/>
      <c r="O511" s="1"/>
      <c r="P511" s="1"/>
      <c r="Q511" s="1"/>
      <c r="R511" s="1"/>
      <c r="S511" s="1"/>
      <c r="T511" s="1"/>
      <c r="U511" s="2"/>
      <c r="V511" s="1"/>
      <c r="W511" s="1"/>
      <c r="X511" s="1"/>
      <c r="Y511" s="1"/>
      <c r="Z511" s="1"/>
    </row>
    <row r="512" spans="1:26" ht="24.75" customHeight="1">
      <c r="A512" s="1"/>
      <c r="B512" s="1"/>
      <c r="C512" s="1"/>
      <c r="D512" s="1"/>
      <c r="E512" s="1"/>
      <c r="F512" s="1"/>
      <c r="G512" s="1"/>
      <c r="H512" s="1"/>
      <c r="I512" s="1"/>
      <c r="J512" s="1"/>
      <c r="K512" s="1"/>
      <c r="L512" s="1"/>
      <c r="M512" s="1"/>
      <c r="N512" s="1"/>
      <c r="O512" s="1"/>
      <c r="P512" s="1"/>
      <c r="Q512" s="1"/>
      <c r="R512" s="1"/>
      <c r="S512" s="1"/>
      <c r="T512" s="1"/>
      <c r="U512" s="2"/>
      <c r="V512" s="1"/>
      <c r="W512" s="1"/>
      <c r="X512" s="1"/>
      <c r="Y512" s="1"/>
      <c r="Z512" s="1"/>
    </row>
    <row r="513" spans="1:26" ht="24.75" customHeight="1">
      <c r="A513" s="1"/>
      <c r="B513" s="1"/>
      <c r="C513" s="1"/>
      <c r="D513" s="1"/>
      <c r="E513" s="1"/>
      <c r="F513" s="1"/>
      <c r="G513" s="1"/>
      <c r="H513" s="1"/>
      <c r="I513" s="1"/>
      <c r="J513" s="1"/>
      <c r="K513" s="1"/>
      <c r="L513" s="1"/>
      <c r="M513" s="1"/>
      <c r="N513" s="1"/>
      <c r="O513" s="1"/>
      <c r="P513" s="1"/>
      <c r="Q513" s="1"/>
      <c r="R513" s="1"/>
      <c r="S513" s="1"/>
      <c r="T513" s="1"/>
      <c r="U513" s="2"/>
      <c r="V513" s="1"/>
      <c r="W513" s="1"/>
      <c r="X513" s="1"/>
      <c r="Y513" s="1"/>
      <c r="Z513" s="1"/>
    </row>
    <row r="514" spans="1:26" ht="24.75" customHeight="1">
      <c r="A514" s="1"/>
      <c r="B514" s="1"/>
      <c r="C514" s="1"/>
      <c r="D514" s="1"/>
      <c r="E514" s="1"/>
      <c r="F514" s="1"/>
      <c r="G514" s="1"/>
      <c r="H514" s="1"/>
      <c r="I514" s="1"/>
      <c r="J514" s="1"/>
      <c r="K514" s="1"/>
      <c r="L514" s="1"/>
      <c r="M514" s="1"/>
      <c r="N514" s="1"/>
      <c r="O514" s="1"/>
      <c r="P514" s="1"/>
      <c r="Q514" s="1"/>
      <c r="R514" s="1"/>
      <c r="S514" s="1"/>
      <c r="T514" s="1"/>
      <c r="U514" s="2"/>
      <c r="V514" s="1"/>
      <c r="W514" s="1"/>
      <c r="X514" s="1"/>
      <c r="Y514" s="1"/>
      <c r="Z514" s="1"/>
    </row>
    <row r="515" spans="1:26" ht="24.75" customHeight="1">
      <c r="A515" s="1"/>
      <c r="B515" s="1"/>
      <c r="C515" s="1"/>
      <c r="D515" s="1"/>
      <c r="E515" s="1"/>
      <c r="F515" s="1"/>
      <c r="G515" s="1"/>
      <c r="H515" s="1"/>
      <c r="I515" s="1"/>
      <c r="J515" s="1"/>
      <c r="K515" s="1"/>
      <c r="L515" s="1"/>
      <c r="M515" s="1"/>
      <c r="N515" s="1"/>
      <c r="O515" s="1"/>
      <c r="P515" s="1"/>
      <c r="Q515" s="1"/>
      <c r="R515" s="1"/>
      <c r="S515" s="1"/>
      <c r="T515" s="1"/>
      <c r="U515" s="2"/>
      <c r="V515" s="1"/>
      <c r="W515" s="1"/>
      <c r="X515" s="1"/>
      <c r="Y515" s="1"/>
      <c r="Z515" s="1"/>
    </row>
    <row r="516" spans="1:26" ht="24.75" customHeight="1">
      <c r="A516" s="1"/>
      <c r="B516" s="1"/>
      <c r="C516" s="1"/>
      <c r="D516" s="1"/>
      <c r="E516" s="1"/>
      <c r="F516" s="1"/>
      <c r="G516" s="1"/>
      <c r="H516" s="1"/>
      <c r="I516" s="1"/>
      <c r="J516" s="1"/>
      <c r="K516" s="1"/>
      <c r="L516" s="1"/>
      <c r="M516" s="1"/>
      <c r="N516" s="1"/>
      <c r="O516" s="1"/>
      <c r="P516" s="1"/>
      <c r="Q516" s="1"/>
      <c r="R516" s="1"/>
      <c r="S516" s="1"/>
      <c r="T516" s="1"/>
      <c r="U516" s="2"/>
      <c r="V516" s="1"/>
      <c r="W516" s="1"/>
      <c r="X516" s="1"/>
      <c r="Y516" s="1"/>
      <c r="Z516" s="1"/>
    </row>
    <row r="517" spans="1:26" ht="24.75" customHeight="1">
      <c r="A517" s="1"/>
      <c r="B517" s="1"/>
      <c r="C517" s="1"/>
      <c r="D517" s="1"/>
      <c r="E517" s="1"/>
      <c r="F517" s="1"/>
      <c r="G517" s="1"/>
      <c r="H517" s="1"/>
      <c r="I517" s="1"/>
      <c r="J517" s="1"/>
      <c r="K517" s="1"/>
      <c r="L517" s="1"/>
      <c r="M517" s="1"/>
      <c r="N517" s="1"/>
      <c r="O517" s="1"/>
      <c r="P517" s="1"/>
      <c r="Q517" s="1"/>
      <c r="R517" s="1"/>
      <c r="S517" s="1"/>
      <c r="T517" s="1"/>
      <c r="U517" s="2"/>
      <c r="V517" s="1"/>
      <c r="W517" s="1"/>
      <c r="X517" s="1"/>
      <c r="Y517" s="1"/>
      <c r="Z517" s="1"/>
    </row>
    <row r="518" spans="1:26" ht="24.75" customHeight="1">
      <c r="A518" s="1"/>
      <c r="B518" s="1"/>
      <c r="C518" s="1"/>
      <c r="D518" s="1"/>
      <c r="E518" s="1"/>
      <c r="F518" s="1"/>
      <c r="G518" s="1"/>
      <c r="H518" s="1"/>
      <c r="I518" s="1"/>
      <c r="J518" s="1"/>
      <c r="K518" s="1"/>
      <c r="L518" s="1"/>
      <c r="M518" s="1"/>
      <c r="N518" s="1"/>
      <c r="O518" s="1"/>
      <c r="P518" s="1"/>
      <c r="Q518" s="1"/>
      <c r="R518" s="1"/>
      <c r="S518" s="1"/>
      <c r="T518" s="1"/>
      <c r="U518" s="2"/>
      <c r="V518" s="1"/>
      <c r="W518" s="1"/>
      <c r="X518" s="1"/>
      <c r="Y518" s="1"/>
      <c r="Z518" s="1"/>
    </row>
    <row r="519" spans="1:26" ht="24.75" customHeight="1">
      <c r="A519" s="1"/>
      <c r="B519" s="1"/>
      <c r="C519" s="1"/>
      <c r="D519" s="1"/>
      <c r="E519" s="1"/>
      <c r="F519" s="1"/>
      <c r="G519" s="1"/>
      <c r="H519" s="1"/>
      <c r="I519" s="1"/>
      <c r="J519" s="1"/>
      <c r="K519" s="1"/>
      <c r="L519" s="1"/>
      <c r="M519" s="1"/>
      <c r="N519" s="1"/>
      <c r="O519" s="1"/>
      <c r="P519" s="1"/>
      <c r="Q519" s="1"/>
      <c r="R519" s="1"/>
      <c r="S519" s="1"/>
      <c r="T519" s="1"/>
      <c r="U519" s="2"/>
      <c r="V519" s="1"/>
      <c r="W519" s="1"/>
      <c r="X519" s="1"/>
      <c r="Y519" s="1"/>
      <c r="Z519" s="1"/>
    </row>
    <row r="520" spans="1:26" ht="24.75" customHeight="1">
      <c r="A520" s="1"/>
      <c r="B520" s="1"/>
      <c r="C520" s="1"/>
      <c r="D520" s="1"/>
      <c r="E520" s="1"/>
      <c r="F520" s="1"/>
      <c r="G520" s="1"/>
      <c r="H520" s="1"/>
      <c r="I520" s="1"/>
      <c r="J520" s="1"/>
      <c r="K520" s="1"/>
      <c r="L520" s="1"/>
      <c r="M520" s="1"/>
      <c r="N520" s="1"/>
      <c r="O520" s="1"/>
      <c r="P520" s="1"/>
      <c r="Q520" s="1"/>
      <c r="R520" s="1"/>
      <c r="S520" s="1"/>
      <c r="T520" s="1"/>
      <c r="U520" s="2"/>
      <c r="V520" s="1"/>
      <c r="W520" s="1"/>
      <c r="X520" s="1"/>
      <c r="Y520" s="1"/>
      <c r="Z520" s="1"/>
    </row>
    <row r="521" spans="1:26" ht="24.75" customHeight="1">
      <c r="A521" s="1"/>
      <c r="B521" s="1"/>
      <c r="C521" s="1"/>
      <c r="D521" s="1"/>
      <c r="E521" s="1"/>
      <c r="F521" s="1"/>
      <c r="G521" s="1"/>
      <c r="H521" s="1"/>
      <c r="I521" s="1"/>
      <c r="J521" s="1"/>
      <c r="K521" s="1"/>
      <c r="L521" s="1"/>
      <c r="M521" s="1"/>
      <c r="N521" s="1"/>
      <c r="O521" s="1"/>
      <c r="P521" s="1"/>
      <c r="Q521" s="1"/>
      <c r="R521" s="1"/>
      <c r="S521" s="1"/>
      <c r="T521" s="1"/>
      <c r="U521" s="2"/>
      <c r="V521" s="1"/>
      <c r="W521" s="1"/>
      <c r="X521" s="1"/>
      <c r="Y521" s="1"/>
      <c r="Z521" s="1"/>
    </row>
    <row r="522" spans="1:26" ht="24.75" customHeight="1">
      <c r="A522" s="1"/>
      <c r="B522" s="1"/>
      <c r="C522" s="1"/>
      <c r="D522" s="1"/>
      <c r="E522" s="1"/>
      <c r="F522" s="1"/>
      <c r="G522" s="1"/>
      <c r="H522" s="1"/>
      <c r="I522" s="1"/>
      <c r="J522" s="1"/>
      <c r="K522" s="1"/>
      <c r="L522" s="1"/>
      <c r="M522" s="1"/>
      <c r="N522" s="1"/>
      <c r="O522" s="1"/>
      <c r="P522" s="1"/>
      <c r="Q522" s="1"/>
      <c r="R522" s="1"/>
      <c r="S522" s="1"/>
      <c r="T522" s="1"/>
      <c r="U522" s="2"/>
      <c r="V522" s="1"/>
      <c r="W522" s="1"/>
      <c r="X522" s="1"/>
      <c r="Y522" s="1"/>
      <c r="Z522" s="1"/>
    </row>
    <row r="523" spans="1:26" ht="24.75" customHeight="1">
      <c r="A523" s="1"/>
      <c r="B523" s="1"/>
      <c r="C523" s="1"/>
      <c r="D523" s="1"/>
      <c r="E523" s="1"/>
      <c r="F523" s="1"/>
      <c r="G523" s="1"/>
      <c r="H523" s="1"/>
      <c r="I523" s="1"/>
      <c r="J523" s="1"/>
      <c r="K523" s="1"/>
      <c r="L523" s="1"/>
      <c r="M523" s="1"/>
      <c r="N523" s="1"/>
      <c r="O523" s="1"/>
      <c r="P523" s="1"/>
      <c r="Q523" s="1"/>
      <c r="R523" s="1"/>
      <c r="S523" s="1"/>
      <c r="T523" s="1"/>
      <c r="U523" s="2"/>
      <c r="V523" s="1"/>
      <c r="W523" s="1"/>
      <c r="X523" s="1"/>
      <c r="Y523" s="1"/>
      <c r="Z523" s="1"/>
    </row>
    <row r="524" spans="1:26" ht="24.75" customHeight="1">
      <c r="A524" s="1"/>
      <c r="B524" s="1"/>
      <c r="C524" s="1"/>
      <c r="D524" s="1"/>
      <c r="E524" s="1"/>
      <c r="F524" s="1"/>
      <c r="G524" s="1"/>
      <c r="H524" s="1"/>
      <c r="I524" s="1"/>
      <c r="J524" s="1"/>
      <c r="K524" s="1"/>
      <c r="L524" s="1"/>
      <c r="M524" s="1"/>
      <c r="N524" s="1"/>
      <c r="O524" s="1"/>
      <c r="P524" s="1"/>
      <c r="Q524" s="1"/>
      <c r="R524" s="1"/>
      <c r="S524" s="1"/>
      <c r="T524" s="1"/>
      <c r="U524" s="2"/>
      <c r="V524" s="1"/>
      <c r="W524" s="1"/>
      <c r="X524" s="1"/>
      <c r="Y524" s="1"/>
      <c r="Z524" s="1"/>
    </row>
    <row r="525" spans="1:26" ht="24.75" customHeight="1">
      <c r="A525" s="1"/>
      <c r="B525" s="1"/>
      <c r="C525" s="1"/>
      <c r="D525" s="1"/>
      <c r="E525" s="1"/>
      <c r="F525" s="1"/>
      <c r="G525" s="1"/>
      <c r="H525" s="1"/>
      <c r="I525" s="1"/>
      <c r="J525" s="1"/>
      <c r="K525" s="1"/>
      <c r="L525" s="1"/>
      <c r="M525" s="1"/>
      <c r="N525" s="1"/>
      <c r="O525" s="1"/>
      <c r="P525" s="1"/>
      <c r="Q525" s="1"/>
      <c r="R525" s="1"/>
      <c r="S525" s="1"/>
      <c r="T525" s="1"/>
      <c r="U525" s="2"/>
      <c r="V525" s="1"/>
      <c r="W525" s="1"/>
      <c r="X525" s="1"/>
      <c r="Y525" s="1"/>
      <c r="Z525" s="1"/>
    </row>
    <row r="526" spans="1:26" ht="24.75" customHeight="1">
      <c r="A526" s="1"/>
      <c r="B526" s="1"/>
      <c r="C526" s="1"/>
      <c r="D526" s="1"/>
      <c r="E526" s="1"/>
      <c r="F526" s="1"/>
      <c r="G526" s="1"/>
      <c r="H526" s="1"/>
      <c r="I526" s="1"/>
      <c r="J526" s="1"/>
      <c r="K526" s="1"/>
      <c r="L526" s="1"/>
      <c r="M526" s="1"/>
      <c r="N526" s="1"/>
      <c r="O526" s="1"/>
      <c r="P526" s="1"/>
      <c r="Q526" s="1"/>
      <c r="R526" s="1"/>
      <c r="S526" s="1"/>
      <c r="T526" s="1"/>
      <c r="U526" s="2"/>
      <c r="V526" s="1"/>
      <c r="W526" s="1"/>
      <c r="X526" s="1"/>
      <c r="Y526" s="1"/>
      <c r="Z526" s="1"/>
    </row>
    <row r="527" spans="1:26" ht="24.75" customHeight="1">
      <c r="A527" s="1"/>
      <c r="B527" s="1"/>
      <c r="C527" s="1"/>
      <c r="D527" s="1"/>
      <c r="E527" s="1"/>
      <c r="F527" s="1"/>
      <c r="G527" s="1"/>
      <c r="H527" s="1"/>
      <c r="I527" s="1"/>
      <c r="J527" s="1"/>
      <c r="K527" s="1"/>
      <c r="L527" s="1"/>
      <c r="M527" s="1"/>
      <c r="N527" s="1"/>
      <c r="O527" s="1"/>
      <c r="P527" s="1"/>
      <c r="Q527" s="1"/>
      <c r="R527" s="1"/>
      <c r="S527" s="1"/>
      <c r="T527" s="1"/>
      <c r="U527" s="2"/>
      <c r="V527" s="1"/>
      <c r="W527" s="1"/>
      <c r="X527" s="1"/>
      <c r="Y527" s="1"/>
      <c r="Z527" s="1"/>
    </row>
    <row r="528" spans="1:26" ht="24.75" customHeight="1">
      <c r="A528" s="1"/>
      <c r="B528" s="1"/>
      <c r="C528" s="1"/>
      <c r="D528" s="1"/>
      <c r="E528" s="1"/>
      <c r="F528" s="1"/>
      <c r="G528" s="1"/>
      <c r="H528" s="1"/>
      <c r="I528" s="1"/>
      <c r="J528" s="1"/>
      <c r="K528" s="1"/>
      <c r="L528" s="1"/>
      <c r="M528" s="1"/>
      <c r="N528" s="1"/>
      <c r="O528" s="1"/>
      <c r="P528" s="1"/>
      <c r="Q528" s="1"/>
      <c r="R528" s="1"/>
      <c r="S528" s="1"/>
      <c r="T528" s="1"/>
      <c r="U528" s="2"/>
      <c r="V528" s="1"/>
      <c r="W528" s="1"/>
      <c r="X528" s="1"/>
      <c r="Y528" s="1"/>
      <c r="Z528" s="1"/>
    </row>
    <row r="529" spans="1:26" ht="24.75" customHeight="1">
      <c r="A529" s="1"/>
      <c r="B529" s="1"/>
      <c r="C529" s="1"/>
      <c r="D529" s="1"/>
      <c r="E529" s="1"/>
      <c r="F529" s="1"/>
      <c r="G529" s="1"/>
      <c r="H529" s="1"/>
      <c r="I529" s="1"/>
      <c r="J529" s="1"/>
      <c r="K529" s="1"/>
      <c r="L529" s="1"/>
      <c r="M529" s="1"/>
      <c r="N529" s="1"/>
      <c r="O529" s="1"/>
      <c r="P529" s="1"/>
      <c r="Q529" s="1"/>
      <c r="R529" s="1"/>
      <c r="S529" s="1"/>
      <c r="T529" s="1"/>
      <c r="U529" s="2"/>
      <c r="V529" s="1"/>
      <c r="W529" s="1"/>
      <c r="X529" s="1"/>
      <c r="Y529" s="1"/>
      <c r="Z529" s="1"/>
    </row>
    <row r="530" spans="1:26" ht="24.75" customHeight="1">
      <c r="A530" s="1"/>
      <c r="B530" s="1"/>
      <c r="C530" s="1"/>
      <c r="D530" s="1"/>
      <c r="E530" s="1"/>
      <c r="F530" s="1"/>
      <c r="G530" s="1"/>
      <c r="H530" s="1"/>
      <c r="I530" s="1"/>
      <c r="J530" s="1"/>
      <c r="K530" s="1"/>
      <c r="L530" s="1"/>
      <c r="M530" s="1"/>
      <c r="N530" s="1"/>
      <c r="O530" s="1"/>
      <c r="P530" s="1"/>
      <c r="Q530" s="1"/>
      <c r="R530" s="1"/>
      <c r="S530" s="1"/>
      <c r="T530" s="1"/>
      <c r="U530" s="2"/>
      <c r="V530" s="1"/>
      <c r="W530" s="1"/>
      <c r="X530" s="1"/>
      <c r="Y530" s="1"/>
      <c r="Z530" s="1"/>
    </row>
    <row r="531" spans="1:26" ht="24.75" customHeight="1">
      <c r="A531" s="1"/>
      <c r="B531" s="1"/>
      <c r="C531" s="1"/>
      <c r="D531" s="1"/>
      <c r="E531" s="1"/>
      <c r="F531" s="1"/>
      <c r="G531" s="1"/>
      <c r="H531" s="1"/>
      <c r="I531" s="1"/>
      <c r="J531" s="1"/>
      <c r="K531" s="1"/>
      <c r="L531" s="1"/>
      <c r="M531" s="1"/>
      <c r="N531" s="1"/>
      <c r="O531" s="1"/>
      <c r="P531" s="1"/>
      <c r="Q531" s="1"/>
      <c r="R531" s="1"/>
      <c r="S531" s="1"/>
      <c r="T531" s="1"/>
      <c r="U531" s="2"/>
      <c r="V531" s="1"/>
      <c r="W531" s="1"/>
      <c r="X531" s="1"/>
      <c r="Y531" s="1"/>
      <c r="Z531" s="1"/>
    </row>
    <row r="532" spans="1:26" ht="24.75" customHeight="1">
      <c r="A532" s="1"/>
      <c r="B532" s="1"/>
      <c r="C532" s="1"/>
      <c r="D532" s="1"/>
      <c r="E532" s="1"/>
      <c r="F532" s="1"/>
      <c r="G532" s="1"/>
      <c r="H532" s="1"/>
      <c r="I532" s="1"/>
      <c r="J532" s="1"/>
      <c r="K532" s="1"/>
      <c r="L532" s="1"/>
      <c r="M532" s="1"/>
      <c r="N532" s="1"/>
      <c r="O532" s="1"/>
      <c r="P532" s="1"/>
      <c r="Q532" s="1"/>
      <c r="R532" s="1"/>
      <c r="S532" s="1"/>
      <c r="T532" s="1"/>
      <c r="U532" s="2"/>
      <c r="V532" s="1"/>
      <c r="W532" s="1"/>
      <c r="X532" s="1"/>
      <c r="Y532" s="1"/>
      <c r="Z532" s="1"/>
    </row>
    <row r="533" spans="1:26" ht="24.75" customHeight="1">
      <c r="A533" s="1"/>
      <c r="B533" s="1"/>
      <c r="C533" s="1"/>
      <c r="D533" s="1"/>
      <c r="E533" s="1"/>
      <c r="F533" s="1"/>
      <c r="G533" s="1"/>
      <c r="H533" s="1"/>
      <c r="I533" s="1"/>
      <c r="J533" s="1"/>
      <c r="K533" s="1"/>
      <c r="L533" s="1"/>
      <c r="M533" s="1"/>
      <c r="N533" s="1"/>
      <c r="O533" s="1"/>
      <c r="P533" s="1"/>
      <c r="Q533" s="1"/>
      <c r="R533" s="1"/>
      <c r="S533" s="1"/>
      <c r="T533" s="1"/>
      <c r="U533" s="2"/>
      <c r="V533" s="1"/>
      <c r="W533" s="1"/>
      <c r="X533" s="1"/>
      <c r="Y533" s="1"/>
      <c r="Z533" s="1"/>
    </row>
    <row r="534" spans="1:26" ht="24.75" customHeight="1">
      <c r="A534" s="1"/>
      <c r="B534" s="1"/>
      <c r="C534" s="1"/>
      <c r="D534" s="1"/>
      <c r="E534" s="1"/>
      <c r="F534" s="1"/>
      <c r="G534" s="1"/>
      <c r="H534" s="1"/>
      <c r="I534" s="1"/>
      <c r="J534" s="1"/>
      <c r="K534" s="1"/>
      <c r="L534" s="1"/>
      <c r="M534" s="1"/>
      <c r="N534" s="1"/>
      <c r="O534" s="1"/>
      <c r="P534" s="1"/>
      <c r="Q534" s="1"/>
      <c r="R534" s="1"/>
      <c r="S534" s="1"/>
      <c r="T534" s="1"/>
      <c r="U534" s="2"/>
      <c r="V534" s="1"/>
      <c r="W534" s="1"/>
      <c r="X534" s="1"/>
      <c r="Y534" s="1"/>
      <c r="Z534" s="1"/>
    </row>
    <row r="535" spans="1:26" ht="24.75" customHeight="1">
      <c r="A535" s="1"/>
      <c r="B535" s="1"/>
      <c r="C535" s="1"/>
      <c r="D535" s="1"/>
      <c r="E535" s="1"/>
      <c r="F535" s="1"/>
      <c r="G535" s="1"/>
      <c r="H535" s="1"/>
      <c r="I535" s="1"/>
      <c r="J535" s="1"/>
      <c r="K535" s="1"/>
      <c r="L535" s="1"/>
      <c r="M535" s="1"/>
      <c r="N535" s="1"/>
      <c r="O535" s="1"/>
      <c r="P535" s="1"/>
      <c r="Q535" s="1"/>
      <c r="R535" s="1"/>
      <c r="S535" s="1"/>
      <c r="T535" s="1"/>
      <c r="U535" s="2"/>
      <c r="V535" s="1"/>
      <c r="W535" s="1"/>
      <c r="X535" s="1"/>
      <c r="Y535" s="1"/>
      <c r="Z535" s="1"/>
    </row>
    <row r="536" spans="1:26" ht="24.75" customHeight="1">
      <c r="A536" s="1"/>
      <c r="B536" s="1"/>
      <c r="C536" s="1"/>
      <c r="D536" s="1"/>
      <c r="E536" s="1"/>
      <c r="F536" s="1"/>
      <c r="G536" s="1"/>
      <c r="H536" s="1"/>
      <c r="I536" s="1"/>
      <c r="J536" s="1"/>
      <c r="K536" s="1"/>
      <c r="L536" s="1"/>
      <c r="M536" s="1"/>
      <c r="N536" s="1"/>
      <c r="O536" s="1"/>
      <c r="P536" s="1"/>
      <c r="Q536" s="1"/>
      <c r="R536" s="1"/>
      <c r="S536" s="1"/>
      <c r="T536" s="1"/>
      <c r="U536" s="2"/>
      <c r="V536" s="1"/>
      <c r="W536" s="1"/>
      <c r="X536" s="1"/>
      <c r="Y536" s="1"/>
      <c r="Z536" s="1"/>
    </row>
    <row r="537" spans="1:26" ht="24.75" customHeight="1">
      <c r="A537" s="1"/>
      <c r="B537" s="1"/>
      <c r="C537" s="1"/>
      <c r="D537" s="1"/>
      <c r="E537" s="1"/>
      <c r="F537" s="1"/>
      <c r="G537" s="1"/>
      <c r="H537" s="1"/>
      <c r="I537" s="1"/>
      <c r="J537" s="1"/>
      <c r="K537" s="1"/>
      <c r="L537" s="1"/>
      <c r="M537" s="1"/>
      <c r="N537" s="1"/>
      <c r="O537" s="1"/>
      <c r="P537" s="1"/>
      <c r="Q537" s="1"/>
      <c r="R537" s="1"/>
      <c r="S537" s="1"/>
      <c r="T537" s="1"/>
      <c r="U537" s="2"/>
      <c r="V537" s="1"/>
      <c r="W537" s="1"/>
      <c r="X537" s="1"/>
      <c r="Y537" s="1"/>
      <c r="Z537" s="1"/>
    </row>
    <row r="538" spans="1:26" ht="24.75" customHeight="1">
      <c r="A538" s="1"/>
      <c r="B538" s="1"/>
      <c r="C538" s="1"/>
      <c r="D538" s="1"/>
      <c r="E538" s="1"/>
      <c r="F538" s="1"/>
      <c r="G538" s="1"/>
      <c r="H538" s="1"/>
      <c r="I538" s="1"/>
      <c r="J538" s="1"/>
      <c r="K538" s="1"/>
      <c r="L538" s="1"/>
      <c r="M538" s="1"/>
      <c r="N538" s="1"/>
      <c r="O538" s="1"/>
      <c r="P538" s="1"/>
      <c r="Q538" s="1"/>
      <c r="R538" s="1"/>
      <c r="S538" s="1"/>
      <c r="T538" s="1"/>
      <c r="U538" s="2"/>
      <c r="V538" s="1"/>
      <c r="W538" s="1"/>
      <c r="X538" s="1"/>
      <c r="Y538" s="1"/>
      <c r="Z538" s="1"/>
    </row>
    <row r="539" spans="1:26" ht="24.75" customHeight="1">
      <c r="A539" s="1"/>
      <c r="B539" s="1"/>
      <c r="C539" s="1"/>
      <c r="D539" s="1"/>
      <c r="E539" s="1"/>
      <c r="F539" s="1"/>
      <c r="G539" s="1"/>
      <c r="H539" s="1"/>
      <c r="I539" s="1"/>
      <c r="J539" s="1"/>
      <c r="K539" s="1"/>
      <c r="L539" s="1"/>
      <c r="M539" s="1"/>
      <c r="N539" s="1"/>
      <c r="O539" s="1"/>
      <c r="P539" s="1"/>
      <c r="Q539" s="1"/>
      <c r="R539" s="1"/>
      <c r="S539" s="1"/>
      <c r="T539" s="1"/>
      <c r="U539" s="2"/>
      <c r="V539" s="1"/>
      <c r="W539" s="1"/>
      <c r="X539" s="1"/>
      <c r="Y539" s="1"/>
      <c r="Z539" s="1"/>
    </row>
    <row r="540" spans="1:26" ht="24.75" customHeight="1">
      <c r="A540" s="1"/>
      <c r="B540" s="1"/>
      <c r="C540" s="1"/>
      <c r="D540" s="1"/>
      <c r="E540" s="1"/>
      <c r="F540" s="1"/>
      <c r="G540" s="1"/>
      <c r="H540" s="1"/>
      <c r="I540" s="1"/>
      <c r="J540" s="1"/>
      <c r="K540" s="1"/>
      <c r="L540" s="1"/>
      <c r="M540" s="1"/>
      <c r="N540" s="1"/>
      <c r="O540" s="1"/>
      <c r="P540" s="1"/>
      <c r="Q540" s="1"/>
      <c r="R540" s="1"/>
      <c r="S540" s="1"/>
      <c r="T540" s="1"/>
      <c r="U540" s="2"/>
      <c r="V540" s="1"/>
      <c r="W540" s="1"/>
      <c r="X540" s="1"/>
      <c r="Y540" s="1"/>
      <c r="Z540" s="1"/>
    </row>
    <row r="541" spans="1:26" ht="24.75" customHeight="1">
      <c r="A541" s="1"/>
      <c r="B541" s="1"/>
      <c r="C541" s="1"/>
      <c r="D541" s="1"/>
      <c r="E541" s="1"/>
      <c r="F541" s="1"/>
      <c r="G541" s="1"/>
      <c r="H541" s="1"/>
      <c r="I541" s="1"/>
      <c r="J541" s="1"/>
      <c r="K541" s="1"/>
      <c r="L541" s="1"/>
      <c r="M541" s="1"/>
      <c r="N541" s="1"/>
      <c r="O541" s="1"/>
      <c r="P541" s="1"/>
      <c r="Q541" s="1"/>
      <c r="R541" s="1"/>
      <c r="S541" s="1"/>
      <c r="T541" s="1"/>
      <c r="U541" s="2"/>
      <c r="V541" s="1"/>
      <c r="W541" s="1"/>
      <c r="X541" s="1"/>
      <c r="Y541" s="1"/>
      <c r="Z541" s="1"/>
    </row>
    <row r="542" spans="1:26" ht="24.75" customHeight="1">
      <c r="A542" s="1"/>
      <c r="B542" s="1"/>
      <c r="C542" s="1"/>
      <c r="D542" s="1"/>
      <c r="E542" s="1"/>
      <c r="F542" s="1"/>
      <c r="G542" s="1"/>
      <c r="H542" s="1"/>
      <c r="I542" s="1"/>
      <c r="J542" s="1"/>
      <c r="K542" s="1"/>
      <c r="L542" s="1"/>
      <c r="M542" s="1"/>
      <c r="N542" s="1"/>
      <c r="O542" s="1"/>
      <c r="P542" s="1"/>
      <c r="Q542" s="1"/>
      <c r="R542" s="1"/>
      <c r="S542" s="1"/>
      <c r="T542" s="1"/>
      <c r="U542" s="2"/>
      <c r="V542" s="1"/>
      <c r="W542" s="1"/>
      <c r="X542" s="1"/>
      <c r="Y542" s="1"/>
      <c r="Z542" s="1"/>
    </row>
    <row r="543" spans="1:26" ht="24.75" customHeight="1">
      <c r="A543" s="1"/>
      <c r="B543" s="1"/>
      <c r="C543" s="1"/>
      <c r="D543" s="1"/>
      <c r="E543" s="1"/>
      <c r="F543" s="1"/>
      <c r="G543" s="1"/>
      <c r="H543" s="1"/>
      <c r="I543" s="1"/>
      <c r="J543" s="1"/>
      <c r="K543" s="1"/>
      <c r="L543" s="1"/>
      <c r="M543" s="1"/>
      <c r="N543" s="1"/>
      <c r="O543" s="1"/>
      <c r="P543" s="1"/>
      <c r="Q543" s="1"/>
      <c r="R543" s="1"/>
      <c r="S543" s="1"/>
      <c r="T543" s="1"/>
      <c r="U543" s="2"/>
      <c r="V543" s="1"/>
      <c r="W543" s="1"/>
      <c r="X543" s="1"/>
      <c r="Y543" s="1"/>
      <c r="Z543" s="1"/>
    </row>
    <row r="544" spans="1:26" ht="24.75" customHeight="1">
      <c r="A544" s="1"/>
      <c r="B544" s="1"/>
      <c r="C544" s="1"/>
      <c r="D544" s="1"/>
      <c r="E544" s="1"/>
      <c r="F544" s="1"/>
      <c r="G544" s="1"/>
      <c r="H544" s="1"/>
      <c r="I544" s="1"/>
      <c r="J544" s="1"/>
      <c r="K544" s="1"/>
      <c r="L544" s="1"/>
      <c r="M544" s="1"/>
      <c r="N544" s="1"/>
      <c r="O544" s="1"/>
      <c r="P544" s="1"/>
      <c r="Q544" s="1"/>
      <c r="R544" s="1"/>
      <c r="S544" s="1"/>
      <c r="T544" s="1"/>
      <c r="U544" s="2"/>
      <c r="V544" s="1"/>
      <c r="W544" s="1"/>
      <c r="X544" s="1"/>
      <c r="Y544" s="1"/>
      <c r="Z544" s="1"/>
    </row>
    <row r="545" spans="1:26" ht="24.75" customHeight="1">
      <c r="A545" s="1"/>
      <c r="B545" s="1"/>
      <c r="C545" s="1"/>
      <c r="D545" s="1"/>
      <c r="E545" s="1"/>
      <c r="F545" s="1"/>
      <c r="G545" s="1"/>
      <c r="H545" s="1"/>
      <c r="I545" s="1"/>
      <c r="J545" s="1"/>
      <c r="K545" s="1"/>
      <c r="L545" s="1"/>
      <c r="M545" s="1"/>
      <c r="N545" s="1"/>
      <c r="O545" s="1"/>
      <c r="P545" s="1"/>
      <c r="Q545" s="1"/>
      <c r="R545" s="1"/>
      <c r="S545" s="1"/>
      <c r="T545" s="1"/>
      <c r="U545" s="2"/>
      <c r="V545" s="1"/>
      <c r="W545" s="1"/>
      <c r="X545" s="1"/>
      <c r="Y545" s="1"/>
      <c r="Z545" s="1"/>
    </row>
    <row r="546" spans="1:26" ht="24.75" customHeight="1">
      <c r="A546" s="1"/>
      <c r="B546" s="1"/>
      <c r="C546" s="1"/>
      <c r="D546" s="1"/>
      <c r="E546" s="1"/>
      <c r="F546" s="1"/>
      <c r="G546" s="1"/>
      <c r="H546" s="1"/>
      <c r="I546" s="1"/>
      <c r="J546" s="1"/>
      <c r="K546" s="1"/>
      <c r="L546" s="1"/>
      <c r="M546" s="1"/>
      <c r="N546" s="1"/>
      <c r="O546" s="1"/>
      <c r="P546" s="1"/>
      <c r="Q546" s="1"/>
      <c r="R546" s="1"/>
      <c r="S546" s="1"/>
      <c r="T546" s="1"/>
      <c r="U546" s="2"/>
      <c r="V546" s="1"/>
      <c r="W546" s="1"/>
      <c r="X546" s="1"/>
      <c r="Y546" s="1"/>
      <c r="Z546" s="1"/>
    </row>
    <row r="547" spans="1:26" ht="24.75" customHeight="1">
      <c r="A547" s="1"/>
      <c r="B547" s="1"/>
      <c r="C547" s="1"/>
      <c r="D547" s="1"/>
      <c r="E547" s="1"/>
      <c r="F547" s="1"/>
      <c r="G547" s="1"/>
      <c r="H547" s="1"/>
      <c r="I547" s="1"/>
      <c r="J547" s="1"/>
      <c r="K547" s="1"/>
      <c r="L547" s="1"/>
      <c r="M547" s="1"/>
      <c r="N547" s="1"/>
      <c r="O547" s="1"/>
      <c r="P547" s="1"/>
      <c r="Q547" s="1"/>
      <c r="R547" s="1"/>
      <c r="S547" s="1"/>
      <c r="T547" s="1"/>
      <c r="U547" s="2"/>
      <c r="V547" s="1"/>
      <c r="W547" s="1"/>
      <c r="X547" s="1"/>
      <c r="Y547" s="1"/>
      <c r="Z547" s="1"/>
    </row>
    <row r="548" spans="1:26" ht="24.75" customHeight="1">
      <c r="A548" s="1"/>
      <c r="B548" s="1"/>
      <c r="C548" s="1"/>
      <c r="D548" s="1"/>
      <c r="E548" s="1"/>
      <c r="F548" s="1"/>
      <c r="G548" s="1"/>
      <c r="H548" s="1"/>
      <c r="I548" s="1"/>
      <c r="J548" s="1"/>
      <c r="K548" s="1"/>
      <c r="L548" s="1"/>
      <c r="M548" s="1"/>
      <c r="N548" s="1"/>
      <c r="O548" s="1"/>
      <c r="P548" s="1"/>
      <c r="Q548" s="1"/>
      <c r="R548" s="1"/>
      <c r="S548" s="1"/>
      <c r="T548" s="1"/>
      <c r="U548" s="2"/>
      <c r="V548" s="1"/>
      <c r="W548" s="1"/>
      <c r="X548" s="1"/>
      <c r="Y548" s="1"/>
      <c r="Z548" s="1"/>
    </row>
    <row r="549" spans="1:26" ht="24.75" customHeight="1">
      <c r="A549" s="1"/>
      <c r="B549" s="1"/>
      <c r="C549" s="1"/>
      <c r="D549" s="1"/>
      <c r="E549" s="1"/>
      <c r="F549" s="1"/>
      <c r="G549" s="1"/>
      <c r="H549" s="1"/>
      <c r="I549" s="1"/>
      <c r="J549" s="1"/>
      <c r="K549" s="1"/>
      <c r="L549" s="1"/>
      <c r="M549" s="1"/>
      <c r="N549" s="1"/>
      <c r="O549" s="1"/>
      <c r="P549" s="1"/>
      <c r="Q549" s="1"/>
      <c r="R549" s="1"/>
      <c r="S549" s="1"/>
      <c r="T549" s="1"/>
      <c r="U549" s="2"/>
      <c r="V549" s="1"/>
      <c r="W549" s="1"/>
      <c r="X549" s="1"/>
      <c r="Y549" s="1"/>
      <c r="Z549" s="1"/>
    </row>
    <row r="550" spans="1:26" ht="24.75" customHeight="1">
      <c r="A550" s="1"/>
      <c r="B550" s="1"/>
      <c r="C550" s="1"/>
      <c r="D550" s="1"/>
      <c r="E550" s="1"/>
      <c r="F550" s="1"/>
      <c r="G550" s="1"/>
      <c r="H550" s="1"/>
      <c r="I550" s="1"/>
      <c r="J550" s="1"/>
      <c r="K550" s="1"/>
      <c r="L550" s="1"/>
      <c r="M550" s="1"/>
      <c r="N550" s="1"/>
      <c r="O550" s="1"/>
      <c r="P550" s="1"/>
      <c r="Q550" s="1"/>
      <c r="R550" s="1"/>
      <c r="S550" s="1"/>
      <c r="T550" s="1"/>
      <c r="U550" s="2"/>
      <c r="V550" s="1"/>
      <c r="W550" s="1"/>
      <c r="X550" s="1"/>
      <c r="Y550" s="1"/>
      <c r="Z550" s="1"/>
    </row>
    <row r="551" spans="1:26" ht="24.75" customHeight="1">
      <c r="A551" s="1"/>
      <c r="B551" s="1"/>
      <c r="C551" s="1"/>
      <c r="D551" s="1"/>
      <c r="E551" s="1"/>
      <c r="F551" s="1"/>
      <c r="G551" s="1"/>
      <c r="H551" s="1"/>
      <c r="I551" s="1"/>
      <c r="J551" s="1"/>
      <c r="K551" s="1"/>
      <c r="L551" s="1"/>
      <c r="M551" s="1"/>
      <c r="N551" s="1"/>
      <c r="O551" s="1"/>
      <c r="P551" s="1"/>
      <c r="Q551" s="1"/>
      <c r="R551" s="1"/>
      <c r="S551" s="1"/>
      <c r="T551" s="1"/>
      <c r="U551" s="2"/>
      <c r="V551" s="1"/>
      <c r="W551" s="1"/>
      <c r="X551" s="1"/>
      <c r="Y551" s="1"/>
      <c r="Z551" s="1"/>
    </row>
    <row r="552" spans="1:26" ht="24.75" customHeight="1">
      <c r="A552" s="1"/>
      <c r="B552" s="1"/>
      <c r="C552" s="1"/>
      <c r="D552" s="1"/>
      <c r="E552" s="1"/>
      <c r="F552" s="1"/>
      <c r="G552" s="1"/>
      <c r="H552" s="1"/>
      <c r="I552" s="1"/>
      <c r="J552" s="1"/>
      <c r="K552" s="1"/>
      <c r="L552" s="1"/>
      <c r="M552" s="1"/>
      <c r="N552" s="1"/>
      <c r="O552" s="1"/>
      <c r="P552" s="1"/>
      <c r="Q552" s="1"/>
      <c r="R552" s="1"/>
      <c r="S552" s="1"/>
      <c r="T552" s="1"/>
      <c r="U552" s="2"/>
      <c r="V552" s="1"/>
      <c r="W552" s="1"/>
      <c r="X552" s="1"/>
      <c r="Y552" s="1"/>
      <c r="Z552" s="1"/>
    </row>
    <row r="553" spans="1:26" ht="24.75" customHeight="1">
      <c r="A553" s="1"/>
      <c r="B553" s="1"/>
      <c r="C553" s="1"/>
      <c r="D553" s="1"/>
      <c r="E553" s="1"/>
      <c r="F553" s="1"/>
      <c r="G553" s="1"/>
      <c r="H553" s="1"/>
      <c r="I553" s="1"/>
      <c r="J553" s="1"/>
      <c r="K553" s="1"/>
      <c r="L553" s="1"/>
      <c r="M553" s="1"/>
      <c r="N553" s="1"/>
      <c r="O553" s="1"/>
      <c r="P553" s="1"/>
      <c r="Q553" s="1"/>
      <c r="R553" s="1"/>
      <c r="S553" s="1"/>
      <c r="T553" s="1"/>
      <c r="U553" s="2"/>
      <c r="V553" s="1"/>
      <c r="W553" s="1"/>
      <c r="X553" s="1"/>
      <c r="Y553" s="1"/>
      <c r="Z553" s="1"/>
    </row>
    <row r="554" spans="1:26" ht="24.75" customHeight="1">
      <c r="A554" s="1"/>
      <c r="B554" s="1"/>
      <c r="C554" s="1"/>
      <c r="D554" s="1"/>
      <c r="E554" s="1"/>
      <c r="F554" s="1"/>
      <c r="G554" s="1"/>
      <c r="H554" s="1"/>
      <c r="I554" s="1"/>
      <c r="J554" s="1"/>
      <c r="K554" s="1"/>
      <c r="L554" s="1"/>
      <c r="M554" s="1"/>
      <c r="N554" s="1"/>
      <c r="O554" s="1"/>
      <c r="P554" s="1"/>
      <c r="Q554" s="1"/>
      <c r="R554" s="1"/>
      <c r="S554" s="1"/>
      <c r="T554" s="1"/>
      <c r="U554" s="2"/>
      <c r="V554" s="1"/>
      <c r="W554" s="1"/>
      <c r="X554" s="1"/>
      <c r="Y554" s="1"/>
      <c r="Z554" s="1"/>
    </row>
    <row r="555" spans="1:26" ht="24.75" customHeight="1">
      <c r="A555" s="1"/>
      <c r="B555" s="1"/>
      <c r="C555" s="1"/>
      <c r="D555" s="1"/>
      <c r="E555" s="1"/>
      <c r="F555" s="1"/>
      <c r="G555" s="1"/>
      <c r="H555" s="1"/>
      <c r="I555" s="1"/>
      <c r="J555" s="1"/>
      <c r="K555" s="1"/>
      <c r="L555" s="1"/>
      <c r="M555" s="1"/>
      <c r="N555" s="1"/>
      <c r="O555" s="1"/>
      <c r="P555" s="1"/>
      <c r="Q555" s="1"/>
      <c r="R555" s="1"/>
      <c r="S555" s="1"/>
      <c r="T555" s="1"/>
      <c r="U555" s="2"/>
      <c r="V555" s="1"/>
      <c r="W555" s="1"/>
      <c r="X555" s="1"/>
      <c r="Y555" s="1"/>
      <c r="Z555" s="1"/>
    </row>
    <row r="556" spans="1:26" ht="24.75" customHeight="1">
      <c r="A556" s="1"/>
      <c r="B556" s="1"/>
      <c r="C556" s="1"/>
      <c r="D556" s="1"/>
      <c r="E556" s="1"/>
      <c r="F556" s="1"/>
      <c r="G556" s="1"/>
      <c r="H556" s="1"/>
      <c r="I556" s="1"/>
      <c r="J556" s="1"/>
      <c r="K556" s="1"/>
      <c r="L556" s="1"/>
      <c r="M556" s="1"/>
      <c r="N556" s="1"/>
      <c r="O556" s="1"/>
      <c r="P556" s="1"/>
      <c r="Q556" s="1"/>
      <c r="R556" s="1"/>
      <c r="S556" s="1"/>
      <c r="T556" s="1"/>
      <c r="U556" s="2"/>
      <c r="V556" s="1"/>
      <c r="W556" s="1"/>
      <c r="X556" s="1"/>
      <c r="Y556" s="1"/>
      <c r="Z556" s="1"/>
    </row>
    <row r="557" spans="1:26" ht="24.75" customHeight="1">
      <c r="A557" s="1"/>
      <c r="B557" s="1"/>
      <c r="C557" s="1"/>
      <c r="D557" s="1"/>
      <c r="E557" s="1"/>
      <c r="F557" s="1"/>
      <c r="G557" s="1"/>
      <c r="H557" s="1"/>
      <c r="I557" s="1"/>
      <c r="J557" s="1"/>
      <c r="K557" s="1"/>
      <c r="L557" s="1"/>
      <c r="M557" s="1"/>
      <c r="N557" s="1"/>
      <c r="O557" s="1"/>
      <c r="P557" s="1"/>
      <c r="Q557" s="1"/>
      <c r="R557" s="1"/>
      <c r="S557" s="1"/>
      <c r="T557" s="1"/>
      <c r="U557" s="2"/>
      <c r="V557" s="1"/>
      <c r="W557" s="1"/>
      <c r="X557" s="1"/>
      <c r="Y557" s="1"/>
      <c r="Z557" s="1"/>
    </row>
    <row r="558" spans="1:26" ht="24.75" customHeight="1">
      <c r="A558" s="1"/>
      <c r="B558" s="1"/>
      <c r="C558" s="1"/>
      <c r="D558" s="1"/>
      <c r="E558" s="1"/>
      <c r="F558" s="1"/>
      <c r="G558" s="1"/>
      <c r="H558" s="1"/>
      <c r="I558" s="1"/>
      <c r="J558" s="1"/>
      <c r="K558" s="1"/>
      <c r="L558" s="1"/>
      <c r="M558" s="1"/>
      <c r="N558" s="1"/>
      <c r="O558" s="1"/>
      <c r="P558" s="1"/>
      <c r="Q558" s="1"/>
      <c r="R558" s="1"/>
      <c r="S558" s="1"/>
      <c r="T558" s="1"/>
      <c r="U558" s="2"/>
      <c r="V558" s="1"/>
      <c r="W558" s="1"/>
      <c r="X558" s="1"/>
      <c r="Y558" s="1"/>
      <c r="Z558" s="1"/>
    </row>
    <row r="559" spans="1:26" ht="24.75" customHeight="1">
      <c r="A559" s="1"/>
      <c r="B559" s="1"/>
      <c r="C559" s="1"/>
      <c r="D559" s="1"/>
      <c r="E559" s="1"/>
      <c r="F559" s="1"/>
      <c r="G559" s="1"/>
      <c r="H559" s="1"/>
      <c r="I559" s="1"/>
      <c r="J559" s="1"/>
      <c r="K559" s="1"/>
      <c r="L559" s="1"/>
      <c r="M559" s="1"/>
      <c r="N559" s="1"/>
      <c r="O559" s="1"/>
      <c r="P559" s="1"/>
      <c r="Q559" s="1"/>
      <c r="R559" s="1"/>
      <c r="S559" s="1"/>
      <c r="T559" s="1"/>
      <c r="U559" s="2"/>
      <c r="V559" s="1"/>
      <c r="W559" s="1"/>
      <c r="X559" s="1"/>
      <c r="Y559" s="1"/>
      <c r="Z559" s="1"/>
    </row>
    <row r="560" spans="1:26" ht="24.75" customHeight="1">
      <c r="A560" s="1"/>
      <c r="B560" s="1"/>
      <c r="C560" s="1"/>
      <c r="D560" s="1"/>
      <c r="E560" s="1"/>
      <c r="F560" s="1"/>
      <c r="G560" s="1"/>
      <c r="H560" s="1"/>
      <c r="I560" s="1"/>
      <c r="J560" s="1"/>
      <c r="K560" s="1"/>
      <c r="L560" s="1"/>
      <c r="M560" s="1"/>
      <c r="N560" s="1"/>
      <c r="O560" s="1"/>
      <c r="P560" s="1"/>
      <c r="Q560" s="1"/>
      <c r="R560" s="1"/>
      <c r="S560" s="1"/>
      <c r="T560" s="1"/>
      <c r="U560" s="2"/>
      <c r="V560" s="1"/>
      <c r="W560" s="1"/>
      <c r="X560" s="1"/>
      <c r="Y560" s="1"/>
      <c r="Z560" s="1"/>
    </row>
    <row r="561" spans="1:26" ht="24.75" customHeight="1">
      <c r="A561" s="1"/>
      <c r="B561" s="1"/>
      <c r="C561" s="1"/>
      <c r="D561" s="1"/>
      <c r="E561" s="1"/>
      <c r="F561" s="1"/>
      <c r="G561" s="1"/>
      <c r="H561" s="1"/>
      <c r="I561" s="1"/>
      <c r="J561" s="1"/>
      <c r="K561" s="1"/>
      <c r="L561" s="1"/>
      <c r="M561" s="1"/>
      <c r="N561" s="1"/>
      <c r="O561" s="1"/>
      <c r="P561" s="1"/>
      <c r="Q561" s="1"/>
      <c r="R561" s="1"/>
      <c r="S561" s="1"/>
      <c r="T561" s="1"/>
      <c r="U561" s="2"/>
      <c r="V561" s="1"/>
      <c r="W561" s="1"/>
      <c r="X561" s="1"/>
      <c r="Y561" s="1"/>
      <c r="Z561" s="1"/>
    </row>
    <row r="562" spans="1:26" ht="24.75" customHeight="1">
      <c r="A562" s="1"/>
      <c r="B562" s="1"/>
      <c r="C562" s="1"/>
      <c r="D562" s="1"/>
      <c r="E562" s="1"/>
      <c r="F562" s="1"/>
      <c r="G562" s="1"/>
      <c r="H562" s="1"/>
      <c r="I562" s="1"/>
      <c r="J562" s="1"/>
      <c r="K562" s="1"/>
      <c r="L562" s="1"/>
      <c r="M562" s="1"/>
      <c r="N562" s="1"/>
      <c r="O562" s="1"/>
      <c r="P562" s="1"/>
      <c r="Q562" s="1"/>
      <c r="R562" s="1"/>
      <c r="S562" s="1"/>
      <c r="T562" s="1"/>
      <c r="U562" s="2"/>
      <c r="V562" s="1"/>
      <c r="W562" s="1"/>
      <c r="X562" s="1"/>
      <c r="Y562" s="1"/>
      <c r="Z562" s="1"/>
    </row>
    <row r="563" spans="1:26" ht="24.75" customHeight="1">
      <c r="A563" s="1"/>
      <c r="B563" s="1"/>
      <c r="C563" s="1"/>
      <c r="D563" s="1"/>
      <c r="E563" s="1"/>
      <c r="F563" s="1"/>
      <c r="G563" s="1"/>
      <c r="H563" s="1"/>
      <c r="I563" s="1"/>
      <c r="J563" s="1"/>
      <c r="K563" s="1"/>
      <c r="L563" s="1"/>
      <c r="M563" s="1"/>
      <c r="N563" s="1"/>
      <c r="O563" s="1"/>
      <c r="P563" s="1"/>
      <c r="Q563" s="1"/>
      <c r="R563" s="1"/>
      <c r="S563" s="1"/>
      <c r="T563" s="1"/>
      <c r="U563" s="2"/>
      <c r="V563" s="1"/>
      <c r="W563" s="1"/>
      <c r="X563" s="1"/>
      <c r="Y563" s="1"/>
      <c r="Z563" s="1"/>
    </row>
    <row r="564" spans="1:26" ht="24.75" customHeight="1">
      <c r="A564" s="1"/>
      <c r="B564" s="1"/>
      <c r="C564" s="1"/>
      <c r="D564" s="1"/>
      <c r="E564" s="1"/>
      <c r="F564" s="1"/>
      <c r="G564" s="1"/>
      <c r="H564" s="1"/>
      <c r="I564" s="1"/>
      <c r="J564" s="1"/>
      <c r="K564" s="1"/>
      <c r="L564" s="1"/>
      <c r="M564" s="1"/>
      <c r="N564" s="1"/>
      <c r="O564" s="1"/>
      <c r="P564" s="1"/>
      <c r="Q564" s="1"/>
      <c r="R564" s="1"/>
      <c r="S564" s="1"/>
      <c r="T564" s="1"/>
      <c r="U564" s="2"/>
      <c r="V564" s="1"/>
      <c r="W564" s="1"/>
      <c r="X564" s="1"/>
      <c r="Y564" s="1"/>
      <c r="Z564" s="1"/>
    </row>
    <row r="565" spans="1:26" ht="24.75" customHeight="1">
      <c r="A565" s="1"/>
      <c r="B565" s="1"/>
      <c r="C565" s="1"/>
      <c r="D565" s="1"/>
      <c r="E565" s="1"/>
      <c r="F565" s="1"/>
      <c r="G565" s="1"/>
      <c r="H565" s="1"/>
      <c r="I565" s="1"/>
      <c r="J565" s="1"/>
      <c r="K565" s="1"/>
      <c r="L565" s="1"/>
      <c r="M565" s="1"/>
      <c r="N565" s="1"/>
      <c r="O565" s="1"/>
      <c r="P565" s="1"/>
      <c r="Q565" s="1"/>
      <c r="R565" s="1"/>
      <c r="S565" s="1"/>
      <c r="T565" s="1"/>
      <c r="U565" s="2"/>
      <c r="V565" s="1"/>
      <c r="W565" s="1"/>
      <c r="X565" s="1"/>
      <c r="Y565" s="1"/>
      <c r="Z565" s="1"/>
    </row>
    <row r="566" spans="1:26" ht="24.75" customHeight="1">
      <c r="A566" s="1"/>
      <c r="B566" s="1"/>
      <c r="C566" s="1"/>
      <c r="D566" s="1"/>
      <c r="E566" s="1"/>
      <c r="F566" s="1"/>
      <c r="G566" s="1"/>
      <c r="H566" s="1"/>
      <c r="I566" s="1"/>
      <c r="J566" s="1"/>
      <c r="K566" s="1"/>
      <c r="L566" s="1"/>
      <c r="M566" s="1"/>
      <c r="N566" s="1"/>
      <c r="O566" s="1"/>
      <c r="P566" s="1"/>
      <c r="Q566" s="1"/>
      <c r="R566" s="1"/>
      <c r="S566" s="1"/>
      <c r="T566" s="1"/>
      <c r="U566" s="2"/>
      <c r="V566" s="1"/>
      <c r="W566" s="1"/>
      <c r="X566" s="1"/>
      <c r="Y566" s="1"/>
      <c r="Z566" s="1"/>
    </row>
    <row r="567" spans="1:26" ht="24.75" customHeight="1">
      <c r="A567" s="1"/>
      <c r="B567" s="1"/>
      <c r="C567" s="1"/>
      <c r="D567" s="1"/>
      <c r="E567" s="1"/>
      <c r="F567" s="1"/>
      <c r="G567" s="1"/>
      <c r="H567" s="1"/>
      <c r="I567" s="1"/>
      <c r="J567" s="1"/>
      <c r="K567" s="1"/>
      <c r="L567" s="1"/>
      <c r="M567" s="1"/>
      <c r="N567" s="1"/>
      <c r="O567" s="1"/>
      <c r="P567" s="1"/>
      <c r="Q567" s="1"/>
      <c r="R567" s="1"/>
      <c r="S567" s="1"/>
      <c r="T567" s="1"/>
      <c r="U567" s="2"/>
      <c r="V567" s="1"/>
      <c r="W567" s="1"/>
      <c r="X567" s="1"/>
      <c r="Y567" s="1"/>
      <c r="Z567" s="1"/>
    </row>
    <row r="568" spans="1:26" ht="24.75" customHeight="1">
      <c r="A568" s="1"/>
      <c r="B568" s="1"/>
      <c r="C568" s="1"/>
      <c r="D568" s="1"/>
      <c r="E568" s="1"/>
      <c r="F568" s="1"/>
      <c r="G568" s="1"/>
      <c r="H568" s="1"/>
      <c r="I568" s="1"/>
      <c r="J568" s="1"/>
      <c r="K568" s="1"/>
      <c r="L568" s="1"/>
      <c r="M568" s="1"/>
      <c r="N568" s="1"/>
      <c r="O568" s="1"/>
      <c r="P568" s="1"/>
      <c r="Q568" s="1"/>
      <c r="R568" s="1"/>
      <c r="S568" s="1"/>
      <c r="T568" s="1"/>
      <c r="U568" s="2"/>
      <c r="V568" s="1"/>
      <c r="W568" s="1"/>
      <c r="X568" s="1"/>
      <c r="Y568" s="1"/>
      <c r="Z568" s="1"/>
    </row>
    <row r="569" spans="1:26" ht="24.75" customHeight="1">
      <c r="A569" s="1"/>
      <c r="B569" s="1"/>
      <c r="C569" s="1"/>
      <c r="D569" s="1"/>
      <c r="E569" s="1"/>
      <c r="F569" s="1"/>
      <c r="G569" s="1"/>
      <c r="H569" s="1"/>
      <c r="I569" s="1"/>
      <c r="J569" s="1"/>
      <c r="K569" s="1"/>
      <c r="L569" s="1"/>
      <c r="M569" s="1"/>
      <c r="N569" s="1"/>
      <c r="O569" s="1"/>
      <c r="P569" s="1"/>
      <c r="Q569" s="1"/>
      <c r="R569" s="1"/>
      <c r="S569" s="1"/>
      <c r="T569" s="1"/>
      <c r="U569" s="2"/>
      <c r="V569" s="1"/>
      <c r="W569" s="1"/>
      <c r="X569" s="1"/>
      <c r="Y569" s="1"/>
      <c r="Z569" s="1"/>
    </row>
    <row r="570" spans="1:26" ht="24.75" customHeight="1">
      <c r="A570" s="1"/>
      <c r="B570" s="1"/>
      <c r="C570" s="1"/>
      <c r="D570" s="1"/>
      <c r="E570" s="1"/>
      <c r="F570" s="1"/>
      <c r="G570" s="1"/>
      <c r="H570" s="1"/>
      <c r="I570" s="1"/>
      <c r="J570" s="1"/>
      <c r="K570" s="1"/>
      <c r="L570" s="1"/>
      <c r="M570" s="1"/>
      <c r="N570" s="1"/>
      <c r="O570" s="1"/>
      <c r="P570" s="1"/>
      <c r="Q570" s="1"/>
      <c r="R570" s="1"/>
      <c r="S570" s="1"/>
      <c r="T570" s="1"/>
      <c r="U570" s="2"/>
      <c r="V570" s="1"/>
      <c r="W570" s="1"/>
      <c r="X570" s="1"/>
      <c r="Y570" s="1"/>
      <c r="Z570" s="1"/>
    </row>
    <row r="571" spans="1:26" ht="24.75" customHeight="1">
      <c r="A571" s="1"/>
      <c r="B571" s="1"/>
      <c r="C571" s="1"/>
      <c r="D571" s="1"/>
      <c r="E571" s="1"/>
      <c r="F571" s="1"/>
      <c r="G571" s="1"/>
      <c r="H571" s="1"/>
      <c r="I571" s="1"/>
      <c r="J571" s="1"/>
      <c r="K571" s="1"/>
      <c r="L571" s="1"/>
      <c r="M571" s="1"/>
      <c r="N571" s="1"/>
      <c r="O571" s="1"/>
      <c r="P571" s="1"/>
      <c r="Q571" s="1"/>
      <c r="R571" s="1"/>
      <c r="S571" s="1"/>
      <c r="T571" s="1"/>
      <c r="U571" s="2"/>
      <c r="V571" s="1"/>
      <c r="W571" s="1"/>
      <c r="X571" s="1"/>
      <c r="Y571" s="1"/>
      <c r="Z571" s="1"/>
    </row>
    <row r="572" spans="1:26" ht="24.75" customHeight="1">
      <c r="A572" s="1"/>
      <c r="B572" s="1"/>
      <c r="C572" s="1"/>
      <c r="D572" s="1"/>
      <c r="E572" s="1"/>
      <c r="F572" s="1"/>
      <c r="G572" s="1"/>
      <c r="H572" s="1"/>
      <c r="I572" s="1"/>
      <c r="J572" s="1"/>
      <c r="K572" s="1"/>
      <c r="L572" s="1"/>
      <c r="M572" s="1"/>
      <c r="N572" s="1"/>
      <c r="O572" s="1"/>
      <c r="P572" s="1"/>
      <c r="Q572" s="1"/>
      <c r="R572" s="1"/>
      <c r="S572" s="1"/>
      <c r="T572" s="1"/>
      <c r="U572" s="2"/>
      <c r="V572" s="1"/>
      <c r="W572" s="1"/>
      <c r="X572" s="1"/>
      <c r="Y572" s="1"/>
      <c r="Z572" s="1"/>
    </row>
    <row r="573" spans="1:26" ht="24.75" customHeight="1">
      <c r="A573" s="1"/>
      <c r="B573" s="1"/>
      <c r="C573" s="1"/>
      <c r="D573" s="1"/>
      <c r="E573" s="1"/>
      <c r="F573" s="1"/>
      <c r="G573" s="1"/>
      <c r="H573" s="1"/>
      <c r="I573" s="1"/>
      <c r="J573" s="1"/>
      <c r="K573" s="1"/>
      <c r="L573" s="1"/>
      <c r="M573" s="1"/>
      <c r="N573" s="1"/>
      <c r="O573" s="1"/>
      <c r="P573" s="1"/>
      <c r="Q573" s="1"/>
      <c r="R573" s="1"/>
      <c r="S573" s="1"/>
      <c r="T573" s="1"/>
      <c r="U573" s="2"/>
      <c r="V573" s="1"/>
      <c r="W573" s="1"/>
      <c r="X573" s="1"/>
      <c r="Y573" s="1"/>
      <c r="Z573" s="1"/>
    </row>
    <row r="574" spans="1:26" ht="24.75" customHeight="1">
      <c r="A574" s="1"/>
      <c r="B574" s="1"/>
      <c r="C574" s="1"/>
      <c r="D574" s="1"/>
      <c r="E574" s="1"/>
      <c r="F574" s="1"/>
      <c r="G574" s="1"/>
      <c r="H574" s="1"/>
      <c r="I574" s="1"/>
      <c r="J574" s="1"/>
      <c r="K574" s="1"/>
      <c r="L574" s="1"/>
      <c r="M574" s="1"/>
      <c r="N574" s="1"/>
      <c r="O574" s="1"/>
      <c r="P574" s="1"/>
      <c r="Q574" s="1"/>
      <c r="R574" s="1"/>
      <c r="S574" s="1"/>
      <c r="T574" s="1"/>
      <c r="U574" s="2"/>
      <c r="V574" s="1"/>
      <c r="W574" s="1"/>
      <c r="X574" s="1"/>
      <c r="Y574" s="1"/>
      <c r="Z574" s="1"/>
    </row>
    <row r="575" spans="1:26" ht="24.75" customHeight="1">
      <c r="A575" s="1"/>
      <c r="B575" s="1"/>
      <c r="C575" s="1"/>
      <c r="D575" s="1"/>
      <c r="E575" s="1"/>
      <c r="F575" s="1"/>
      <c r="G575" s="1"/>
      <c r="H575" s="1"/>
      <c r="I575" s="1"/>
      <c r="J575" s="1"/>
      <c r="K575" s="1"/>
      <c r="L575" s="1"/>
      <c r="M575" s="1"/>
      <c r="N575" s="1"/>
      <c r="O575" s="1"/>
      <c r="P575" s="1"/>
      <c r="Q575" s="1"/>
      <c r="R575" s="1"/>
      <c r="S575" s="1"/>
      <c r="T575" s="1"/>
      <c r="U575" s="2"/>
      <c r="V575" s="1"/>
      <c r="W575" s="1"/>
      <c r="X575" s="1"/>
      <c r="Y575" s="1"/>
      <c r="Z575" s="1"/>
    </row>
    <row r="576" spans="1:26" ht="24.75" customHeight="1">
      <c r="A576" s="1"/>
      <c r="B576" s="1"/>
      <c r="C576" s="1"/>
      <c r="D576" s="1"/>
      <c r="E576" s="1"/>
      <c r="F576" s="1"/>
      <c r="G576" s="1"/>
      <c r="H576" s="1"/>
      <c r="I576" s="1"/>
      <c r="J576" s="1"/>
      <c r="K576" s="1"/>
      <c r="L576" s="1"/>
      <c r="M576" s="1"/>
      <c r="N576" s="1"/>
      <c r="O576" s="1"/>
      <c r="P576" s="1"/>
      <c r="Q576" s="1"/>
      <c r="R576" s="1"/>
      <c r="S576" s="1"/>
      <c r="T576" s="1"/>
      <c r="U576" s="2"/>
      <c r="V576" s="1"/>
      <c r="W576" s="1"/>
      <c r="X576" s="1"/>
      <c r="Y576" s="1"/>
      <c r="Z576" s="1"/>
    </row>
    <row r="577" spans="1:26" ht="24.75" customHeight="1">
      <c r="A577" s="1"/>
      <c r="B577" s="1"/>
      <c r="C577" s="1"/>
      <c r="D577" s="1"/>
      <c r="E577" s="1"/>
      <c r="F577" s="1"/>
      <c r="G577" s="1"/>
      <c r="H577" s="1"/>
      <c r="I577" s="1"/>
      <c r="J577" s="1"/>
      <c r="K577" s="1"/>
      <c r="L577" s="1"/>
      <c r="M577" s="1"/>
      <c r="N577" s="1"/>
      <c r="O577" s="1"/>
      <c r="P577" s="1"/>
      <c r="Q577" s="1"/>
      <c r="R577" s="1"/>
      <c r="S577" s="1"/>
      <c r="T577" s="1"/>
      <c r="U577" s="2"/>
      <c r="V577" s="1"/>
      <c r="W577" s="1"/>
      <c r="X577" s="1"/>
      <c r="Y577" s="1"/>
      <c r="Z577" s="1"/>
    </row>
    <row r="578" spans="1:26" ht="24.75" customHeight="1">
      <c r="A578" s="1"/>
      <c r="B578" s="1"/>
      <c r="C578" s="1"/>
      <c r="D578" s="1"/>
      <c r="E578" s="1"/>
      <c r="F578" s="1"/>
      <c r="G578" s="1"/>
      <c r="H578" s="1"/>
      <c r="I578" s="1"/>
      <c r="J578" s="1"/>
      <c r="K578" s="1"/>
      <c r="L578" s="1"/>
      <c r="M578" s="1"/>
      <c r="N578" s="1"/>
      <c r="O578" s="1"/>
      <c r="P578" s="1"/>
      <c r="Q578" s="1"/>
      <c r="R578" s="1"/>
      <c r="S578" s="1"/>
      <c r="T578" s="1"/>
      <c r="U578" s="2"/>
      <c r="V578" s="1"/>
      <c r="W578" s="1"/>
      <c r="X578" s="1"/>
      <c r="Y578" s="1"/>
      <c r="Z578" s="1"/>
    </row>
    <row r="579" spans="1:26" ht="24.75" customHeight="1">
      <c r="A579" s="1"/>
      <c r="B579" s="1"/>
      <c r="C579" s="1"/>
      <c r="D579" s="1"/>
      <c r="E579" s="1"/>
      <c r="F579" s="1"/>
      <c r="G579" s="1"/>
      <c r="H579" s="1"/>
      <c r="I579" s="1"/>
      <c r="J579" s="1"/>
      <c r="K579" s="1"/>
      <c r="L579" s="1"/>
      <c r="M579" s="1"/>
      <c r="N579" s="1"/>
      <c r="O579" s="1"/>
      <c r="P579" s="1"/>
      <c r="Q579" s="1"/>
      <c r="R579" s="1"/>
      <c r="S579" s="1"/>
      <c r="T579" s="1"/>
      <c r="U579" s="2"/>
      <c r="V579" s="1"/>
      <c r="W579" s="1"/>
      <c r="X579" s="1"/>
      <c r="Y579" s="1"/>
      <c r="Z579" s="1"/>
    </row>
    <row r="580" spans="1:26" ht="24.75" customHeight="1">
      <c r="A580" s="1"/>
      <c r="B580" s="1"/>
      <c r="C580" s="1"/>
      <c r="D580" s="1"/>
      <c r="E580" s="1"/>
      <c r="F580" s="1"/>
      <c r="G580" s="1"/>
      <c r="H580" s="1"/>
      <c r="I580" s="1"/>
      <c r="J580" s="1"/>
      <c r="K580" s="1"/>
      <c r="L580" s="1"/>
      <c r="M580" s="1"/>
      <c r="N580" s="1"/>
      <c r="O580" s="1"/>
      <c r="P580" s="1"/>
      <c r="Q580" s="1"/>
      <c r="R580" s="1"/>
      <c r="S580" s="1"/>
      <c r="T580" s="1"/>
      <c r="U580" s="2"/>
      <c r="V580" s="1"/>
      <c r="W580" s="1"/>
      <c r="X580" s="1"/>
      <c r="Y580" s="1"/>
      <c r="Z580" s="1"/>
    </row>
    <row r="581" spans="1:26" ht="24.75" customHeight="1">
      <c r="A581" s="1"/>
      <c r="B581" s="1"/>
      <c r="C581" s="1"/>
      <c r="D581" s="1"/>
      <c r="E581" s="1"/>
      <c r="F581" s="1"/>
      <c r="G581" s="1"/>
      <c r="H581" s="1"/>
      <c r="I581" s="1"/>
      <c r="J581" s="1"/>
      <c r="K581" s="1"/>
      <c r="L581" s="1"/>
      <c r="M581" s="1"/>
      <c r="N581" s="1"/>
      <c r="O581" s="1"/>
      <c r="P581" s="1"/>
      <c r="Q581" s="1"/>
      <c r="R581" s="1"/>
      <c r="S581" s="1"/>
      <c r="T581" s="1"/>
      <c r="U581" s="2"/>
      <c r="V581" s="1"/>
      <c r="W581" s="1"/>
      <c r="X581" s="1"/>
      <c r="Y581" s="1"/>
      <c r="Z581" s="1"/>
    </row>
    <row r="582" spans="1:26" ht="24.75" customHeight="1">
      <c r="A582" s="1"/>
      <c r="B582" s="1"/>
      <c r="C582" s="1"/>
      <c r="D582" s="1"/>
      <c r="E582" s="1"/>
      <c r="F582" s="1"/>
      <c r="G582" s="1"/>
      <c r="H582" s="1"/>
      <c r="I582" s="1"/>
      <c r="J582" s="1"/>
      <c r="K582" s="1"/>
      <c r="L582" s="1"/>
      <c r="M582" s="1"/>
      <c r="N582" s="1"/>
      <c r="O582" s="1"/>
      <c r="P582" s="1"/>
      <c r="Q582" s="1"/>
      <c r="R582" s="1"/>
      <c r="S582" s="1"/>
      <c r="T582" s="1"/>
      <c r="U582" s="2"/>
      <c r="V582" s="1"/>
      <c r="W582" s="1"/>
      <c r="X582" s="1"/>
      <c r="Y582" s="1"/>
      <c r="Z582" s="1"/>
    </row>
    <row r="583" spans="1:26" ht="24.75" customHeight="1">
      <c r="A583" s="1"/>
      <c r="B583" s="1"/>
      <c r="C583" s="1"/>
      <c r="D583" s="1"/>
      <c r="E583" s="1"/>
      <c r="F583" s="1"/>
      <c r="G583" s="1"/>
      <c r="H583" s="1"/>
      <c r="I583" s="1"/>
      <c r="J583" s="1"/>
      <c r="K583" s="1"/>
      <c r="L583" s="1"/>
      <c r="M583" s="1"/>
      <c r="N583" s="1"/>
      <c r="O583" s="1"/>
      <c r="P583" s="1"/>
      <c r="Q583" s="1"/>
      <c r="R583" s="1"/>
      <c r="S583" s="1"/>
      <c r="T583" s="1"/>
      <c r="U583" s="2"/>
      <c r="V583" s="1"/>
      <c r="W583" s="1"/>
      <c r="X583" s="1"/>
      <c r="Y583" s="1"/>
      <c r="Z583" s="1"/>
    </row>
    <row r="584" spans="1:26" ht="24.75" customHeight="1">
      <c r="A584" s="1"/>
      <c r="B584" s="1"/>
      <c r="C584" s="1"/>
      <c r="D584" s="1"/>
      <c r="E584" s="1"/>
      <c r="F584" s="1"/>
      <c r="G584" s="1"/>
      <c r="H584" s="1"/>
      <c r="I584" s="1"/>
      <c r="J584" s="1"/>
      <c r="K584" s="1"/>
      <c r="L584" s="1"/>
      <c r="M584" s="1"/>
      <c r="N584" s="1"/>
      <c r="O584" s="1"/>
      <c r="P584" s="1"/>
      <c r="Q584" s="1"/>
      <c r="R584" s="1"/>
      <c r="S584" s="1"/>
      <c r="T584" s="1"/>
      <c r="U584" s="2"/>
      <c r="V584" s="1"/>
      <c r="W584" s="1"/>
      <c r="X584" s="1"/>
      <c r="Y584" s="1"/>
      <c r="Z584" s="1"/>
    </row>
    <row r="585" spans="1:26" ht="24.75" customHeight="1">
      <c r="A585" s="1"/>
      <c r="B585" s="1"/>
      <c r="C585" s="1"/>
      <c r="D585" s="1"/>
      <c r="E585" s="1"/>
      <c r="F585" s="1"/>
      <c r="G585" s="1"/>
      <c r="H585" s="1"/>
      <c r="I585" s="1"/>
      <c r="J585" s="1"/>
      <c r="K585" s="1"/>
      <c r="L585" s="1"/>
      <c r="M585" s="1"/>
      <c r="N585" s="1"/>
      <c r="O585" s="1"/>
      <c r="P585" s="1"/>
      <c r="Q585" s="1"/>
      <c r="R585" s="1"/>
      <c r="S585" s="1"/>
      <c r="T585" s="1"/>
      <c r="U585" s="2"/>
      <c r="V585" s="1"/>
      <c r="W585" s="1"/>
      <c r="X585" s="1"/>
      <c r="Y585" s="1"/>
      <c r="Z585" s="1"/>
    </row>
    <row r="586" spans="1:26" ht="24.75" customHeight="1">
      <c r="A586" s="1"/>
      <c r="B586" s="1"/>
      <c r="C586" s="1"/>
      <c r="D586" s="1"/>
      <c r="E586" s="1"/>
      <c r="F586" s="1"/>
      <c r="G586" s="1"/>
      <c r="H586" s="1"/>
      <c r="I586" s="1"/>
      <c r="J586" s="1"/>
      <c r="K586" s="1"/>
      <c r="L586" s="1"/>
      <c r="M586" s="1"/>
      <c r="N586" s="1"/>
      <c r="O586" s="1"/>
      <c r="P586" s="1"/>
      <c r="Q586" s="1"/>
      <c r="R586" s="1"/>
      <c r="S586" s="1"/>
      <c r="T586" s="1"/>
      <c r="U586" s="2"/>
      <c r="V586" s="1"/>
      <c r="W586" s="1"/>
      <c r="X586" s="1"/>
      <c r="Y586" s="1"/>
      <c r="Z586" s="1"/>
    </row>
    <row r="587" spans="1:26" ht="24.75" customHeight="1">
      <c r="A587" s="1"/>
      <c r="B587" s="1"/>
      <c r="C587" s="1"/>
      <c r="D587" s="1"/>
      <c r="E587" s="1"/>
      <c r="F587" s="1"/>
      <c r="G587" s="1"/>
      <c r="H587" s="1"/>
      <c r="I587" s="1"/>
      <c r="J587" s="1"/>
      <c r="K587" s="1"/>
      <c r="L587" s="1"/>
      <c r="M587" s="1"/>
      <c r="N587" s="1"/>
      <c r="O587" s="1"/>
      <c r="P587" s="1"/>
      <c r="Q587" s="1"/>
      <c r="R587" s="1"/>
      <c r="S587" s="1"/>
      <c r="T587" s="1"/>
      <c r="U587" s="2"/>
      <c r="V587" s="1"/>
      <c r="W587" s="1"/>
      <c r="X587" s="1"/>
      <c r="Y587" s="1"/>
      <c r="Z587" s="1"/>
    </row>
    <row r="588" spans="1:26" ht="24.75" customHeight="1">
      <c r="A588" s="1"/>
      <c r="B588" s="1"/>
      <c r="C588" s="1"/>
      <c r="D588" s="1"/>
      <c r="E588" s="1"/>
      <c r="F588" s="1"/>
      <c r="G588" s="1"/>
      <c r="H588" s="1"/>
      <c r="I588" s="1"/>
      <c r="J588" s="1"/>
      <c r="K588" s="1"/>
      <c r="L588" s="1"/>
      <c r="M588" s="1"/>
      <c r="N588" s="1"/>
      <c r="O588" s="1"/>
      <c r="P588" s="1"/>
      <c r="Q588" s="1"/>
      <c r="R588" s="1"/>
      <c r="S588" s="1"/>
      <c r="T588" s="1"/>
      <c r="U588" s="2"/>
      <c r="V588" s="1"/>
      <c r="W588" s="1"/>
      <c r="X588" s="1"/>
      <c r="Y588" s="1"/>
      <c r="Z588" s="1"/>
    </row>
    <row r="589" spans="1:26" ht="24.75" customHeight="1">
      <c r="A589" s="1"/>
      <c r="B589" s="1"/>
      <c r="C589" s="1"/>
      <c r="D589" s="1"/>
      <c r="E589" s="1"/>
      <c r="F589" s="1"/>
      <c r="G589" s="1"/>
      <c r="H589" s="1"/>
      <c r="I589" s="1"/>
      <c r="J589" s="1"/>
      <c r="K589" s="1"/>
      <c r="L589" s="1"/>
      <c r="M589" s="1"/>
      <c r="N589" s="1"/>
      <c r="O589" s="1"/>
      <c r="P589" s="1"/>
      <c r="Q589" s="1"/>
      <c r="R589" s="1"/>
      <c r="S589" s="1"/>
      <c r="T589" s="1"/>
      <c r="U589" s="2"/>
      <c r="V589" s="1"/>
      <c r="W589" s="1"/>
      <c r="X589" s="1"/>
      <c r="Y589" s="1"/>
      <c r="Z589" s="1"/>
    </row>
    <row r="590" spans="1:26" ht="24.75" customHeight="1">
      <c r="A590" s="1"/>
      <c r="B590" s="1"/>
      <c r="C590" s="1"/>
      <c r="D590" s="1"/>
      <c r="E590" s="1"/>
      <c r="F590" s="1"/>
      <c r="G590" s="1"/>
      <c r="H590" s="1"/>
      <c r="I590" s="1"/>
      <c r="J590" s="1"/>
      <c r="K590" s="1"/>
      <c r="L590" s="1"/>
      <c r="M590" s="1"/>
      <c r="N590" s="1"/>
      <c r="O590" s="1"/>
      <c r="P590" s="1"/>
      <c r="Q590" s="1"/>
      <c r="R590" s="1"/>
      <c r="S590" s="1"/>
      <c r="T590" s="1"/>
      <c r="U590" s="2"/>
      <c r="V590" s="1"/>
      <c r="W590" s="1"/>
      <c r="X590" s="1"/>
      <c r="Y590" s="1"/>
      <c r="Z590" s="1"/>
    </row>
    <row r="591" spans="1:26" ht="24.75" customHeight="1">
      <c r="A591" s="1"/>
      <c r="B591" s="1"/>
      <c r="C591" s="1"/>
      <c r="D591" s="1"/>
      <c r="E591" s="1"/>
      <c r="F591" s="1"/>
      <c r="G591" s="1"/>
      <c r="H591" s="1"/>
      <c r="I591" s="1"/>
      <c r="J591" s="1"/>
      <c r="K591" s="1"/>
      <c r="L591" s="1"/>
      <c r="M591" s="1"/>
      <c r="N591" s="1"/>
      <c r="O591" s="1"/>
      <c r="P591" s="1"/>
      <c r="Q591" s="1"/>
      <c r="R591" s="1"/>
      <c r="S591" s="1"/>
      <c r="T591" s="1"/>
      <c r="U591" s="2"/>
      <c r="V591" s="1"/>
      <c r="W591" s="1"/>
      <c r="X591" s="1"/>
      <c r="Y591" s="1"/>
      <c r="Z591" s="1"/>
    </row>
    <row r="592" spans="1:26" ht="24.75" customHeight="1">
      <c r="A592" s="1"/>
      <c r="B592" s="1"/>
      <c r="C592" s="1"/>
      <c r="D592" s="1"/>
      <c r="E592" s="1"/>
      <c r="F592" s="1"/>
      <c r="G592" s="1"/>
      <c r="H592" s="1"/>
      <c r="I592" s="1"/>
      <c r="J592" s="1"/>
      <c r="K592" s="1"/>
      <c r="L592" s="1"/>
      <c r="M592" s="1"/>
      <c r="N592" s="1"/>
      <c r="O592" s="1"/>
      <c r="P592" s="1"/>
      <c r="Q592" s="1"/>
      <c r="R592" s="1"/>
      <c r="S592" s="1"/>
      <c r="T592" s="1"/>
      <c r="U592" s="2"/>
      <c r="V592" s="1"/>
      <c r="W592" s="1"/>
      <c r="X592" s="1"/>
      <c r="Y592" s="1"/>
      <c r="Z592" s="1"/>
    </row>
    <row r="593" spans="1:26" ht="24.75" customHeight="1">
      <c r="A593" s="1"/>
      <c r="B593" s="1"/>
      <c r="C593" s="1"/>
      <c r="D593" s="1"/>
      <c r="E593" s="1"/>
      <c r="F593" s="1"/>
      <c r="G593" s="1"/>
      <c r="H593" s="1"/>
      <c r="I593" s="1"/>
      <c r="J593" s="1"/>
      <c r="K593" s="1"/>
      <c r="L593" s="1"/>
      <c r="M593" s="1"/>
      <c r="N593" s="1"/>
      <c r="O593" s="1"/>
      <c r="P593" s="1"/>
      <c r="Q593" s="1"/>
      <c r="R593" s="1"/>
      <c r="S593" s="1"/>
      <c r="T593" s="1"/>
      <c r="U593" s="2"/>
      <c r="V593" s="1"/>
      <c r="W593" s="1"/>
      <c r="X593" s="1"/>
      <c r="Y593" s="1"/>
      <c r="Z593" s="1"/>
    </row>
    <row r="594" spans="1:26" ht="24.75" customHeight="1">
      <c r="A594" s="1"/>
      <c r="B594" s="1"/>
      <c r="C594" s="1"/>
      <c r="D594" s="1"/>
      <c r="E594" s="1"/>
      <c r="F594" s="1"/>
      <c r="G594" s="1"/>
      <c r="H594" s="1"/>
      <c r="I594" s="1"/>
      <c r="J594" s="1"/>
      <c r="K594" s="1"/>
      <c r="L594" s="1"/>
      <c r="M594" s="1"/>
      <c r="N594" s="1"/>
      <c r="O594" s="1"/>
      <c r="P594" s="1"/>
      <c r="Q594" s="1"/>
      <c r="R594" s="1"/>
      <c r="S594" s="1"/>
      <c r="T594" s="1"/>
      <c r="U594" s="2"/>
      <c r="V594" s="1"/>
      <c r="W594" s="1"/>
      <c r="X594" s="1"/>
      <c r="Y594" s="1"/>
      <c r="Z594" s="1"/>
    </row>
    <row r="595" spans="1:26" ht="24.75" customHeight="1">
      <c r="A595" s="1"/>
      <c r="B595" s="1"/>
      <c r="C595" s="1"/>
      <c r="D595" s="1"/>
      <c r="E595" s="1"/>
      <c r="F595" s="1"/>
      <c r="G595" s="1"/>
      <c r="H595" s="1"/>
      <c r="I595" s="1"/>
      <c r="J595" s="1"/>
      <c r="K595" s="1"/>
      <c r="L595" s="1"/>
      <c r="M595" s="1"/>
      <c r="N595" s="1"/>
      <c r="O595" s="1"/>
      <c r="P595" s="1"/>
      <c r="Q595" s="1"/>
      <c r="R595" s="1"/>
      <c r="S595" s="1"/>
      <c r="T595" s="1"/>
      <c r="U595" s="2"/>
      <c r="V595" s="1"/>
      <c r="W595" s="1"/>
      <c r="X595" s="1"/>
      <c r="Y595" s="1"/>
      <c r="Z595" s="1"/>
    </row>
    <row r="596" spans="1:26" ht="24.75" customHeight="1">
      <c r="A596" s="1"/>
      <c r="B596" s="1"/>
      <c r="C596" s="1"/>
      <c r="D596" s="1"/>
      <c r="E596" s="1"/>
      <c r="F596" s="1"/>
      <c r="G596" s="1"/>
      <c r="H596" s="1"/>
      <c r="I596" s="1"/>
      <c r="J596" s="1"/>
      <c r="K596" s="1"/>
      <c r="L596" s="1"/>
      <c r="M596" s="1"/>
      <c r="N596" s="1"/>
      <c r="O596" s="1"/>
      <c r="P596" s="1"/>
      <c r="Q596" s="1"/>
      <c r="R596" s="1"/>
      <c r="S596" s="1"/>
      <c r="T596" s="1"/>
      <c r="U596" s="2"/>
      <c r="V596" s="1"/>
      <c r="W596" s="1"/>
      <c r="X596" s="1"/>
      <c r="Y596" s="1"/>
      <c r="Z596" s="1"/>
    </row>
    <row r="597" spans="1:26" ht="24.75" customHeight="1">
      <c r="A597" s="1"/>
      <c r="B597" s="1"/>
      <c r="C597" s="1"/>
      <c r="D597" s="1"/>
      <c r="E597" s="1"/>
      <c r="F597" s="1"/>
      <c r="G597" s="1"/>
      <c r="H597" s="1"/>
      <c r="I597" s="1"/>
      <c r="J597" s="1"/>
      <c r="K597" s="1"/>
      <c r="L597" s="1"/>
      <c r="M597" s="1"/>
      <c r="N597" s="1"/>
      <c r="O597" s="1"/>
      <c r="P597" s="1"/>
      <c r="Q597" s="1"/>
      <c r="R597" s="1"/>
      <c r="S597" s="1"/>
      <c r="T597" s="1"/>
      <c r="U597" s="2"/>
      <c r="V597" s="1"/>
      <c r="W597" s="1"/>
      <c r="X597" s="1"/>
      <c r="Y597" s="1"/>
      <c r="Z597" s="1"/>
    </row>
    <row r="598" spans="1:26" ht="24.75" customHeight="1">
      <c r="A598" s="1"/>
      <c r="B598" s="1"/>
      <c r="C598" s="1"/>
      <c r="D598" s="1"/>
      <c r="E598" s="1"/>
      <c r="F598" s="1"/>
      <c r="G598" s="1"/>
      <c r="H598" s="1"/>
      <c r="I598" s="1"/>
      <c r="J598" s="1"/>
      <c r="K598" s="1"/>
      <c r="L598" s="1"/>
      <c r="M598" s="1"/>
      <c r="N598" s="1"/>
      <c r="O598" s="1"/>
      <c r="P598" s="1"/>
      <c r="Q598" s="1"/>
      <c r="R598" s="1"/>
      <c r="S598" s="1"/>
      <c r="T598" s="1"/>
      <c r="U598" s="2"/>
      <c r="V598" s="1"/>
      <c r="W598" s="1"/>
      <c r="X598" s="1"/>
      <c r="Y598" s="1"/>
      <c r="Z598" s="1"/>
    </row>
    <row r="599" spans="1:26" ht="24.75" customHeight="1">
      <c r="A599" s="1"/>
      <c r="B599" s="1"/>
      <c r="C599" s="1"/>
      <c r="D599" s="1"/>
      <c r="E599" s="1"/>
      <c r="F599" s="1"/>
      <c r="G599" s="1"/>
      <c r="H599" s="1"/>
      <c r="I599" s="1"/>
      <c r="J599" s="1"/>
      <c r="K599" s="1"/>
      <c r="L599" s="1"/>
      <c r="M599" s="1"/>
      <c r="N599" s="1"/>
      <c r="O599" s="1"/>
      <c r="P599" s="1"/>
      <c r="Q599" s="1"/>
      <c r="R599" s="1"/>
      <c r="S599" s="1"/>
      <c r="T599" s="1"/>
      <c r="U599" s="2"/>
      <c r="V599" s="1"/>
      <c r="W599" s="1"/>
      <c r="X599" s="1"/>
      <c r="Y599" s="1"/>
      <c r="Z599" s="1"/>
    </row>
    <row r="600" spans="1:26" ht="24.75" customHeight="1">
      <c r="A600" s="1"/>
      <c r="B600" s="1"/>
      <c r="C600" s="1"/>
      <c r="D600" s="1"/>
      <c r="E600" s="1"/>
      <c r="F600" s="1"/>
      <c r="G600" s="1"/>
      <c r="H600" s="1"/>
      <c r="I600" s="1"/>
      <c r="J600" s="1"/>
      <c r="K600" s="1"/>
      <c r="L600" s="1"/>
      <c r="M600" s="1"/>
      <c r="N600" s="1"/>
      <c r="O600" s="1"/>
      <c r="P600" s="1"/>
      <c r="Q600" s="1"/>
      <c r="R600" s="1"/>
      <c r="S600" s="1"/>
      <c r="T600" s="1"/>
      <c r="U600" s="2"/>
      <c r="V600" s="1"/>
      <c r="W600" s="1"/>
      <c r="X600" s="1"/>
      <c r="Y600" s="1"/>
      <c r="Z600" s="1"/>
    </row>
    <row r="601" spans="1:26" ht="24.75" customHeight="1">
      <c r="A601" s="1"/>
      <c r="B601" s="1"/>
      <c r="C601" s="1"/>
      <c r="D601" s="1"/>
      <c r="E601" s="1"/>
      <c r="F601" s="1"/>
      <c r="G601" s="1"/>
      <c r="H601" s="1"/>
      <c r="I601" s="1"/>
      <c r="J601" s="1"/>
      <c r="K601" s="1"/>
      <c r="L601" s="1"/>
      <c r="M601" s="1"/>
      <c r="N601" s="1"/>
      <c r="O601" s="1"/>
      <c r="P601" s="1"/>
      <c r="Q601" s="1"/>
      <c r="R601" s="1"/>
      <c r="S601" s="1"/>
      <c r="T601" s="1"/>
      <c r="U601" s="2"/>
      <c r="V601" s="1"/>
      <c r="W601" s="1"/>
      <c r="X601" s="1"/>
      <c r="Y601" s="1"/>
      <c r="Z601" s="1"/>
    </row>
    <row r="602" spans="1:26" ht="24.75" customHeight="1">
      <c r="A602" s="1"/>
      <c r="B602" s="1"/>
      <c r="C602" s="1"/>
      <c r="D602" s="1"/>
      <c r="E602" s="1"/>
      <c r="F602" s="1"/>
      <c r="G602" s="1"/>
      <c r="H602" s="1"/>
      <c r="I602" s="1"/>
      <c r="J602" s="1"/>
      <c r="K602" s="1"/>
      <c r="L602" s="1"/>
      <c r="M602" s="1"/>
      <c r="N602" s="1"/>
      <c r="O602" s="1"/>
      <c r="P602" s="1"/>
      <c r="Q602" s="1"/>
      <c r="R602" s="1"/>
      <c r="S602" s="1"/>
      <c r="T602" s="1"/>
      <c r="U602" s="2"/>
      <c r="V602" s="1"/>
      <c r="W602" s="1"/>
      <c r="X602" s="1"/>
      <c r="Y602" s="1"/>
      <c r="Z602" s="1"/>
    </row>
    <row r="603" spans="1:26" ht="24.75" customHeight="1">
      <c r="A603" s="1"/>
      <c r="B603" s="1"/>
      <c r="C603" s="1"/>
      <c r="D603" s="1"/>
      <c r="E603" s="1"/>
      <c r="F603" s="1"/>
      <c r="G603" s="1"/>
      <c r="H603" s="1"/>
      <c r="I603" s="1"/>
      <c r="J603" s="1"/>
      <c r="K603" s="1"/>
      <c r="L603" s="1"/>
      <c r="M603" s="1"/>
      <c r="N603" s="1"/>
      <c r="O603" s="1"/>
      <c r="P603" s="1"/>
      <c r="Q603" s="1"/>
      <c r="R603" s="1"/>
      <c r="S603" s="1"/>
      <c r="T603" s="1"/>
      <c r="U603" s="2"/>
      <c r="V603" s="1"/>
      <c r="W603" s="1"/>
      <c r="X603" s="1"/>
      <c r="Y603" s="1"/>
      <c r="Z603" s="1"/>
    </row>
    <row r="604" spans="1:26" ht="24.75" customHeight="1">
      <c r="A604" s="1"/>
      <c r="B604" s="1"/>
      <c r="C604" s="1"/>
      <c r="D604" s="1"/>
      <c r="E604" s="1"/>
      <c r="F604" s="1"/>
      <c r="G604" s="1"/>
      <c r="H604" s="1"/>
      <c r="I604" s="1"/>
      <c r="J604" s="1"/>
      <c r="K604" s="1"/>
      <c r="L604" s="1"/>
      <c r="M604" s="1"/>
      <c r="N604" s="1"/>
      <c r="O604" s="1"/>
      <c r="P604" s="1"/>
      <c r="Q604" s="1"/>
      <c r="R604" s="1"/>
      <c r="S604" s="1"/>
      <c r="T604" s="1"/>
      <c r="U604" s="2"/>
      <c r="V604" s="1"/>
      <c r="W604" s="1"/>
      <c r="X604" s="1"/>
      <c r="Y604" s="1"/>
      <c r="Z604" s="1"/>
    </row>
    <row r="605" spans="1:26" ht="24.75" customHeight="1">
      <c r="A605" s="1"/>
      <c r="B605" s="1"/>
      <c r="C605" s="1"/>
      <c r="D605" s="1"/>
      <c r="E605" s="1"/>
      <c r="F605" s="1"/>
      <c r="G605" s="1"/>
      <c r="H605" s="1"/>
      <c r="I605" s="1"/>
      <c r="J605" s="1"/>
      <c r="K605" s="1"/>
      <c r="L605" s="1"/>
      <c r="M605" s="1"/>
      <c r="N605" s="1"/>
      <c r="O605" s="1"/>
      <c r="P605" s="1"/>
      <c r="Q605" s="1"/>
      <c r="R605" s="1"/>
      <c r="S605" s="1"/>
      <c r="T605" s="1"/>
      <c r="U605" s="2"/>
      <c r="V605" s="1"/>
      <c r="W605" s="1"/>
      <c r="X605" s="1"/>
      <c r="Y605" s="1"/>
      <c r="Z605" s="1"/>
    </row>
    <row r="606" spans="1:26" ht="24.75" customHeight="1">
      <c r="A606" s="1"/>
      <c r="B606" s="1"/>
      <c r="C606" s="1"/>
      <c r="D606" s="1"/>
      <c r="E606" s="1"/>
      <c r="F606" s="1"/>
      <c r="G606" s="1"/>
      <c r="H606" s="1"/>
      <c r="I606" s="1"/>
      <c r="J606" s="1"/>
      <c r="K606" s="1"/>
      <c r="L606" s="1"/>
      <c r="M606" s="1"/>
      <c r="N606" s="1"/>
      <c r="O606" s="1"/>
      <c r="P606" s="1"/>
      <c r="Q606" s="1"/>
      <c r="R606" s="1"/>
      <c r="S606" s="1"/>
      <c r="T606" s="1"/>
      <c r="U606" s="2"/>
      <c r="V606" s="1"/>
      <c r="W606" s="1"/>
      <c r="X606" s="1"/>
      <c r="Y606" s="1"/>
      <c r="Z606" s="1"/>
    </row>
    <row r="607" spans="1:26" ht="24.75" customHeight="1">
      <c r="A607" s="1"/>
      <c r="B607" s="1"/>
      <c r="C607" s="1"/>
      <c r="D607" s="1"/>
      <c r="E607" s="1"/>
      <c r="F607" s="1"/>
      <c r="G607" s="1"/>
      <c r="H607" s="1"/>
      <c r="I607" s="1"/>
      <c r="J607" s="1"/>
      <c r="K607" s="1"/>
      <c r="L607" s="1"/>
      <c r="M607" s="1"/>
      <c r="N607" s="1"/>
      <c r="O607" s="1"/>
      <c r="P607" s="1"/>
      <c r="Q607" s="1"/>
      <c r="R607" s="1"/>
      <c r="S607" s="1"/>
      <c r="T607" s="1"/>
      <c r="U607" s="2"/>
      <c r="V607" s="1"/>
      <c r="W607" s="1"/>
      <c r="X607" s="1"/>
      <c r="Y607" s="1"/>
      <c r="Z607" s="1"/>
    </row>
    <row r="608" spans="1:26" ht="24.75" customHeight="1">
      <c r="A608" s="1"/>
      <c r="B608" s="1"/>
      <c r="C608" s="1"/>
      <c r="D608" s="1"/>
      <c r="E608" s="1"/>
      <c r="F608" s="1"/>
      <c r="G608" s="1"/>
      <c r="H608" s="1"/>
      <c r="I608" s="1"/>
      <c r="J608" s="1"/>
      <c r="K608" s="1"/>
      <c r="L608" s="1"/>
      <c r="M608" s="1"/>
      <c r="N608" s="1"/>
      <c r="O608" s="1"/>
      <c r="P608" s="1"/>
      <c r="Q608" s="1"/>
      <c r="R608" s="1"/>
      <c r="S608" s="1"/>
      <c r="T608" s="1"/>
      <c r="U608" s="2"/>
      <c r="V608" s="1"/>
      <c r="W608" s="1"/>
      <c r="X608" s="1"/>
      <c r="Y608" s="1"/>
      <c r="Z608" s="1"/>
    </row>
    <row r="609" spans="1:26" ht="24.75" customHeight="1">
      <c r="A609" s="1"/>
      <c r="B609" s="1"/>
      <c r="C609" s="1"/>
      <c r="D609" s="1"/>
      <c r="E609" s="1"/>
      <c r="F609" s="1"/>
      <c r="G609" s="1"/>
      <c r="H609" s="1"/>
      <c r="I609" s="1"/>
      <c r="J609" s="1"/>
      <c r="K609" s="1"/>
      <c r="L609" s="1"/>
      <c r="M609" s="1"/>
      <c r="N609" s="1"/>
      <c r="O609" s="1"/>
      <c r="P609" s="1"/>
      <c r="Q609" s="1"/>
      <c r="R609" s="1"/>
      <c r="S609" s="1"/>
      <c r="T609" s="1"/>
      <c r="U609" s="2"/>
      <c r="V609" s="1"/>
      <c r="W609" s="1"/>
      <c r="X609" s="1"/>
      <c r="Y609" s="1"/>
      <c r="Z609" s="1"/>
    </row>
    <row r="610" spans="1:26" ht="24.75" customHeight="1">
      <c r="A610" s="1"/>
      <c r="B610" s="1"/>
      <c r="C610" s="1"/>
      <c r="D610" s="1"/>
      <c r="E610" s="1"/>
      <c r="F610" s="1"/>
      <c r="G610" s="1"/>
      <c r="H610" s="1"/>
      <c r="I610" s="1"/>
      <c r="J610" s="1"/>
      <c r="K610" s="1"/>
      <c r="L610" s="1"/>
      <c r="M610" s="1"/>
      <c r="N610" s="1"/>
      <c r="O610" s="1"/>
      <c r="P610" s="1"/>
      <c r="Q610" s="1"/>
      <c r="R610" s="1"/>
      <c r="S610" s="1"/>
      <c r="T610" s="1"/>
      <c r="U610" s="2"/>
      <c r="V610" s="1"/>
      <c r="W610" s="1"/>
      <c r="X610" s="1"/>
      <c r="Y610" s="1"/>
      <c r="Z610" s="1"/>
    </row>
    <row r="611" spans="1:26" ht="24.75" customHeight="1">
      <c r="A611" s="1"/>
      <c r="B611" s="1"/>
      <c r="C611" s="1"/>
      <c r="D611" s="1"/>
      <c r="E611" s="1"/>
      <c r="F611" s="1"/>
      <c r="G611" s="1"/>
      <c r="H611" s="1"/>
      <c r="I611" s="1"/>
      <c r="J611" s="1"/>
      <c r="K611" s="1"/>
      <c r="L611" s="1"/>
      <c r="M611" s="1"/>
      <c r="N611" s="1"/>
      <c r="O611" s="1"/>
      <c r="P611" s="1"/>
      <c r="Q611" s="1"/>
      <c r="R611" s="1"/>
      <c r="S611" s="1"/>
      <c r="T611" s="1"/>
      <c r="U611" s="2"/>
      <c r="V611" s="1"/>
      <c r="W611" s="1"/>
      <c r="X611" s="1"/>
      <c r="Y611" s="1"/>
      <c r="Z611" s="1"/>
    </row>
    <row r="612" spans="1:26" ht="24.75" customHeight="1">
      <c r="A612" s="1"/>
      <c r="B612" s="1"/>
      <c r="C612" s="1"/>
      <c r="D612" s="1"/>
      <c r="E612" s="1"/>
      <c r="F612" s="1"/>
      <c r="G612" s="1"/>
      <c r="H612" s="1"/>
      <c r="I612" s="1"/>
      <c r="J612" s="1"/>
      <c r="K612" s="1"/>
      <c r="L612" s="1"/>
      <c r="M612" s="1"/>
      <c r="N612" s="1"/>
      <c r="O612" s="1"/>
      <c r="P612" s="1"/>
      <c r="Q612" s="1"/>
      <c r="R612" s="1"/>
      <c r="S612" s="1"/>
      <c r="T612" s="1"/>
      <c r="U612" s="2"/>
      <c r="V612" s="1"/>
      <c r="W612" s="1"/>
      <c r="X612" s="1"/>
      <c r="Y612" s="1"/>
      <c r="Z612" s="1"/>
    </row>
    <row r="613" spans="1:26" ht="24.75" customHeight="1">
      <c r="A613" s="1"/>
      <c r="B613" s="1"/>
      <c r="C613" s="1"/>
      <c r="D613" s="1"/>
      <c r="E613" s="1"/>
      <c r="F613" s="1"/>
      <c r="G613" s="1"/>
      <c r="H613" s="1"/>
      <c r="I613" s="1"/>
      <c r="J613" s="1"/>
      <c r="K613" s="1"/>
      <c r="L613" s="1"/>
      <c r="M613" s="1"/>
      <c r="N613" s="1"/>
      <c r="O613" s="1"/>
      <c r="P613" s="1"/>
      <c r="Q613" s="1"/>
      <c r="R613" s="1"/>
      <c r="S613" s="1"/>
      <c r="T613" s="1"/>
      <c r="U613" s="2"/>
      <c r="V613" s="1"/>
      <c r="W613" s="1"/>
      <c r="X613" s="1"/>
      <c r="Y613" s="1"/>
      <c r="Z613" s="1"/>
    </row>
    <row r="614" spans="1:26" ht="24.75" customHeight="1">
      <c r="A614" s="1"/>
      <c r="B614" s="1"/>
      <c r="C614" s="1"/>
      <c r="D614" s="1"/>
      <c r="E614" s="1"/>
      <c r="F614" s="1"/>
      <c r="G614" s="1"/>
      <c r="H614" s="1"/>
      <c r="I614" s="1"/>
      <c r="J614" s="1"/>
      <c r="K614" s="1"/>
      <c r="L614" s="1"/>
      <c r="M614" s="1"/>
      <c r="N614" s="1"/>
      <c r="O614" s="1"/>
      <c r="P614" s="1"/>
      <c r="Q614" s="1"/>
      <c r="R614" s="1"/>
      <c r="S614" s="1"/>
      <c r="T614" s="1"/>
      <c r="U614" s="2"/>
      <c r="V614" s="1"/>
      <c r="W614" s="1"/>
      <c r="X614" s="1"/>
      <c r="Y614" s="1"/>
      <c r="Z614" s="1"/>
    </row>
    <row r="615" spans="1:26" ht="24.75" customHeight="1">
      <c r="A615" s="1"/>
      <c r="B615" s="1"/>
      <c r="C615" s="1"/>
      <c r="D615" s="1"/>
      <c r="E615" s="1"/>
      <c r="F615" s="1"/>
      <c r="G615" s="1"/>
      <c r="H615" s="1"/>
      <c r="I615" s="1"/>
      <c r="J615" s="1"/>
      <c r="K615" s="1"/>
      <c r="L615" s="1"/>
      <c r="M615" s="1"/>
      <c r="N615" s="1"/>
      <c r="O615" s="1"/>
      <c r="P615" s="1"/>
      <c r="Q615" s="1"/>
      <c r="R615" s="1"/>
      <c r="S615" s="1"/>
      <c r="T615" s="1"/>
      <c r="U615" s="2"/>
      <c r="V615" s="1"/>
      <c r="W615" s="1"/>
      <c r="X615" s="1"/>
      <c r="Y615" s="1"/>
      <c r="Z615" s="1"/>
    </row>
    <row r="616" spans="1:26" ht="24.75" customHeight="1">
      <c r="A616" s="1"/>
      <c r="B616" s="1"/>
      <c r="C616" s="1"/>
      <c r="D616" s="1"/>
      <c r="E616" s="1"/>
      <c r="F616" s="1"/>
      <c r="G616" s="1"/>
      <c r="H616" s="1"/>
      <c r="I616" s="1"/>
      <c r="J616" s="1"/>
      <c r="K616" s="1"/>
      <c r="L616" s="1"/>
      <c r="M616" s="1"/>
      <c r="N616" s="1"/>
      <c r="O616" s="1"/>
      <c r="P616" s="1"/>
      <c r="Q616" s="1"/>
      <c r="R616" s="1"/>
      <c r="S616" s="1"/>
      <c r="T616" s="1"/>
      <c r="U616" s="2"/>
      <c r="V616" s="1"/>
      <c r="W616" s="1"/>
      <c r="X616" s="1"/>
      <c r="Y616" s="1"/>
      <c r="Z616" s="1"/>
    </row>
    <row r="617" spans="1:26" ht="24.75" customHeight="1">
      <c r="A617" s="1"/>
      <c r="B617" s="1"/>
      <c r="C617" s="1"/>
      <c r="D617" s="1"/>
      <c r="E617" s="1"/>
      <c r="F617" s="1"/>
      <c r="G617" s="1"/>
      <c r="H617" s="1"/>
      <c r="I617" s="1"/>
      <c r="J617" s="1"/>
      <c r="K617" s="1"/>
      <c r="L617" s="1"/>
      <c r="M617" s="1"/>
      <c r="N617" s="1"/>
      <c r="O617" s="1"/>
      <c r="P617" s="1"/>
      <c r="Q617" s="1"/>
      <c r="R617" s="1"/>
      <c r="S617" s="1"/>
      <c r="T617" s="1"/>
      <c r="U617" s="2"/>
      <c r="V617" s="1"/>
      <c r="W617" s="1"/>
      <c r="X617" s="1"/>
      <c r="Y617" s="1"/>
      <c r="Z617" s="1"/>
    </row>
    <row r="618" spans="1:26" ht="24.75" customHeight="1">
      <c r="A618" s="1"/>
      <c r="B618" s="1"/>
      <c r="C618" s="1"/>
      <c r="D618" s="1"/>
      <c r="E618" s="1"/>
      <c r="F618" s="1"/>
      <c r="G618" s="1"/>
      <c r="H618" s="1"/>
      <c r="I618" s="1"/>
      <c r="J618" s="1"/>
      <c r="K618" s="1"/>
      <c r="L618" s="1"/>
      <c r="M618" s="1"/>
      <c r="N618" s="1"/>
      <c r="O618" s="1"/>
      <c r="P618" s="1"/>
      <c r="Q618" s="1"/>
      <c r="R618" s="1"/>
      <c r="S618" s="1"/>
      <c r="T618" s="1"/>
      <c r="U618" s="2"/>
      <c r="V618" s="1"/>
      <c r="W618" s="1"/>
      <c r="X618" s="1"/>
      <c r="Y618" s="1"/>
      <c r="Z618" s="1"/>
    </row>
    <row r="619" spans="1:26" ht="24.75" customHeight="1">
      <c r="A619" s="1"/>
      <c r="B619" s="1"/>
      <c r="C619" s="1"/>
      <c r="D619" s="1"/>
      <c r="E619" s="1"/>
      <c r="F619" s="1"/>
      <c r="G619" s="1"/>
      <c r="H619" s="1"/>
      <c r="I619" s="1"/>
      <c r="J619" s="1"/>
      <c r="K619" s="1"/>
      <c r="L619" s="1"/>
      <c r="M619" s="1"/>
      <c r="N619" s="1"/>
      <c r="O619" s="1"/>
      <c r="P619" s="1"/>
      <c r="Q619" s="1"/>
      <c r="R619" s="1"/>
      <c r="S619" s="1"/>
      <c r="T619" s="1"/>
      <c r="U619" s="2"/>
      <c r="V619" s="1"/>
      <c r="W619" s="1"/>
      <c r="X619" s="1"/>
      <c r="Y619" s="1"/>
      <c r="Z619" s="1"/>
    </row>
    <row r="620" spans="1:26" ht="24.75" customHeight="1">
      <c r="A620" s="1"/>
      <c r="B620" s="1"/>
      <c r="C620" s="1"/>
      <c r="D620" s="1"/>
      <c r="E620" s="1"/>
      <c r="F620" s="1"/>
      <c r="G620" s="1"/>
      <c r="H620" s="1"/>
      <c r="I620" s="1"/>
      <c r="J620" s="1"/>
      <c r="K620" s="1"/>
      <c r="L620" s="1"/>
      <c r="M620" s="1"/>
      <c r="N620" s="1"/>
      <c r="O620" s="1"/>
      <c r="P620" s="1"/>
      <c r="Q620" s="1"/>
      <c r="R620" s="1"/>
      <c r="S620" s="1"/>
      <c r="T620" s="1"/>
      <c r="U620" s="2"/>
      <c r="V620" s="1"/>
      <c r="W620" s="1"/>
      <c r="X620" s="1"/>
      <c r="Y620" s="1"/>
      <c r="Z620" s="1"/>
    </row>
    <row r="621" spans="1:26" ht="24.75" customHeight="1">
      <c r="A621" s="1"/>
      <c r="B621" s="1"/>
      <c r="C621" s="1"/>
      <c r="D621" s="1"/>
      <c r="E621" s="1"/>
      <c r="F621" s="1"/>
      <c r="G621" s="1"/>
      <c r="H621" s="1"/>
      <c r="I621" s="1"/>
      <c r="J621" s="1"/>
      <c r="K621" s="1"/>
      <c r="L621" s="1"/>
      <c r="M621" s="1"/>
      <c r="N621" s="1"/>
      <c r="O621" s="1"/>
      <c r="P621" s="1"/>
      <c r="Q621" s="1"/>
      <c r="R621" s="1"/>
      <c r="S621" s="1"/>
      <c r="T621" s="1"/>
      <c r="U621" s="2"/>
      <c r="V621" s="1"/>
      <c r="W621" s="1"/>
      <c r="X621" s="1"/>
      <c r="Y621" s="1"/>
      <c r="Z621" s="1"/>
    </row>
    <row r="622" spans="1:26" ht="24.75" customHeight="1">
      <c r="A622" s="1"/>
      <c r="B622" s="1"/>
      <c r="C622" s="1"/>
      <c r="D622" s="1"/>
      <c r="E622" s="1"/>
      <c r="F622" s="1"/>
      <c r="G622" s="1"/>
      <c r="H622" s="1"/>
      <c r="I622" s="1"/>
      <c r="J622" s="1"/>
      <c r="K622" s="1"/>
      <c r="L622" s="1"/>
      <c r="M622" s="1"/>
      <c r="N622" s="1"/>
      <c r="O622" s="1"/>
      <c r="P622" s="1"/>
      <c r="Q622" s="1"/>
      <c r="R622" s="1"/>
      <c r="S622" s="1"/>
      <c r="T622" s="1"/>
      <c r="U622" s="2"/>
      <c r="V622" s="1"/>
      <c r="W622" s="1"/>
      <c r="X622" s="1"/>
      <c r="Y622" s="1"/>
      <c r="Z622" s="1"/>
    </row>
    <row r="623" spans="1:26" ht="24.75" customHeight="1">
      <c r="A623" s="1"/>
      <c r="B623" s="1"/>
      <c r="C623" s="1"/>
      <c r="D623" s="1"/>
      <c r="E623" s="1"/>
      <c r="F623" s="1"/>
      <c r="G623" s="1"/>
      <c r="H623" s="1"/>
      <c r="I623" s="1"/>
      <c r="J623" s="1"/>
      <c r="K623" s="1"/>
      <c r="L623" s="1"/>
      <c r="M623" s="1"/>
      <c r="N623" s="1"/>
      <c r="O623" s="1"/>
      <c r="P623" s="1"/>
      <c r="Q623" s="1"/>
      <c r="R623" s="1"/>
      <c r="S623" s="1"/>
      <c r="T623" s="1"/>
      <c r="U623" s="2"/>
      <c r="V623" s="1"/>
      <c r="W623" s="1"/>
      <c r="X623" s="1"/>
      <c r="Y623" s="1"/>
      <c r="Z623" s="1"/>
    </row>
    <row r="624" spans="1:26" ht="24.75" customHeight="1">
      <c r="A624" s="1"/>
      <c r="B624" s="1"/>
      <c r="C624" s="1"/>
      <c r="D624" s="1"/>
      <c r="E624" s="1"/>
      <c r="F624" s="1"/>
      <c r="G624" s="1"/>
      <c r="H624" s="1"/>
      <c r="I624" s="1"/>
      <c r="J624" s="1"/>
      <c r="K624" s="1"/>
      <c r="L624" s="1"/>
      <c r="M624" s="1"/>
      <c r="N624" s="1"/>
      <c r="O624" s="1"/>
      <c r="P624" s="1"/>
      <c r="Q624" s="1"/>
      <c r="R624" s="1"/>
      <c r="S624" s="1"/>
      <c r="T624" s="1"/>
      <c r="U624" s="2"/>
      <c r="V624" s="1"/>
      <c r="W624" s="1"/>
      <c r="X624" s="1"/>
      <c r="Y624" s="1"/>
      <c r="Z624" s="1"/>
    </row>
    <row r="625" spans="1:26" ht="24.75" customHeight="1">
      <c r="A625" s="1"/>
      <c r="B625" s="1"/>
      <c r="C625" s="1"/>
      <c r="D625" s="1"/>
      <c r="E625" s="1"/>
      <c r="F625" s="1"/>
      <c r="G625" s="1"/>
      <c r="H625" s="1"/>
      <c r="I625" s="1"/>
      <c r="J625" s="1"/>
      <c r="K625" s="1"/>
      <c r="L625" s="1"/>
      <c r="M625" s="1"/>
      <c r="N625" s="1"/>
      <c r="O625" s="1"/>
      <c r="P625" s="1"/>
      <c r="Q625" s="1"/>
      <c r="R625" s="1"/>
      <c r="S625" s="1"/>
      <c r="T625" s="1"/>
      <c r="U625" s="2"/>
      <c r="V625" s="1"/>
      <c r="W625" s="1"/>
      <c r="X625" s="1"/>
      <c r="Y625" s="1"/>
      <c r="Z625" s="1"/>
    </row>
    <row r="626" spans="1:26" ht="24.75" customHeight="1">
      <c r="A626" s="1"/>
      <c r="B626" s="1"/>
      <c r="C626" s="1"/>
      <c r="D626" s="1"/>
      <c r="E626" s="1"/>
      <c r="F626" s="1"/>
      <c r="G626" s="1"/>
      <c r="H626" s="1"/>
      <c r="I626" s="1"/>
      <c r="J626" s="1"/>
      <c r="K626" s="1"/>
      <c r="L626" s="1"/>
      <c r="M626" s="1"/>
      <c r="N626" s="1"/>
      <c r="O626" s="1"/>
      <c r="P626" s="1"/>
      <c r="Q626" s="1"/>
      <c r="R626" s="1"/>
      <c r="S626" s="1"/>
      <c r="T626" s="1"/>
      <c r="U626" s="2"/>
      <c r="V626" s="1"/>
      <c r="W626" s="1"/>
      <c r="X626" s="1"/>
      <c r="Y626" s="1"/>
      <c r="Z626" s="1"/>
    </row>
    <row r="627" spans="1:26" ht="24.75" customHeight="1">
      <c r="A627" s="1"/>
      <c r="B627" s="1"/>
      <c r="C627" s="1"/>
      <c r="D627" s="1"/>
      <c r="E627" s="1"/>
      <c r="F627" s="1"/>
      <c r="G627" s="1"/>
      <c r="H627" s="1"/>
      <c r="I627" s="1"/>
      <c r="J627" s="1"/>
      <c r="K627" s="1"/>
      <c r="L627" s="1"/>
      <c r="M627" s="1"/>
      <c r="N627" s="1"/>
      <c r="O627" s="1"/>
      <c r="P627" s="1"/>
      <c r="Q627" s="1"/>
      <c r="R627" s="1"/>
      <c r="S627" s="1"/>
      <c r="T627" s="1"/>
      <c r="U627" s="2"/>
      <c r="V627" s="1"/>
      <c r="W627" s="1"/>
      <c r="X627" s="1"/>
      <c r="Y627" s="1"/>
      <c r="Z627" s="1"/>
    </row>
    <row r="628" spans="1:26" ht="24.75" customHeight="1">
      <c r="A628" s="1"/>
      <c r="B628" s="1"/>
      <c r="C628" s="1"/>
      <c r="D628" s="1"/>
      <c r="E628" s="1"/>
      <c r="F628" s="1"/>
      <c r="G628" s="1"/>
      <c r="H628" s="1"/>
      <c r="I628" s="1"/>
      <c r="J628" s="1"/>
      <c r="K628" s="1"/>
      <c r="L628" s="1"/>
      <c r="M628" s="1"/>
      <c r="N628" s="1"/>
      <c r="O628" s="1"/>
      <c r="P628" s="1"/>
      <c r="Q628" s="1"/>
      <c r="R628" s="1"/>
      <c r="S628" s="1"/>
      <c r="T628" s="1"/>
      <c r="U628" s="2"/>
      <c r="V628" s="1"/>
      <c r="W628" s="1"/>
      <c r="X628" s="1"/>
      <c r="Y628" s="1"/>
      <c r="Z628" s="1"/>
    </row>
    <row r="629" spans="1:26" ht="24.75" customHeight="1">
      <c r="A629" s="1"/>
      <c r="B629" s="1"/>
      <c r="C629" s="1"/>
      <c r="D629" s="1"/>
      <c r="E629" s="1"/>
      <c r="F629" s="1"/>
      <c r="G629" s="1"/>
      <c r="H629" s="1"/>
      <c r="I629" s="1"/>
      <c r="J629" s="1"/>
      <c r="K629" s="1"/>
      <c r="L629" s="1"/>
      <c r="M629" s="1"/>
      <c r="N629" s="1"/>
      <c r="O629" s="1"/>
      <c r="P629" s="1"/>
      <c r="Q629" s="1"/>
      <c r="R629" s="1"/>
      <c r="S629" s="1"/>
      <c r="T629" s="1"/>
      <c r="U629" s="2"/>
      <c r="V629" s="1"/>
      <c r="W629" s="1"/>
      <c r="X629" s="1"/>
      <c r="Y629" s="1"/>
      <c r="Z629" s="1"/>
    </row>
    <row r="630" spans="1:26" ht="24.75" customHeight="1">
      <c r="A630" s="1"/>
      <c r="B630" s="1"/>
      <c r="C630" s="1"/>
      <c r="D630" s="1"/>
      <c r="E630" s="1"/>
      <c r="F630" s="1"/>
      <c r="G630" s="1"/>
      <c r="H630" s="1"/>
      <c r="I630" s="1"/>
      <c r="J630" s="1"/>
      <c r="K630" s="1"/>
      <c r="L630" s="1"/>
      <c r="M630" s="1"/>
      <c r="N630" s="1"/>
      <c r="O630" s="1"/>
      <c r="P630" s="1"/>
      <c r="Q630" s="1"/>
      <c r="R630" s="1"/>
      <c r="S630" s="1"/>
      <c r="T630" s="1"/>
      <c r="U630" s="2"/>
      <c r="V630" s="1"/>
      <c r="W630" s="1"/>
      <c r="X630" s="1"/>
      <c r="Y630" s="1"/>
      <c r="Z630" s="1"/>
    </row>
    <row r="631" spans="1:26" ht="24.75" customHeight="1">
      <c r="A631" s="1"/>
      <c r="B631" s="1"/>
      <c r="C631" s="1"/>
      <c r="D631" s="1"/>
      <c r="E631" s="1"/>
      <c r="F631" s="1"/>
      <c r="G631" s="1"/>
      <c r="H631" s="1"/>
      <c r="I631" s="1"/>
      <c r="J631" s="1"/>
      <c r="K631" s="1"/>
      <c r="L631" s="1"/>
      <c r="M631" s="1"/>
      <c r="N631" s="1"/>
      <c r="O631" s="1"/>
      <c r="P631" s="1"/>
      <c r="Q631" s="1"/>
      <c r="R631" s="1"/>
      <c r="S631" s="1"/>
      <c r="T631" s="1"/>
      <c r="U631" s="2"/>
      <c r="V631" s="1"/>
      <c r="W631" s="1"/>
      <c r="X631" s="1"/>
      <c r="Y631" s="1"/>
      <c r="Z631" s="1"/>
    </row>
    <row r="632" spans="1:26" ht="24.75" customHeight="1">
      <c r="A632" s="1"/>
      <c r="B632" s="1"/>
      <c r="C632" s="1"/>
      <c r="D632" s="1"/>
      <c r="E632" s="1"/>
      <c r="F632" s="1"/>
      <c r="G632" s="1"/>
      <c r="H632" s="1"/>
      <c r="I632" s="1"/>
      <c r="J632" s="1"/>
      <c r="K632" s="1"/>
      <c r="L632" s="1"/>
      <c r="M632" s="1"/>
      <c r="N632" s="1"/>
      <c r="O632" s="1"/>
      <c r="P632" s="1"/>
      <c r="Q632" s="1"/>
      <c r="R632" s="1"/>
      <c r="S632" s="1"/>
      <c r="T632" s="1"/>
      <c r="U632" s="2"/>
      <c r="V632" s="1"/>
      <c r="W632" s="1"/>
      <c r="X632" s="1"/>
      <c r="Y632" s="1"/>
      <c r="Z632" s="1"/>
    </row>
    <row r="633" spans="1:26" ht="24.75" customHeight="1">
      <c r="A633" s="1"/>
      <c r="B633" s="1"/>
      <c r="C633" s="1"/>
      <c r="D633" s="1"/>
      <c r="E633" s="1"/>
      <c r="F633" s="1"/>
      <c r="G633" s="1"/>
      <c r="H633" s="1"/>
      <c r="I633" s="1"/>
      <c r="J633" s="1"/>
      <c r="K633" s="1"/>
      <c r="L633" s="1"/>
      <c r="M633" s="1"/>
      <c r="N633" s="1"/>
      <c r="O633" s="1"/>
      <c r="P633" s="1"/>
      <c r="Q633" s="1"/>
      <c r="R633" s="1"/>
      <c r="S633" s="1"/>
      <c r="T633" s="1"/>
      <c r="U633" s="2"/>
      <c r="V633" s="1"/>
      <c r="W633" s="1"/>
      <c r="X633" s="1"/>
      <c r="Y633" s="1"/>
      <c r="Z633" s="1"/>
    </row>
    <row r="634" spans="1:26" ht="24.75" customHeight="1">
      <c r="A634" s="1"/>
      <c r="B634" s="1"/>
      <c r="C634" s="1"/>
      <c r="D634" s="1"/>
      <c r="E634" s="1"/>
      <c r="F634" s="1"/>
      <c r="G634" s="1"/>
      <c r="H634" s="1"/>
      <c r="I634" s="1"/>
      <c r="J634" s="1"/>
      <c r="K634" s="1"/>
      <c r="L634" s="1"/>
      <c r="M634" s="1"/>
      <c r="N634" s="1"/>
      <c r="O634" s="1"/>
      <c r="P634" s="1"/>
      <c r="Q634" s="1"/>
      <c r="R634" s="1"/>
      <c r="S634" s="1"/>
      <c r="T634" s="1"/>
      <c r="U634" s="2"/>
      <c r="V634" s="1"/>
      <c r="W634" s="1"/>
      <c r="X634" s="1"/>
      <c r="Y634" s="1"/>
      <c r="Z634" s="1"/>
    </row>
    <row r="635" spans="1:26" ht="24.75" customHeight="1">
      <c r="A635" s="1"/>
      <c r="B635" s="1"/>
      <c r="C635" s="1"/>
      <c r="D635" s="1"/>
      <c r="E635" s="1"/>
      <c r="F635" s="1"/>
      <c r="G635" s="1"/>
      <c r="H635" s="1"/>
      <c r="I635" s="1"/>
      <c r="J635" s="1"/>
      <c r="K635" s="1"/>
      <c r="L635" s="1"/>
      <c r="M635" s="1"/>
      <c r="N635" s="1"/>
      <c r="O635" s="1"/>
      <c r="P635" s="1"/>
      <c r="Q635" s="1"/>
      <c r="R635" s="1"/>
      <c r="S635" s="1"/>
      <c r="T635" s="1"/>
      <c r="U635" s="2"/>
      <c r="V635" s="1"/>
      <c r="W635" s="1"/>
      <c r="X635" s="1"/>
      <c r="Y635" s="1"/>
      <c r="Z635" s="1"/>
    </row>
    <row r="636" spans="1:26" ht="24.75" customHeight="1">
      <c r="A636" s="1"/>
      <c r="B636" s="1"/>
      <c r="C636" s="1"/>
      <c r="D636" s="1"/>
      <c r="E636" s="1"/>
      <c r="F636" s="1"/>
      <c r="G636" s="1"/>
      <c r="H636" s="1"/>
      <c r="I636" s="1"/>
      <c r="J636" s="1"/>
      <c r="K636" s="1"/>
      <c r="L636" s="1"/>
      <c r="M636" s="1"/>
      <c r="N636" s="1"/>
      <c r="O636" s="1"/>
      <c r="P636" s="1"/>
      <c r="Q636" s="1"/>
      <c r="R636" s="1"/>
      <c r="S636" s="1"/>
      <c r="T636" s="1"/>
      <c r="U636" s="2"/>
      <c r="V636" s="1"/>
      <c r="W636" s="1"/>
      <c r="X636" s="1"/>
      <c r="Y636" s="1"/>
      <c r="Z636" s="1"/>
    </row>
    <row r="637" spans="1:26" ht="24.75" customHeight="1">
      <c r="A637" s="1"/>
      <c r="B637" s="1"/>
      <c r="C637" s="1"/>
      <c r="D637" s="1"/>
      <c r="E637" s="1"/>
      <c r="F637" s="1"/>
      <c r="G637" s="1"/>
      <c r="H637" s="1"/>
      <c r="I637" s="1"/>
      <c r="J637" s="1"/>
      <c r="K637" s="1"/>
      <c r="L637" s="1"/>
      <c r="M637" s="1"/>
      <c r="N637" s="1"/>
      <c r="O637" s="1"/>
      <c r="P637" s="1"/>
      <c r="Q637" s="1"/>
      <c r="R637" s="1"/>
      <c r="S637" s="1"/>
      <c r="T637" s="1"/>
      <c r="U637" s="2"/>
      <c r="V637" s="1"/>
      <c r="W637" s="1"/>
      <c r="X637" s="1"/>
      <c r="Y637" s="1"/>
      <c r="Z637" s="1"/>
    </row>
    <row r="638" spans="1:26" ht="24.75" customHeight="1">
      <c r="A638" s="1"/>
      <c r="B638" s="1"/>
      <c r="C638" s="1"/>
      <c r="D638" s="1"/>
      <c r="E638" s="1"/>
      <c r="F638" s="1"/>
      <c r="G638" s="1"/>
      <c r="H638" s="1"/>
      <c r="I638" s="1"/>
      <c r="J638" s="1"/>
      <c r="K638" s="1"/>
      <c r="L638" s="1"/>
      <c r="M638" s="1"/>
      <c r="N638" s="1"/>
      <c r="O638" s="1"/>
      <c r="P638" s="1"/>
      <c r="Q638" s="1"/>
      <c r="R638" s="1"/>
      <c r="S638" s="1"/>
      <c r="T638" s="1"/>
      <c r="U638" s="2"/>
      <c r="V638" s="1"/>
      <c r="W638" s="1"/>
      <c r="X638" s="1"/>
      <c r="Y638" s="1"/>
      <c r="Z638" s="1"/>
    </row>
    <row r="639" spans="1:26" ht="24.75" customHeight="1">
      <c r="A639" s="1"/>
      <c r="B639" s="1"/>
      <c r="C639" s="1"/>
      <c r="D639" s="1"/>
      <c r="E639" s="1"/>
      <c r="F639" s="1"/>
      <c r="G639" s="1"/>
      <c r="H639" s="1"/>
      <c r="I639" s="1"/>
      <c r="J639" s="1"/>
      <c r="K639" s="1"/>
      <c r="L639" s="1"/>
      <c r="M639" s="1"/>
      <c r="N639" s="1"/>
      <c r="O639" s="1"/>
      <c r="P639" s="1"/>
      <c r="Q639" s="1"/>
      <c r="R639" s="1"/>
      <c r="S639" s="1"/>
      <c r="T639" s="1"/>
      <c r="U639" s="2"/>
      <c r="V639" s="1"/>
      <c r="W639" s="1"/>
      <c r="X639" s="1"/>
      <c r="Y639" s="1"/>
      <c r="Z639" s="1"/>
    </row>
    <row r="640" spans="1:26" ht="24.75" customHeight="1">
      <c r="A640" s="1"/>
      <c r="B640" s="1"/>
      <c r="C640" s="1"/>
      <c r="D640" s="1"/>
      <c r="E640" s="1"/>
      <c r="F640" s="1"/>
      <c r="G640" s="1"/>
      <c r="H640" s="1"/>
      <c r="I640" s="1"/>
      <c r="J640" s="1"/>
      <c r="K640" s="1"/>
      <c r="L640" s="1"/>
      <c r="M640" s="1"/>
      <c r="N640" s="1"/>
      <c r="O640" s="1"/>
      <c r="P640" s="1"/>
      <c r="Q640" s="1"/>
      <c r="R640" s="1"/>
      <c r="S640" s="1"/>
      <c r="T640" s="1"/>
      <c r="U640" s="2"/>
      <c r="V640" s="1"/>
      <c r="W640" s="1"/>
      <c r="X640" s="1"/>
      <c r="Y640" s="1"/>
      <c r="Z640" s="1"/>
    </row>
    <row r="641" spans="1:26" ht="24.75" customHeight="1">
      <c r="A641" s="1"/>
      <c r="B641" s="1"/>
      <c r="C641" s="1"/>
      <c r="D641" s="1"/>
      <c r="E641" s="1"/>
      <c r="F641" s="1"/>
      <c r="G641" s="1"/>
      <c r="H641" s="1"/>
      <c r="I641" s="1"/>
      <c r="J641" s="1"/>
      <c r="K641" s="1"/>
      <c r="L641" s="1"/>
      <c r="M641" s="1"/>
      <c r="N641" s="1"/>
      <c r="O641" s="1"/>
      <c r="P641" s="1"/>
      <c r="Q641" s="1"/>
      <c r="R641" s="1"/>
      <c r="S641" s="1"/>
      <c r="T641" s="1"/>
      <c r="U641" s="2"/>
      <c r="V641" s="1"/>
      <c r="W641" s="1"/>
      <c r="X641" s="1"/>
      <c r="Y641" s="1"/>
      <c r="Z641" s="1"/>
    </row>
    <row r="642" spans="1:26" ht="24.75" customHeight="1">
      <c r="A642" s="1"/>
      <c r="B642" s="1"/>
      <c r="C642" s="1"/>
      <c r="D642" s="1"/>
      <c r="E642" s="1"/>
      <c r="F642" s="1"/>
      <c r="G642" s="1"/>
      <c r="H642" s="1"/>
      <c r="I642" s="1"/>
      <c r="J642" s="1"/>
      <c r="K642" s="1"/>
      <c r="L642" s="1"/>
      <c r="M642" s="1"/>
      <c r="N642" s="1"/>
      <c r="O642" s="1"/>
      <c r="P642" s="1"/>
      <c r="Q642" s="1"/>
      <c r="R642" s="1"/>
      <c r="S642" s="1"/>
      <c r="T642" s="1"/>
      <c r="U642" s="2"/>
      <c r="V642" s="1"/>
      <c r="W642" s="1"/>
      <c r="X642" s="1"/>
      <c r="Y642" s="1"/>
      <c r="Z642" s="1"/>
    </row>
    <row r="643" spans="1:26" ht="24.75" customHeight="1">
      <c r="A643" s="1"/>
      <c r="B643" s="1"/>
      <c r="C643" s="1"/>
      <c r="D643" s="1"/>
      <c r="E643" s="1"/>
      <c r="F643" s="1"/>
      <c r="G643" s="1"/>
      <c r="H643" s="1"/>
      <c r="I643" s="1"/>
      <c r="J643" s="1"/>
      <c r="K643" s="1"/>
      <c r="L643" s="1"/>
      <c r="M643" s="1"/>
      <c r="N643" s="1"/>
      <c r="O643" s="1"/>
      <c r="P643" s="1"/>
      <c r="Q643" s="1"/>
      <c r="R643" s="1"/>
      <c r="S643" s="1"/>
      <c r="T643" s="1"/>
      <c r="U643" s="2"/>
      <c r="V643" s="1"/>
      <c r="W643" s="1"/>
      <c r="X643" s="1"/>
      <c r="Y643" s="1"/>
      <c r="Z643" s="1"/>
    </row>
    <row r="644" spans="1:26" ht="24.75" customHeight="1">
      <c r="A644" s="1"/>
      <c r="B644" s="1"/>
      <c r="C644" s="1"/>
      <c r="D644" s="1"/>
      <c r="E644" s="1"/>
      <c r="F644" s="1"/>
      <c r="G644" s="1"/>
      <c r="H644" s="1"/>
      <c r="I644" s="1"/>
      <c r="J644" s="1"/>
      <c r="K644" s="1"/>
      <c r="L644" s="1"/>
      <c r="M644" s="1"/>
      <c r="N644" s="1"/>
      <c r="O644" s="1"/>
      <c r="P644" s="1"/>
      <c r="Q644" s="1"/>
      <c r="R644" s="1"/>
      <c r="S644" s="1"/>
      <c r="T644" s="1"/>
      <c r="U644" s="2"/>
      <c r="V644" s="1"/>
      <c r="W644" s="1"/>
      <c r="X644" s="1"/>
      <c r="Y644" s="1"/>
      <c r="Z644" s="1"/>
    </row>
    <row r="645" spans="1:26" ht="24.75" customHeight="1">
      <c r="A645" s="1"/>
      <c r="B645" s="1"/>
      <c r="C645" s="1"/>
      <c r="D645" s="1"/>
      <c r="E645" s="1"/>
      <c r="F645" s="1"/>
      <c r="G645" s="1"/>
      <c r="H645" s="1"/>
      <c r="I645" s="1"/>
      <c r="J645" s="1"/>
      <c r="K645" s="1"/>
      <c r="L645" s="1"/>
      <c r="M645" s="1"/>
      <c r="N645" s="1"/>
      <c r="O645" s="1"/>
      <c r="P645" s="1"/>
      <c r="Q645" s="1"/>
      <c r="R645" s="1"/>
      <c r="S645" s="1"/>
      <c r="T645" s="1"/>
      <c r="U645" s="2"/>
      <c r="V645" s="1"/>
      <c r="W645" s="1"/>
      <c r="X645" s="1"/>
      <c r="Y645" s="1"/>
      <c r="Z645" s="1"/>
    </row>
    <row r="646" spans="1:26" ht="24.75" customHeight="1">
      <c r="A646" s="1"/>
      <c r="B646" s="1"/>
      <c r="C646" s="1"/>
      <c r="D646" s="1"/>
      <c r="E646" s="1"/>
      <c r="F646" s="1"/>
      <c r="G646" s="1"/>
      <c r="H646" s="1"/>
      <c r="I646" s="1"/>
      <c r="J646" s="1"/>
      <c r="K646" s="1"/>
      <c r="L646" s="1"/>
      <c r="M646" s="1"/>
      <c r="N646" s="1"/>
      <c r="O646" s="1"/>
      <c r="P646" s="1"/>
      <c r="Q646" s="1"/>
      <c r="R646" s="1"/>
      <c r="S646" s="1"/>
      <c r="T646" s="1"/>
      <c r="U646" s="2"/>
      <c r="V646" s="1"/>
      <c r="W646" s="1"/>
      <c r="X646" s="1"/>
      <c r="Y646" s="1"/>
      <c r="Z646" s="1"/>
    </row>
    <row r="647" spans="1:26" ht="24.75" customHeight="1">
      <c r="A647" s="1"/>
      <c r="B647" s="1"/>
      <c r="C647" s="1"/>
      <c r="D647" s="1"/>
      <c r="E647" s="1"/>
      <c r="F647" s="1"/>
      <c r="G647" s="1"/>
      <c r="H647" s="1"/>
      <c r="I647" s="1"/>
      <c r="J647" s="1"/>
      <c r="K647" s="1"/>
      <c r="L647" s="1"/>
      <c r="M647" s="1"/>
      <c r="N647" s="1"/>
      <c r="O647" s="1"/>
      <c r="P647" s="1"/>
      <c r="Q647" s="1"/>
      <c r="R647" s="1"/>
      <c r="S647" s="1"/>
      <c r="T647" s="1"/>
      <c r="U647" s="2"/>
      <c r="V647" s="1"/>
      <c r="W647" s="1"/>
      <c r="X647" s="1"/>
      <c r="Y647" s="1"/>
      <c r="Z647" s="1"/>
    </row>
    <row r="648" spans="1:26" ht="24.75" customHeight="1">
      <c r="A648" s="1"/>
      <c r="B648" s="1"/>
      <c r="C648" s="1"/>
      <c r="D648" s="1"/>
      <c r="E648" s="1"/>
      <c r="F648" s="1"/>
      <c r="G648" s="1"/>
      <c r="H648" s="1"/>
      <c r="I648" s="1"/>
      <c r="J648" s="1"/>
      <c r="K648" s="1"/>
      <c r="L648" s="1"/>
      <c r="M648" s="1"/>
      <c r="N648" s="1"/>
      <c r="O648" s="1"/>
      <c r="P648" s="1"/>
      <c r="Q648" s="1"/>
      <c r="R648" s="1"/>
      <c r="S648" s="1"/>
      <c r="T648" s="1"/>
      <c r="U648" s="2"/>
      <c r="V648" s="1"/>
      <c r="W648" s="1"/>
      <c r="X648" s="1"/>
      <c r="Y648" s="1"/>
      <c r="Z648" s="1"/>
    </row>
    <row r="649" spans="1:26" ht="24.75" customHeight="1">
      <c r="A649" s="1"/>
      <c r="B649" s="1"/>
      <c r="C649" s="1"/>
      <c r="D649" s="1"/>
      <c r="E649" s="1"/>
      <c r="F649" s="1"/>
      <c r="G649" s="1"/>
      <c r="H649" s="1"/>
      <c r="I649" s="1"/>
      <c r="J649" s="1"/>
      <c r="K649" s="1"/>
      <c r="L649" s="1"/>
      <c r="M649" s="1"/>
      <c r="N649" s="1"/>
      <c r="O649" s="1"/>
      <c r="P649" s="1"/>
      <c r="Q649" s="1"/>
      <c r="R649" s="1"/>
      <c r="S649" s="1"/>
      <c r="T649" s="1"/>
      <c r="U649" s="2"/>
      <c r="V649" s="1"/>
      <c r="W649" s="1"/>
      <c r="X649" s="1"/>
      <c r="Y649" s="1"/>
      <c r="Z649" s="1"/>
    </row>
    <row r="650" spans="1:26" ht="24.75" customHeight="1">
      <c r="A650" s="1"/>
      <c r="B650" s="1"/>
      <c r="C650" s="1"/>
      <c r="D650" s="1"/>
      <c r="E650" s="1"/>
      <c r="F650" s="1"/>
      <c r="G650" s="1"/>
      <c r="H650" s="1"/>
      <c r="I650" s="1"/>
      <c r="J650" s="1"/>
      <c r="K650" s="1"/>
      <c r="L650" s="1"/>
      <c r="M650" s="1"/>
      <c r="N650" s="1"/>
      <c r="O650" s="1"/>
      <c r="P650" s="1"/>
      <c r="Q650" s="1"/>
      <c r="R650" s="1"/>
      <c r="S650" s="1"/>
      <c r="T650" s="1"/>
      <c r="U650" s="2"/>
      <c r="V650" s="1"/>
      <c r="W650" s="1"/>
      <c r="X650" s="1"/>
      <c r="Y650" s="1"/>
      <c r="Z650" s="1"/>
    </row>
    <row r="651" spans="1:26" ht="24.75" customHeight="1">
      <c r="A651" s="1"/>
      <c r="B651" s="1"/>
      <c r="C651" s="1"/>
      <c r="D651" s="1"/>
      <c r="E651" s="1"/>
      <c r="F651" s="1"/>
      <c r="G651" s="1"/>
      <c r="H651" s="1"/>
      <c r="I651" s="1"/>
      <c r="J651" s="1"/>
      <c r="K651" s="1"/>
      <c r="L651" s="1"/>
      <c r="M651" s="1"/>
      <c r="N651" s="1"/>
      <c r="O651" s="1"/>
      <c r="P651" s="1"/>
      <c r="Q651" s="1"/>
      <c r="R651" s="1"/>
      <c r="S651" s="1"/>
      <c r="T651" s="1"/>
      <c r="U651" s="2"/>
      <c r="V651" s="1"/>
      <c r="W651" s="1"/>
      <c r="X651" s="1"/>
      <c r="Y651" s="1"/>
      <c r="Z651" s="1"/>
    </row>
    <row r="652" spans="1:26" ht="24.75" customHeight="1">
      <c r="A652" s="1"/>
      <c r="B652" s="1"/>
      <c r="C652" s="1"/>
      <c r="D652" s="1"/>
      <c r="E652" s="1"/>
      <c r="F652" s="1"/>
      <c r="G652" s="1"/>
      <c r="H652" s="1"/>
      <c r="I652" s="1"/>
      <c r="J652" s="1"/>
      <c r="K652" s="1"/>
      <c r="L652" s="1"/>
      <c r="M652" s="1"/>
      <c r="N652" s="1"/>
      <c r="O652" s="1"/>
      <c r="P652" s="1"/>
      <c r="Q652" s="1"/>
      <c r="R652" s="1"/>
      <c r="S652" s="1"/>
      <c r="T652" s="1"/>
      <c r="U652" s="2"/>
      <c r="V652" s="1"/>
      <c r="W652" s="1"/>
      <c r="X652" s="1"/>
      <c r="Y652" s="1"/>
      <c r="Z652" s="1"/>
    </row>
    <row r="653" spans="1:26" ht="24.75" customHeight="1">
      <c r="A653" s="1"/>
      <c r="B653" s="1"/>
      <c r="C653" s="1"/>
      <c r="D653" s="1"/>
      <c r="E653" s="1"/>
      <c r="F653" s="1"/>
      <c r="G653" s="1"/>
      <c r="H653" s="1"/>
      <c r="I653" s="1"/>
      <c r="J653" s="1"/>
      <c r="K653" s="1"/>
      <c r="L653" s="1"/>
      <c r="M653" s="1"/>
      <c r="N653" s="1"/>
      <c r="O653" s="1"/>
      <c r="P653" s="1"/>
      <c r="Q653" s="1"/>
      <c r="R653" s="1"/>
      <c r="S653" s="1"/>
      <c r="T653" s="1"/>
      <c r="U653" s="2"/>
      <c r="V653" s="1"/>
      <c r="W653" s="1"/>
      <c r="X653" s="1"/>
      <c r="Y653" s="1"/>
      <c r="Z653" s="1"/>
    </row>
    <row r="654" spans="1:26" ht="24.75" customHeight="1">
      <c r="A654" s="1"/>
      <c r="B654" s="1"/>
      <c r="C654" s="1"/>
      <c r="D654" s="1"/>
      <c r="E654" s="1"/>
      <c r="F654" s="1"/>
      <c r="G654" s="1"/>
      <c r="H654" s="1"/>
      <c r="I654" s="1"/>
      <c r="J654" s="1"/>
      <c r="K654" s="1"/>
      <c r="L654" s="1"/>
      <c r="M654" s="1"/>
      <c r="N654" s="1"/>
      <c r="O654" s="1"/>
      <c r="P654" s="1"/>
      <c r="Q654" s="1"/>
      <c r="R654" s="1"/>
      <c r="S654" s="1"/>
      <c r="T654" s="1"/>
      <c r="U654" s="2"/>
      <c r="V654" s="1"/>
      <c r="W654" s="1"/>
      <c r="X654" s="1"/>
      <c r="Y654" s="1"/>
      <c r="Z654" s="1"/>
    </row>
    <row r="655" spans="1:26" ht="24.75" customHeight="1">
      <c r="A655" s="1"/>
      <c r="B655" s="1"/>
      <c r="C655" s="1"/>
      <c r="D655" s="1"/>
      <c r="E655" s="1"/>
      <c r="F655" s="1"/>
      <c r="G655" s="1"/>
      <c r="H655" s="1"/>
      <c r="I655" s="1"/>
      <c r="J655" s="1"/>
      <c r="K655" s="1"/>
      <c r="L655" s="1"/>
      <c r="M655" s="1"/>
      <c r="N655" s="1"/>
      <c r="O655" s="1"/>
      <c r="P655" s="1"/>
      <c r="Q655" s="1"/>
      <c r="R655" s="1"/>
      <c r="S655" s="1"/>
      <c r="T655" s="1"/>
      <c r="U655" s="2"/>
      <c r="V655" s="1"/>
      <c r="W655" s="1"/>
      <c r="X655" s="1"/>
      <c r="Y655" s="1"/>
      <c r="Z655" s="1"/>
    </row>
    <row r="656" spans="1:26" ht="24.75" customHeight="1">
      <c r="A656" s="1"/>
      <c r="B656" s="1"/>
      <c r="C656" s="1"/>
      <c r="D656" s="1"/>
      <c r="E656" s="1"/>
      <c r="F656" s="1"/>
      <c r="G656" s="1"/>
      <c r="H656" s="1"/>
      <c r="I656" s="1"/>
      <c r="J656" s="1"/>
      <c r="K656" s="1"/>
      <c r="L656" s="1"/>
      <c r="M656" s="1"/>
      <c r="N656" s="1"/>
      <c r="O656" s="1"/>
      <c r="P656" s="1"/>
      <c r="Q656" s="1"/>
      <c r="R656" s="1"/>
      <c r="S656" s="1"/>
      <c r="T656" s="1"/>
      <c r="U656" s="2"/>
      <c r="V656" s="1"/>
      <c r="W656" s="1"/>
      <c r="X656" s="1"/>
      <c r="Y656" s="1"/>
      <c r="Z656" s="1"/>
    </row>
    <row r="657" spans="1:26" ht="24.75" customHeight="1">
      <c r="A657" s="1"/>
      <c r="B657" s="1"/>
      <c r="C657" s="1"/>
      <c r="D657" s="1"/>
      <c r="E657" s="1"/>
      <c r="F657" s="1"/>
      <c r="G657" s="1"/>
      <c r="H657" s="1"/>
      <c r="I657" s="1"/>
      <c r="J657" s="1"/>
      <c r="K657" s="1"/>
      <c r="L657" s="1"/>
      <c r="M657" s="1"/>
      <c r="N657" s="1"/>
      <c r="O657" s="1"/>
      <c r="P657" s="1"/>
      <c r="Q657" s="1"/>
      <c r="R657" s="1"/>
      <c r="S657" s="1"/>
      <c r="T657" s="1"/>
      <c r="U657" s="2"/>
      <c r="V657" s="1"/>
      <c r="W657" s="1"/>
      <c r="X657" s="1"/>
      <c r="Y657" s="1"/>
      <c r="Z657" s="1"/>
    </row>
    <row r="658" spans="1:26" ht="24.75" customHeight="1">
      <c r="A658" s="1"/>
      <c r="B658" s="1"/>
      <c r="C658" s="1"/>
      <c r="D658" s="1"/>
      <c r="E658" s="1"/>
      <c r="F658" s="1"/>
      <c r="G658" s="1"/>
      <c r="H658" s="1"/>
      <c r="I658" s="1"/>
      <c r="J658" s="1"/>
      <c r="K658" s="1"/>
      <c r="L658" s="1"/>
      <c r="M658" s="1"/>
      <c r="N658" s="1"/>
      <c r="O658" s="1"/>
      <c r="P658" s="1"/>
      <c r="Q658" s="1"/>
      <c r="R658" s="1"/>
      <c r="S658" s="1"/>
      <c r="T658" s="1"/>
      <c r="U658" s="2"/>
      <c r="V658" s="1"/>
      <c r="W658" s="1"/>
      <c r="X658" s="1"/>
      <c r="Y658" s="1"/>
      <c r="Z658" s="1"/>
    </row>
    <row r="659" spans="1:26" ht="24.75" customHeight="1">
      <c r="A659" s="1"/>
      <c r="B659" s="1"/>
      <c r="C659" s="1"/>
      <c r="D659" s="1"/>
      <c r="E659" s="1"/>
      <c r="F659" s="1"/>
      <c r="G659" s="1"/>
      <c r="H659" s="1"/>
      <c r="I659" s="1"/>
      <c r="J659" s="1"/>
      <c r="K659" s="1"/>
      <c r="L659" s="1"/>
      <c r="M659" s="1"/>
      <c r="N659" s="1"/>
      <c r="O659" s="1"/>
      <c r="P659" s="1"/>
      <c r="Q659" s="1"/>
      <c r="R659" s="1"/>
      <c r="S659" s="1"/>
      <c r="T659" s="1"/>
      <c r="U659" s="2"/>
      <c r="V659" s="1"/>
      <c r="W659" s="1"/>
      <c r="X659" s="1"/>
      <c r="Y659" s="1"/>
      <c r="Z659" s="1"/>
    </row>
    <row r="660" spans="1:26" ht="24.75" customHeight="1">
      <c r="A660" s="1"/>
      <c r="B660" s="1"/>
      <c r="C660" s="1"/>
      <c r="D660" s="1"/>
      <c r="E660" s="1"/>
      <c r="F660" s="1"/>
      <c r="G660" s="1"/>
      <c r="H660" s="1"/>
      <c r="I660" s="1"/>
      <c r="J660" s="1"/>
      <c r="K660" s="1"/>
      <c r="L660" s="1"/>
      <c r="M660" s="1"/>
      <c r="N660" s="1"/>
      <c r="O660" s="1"/>
      <c r="P660" s="1"/>
      <c r="Q660" s="1"/>
      <c r="R660" s="1"/>
      <c r="S660" s="1"/>
      <c r="T660" s="1"/>
      <c r="U660" s="2"/>
      <c r="V660" s="1"/>
      <c r="W660" s="1"/>
      <c r="X660" s="1"/>
      <c r="Y660" s="1"/>
      <c r="Z660" s="1"/>
    </row>
    <row r="661" spans="1:26" ht="24.75" customHeight="1">
      <c r="A661" s="1"/>
      <c r="B661" s="1"/>
      <c r="C661" s="1"/>
      <c r="D661" s="1"/>
      <c r="E661" s="1"/>
      <c r="F661" s="1"/>
      <c r="G661" s="1"/>
      <c r="H661" s="1"/>
      <c r="I661" s="1"/>
      <c r="J661" s="1"/>
      <c r="K661" s="1"/>
      <c r="L661" s="1"/>
      <c r="M661" s="1"/>
      <c r="N661" s="1"/>
      <c r="O661" s="1"/>
      <c r="P661" s="1"/>
      <c r="Q661" s="1"/>
      <c r="R661" s="1"/>
      <c r="S661" s="1"/>
      <c r="T661" s="1"/>
      <c r="U661" s="2"/>
      <c r="V661" s="1"/>
      <c r="W661" s="1"/>
      <c r="X661" s="1"/>
      <c r="Y661" s="1"/>
      <c r="Z661" s="1"/>
    </row>
    <row r="662" spans="1:26" ht="24.75" customHeight="1">
      <c r="A662" s="1"/>
      <c r="B662" s="1"/>
      <c r="C662" s="1"/>
      <c r="D662" s="1"/>
      <c r="E662" s="1"/>
      <c r="F662" s="1"/>
      <c r="G662" s="1"/>
      <c r="H662" s="1"/>
      <c r="I662" s="1"/>
      <c r="J662" s="1"/>
      <c r="K662" s="1"/>
      <c r="L662" s="1"/>
      <c r="M662" s="1"/>
      <c r="N662" s="1"/>
      <c r="O662" s="1"/>
      <c r="P662" s="1"/>
      <c r="Q662" s="1"/>
      <c r="R662" s="1"/>
      <c r="S662" s="1"/>
      <c r="T662" s="1"/>
      <c r="U662" s="2"/>
      <c r="V662" s="1"/>
      <c r="W662" s="1"/>
      <c r="X662" s="1"/>
      <c r="Y662" s="1"/>
      <c r="Z662" s="1"/>
    </row>
    <row r="663" spans="1:26" ht="24.75" customHeight="1">
      <c r="A663" s="1"/>
      <c r="B663" s="1"/>
      <c r="C663" s="1"/>
      <c r="D663" s="1"/>
      <c r="E663" s="1"/>
      <c r="F663" s="1"/>
      <c r="G663" s="1"/>
      <c r="H663" s="1"/>
      <c r="I663" s="1"/>
      <c r="J663" s="1"/>
      <c r="K663" s="1"/>
      <c r="L663" s="1"/>
      <c r="M663" s="1"/>
      <c r="N663" s="1"/>
      <c r="O663" s="1"/>
      <c r="P663" s="1"/>
      <c r="Q663" s="1"/>
      <c r="R663" s="1"/>
      <c r="S663" s="1"/>
      <c r="T663" s="1"/>
      <c r="U663" s="2"/>
      <c r="V663" s="1"/>
      <c r="W663" s="1"/>
      <c r="X663" s="1"/>
      <c r="Y663" s="1"/>
      <c r="Z663" s="1"/>
    </row>
    <row r="664" spans="1:26" ht="24.75" customHeight="1">
      <c r="A664" s="1"/>
      <c r="B664" s="1"/>
      <c r="C664" s="1"/>
      <c r="D664" s="1"/>
      <c r="E664" s="1"/>
      <c r="F664" s="1"/>
      <c r="G664" s="1"/>
      <c r="H664" s="1"/>
      <c r="I664" s="1"/>
      <c r="J664" s="1"/>
      <c r="K664" s="1"/>
      <c r="L664" s="1"/>
      <c r="M664" s="1"/>
      <c r="N664" s="1"/>
      <c r="O664" s="1"/>
      <c r="P664" s="1"/>
      <c r="Q664" s="1"/>
      <c r="R664" s="1"/>
      <c r="S664" s="1"/>
      <c r="T664" s="1"/>
      <c r="U664" s="2"/>
      <c r="V664" s="1"/>
      <c r="W664" s="1"/>
      <c r="X664" s="1"/>
      <c r="Y664" s="1"/>
      <c r="Z664" s="1"/>
    </row>
    <row r="665" spans="1:26" ht="24.75" customHeight="1">
      <c r="A665" s="1"/>
      <c r="B665" s="1"/>
      <c r="C665" s="1"/>
      <c r="D665" s="1"/>
      <c r="E665" s="1"/>
      <c r="F665" s="1"/>
      <c r="G665" s="1"/>
      <c r="H665" s="1"/>
      <c r="I665" s="1"/>
      <c r="J665" s="1"/>
      <c r="K665" s="1"/>
      <c r="L665" s="1"/>
      <c r="M665" s="1"/>
      <c r="N665" s="1"/>
      <c r="O665" s="1"/>
      <c r="P665" s="1"/>
      <c r="Q665" s="1"/>
      <c r="R665" s="1"/>
      <c r="S665" s="1"/>
      <c r="T665" s="1"/>
      <c r="U665" s="2"/>
      <c r="V665" s="1"/>
      <c r="W665" s="1"/>
      <c r="X665" s="1"/>
      <c r="Y665" s="1"/>
      <c r="Z665" s="1"/>
    </row>
    <row r="666" spans="1:26" ht="24.75" customHeight="1">
      <c r="A666" s="1"/>
      <c r="B666" s="1"/>
      <c r="C666" s="1"/>
      <c r="D666" s="1"/>
      <c r="E666" s="1"/>
      <c r="F666" s="1"/>
      <c r="G666" s="1"/>
      <c r="H666" s="1"/>
      <c r="I666" s="1"/>
      <c r="J666" s="1"/>
      <c r="K666" s="1"/>
      <c r="L666" s="1"/>
      <c r="M666" s="1"/>
      <c r="N666" s="1"/>
      <c r="O666" s="1"/>
      <c r="P666" s="1"/>
      <c r="Q666" s="1"/>
      <c r="R666" s="1"/>
      <c r="S666" s="1"/>
      <c r="T666" s="1"/>
      <c r="U666" s="2"/>
      <c r="V666" s="1"/>
      <c r="W666" s="1"/>
      <c r="X666" s="1"/>
      <c r="Y666" s="1"/>
      <c r="Z666" s="1"/>
    </row>
    <row r="667" spans="1:26" ht="24.75" customHeight="1">
      <c r="A667" s="1"/>
      <c r="B667" s="1"/>
      <c r="C667" s="1"/>
      <c r="D667" s="1"/>
      <c r="E667" s="1"/>
      <c r="F667" s="1"/>
      <c r="G667" s="1"/>
      <c r="H667" s="1"/>
      <c r="I667" s="1"/>
      <c r="J667" s="1"/>
      <c r="K667" s="1"/>
      <c r="L667" s="1"/>
      <c r="M667" s="1"/>
      <c r="N667" s="1"/>
      <c r="O667" s="1"/>
      <c r="P667" s="1"/>
      <c r="Q667" s="1"/>
      <c r="R667" s="1"/>
      <c r="S667" s="1"/>
      <c r="T667" s="1"/>
      <c r="U667" s="2"/>
      <c r="V667" s="1"/>
      <c r="W667" s="1"/>
      <c r="X667" s="1"/>
      <c r="Y667" s="1"/>
      <c r="Z667" s="1"/>
    </row>
    <row r="668" spans="1:26" ht="24.75" customHeight="1">
      <c r="A668" s="1"/>
      <c r="B668" s="1"/>
      <c r="C668" s="1"/>
      <c r="D668" s="1"/>
      <c r="E668" s="1"/>
      <c r="F668" s="1"/>
      <c r="G668" s="1"/>
      <c r="H668" s="1"/>
      <c r="I668" s="1"/>
      <c r="J668" s="1"/>
      <c r="K668" s="1"/>
      <c r="L668" s="1"/>
      <c r="M668" s="1"/>
      <c r="N668" s="1"/>
      <c r="O668" s="1"/>
      <c r="P668" s="1"/>
      <c r="Q668" s="1"/>
      <c r="R668" s="1"/>
      <c r="S668" s="1"/>
      <c r="T668" s="1"/>
      <c r="U668" s="2"/>
      <c r="V668" s="1"/>
      <c r="W668" s="1"/>
      <c r="X668" s="1"/>
      <c r="Y668" s="1"/>
      <c r="Z668" s="1"/>
    </row>
    <row r="669" spans="1:26" ht="24.75" customHeight="1">
      <c r="A669" s="1"/>
      <c r="B669" s="1"/>
      <c r="C669" s="1"/>
      <c r="D669" s="1"/>
      <c r="E669" s="1"/>
      <c r="F669" s="1"/>
      <c r="G669" s="1"/>
      <c r="H669" s="1"/>
      <c r="I669" s="1"/>
      <c r="J669" s="1"/>
      <c r="K669" s="1"/>
      <c r="L669" s="1"/>
      <c r="M669" s="1"/>
      <c r="N669" s="1"/>
      <c r="O669" s="1"/>
      <c r="P669" s="1"/>
      <c r="Q669" s="1"/>
      <c r="R669" s="1"/>
      <c r="S669" s="1"/>
      <c r="T669" s="1"/>
      <c r="U669" s="2"/>
      <c r="V669" s="1"/>
      <c r="W669" s="1"/>
      <c r="X669" s="1"/>
      <c r="Y669" s="1"/>
      <c r="Z669" s="1"/>
    </row>
    <row r="670" spans="1:26" ht="24.75" customHeight="1">
      <c r="A670" s="1"/>
      <c r="B670" s="1"/>
      <c r="C670" s="1"/>
      <c r="D670" s="1"/>
      <c r="E670" s="1"/>
      <c r="F670" s="1"/>
      <c r="G670" s="1"/>
      <c r="H670" s="1"/>
      <c r="I670" s="1"/>
      <c r="J670" s="1"/>
      <c r="K670" s="1"/>
      <c r="L670" s="1"/>
      <c r="M670" s="1"/>
      <c r="N670" s="1"/>
      <c r="O670" s="1"/>
      <c r="P670" s="1"/>
      <c r="Q670" s="1"/>
      <c r="R670" s="1"/>
      <c r="S670" s="1"/>
      <c r="T670" s="1"/>
      <c r="U670" s="2"/>
      <c r="V670" s="1"/>
      <c r="W670" s="1"/>
      <c r="X670" s="1"/>
      <c r="Y670" s="1"/>
      <c r="Z670" s="1"/>
    </row>
    <row r="671" spans="1:26" ht="24.75" customHeight="1">
      <c r="A671" s="1"/>
      <c r="B671" s="1"/>
      <c r="C671" s="1"/>
      <c r="D671" s="1"/>
      <c r="E671" s="1"/>
      <c r="F671" s="1"/>
      <c r="G671" s="1"/>
      <c r="H671" s="1"/>
      <c r="I671" s="1"/>
      <c r="J671" s="1"/>
      <c r="K671" s="1"/>
      <c r="L671" s="1"/>
      <c r="M671" s="1"/>
      <c r="N671" s="1"/>
      <c r="O671" s="1"/>
      <c r="P671" s="1"/>
      <c r="Q671" s="1"/>
      <c r="R671" s="1"/>
      <c r="S671" s="1"/>
      <c r="T671" s="1"/>
      <c r="U671" s="2"/>
      <c r="V671" s="1"/>
      <c r="W671" s="1"/>
      <c r="X671" s="1"/>
      <c r="Y671" s="1"/>
      <c r="Z671" s="1"/>
    </row>
    <row r="672" spans="1:26" ht="24.75" customHeight="1">
      <c r="A672" s="1"/>
      <c r="B672" s="1"/>
      <c r="C672" s="1"/>
      <c r="D672" s="1"/>
      <c r="E672" s="1"/>
      <c r="F672" s="1"/>
      <c r="G672" s="1"/>
      <c r="H672" s="1"/>
      <c r="I672" s="1"/>
      <c r="J672" s="1"/>
      <c r="K672" s="1"/>
      <c r="L672" s="1"/>
      <c r="M672" s="1"/>
      <c r="N672" s="1"/>
      <c r="O672" s="1"/>
      <c r="P672" s="1"/>
      <c r="Q672" s="1"/>
      <c r="R672" s="1"/>
      <c r="S672" s="1"/>
      <c r="T672" s="1"/>
      <c r="U672" s="2"/>
      <c r="V672" s="1"/>
      <c r="W672" s="1"/>
      <c r="X672" s="1"/>
      <c r="Y672" s="1"/>
      <c r="Z672" s="1"/>
    </row>
    <row r="673" spans="1:26" ht="24.75" customHeight="1">
      <c r="A673" s="1"/>
      <c r="B673" s="1"/>
      <c r="C673" s="1"/>
      <c r="D673" s="1"/>
      <c r="E673" s="1"/>
      <c r="F673" s="1"/>
      <c r="G673" s="1"/>
      <c r="H673" s="1"/>
      <c r="I673" s="1"/>
      <c r="J673" s="1"/>
      <c r="K673" s="1"/>
      <c r="L673" s="1"/>
      <c r="M673" s="1"/>
      <c r="N673" s="1"/>
      <c r="O673" s="1"/>
      <c r="P673" s="1"/>
      <c r="Q673" s="1"/>
      <c r="R673" s="1"/>
      <c r="S673" s="1"/>
      <c r="T673" s="1"/>
      <c r="U673" s="2"/>
      <c r="V673" s="1"/>
      <c r="W673" s="1"/>
      <c r="X673" s="1"/>
      <c r="Y673" s="1"/>
      <c r="Z673" s="1"/>
    </row>
    <row r="674" spans="1:26" ht="24.75" customHeight="1">
      <c r="A674" s="1"/>
      <c r="B674" s="1"/>
      <c r="C674" s="1"/>
      <c r="D674" s="1"/>
      <c r="E674" s="1"/>
      <c r="F674" s="1"/>
      <c r="G674" s="1"/>
      <c r="H674" s="1"/>
      <c r="I674" s="1"/>
      <c r="J674" s="1"/>
      <c r="K674" s="1"/>
      <c r="L674" s="1"/>
      <c r="M674" s="1"/>
      <c r="N674" s="1"/>
      <c r="O674" s="1"/>
      <c r="P674" s="1"/>
      <c r="Q674" s="1"/>
      <c r="R674" s="1"/>
      <c r="S674" s="1"/>
      <c r="T674" s="1"/>
      <c r="U674" s="2"/>
      <c r="V674" s="1"/>
      <c r="W674" s="1"/>
      <c r="X674" s="1"/>
      <c r="Y674" s="1"/>
      <c r="Z674" s="1"/>
    </row>
    <row r="675" spans="1:26" ht="24.75" customHeight="1">
      <c r="A675" s="1"/>
      <c r="B675" s="1"/>
      <c r="C675" s="1"/>
      <c r="D675" s="1"/>
      <c r="E675" s="1"/>
      <c r="F675" s="1"/>
      <c r="G675" s="1"/>
      <c r="H675" s="1"/>
      <c r="I675" s="1"/>
      <c r="J675" s="1"/>
      <c r="K675" s="1"/>
      <c r="L675" s="1"/>
      <c r="M675" s="1"/>
      <c r="N675" s="1"/>
      <c r="O675" s="1"/>
      <c r="P675" s="1"/>
      <c r="Q675" s="1"/>
      <c r="R675" s="1"/>
      <c r="S675" s="1"/>
      <c r="T675" s="1"/>
      <c r="U675" s="2"/>
      <c r="V675" s="1"/>
      <c r="W675" s="1"/>
      <c r="X675" s="1"/>
      <c r="Y675" s="1"/>
      <c r="Z675" s="1"/>
    </row>
    <row r="676" spans="1:26" ht="24.75" customHeight="1">
      <c r="A676" s="1"/>
      <c r="B676" s="1"/>
      <c r="C676" s="1"/>
      <c r="D676" s="1"/>
      <c r="E676" s="1"/>
      <c r="F676" s="1"/>
      <c r="G676" s="1"/>
      <c r="H676" s="1"/>
      <c r="I676" s="1"/>
      <c r="J676" s="1"/>
      <c r="K676" s="1"/>
      <c r="L676" s="1"/>
      <c r="M676" s="1"/>
      <c r="N676" s="1"/>
      <c r="O676" s="1"/>
      <c r="P676" s="1"/>
      <c r="Q676" s="1"/>
      <c r="R676" s="1"/>
      <c r="S676" s="1"/>
      <c r="T676" s="1"/>
      <c r="U676" s="2"/>
      <c r="V676" s="1"/>
      <c r="W676" s="1"/>
      <c r="X676" s="1"/>
      <c r="Y676" s="1"/>
      <c r="Z676" s="1"/>
    </row>
    <row r="677" spans="1:26" ht="24.75" customHeight="1">
      <c r="A677" s="1"/>
      <c r="B677" s="1"/>
      <c r="C677" s="1"/>
      <c r="D677" s="1"/>
      <c r="E677" s="1"/>
      <c r="F677" s="1"/>
      <c r="G677" s="1"/>
      <c r="H677" s="1"/>
      <c r="I677" s="1"/>
      <c r="J677" s="1"/>
      <c r="K677" s="1"/>
      <c r="L677" s="1"/>
      <c r="M677" s="1"/>
      <c r="N677" s="1"/>
      <c r="O677" s="1"/>
      <c r="P677" s="1"/>
      <c r="Q677" s="1"/>
      <c r="R677" s="1"/>
      <c r="S677" s="1"/>
      <c r="T677" s="1"/>
      <c r="U677" s="2"/>
      <c r="V677" s="1"/>
      <c r="W677" s="1"/>
      <c r="X677" s="1"/>
      <c r="Y677" s="1"/>
      <c r="Z677" s="1"/>
    </row>
    <row r="678" spans="1:26" ht="24.75" customHeight="1">
      <c r="A678" s="1"/>
      <c r="B678" s="1"/>
      <c r="C678" s="1"/>
      <c r="D678" s="1"/>
      <c r="E678" s="1"/>
      <c r="F678" s="1"/>
      <c r="G678" s="1"/>
      <c r="H678" s="1"/>
      <c r="I678" s="1"/>
      <c r="J678" s="1"/>
      <c r="K678" s="1"/>
      <c r="L678" s="1"/>
      <c r="M678" s="1"/>
      <c r="N678" s="1"/>
      <c r="O678" s="1"/>
      <c r="P678" s="1"/>
      <c r="Q678" s="1"/>
      <c r="R678" s="1"/>
      <c r="S678" s="1"/>
      <c r="T678" s="1"/>
      <c r="U678" s="2"/>
      <c r="V678" s="1"/>
      <c r="W678" s="1"/>
      <c r="X678" s="1"/>
      <c r="Y678" s="1"/>
      <c r="Z678" s="1"/>
    </row>
    <row r="679" spans="1:26" ht="24.75" customHeight="1">
      <c r="A679" s="1"/>
      <c r="B679" s="1"/>
      <c r="C679" s="1"/>
      <c r="D679" s="1"/>
      <c r="E679" s="1"/>
      <c r="F679" s="1"/>
      <c r="G679" s="1"/>
      <c r="H679" s="1"/>
      <c r="I679" s="1"/>
      <c r="J679" s="1"/>
      <c r="K679" s="1"/>
      <c r="L679" s="1"/>
      <c r="M679" s="1"/>
      <c r="N679" s="1"/>
      <c r="O679" s="1"/>
      <c r="P679" s="1"/>
      <c r="Q679" s="1"/>
      <c r="R679" s="1"/>
      <c r="S679" s="1"/>
      <c r="T679" s="1"/>
      <c r="U679" s="2"/>
      <c r="V679" s="1"/>
      <c r="W679" s="1"/>
      <c r="X679" s="1"/>
      <c r="Y679" s="1"/>
      <c r="Z679" s="1"/>
    </row>
    <row r="680" spans="1:26" ht="24.75" customHeight="1">
      <c r="A680" s="1"/>
      <c r="B680" s="1"/>
      <c r="C680" s="1"/>
      <c r="D680" s="1"/>
      <c r="E680" s="1"/>
      <c r="F680" s="1"/>
      <c r="G680" s="1"/>
      <c r="H680" s="1"/>
      <c r="I680" s="1"/>
      <c r="J680" s="1"/>
      <c r="K680" s="1"/>
      <c r="L680" s="1"/>
      <c r="M680" s="1"/>
      <c r="N680" s="1"/>
      <c r="O680" s="1"/>
      <c r="P680" s="1"/>
      <c r="Q680" s="1"/>
      <c r="R680" s="1"/>
      <c r="S680" s="1"/>
      <c r="T680" s="1"/>
      <c r="U680" s="2"/>
      <c r="V680" s="1"/>
      <c r="W680" s="1"/>
      <c r="X680" s="1"/>
      <c r="Y680" s="1"/>
      <c r="Z680" s="1"/>
    </row>
    <row r="681" spans="1:26" ht="24.75" customHeight="1">
      <c r="A681" s="1"/>
      <c r="B681" s="1"/>
      <c r="C681" s="1"/>
      <c r="D681" s="1"/>
      <c r="E681" s="1"/>
      <c r="F681" s="1"/>
      <c r="G681" s="1"/>
      <c r="H681" s="1"/>
      <c r="I681" s="1"/>
      <c r="J681" s="1"/>
      <c r="K681" s="1"/>
      <c r="L681" s="1"/>
      <c r="M681" s="1"/>
      <c r="N681" s="1"/>
      <c r="O681" s="1"/>
      <c r="P681" s="1"/>
      <c r="Q681" s="1"/>
      <c r="R681" s="1"/>
      <c r="S681" s="1"/>
      <c r="T681" s="1"/>
      <c r="U681" s="2"/>
      <c r="V681" s="1"/>
      <c r="W681" s="1"/>
      <c r="X681" s="1"/>
      <c r="Y681" s="1"/>
      <c r="Z681" s="1"/>
    </row>
    <row r="682" spans="1:26" ht="24.75" customHeight="1">
      <c r="A682" s="1"/>
      <c r="B682" s="1"/>
      <c r="C682" s="1"/>
      <c r="D682" s="1"/>
      <c r="E682" s="1"/>
      <c r="F682" s="1"/>
      <c r="G682" s="1"/>
      <c r="H682" s="1"/>
      <c r="I682" s="1"/>
      <c r="J682" s="1"/>
      <c r="K682" s="1"/>
      <c r="L682" s="1"/>
      <c r="M682" s="1"/>
      <c r="N682" s="1"/>
      <c r="O682" s="1"/>
      <c r="P682" s="1"/>
      <c r="Q682" s="1"/>
      <c r="R682" s="1"/>
      <c r="S682" s="1"/>
      <c r="T682" s="1"/>
      <c r="U682" s="2"/>
      <c r="V682" s="1"/>
      <c r="W682" s="1"/>
      <c r="X682" s="1"/>
      <c r="Y682" s="1"/>
      <c r="Z682" s="1"/>
    </row>
    <row r="683" spans="1:26" ht="24.75" customHeight="1">
      <c r="A683" s="1"/>
      <c r="B683" s="1"/>
      <c r="C683" s="1"/>
      <c r="D683" s="1"/>
      <c r="E683" s="1"/>
      <c r="F683" s="1"/>
      <c r="G683" s="1"/>
      <c r="H683" s="1"/>
      <c r="I683" s="1"/>
      <c r="J683" s="1"/>
      <c r="K683" s="1"/>
      <c r="L683" s="1"/>
      <c r="M683" s="1"/>
      <c r="N683" s="1"/>
      <c r="O683" s="1"/>
      <c r="P683" s="1"/>
      <c r="Q683" s="1"/>
      <c r="R683" s="1"/>
      <c r="S683" s="1"/>
      <c r="T683" s="1"/>
      <c r="U683" s="2"/>
      <c r="V683" s="1"/>
      <c r="W683" s="1"/>
      <c r="X683" s="1"/>
      <c r="Y683" s="1"/>
      <c r="Z683" s="1"/>
    </row>
    <row r="684" spans="1:26" ht="24.75" customHeight="1">
      <c r="A684" s="1"/>
      <c r="B684" s="1"/>
      <c r="C684" s="1"/>
      <c r="D684" s="1"/>
      <c r="E684" s="1"/>
      <c r="F684" s="1"/>
      <c r="G684" s="1"/>
      <c r="H684" s="1"/>
      <c r="I684" s="1"/>
      <c r="J684" s="1"/>
      <c r="K684" s="1"/>
      <c r="L684" s="1"/>
      <c r="M684" s="1"/>
      <c r="N684" s="1"/>
      <c r="O684" s="1"/>
      <c r="P684" s="1"/>
      <c r="Q684" s="1"/>
      <c r="R684" s="1"/>
      <c r="S684" s="1"/>
      <c r="T684" s="1"/>
      <c r="U684" s="2"/>
      <c r="V684" s="1"/>
      <c r="W684" s="1"/>
      <c r="X684" s="1"/>
      <c r="Y684" s="1"/>
      <c r="Z684" s="1"/>
    </row>
    <row r="685" spans="1:26" ht="24.75" customHeight="1">
      <c r="A685" s="1"/>
      <c r="B685" s="1"/>
      <c r="C685" s="1"/>
      <c r="D685" s="1"/>
      <c r="E685" s="1"/>
      <c r="F685" s="1"/>
      <c r="G685" s="1"/>
      <c r="H685" s="1"/>
      <c r="I685" s="1"/>
      <c r="J685" s="1"/>
      <c r="K685" s="1"/>
      <c r="L685" s="1"/>
      <c r="M685" s="1"/>
      <c r="N685" s="1"/>
      <c r="O685" s="1"/>
      <c r="P685" s="1"/>
      <c r="Q685" s="1"/>
      <c r="R685" s="1"/>
      <c r="S685" s="1"/>
      <c r="T685" s="1"/>
      <c r="U685" s="2"/>
      <c r="V685" s="1"/>
      <c r="W685" s="1"/>
      <c r="X685" s="1"/>
      <c r="Y685" s="1"/>
      <c r="Z685" s="1"/>
    </row>
    <row r="686" spans="1:26" ht="24.75" customHeight="1">
      <c r="A686" s="1"/>
      <c r="B686" s="1"/>
      <c r="C686" s="1"/>
      <c r="D686" s="1"/>
      <c r="E686" s="1"/>
      <c r="F686" s="1"/>
      <c r="G686" s="1"/>
      <c r="H686" s="1"/>
      <c r="I686" s="1"/>
      <c r="J686" s="1"/>
      <c r="K686" s="1"/>
      <c r="L686" s="1"/>
      <c r="M686" s="1"/>
      <c r="N686" s="1"/>
      <c r="O686" s="1"/>
      <c r="P686" s="1"/>
      <c r="Q686" s="1"/>
      <c r="R686" s="1"/>
      <c r="S686" s="1"/>
      <c r="T686" s="1"/>
      <c r="U686" s="2"/>
      <c r="V686" s="1"/>
      <c r="W686" s="1"/>
      <c r="X686" s="1"/>
      <c r="Y686" s="1"/>
      <c r="Z686" s="1"/>
    </row>
    <row r="687" spans="1:26" ht="24.75" customHeight="1">
      <c r="A687" s="1"/>
      <c r="B687" s="1"/>
      <c r="C687" s="1"/>
      <c r="D687" s="1"/>
      <c r="E687" s="1"/>
      <c r="F687" s="1"/>
      <c r="G687" s="1"/>
      <c r="H687" s="1"/>
      <c r="I687" s="1"/>
      <c r="J687" s="1"/>
      <c r="K687" s="1"/>
      <c r="L687" s="1"/>
      <c r="M687" s="1"/>
      <c r="N687" s="1"/>
      <c r="O687" s="1"/>
      <c r="P687" s="1"/>
      <c r="Q687" s="1"/>
      <c r="R687" s="1"/>
      <c r="S687" s="1"/>
      <c r="T687" s="1"/>
      <c r="U687" s="2"/>
      <c r="V687" s="1"/>
      <c r="W687" s="1"/>
      <c r="X687" s="1"/>
      <c r="Y687" s="1"/>
      <c r="Z687" s="1"/>
    </row>
    <row r="688" spans="1:26" ht="24.75" customHeight="1">
      <c r="A688" s="1"/>
      <c r="B688" s="1"/>
      <c r="C688" s="1"/>
      <c r="D688" s="1"/>
      <c r="E688" s="1"/>
      <c r="F688" s="1"/>
      <c r="G688" s="1"/>
      <c r="H688" s="1"/>
      <c r="I688" s="1"/>
      <c r="J688" s="1"/>
      <c r="K688" s="1"/>
      <c r="L688" s="1"/>
      <c r="M688" s="1"/>
      <c r="N688" s="1"/>
      <c r="O688" s="1"/>
      <c r="P688" s="1"/>
      <c r="Q688" s="1"/>
      <c r="R688" s="1"/>
      <c r="S688" s="1"/>
      <c r="T688" s="1"/>
      <c r="U688" s="2"/>
      <c r="V688" s="1"/>
      <c r="W688" s="1"/>
      <c r="X688" s="1"/>
      <c r="Y688" s="1"/>
      <c r="Z688" s="1"/>
    </row>
    <row r="689" spans="1:26" ht="24.75" customHeight="1">
      <c r="A689" s="1"/>
      <c r="B689" s="1"/>
      <c r="C689" s="1"/>
      <c r="D689" s="1"/>
      <c r="E689" s="1"/>
      <c r="F689" s="1"/>
      <c r="G689" s="1"/>
      <c r="H689" s="1"/>
      <c r="I689" s="1"/>
      <c r="J689" s="1"/>
      <c r="K689" s="1"/>
      <c r="L689" s="1"/>
      <c r="M689" s="1"/>
      <c r="N689" s="1"/>
      <c r="O689" s="1"/>
      <c r="P689" s="1"/>
      <c r="Q689" s="1"/>
      <c r="R689" s="1"/>
      <c r="S689" s="1"/>
      <c r="T689" s="1"/>
      <c r="U689" s="2"/>
      <c r="V689" s="1"/>
      <c r="W689" s="1"/>
      <c r="X689" s="1"/>
      <c r="Y689" s="1"/>
      <c r="Z689" s="1"/>
    </row>
    <row r="690" spans="1:26" ht="24.75" customHeight="1">
      <c r="A690" s="1"/>
      <c r="B690" s="1"/>
      <c r="C690" s="1"/>
      <c r="D690" s="1"/>
      <c r="E690" s="1"/>
      <c r="F690" s="1"/>
      <c r="G690" s="1"/>
      <c r="H690" s="1"/>
      <c r="I690" s="1"/>
      <c r="J690" s="1"/>
      <c r="K690" s="1"/>
      <c r="L690" s="1"/>
      <c r="M690" s="1"/>
      <c r="N690" s="1"/>
      <c r="O690" s="1"/>
      <c r="P690" s="1"/>
      <c r="Q690" s="1"/>
      <c r="R690" s="1"/>
      <c r="S690" s="1"/>
      <c r="T690" s="1"/>
      <c r="U690" s="2"/>
      <c r="V690" s="1"/>
      <c r="W690" s="1"/>
      <c r="X690" s="1"/>
      <c r="Y690" s="1"/>
      <c r="Z690" s="1"/>
    </row>
    <row r="691" spans="1:26" ht="24.75" customHeight="1">
      <c r="A691" s="1"/>
      <c r="B691" s="1"/>
      <c r="C691" s="1"/>
      <c r="D691" s="1"/>
      <c r="E691" s="1"/>
      <c r="F691" s="1"/>
      <c r="G691" s="1"/>
      <c r="H691" s="1"/>
      <c r="I691" s="1"/>
      <c r="J691" s="1"/>
      <c r="K691" s="1"/>
      <c r="L691" s="1"/>
      <c r="M691" s="1"/>
      <c r="N691" s="1"/>
      <c r="O691" s="1"/>
      <c r="P691" s="1"/>
      <c r="Q691" s="1"/>
      <c r="R691" s="1"/>
      <c r="S691" s="1"/>
      <c r="T691" s="1"/>
      <c r="U691" s="2"/>
      <c r="V691" s="1"/>
      <c r="W691" s="1"/>
      <c r="X691" s="1"/>
      <c r="Y691" s="1"/>
      <c r="Z691" s="1"/>
    </row>
    <row r="692" spans="1:26" ht="24.75" customHeight="1">
      <c r="A692" s="1"/>
      <c r="B692" s="1"/>
      <c r="C692" s="1"/>
      <c r="D692" s="1"/>
      <c r="E692" s="1"/>
      <c r="F692" s="1"/>
      <c r="G692" s="1"/>
      <c r="H692" s="1"/>
      <c r="I692" s="1"/>
      <c r="J692" s="1"/>
      <c r="K692" s="1"/>
      <c r="L692" s="1"/>
      <c r="M692" s="1"/>
      <c r="N692" s="1"/>
      <c r="O692" s="1"/>
      <c r="P692" s="1"/>
      <c r="Q692" s="1"/>
      <c r="R692" s="1"/>
      <c r="S692" s="1"/>
      <c r="T692" s="1"/>
      <c r="U692" s="2"/>
      <c r="V692" s="1"/>
      <c r="W692" s="1"/>
      <c r="X692" s="1"/>
      <c r="Y692" s="1"/>
      <c r="Z692" s="1"/>
    </row>
    <row r="693" spans="1:26" ht="24.75" customHeight="1">
      <c r="A693" s="1"/>
      <c r="B693" s="1"/>
      <c r="C693" s="1"/>
      <c r="D693" s="1"/>
      <c r="E693" s="1"/>
      <c r="F693" s="1"/>
      <c r="G693" s="1"/>
      <c r="H693" s="1"/>
      <c r="I693" s="1"/>
      <c r="J693" s="1"/>
      <c r="K693" s="1"/>
      <c r="L693" s="1"/>
      <c r="M693" s="1"/>
      <c r="N693" s="1"/>
      <c r="O693" s="1"/>
      <c r="P693" s="1"/>
      <c r="Q693" s="1"/>
      <c r="R693" s="1"/>
      <c r="S693" s="1"/>
      <c r="T693" s="1"/>
      <c r="U693" s="2"/>
      <c r="V693" s="1"/>
      <c r="W693" s="1"/>
      <c r="X693" s="1"/>
      <c r="Y693" s="1"/>
      <c r="Z693" s="1"/>
    </row>
    <row r="694" spans="1:26" ht="24.75" customHeight="1">
      <c r="A694" s="1"/>
      <c r="B694" s="1"/>
      <c r="C694" s="1"/>
      <c r="D694" s="1"/>
      <c r="E694" s="1"/>
      <c r="F694" s="1"/>
      <c r="G694" s="1"/>
      <c r="H694" s="1"/>
      <c r="I694" s="1"/>
      <c r="J694" s="1"/>
      <c r="K694" s="1"/>
      <c r="L694" s="1"/>
      <c r="M694" s="1"/>
      <c r="N694" s="1"/>
      <c r="O694" s="1"/>
      <c r="P694" s="1"/>
      <c r="Q694" s="1"/>
      <c r="R694" s="1"/>
      <c r="S694" s="1"/>
      <c r="T694" s="1"/>
      <c r="U694" s="2"/>
      <c r="V694" s="1"/>
      <c r="W694" s="1"/>
      <c r="X694" s="1"/>
      <c r="Y694" s="1"/>
      <c r="Z694" s="1"/>
    </row>
    <row r="695" spans="1:26" ht="24.75" customHeight="1">
      <c r="A695" s="1"/>
      <c r="B695" s="1"/>
      <c r="C695" s="1"/>
      <c r="D695" s="1"/>
      <c r="E695" s="1"/>
      <c r="F695" s="1"/>
      <c r="G695" s="1"/>
      <c r="H695" s="1"/>
      <c r="I695" s="1"/>
      <c r="J695" s="1"/>
      <c r="K695" s="1"/>
      <c r="L695" s="1"/>
      <c r="M695" s="1"/>
      <c r="N695" s="1"/>
      <c r="O695" s="1"/>
      <c r="P695" s="1"/>
      <c r="Q695" s="1"/>
      <c r="R695" s="1"/>
      <c r="S695" s="1"/>
      <c r="T695" s="1"/>
      <c r="U695" s="2"/>
      <c r="V695" s="1"/>
      <c r="W695" s="1"/>
      <c r="X695" s="1"/>
      <c r="Y695" s="1"/>
      <c r="Z695" s="1"/>
    </row>
    <row r="696" spans="1:26" ht="24.75" customHeight="1">
      <c r="A696" s="1"/>
      <c r="B696" s="1"/>
      <c r="C696" s="1"/>
      <c r="D696" s="1"/>
      <c r="E696" s="1"/>
      <c r="F696" s="1"/>
      <c r="G696" s="1"/>
      <c r="H696" s="1"/>
      <c r="I696" s="1"/>
      <c r="J696" s="1"/>
      <c r="K696" s="1"/>
      <c r="L696" s="1"/>
      <c r="M696" s="1"/>
      <c r="N696" s="1"/>
      <c r="O696" s="1"/>
      <c r="P696" s="1"/>
      <c r="Q696" s="1"/>
      <c r="R696" s="1"/>
      <c r="S696" s="1"/>
      <c r="T696" s="1"/>
      <c r="U696" s="2"/>
      <c r="V696" s="1"/>
      <c r="W696" s="1"/>
      <c r="X696" s="1"/>
      <c r="Y696" s="1"/>
      <c r="Z696" s="1"/>
    </row>
    <row r="697" spans="1:26" ht="24.75" customHeight="1">
      <c r="A697" s="1"/>
      <c r="B697" s="1"/>
      <c r="C697" s="1"/>
      <c r="D697" s="1"/>
      <c r="E697" s="1"/>
      <c r="F697" s="1"/>
      <c r="G697" s="1"/>
      <c r="H697" s="1"/>
      <c r="I697" s="1"/>
      <c r="J697" s="1"/>
      <c r="K697" s="1"/>
      <c r="L697" s="1"/>
      <c r="M697" s="1"/>
      <c r="N697" s="1"/>
      <c r="O697" s="1"/>
      <c r="P697" s="1"/>
      <c r="Q697" s="1"/>
      <c r="R697" s="1"/>
      <c r="S697" s="1"/>
      <c r="T697" s="1"/>
      <c r="U697" s="2"/>
      <c r="V697" s="1"/>
      <c r="W697" s="1"/>
      <c r="X697" s="1"/>
      <c r="Y697" s="1"/>
      <c r="Z697" s="1"/>
    </row>
    <row r="698" spans="1:26" ht="24.75" customHeight="1">
      <c r="A698" s="1"/>
      <c r="B698" s="1"/>
      <c r="C698" s="1"/>
      <c r="D698" s="1"/>
      <c r="E698" s="1"/>
      <c r="F698" s="1"/>
      <c r="G698" s="1"/>
      <c r="H698" s="1"/>
      <c r="I698" s="1"/>
      <c r="J698" s="1"/>
      <c r="K698" s="1"/>
      <c r="L698" s="1"/>
      <c r="M698" s="1"/>
      <c r="N698" s="1"/>
      <c r="O698" s="1"/>
      <c r="P698" s="1"/>
      <c r="Q698" s="1"/>
      <c r="R698" s="1"/>
      <c r="S698" s="1"/>
      <c r="T698" s="1"/>
      <c r="U698" s="2"/>
      <c r="V698" s="1"/>
      <c r="W698" s="1"/>
      <c r="X698" s="1"/>
      <c r="Y698" s="1"/>
      <c r="Z698" s="1"/>
    </row>
    <row r="699" spans="1:26" ht="24.75" customHeight="1">
      <c r="A699" s="1"/>
      <c r="B699" s="1"/>
      <c r="C699" s="1"/>
      <c r="D699" s="1"/>
      <c r="E699" s="1"/>
      <c r="F699" s="1"/>
      <c r="G699" s="1"/>
      <c r="H699" s="1"/>
      <c r="I699" s="1"/>
      <c r="J699" s="1"/>
      <c r="K699" s="1"/>
      <c r="L699" s="1"/>
      <c r="M699" s="1"/>
      <c r="N699" s="1"/>
      <c r="O699" s="1"/>
      <c r="P699" s="1"/>
      <c r="Q699" s="1"/>
      <c r="R699" s="1"/>
      <c r="S699" s="1"/>
      <c r="T699" s="1"/>
      <c r="U699" s="2"/>
      <c r="V699" s="1"/>
      <c r="W699" s="1"/>
      <c r="X699" s="1"/>
      <c r="Y699" s="1"/>
      <c r="Z699" s="1"/>
    </row>
    <row r="700" spans="1:26" ht="24.75" customHeight="1">
      <c r="A700" s="1"/>
      <c r="B700" s="1"/>
      <c r="C700" s="1"/>
      <c r="D700" s="1"/>
      <c r="E700" s="1"/>
      <c r="F700" s="1"/>
      <c r="G700" s="1"/>
      <c r="H700" s="1"/>
      <c r="I700" s="1"/>
      <c r="J700" s="1"/>
      <c r="K700" s="1"/>
      <c r="L700" s="1"/>
      <c r="M700" s="1"/>
      <c r="N700" s="1"/>
      <c r="O700" s="1"/>
      <c r="P700" s="1"/>
      <c r="Q700" s="1"/>
      <c r="R700" s="1"/>
      <c r="S700" s="1"/>
      <c r="T700" s="1"/>
      <c r="U700" s="2"/>
      <c r="V700" s="1"/>
      <c r="W700" s="1"/>
      <c r="X700" s="1"/>
      <c r="Y700" s="1"/>
      <c r="Z700" s="1"/>
    </row>
    <row r="701" spans="1:26" ht="24.75" customHeight="1">
      <c r="A701" s="1"/>
      <c r="B701" s="1"/>
      <c r="C701" s="1"/>
      <c r="D701" s="1"/>
      <c r="E701" s="1"/>
      <c r="F701" s="1"/>
      <c r="G701" s="1"/>
      <c r="H701" s="1"/>
      <c r="I701" s="1"/>
      <c r="J701" s="1"/>
      <c r="K701" s="1"/>
      <c r="L701" s="1"/>
      <c r="M701" s="1"/>
      <c r="N701" s="1"/>
      <c r="O701" s="1"/>
      <c r="P701" s="1"/>
      <c r="Q701" s="1"/>
      <c r="R701" s="1"/>
      <c r="S701" s="1"/>
      <c r="T701" s="1"/>
      <c r="U701" s="2"/>
      <c r="V701" s="1"/>
      <c r="W701" s="1"/>
      <c r="X701" s="1"/>
      <c r="Y701" s="1"/>
      <c r="Z701" s="1"/>
    </row>
    <row r="702" spans="1:26" ht="24.75" customHeight="1">
      <c r="A702" s="1"/>
      <c r="B702" s="1"/>
      <c r="C702" s="1"/>
      <c r="D702" s="1"/>
      <c r="E702" s="1"/>
      <c r="F702" s="1"/>
      <c r="G702" s="1"/>
      <c r="H702" s="1"/>
      <c r="I702" s="1"/>
      <c r="J702" s="1"/>
      <c r="K702" s="1"/>
      <c r="L702" s="1"/>
      <c r="M702" s="1"/>
      <c r="N702" s="1"/>
      <c r="O702" s="1"/>
      <c r="P702" s="1"/>
      <c r="Q702" s="1"/>
      <c r="R702" s="1"/>
      <c r="S702" s="1"/>
      <c r="T702" s="1"/>
      <c r="U702" s="2"/>
      <c r="V702" s="1"/>
      <c r="W702" s="1"/>
      <c r="X702" s="1"/>
      <c r="Y702" s="1"/>
      <c r="Z702" s="1"/>
    </row>
    <row r="703" spans="1:26" ht="24.75" customHeight="1">
      <c r="A703" s="1"/>
      <c r="B703" s="1"/>
      <c r="C703" s="1"/>
      <c r="D703" s="1"/>
      <c r="E703" s="1"/>
      <c r="F703" s="1"/>
      <c r="G703" s="1"/>
      <c r="H703" s="1"/>
      <c r="I703" s="1"/>
      <c r="J703" s="1"/>
      <c r="K703" s="1"/>
      <c r="L703" s="1"/>
      <c r="M703" s="1"/>
      <c r="N703" s="1"/>
      <c r="O703" s="1"/>
      <c r="P703" s="1"/>
      <c r="Q703" s="1"/>
      <c r="R703" s="1"/>
      <c r="S703" s="1"/>
      <c r="T703" s="1"/>
      <c r="U703" s="2"/>
      <c r="V703" s="1"/>
      <c r="W703" s="1"/>
      <c r="X703" s="1"/>
      <c r="Y703" s="1"/>
      <c r="Z703" s="1"/>
    </row>
    <row r="704" spans="1:26" ht="24.75" customHeight="1">
      <c r="A704" s="1"/>
      <c r="B704" s="1"/>
      <c r="C704" s="1"/>
      <c r="D704" s="1"/>
      <c r="E704" s="1"/>
      <c r="F704" s="1"/>
      <c r="G704" s="1"/>
      <c r="H704" s="1"/>
      <c r="I704" s="1"/>
      <c r="J704" s="1"/>
      <c r="K704" s="1"/>
      <c r="L704" s="1"/>
      <c r="M704" s="1"/>
      <c r="N704" s="1"/>
      <c r="O704" s="1"/>
      <c r="P704" s="1"/>
      <c r="Q704" s="1"/>
      <c r="R704" s="1"/>
      <c r="S704" s="1"/>
      <c r="T704" s="1"/>
      <c r="U704" s="2"/>
      <c r="V704" s="1"/>
      <c r="W704" s="1"/>
      <c r="X704" s="1"/>
      <c r="Y704" s="1"/>
      <c r="Z704" s="1"/>
    </row>
    <row r="705" spans="1:26" ht="24.75" customHeight="1">
      <c r="A705" s="1"/>
      <c r="B705" s="1"/>
      <c r="C705" s="1"/>
      <c r="D705" s="1"/>
      <c r="E705" s="1"/>
      <c r="F705" s="1"/>
      <c r="G705" s="1"/>
      <c r="H705" s="1"/>
      <c r="I705" s="1"/>
      <c r="J705" s="1"/>
      <c r="K705" s="1"/>
      <c r="L705" s="1"/>
      <c r="M705" s="1"/>
      <c r="N705" s="1"/>
      <c r="O705" s="1"/>
      <c r="P705" s="1"/>
      <c r="Q705" s="1"/>
      <c r="R705" s="1"/>
      <c r="S705" s="1"/>
      <c r="T705" s="1"/>
      <c r="U705" s="2"/>
      <c r="V705" s="1"/>
      <c r="W705" s="1"/>
      <c r="X705" s="1"/>
      <c r="Y705" s="1"/>
      <c r="Z705" s="1"/>
    </row>
    <row r="706" spans="1:26" ht="24.75" customHeight="1">
      <c r="A706" s="1"/>
      <c r="B706" s="1"/>
      <c r="C706" s="1"/>
      <c r="D706" s="1"/>
      <c r="E706" s="1"/>
      <c r="F706" s="1"/>
      <c r="G706" s="1"/>
      <c r="H706" s="1"/>
      <c r="I706" s="1"/>
      <c r="J706" s="1"/>
      <c r="K706" s="1"/>
      <c r="L706" s="1"/>
      <c r="M706" s="1"/>
      <c r="N706" s="1"/>
      <c r="O706" s="1"/>
      <c r="P706" s="1"/>
      <c r="Q706" s="1"/>
      <c r="R706" s="1"/>
      <c r="S706" s="1"/>
      <c r="T706" s="1"/>
      <c r="U706" s="2"/>
      <c r="V706" s="1"/>
      <c r="W706" s="1"/>
      <c r="X706" s="1"/>
      <c r="Y706" s="1"/>
      <c r="Z706" s="1"/>
    </row>
    <row r="707" spans="1:26" ht="24.75" customHeight="1">
      <c r="A707" s="1"/>
      <c r="B707" s="1"/>
      <c r="C707" s="1"/>
      <c r="D707" s="1"/>
      <c r="E707" s="1"/>
      <c r="F707" s="1"/>
      <c r="G707" s="1"/>
      <c r="H707" s="1"/>
      <c r="I707" s="1"/>
      <c r="J707" s="1"/>
      <c r="K707" s="1"/>
      <c r="L707" s="1"/>
      <c r="M707" s="1"/>
      <c r="N707" s="1"/>
      <c r="O707" s="1"/>
      <c r="P707" s="1"/>
      <c r="Q707" s="1"/>
      <c r="R707" s="1"/>
      <c r="S707" s="1"/>
      <c r="T707" s="1"/>
      <c r="U707" s="2"/>
      <c r="V707" s="1"/>
      <c r="W707" s="1"/>
      <c r="X707" s="1"/>
      <c r="Y707" s="1"/>
      <c r="Z707" s="1"/>
    </row>
    <row r="708" spans="1:26" ht="24.75" customHeight="1">
      <c r="A708" s="1"/>
      <c r="B708" s="1"/>
      <c r="C708" s="1"/>
      <c r="D708" s="1"/>
      <c r="E708" s="1"/>
      <c r="F708" s="1"/>
      <c r="G708" s="1"/>
      <c r="H708" s="1"/>
      <c r="I708" s="1"/>
      <c r="J708" s="1"/>
      <c r="K708" s="1"/>
      <c r="L708" s="1"/>
      <c r="M708" s="1"/>
      <c r="N708" s="1"/>
      <c r="O708" s="1"/>
      <c r="P708" s="1"/>
      <c r="Q708" s="1"/>
      <c r="R708" s="1"/>
      <c r="S708" s="1"/>
      <c r="T708" s="1"/>
      <c r="U708" s="2"/>
      <c r="V708" s="1"/>
      <c r="W708" s="1"/>
      <c r="X708" s="1"/>
      <c r="Y708" s="1"/>
      <c r="Z708" s="1"/>
    </row>
    <row r="709" spans="1:26" ht="24.75" customHeight="1">
      <c r="A709" s="1"/>
      <c r="B709" s="1"/>
      <c r="C709" s="1"/>
      <c r="D709" s="1"/>
      <c r="E709" s="1"/>
      <c r="F709" s="1"/>
      <c r="G709" s="1"/>
      <c r="H709" s="1"/>
      <c r="I709" s="1"/>
      <c r="J709" s="1"/>
      <c r="K709" s="1"/>
      <c r="L709" s="1"/>
      <c r="M709" s="1"/>
      <c r="N709" s="1"/>
      <c r="O709" s="1"/>
      <c r="P709" s="1"/>
      <c r="Q709" s="1"/>
      <c r="R709" s="1"/>
      <c r="S709" s="1"/>
      <c r="T709" s="1"/>
      <c r="U709" s="2"/>
      <c r="V709" s="1"/>
      <c r="W709" s="1"/>
      <c r="X709" s="1"/>
      <c r="Y709" s="1"/>
      <c r="Z709" s="1"/>
    </row>
    <row r="710" spans="1:26" ht="24.75" customHeight="1">
      <c r="A710" s="1"/>
      <c r="B710" s="1"/>
      <c r="C710" s="1"/>
      <c r="D710" s="1"/>
      <c r="E710" s="1"/>
      <c r="F710" s="1"/>
      <c r="G710" s="1"/>
      <c r="H710" s="1"/>
      <c r="I710" s="1"/>
      <c r="J710" s="1"/>
      <c r="K710" s="1"/>
      <c r="L710" s="1"/>
      <c r="M710" s="1"/>
      <c r="N710" s="1"/>
      <c r="O710" s="1"/>
      <c r="P710" s="1"/>
      <c r="Q710" s="1"/>
      <c r="R710" s="1"/>
      <c r="S710" s="1"/>
      <c r="T710" s="1"/>
      <c r="U710" s="2"/>
      <c r="V710" s="1"/>
      <c r="W710" s="1"/>
      <c r="X710" s="1"/>
      <c r="Y710" s="1"/>
      <c r="Z710" s="1"/>
    </row>
    <row r="711" spans="1:26" ht="24.75" customHeight="1">
      <c r="A711" s="1"/>
      <c r="B711" s="1"/>
      <c r="C711" s="1"/>
      <c r="D711" s="1"/>
      <c r="E711" s="1"/>
      <c r="F711" s="1"/>
      <c r="G711" s="1"/>
      <c r="H711" s="1"/>
      <c r="I711" s="1"/>
      <c r="J711" s="1"/>
      <c r="K711" s="1"/>
      <c r="L711" s="1"/>
      <c r="M711" s="1"/>
      <c r="N711" s="1"/>
      <c r="O711" s="1"/>
      <c r="P711" s="1"/>
      <c r="Q711" s="1"/>
      <c r="R711" s="1"/>
      <c r="S711" s="1"/>
      <c r="T711" s="1"/>
      <c r="U711" s="2"/>
      <c r="V711" s="1"/>
      <c r="W711" s="1"/>
      <c r="X711" s="1"/>
      <c r="Y711" s="1"/>
      <c r="Z711" s="1"/>
    </row>
    <row r="712" spans="1:26" ht="24.75" customHeight="1">
      <c r="A712" s="1"/>
      <c r="B712" s="1"/>
      <c r="C712" s="1"/>
      <c r="D712" s="1"/>
      <c r="E712" s="1"/>
      <c r="F712" s="1"/>
      <c r="G712" s="1"/>
      <c r="H712" s="1"/>
      <c r="I712" s="1"/>
      <c r="J712" s="1"/>
      <c r="K712" s="1"/>
      <c r="L712" s="1"/>
      <c r="M712" s="1"/>
      <c r="N712" s="1"/>
      <c r="O712" s="1"/>
      <c r="P712" s="1"/>
      <c r="Q712" s="1"/>
      <c r="R712" s="1"/>
      <c r="S712" s="1"/>
      <c r="T712" s="1"/>
      <c r="U712" s="2"/>
      <c r="V712" s="1"/>
      <c r="W712" s="1"/>
      <c r="X712" s="1"/>
      <c r="Y712" s="1"/>
      <c r="Z712" s="1"/>
    </row>
    <row r="713" spans="1:26" ht="24.75" customHeight="1">
      <c r="A713" s="1"/>
      <c r="B713" s="1"/>
      <c r="C713" s="1"/>
      <c r="D713" s="1"/>
      <c r="E713" s="1"/>
      <c r="F713" s="1"/>
      <c r="G713" s="1"/>
      <c r="H713" s="1"/>
      <c r="I713" s="1"/>
      <c r="J713" s="1"/>
      <c r="K713" s="1"/>
      <c r="L713" s="1"/>
      <c r="M713" s="1"/>
      <c r="N713" s="1"/>
      <c r="O713" s="1"/>
      <c r="P713" s="1"/>
      <c r="Q713" s="1"/>
      <c r="R713" s="1"/>
      <c r="S713" s="1"/>
      <c r="T713" s="1"/>
      <c r="U713" s="2"/>
      <c r="V713" s="1"/>
      <c r="W713" s="1"/>
      <c r="X713" s="1"/>
      <c r="Y713" s="1"/>
      <c r="Z713" s="1"/>
    </row>
    <row r="714" spans="1:26" ht="24.75" customHeight="1">
      <c r="A714" s="1"/>
      <c r="B714" s="1"/>
      <c r="C714" s="1"/>
      <c r="D714" s="1"/>
      <c r="E714" s="1"/>
      <c r="F714" s="1"/>
      <c r="G714" s="1"/>
      <c r="H714" s="1"/>
      <c r="I714" s="1"/>
      <c r="J714" s="1"/>
      <c r="K714" s="1"/>
      <c r="L714" s="1"/>
      <c r="M714" s="1"/>
      <c r="N714" s="1"/>
      <c r="O714" s="1"/>
      <c r="P714" s="1"/>
      <c r="Q714" s="1"/>
      <c r="R714" s="1"/>
      <c r="S714" s="1"/>
      <c r="T714" s="1"/>
      <c r="U714" s="2"/>
      <c r="V714" s="1"/>
      <c r="W714" s="1"/>
      <c r="X714" s="1"/>
      <c r="Y714" s="1"/>
      <c r="Z714" s="1"/>
    </row>
    <row r="715" spans="1:26" ht="24.75" customHeight="1">
      <c r="A715" s="1"/>
      <c r="B715" s="1"/>
      <c r="C715" s="1"/>
      <c r="D715" s="1"/>
      <c r="E715" s="1"/>
      <c r="F715" s="1"/>
      <c r="G715" s="1"/>
      <c r="H715" s="1"/>
      <c r="I715" s="1"/>
      <c r="J715" s="1"/>
      <c r="K715" s="1"/>
      <c r="L715" s="1"/>
      <c r="M715" s="1"/>
      <c r="N715" s="1"/>
      <c r="O715" s="1"/>
      <c r="P715" s="1"/>
      <c r="Q715" s="1"/>
      <c r="R715" s="1"/>
      <c r="S715" s="1"/>
      <c r="T715" s="1"/>
      <c r="U715" s="2"/>
      <c r="V715" s="1"/>
      <c r="W715" s="1"/>
      <c r="X715" s="1"/>
      <c r="Y715" s="1"/>
      <c r="Z715" s="1"/>
    </row>
    <row r="716" spans="1:26" ht="24.75" customHeight="1">
      <c r="A716" s="1"/>
      <c r="B716" s="1"/>
      <c r="C716" s="1"/>
      <c r="D716" s="1"/>
      <c r="E716" s="1"/>
      <c r="F716" s="1"/>
      <c r="G716" s="1"/>
      <c r="H716" s="1"/>
      <c r="I716" s="1"/>
      <c r="J716" s="1"/>
      <c r="K716" s="1"/>
      <c r="L716" s="1"/>
      <c r="M716" s="1"/>
      <c r="N716" s="1"/>
      <c r="O716" s="1"/>
      <c r="P716" s="1"/>
      <c r="Q716" s="1"/>
      <c r="R716" s="1"/>
      <c r="S716" s="1"/>
      <c r="T716" s="1"/>
      <c r="U716" s="2"/>
      <c r="V716" s="1"/>
      <c r="W716" s="1"/>
      <c r="X716" s="1"/>
      <c r="Y716" s="1"/>
      <c r="Z716" s="1"/>
    </row>
    <row r="717" spans="1:26" ht="24.75" customHeight="1">
      <c r="A717" s="1"/>
      <c r="B717" s="1"/>
      <c r="C717" s="1"/>
      <c r="D717" s="1"/>
      <c r="E717" s="1"/>
      <c r="F717" s="1"/>
      <c r="G717" s="1"/>
      <c r="H717" s="1"/>
      <c r="I717" s="1"/>
      <c r="J717" s="1"/>
      <c r="K717" s="1"/>
      <c r="L717" s="1"/>
      <c r="M717" s="1"/>
      <c r="N717" s="1"/>
      <c r="O717" s="1"/>
      <c r="P717" s="1"/>
      <c r="Q717" s="1"/>
      <c r="R717" s="1"/>
      <c r="S717" s="1"/>
      <c r="T717" s="1"/>
      <c r="U717" s="2"/>
      <c r="V717" s="1"/>
      <c r="W717" s="1"/>
      <c r="X717" s="1"/>
      <c r="Y717" s="1"/>
      <c r="Z717" s="1"/>
    </row>
    <row r="718" spans="1:26" ht="24.75" customHeight="1">
      <c r="A718" s="1"/>
      <c r="B718" s="1"/>
      <c r="C718" s="1"/>
      <c r="D718" s="1"/>
      <c r="E718" s="1"/>
      <c r="F718" s="1"/>
      <c r="G718" s="1"/>
      <c r="H718" s="1"/>
      <c r="I718" s="1"/>
      <c r="J718" s="1"/>
      <c r="K718" s="1"/>
      <c r="L718" s="1"/>
      <c r="M718" s="1"/>
      <c r="N718" s="1"/>
      <c r="O718" s="1"/>
      <c r="P718" s="1"/>
      <c r="Q718" s="1"/>
      <c r="R718" s="1"/>
      <c r="S718" s="1"/>
      <c r="T718" s="1"/>
      <c r="U718" s="2"/>
      <c r="V718" s="1"/>
      <c r="W718" s="1"/>
      <c r="X718" s="1"/>
      <c r="Y718" s="1"/>
      <c r="Z718" s="1"/>
    </row>
    <row r="719" spans="1:26" ht="24.75" customHeight="1">
      <c r="A719" s="1"/>
      <c r="B719" s="1"/>
      <c r="C719" s="1"/>
      <c r="D719" s="1"/>
      <c r="E719" s="1"/>
      <c r="F719" s="1"/>
      <c r="G719" s="1"/>
      <c r="H719" s="1"/>
      <c r="I719" s="1"/>
      <c r="J719" s="1"/>
      <c r="K719" s="1"/>
      <c r="L719" s="1"/>
      <c r="M719" s="1"/>
      <c r="N719" s="1"/>
      <c r="O719" s="1"/>
      <c r="P719" s="1"/>
      <c r="Q719" s="1"/>
      <c r="R719" s="1"/>
      <c r="S719" s="1"/>
      <c r="T719" s="1"/>
      <c r="U719" s="2"/>
      <c r="V719" s="1"/>
      <c r="W719" s="1"/>
      <c r="X719" s="1"/>
      <c r="Y719" s="1"/>
      <c r="Z719" s="1"/>
    </row>
    <row r="720" spans="1:26" ht="24.75" customHeight="1">
      <c r="A720" s="1"/>
      <c r="B720" s="1"/>
      <c r="C720" s="1"/>
      <c r="D720" s="1"/>
      <c r="E720" s="1"/>
      <c r="F720" s="1"/>
      <c r="G720" s="1"/>
      <c r="H720" s="1"/>
      <c r="I720" s="1"/>
      <c r="J720" s="1"/>
      <c r="K720" s="1"/>
      <c r="L720" s="1"/>
      <c r="M720" s="1"/>
      <c r="N720" s="1"/>
      <c r="O720" s="1"/>
      <c r="P720" s="1"/>
      <c r="Q720" s="1"/>
      <c r="R720" s="1"/>
      <c r="S720" s="1"/>
      <c r="T720" s="1"/>
      <c r="U720" s="2"/>
      <c r="V720" s="1"/>
      <c r="W720" s="1"/>
      <c r="X720" s="1"/>
      <c r="Y720" s="1"/>
      <c r="Z720" s="1"/>
    </row>
    <row r="721" spans="1:26" ht="24.75" customHeight="1">
      <c r="A721" s="1"/>
      <c r="B721" s="1"/>
      <c r="C721" s="1"/>
      <c r="D721" s="1"/>
      <c r="E721" s="1"/>
      <c r="F721" s="1"/>
      <c r="G721" s="1"/>
      <c r="H721" s="1"/>
      <c r="I721" s="1"/>
      <c r="J721" s="1"/>
      <c r="K721" s="1"/>
      <c r="L721" s="1"/>
      <c r="M721" s="1"/>
      <c r="N721" s="1"/>
      <c r="O721" s="1"/>
      <c r="P721" s="1"/>
      <c r="Q721" s="1"/>
      <c r="R721" s="1"/>
      <c r="S721" s="1"/>
      <c r="T721" s="1"/>
      <c r="U721" s="2"/>
      <c r="V721" s="1"/>
      <c r="W721" s="1"/>
      <c r="X721" s="1"/>
      <c r="Y721" s="1"/>
      <c r="Z721" s="1"/>
    </row>
    <row r="722" spans="1:26" ht="24.75" customHeight="1">
      <c r="A722" s="1"/>
      <c r="B722" s="1"/>
      <c r="C722" s="1"/>
      <c r="D722" s="1"/>
      <c r="E722" s="1"/>
      <c r="F722" s="1"/>
      <c r="G722" s="1"/>
      <c r="H722" s="1"/>
      <c r="I722" s="1"/>
      <c r="J722" s="1"/>
      <c r="K722" s="1"/>
      <c r="L722" s="1"/>
      <c r="M722" s="1"/>
      <c r="N722" s="1"/>
      <c r="O722" s="1"/>
      <c r="P722" s="1"/>
      <c r="Q722" s="1"/>
      <c r="R722" s="1"/>
      <c r="S722" s="1"/>
      <c r="T722" s="1"/>
      <c r="U722" s="2"/>
      <c r="V722" s="1"/>
      <c r="W722" s="1"/>
      <c r="X722" s="1"/>
      <c r="Y722" s="1"/>
      <c r="Z722" s="1"/>
    </row>
    <row r="723" spans="1:26" ht="24.75" customHeight="1">
      <c r="A723" s="1"/>
      <c r="B723" s="1"/>
      <c r="C723" s="1"/>
      <c r="D723" s="1"/>
      <c r="E723" s="1"/>
      <c r="F723" s="1"/>
      <c r="G723" s="1"/>
      <c r="H723" s="1"/>
      <c r="I723" s="1"/>
      <c r="J723" s="1"/>
      <c r="K723" s="1"/>
      <c r="L723" s="1"/>
      <c r="M723" s="1"/>
      <c r="N723" s="1"/>
      <c r="O723" s="1"/>
      <c r="P723" s="1"/>
      <c r="Q723" s="1"/>
      <c r="R723" s="1"/>
      <c r="S723" s="1"/>
      <c r="T723" s="1"/>
      <c r="U723" s="2"/>
      <c r="V723" s="1"/>
      <c r="W723" s="1"/>
      <c r="X723" s="1"/>
      <c r="Y723" s="1"/>
      <c r="Z723" s="1"/>
    </row>
    <row r="724" spans="1:26" ht="24.75" customHeight="1">
      <c r="A724" s="1"/>
      <c r="B724" s="1"/>
      <c r="C724" s="1"/>
      <c r="D724" s="1"/>
      <c r="E724" s="1"/>
      <c r="F724" s="1"/>
      <c r="G724" s="1"/>
      <c r="H724" s="1"/>
      <c r="I724" s="1"/>
      <c r="J724" s="1"/>
      <c r="K724" s="1"/>
      <c r="L724" s="1"/>
      <c r="M724" s="1"/>
      <c r="N724" s="1"/>
      <c r="O724" s="1"/>
      <c r="P724" s="1"/>
      <c r="Q724" s="1"/>
      <c r="R724" s="1"/>
      <c r="S724" s="1"/>
      <c r="T724" s="1"/>
      <c r="U724" s="2"/>
      <c r="V724" s="1"/>
      <c r="W724" s="1"/>
      <c r="X724" s="1"/>
      <c r="Y724" s="1"/>
      <c r="Z724" s="1"/>
    </row>
    <row r="725" spans="1:26" ht="24.75" customHeight="1">
      <c r="A725" s="1"/>
      <c r="B725" s="1"/>
      <c r="C725" s="1"/>
      <c r="D725" s="1"/>
      <c r="E725" s="1"/>
      <c r="F725" s="1"/>
      <c r="G725" s="1"/>
      <c r="H725" s="1"/>
      <c r="I725" s="1"/>
      <c r="J725" s="1"/>
      <c r="K725" s="1"/>
      <c r="L725" s="1"/>
      <c r="M725" s="1"/>
      <c r="N725" s="1"/>
      <c r="O725" s="1"/>
      <c r="P725" s="1"/>
      <c r="Q725" s="1"/>
      <c r="R725" s="1"/>
      <c r="S725" s="1"/>
      <c r="T725" s="1"/>
      <c r="U725" s="2"/>
      <c r="V725" s="1"/>
      <c r="W725" s="1"/>
      <c r="X725" s="1"/>
      <c r="Y725" s="1"/>
      <c r="Z725" s="1"/>
    </row>
    <row r="726" spans="1:26" ht="24.75" customHeight="1">
      <c r="A726" s="1"/>
      <c r="B726" s="1"/>
      <c r="C726" s="1"/>
      <c r="D726" s="1"/>
      <c r="E726" s="1"/>
      <c r="F726" s="1"/>
      <c r="G726" s="1"/>
      <c r="H726" s="1"/>
      <c r="I726" s="1"/>
      <c r="J726" s="1"/>
      <c r="K726" s="1"/>
      <c r="L726" s="1"/>
      <c r="M726" s="1"/>
      <c r="N726" s="1"/>
      <c r="O726" s="1"/>
      <c r="P726" s="1"/>
      <c r="Q726" s="1"/>
      <c r="R726" s="1"/>
      <c r="S726" s="1"/>
      <c r="T726" s="1"/>
      <c r="U726" s="2"/>
      <c r="V726" s="1"/>
      <c r="W726" s="1"/>
      <c r="X726" s="1"/>
      <c r="Y726" s="1"/>
      <c r="Z726" s="1"/>
    </row>
    <row r="727" spans="1:26" ht="24.75" customHeight="1">
      <c r="A727" s="1"/>
      <c r="B727" s="1"/>
      <c r="C727" s="1"/>
      <c r="D727" s="1"/>
      <c r="E727" s="1"/>
      <c r="F727" s="1"/>
      <c r="G727" s="1"/>
      <c r="H727" s="1"/>
      <c r="I727" s="1"/>
      <c r="J727" s="1"/>
      <c r="K727" s="1"/>
      <c r="L727" s="1"/>
      <c r="M727" s="1"/>
      <c r="N727" s="1"/>
      <c r="O727" s="1"/>
      <c r="P727" s="1"/>
      <c r="Q727" s="1"/>
      <c r="R727" s="1"/>
      <c r="S727" s="1"/>
      <c r="T727" s="1"/>
      <c r="U727" s="2"/>
      <c r="V727" s="1"/>
      <c r="W727" s="1"/>
      <c r="X727" s="1"/>
      <c r="Y727" s="1"/>
      <c r="Z727" s="1"/>
    </row>
    <row r="728" spans="1:26" ht="24.75" customHeight="1">
      <c r="A728" s="1"/>
      <c r="B728" s="1"/>
      <c r="C728" s="1"/>
      <c r="D728" s="1"/>
      <c r="E728" s="1"/>
      <c r="F728" s="1"/>
      <c r="G728" s="1"/>
      <c r="H728" s="1"/>
      <c r="I728" s="1"/>
      <c r="J728" s="1"/>
      <c r="K728" s="1"/>
      <c r="L728" s="1"/>
      <c r="M728" s="1"/>
      <c r="N728" s="1"/>
      <c r="O728" s="1"/>
      <c r="P728" s="1"/>
      <c r="Q728" s="1"/>
      <c r="R728" s="1"/>
      <c r="S728" s="1"/>
      <c r="T728" s="1"/>
      <c r="U728" s="2"/>
      <c r="V728" s="1"/>
      <c r="W728" s="1"/>
      <c r="X728" s="1"/>
      <c r="Y728" s="1"/>
      <c r="Z728" s="1"/>
    </row>
    <row r="729" spans="1:26" ht="24.75" customHeight="1">
      <c r="A729" s="1"/>
      <c r="B729" s="1"/>
      <c r="C729" s="1"/>
      <c r="D729" s="1"/>
      <c r="E729" s="1"/>
      <c r="F729" s="1"/>
      <c r="G729" s="1"/>
      <c r="H729" s="1"/>
      <c r="I729" s="1"/>
      <c r="J729" s="1"/>
      <c r="K729" s="1"/>
      <c r="L729" s="1"/>
      <c r="M729" s="1"/>
      <c r="N729" s="1"/>
      <c r="O729" s="1"/>
      <c r="P729" s="1"/>
      <c r="Q729" s="1"/>
      <c r="R729" s="1"/>
      <c r="S729" s="1"/>
      <c r="T729" s="1"/>
      <c r="U729" s="2"/>
      <c r="V729" s="1"/>
      <c r="W729" s="1"/>
      <c r="X729" s="1"/>
      <c r="Y729" s="1"/>
      <c r="Z729" s="1"/>
    </row>
    <row r="730" spans="1:26" ht="24.75" customHeight="1">
      <c r="A730" s="1"/>
      <c r="B730" s="1"/>
      <c r="C730" s="1"/>
      <c r="D730" s="1"/>
      <c r="E730" s="1"/>
      <c r="F730" s="1"/>
      <c r="G730" s="1"/>
      <c r="H730" s="1"/>
      <c r="I730" s="1"/>
      <c r="J730" s="1"/>
      <c r="K730" s="1"/>
      <c r="L730" s="1"/>
      <c r="M730" s="1"/>
      <c r="N730" s="1"/>
      <c r="O730" s="1"/>
      <c r="P730" s="1"/>
      <c r="Q730" s="1"/>
      <c r="R730" s="1"/>
      <c r="S730" s="1"/>
      <c r="T730" s="1"/>
      <c r="U730" s="2"/>
      <c r="V730" s="1"/>
      <c r="W730" s="1"/>
      <c r="X730" s="1"/>
      <c r="Y730" s="1"/>
      <c r="Z730" s="1"/>
    </row>
    <row r="731" spans="1:26" ht="24.75" customHeight="1">
      <c r="A731" s="1"/>
      <c r="B731" s="1"/>
      <c r="C731" s="1"/>
      <c r="D731" s="1"/>
      <c r="E731" s="1"/>
      <c r="F731" s="1"/>
      <c r="G731" s="1"/>
      <c r="H731" s="1"/>
      <c r="I731" s="1"/>
      <c r="J731" s="1"/>
      <c r="K731" s="1"/>
      <c r="L731" s="1"/>
      <c r="M731" s="1"/>
      <c r="N731" s="1"/>
      <c r="O731" s="1"/>
      <c r="P731" s="1"/>
      <c r="Q731" s="1"/>
      <c r="R731" s="1"/>
      <c r="S731" s="1"/>
      <c r="T731" s="1"/>
      <c r="U731" s="2"/>
      <c r="V731" s="1"/>
      <c r="W731" s="1"/>
      <c r="X731" s="1"/>
      <c r="Y731" s="1"/>
      <c r="Z731" s="1"/>
    </row>
    <row r="732" spans="1:26" ht="24.75" customHeight="1">
      <c r="A732" s="1"/>
      <c r="B732" s="1"/>
      <c r="C732" s="1"/>
      <c r="D732" s="1"/>
      <c r="E732" s="1"/>
      <c r="F732" s="1"/>
      <c r="G732" s="1"/>
      <c r="H732" s="1"/>
      <c r="I732" s="1"/>
      <c r="J732" s="1"/>
      <c r="K732" s="1"/>
      <c r="L732" s="1"/>
      <c r="M732" s="1"/>
      <c r="N732" s="1"/>
      <c r="O732" s="1"/>
      <c r="P732" s="1"/>
      <c r="Q732" s="1"/>
      <c r="R732" s="1"/>
      <c r="S732" s="1"/>
      <c r="T732" s="1"/>
      <c r="U732" s="2"/>
      <c r="V732" s="1"/>
      <c r="W732" s="1"/>
      <c r="X732" s="1"/>
      <c r="Y732" s="1"/>
      <c r="Z732" s="1"/>
    </row>
    <row r="733" spans="1:26" ht="24.75" customHeight="1">
      <c r="A733" s="1"/>
      <c r="B733" s="1"/>
      <c r="C733" s="1"/>
      <c r="D733" s="1"/>
      <c r="E733" s="1"/>
      <c r="F733" s="1"/>
      <c r="G733" s="1"/>
      <c r="H733" s="1"/>
      <c r="I733" s="1"/>
      <c r="J733" s="1"/>
      <c r="K733" s="1"/>
      <c r="L733" s="1"/>
      <c r="M733" s="1"/>
      <c r="N733" s="1"/>
      <c r="O733" s="1"/>
      <c r="P733" s="1"/>
      <c r="Q733" s="1"/>
      <c r="R733" s="1"/>
      <c r="S733" s="1"/>
      <c r="T733" s="1"/>
      <c r="U733" s="2"/>
      <c r="V733" s="1"/>
      <c r="W733" s="1"/>
      <c r="X733" s="1"/>
      <c r="Y733" s="1"/>
      <c r="Z733" s="1"/>
    </row>
    <row r="734" spans="1:26" ht="24.75" customHeight="1">
      <c r="A734" s="1"/>
      <c r="B734" s="1"/>
      <c r="C734" s="1"/>
      <c r="D734" s="1"/>
      <c r="E734" s="1"/>
      <c r="F734" s="1"/>
      <c r="G734" s="1"/>
      <c r="H734" s="1"/>
      <c r="I734" s="1"/>
      <c r="J734" s="1"/>
      <c r="K734" s="1"/>
      <c r="L734" s="1"/>
      <c r="M734" s="1"/>
      <c r="N734" s="1"/>
      <c r="O734" s="1"/>
      <c r="P734" s="1"/>
      <c r="Q734" s="1"/>
      <c r="R734" s="1"/>
      <c r="S734" s="1"/>
      <c r="T734" s="1"/>
      <c r="U734" s="2"/>
      <c r="V734" s="1"/>
      <c r="W734" s="1"/>
      <c r="X734" s="1"/>
      <c r="Y734" s="1"/>
      <c r="Z734" s="1"/>
    </row>
    <row r="735" spans="1:26" ht="24.75" customHeight="1">
      <c r="A735" s="1"/>
      <c r="B735" s="1"/>
      <c r="C735" s="1"/>
      <c r="D735" s="1"/>
      <c r="E735" s="1"/>
      <c r="F735" s="1"/>
      <c r="G735" s="1"/>
      <c r="H735" s="1"/>
      <c r="I735" s="1"/>
      <c r="J735" s="1"/>
      <c r="K735" s="1"/>
      <c r="L735" s="1"/>
      <c r="M735" s="1"/>
      <c r="N735" s="1"/>
      <c r="O735" s="1"/>
      <c r="P735" s="1"/>
      <c r="Q735" s="1"/>
      <c r="R735" s="1"/>
      <c r="S735" s="1"/>
      <c r="T735" s="1"/>
      <c r="U735" s="2"/>
      <c r="V735" s="1"/>
      <c r="W735" s="1"/>
      <c r="X735" s="1"/>
      <c r="Y735" s="1"/>
      <c r="Z735" s="1"/>
    </row>
    <row r="736" spans="1:26" ht="24.75" customHeight="1">
      <c r="A736" s="1"/>
      <c r="B736" s="1"/>
      <c r="C736" s="1"/>
      <c r="D736" s="1"/>
      <c r="E736" s="1"/>
      <c r="F736" s="1"/>
      <c r="G736" s="1"/>
      <c r="H736" s="1"/>
      <c r="I736" s="1"/>
      <c r="J736" s="1"/>
      <c r="K736" s="1"/>
      <c r="L736" s="1"/>
      <c r="M736" s="1"/>
      <c r="N736" s="1"/>
      <c r="O736" s="1"/>
      <c r="P736" s="1"/>
      <c r="Q736" s="1"/>
      <c r="R736" s="1"/>
      <c r="S736" s="1"/>
      <c r="T736" s="1"/>
      <c r="U736" s="2"/>
      <c r="V736" s="1"/>
      <c r="W736" s="1"/>
      <c r="X736" s="1"/>
      <c r="Y736" s="1"/>
      <c r="Z736" s="1"/>
    </row>
    <row r="737" spans="1:26" ht="24.75" customHeight="1">
      <c r="A737" s="1"/>
      <c r="B737" s="1"/>
      <c r="C737" s="1"/>
      <c r="D737" s="1"/>
      <c r="E737" s="1"/>
      <c r="F737" s="1"/>
      <c r="G737" s="1"/>
      <c r="H737" s="1"/>
      <c r="I737" s="1"/>
      <c r="J737" s="1"/>
      <c r="K737" s="1"/>
      <c r="L737" s="1"/>
      <c r="M737" s="1"/>
      <c r="N737" s="1"/>
      <c r="O737" s="1"/>
      <c r="P737" s="1"/>
      <c r="Q737" s="1"/>
      <c r="R737" s="1"/>
      <c r="S737" s="1"/>
      <c r="T737" s="1"/>
      <c r="U737" s="2"/>
      <c r="V737" s="1"/>
      <c r="W737" s="1"/>
      <c r="X737" s="1"/>
      <c r="Y737" s="1"/>
      <c r="Z737" s="1"/>
    </row>
    <row r="738" spans="1:26" ht="24.75" customHeight="1">
      <c r="A738" s="1"/>
      <c r="B738" s="1"/>
      <c r="C738" s="1"/>
      <c r="D738" s="1"/>
      <c r="E738" s="1"/>
      <c r="F738" s="1"/>
      <c r="G738" s="1"/>
      <c r="H738" s="1"/>
      <c r="I738" s="1"/>
      <c r="J738" s="1"/>
      <c r="K738" s="1"/>
      <c r="L738" s="1"/>
      <c r="M738" s="1"/>
      <c r="N738" s="1"/>
      <c r="O738" s="1"/>
      <c r="P738" s="1"/>
      <c r="Q738" s="1"/>
      <c r="R738" s="1"/>
      <c r="S738" s="1"/>
      <c r="T738" s="1"/>
      <c r="U738" s="2"/>
      <c r="V738" s="1"/>
      <c r="W738" s="1"/>
      <c r="X738" s="1"/>
      <c r="Y738" s="1"/>
      <c r="Z738" s="1"/>
    </row>
    <row r="739" spans="1:26" ht="24.75" customHeight="1">
      <c r="A739" s="1"/>
      <c r="B739" s="1"/>
      <c r="C739" s="1"/>
      <c r="D739" s="1"/>
      <c r="E739" s="1"/>
      <c r="F739" s="1"/>
      <c r="G739" s="1"/>
      <c r="H739" s="1"/>
      <c r="I739" s="1"/>
      <c r="J739" s="1"/>
      <c r="K739" s="1"/>
      <c r="L739" s="1"/>
      <c r="M739" s="1"/>
      <c r="N739" s="1"/>
      <c r="O739" s="1"/>
      <c r="P739" s="1"/>
      <c r="Q739" s="1"/>
      <c r="R739" s="1"/>
      <c r="S739" s="1"/>
      <c r="T739" s="1"/>
      <c r="U739" s="2"/>
      <c r="V739" s="1"/>
      <c r="W739" s="1"/>
      <c r="X739" s="1"/>
      <c r="Y739" s="1"/>
      <c r="Z739" s="1"/>
    </row>
    <row r="740" spans="1:26" ht="24.75" customHeight="1">
      <c r="A740" s="1"/>
      <c r="B740" s="1"/>
      <c r="C740" s="1"/>
      <c r="D740" s="1"/>
      <c r="E740" s="1"/>
      <c r="F740" s="1"/>
      <c r="G740" s="1"/>
      <c r="H740" s="1"/>
      <c r="I740" s="1"/>
      <c r="J740" s="1"/>
      <c r="K740" s="1"/>
      <c r="L740" s="1"/>
      <c r="M740" s="1"/>
      <c r="N740" s="1"/>
      <c r="O740" s="1"/>
      <c r="P740" s="1"/>
      <c r="Q740" s="1"/>
      <c r="R740" s="1"/>
      <c r="S740" s="1"/>
      <c r="T740" s="1"/>
      <c r="U740" s="2"/>
      <c r="V740" s="1"/>
      <c r="W740" s="1"/>
      <c r="X740" s="1"/>
      <c r="Y740" s="1"/>
      <c r="Z740" s="1"/>
    </row>
    <row r="741" spans="1:26" ht="24.75" customHeight="1">
      <c r="A741" s="1"/>
      <c r="B741" s="1"/>
      <c r="C741" s="1"/>
      <c r="D741" s="1"/>
      <c r="E741" s="1"/>
      <c r="F741" s="1"/>
      <c r="G741" s="1"/>
      <c r="H741" s="1"/>
      <c r="I741" s="1"/>
      <c r="J741" s="1"/>
      <c r="K741" s="1"/>
      <c r="L741" s="1"/>
      <c r="M741" s="1"/>
      <c r="N741" s="1"/>
      <c r="O741" s="1"/>
      <c r="P741" s="1"/>
      <c r="Q741" s="1"/>
      <c r="R741" s="1"/>
      <c r="S741" s="1"/>
      <c r="T741" s="1"/>
      <c r="U741" s="2"/>
      <c r="V741" s="1"/>
      <c r="W741" s="1"/>
      <c r="X741" s="1"/>
      <c r="Y741" s="1"/>
      <c r="Z741" s="1"/>
    </row>
    <row r="742" spans="1:26" ht="24.75" customHeight="1">
      <c r="A742" s="1"/>
      <c r="B742" s="1"/>
      <c r="C742" s="1"/>
      <c r="D742" s="1"/>
      <c r="E742" s="1"/>
      <c r="F742" s="1"/>
      <c r="G742" s="1"/>
      <c r="H742" s="1"/>
      <c r="I742" s="1"/>
      <c r="J742" s="1"/>
      <c r="K742" s="1"/>
      <c r="L742" s="1"/>
      <c r="M742" s="1"/>
      <c r="N742" s="1"/>
      <c r="O742" s="1"/>
      <c r="P742" s="1"/>
      <c r="Q742" s="1"/>
      <c r="R742" s="1"/>
      <c r="S742" s="1"/>
      <c r="T742" s="1"/>
      <c r="U742" s="2"/>
      <c r="V742" s="1"/>
      <c r="W742" s="1"/>
      <c r="X742" s="1"/>
      <c r="Y742" s="1"/>
      <c r="Z742" s="1"/>
    </row>
    <row r="743" spans="1:26" ht="24.75" customHeight="1">
      <c r="A743" s="1"/>
      <c r="B743" s="1"/>
      <c r="C743" s="1"/>
      <c r="D743" s="1"/>
      <c r="E743" s="1"/>
      <c r="F743" s="1"/>
      <c r="G743" s="1"/>
      <c r="H743" s="1"/>
      <c r="I743" s="1"/>
      <c r="J743" s="1"/>
      <c r="K743" s="1"/>
      <c r="L743" s="1"/>
      <c r="M743" s="1"/>
      <c r="N743" s="1"/>
      <c r="O743" s="1"/>
      <c r="P743" s="1"/>
      <c r="Q743" s="1"/>
      <c r="R743" s="1"/>
      <c r="S743" s="1"/>
      <c r="T743" s="1"/>
      <c r="U743" s="2"/>
      <c r="V743" s="1"/>
      <c r="W743" s="1"/>
      <c r="X743" s="1"/>
      <c r="Y743" s="1"/>
      <c r="Z743" s="1"/>
    </row>
    <row r="744" spans="1:26" ht="24.75" customHeight="1">
      <c r="A744" s="1"/>
      <c r="B744" s="1"/>
      <c r="C744" s="1"/>
      <c r="D744" s="1"/>
      <c r="E744" s="1"/>
      <c r="F744" s="1"/>
      <c r="G744" s="1"/>
      <c r="H744" s="1"/>
      <c r="I744" s="1"/>
      <c r="J744" s="1"/>
      <c r="K744" s="1"/>
      <c r="L744" s="1"/>
      <c r="M744" s="1"/>
      <c r="N744" s="1"/>
      <c r="O744" s="1"/>
      <c r="P744" s="1"/>
      <c r="Q744" s="1"/>
      <c r="R744" s="1"/>
      <c r="S744" s="1"/>
      <c r="T744" s="1"/>
      <c r="U744" s="2"/>
      <c r="V744" s="1"/>
      <c r="W744" s="1"/>
      <c r="X744" s="1"/>
      <c r="Y744" s="1"/>
      <c r="Z744" s="1"/>
    </row>
    <row r="745" spans="1:26" ht="24.75" customHeight="1">
      <c r="A745" s="1"/>
      <c r="B745" s="1"/>
      <c r="C745" s="1"/>
      <c r="D745" s="1"/>
      <c r="E745" s="1"/>
      <c r="F745" s="1"/>
      <c r="G745" s="1"/>
      <c r="H745" s="1"/>
      <c r="I745" s="1"/>
      <c r="J745" s="1"/>
      <c r="K745" s="1"/>
      <c r="L745" s="1"/>
      <c r="M745" s="1"/>
      <c r="N745" s="1"/>
      <c r="O745" s="1"/>
      <c r="P745" s="1"/>
      <c r="Q745" s="1"/>
      <c r="R745" s="1"/>
      <c r="S745" s="1"/>
      <c r="T745" s="1"/>
      <c r="U745" s="2"/>
      <c r="V745" s="1"/>
      <c r="W745" s="1"/>
      <c r="X745" s="1"/>
      <c r="Y745" s="1"/>
      <c r="Z745" s="1"/>
    </row>
    <row r="746" spans="1:26" ht="24.75" customHeight="1">
      <c r="A746" s="1"/>
      <c r="B746" s="1"/>
      <c r="C746" s="1"/>
      <c r="D746" s="1"/>
      <c r="E746" s="1"/>
      <c r="F746" s="1"/>
      <c r="G746" s="1"/>
      <c r="H746" s="1"/>
      <c r="I746" s="1"/>
      <c r="J746" s="1"/>
      <c r="K746" s="1"/>
      <c r="L746" s="1"/>
      <c r="M746" s="1"/>
      <c r="N746" s="1"/>
      <c r="O746" s="1"/>
      <c r="P746" s="1"/>
      <c r="Q746" s="1"/>
      <c r="R746" s="1"/>
      <c r="S746" s="1"/>
      <c r="T746" s="1"/>
      <c r="U746" s="2"/>
      <c r="V746" s="1"/>
      <c r="W746" s="1"/>
      <c r="X746" s="1"/>
      <c r="Y746" s="1"/>
      <c r="Z746" s="1"/>
    </row>
    <row r="747" spans="1:26" ht="24.75" customHeight="1">
      <c r="A747" s="1"/>
      <c r="B747" s="1"/>
      <c r="C747" s="1"/>
      <c r="D747" s="1"/>
      <c r="E747" s="1"/>
      <c r="F747" s="1"/>
      <c r="G747" s="1"/>
      <c r="H747" s="1"/>
      <c r="I747" s="1"/>
      <c r="J747" s="1"/>
      <c r="K747" s="1"/>
      <c r="L747" s="1"/>
      <c r="M747" s="1"/>
      <c r="N747" s="1"/>
      <c r="O747" s="1"/>
      <c r="P747" s="1"/>
      <c r="Q747" s="1"/>
      <c r="R747" s="1"/>
      <c r="S747" s="1"/>
      <c r="T747" s="1"/>
      <c r="U747" s="2"/>
      <c r="V747" s="1"/>
      <c r="W747" s="1"/>
      <c r="X747" s="1"/>
      <c r="Y747" s="1"/>
      <c r="Z747" s="1"/>
    </row>
    <row r="748" spans="1:26" ht="24.75" customHeight="1">
      <c r="A748" s="1"/>
      <c r="B748" s="1"/>
      <c r="C748" s="1"/>
      <c r="D748" s="1"/>
      <c r="E748" s="1"/>
      <c r="F748" s="1"/>
      <c r="G748" s="1"/>
      <c r="H748" s="1"/>
      <c r="I748" s="1"/>
      <c r="J748" s="1"/>
      <c r="K748" s="1"/>
      <c r="L748" s="1"/>
      <c r="M748" s="1"/>
      <c r="N748" s="1"/>
      <c r="O748" s="1"/>
      <c r="P748" s="1"/>
      <c r="Q748" s="1"/>
      <c r="R748" s="1"/>
      <c r="S748" s="1"/>
      <c r="T748" s="1"/>
      <c r="U748" s="2"/>
      <c r="V748" s="1"/>
      <c r="W748" s="1"/>
      <c r="X748" s="1"/>
      <c r="Y748" s="1"/>
      <c r="Z748" s="1"/>
    </row>
    <row r="749" spans="1:26" ht="24.75" customHeight="1">
      <c r="A749" s="1"/>
      <c r="B749" s="1"/>
      <c r="C749" s="1"/>
      <c r="D749" s="1"/>
      <c r="E749" s="1"/>
      <c r="F749" s="1"/>
      <c r="G749" s="1"/>
      <c r="H749" s="1"/>
      <c r="I749" s="1"/>
      <c r="J749" s="1"/>
      <c r="K749" s="1"/>
      <c r="L749" s="1"/>
      <c r="M749" s="1"/>
      <c r="N749" s="1"/>
      <c r="O749" s="1"/>
      <c r="P749" s="1"/>
      <c r="Q749" s="1"/>
      <c r="R749" s="1"/>
      <c r="S749" s="1"/>
      <c r="T749" s="1"/>
      <c r="U749" s="2"/>
      <c r="V749" s="1"/>
      <c r="W749" s="1"/>
      <c r="X749" s="1"/>
      <c r="Y749" s="1"/>
      <c r="Z749" s="1"/>
    </row>
    <row r="750" spans="1:26" ht="24.75" customHeight="1">
      <c r="A750" s="1"/>
      <c r="B750" s="1"/>
      <c r="C750" s="1"/>
      <c r="D750" s="1"/>
      <c r="E750" s="1"/>
      <c r="F750" s="1"/>
      <c r="G750" s="1"/>
      <c r="H750" s="1"/>
      <c r="I750" s="1"/>
      <c r="J750" s="1"/>
      <c r="K750" s="1"/>
      <c r="L750" s="1"/>
      <c r="M750" s="1"/>
      <c r="N750" s="1"/>
      <c r="O750" s="1"/>
      <c r="P750" s="1"/>
      <c r="Q750" s="1"/>
      <c r="R750" s="1"/>
      <c r="S750" s="1"/>
      <c r="T750" s="1"/>
      <c r="U750" s="2"/>
      <c r="V750" s="1"/>
      <c r="W750" s="1"/>
      <c r="X750" s="1"/>
      <c r="Y750" s="1"/>
      <c r="Z750" s="1"/>
    </row>
    <row r="751" spans="1:26" ht="24.75" customHeight="1">
      <c r="A751" s="1"/>
      <c r="B751" s="1"/>
      <c r="C751" s="1"/>
      <c r="D751" s="1"/>
      <c r="E751" s="1"/>
      <c r="F751" s="1"/>
      <c r="G751" s="1"/>
      <c r="H751" s="1"/>
      <c r="I751" s="1"/>
      <c r="J751" s="1"/>
      <c r="K751" s="1"/>
      <c r="L751" s="1"/>
      <c r="M751" s="1"/>
      <c r="N751" s="1"/>
      <c r="O751" s="1"/>
      <c r="P751" s="1"/>
      <c r="Q751" s="1"/>
      <c r="R751" s="1"/>
      <c r="S751" s="1"/>
      <c r="T751" s="1"/>
      <c r="U751" s="2"/>
      <c r="V751" s="1"/>
      <c r="W751" s="1"/>
      <c r="X751" s="1"/>
      <c r="Y751" s="1"/>
      <c r="Z751" s="1"/>
    </row>
    <row r="752" spans="1:26" ht="24.75" customHeight="1">
      <c r="A752" s="1"/>
      <c r="B752" s="1"/>
      <c r="C752" s="1"/>
      <c r="D752" s="1"/>
      <c r="E752" s="1"/>
      <c r="F752" s="1"/>
      <c r="G752" s="1"/>
      <c r="H752" s="1"/>
      <c r="I752" s="1"/>
      <c r="J752" s="1"/>
      <c r="K752" s="1"/>
      <c r="L752" s="1"/>
      <c r="M752" s="1"/>
      <c r="N752" s="1"/>
      <c r="O752" s="1"/>
      <c r="P752" s="1"/>
      <c r="Q752" s="1"/>
      <c r="R752" s="1"/>
      <c r="S752" s="1"/>
      <c r="T752" s="1"/>
      <c r="U752" s="2"/>
      <c r="V752" s="1"/>
      <c r="W752" s="1"/>
      <c r="X752" s="1"/>
      <c r="Y752" s="1"/>
      <c r="Z752" s="1"/>
    </row>
    <row r="753" spans="1:26" ht="24.75" customHeight="1">
      <c r="A753" s="1"/>
      <c r="B753" s="1"/>
      <c r="C753" s="1"/>
      <c r="D753" s="1"/>
      <c r="E753" s="1"/>
      <c r="F753" s="1"/>
      <c r="G753" s="1"/>
      <c r="H753" s="1"/>
      <c r="I753" s="1"/>
      <c r="J753" s="1"/>
      <c r="K753" s="1"/>
      <c r="L753" s="1"/>
      <c r="M753" s="1"/>
      <c r="N753" s="1"/>
      <c r="O753" s="1"/>
      <c r="P753" s="1"/>
      <c r="Q753" s="1"/>
      <c r="R753" s="1"/>
      <c r="S753" s="1"/>
      <c r="T753" s="1"/>
      <c r="U753" s="2"/>
      <c r="V753" s="1"/>
      <c r="W753" s="1"/>
      <c r="X753" s="1"/>
      <c r="Y753" s="1"/>
      <c r="Z753" s="1"/>
    </row>
    <row r="754" spans="1:26" ht="24.75" customHeight="1">
      <c r="A754" s="1"/>
      <c r="B754" s="1"/>
      <c r="C754" s="1"/>
      <c r="D754" s="1"/>
      <c r="E754" s="1"/>
      <c r="F754" s="1"/>
      <c r="G754" s="1"/>
      <c r="H754" s="1"/>
      <c r="I754" s="1"/>
      <c r="J754" s="1"/>
      <c r="K754" s="1"/>
      <c r="L754" s="1"/>
      <c r="M754" s="1"/>
      <c r="N754" s="1"/>
      <c r="O754" s="1"/>
      <c r="P754" s="1"/>
      <c r="Q754" s="1"/>
      <c r="R754" s="1"/>
      <c r="S754" s="1"/>
      <c r="T754" s="1"/>
      <c r="U754" s="2"/>
      <c r="V754" s="1"/>
      <c r="W754" s="1"/>
      <c r="X754" s="1"/>
      <c r="Y754" s="1"/>
      <c r="Z754" s="1"/>
    </row>
    <row r="755" spans="1:26" ht="24.75" customHeight="1">
      <c r="A755" s="1"/>
      <c r="B755" s="1"/>
      <c r="C755" s="1"/>
      <c r="D755" s="1"/>
      <c r="E755" s="1"/>
      <c r="F755" s="1"/>
      <c r="G755" s="1"/>
      <c r="H755" s="1"/>
      <c r="I755" s="1"/>
      <c r="J755" s="1"/>
      <c r="K755" s="1"/>
      <c r="L755" s="1"/>
      <c r="M755" s="1"/>
      <c r="N755" s="1"/>
      <c r="O755" s="1"/>
      <c r="P755" s="1"/>
      <c r="Q755" s="1"/>
      <c r="R755" s="1"/>
      <c r="S755" s="1"/>
      <c r="T755" s="1"/>
      <c r="U755" s="2"/>
      <c r="V755" s="1"/>
      <c r="W755" s="1"/>
      <c r="X755" s="1"/>
      <c r="Y755" s="1"/>
      <c r="Z755" s="1"/>
    </row>
    <row r="756" spans="1:26" ht="24.75" customHeight="1">
      <c r="A756" s="1"/>
      <c r="B756" s="1"/>
      <c r="C756" s="1"/>
      <c r="D756" s="1"/>
      <c r="E756" s="1"/>
      <c r="F756" s="1"/>
      <c r="G756" s="1"/>
      <c r="H756" s="1"/>
      <c r="I756" s="1"/>
      <c r="J756" s="1"/>
      <c r="K756" s="1"/>
      <c r="L756" s="1"/>
      <c r="M756" s="1"/>
      <c r="N756" s="1"/>
      <c r="O756" s="1"/>
      <c r="P756" s="1"/>
      <c r="Q756" s="1"/>
      <c r="R756" s="1"/>
      <c r="S756" s="1"/>
      <c r="T756" s="1"/>
      <c r="U756" s="2"/>
      <c r="V756" s="1"/>
      <c r="W756" s="1"/>
      <c r="X756" s="1"/>
      <c r="Y756" s="1"/>
      <c r="Z756" s="1"/>
    </row>
    <row r="757" spans="1:26" ht="24.75" customHeight="1">
      <c r="A757" s="1"/>
      <c r="B757" s="1"/>
      <c r="C757" s="1"/>
      <c r="D757" s="1"/>
      <c r="E757" s="1"/>
      <c r="F757" s="1"/>
      <c r="G757" s="1"/>
      <c r="H757" s="1"/>
      <c r="I757" s="1"/>
      <c r="J757" s="1"/>
      <c r="K757" s="1"/>
      <c r="L757" s="1"/>
      <c r="M757" s="1"/>
      <c r="N757" s="1"/>
      <c r="O757" s="1"/>
      <c r="P757" s="1"/>
      <c r="Q757" s="1"/>
      <c r="R757" s="1"/>
      <c r="S757" s="1"/>
      <c r="T757" s="1"/>
      <c r="U757" s="2"/>
      <c r="V757" s="1"/>
      <c r="W757" s="1"/>
      <c r="X757" s="1"/>
      <c r="Y757" s="1"/>
      <c r="Z757" s="1"/>
    </row>
    <row r="758" spans="1:26" ht="24.75" customHeight="1">
      <c r="A758" s="1"/>
      <c r="B758" s="1"/>
      <c r="C758" s="1"/>
      <c r="D758" s="1"/>
      <c r="E758" s="1"/>
      <c r="F758" s="1"/>
      <c r="G758" s="1"/>
      <c r="H758" s="1"/>
      <c r="I758" s="1"/>
      <c r="J758" s="1"/>
      <c r="K758" s="1"/>
      <c r="L758" s="1"/>
      <c r="M758" s="1"/>
      <c r="N758" s="1"/>
      <c r="O758" s="1"/>
      <c r="P758" s="1"/>
      <c r="Q758" s="1"/>
      <c r="R758" s="1"/>
      <c r="S758" s="1"/>
      <c r="T758" s="1"/>
      <c r="U758" s="2"/>
      <c r="V758" s="1"/>
      <c r="W758" s="1"/>
      <c r="X758" s="1"/>
      <c r="Y758" s="1"/>
      <c r="Z758" s="1"/>
    </row>
    <row r="759" spans="1:26" ht="24.75" customHeight="1">
      <c r="A759" s="1"/>
      <c r="B759" s="1"/>
      <c r="C759" s="1"/>
      <c r="D759" s="1"/>
      <c r="E759" s="1"/>
      <c r="F759" s="1"/>
      <c r="G759" s="1"/>
      <c r="H759" s="1"/>
      <c r="I759" s="1"/>
      <c r="J759" s="1"/>
      <c r="K759" s="1"/>
      <c r="L759" s="1"/>
      <c r="M759" s="1"/>
      <c r="N759" s="1"/>
      <c r="O759" s="1"/>
      <c r="P759" s="1"/>
      <c r="Q759" s="1"/>
      <c r="R759" s="1"/>
      <c r="S759" s="1"/>
      <c r="T759" s="1"/>
      <c r="U759" s="2"/>
      <c r="V759" s="1"/>
      <c r="W759" s="1"/>
      <c r="X759" s="1"/>
      <c r="Y759" s="1"/>
      <c r="Z759" s="1"/>
    </row>
    <row r="760" spans="1:26" ht="24.75" customHeight="1">
      <c r="A760" s="1"/>
      <c r="B760" s="1"/>
      <c r="C760" s="1"/>
      <c r="D760" s="1"/>
      <c r="E760" s="1"/>
      <c r="F760" s="1"/>
      <c r="G760" s="1"/>
      <c r="H760" s="1"/>
      <c r="I760" s="1"/>
      <c r="J760" s="1"/>
      <c r="K760" s="1"/>
      <c r="L760" s="1"/>
      <c r="M760" s="1"/>
      <c r="N760" s="1"/>
      <c r="O760" s="1"/>
      <c r="P760" s="1"/>
      <c r="Q760" s="1"/>
      <c r="R760" s="1"/>
      <c r="S760" s="1"/>
      <c r="T760" s="1"/>
      <c r="U760" s="2"/>
      <c r="V760" s="1"/>
      <c r="W760" s="1"/>
      <c r="X760" s="1"/>
      <c r="Y760" s="1"/>
      <c r="Z760" s="1"/>
    </row>
    <row r="761" spans="1:26" ht="24.75" customHeight="1">
      <c r="A761" s="1"/>
      <c r="B761" s="1"/>
      <c r="C761" s="1"/>
      <c r="D761" s="1"/>
      <c r="E761" s="1"/>
      <c r="F761" s="1"/>
      <c r="G761" s="1"/>
      <c r="H761" s="1"/>
      <c r="I761" s="1"/>
      <c r="J761" s="1"/>
      <c r="K761" s="1"/>
      <c r="L761" s="1"/>
      <c r="M761" s="1"/>
      <c r="N761" s="1"/>
      <c r="O761" s="1"/>
      <c r="P761" s="1"/>
      <c r="Q761" s="1"/>
      <c r="R761" s="1"/>
      <c r="S761" s="1"/>
      <c r="T761" s="1"/>
      <c r="U761" s="2"/>
      <c r="V761" s="1"/>
      <c r="W761" s="1"/>
      <c r="X761" s="1"/>
      <c r="Y761" s="1"/>
      <c r="Z761" s="1"/>
    </row>
    <row r="762" spans="1:26" ht="24.75" customHeight="1">
      <c r="A762" s="1"/>
      <c r="B762" s="1"/>
      <c r="C762" s="1"/>
      <c r="D762" s="1"/>
      <c r="E762" s="1"/>
      <c r="F762" s="1"/>
      <c r="G762" s="1"/>
      <c r="H762" s="1"/>
      <c r="I762" s="1"/>
      <c r="J762" s="1"/>
      <c r="K762" s="1"/>
      <c r="L762" s="1"/>
      <c r="M762" s="1"/>
      <c r="N762" s="1"/>
      <c r="O762" s="1"/>
      <c r="P762" s="1"/>
      <c r="Q762" s="1"/>
      <c r="R762" s="1"/>
      <c r="S762" s="1"/>
      <c r="T762" s="1"/>
      <c r="U762" s="2"/>
      <c r="V762" s="1"/>
      <c r="W762" s="1"/>
      <c r="X762" s="1"/>
      <c r="Y762" s="1"/>
      <c r="Z762" s="1"/>
    </row>
    <row r="763" spans="1:26" ht="24.75" customHeight="1">
      <c r="A763" s="1"/>
      <c r="B763" s="1"/>
      <c r="C763" s="1"/>
      <c r="D763" s="1"/>
      <c r="E763" s="1"/>
      <c r="F763" s="1"/>
      <c r="G763" s="1"/>
      <c r="H763" s="1"/>
      <c r="I763" s="1"/>
      <c r="J763" s="1"/>
      <c r="K763" s="1"/>
      <c r="L763" s="1"/>
      <c r="M763" s="1"/>
      <c r="N763" s="1"/>
      <c r="O763" s="1"/>
      <c r="P763" s="1"/>
      <c r="Q763" s="1"/>
      <c r="R763" s="1"/>
      <c r="S763" s="1"/>
      <c r="T763" s="1"/>
      <c r="U763" s="2"/>
      <c r="V763" s="1"/>
      <c r="W763" s="1"/>
      <c r="X763" s="1"/>
      <c r="Y763" s="1"/>
      <c r="Z763" s="1"/>
    </row>
    <row r="764" spans="1:26" ht="24.75" customHeight="1">
      <c r="A764" s="1"/>
      <c r="B764" s="1"/>
      <c r="C764" s="1"/>
      <c r="D764" s="1"/>
      <c r="E764" s="1"/>
      <c r="F764" s="1"/>
      <c r="G764" s="1"/>
      <c r="H764" s="1"/>
      <c r="I764" s="1"/>
      <c r="J764" s="1"/>
      <c r="K764" s="1"/>
      <c r="L764" s="1"/>
      <c r="M764" s="1"/>
      <c r="N764" s="1"/>
      <c r="O764" s="1"/>
      <c r="P764" s="1"/>
      <c r="Q764" s="1"/>
      <c r="R764" s="1"/>
      <c r="S764" s="1"/>
      <c r="T764" s="1"/>
      <c r="U764" s="2"/>
      <c r="V764" s="1"/>
      <c r="W764" s="1"/>
      <c r="X764" s="1"/>
      <c r="Y764" s="1"/>
      <c r="Z764" s="1"/>
    </row>
    <row r="765" spans="1:26" ht="24.75" customHeight="1">
      <c r="A765" s="1"/>
      <c r="B765" s="1"/>
      <c r="C765" s="1"/>
      <c r="D765" s="1"/>
      <c r="E765" s="1"/>
      <c r="F765" s="1"/>
      <c r="G765" s="1"/>
      <c r="H765" s="1"/>
      <c r="I765" s="1"/>
      <c r="J765" s="1"/>
      <c r="K765" s="1"/>
      <c r="L765" s="1"/>
      <c r="M765" s="1"/>
      <c r="N765" s="1"/>
      <c r="O765" s="1"/>
      <c r="P765" s="1"/>
      <c r="Q765" s="1"/>
      <c r="R765" s="1"/>
      <c r="S765" s="1"/>
      <c r="T765" s="1"/>
      <c r="U765" s="2"/>
      <c r="V765" s="1"/>
      <c r="W765" s="1"/>
      <c r="X765" s="1"/>
      <c r="Y765" s="1"/>
      <c r="Z765" s="1"/>
    </row>
    <row r="766" spans="1:26" ht="24.75" customHeight="1">
      <c r="A766" s="1"/>
      <c r="B766" s="1"/>
      <c r="C766" s="1"/>
      <c r="D766" s="1"/>
      <c r="E766" s="1"/>
      <c r="F766" s="1"/>
      <c r="G766" s="1"/>
      <c r="H766" s="1"/>
      <c r="I766" s="1"/>
      <c r="J766" s="1"/>
      <c r="K766" s="1"/>
      <c r="L766" s="1"/>
      <c r="M766" s="1"/>
      <c r="N766" s="1"/>
      <c r="O766" s="1"/>
      <c r="P766" s="1"/>
      <c r="Q766" s="1"/>
      <c r="R766" s="1"/>
      <c r="S766" s="1"/>
      <c r="T766" s="1"/>
      <c r="U766" s="2"/>
      <c r="V766" s="1"/>
      <c r="W766" s="1"/>
      <c r="X766" s="1"/>
      <c r="Y766" s="1"/>
      <c r="Z766" s="1"/>
    </row>
    <row r="767" spans="1:26" ht="24.75" customHeight="1">
      <c r="A767" s="1"/>
      <c r="B767" s="1"/>
      <c r="C767" s="1"/>
      <c r="D767" s="1"/>
      <c r="E767" s="1"/>
      <c r="F767" s="1"/>
      <c r="G767" s="1"/>
      <c r="H767" s="1"/>
      <c r="I767" s="1"/>
      <c r="J767" s="1"/>
      <c r="K767" s="1"/>
      <c r="L767" s="1"/>
      <c r="M767" s="1"/>
      <c r="N767" s="1"/>
      <c r="O767" s="1"/>
      <c r="P767" s="1"/>
      <c r="Q767" s="1"/>
      <c r="R767" s="1"/>
      <c r="S767" s="1"/>
      <c r="T767" s="1"/>
      <c r="U767" s="2"/>
      <c r="V767" s="1"/>
      <c r="W767" s="1"/>
      <c r="X767" s="1"/>
      <c r="Y767" s="1"/>
      <c r="Z767" s="1"/>
    </row>
    <row r="768" spans="1:26" ht="24.75" customHeight="1">
      <c r="A768" s="1"/>
      <c r="B768" s="1"/>
      <c r="C768" s="1"/>
      <c r="D768" s="1"/>
      <c r="E768" s="1"/>
      <c r="F768" s="1"/>
      <c r="G768" s="1"/>
      <c r="H768" s="1"/>
      <c r="I768" s="1"/>
      <c r="J768" s="1"/>
      <c r="K768" s="1"/>
      <c r="L768" s="1"/>
      <c r="M768" s="1"/>
      <c r="N768" s="1"/>
      <c r="O768" s="1"/>
      <c r="P768" s="1"/>
      <c r="Q768" s="1"/>
      <c r="R768" s="1"/>
      <c r="S768" s="1"/>
      <c r="T768" s="1"/>
      <c r="U768" s="2"/>
      <c r="V768" s="1"/>
      <c r="W768" s="1"/>
      <c r="X768" s="1"/>
      <c r="Y768" s="1"/>
      <c r="Z768" s="1"/>
    </row>
    <row r="769" spans="1:26" ht="24.75" customHeight="1">
      <c r="A769" s="1"/>
      <c r="B769" s="1"/>
      <c r="C769" s="1"/>
      <c r="D769" s="1"/>
      <c r="E769" s="1"/>
      <c r="F769" s="1"/>
      <c r="G769" s="1"/>
      <c r="H769" s="1"/>
      <c r="I769" s="1"/>
      <c r="J769" s="1"/>
      <c r="K769" s="1"/>
      <c r="L769" s="1"/>
      <c r="M769" s="1"/>
      <c r="N769" s="1"/>
      <c r="O769" s="1"/>
      <c r="P769" s="1"/>
      <c r="Q769" s="1"/>
      <c r="R769" s="1"/>
      <c r="S769" s="1"/>
      <c r="T769" s="1"/>
      <c r="U769" s="2"/>
      <c r="V769" s="1"/>
      <c r="W769" s="1"/>
      <c r="X769" s="1"/>
      <c r="Y769" s="1"/>
      <c r="Z769" s="1"/>
    </row>
    <row r="770" spans="1:26" ht="24.75" customHeight="1">
      <c r="A770" s="1"/>
      <c r="B770" s="1"/>
      <c r="C770" s="1"/>
      <c r="D770" s="1"/>
      <c r="E770" s="1"/>
      <c r="F770" s="1"/>
      <c r="G770" s="1"/>
      <c r="H770" s="1"/>
      <c r="I770" s="1"/>
      <c r="J770" s="1"/>
      <c r="K770" s="1"/>
      <c r="L770" s="1"/>
      <c r="M770" s="1"/>
      <c r="N770" s="1"/>
      <c r="O770" s="1"/>
      <c r="P770" s="1"/>
      <c r="Q770" s="1"/>
      <c r="R770" s="1"/>
      <c r="S770" s="1"/>
      <c r="T770" s="1"/>
      <c r="U770" s="2"/>
      <c r="V770" s="1"/>
      <c r="W770" s="1"/>
      <c r="X770" s="1"/>
      <c r="Y770" s="1"/>
      <c r="Z770" s="1"/>
    </row>
    <row r="771" spans="1:26" ht="24.75" customHeight="1">
      <c r="A771" s="1"/>
      <c r="B771" s="1"/>
      <c r="C771" s="1"/>
      <c r="D771" s="1"/>
      <c r="E771" s="1"/>
      <c r="F771" s="1"/>
      <c r="G771" s="1"/>
      <c r="H771" s="1"/>
      <c r="I771" s="1"/>
      <c r="J771" s="1"/>
      <c r="K771" s="1"/>
      <c r="L771" s="1"/>
      <c r="M771" s="1"/>
      <c r="N771" s="1"/>
      <c r="O771" s="1"/>
      <c r="P771" s="1"/>
      <c r="Q771" s="1"/>
      <c r="R771" s="1"/>
      <c r="S771" s="1"/>
      <c r="T771" s="1"/>
      <c r="U771" s="2"/>
      <c r="V771" s="1"/>
      <c r="W771" s="1"/>
      <c r="X771" s="1"/>
      <c r="Y771" s="1"/>
      <c r="Z771" s="1"/>
    </row>
    <row r="772" spans="1:26" ht="24.75" customHeight="1">
      <c r="A772" s="1"/>
      <c r="B772" s="1"/>
      <c r="C772" s="1"/>
      <c r="D772" s="1"/>
      <c r="E772" s="1"/>
      <c r="F772" s="1"/>
      <c r="G772" s="1"/>
      <c r="H772" s="1"/>
      <c r="I772" s="1"/>
      <c r="J772" s="1"/>
      <c r="K772" s="1"/>
      <c r="L772" s="1"/>
      <c r="M772" s="1"/>
      <c r="N772" s="1"/>
      <c r="O772" s="1"/>
      <c r="P772" s="1"/>
      <c r="Q772" s="1"/>
      <c r="R772" s="1"/>
      <c r="S772" s="1"/>
      <c r="T772" s="1"/>
      <c r="U772" s="2"/>
      <c r="V772" s="1"/>
      <c r="W772" s="1"/>
      <c r="X772" s="1"/>
      <c r="Y772" s="1"/>
      <c r="Z772" s="1"/>
    </row>
    <row r="773" spans="1:26" ht="24.75" customHeight="1">
      <c r="A773" s="1"/>
      <c r="B773" s="1"/>
      <c r="C773" s="1"/>
      <c r="D773" s="1"/>
      <c r="E773" s="1"/>
      <c r="F773" s="1"/>
      <c r="G773" s="1"/>
      <c r="H773" s="1"/>
      <c r="I773" s="1"/>
      <c r="J773" s="1"/>
      <c r="K773" s="1"/>
      <c r="L773" s="1"/>
      <c r="M773" s="1"/>
      <c r="N773" s="1"/>
      <c r="O773" s="1"/>
      <c r="P773" s="1"/>
      <c r="Q773" s="1"/>
      <c r="R773" s="1"/>
      <c r="S773" s="1"/>
      <c r="T773" s="1"/>
      <c r="U773" s="2"/>
      <c r="V773" s="1"/>
      <c r="W773" s="1"/>
      <c r="X773" s="1"/>
      <c r="Y773" s="1"/>
      <c r="Z773" s="1"/>
    </row>
    <row r="774" spans="1:26" ht="24.75" customHeight="1">
      <c r="A774" s="1"/>
      <c r="B774" s="1"/>
      <c r="C774" s="1"/>
      <c r="D774" s="1"/>
      <c r="E774" s="1"/>
      <c r="F774" s="1"/>
      <c r="G774" s="1"/>
      <c r="H774" s="1"/>
      <c r="I774" s="1"/>
      <c r="J774" s="1"/>
      <c r="K774" s="1"/>
      <c r="L774" s="1"/>
      <c r="M774" s="1"/>
      <c r="N774" s="1"/>
      <c r="O774" s="1"/>
      <c r="P774" s="1"/>
      <c r="Q774" s="1"/>
      <c r="R774" s="1"/>
      <c r="S774" s="1"/>
      <c r="T774" s="1"/>
      <c r="U774" s="2"/>
      <c r="V774" s="1"/>
      <c r="W774" s="1"/>
      <c r="X774" s="1"/>
      <c r="Y774" s="1"/>
      <c r="Z774" s="1"/>
    </row>
    <row r="775" spans="1:26" ht="24.75" customHeight="1">
      <c r="A775" s="1"/>
      <c r="B775" s="1"/>
      <c r="C775" s="1"/>
      <c r="D775" s="1"/>
      <c r="E775" s="1"/>
      <c r="F775" s="1"/>
      <c r="G775" s="1"/>
      <c r="H775" s="1"/>
      <c r="I775" s="1"/>
      <c r="J775" s="1"/>
      <c r="K775" s="1"/>
      <c r="L775" s="1"/>
      <c r="M775" s="1"/>
      <c r="N775" s="1"/>
      <c r="O775" s="1"/>
      <c r="P775" s="1"/>
      <c r="Q775" s="1"/>
      <c r="R775" s="1"/>
      <c r="S775" s="1"/>
      <c r="T775" s="1"/>
      <c r="U775" s="2"/>
      <c r="V775" s="1"/>
      <c r="W775" s="1"/>
      <c r="X775" s="1"/>
      <c r="Y775" s="1"/>
      <c r="Z775" s="1"/>
    </row>
    <row r="776" spans="1:26" ht="24.75" customHeight="1">
      <c r="A776" s="1"/>
      <c r="B776" s="1"/>
      <c r="C776" s="1"/>
      <c r="D776" s="1"/>
      <c r="E776" s="1"/>
      <c r="F776" s="1"/>
      <c r="G776" s="1"/>
      <c r="H776" s="1"/>
      <c r="I776" s="1"/>
      <c r="J776" s="1"/>
      <c r="K776" s="1"/>
      <c r="L776" s="1"/>
      <c r="M776" s="1"/>
      <c r="N776" s="1"/>
      <c r="O776" s="1"/>
      <c r="P776" s="1"/>
      <c r="Q776" s="1"/>
      <c r="R776" s="1"/>
      <c r="S776" s="1"/>
      <c r="T776" s="1"/>
      <c r="U776" s="2"/>
      <c r="V776" s="1"/>
      <c r="W776" s="1"/>
      <c r="X776" s="1"/>
      <c r="Y776" s="1"/>
      <c r="Z776" s="1"/>
    </row>
    <row r="777" spans="1:26" ht="24.75" customHeight="1">
      <c r="A777" s="1"/>
      <c r="B777" s="1"/>
      <c r="C777" s="1"/>
      <c r="D777" s="1"/>
      <c r="E777" s="1"/>
      <c r="F777" s="1"/>
      <c r="G777" s="1"/>
      <c r="H777" s="1"/>
      <c r="I777" s="1"/>
      <c r="J777" s="1"/>
      <c r="K777" s="1"/>
      <c r="L777" s="1"/>
      <c r="M777" s="1"/>
      <c r="N777" s="1"/>
      <c r="O777" s="1"/>
      <c r="P777" s="1"/>
      <c r="Q777" s="1"/>
      <c r="R777" s="1"/>
      <c r="S777" s="1"/>
      <c r="T777" s="1"/>
      <c r="U777" s="2"/>
      <c r="V777" s="1"/>
      <c r="W777" s="1"/>
      <c r="X777" s="1"/>
      <c r="Y777" s="1"/>
      <c r="Z777" s="1"/>
    </row>
    <row r="778" spans="1:26" ht="24.75" customHeight="1">
      <c r="A778" s="1"/>
      <c r="B778" s="1"/>
      <c r="C778" s="1"/>
      <c r="D778" s="1"/>
      <c r="E778" s="1"/>
      <c r="F778" s="1"/>
      <c r="G778" s="1"/>
      <c r="H778" s="1"/>
      <c r="I778" s="1"/>
      <c r="J778" s="1"/>
      <c r="K778" s="1"/>
      <c r="L778" s="1"/>
      <c r="M778" s="1"/>
      <c r="N778" s="1"/>
      <c r="O778" s="1"/>
      <c r="P778" s="1"/>
      <c r="Q778" s="1"/>
      <c r="R778" s="1"/>
      <c r="S778" s="1"/>
      <c r="T778" s="1"/>
      <c r="U778" s="2"/>
      <c r="V778" s="1"/>
      <c r="W778" s="1"/>
      <c r="X778" s="1"/>
      <c r="Y778" s="1"/>
      <c r="Z778" s="1"/>
    </row>
    <row r="779" spans="1:26" ht="24.75" customHeight="1">
      <c r="A779" s="1"/>
      <c r="B779" s="1"/>
      <c r="C779" s="1"/>
      <c r="D779" s="1"/>
      <c r="E779" s="1"/>
      <c r="F779" s="1"/>
      <c r="G779" s="1"/>
      <c r="H779" s="1"/>
      <c r="I779" s="1"/>
      <c r="J779" s="1"/>
      <c r="K779" s="1"/>
      <c r="L779" s="1"/>
      <c r="M779" s="1"/>
      <c r="N779" s="1"/>
      <c r="O779" s="1"/>
      <c r="P779" s="1"/>
      <c r="Q779" s="1"/>
      <c r="R779" s="1"/>
      <c r="S779" s="1"/>
      <c r="T779" s="1"/>
      <c r="U779" s="2"/>
      <c r="V779" s="1"/>
      <c r="W779" s="1"/>
      <c r="X779" s="1"/>
      <c r="Y779" s="1"/>
      <c r="Z779" s="1"/>
    </row>
    <row r="780" spans="1:26" ht="24.75" customHeight="1">
      <c r="A780" s="1"/>
      <c r="B780" s="1"/>
      <c r="C780" s="1"/>
      <c r="D780" s="1"/>
      <c r="E780" s="1"/>
      <c r="F780" s="1"/>
      <c r="G780" s="1"/>
      <c r="H780" s="1"/>
      <c r="I780" s="1"/>
      <c r="J780" s="1"/>
      <c r="K780" s="1"/>
      <c r="L780" s="1"/>
      <c r="M780" s="1"/>
      <c r="N780" s="1"/>
      <c r="O780" s="1"/>
      <c r="P780" s="1"/>
      <c r="Q780" s="1"/>
      <c r="R780" s="1"/>
      <c r="S780" s="1"/>
      <c r="T780" s="1"/>
      <c r="U780" s="2"/>
      <c r="V780" s="1"/>
      <c r="W780" s="1"/>
      <c r="X780" s="1"/>
      <c r="Y780" s="1"/>
      <c r="Z780" s="1"/>
    </row>
    <row r="781" spans="1:26" ht="24.75" customHeight="1">
      <c r="A781" s="1"/>
      <c r="B781" s="1"/>
      <c r="C781" s="1"/>
      <c r="D781" s="1"/>
      <c r="E781" s="1"/>
      <c r="F781" s="1"/>
      <c r="G781" s="1"/>
      <c r="H781" s="1"/>
      <c r="I781" s="1"/>
      <c r="J781" s="1"/>
      <c r="K781" s="1"/>
      <c r="L781" s="1"/>
      <c r="M781" s="1"/>
      <c r="N781" s="1"/>
      <c r="O781" s="1"/>
      <c r="P781" s="1"/>
      <c r="Q781" s="1"/>
      <c r="R781" s="1"/>
      <c r="S781" s="1"/>
      <c r="T781" s="1"/>
      <c r="U781" s="2"/>
      <c r="V781" s="1"/>
      <c r="W781" s="1"/>
      <c r="X781" s="1"/>
      <c r="Y781" s="1"/>
      <c r="Z781" s="1"/>
    </row>
    <row r="782" spans="1:26" ht="24.75" customHeight="1">
      <c r="A782" s="1"/>
      <c r="B782" s="1"/>
      <c r="C782" s="1"/>
      <c r="D782" s="1"/>
      <c r="E782" s="1"/>
      <c r="F782" s="1"/>
      <c r="G782" s="1"/>
      <c r="H782" s="1"/>
      <c r="I782" s="1"/>
      <c r="J782" s="1"/>
      <c r="K782" s="1"/>
      <c r="L782" s="1"/>
      <c r="M782" s="1"/>
      <c r="N782" s="1"/>
      <c r="O782" s="1"/>
      <c r="P782" s="1"/>
      <c r="Q782" s="1"/>
      <c r="R782" s="1"/>
      <c r="S782" s="1"/>
      <c r="T782" s="1"/>
      <c r="U782" s="2"/>
      <c r="V782" s="1"/>
      <c r="W782" s="1"/>
      <c r="X782" s="1"/>
      <c r="Y782" s="1"/>
      <c r="Z782" s="1"/>
    </row>
    <row r="783" spans="1:26" ht="24.75" customHeight="1">
      <c r="A783" s="1"/>
      <c r="B783" s="1"/>
      <c r="C783" s="1"/>
      <c r="D783" s="1"/>
      <c r="E783" s="1"/>
      <c r="F783" s="1"/>
      <c r="G783" s="1"/>
      <c r="H783" s="1"/>
      <c r="I783" s="1"/>
      <c r="J783" s="1"/>
      <c r="K783" s="1"/>
      <c r="L783" s="1"/>
      <c r="M783" s="1"/>
      <c r="N783" s="1"/>
      <c r="O783" s="1"/>
      <c r="P783" s="1"/>
      <c r="Q783" s="1"/>
      <c r="R783" s="1"/>
      <c r="S783" s="1"/>
      <c r="T783" s="1"/>
      <c r="U783" s="2"/>
      <c r="V783" s="1"/>
      <c r="W783" s="1"/>
      <c r="X783" s="1"/>
      <c r="Y783" s="1"/>
      <c r="Z783" s="1"/>
    </row>
    <row r="784" spans="1:26" ht="24.75" customHeight="1">
      <c r="A784" s="1"/>
      <c r="B784" s="1"/>
      <c r="C784" s="1"/>
      <c r="D784" s="1"/>
      <c r="E784" s="1"/>
      <c r="F784" s="1"/>
      <c r="G784" s="1"/>
      <c r="H784" s="1"/>
      <c r="I784" s="1"/>
      <c r="J784" s="1"/>
      <c r="K784" s="1"/>
      <c r="L784" s="1"/>
      <c r="M784" s="1"/>
      <c r="N784" s="1"/>
      <c r="O784" s="1"/>
      <c r="P784" s="1"/>
      <c r="Q784" s="1"/>
      <c r="R784" s="1"/>
      <c r="S784" s="1"/>
      <c r="T784" s="1"/>
      <c r="U784" s="2"/>
      <c r="V784" s="1"/>
      <c r="W784" s="1"/>
      <c r="X784" s="1"/>
      <c r="Y784" s="1"/>
      <c r="Z784" s="1"/>
    </row>
    <row r="785" spans="1:26" ht="24.75" customHeight="1">
      <c r="A785" s="1"/>
      <c r="B785" s="1"/>
      <c r="C785" s="1"/>
      <c r="D785" s="1"/>
      <c r="E785" s="1"/>
      <c r="F785" s="1"/>
      <c r="G785" s="1"/>
      <c r="H785" s="1"/>
      <c r="I785" s="1"/>
      <c r="J785" s="1"/>
      <c r="K785" s="1"/>
      <c r="L785" s="1"/>
      <c r="M785" s="1"/>
      <c r="N785" s="1"/>
      <c r="O785" s="1"/>
      <c r="P785" s="1"/>
      <c r="Q785" s="1"/>
      <c r="R785" s="1"/>
      <c r="S785" s="1"/>
      <c r="T785" s="1"/>
      <c r="U785" s="2"/>
      <c r="V785" s="1"/>
      <c r="W785" s="1"/>
      <c r="X785" s="1"/>
      <c r="Y785" s="1"/>
      <c r="Z785" s="1"/>
    </row>
    <row r="786" spans="1:26" ht="24.75" customHeight="1">
      <c r="A786" s="1"/>
      <c r="B786" s="1"/>
      <c r="C786" s="1"/>
      <c r="D786" s="1"/>
      <c r="E786" s="1"/>
      <c r="F786" s="1"/>
      <c r="G786" s="1"/>
      <c r="H786" s="1"/>
      <c r="I786" s="1"/>
      <c r="J786" s="1"/>
      <c r="K786" s="1"/>
      <c r="L786" s="1"/>
      <c r="M786" s="1"/>
      <c r="N786" s="1"/>
      <c r="O786" s="1"/>
      <c r="P786" s="1"/>
      <c r="Q786" s="1"/>
      <c r="R786" s="1"/>
      <c r="S786" s="1"/>
      <c r="T786" s="1"/>
      <c r="U786" s="2"/>
      <c r="V786" s="1"/>
      <c r="W786" s="1"/>
      <c r="X786" s="1"/>
      <c r="Y786" s="1"/>
      <c r="Z786" s="1"/>
    </row>
    <row r="787" spans="1:26" ht="24.75" customHeight="1">
      <c r="A787" s="1"/>
      <c r="B787" s="1"/>
      <c r="C787" s="1"/>
      <c r="D787" s="1"/>
      <c r="E787" s="1"/>
      <c r="F787" s="1"/>
      <c r="G787" s="1"/>
      <c r="H787" s="1"/>
      <c r="I787" s="1"/>
      <c r="J787" s="1"/>
      <c r="K787" s="1"/>
      <c r="L787" s="1"/>
      <c r="M787" s="1"/>
      <c r="N787" s="1"/>
      <c r="O787" s="1"/>
      <c r="P787" s="1"/>
      <c r="Q787" s="1"/>
      <c r="R787" s="1"/>
      <c r="S787" s="1"/>
      <c r="T787" s="1"/>
      <c r="U787" s="2"/>
      <c r="V787" s="1"/>
      <c r="W787" s="1"/>
      <c r="X787" s="1"/>
      <c r="Y787" s="1"/>
      <c r="Z787" s="1"/>
    </row>
    <row r="788" spans="1:26" ht="24.75" customHeight="1">
      <c r="A788" s="1"/>
      <c r="B788" s="1"/>
      <c r="C788" s="1"/>
      <c r="D788" s="1"/>
      <c r="E788" s="1"/>
      <c r="F788" s="1"/>
      <c r="G788" s="1"/>
      <c r="H788" s="1"/>
      <c r="I788" s="1"/>
      <c r="J788" s="1"/>
      <c r="K788" s="1"/>
      <c r="L788" s="1"/>
      <c r="M788" s="1"/>
      <c r="N788" s="1"/>
      <c r="O788" s="1"/>
      <c r="P788" s="1"/>
      <c r="Q788" s="1"/>
      <c r="R788" s="1"/>
      <c r="S788" s="1"/>
      <c r="T788" s="1"/>
      <c r="U788" s="2"/>
      <c r="V788" s="1"/>
      <c r="W788" s="1"/>
      <c r="X788" s="1"/>
      <c r="Y788" s="1"/>
      <c r="Z788" s="1"/>
    </row>
    <row r="789" spans="1:26" ht="24.75" customHeight="1">
      <c r="A789" s="1"/>
      <c r="B789" s="1"/>
      <c r="C789" s="1"/>
      <c r="D789" s="1"/>
      <c r="E789" s="1"/>
      <c r="F789" s="1"/>
      <c r="G789" s="1"/>
      <c r="H789" s="1"/>
      <c r="I789" s="1"/>
      <c r="J789" s="1"/>
      <c r="K789" s="1"/>
      <c r="L789" s="1"/>
      <c r="M789" s="1"/>
      <c r="N789" s="1"/>
      <c r="O789" s="1"/>
      <c r="P789" s="1"/>
      <c r="Q789" s="1"/>
      <c r="R789" s="1"/>
      <c r="S789" s="1"/>
      <c r="T789" s="1"/>
      <c r="U789" s="2"/>
      <c r="V789" s="1"/>
      <c r="W789" s="1"/>
      <c r="X789" s="1"/>
      <c r="Y789" s="1"/>
      <c r="Z789" s="1"/>
    </row>
    <row r="790" spans="1:26" ht="24.75" customHeight="1">
      <c r="A790" s="1"/>
      <c r="B790" s="1"/>
      <c r="C790" s="1"/>
      <c r="D790" s="1"/>
      <c r="E790" s="1"/>
      <c r="F790" s="1"/>
      <c r="G790" s="1"/>
      <c r="H790" s="1"/>
      <c r="I790" s="1"/>
      <c r="J790" s="1"/>
      <c r="K790" s="1"/>
      <c r="L790" s="1"/>
      <c r="M790" s="1"/>
      <c r="N790" s="1"/>
      <c r="O790" s="1"/>
      <c r="P790" s="1"/>
      <c r="Q790" s="1"/>
      <c r="R790" s="1"/>
      <c r="S790" s="1"/>
      <c r="T790" s="1"/>
      <c r="U790" s="2"/>
      <c r="V790" s="1"/>
      <c r="W790" s="1"/>
      <c r="X790" s="1"/>
      <c r="Y790" s="1"/>
      <c r="Z790" s="1"/>
    </row>
    <row r="791" spans="1:26" ht="24.75" customHeight="1">
      <c r="A791" s="1"/>
      <c r="B791" s="1"/>
      <c r="C791" s="1"/>
      <c r="D791" s="1"/>
      <c r="E791" s="1"/>
      <c r="F791" s="1"/>
      <c r="G791" s="1"/>
      <c r="H791" s="1"/>
      <c r="I791" s="1"/>
      <c r="J791" s="1"/>
      <c r="K791" s="1"/>
      <c r="L791" s="1"/>
      <c r="M791" s="1"/>
      <c r="N791" s="1"/>
      <c r="O791" s="1"/>
      <c r="P791" s="1"/>
      <c r="Q791" s="1"/>
      <c r="R791" s="1"/>
      <c r="S791" s="1"/>
      <c r="T791" s="1"/>
      <c r="U791" s="2"/>
      <c r="V791" s="1"/>
      <c r="W791" s="1"/>
      <c r="X791" s="1"/>
      <c r="Y791" s="1"/>
      <c r="Z791" s="1"/>
    </row>
    <row r="792" spans="1:26" ht="24.75" customHeight="1">
      <c r="A792" s="1"/>
      <c r="B792" s="1"/>
      <c r="C792" s="1"/>
      <c r="D792" s="1"/>
      <c r="E792" s="1"/>
      <c r="F792" s="1"/>
      <c r="G792" s="1"/>
      <c r="H792" s="1"/>
      <c r="I792" s="1"/>
      <c r="J792" s="1"/>
      <c r="K792" s="1"/>
      <c r="L792" s="1"/>
      <c r="M792" s="1"/>
      <c r="N792" s="1"/>
      <c r="O792" s="1"/>
      <c r="P792" s="1"/>
      <c r="Q792" s="1"/>
      <c r="R792" s="1"/>
      <c r="S792" s="1"/>
      <c r="T792" s="1"/>
      <c r="U792" s="2"/>
      <c r="V792" s="1"/>
      <c r="W792" s="1"/>
      <c r="X792" s="1"/>
      <c r="Y792" s="1"/>
      <c r="Z792" s="1"/>
    </row>
    <row r="793" spans="1:26" ht="24.75" customHeight="1">
      <c r="A793" s="1"/>
      <c r="B793" s="1"/>
      <c r="C793" s="1"/>
      <c r="D793" s="1"/>
      <c r="E793" s="1"/>
      <c r="F793" s="1"/>
      <c r="G793" s="1"/>
      <c r="H793" s="1"/>
      <c r="I793" s="1"/>
      <c r="J793" s="1"/>
      <c r="K793" s="1"/>
      <c r="L793" s="1"/>
      <c r="M793" s="1"/>
      <c r="N793" s="1"/>
      <c r="O793" s="1"/>
      <c r="P793" s="1"/>
      <c r="Q793" s="1"/>
      <c r="R793" s="1"/>
      <c r="S793" s="1"/>
      <c r="T793" s="1"/>
      <c r="U793" s="2"/>
      <c r="V793" s="1"/>
      <c r="W793" s="1"/>
      <c r="X793" s="1"/>
      <c r="Y793" s="1"/>
      <c r="Z793" s="1"/>
    </row>
    <row r="794" spans="1:26" ht="24.75" customHeight="1">
      <c r="A794" s="1"/>
      <c r="B794" s="1"/>
      <c r="C794" s="1"/>
      <c r="D794" s="1"/>
      <c r="E794" s="1"/>
      <c r="F794" s="1"/>
      <c r="G794" s="1"/>
      <c r="H794" s="1"/>
      <c r="I794" s="1"/>
      <c r="J794" s="1"/>
      <c r="K794" s="1"/>
      <c r="L794" s="1"/>
      <c r="M794" s="1"/>
      <c r="N794" s="1"/>
      <c r="O794" s="1"/>
      <c r="P794" s="1"/>
      <c r="Q794" s="1"/>
      <c r="R794" s="1"/>
      <c r="S794" s="1"/>
      <c r="T794" s="1"/>
      <c r="U794" s="2"/>
      <c r="V794" s="1"/>
      <c r="W794" s="1"/>
      <c r="X794" s="1"/>
      <c r="Y794" s="1"/>
      <c r="Z794" s="1"/>
    </row>
    <row r="795" spans="1:26" ht="24.75" customHeight="1">
      <c r="A795" s="1"/>
      <c r="B795" s="1"/>
      <c r="C795" s="1"/>
      <c r="D795" s="1"/>
      <c r="E795" s="1"/>
      <c r="F795" s="1"/>
      <c r="G795" s="1"/>
      <c r="H795" s="1"/>
      <c r="I795" s="1"/>
      <c r="J795" s="1"/>
      <c r="K795" s="1"/>
      <c r="L795" s="1"/>
      <c r="M795" s="1"/>
      <c r="N795" s="1"/>
      <c r="O795" s="1"/>
      <c r="P795" s="1"/>
      <c r="Q795" s="1"/>
      <c r="R795" s="1"/>
      <c r="S795" s="1"/>
      <c r="T795" s="1"/>
      <c r="U795" s="2"/>
      <c r="V795" s="1"/>
      <c r="W795" s="1"/>
      <c r="X795" s="1"/>
      <c r="Y795" s="1"/>
      <c r="Z795" s="1"/>
    </row>
    <row r="796" spans="1:26" ht="24.75" customHeight="1">
      <c r="A796" s="1"/>
      <c r="B796" s="1"/>
      <c r="C796" s="1"/>
      <c r="D796" s="1"/>
      <c r="E796" s="1"/>
      <c r="F796" s="1"/>
      <c r="G796" s="1"/>
      <c r="H796" s="1"/>
      <c r="I796" s="1"/>
      <c r="J796" s="1"/>
      <c r="K796" s="1"/>
      <c r="L796" s="1"/>
      <c r="M796" s="1"/>
      <c r="N796" s="1"/>
      <c r="O796" s="1"/>
      <c r="P796" s="1"/>
      <c r="Q796" s="1"/>
      <c r="R796" s="1"/>
      <c r="S796" s="1"/>
      <c r="T796" s="1"/>
      <c r="U796" s="2"/>
      <c r="V796" s="1"/>
      <c r="W796" s="1"/>
      <c r="X796" s="1"/>
      <c r="Y796" s="1"/>
      <c r="Z796" s="1"/>
    </row>
    <row r="797" spans="1:26" ht="24.75" customHeight="1">
      <c r="A797" s="1"/>
      <c r="B797" s="1"/>
      <c r="C797" s="1"/>
      <c r="D797" s="1"/>
      <c r="E797" s="1"/>
      <c r="F797" s="1"/>
      <c r="G797" s="1"/>
      <c r="H797" s="1"/>
      <c r="I797" s="1"/>
      <c r="J797" s="1"/>
      <c r="K797" s="1"/>
      <c r="L797" s="1"/>
      <c r="M797" s="1"/>
      <c r="N797" s="1"/>
      <c r="O797" s="1"/>
      <c r="P797" s="1"/>
      <c r="Q797" s="1"/>
      <c r="R797" s="1"/>
      <c r="S797" s="1"/>
      <c r="T797" s="1"/>
      <c r="U797" s="2"/>
      <c r="V797" s="1"/>
      <c r="W797" s="1"/>
      <c r="X797" s="1"/>
      <c r="Y797" s="1"/>
      <c r="Z797" s="1"/>
    </row>
    <row r="798" spans="1:26" ht="24.75" customHeight="1">
      <c r="A798" s="1"/>
      <c r="B798" s="1"/>
      <c r="C798" s="1"/>
      <c r="D798" s="1"/>
      <c r="E798" s="1"/>
      <c r="F798" s="1"/>
      <c r="G798" s="1"/>
      <c r="H798" s="1"/>
      <c r="I798" s="1"/>
      <c r="J798" s="1"/>
      <c r="K798" s="1"/>
      <c r="L798" s="1"/>
      <c r="M798" s="1"/>
      <c r="N798" s="1"/>
      <c r="O798" s="1"/>
      <c r="P798" s="1"/>
      <c r="Q798" s="1"/>
      <c r="R798" s="1"/>
      <c r="S798" s="1"/>
      <c r="T798" s="1"/>
      <c r="U798" s="2"/>
      <c r="V798" s="1"/>
      <c r="W798" s="1"/>
      <c r="X798" s="1"/>
      <c r="Y798" s="1"/>
      <c r="Z798" s="1"/>
    </row>
    <row r="799" spans="1:26" ht="24.75" customHeight="1">
      <c r="A799" s="1"/>
      <c r="B799" s="1"/>
      <c r="C799" s="1"/>
      <c r="D799" s="1"/>
      <c r="E799" s="1"/>
      <c r="F799" s="1"/>
      <c r="G799" s="1"/>
      <c r="H799" s="1"/>
      <c r="I799" s="1"/>
      <c r="J799" s="1"/>
      <c r="K799" s="1"/>
      <c r="L799" s="1"/>
      <c r="M799" s="1"/>
      <c r="N799" s="1"/>
      <c r="O799" s="1"/>
      <c r="P799" s="1"/>
      <c r="Q799" s="1"/>
      <c r="R799" s="1"/>
      <c r="S799" s="1"/>
      <c r="T799" s="1"/>
      <c r="U799" s="2"/>
      <c r="V799" s="1"/>
      <c r="W799" s="1"/>
      <c r="X799" s="1"/>
      <c r="Y799" s="1"/>
      <c r="Z799" s="1"/>
    </row>
    <row r="800" spans="1:26" ht="24.75" customHeight="1">
      <c r="A800" s="1"/>
      <c r="B800" s="1"/>
      <c r="C800" s="1"/>
      <c r="D800" s="1"/>
      <c r="E800" s="1"/>
      <c r="F800" s="1"/>
      <c r="G800" s="1"/>
      <c r="H800" s="1"/>
      <c r="I800" s="1"/>
      <c r="J800" s="1"/>
      <c r="K800" s="1"/>
      <c r="L800" s="1"/>
      <c r="M800" s="1"/>
      <c r="N800" s="1"/>
      <c r="O800" s="1"/>
      <c r="P800" s="1"/>
      <c r="Q800" s="1"/>
      <c r="R800" s="1"/>
      <c r="S800" s="1"/>
      <c r="T800" s="1"/>
      <c r="U800" s="2"/>
      <c r="V800" s="1"/>
      <c r="W800" s="1"/>
      <c r="X800" s="1"/>
      <c r="Y800" s="1"/>
      <c r="Z800" s="1"/>
    </row>
    <row r="801" spans="1:26" ht="24.75" customHeight="1">
      <c r="A801" s="1"/>
      <c r="B801" s="1"/>
      <c r="C801" s="1"/>
      <c r="D801" s="1"/>
      <c r="E801" s="1"/>
      <c r="F801" s="1"/>
      <c r="G801" s="1"/>
      <c r="H801" s="1"/>
      <c r="I801" s="1"/>
      <c r="J801" s="1"/>
      <c r="K801" s="1"/>
      <c r="L801" s="1"/>
      <c r="M801" s="1"/>
      <c r="N801" s="1"/>
      <c r="O801" s="1"/>
      <c r="P801" s="1"/>
      <c r="Q801" s="1"/>
      <c r="R801" s="1"/>
      <c r="S801" s="1"/>
      <c r="T801" s="1"/>
      <c r="U801" s="2"/>
      <c r="V801" s="1"/>
      <c r="W801" s="1"/>
      <c r="X801" s="1"/>
      <c r="Y801" s="1"/>
      <c r="Z801" s="1"/>
    </row>
    <row r="802" spans="1:26" ht="24.75" customHeight="1">
      <c r="A802" s="1"/>
      <c r="B802" s="1"/>
      <c r="C802" s="1"/>
      <c r="D802" s="1"/>
      <c r="E802" s="1"/>
      <c r="F802" s="1"/>
      <c r="G802" s="1"/>
      <c r="H802" s="1"/>
      <c r="I802" s="1"/>
      <c r="J802" s="1"/>
      <c r="K802" s="1"/>
      <c r="L802" s="1"/>
      <c r="M802" s="1"/>
      <c r="N802" s="1"/>
      <c r="O802" s="1"/>
      <c r="P802" s="1"/>
      <c r="Q802" s="1"/>
      <c r="R802" s="1"/>
      <c r="S802" s="1"/>
      <c r="T802" s="1"/>
      <c r="U802" s="2"/>
      <c r="V802" s="1"/>
      <c r="W802" s="1"/>
      <c r="X802" s="1"/>
      <c r="Y802" s="1"/>
      <c r="Z802" s="1"/>
    </row>
    <row r="803" spans="1:26" ht="24.75" customHeight="1">
      <c r="A803" s="1"/>
      <c r="B803" s="1"/>
      <c r="C803" s="1"/>
      <c r="D803" s="1"/>
      <c r="E803" s="1"/>
      <c r="F803" s="1"/>
      <c r="G803" s="1"/>
      <c r="H803" s="1"/>
      <c r="I803" s="1"/>
      <c r="J803" s="1"/>
      <c r="K803" s="1"/>
      <c r="L803" s="1"/>
      <c r="M803" s="1"/>
      <c r="N803" s="1"/>
      <c r="O803" s="1"/>
      <c r="P803" s="1"/>
      <c r="Q803" s="1"/>
      <c r="R803" s="1"/>
      <c r="S803" s="1"/>
      <c r="T803" s="1"/>
      <c r="U803" s="2"/>
      <c r="V803" s="1"/>
      <c r="W803" s="1"/>
      <c r="X803" s="1"/>
      <c r="Y803" s="1"/>
      <c r="Z803" s="1"/>
    </row>
    <row r="804" spans="1:26" ht="24.75" customHeight="1">
      <c r="A804" s="1"/>
      <c r="B804" s="1"/>
      <c r="C804" s="1"/>
      <c r="D804" s="1"/>
      <c r="E804" s="1"/>
      <c r="F804" s="1"/>
      <c r="G804" s="1"/>
      <c r="H804" s="1"/>
      <c r="I804" s="1"/>
      <c r="J804" s="1"/>
      <c r="K804" s="1"/>
      <c r="L804" s="1"/>
      <c r="M804" s="1"/>
      <c r="N804" s="1"/>
      <c r="O804" s="1"/>
      <c r="P804" s="1"/>
      <c r="Q804" s="1"/>
      <c r="R804" s="1"/>
      <c r="S804" s="1"/>
      <c r="T804" s="1"/>
      <c r="U804" s="2"/>
      <c r="V804" s="1"/>
      <c r="W804" s="1"/>
      <c r="X804" s="1"/>
      <c r="Y804" s="1"/>
      <c r="Z804" s="1"/>
    </row>
    <row r="805" spans="1:26" ht="24.75" customHeight="1">
      <c r="A805" s="1"/>
      <c r="B805" s="1"/>
      <c r="C805" s="1"/>
      <c r="D805" s="1"/>
      <c r="E805" s="1"/>
      <c r="F805" s="1"/>
      <c r="G805" s="1"/>
      <c r="H805" s="1"/>
      <c r="I805" s="1"/>
      <c r="J805" s="1"/>
      <c r="K805" s="1"/>
      <c r="L805" s="1"/>
      <c r="M805" s="1"/>
      <c r="N805" s="1"/>
      <c r="O805" s="1"/>
      <c r="P805" s="1"/>
      <c r="Q805" s="1"/>
      <c r="R805" s="1"/>
      <c r="S805" s="1"/>
      <c r="T805" s="1"/>
      <c r="U805" s="2"/>
      <c r="V805" s="1"/>
      <c r="W805" s="1"/>
      <c r="X805" s="1"/>
      <c r="Y805" s="1"/>
      <c r="Z805" s="1"/>
    </row>
    <row r="806" spans="1:26" ht="24.75" customHeight="1">
      <c r="A806" s="1"/>
      <c r="B806" s="1"/>
      <c r="C806" s="1"/>
      <c r="D806" s="1"/>
      <c r="E806" s="1"/>
      <c r="F806" s="1"/>
      <c r="G806" s="1"/>
      <c r="H806" s="1"/>
      <c r="I806" s="1"/>
      <c r="J806" s="1"/>
      <c r="K806" s="1"/>
      <c r="L806" s="1"/>
      <c r="M806" s="1"/>
      <c r="N806" s="1"/>
      <c r="O806" s="1"/>
      <c r="P806" s="1"/>
      <c r="Q806" s="1"/>
      <c r="R806" s="1"/>
      <c r="S806" s="1"/>
      <c r="T806" s="1"/>
      <c r="U806" s="2"/>
      <c r="V806" s="1"/>
      <c r="W806" s="1"/>
      <c r="X806" s="1"/>
      <c r="Y806" s="1"/>
      <c r="Z806" s="1"/>
    </row>
    <row r="807" spans="1:26" ht="24.75" customHeight="1">
      <c r="A807" s="1"/>
      <c r="B807" s="1"/>
      <c r="C807" s="1"/>
      <c r="D807" s="1"/>
      <c r="E807" s="1"/>
      <c r="F807" s="1"/>
      <c r="G807" s="1"/>
      <c r="H807" s="1"/>
      <c r="I807" s="1"/>
      <c r="J807" s="1"/>
      <c r="K807" s="1"/>
      <c r="L807" s="1"/>
      <c r="M807" s="1"/>
      <c r="N807" s="1"/>
      <c r="O807" s="1"/>
      <c r="P807" s="1"/>
      <c r="Q807" s="1"/>
      <c r="R807" s="1"/>
      <c r="S807" s="1"/>
      <c r="T807" s="1"/>
      <c r="U807" s="2"/>
      <c r="V807" s="1"/>
      <c r="W807" s="1"/>
      <c r="X807" s="1"/>
      <c r="Y807" s="1"/>
      <c r="Z807" s="1"/>
    </row>
    <row r="808" spans="1:26" ht="24.75" customHeight="1">
      <c r="A808" s="1"/>
      <c r="B808" s="1"/>
      <c r="C808" s="1"/>
      <c r="D808" s="1"/>
      <c r="E808" s="1"/>
      <c r="F808" s="1"/>
      <c r="G808" s="1"/>
      <c r="H808" s="1"/>
      <c r="I808" s="1"/>
      <c r="J808" s="1"/>
      <c r="K808" s="1"/>
      <c r="L808" s="1"/>
      <c r="M808" s="1"/>
      <c r="N808" s="1"/>
      <c r="O808" s="1"/>
      <c r="P808" s="1"/>
      <c r="Q808" s="1"/>
      <c r="R808" s="1"/>
      <c r="S808" s="1"/>
      <c r="T808" s="1"/>
      <c r="U808" s="2"/>
      <c r="V808" s="1"/>
      <c r="W808" s="1"/>
      <c r="X808" s="1"/>
      <c r="Y808" s="1"/>
      <c r="Z808" s="1"/>
    </row>
    <row r="809" spans="1:26" ht="24.75" customHeight="1">
      <c r="A809" s="1"/>
      <c r="B809" s="1"/>
      <c r="C809" s="1"/>
      <c r="D809" s="1"/>
      <c r="E809" s="1"/>
      <c r="F809" s="1"/>
      <c r="G809" s="1"/>
      <c r="H809" s="1"/>
      <c r="I809" s="1"/>
      <c r="J809" s="1"/>
      <c r="K809" s="1"/>
      <c r="L809" s="1"/>
      <c r="M809" s="1"/>
      <c r="N809" s="1"/>
      <c r="O809" s="1"/>
      <c r="P809" s="1"/>
      <c r="Q809" s="1"/>
      <c r="R809" s="1"/>
      <c r="S809" s="1"/>
      <c r="T809" s="1"/>
      <c r="U809" s="2"/>
      <c r="V809" s="1"/>
      <c r="W809" s="1"/>
      <c r="X809" s="1"/>
      <c r="Y809" s="1"/>
      <c r="Z809" s="1"/>
    </row>
    <row r="810" spans="1:26" ht="24.75" customHeight="1">
      <c r="A810" s="1"/>
      <c r="B810" s="1"/>
      <c r="C810" s="1"/>
      <c r="D810" s="1"/>
      <c r="E810" s="1"/>
      <c r="F810" s="1"/>
      <c r="G810" s="1"/>
      <c r="H810" s="1"/>
      <c r="I810" s="1"/>
      <c r="J810" s="1"/>
      <c r="K810" s="1"/>
      <c r="L810" s="1"/>
      <c r="M810" s="1"/>
      <c r="N810" s="1"/>
      <c r="O810" s="1"/>
      <c r="P810" s="1"/>
      <c r="Q810" s="1"/>
      <c r="R810" s="1"/>
      <c r="S810" s="1"/>
      <c r="T810" s="1"/>
      <c r="U810" s="2"/>
      <c r="V810" s="1"/>
      <c r="W810" s="1"/>
      <c r="X810" s="1"/>
      <c r="Y810" s="1"/>
      <c r="Z810" s="1"/>
    </row>
    <row r="811" spans="1:26" ht="24.75" customHeight="1">
      <c r="A811" s="1"/>
      <c r="B811" s="1"/>
      <c r="C811" s="1"/>
      <c r="D811" s="1"/>
      <c r="E811" s="1"/>
      <c r="F811" s="1"/>
      <c r="G811" s="1"/>
      <c r="H811" s="1"/>
      <c r="I811" s="1"/>
      <c r="J811" s="1"/>
      <c r="K811" s="1"/>
      <c r="L811" s="1"/>
      <c r="M811" s="1"/>
      <c r="N811" s="1"/>
      <c r="O811" s="1"/>
      <c r="P811" s="1"/>
      <c r="Q811" s="1"/>
      <c r="R811" s="1"/>
      <c r="S811" s="1"/>
      <c r="T811" s="1"/>
      <c r="U811" s="2"/>
      <c r="V811" s="1"/>
      <c r="W811" s="1"/>
      <c r="X811" s="1"/>
      <c r="Y811" s="1"/>
      <c r="Z811" s="1"/>
    </row>
    <row r="812" spans="1:26" ht="24.75" customHeight="1">
      <c r="A812" s="1"/>
      <c r="B812" s="1"/>
      <c r="C812" s="1"/>
      <c r="D812" s="1"/>
      <c r="E812" s="1"/>
      <c r="F812" s="1"/>
      <c r="G812" s="1"/>
      <c r="H812" s="1"/>
      <c r="I812" s="1"/>
      <c r="J812" s="1"/>
      <c r="K812" s="1"/>
      <c r="L812" s="1"/>
      <c r="M812" s="1"/>
      <c r="N812" s="1"/>
      <c r="O812" s="1"/>
      <c r="P812" s="1"/>
      <c r="Q812" s="1"/>
      <c r="R812" s="1"/>
      <c r="S812" s="1"/>
      <c r="T812" s="1"/>
      <c r="U812" s="2"/>
      <c r="V812" s="1"/>
      <c r="W812" s="1"/>
      <c r="X812" s="1"/>
      <c r="Y812" s="1"/>
      <c r="Z812" s="1"/>
    </row>
    <row r="813" spans="1:26" ht="24.75" customHeight="1">
      <c r="A813" s="1"/>
      <c r="B813" s="1"/>
      <c r="C813" s="1"/>
      <c r="D813" s="1"/>
      <c r="E813" s="1"/>
      <c r="F813" s="1"/>
      <c r="G813" s="1"/>
      <c r="H813" s="1"/>
      <c r="I813" s="1"/>
      <c r="J813" s="1"/>
      <c r="K813" s="1"/>
      <c r="L813" s="1"/>
      <c r="M813" s="1"/>
      <c r="N813" s="1"/>
      <c r="O813" s="1"/>
      <c r="P813" s="1"/>
      <c r="Q813" s="1"/>
      <c r="R813" s="1"/>
      <c r="S813" s="1"/>
      <c r="T813" s="1"/>
      <c r="U813" s="2"/>
      <c r="V813" s="1"/>
      <c r="W813" s="1"/>
      <c r="X813" s="1"/>
      <c r="Y813" s="1"/>
      <c r="Z813" s="1"/>
    </row>
    <row r="814" spans="1:26" ht="24.75" customHeight="1">
      <c r="A814" s="1"/>
      <c r="B814" s="1"/>
      <c r="C814" s="1"/>
      <c r="D814" s="1"/>
      <c r="E814" s="1"/>
      <c r="F814" s="1"/>
      <c r="G814" s="1"/>
      <c r="H814" s="1"/>
      <c r="I814" s="1"/>
      <c r="J814" s="1"/>
      <c r="K814" s="1"/>
      <c r="L814" s="1"/>
      <c r="M814" s="1"/>
      <c r="N814" s="1"/>
      <c r="O814" s="1"/>
      <c r="P814" s="1"/>
      <c r="Q814" s="1"/>
      <c r="R814" s="1"/>
      <c r="S814" s="1"/>
      <c r="T814" s="1"/>
      <c r="U814" s="2"/>
      <c r="V814" s="1"/>
      <c r="W814" s="1"/>
      <c r="X814" s="1"/>
      <c r="Y814" s="1"/>
      <c r="Z814" s="1"/>
    </row>
    <row r="815" spans="1:26" ht="24.75" customHeight="1">
      <c r="A815" s="1"/>
      <c r="B815" s="1"/>
      <c r="C815" s="1"/>
      <c r="D815" s="1"/>
      <c r="E815" s="1"/>
      <c r="F815" s="1"/>
      <c r="G815" s="1"/>
      <c r="H815" s="1"/>
      <c r="I815" s="1"/>
      <c r="J815" s="1"/>
      <c r="K815" s="1"/>
      <c r="L815" s="1"/>
      <c r="M815" s="1"/>
      <c r="N815" s="1"/>
      <c r="O815" s="1"/>
      <c r="P815" s="1"/>
      <c r="Q815" s="1"/>
      <c r="R815" s="1"/>
      <c r="S815" s="1"/>
      <c r="T815" s="1"/>
      <c r="U815" s="2"/>
      <c r="V815" s="1"/>
      <c r="W815" s="1"/>
      <c r="X815" s="1"/>
      <c r="Y815" s="1"/>
      <c r="Z815" s="1"/>
    </row>
    <row r="816" spans="1:26" ht="24.75" customHeight="1">
      <c r="A816" s="1"/>
      <c r="B816" s="1"/>
      <c r="C816" s="1"/>
      <c r="D816" s="1"/>
      <c r="E816" s="1"/>
      <c r="F816" s="1"/>
      <c r="G816" s="1"/>
      <c r="H816" s="1"/>
      <c r="I816" s="1"/>
      <c r="J816" s="1"/>
      <c r="K816" s="1"/>
      <c r="L816" s="1"/>
      <c r="M816" s="1"/>
      <c r="N816" s="1"/>
      <c r="O816" s="1"/>
      <c r="P816" s="1"/>
      <c r="Q816" s="1"/>
      <c r="R816" s="1"/>
      <c r="S816" s="1"/>
      <c r="T816" s="1"/>
      <c r="U816" s="2"/>
      <c r="V816" s="1"/>
      <c r="W816" s="1"/>
      <c r="X816" s="1"/>
      <c r="Y816" s="1"/>
      <c r="Z816" s="1"/>
    </row>
    <row r="817" spans="1:26" ht="24.75" customHeight="1">
      <c r="A817" s="1"/>
      <c r="B817" s="1"/>
      <c r="C817" s="1"/>
      <c r="D817" s="1"/>
      <c r="E817" s="1"/>
      <c r="F817" s="1"/>
      <c r="G817" s="1"/>
      <c r="H817" s="1"/>
      <c r="I817" s="1"/>
      <c r="J817" s="1"/>
      <c r="K817" s="1"/>
      <c r="L817" s="1"/>
      <c r="M817" s="1"/>
      <c r="N817" s="1"/>
      <c r="O817" s="1"/>
      <c r="P817" s="1"/>
      <c r="Q817" s="1"/>
      <c r="R817" s="1"/>
      <c r="S817" s="1"/>
      <c r="T817" s="1"/>
      <c r="U817" s="2"/>
      <c r="V817" s="1"/>
      <c r="W817" s="1"/>
      <c r="X817" s="1"/>
      <c r="Y817" s="1"/>
      <c r="Z817" s="1"/>
    </row>
    <row r="818" spans="1:26" ht="24.75" customHeight="1">
      <c r="A818" s="1"/>
      <c r="B818" s="1"/>
      <c r="C818" s="1"/>
      <c r="D818" s="1"/>
      <c r="E818" s="1"/>
      <c r="F818" s="1"/>
      <c r="G818" s="1"/>
      <c r="H818" s="1"/>
      <c r="I818" s="1"/>
      <c r="J818" s="1"/>
      <c r="K818" s="1"/>
      <c r="L818" s="1"/>
      <c r="M818" s="1"/>
      <c r="N818" s="1"/>
      <c r="O818" s="1"/>
      <c r="P818" s="1"/>
      <c r="Q818" s="1"/>
      <c r="R818" s="1"/>
      <c r="S818" s="1"/>
      <c r="T818" s="1"/>
      <c r="U818" s="2"/>
      <c r="V818" s="1"/>
      <c r="W818" s="1"/>
      <c r="X818" s="1"/>
      <c r="Y818" s="1"/>
      <c r="Z818" s="1"/>
    </row>
    <row r="819" spans="1:26" ht="24.75" customHeight="1">
      <c r="A819" s="1"/>
      <c r="B819" s="1"/>
      <c r="C819" s="1"/>
      <c r="D819" s="1"/>
      <c r="E819" s="1"/>
      <c r="F819" s="1"/>
      <c r="G819" s="1"/>
      <c r="H819" s="1"/>
      <c r="I819" s="1"/>
      <c r="J819" s="1"/>
      <c r="K819" s="1"/>
      <c r="L819" s="1"/>
      <c r="M819" s="1"/>
      <c r="N819" s="1"/>
      <c r="O819" s="1"/>
      <c r="P819" s="1"/>
      <c r="Q819" s="1"/>
      <c r="R819" s="1"/>
      <c r="S819" s="1"/>
      <c r="T819" s="1"/>
      <c r="U819" s="2"/>
      <c r="V819" s="1"/>
      <c r="W819" s="1"/>
      <c r="X819" s="1"/>
      <c r="Y819" s="1"/>
      <c r="Z819" s="1"/>
    </row>
    <row r="820" spans="1:26" ht="24.75" customHeight="1">
      <c r="A820" s="1"/>
      <c r="B820" s="1"/>
      <c r="C820" s="1"/>
      <c r="D820" s="1"/>
      <c r="E820" s="1"/>
      <c r="F820" s="1"/>
      <c r="G820" s="1"/>
      <c r="H820" s="1"/>
      <c r="I820" s="1"/>
      <c r="J820" s="1"/>
      <c r="K820" s="1"/>
      <c r="L820" s="1"/>
      <c r="M820" s="1"/>
      <c r="N820" s="1"/>
      <c r="O820" s="1"/>
      <c r="P820" s="1"/>
      <c r="Q820" s="1"/>
      <c r="R820" s="1"/>
      <c r="S820" s="1"/>
      <c r="T820" s="1"/>
      <c r="U820" s="2"/>
      <c r="V820" s="1"/>
      <c r="W820" s="1"/>
      <c r="X820" s="1"/>
      <c r="Y820" s="1"/>
      <c r="Z820" s="1"/>
    </row>
    <row r="821" spans="1:26" ht="24.75" customHeight="1">
      <c r="A821" s="1"/>
      <c r="B821" s="1"/>
      <c r="C821" s="1"/>
      <c r="D821" s="1"/>
      <c r="E821" s="1"/>
      <c r="F821" s="1"/>
      <c r="G821" s="1"/>
      <c r="H821" s="1"/>
      <c r="I821" s="1"/>
      <c r="J821" s="1"/>
      <c r="K821" s="1"/>
      <c r="L821" s="1"/>
      <c r="M821" s="1"/>
      <c r="N821" s="1"/>
      <c r="O821" s="1"/>
      <c r="P821" s="1"/>
      <c r="Q821" s="1"/>
      <c r="R821" s="1"/>
      <c r="S821" s="1"/>
      <c r="T821" s="1"/>
      <c r="U821" s="2"/>
      <c r="V821" s="1"/>
      <c r="W821" s="1"/>
      <c r="X821" s="1"/>
      <c r="Y821" s="1"/>
      <c r="Z821" s="1"/>
    </row>
    <row r="822" spans="1:26" ht="24.75" customHeight="1">
      <c r="A822" s="1"/>
      <c r="B822" s="1"/>
      <c r="C822" s="1"/>
      <c r="D822" s="1"/>
      <c r="E822" s="1"/>
      <c r="F822" s="1"/>
      <c r="G822" s="1"/>
      <c r="H822" s="1"/>
      <c r="I822" s="1"/>
      <c r="J822" s="1"/>
      <c r="K822" s="1"/>
      <c r="L822" s="1"/>
      <c r="M822" s="1"/>
      <c r="N822" s="1"/>
      <c r="O822" s="1"/>
      <c r="P822" s="1"/>
      <c r="Q822" s="1"/>
      <c r="R822" s="1"/>
      <c r="S822" s="1"/>
      <c r="T822" s="1"/>
      <c r="U822" s="2"/>
      <c r="V822" s="1"/>
      <c r="W822" s="1"/>
      <c r="X822" s="1"/>
      <c r="Y822" s="1"/>
      <c r="Z822" s="1"/>
    </row>
    <row r="823" spans="1:26" ht="24.75" customHeight="1">
      <c r="A823" s="1"/>
      <c r="B823" s="1"/>
      <c r="C823" s="1"/>
      <c r="D823" s="1"/>
      <c r="E823" s="1"/>
      <c r="F823" s="1"/>
      <c r="G823" s="1"/>
      <c r="H823" s="1"/>
      <c r="I823" s="1"/>
      <c r="J823" s="1"/>
      <c r="K823" s="1"/>
      <c r="L823" s="1"/>
      <c r="M823" s="1"/>
      <c r="N823" s="1"/>
      <c r="O823" s="1"/>
      <c r="P823" s="1"/>
      <c r="Q823" s="1"/>
      <c r="R823" s="1"/>
      <c r="S823" s="1"/>
      <c r="T823" s="1"/>
      <c r="U823" s="2"/>
      <c r="V823" s="1"/>
      <c r="W823" s="1"/>
      <c r="X823" s="1"/>
      <c r="Y823" s="1"/>
      <c r="Z823" s="1"/>
    </row>
    <row r="824" spans="1:26" ht="24.75" customHeight="1">
      <c r="A824" s="1"/>
      <c r="B824" s="1"/>
      <c r="C824" s="1"/>
      <c r="D824" s="1"/>
      <c r="E824" s="1"/>
      <c r="F824" s="1"/>
      <c r="G824" s="1"/>
      <c r="H824" s="1"/>
      <c r="I824" s="1"/>
      <c r="J824" s="1"/>
      <c r="K824" s="1"/>
      <c r="L824" s="1"/>
      <c r="M824" s="1"/>
      <c r="N824" s="1"/>
      <c r="O824" s="1"/>
      <c r="P824" s="1"/>
      <c r="Q824" s="1"/>
      <c r="R824" s="1"/>
      <c r="S824" s="1"/>
      <c r="T824" s="1"/>
      <c r="U824" s="2"/>
      <c r="V824" s="1"/>
      <c r="W824" s="1"/>
      <c r="X824" s="1"/>
      <c r="Y824" s="1"/>
      <c r="Z824" s="1"/>
    </row>
    <row r="825" spans="1:26" ht="24.75" customHeight="1">
      <c r="A825" s="1"/>
      <c r="B825" s="1"/>
      <c r="C825" s="1"/>
      <c r="D825" s="1"/>
      <c r="E825" s="1"/>
      <c r="F825" s="1"/>
      <c r="G825" s="1"/>
      <c r="H825" s="1"/>
      <c r="I825" s="1"/>
      <c r="J825" s="1"/>
      <c r="K825" s="1"/>
      <c r="L825" s="1"/>
      <c r="M825" s="1"/>
      <c r="N825" s="1"/>
      <c r="O825" s="1"/>
      <c r="P825" s="1"/>
      <c r="Q825" s="1"/>
      <c r="R825" s="1"/>
      <c r="S825" s="1"/>
      <c r="T825" s="1"/>
      <c r="U825" s="2"/>
      <c r="V825" s="1"/>
      <c r="W825" s="1"/>
      <c r="X825" s="1"/>
      <c r="Y825" s="1"/>
      <c r="Z825" s="1"/>
    </row>
    <row r="826" spans="1:26" ht="24.75" customHeight="1">
      <c r="A826" s="1"/>
      <c r="B826" s="1"/>
      <c r="C826" s="1"/>
      <c r="D826" s="1"/>
      <c r="E826" s="1"/>
      <c r="F826" s="1"/>
      <c r="G826" s="1"/>
      <c r="H826" s="1"/>
      <c r="I826" s="1"/>
      <c r="J826" s="1"/>
      <c r="K826" s="1"/>
      <c r="L826" s="1"/>
      <c r="M826" s="1"/>
      <c r="N826" s="1"/>
      <c r="O826" s="1"/>
      <c r="P826" s="1"/>
      <c r="Q826" s="1"/>
      <c r="R826" s="1"/>
      <c r="S826" s="1"/>
      <c r="T826" s="1"/>
      <c r="U826" s="2"/>
      <c r="V826" s="1"/>
      <c r="W826" s="1"/>
      <c r="X826" s="1"/>
      <c r="Y826" s="1"/>
      <c r="Z826" s="1"/>
    </row>
    <row r="827" spans="1:26" ht="24.75" customHeight="1">
      <c r="A827" s="1"/>
      <c r="B827" s="1"/>
      <c r="C827" s="1"/>
      <c r="D827" s="1"/>
      <c r="E827" s="1"/>
      <c r="F827" s="1"/>
      <c r="G827" s="1"/>
      <c r="H827" s="1"/>
      <c r="I827" s="1"/>
      <c r="J827" s="1"/>
      <c r="K827" s="1"/>
      <c r="L827" s="1"/>
      <c r="M827" s="1"/>
      <c r="N827" s="1"/>
      <c r="O827" s="1"/>
      <c r="P827" s="1"/>
      <c r="Q827" s="1"/>
      <c r="R827" s="1"/>
      <c r="S827" s="1"/>
      <c r="T827" s="1"/>
      <c r="U827" s="2"/>
      <c r="V827" s="1"/>
      <c r="W827" s="1"/>
      <c r="X827" s="1"/>
      <c r="Y827" s="1"/>
      <c r="Z827" s="1"/>
    </row>
    <row r="828" spans="1:26" ht="24.75" customHeight="1">
      <c r="A828" s="1"/>
      <c r="B828" s="1"/>
      <c r="C828" s="1"/>
      <c r="D828" s="1"/>
      <c r="E828" s="1"/>
      <c r="F828" s="1"/>
      <c r="G828" s="1"/>
      <c r="H828" s="1"/>
      <c r="I828" s="1"/>
      <c r="J828" s="1"/>
      <c r="K828" s="1"/>
      <c r="L828" s="1"/>
      <c r="M828" s="1"/>
      <c r="N828" s="1"/>
      <c r="O828" s="1"/>
      <c r="P828" s="1"/>
      <c r="Q828" s="1"/>
      <c r="R828" s="1"/>
      <c r="S828" s="1"/>
      <c r="T828" s="1"/>
      <c r="U828" s="2"/>
      <c r="V828" s="1"/>
      <c r="W828" s="1"/>
      <c r="X828" s="1"/>
      <c r="Y828" s="1"/>
      <c r="Z828" s="1"/>
    </row>
    <row r="829" spans="1:26" ht="24.75" customHeight="1">
      <c r="A829" s="1"/>
      <c r="B829" s="1"/>
      <c r="C829" s="1"/>
      <c r="D829" s="1"/>
      <c r="E829" s="1"/>
      <c r="F829" s="1"/>
      <c r="G829" s="1"/>
      <c r="H829" s="1"/>
      <c r="I829" s="1"/>
      <c r="J829" s="1"/>
      <c r="K829" s="1"/>
      <c r="L829" s="1"/>
      <c r="M829" s="1"/>
      <c r="N829" s="1"/>
      <c r="O829" s="1"/>
      <c r="P829" s="1"/>
      <c r="Q829" s="1"/>
      <c r="R829" s="1"/>
      <c r="S829" s="1"/>
      <c r="T829" s="1"/>
      <c r="U829" s="2"/>
      <c r="V829" s="1"/>
      <c r="W829" s="1"/>
      <c r="X829" s="1"/>
      <c r="Y829" s="1"/>
      <c r="Z829" s="1"/>
    </row>
    <row r="830" spans="1:26" ht="24.75" customHeight="1">
      <c r="A830" s="1"/>
      <c r="B830" s="1"/>
      <c r="C830" s="1"/>
      <c r="D830" s="1"/>
      <c r="E830" s="1"/>
      <c r="F830" s="1"/>
      <c r="G830" s="1"/>
      <c r="H830" s="1"/>
      <c r="I830" s="1"/>
      <c r="J830" s="1"/>
      <c r="K830" s="1"/>
      <c r="L830" s="1"/>
      <c r="M830" s="1"/>
      <c r="N830" s="1"/>
      <c r="O830" s="1"/>
      <c r="P830" s="1"/>
      <c r="Q830" s="1"/>
      <c r="R830" s="1"/>
      <c r="S830" s="1"/>
      <c r="T830" s="1"/>
      <c r="U830" s="2"/>
      <c r="V830" s="1"/>
      <c r="W830" s="1"/>
      <c r="X830" s="1"/>
      <c r="Y830" s="1"/>
      <c r="Z830" s="1"/>
    </row>
    <row r="831" spans="1:26" ht="24.75" customHeight="1">
      <c r="A831" s="1"/>
      <c r="B831" s="1"/>
      <c r="C831" s="1"/>
      <c r="D831" s="1"/>
      <c r="E831" s="1"/>
      <c r="F831" s="1"/>
      <c r="G831" s="1"/>
      <c r="H831" s="1"/>
      <c r="I831" s="1"/>
      <c r="J831" s="1"/>
      <c r="K831" s="1"/>
      <c r="L831" s="1"/>
      <c r="M831" s="1"/>
      <c r="N831" s="1"/>
      <c r="O831" s="1"/>
      <c r="P831" s="1"/>
      <c r="Q831" s="1"/>
      <c r="R831" s="1"/>
      <c r="S831" s="1"/>
      <c r="T831" s="1"/>
      <c r="U831" s="2"/>
      <c r="V831" s="1"/>
      <c r="W831" s="1"/>
      <c r="X831" s="1"/>
      <c r="Y831" s="1"/>
      <c r="Z831" s="1"/>
    </row>
    <row r="832" spans="1:26" ht="24.75" customHeight="1">
      <c r="A832" s="1"/>
      <c r="B832" s="1"/>
      <c r="C832" s="1"/>
      <c r="D832" s="1"/>
      <c r="E832" s="1"/>
      <c r="F832" s="1"/>
      <c r="G832" s="1"/>
      <c r="H832" s="1"/>
      <c r="I832" s="1"/>
      <c r="J832" s="1"/>
      <c r="K832" s="1"/>
      <c r="L832" s="1"/>
      <c r="M832" s="1"/>
      <c r="N832" s="1"/>
      <c r="O832" s="1"/>
      <c r="P832" s="1"/>
      <c r="Q832" s="1"/>
      <c r="R832" s="1"/>
      <c r="S832" s="1"/>
      <c r="T832" s="1"/>
      <c r="U832" s="2"/>
      <c r="V832" s="1"/>
      <c r="W832" s="1"/>
      <c r="X832" s="1"/>
      <c r="Y832" s="1"/>
      <c r="Z832" s="1"/>
    </row>
    <row r="833" spans="1:26" ht="24.75" customHeight="1">
      <c r="A833" s="1"/>
      <c r="B833" s="1"/>
      <c r="C833" s="1"/>
      <c r="D833" s="1"/>
      <c r="E833" s="1"/>
      <c r="F833" s="1"/>
      <c r="G833" s="1"/>
      <c r="H833" s="1"/>
      <c r="I833" s="1"/>
      <c r="J833" s="1"/>
      <c r="K833" s="1"/>
      <c r="L833" s="1"/>
      <c r="M833" s="1"/>
      <c r="N833" s="1"/>
      <c r="O833" s="1"/>
      <c r="P833" s="1"/>
      <c r="Q833" s="1"/>
      <c r="R833" s="1"/>
      <c r="S833" s="1"/>
      <c r="T833" s="1"/>
      <c r="U833" s="2"/>
      <c r="V833" s="1"/>
      <c r="W833" s="1"/>
      <c r="X833" s="1"/>
      <c r="Y833" s="1"/>
      <c r="Z833" s="1"/>
    </row>
    <row r="834" spans="1:26" ht="24.75" customHeight="1">
      <c r="A834" s="1"/>
      <c r="B834" s="1"/>
      <c r="C834" s="1"/>
      <c r="D834" s="1"/>
      <c r="E834" s="1"/>
      <c r="F834" s="1"/>
      <c r="G834" s="1"/>
      <c r="H834" s="1"/>
      <c r="I834" s="1"/>
      <c r="J834" s="1"/>
      <c r="K834" s="1"/>
      <c r="L834" s="1"/>
      <c r="M834" s="1"/>
      <c r="N834" s="1"/>
      <c r="O834" s="1"/>
      <c r="P834" s="1"/>
      <c r="Q834" s="1"/>
      <c r="R834" s="1"/>
      <c r="S834" s="1"/>
      <c r="T834" s="1"/>
      <c r="U834" s="2"/>
      <c r="V834" s="1"/>
      <c r="W834" s="1"/>
      <c r="X834" s="1"/>
      <c r="Y834" s="1"/>
      <c r="Z834" s="1"/>
    </row>
    <row r="835" spans="1:26" ht="24.75" customHeight="1">
      <c r="A835" s="1"/>
      <c r="B835" s="1"/>
      <c r="C835" s="1"/>
      <c r="D835" s="1"/>
      <c r="E835" s="1"/>
      <c r="F835" s="1"/>
      <c r="G835" s="1"/>
      <c r="H835" s="1"/>
      <c r="I835" s="1"/>
      <c r="J835" s="1"/>
      <c r="K835" s="1"/>
      <c r="L835" s="1"/>
      <c r="M835" s="1"/>
      <c r="N835" s="1"/>
      <c r="O835" s="1"/>
      <c r="P835" s="1"/>
      <c r="Q835" s="1"/>
      <c r="R835" s="1"/>
      <c r="S835" s="1"/>
      <c r="T835" s="1"/>
      <c r="U835" s="2"/>
      <c r="V835" s="1"/>
      <c r="W835" s="1"/>
      <c r="X835" s="1"/>
      <c r="Y835" s="1"/>
      <c r="Z835" s="1"/>
    </row>
    <row r="836" spans="1:26" ht="24.75" customHeight="1">
      <c r="A836" s="1"/>
      <c r="B836" s="1"/>
      <c r="C836" s="1"/>
      <c r="D836" s="1"/>
      <c r="E836" s="1"/>
      <c r="F836" s="1"/>
      <c r="G836" s="1"/>
      <c r="H836" s="1"/>
      <c r="I836" s="1"/>
      <c r="J836" s="1"/>
      <c r="K836" s="1"/>
      <c r="L836" s="1"/>
      <c r="M836" s="1"/>
      <c r="N836" s="1"/>
      <c r="O836" s="1"/>
      <c r="P836" s="1"/>
      <c r="Q836" s="1"/>
      <c r="R836" s="1"/>
      <c r="S836" s="1"/>
      <c r="T836" s="1"/>
      <c r="U836" s="2"/>
      <c r="V836" s="1"/>
      <c r="W836" s="1"/>
      <c r="X836" s="1"/>
      <c r="Y836" s="1"/>
      <c r="Z836" s="1"/>
    </row>
    <row r="837" spans="1:26" ht="24.75" customHeight="1">
      <c r="A837" s="1"/>
      <c r="B837" s="1"/>
      <c r="C837" s="1"/>
      <c r="D837" s="1"/>
      <c r="E837" s="1"/>
      <c r="F837" s="1"/>
      <c r="G837" s="1"/>
      <c r="H837" s="1"/>
      <c r="I837" s="1"/>
      <c r="J837" s="1"/>
      <c r="K837" s="1"/>
      <c r="L837" s="1"/>
      <c r="M837" s="1"/>
      <c r="N837" s="1"/>
      <c r="O837" s="1"/>
      <c r="P837" s="1"/>
      <c r="Q837" s="1"/>
      <c r="R837" s="1"/>
      <c r="S837" s="1"/>
      <c r="T837" s="1"/>
      <c r="U837" s="2"/>
      <c r="V837" s="1"/>
      <c r="W837" s="1"/>
      <c r="X837" s="1"/>
      <c r="Y837" s="1"/>
      <c r="Z837" s="1"/>
    </row>
    <row r="838" spans="1:26" ht="24.75" customHeight="1">
      <c r="A838" s="1"/>
      <c r="B838" s="1"/>
      <c r="C838" s="1"/>
      <c r="D838" s="1"/>
      <c r="E838" s="1"/>
      <c r="F838" s="1"/>
      <c r="G838" s="1"/>
      <c r="H838" s="1"/>
      <c r="I838" s="1"/>
      <c r="J838" s="1"/>
      <c r="K838" s="1"/>
      <c r="L838" s="1"/>
      <c r="M838" s="1"/>
      <c r="N838" s="1"/>
      <c r="O838" s="1"/>
      <c r="P838" s="1"/>
      <c r="Q838" s="1"/>
      <c r="R838" s="1"/>
      <c r="S838" s="1"/>
      <c r="T838" s="1"/>
      <c r="U838" s="2"/>
      <c r="V838" s="1"/>
      <c r="W838" s="1"/>
      <c r="X838" s="1"/>
      <c r="Y838" s="1"/>
      <c r="Z838" s="1"/>
    </row>
    <row r="839" spans="1:26" ht="24.75" customHeight="1">
      <c r="A839" s="1"/>
      <c r="B839" s="1"/>
      <c r="C839" s="1"/>
      <c r="D839" s="1"/>
      <c r="E839" s="1"/>
      <c r="F839" s="1"/>
      <c r="G839" s="1"/>
      <c r="H839" s="1"/>
      <c r="I839" s="1"/>
      <c r="J839" s="1"/>
      <c r="K839" s="1"/>
      <c r="L839" s="1"/>
      <c r="M839" s="1"/>
      <c r="N839" s="1"/>
      <c r="O839" s="1"/>
      <c r="P839" s="1"/>
      <c r="Q839" s="1"/>
      <c r="R839" s="1"/>
      <c r="S839" s="1"/>
      <c r="T839" s="1"/>
      <c r="U839" s="2"/>
      <c r="V839" s="1"/>
      <c r="W839" s="1"/>
      <c r="X839" s="1"/>
      <c r="Y839" s="1"/>
      <c r="Z839" s="1"/>
    </row>
    <row r="840" spans="1:26" ht="24.75" customHeight="1">
      <c r="A840" s="1"/>
      <c r="B840" s="1"/>
      <c r="C840" s="1"/>
      <c r="D840" s="1"/>
      <c r="E840" s="1"/>
      <c r="F840" s="1"/>
      <c r="G840" s="1"/>
      <c r="H840" s="1"/>
      <c r="I840" s="1"/>
      <c r="J840" s="1"/>
      <c r="K840" s="1"/>
      <c r="L840" s="1"/>
      <c r="M840" s="1"/>
      <c r="N840" s="1"/>
      <c r="O840" s="1"/>
      <c r="P840" s="1"/>
      <c r="Q840" s="1"/>
      <c r="R840" s="1"/>
      <c r="S840" s="1"/>
      <c r="T840" s="1"/>
      <c r="U840" s="2"/>
      <c r="V840" s="1"/>
      <c r="W840" s="1"/>
      <c r="X840" s="1"/>
      <c r="Y840" s="1"/>
      <c r="Z840" s="1"/>
    </row>
    <row r="841" spans="1:26" ht="24.75" customHeight="1">
      <c r="A841" s="1"/>
      <c r="B841" s="1"/>
      <c r="C841" s="1"/>
      <c r="D841" s="1"/>
      <c r="E841" s="1"/>
      <c r="F841" s="1"/>
      <c r="G841" s="1"/>
      <c r="H841" s="1"/>
      <c r="I841" s="1"/>
      <c r="J841" s="1"/>
      <c r="K841" s="1"/>
      <c r="L841" s="1"/>
      <c r="M841" s="1"/>
      <c r="N841" s="1"/>
      <c r="O841" s="1"/>
      <c r="P841" s="1"/>
      <c r="Q841" s="1"/>
      <c r="R841" s="1"/>
      <c r="S841" s="1"/>
      <c r="T841" s="1"/>
      <c r="U841" s="2"/>
      <c r="V841" s="1"/>
      <c r="W841" s="1"/>
      <c r="X841" s="1"/>
      <c r="Y841" s="1"/>
      <c r="Z841" s="1"/>
    </row>
    <row r="842" spans="1:26" ht="24.75" customHeight="1">
      <c r="A842" s="1"/>
      <c r="B842" s="1"/>
      <c r="C842" s="1"/>
      <c r="D842" s="1"/>
      <c r="E842" s="1"/>
      <c r="F842" s="1"/>
      <c r="G842" s="1"/>
      <c r="H842" s="1"/>
      <c r="I842" s="1"/>
      <c r="J842" s="1"/>
      <c r="K842" s="1"/>
      <c r="L842" s="1"/>
      <c r="M842" s="1"/>
      <c r="N842" s="1"/>
      <c r="O842" s="1"/>
      <c r="P842" s="1"/>
      <c r="Q842" s="1"/>
      <c r="R842" s="1"/>
      <c r="S842" s="1"/>
      <c r="T842" s="1"/>
      <c r="U842" s="2"/>
      <c r="V842" s="1"/>
      <c r="W842" s="1"/>
      <c r="X842" s="1"/>
      <c r="Y842" s="1"/>
      <c r="Z842" s="1"/>
    </row>
    <row r="843" spans="1:26" ht="24.75" customHeight="1">
      <c r="A843" s="1"/>
      <c r="B843" s="1"/>
      <c r="C843" s="1"/>
      <c r="D843" s="1"/>
      <c r="E843" s="1"/>
      <c r="F843" s="1"/>
      <c r="G843" s="1"/>
      <c r="H843" s="1"/>
      <c r="I843" s="1"/>
      <c r="J843" s="1"/>
      <c r="K843" s="1"/>
      <c r="L843" s="1"/>
      <c r="M843" s="1"/>
      <c r="N843" s="1"/>
      <c r="O843" s="1"/>
      <c r="P843" s="1"/>
      <c r="Q843" s="1"/>
      <c r="R843" s="1"/>
      <c r="S843" s="1"/>
      <c r="T843" s="1"/>
      <c r="U843" s="2"/>
      <c r="V843" s="1"/>
      <c r="W843" s="1"/>
      <c r="X843" s="1"/>
      <c r="Y843" s="1"/>
      <c r="Z843" s="1"/>
    </row>
    <row r="844" spans="1:26" ht="24.75" customHeight="1">
      <c r="A844" s="1"/>
      <c r="B844" s="1"/>
      <c r="C844" s="1"/>
      <c r="D844" s="1"/>
      <c r="E844" s="1"/>
      <c r="F844" s="1"/>
      <c r="G844" s="1"/>
      <c r="H844" s="1"/>
      <c r="I844" s="1"/>
      <c r="J844" s="1"/>
      <c r="K844" s="1"/>
      <c r="L844" s="1"/>
      <c r="M844" s="1"/>
      <c r="N844" s="1"/>
      <c r="O844" s="1"/>
      <c r="P844" s="1"/>
      <c r="Q844" s="1"/>
      <c r="R844" s="1"/>
      <c r="S844" s="1"/>
      <c r="T844" s="1"/>
      <c r="U844" s="2"/>
      <c r="V844" s="1"/>
      <c r="W844" s="1"/>
      <c r="X844" s="1"/>
      <c r="Y844" s="1"/>
      <c r="Z844" s="1"/>
    </row>
    <row r="845" spans="1:26" ht="24.75" customHeight="1">
      <c r="A845" s="1"/>
      <c r="B845" s="1"/>
      <c r="C845" s="1"/>
      <c r="D845" s="1"/>
      <c r="E845" s="1"/>
      <c r="F845" s="1"/>
      <c r="G845" s="1"/>
      <c r="H845" s="1"/>
      <c r="I845" s="1"/>
      <c r="J845" s="1"/>
      <c r="K845" s="1"/>
      <c r="L845" s="1"/>
      <c r="M845" s="1"/>
      <c r="N845" s="1"/>
      <c r="O845" s="1"/>
      <c r="P845" s="1"/>
      <c r="Q845" s="1"/>
      <c r="R845" s="1"/>
      <c r="S845" s="1"/>
      <c r="T845" s="1"/>
      <c r="U845" s="2"/>
      <c r="V845" s="1"/>
      <c r="W845" s="1"/>
      <c r="X845" s="1"/>
      <c r="Y845" s="1"/>
      <c r="Z845" s="1"/>
    </row>
    <row r="846" spans="1:26" ht="24.75" customHeight="1">
      <c r="A846" s="1"/>
      <c r="B846" s="1"/>
      <c r="C846" s="1"/>
      <c r="D846" s="1"/>
      <c r="E846" s="1"/>
      <c r="F846" s="1"/>
      <c r="G846" s="1"/>
      <c r="H846" s="1"/>
      <c r="I846" s="1"/>
      <c r="J846" s="1"/>
      <c r="K846" s="1"/>
      <c r="L846" s="1"/>
      <c r="M846" s="1"/>
      <c r="N846" s="1"/>
      <c r="O846" s="1"/>
      <c r="P846" s="1"/>
      <c r="Q846" s="1"/>
      <c r="R846" s="1"/>
      <c r="S846" s="1"/>
      <c r="T846" s="1"/>
      <c r="U846" s="2"/>
      <c r="V846" s="1"/>
      <c r="W846" s="1"/>
      <c r="X846" s="1"/>
      <c r="Y846" s="1"/>
      <c r="Z846" s="1"/>
    </row>
    <row r="847" spans="1:26" ht="24.75" customHeight="1">
      <c r="A847" s="1"/>
      <c r="B847" s="1"/>
      <c r="C847" s="1"/>
      <c r="D847" s="1"/>
      <c r="E847" s="1"/>
      <c r="F847" s="1"/>
      <c r="G847" s="1"/>
      <c r="H847" s="1"/>
      <c r="I847" s="1"/>
      <c r="J847" s="1"/>
      <c r="K847" s="1"/>
      <c r="L847" s="1"/>
      <c r="M847" s="1"/>
      <c r="N847" s="1"/>
      <c r="O847" s="1"/>
      <c r="P847" s="1"/>
      <c r="Q847" s="1"/>
      <c r="R847" s="1"/>
      <c r="S847" s="1"/>
      <c r="T847" s="1"/>
      <c r="U847" s="2"/>
      <c r="V847" s="1"/>
      <c r="W847" s="1"/>
      <c r="X847" s="1"/>
      <c r="Y847" s="1"/>
      <c r="Z847" s="1"/>
    </row>
    <row r="848" spans="1:26" ht="24.75" customHeight="1">
      <c r="A848" s="1"/>
      <c r="B848" s="1"/>
      <c r="C848" s="1"/>
      <c r="D848" s="1"/>
      <c r="E848" s="1"/>
      <c r="F848" s="1"/>
      <c r="G848" s="1"/>
      <c r="H848" s="1"/>
      <c r="I848" s="1"/>
      <c r="J848" s="1"/>
      <c r="K848" s="1"/>
      <c r="L848" s="1"/>
      <c r="M848" s="1"/>
      <c r="N848" s="1"/>
      <c r="O848" s="1"/>
      <c r="P848" s="1"/>
      <c r="Q848" s="1"/>
      <c r="R848" s="1"/>
      <c r="S848" s="1"/>
      <c r="T848" s="1"/>
      <c r="U848" s="2"/>
      <c r="V848" s="1"/>
      <c r="W848" s="1"/>
      <c r="X848" s="1"/>
      <c r="Y848" s="1"/>
      <c r="Z848" s="1"/>
    </row>
    <row r="849" spans="1:26" ht="24.75" customHeight="1">
      <c r="A849" s="1"/>
      <c r="B849" s="1"/>
      <c r="C849" s="1"/>
      <c r="D849" s="1"/>
      <c r="E849" s="1"/>
      <c r="F849" s="1"/>
      <c r="G849" s="1"/>
      <c r="H849" s="1"/>
      <c r="I849" s="1"/>
      <c r="J849" s="1"/>
      <c r="K849" s="1"/>
      <c r="L849" s="1"/>
      <c r="M849" s="1"/>
      <c r="N849" s="1"/>
      <c r="O849" s="1"/>
      <c r="P849" s="1"/>
      <c r="Q849" s="1"/>
      <c r="R849" s="1"/>
      <c r="S849" s="1"/>
      <c r="T849" s="1"/>
      <c r="U849" s="2"/>
      <c r="V849" s="1"/>
      <c r="W849" s="1"/>
      <c r="X849" s="1"/>
      <c r="Y849" s="1"/>
      <c r="Z849" s="1"/>
    </row>
    <row r="850" spans="1:26" ht="24.75" customHeight="1">
      <c r="A850" s="1"/>
      <c r="B850" s="1"/>
      <c r="C850" s="1"/>
      <c r="D850" s="1"/>
      <c r="E850" s="1"/>
      <c r="F850" s="1"/>
      <c r="G850" s="1"/>
      <c r="H850" s="1"/>
      <c r="I850" s="1"/>
      <c r="J850" s="1"/>
      <c r="K850" s="1"/>
      <c r="L850" s="1"/>
      <c r="M850" s="1"/>
      <c r="N850" s="1"/>
      <c r="O850" s="1"/>
      <c r="P850" s="1"/>
      <c r="Q850" s="1"/>
      <c r="R850" s="1"/>
      <c r="S850" s="1"/>
      <c r="T850" s="1"/>
      <c r="U850" s="2"/>
      <c r="V850" s="1"/>
      <c r="W850" s="1"/>
      <c r="X850" s="1"/>
      <c r="Y850" s="1"/>
      <c r="Z850" s="1"/>
    </row>
    <row r="851" spans="1:26" ht="24.75" customHeight="1">
      <c r="A851" s="1"/>
      <c r="B851" s="1"/>
      <c r="C851" s="1"/>
      <c r="D851" s="1"/>
      <c r="E851" s="1"/>
      <c r="F851" s="1"/>
      <c r="G851" s="1"/>
      <c r="H851" s="1"/>
      <c r="I851" s="1"/>
      <c r="J851" s="1"/>
      <c r="K851" s="1"/>
      <c r="L851" s="1"/>
      <c r="M851" s="1"/>
      <c r="N851" s="1"/>
      <c r="O851" s="1"/>
      <c r="P851" s="1"/>
      <c r="Q851" s="1"/>
      <c r="R851" s="1"/>
      <c r="S851" s="1"/>
      <c r="T851" s="1"/>
      <c r="U851" s="2"/>
      <c r="V851" s="1"/>
      <c r="W851" s="1"/>
      <c r="X851" s="1"/>
      <c r="Y851" s="1"/>
      <c r="Z851" s="1"/>
    </row>
    <row r="852" spans="1:26" ht="24.75" customHeight="1">
      <c r="A852" s="1"/>
      <c r="B852" s="1"/>
      <c r="C852" s="1"/>
      <c r="D852" s="1"/>
      <c r="E852" s="1"/>
      <c r="F852" s="1"/>
      <c r="G852" s="1"/>
      <c r="H852" s="1"/>
      <c r="I852" s="1"/>
      <c r="J852" s="1"/>
      <c r="K852" s="1"/>
      <c r="L852" s="1"/>
      <c r="M852" s="1"/>
      <c r="N852" s="1"/>
      <c r="O852" s="1"/>
      <c r="P852" s="1"/>
      <c r="Q852" s="1"/>
      <c r="R852" s="1"/>
      <c r="S852" s="1"/>
      <c r="T852" s="1"/>
      <c r="U852" s="2"/>
      <c r="V852" s="1"/>
      <c r="W852" s="1"/>
      <c r="X852" s="1"/>
      <c r="Y852" s="1"/>
      <c r="Z852" s="1"/>
    </row>
    <row r="853" spans="1:26" ht="24.75" customHeight="1">
      <c r="A853" s="1"/>
      <c r="B853" s="1"/>
      <c r="C853" s="1"/>
      <c r="D853" s="1"/>
      <c r="E853" s="1"/>
      <c r="F853" s="1"/>
      <c r="G853" s="1"/>
      <c r="H853" s="1"/>
      <c r="I853" s="1"/>
      <c r="J853" s="1"/>
      <c r="K853" s="1"/>
      <c r="L853" s="1"/>
      <c r="M853" s="1"/>
      <c r="N853" s="1"/>
      <c r="O853" s="1"/>
      <c r="P853" s="1"/>
      <c r="Q853" s="1"/>
      <c r="R853" s="1"/>
      <c r="S853" s="1"/>
      <c r="T853" s="1"/>
      <c r="U853" s="2"/>
      <c r="V853" s="1"/>
      <c r="W853" s="1"/>
      <c r="X853" s="1"/>
      <c r="Y853" s="1"/>
      <c r="Z853" s="1"/>
    </row>
    <row r="854" spans="1:26" ht="24.75" customHeight="1">
      <c r="A854" s="1"/>
      <c r="B854" s="1"/>
      <c r="C854" s="1"/>
      <c r="D854" s="1"/>
      <c r="E854" s="1"/>
      <c r="F854" s="1"/>
      <c r="G854" s="1"/>
      <c r="H854" s="1"/>
      <c r="I854" s="1"/>
      <c r="J854" s="1"/>
      <c r="K854" s="1"/>
      <c r="L854" s="1"/>
      <c r="M854" s="1"/>
      <c r="N854" s="1"/>
      <c r="O854" s="1"/>
      <c r="P854" s="1"/>
      <c r="Q854" s="1"/>
      <c r="R854" s="1"/>
      <c r="S854" s="1"/>
      <c r="T854" s="1"/>
      <c r="U854" s="2"/>
      <c r="V854" s="1"/>
      <c r="W854" s="1"/>
      <c r="X854" s="1"/>
      <c r="Y854" s="1"/>
      <c r="Z854" s="1"/>
    </row>
    <row r="855" spans="1:26" ht="24.75" customHeight="1">
      <c r="A855" s="1"/>
      <c r="B855" s="1"/>
      <c r="C855" s="1"/>
      <c r="D855" s="1"/>
      <c r="E855" s="1"/>
      <c r="F855" s="1"/>
      <c r="G855" s="1"/>
      <c r="H855" s="1"/>
      <c r="I855" s="1"/>
      <c r="J855" s="1"/>
      <c r="K855" s="1"/>
      <c r="L855" s="1"/>
      <c r="M855" s="1"/>
      <c r="N855" s="1"/>
      <c r="O855" s="1"/>
      <c r="P855" s="1"/>
      <c r="Q855" s="1"/>
      <c r="R855" s="1"/>
      <c r="S855" s="1"/>
      <c r="T855" s="1"/>
      <c r="U855" s="2"/>
      <c r="V855" s="1"/>
      <c r="W855" s="1"/>
      <c r="X855" s="1"/>
      <c r="Y855" s="1"/>
      <c r="Z855" s="1"/>
    </row>
    <row r="856" spans="1:26" ht="24.75" customHeight="1">
      <c r="A856" s="1"/>
      <c r="B856" s="1"/>
      <c r="C856" s="1"/>
      <c r="D856" s="1"/>
      <c r="E856" s="1"/>
      <c r="F856" s="1"/>
      <c r="G856" s="1"/>
      <c r="H856" s="1"/>
      <c r="I856" s="1"/>
      <c r="J856" s="1"/>
      <c r="K856" s="1"/>
      <c r="L856" s="1"/>
      <c r="M856" s="1"/>
      <c r="N856" s="1"/>
      <c r="O856" s="1"/>
      <c r="P856" s="1"/>
      <c r="Q856" s="1"/>
      <c r="R856" s="1"/>
      <c r="S856" s="1"/>
      <c r="T856" s="1"/>
      <c r="U856" s="2"/>
      <c r="V856" s="1"/>
      <c r="W856" s="1"/>
      <c r="X856" s="1"/>
      <c r="Y856" s="1"/>
      <c r="Z856" s="1"/>
    </row>
    <row r="857" spans="1:26" ht="24.75" customHeight="1">
      <c r="A857" s="1"/>
      <c r="B857" s="1"/>
      <c r="C857" s="1"/>
      <c r="D857" s="1"/>
      <c r="E857" s="1"/>
      <c r="F857" s="1"/>
      <c r="G857" s="1"/>
      <c r="H857" s="1"/>
      <c r="I857" s="1"/>
      <c r="J857" s="1"/>
      <c r="K857" s="1"/>
      <c r="L857" s="1"/>
      <c r="M857" s="1"/>
      <c r="N857" s="1"/>
      <c r="O857" s="1"/>
      <c r="P857" s="1"/>
      <c r="Q857" s="1"/>
      <c r="R857" s="1"/>
      <c r="S857" s="1"/>
      <c r="T857" s="1"/>
      <c r="U857" s="2"/>
      <c r="V857" s="1"/>
      <c r="W857" s="1"/>
      <c r="X857" s="1"/>
      <c r="Y857" s="1"/>
      <c r="Z857" s="1"/>
    </row>
    <row r="858" spans="1:26" ht="24.75" customHeight="1">
      <c r="A858" s="1"/>
      <c r="B858" s="1"/>
      <c r="C858" s="1"/>
      <c r="D858" s="1"/>
      <c r="E858" s="1"/>
      <c r="F858" s="1"/>
      <c r="G858" s="1"/>
      <c r="H858" s="1"/>
      <c r="I858" s="1"/>
      <c r="J858" s="1"/>
      <c r="K858" s="1"/>
      <c r="L858" s="1"/>
      <c r="M858" s="1"/>
      <c r="N858" s="1"/>
      <c r="O858" s="1"/>
      <c r="P858" s="1"/>
      <c r="Q858" s="1"/>
      <c r="R858" s="1"/>
      <c r="S858" s="1"/>
      <c r="T858" s="1"/>
      <c r="U858" s="2"/>
      <c r="V858" s="1"/>
      <c r="W858" s="1"/>
      <c r="X858" s="1"/>
      <c r="Y858" s="1"/>
      <c r="Z858" s="1"/>
    </row>
    <row r="859" spans="1:26" ht="24.75" customHeight="1">
      <c r="A859" s="1"/>
      <c r="B859" s="1"/>
      <c r="C859" s="1"/>
      <c r="D859" s="1"/>
      <c r="E859" s="1"/>
      <c r="F859" s="1"/>
      <c r="G859" s="1"/>
      <c r="H859" s="1"/>
      <c r="I859" s="1"/>
      <c r="J859" s="1"/>
      <c r="K859" s="1"/>
      <c r="L859" s="1"/>
      <c r="M859" s="1"/>
      <c r="N859" s="1"/>
      <c r="O859" s="1"/>
      <c r="P859" s="1"/>
      <c r="Q859" s="1"/>
      <c r="R859" s="1"/>
      <c r="S859" s="1"/>
      <c r="T859" s="1"/>
      <c r="U859" s="2"/>
      <c r="V859" s="1"/>
      <c r="W859" s="1"/>
      <c r="X859" s="1"/>
      <c r="Y859" s="1"/>
      <c r="Z859" s="1"/>
    </row>
    <row r="860" spans="1:26" ht="24.75" customHeight="1">
      <c r="A860" s="1"/>
      <c r="B860" s="1"/>
      <c r="C860" s="1"/>
      <c r="D860" s="1"/>
      <c r="E860" s="1"/>
      <c r="F860" s="1"/>
      <c r="G860" s="1"/>
      <c r="H860" s="1"/>
      <c r="I860" s="1"/>
      <c r="J860" s="1"/>
      <c r="K860" s="1"/>
      <c r="L860" s="1"/>
      <c r="M860" s="1"/>
      <c r="N860" s="1"/>
      <c r="O860" s="1"/>
      <c r="P860" s="1"/>
      <c r="Q860" s="1"/>
      <c r="R860" s="1"/>
      <c r="S860" s="1"/>
      <c r="T860" s="1"/>
      <c r="U860" s="2"/>
      <c r="V860" s="1"/>
      <c r="W860" s="1"/>
      <c r="X860" s="1"/>
      <c r="Y860" s="1"/>
      <c r="Z860" s="1"/>
    </row>
    <row r="861" spans="1:26" ht="24.75" customHeight="1">
      <c r="A861" s="1"/>
      <c r="B861" s="1"/>
      <c r="C861" s="1"/>
      <c r="D861" s="1"/>
      <c r="E861" s="1"/>
      <c r="F861" s="1"/>
      <c r="G861" s="1"/>
      <c r="H861" s="1"/>
      <c r="I861" s="1"/>
      <c r="J861" s="1"/>
      <c r="K861" s="1"/>
      <c r="L861" s="1"/>
      <c r="M861" s="1"/>
      <c r="N861" s="1"/>
      <c r="O861" s="1"/>
      <c r="P861" s="1"/>
      <c r="Q861" s="1"/>
      <c r="R861" s="1"/>
      <c r="S861" s="1"/>
      <c r="T861" s="1"/>
      <c r="U861" s="2"/>
      <c r="V861" s="1"/>
      <c r="W861" s="1"/>
      <c r="X861" s="1"/>
      <c r="Y861" s="1"/>
      <c r="Z861" s="1"/>
    </row>
    <row r="862" spans="1:26" ht="24.75" customHeight="1">
      <c r="A862" s="1"/>
      <c r="B862" s="1"/>
      <c r="C862" s="1"/>
      <c r="D862" s="1"/>
      <c r="E862" s="1"/>
      <c r="F862" s="1"/>
      <c r="G862" s="1"/>
      <c r="H862" s="1"/>
      <c r="I862" s="1"/>
      <c r="J862" s="1"/>
      <c r="K862" s="1"/>
      <c r="L862" s="1"/>
      <c r="M862" s="1"/>
      <c r="N862" s="1"/>
      <c r="O862" s="1"/>
      <c r="P862" s="1"/>
      <c r="Q862" s="1"/>
      <c r="R862" s="1"/>
      <c r="S862" s="1"/>
      <c r="T862" s="1"/>
      <c r="U862" s="2"/>
      <c r="V862" s="1"/>
      <c r="W862" s="1"/>
      <c r="X862" s="1"/>
      <c r="Y862" s="1"/>
      <c r="Z862" s="1"/>
    </row>
    <row r="863" spans="1:26" ht="24.75" customHeight="1">
      <c r="A863" s="1"/>
      <c r="B863" s="1"/>
      <c r="C863" s="1"/>
      <c r="D863" s="1"/>
      <c r="E863" s="1"/>
      <c r="F863" s="1"/>
      <c r="G863" s="1"/>
      <c r="H863" s="1"/>
      <c r="I863" s="1"/>
      <c r="J863" s="1"/>
      <c r="K863" s="1"/>
      <c r="L863" s="1"/>
      <c r="M863" s="1"/>
      <c r="N863" s="1"/>
      <c r="O863" s="1"/>
      <c r="P863" s="1"/>
      <c r="Q863" s="1"/>
      <c r="R863" s="1"/>
      <c r="S863" s="1"/>
      <c r="T863" s="1"/>
      <c r="U863" s="2"/>
      <c r="V863" s="1"/>
      <c r="W863" s="1"/>
      <c r="X863" s="1"/>
      <c r="Y863" s="1"/>
      <c r="Z863" s="1"/>
    </row>
    <row r="864" spans="1:26" ht="24.75" customHeight="1">
      <c r="A864" s="1"/>
      <c r="B864" s="1"/>
      <c r="C864" s="1"/>
      <c r="D864" s="1"/>
      <c r="E864" s="1"/>
      <c r="F864" s="1"/>
      <c r="G864" s="1"/>
      <c r="H864" s="1"/>
      <c r="I864" s="1"/>
      <c r="J864" s="1"/>
      <c r="K864" s="1"/>
      <c r="L864" s="1"/>
      <c r="M864" s="1"/>
      <c r="N864" s="1"/>
      <c r="O864" s="1"/>
      <c r="P864" s="1"/>
      <c r="Q864" s="1"/>
      <c r="R864" s="1"/>
      <c r="S864" s="1"/>
      <c r="T864" s="1"/>
      <c r="U864" s="2"/>
      <c r="V864" s="1"/>
      <c r="W864" s="1"/>
      <c r="X864" s="1"/>
      <c r="Y864" s="1"/>
      <c r="Z864" s="1"/>
    </row>
    <row r="865" spans="1:26" ht="24.75" customHeight="1">
      <c r="A865" s="1"/>
      <c r="B865" s="1"/>
      <c r="C865" s="1"/>
      <c r="D865" s="1"/>
      <c r="E865" s="1"/>
      <c r="F865" s="1"/>
      <c r="G865" s="1"/>
      <c r="H865" s="1"/>
      <c r="I865" s="1"/>
      <c r="J865" s="1"/>
      <c r="K865" s="1"/>
      <c r="L865" s="1"/>
      <c r="M865" s="1"/>
      <c r="N865" s="1"/>
      <c r="O865" s="1"/>
      <c r="P865" s="1"/>
      <c r="Q865" s="1"/>
      <c r="R865" s="1"/>
      <c r="S865" s="1"/>
      <c r="T865" s="1"/>
      <c r="U865" s="2"/>
      <c r="V865" s="1"/>
      <c r="W865" s="1"/>
      <c r="X865" s="1"/>
      <c r="Y865" s="1"/>
      <c r="Z865" s="1"/>
    </row>
    <row r="866" spans="1:26" ht="24.75" customHeight="1">
      <c r="A866" s="1"/>
      <c r="B866" s="1"/>
      <c r="C866" s="1"/>
      <c r="D866" s="1"/>
      <c r="E866" s="1"/>
      <c r="F866" s="1"/>
      <c r="G866" s="1"/>
      <c r="H866" s="1"/>
      <c r="I866" s="1"/>
      <c r="J866" s="1"/>
      <c r="K866" s="1"/>
      <c r="L866" s="1"/>
      <c r="M866" s="1"/>
      <c r="N866" s="1"/>
      <c r="O866" s="1"/>
      <c r="P866" s="1"/>
      <c r="Q866" s="1"/>
      <c r="R866" s="1"/>
      <c r="S866" s="1"/>
      <c r="T866" s="1"/>
      <c r="U866" s="2"/>
      <c r="V866" s="1"/>
      <c r="W866" s="1"/>
      <c r="X866" s="1"/>
      <c r="Y866" s="1"/>
      <c r="Z866" s="1"/>
    </row>
    <row r="867" spans="1:26" ht="24.75" customHeight="1">
      <c r="A867" s="1"/>
      <c r="B867" s="1"/>
      <c r="C867" s="1"/>
      <c r="D867" s="1"/>
      <c r="E867" s="1"/>
      <c r="F867" s="1"/>
      <c r="G867" s="1"/>
      <c r="H867" s="1"/>
      <c r="I867" s="1"/>
      <c r="J867" s="1"/>
      <c r="K867" s="1"/>
      <c r="L867" s="1"/>
      <c r="M867" s="1"/>
      <c r="N867" s="1"/>
      <c r="O867" s="1"/>
      <c r="P867" s="1"/>
      <c r="Q867" s="1"/>
      <c r="R867" s="1"/>
      <c r="S867" s="1"/>
      <c r="T867" s="1"/>
      <c r="U867" s="2"/>
      <c r="V867" s="1"/>
      <c r="W867" s="1"/>
      <c r="X867" s="1"/>
      <c r="Y867" s="1"/>
      <c r="Z867" s="1"/>
    </row>
    <row r="868" spans="1:26" ht="24.75" customHeight="1">
      <c r="A868" s="1"/>
      <c r="B868" s="1"/>
      <c r="C868" s="1"/>
      <c r="D868" s="1"/>
      <c r="E868" s="1"/>
      <c r="F868" s="1"/>
      <c r="G868" s="1"/>
      <c r="H868" s="1"/>
      <c r="I868" s="1"/>
      <c r="J868" s="1"/>
      <c r="K868" s="1"/>
      <c r="L868" s="1"/>
      <c r="M868" s="1"/>
      <c r="N868" s="1"/>
      <c r="O868" s="1"/>
      <c r="P868" s="1"/>
      <c r="Q868" s="1"/>
      <c r="R868" s="1"/>
      <c r="S868" s="1"/>
      <c r="T868" s="1"/>
      <c r="U868" s="2"/>
      <c r="V868" s="1"/>
      <c r="W868" s="1"/>
      <c r="X868" s="1"/>
      <c r="Y868" s="1"/>
      <c r="Z868" s="1"/>
    </row>
    <row r="869" spans="1:26" ht="24.75" customHeight="1">
      <c r="A869" s="1"/>
      <c r="B869" s="1"/>
      <c r="C869" s="1"/>
      <c r="D869" s="1"/>
      <c r="E869" s="1"/>
      <c r="F869" s="1"/>
      <c r="G869" s="1"/>
      <c r="H869" s="1"/>
      <c r="I869" s="1"/>
      <c r="J869" s="1"/>
      <c r="K869" s="1"/>
      <c r="L869" s="1"/>
      <c r="M869" s="1"/>
      <c r="N869" s="1"/>
      <c r="O869" s="1"/>
      <c r="P869" s="1"/>
      <c r="Q869" s="1"/>
      <c r="R869" s="1"/>
      <c r="S869" s="1"/>
      <c r="T869" s="1"/>
      <c r="U869" s="2"/>
      <c r="V869" s="1"/>
      <c r="W869" s="1"/>
      <c r="X869" s="1"/>
      <c r="Y869" s="1"/>
      <c r="Z869" s="1"/>
    </row>
    <row r="870" spans="1:26" ht="24.75" customHeight="1">
      <c r="A870" s="1"/>
      <c r="B870" s="1"/>
      <c r="C870" s="1"/>
      <c r="D870" s="1"/>
      <c r="E870" s="1"/>
      <c r="F870" s="1"/>
      <c r="G870" s="1"/>
      <c r="H870" s="1"/>
      <c r="I870" s="1"/>
      <c r="J870" s="1"/>
      <c r="K870" s="1"/>
      <c r="L870" s="1"/>
      <c r="M870" s="1"/>
      <c r="N870" s="1"/>
      <c r="O870" s="1"/>
      <c r="P870" s="1"/>
      <c r="Q870" s="1"/>
      <c r="R870" s="1"/>
      <c r="S870" s="1"/>
      <c r="T870" s="1"/>
      <c r="U870" s="2"/>
      <c r="V870" s="1"/>
      <c r="W870" s="1"/>
      <c r="X870" s="1"/>
      <c r="Y870" s="1"/>
      <c r="Z870" s="1"/>
    </row>
    <row r="871" spans="1:26" ht="24.75" customHeight="1">
      <c r="A871" s="1"/>
      <c r="B871" s="1"/>
      <c r="C871" s="1"/>
      <c r="D871" s="1"/>
      <c r="E871" s="1"/>
      <c r="F871" s="1"/>
      <c r="G871" s="1"/>
      <c r="H871" s="1"/>
      <c r="I871" s="1"/>
      <c r="J871" s="1"/>
      <c r="K871" s="1"/>
      <c r="L871" s="1"/>
      <c r="M871" s="1"/>
      <c r="N871" s="1"/>
      <c r="O871" s="1"/>
      <c r="P871" s="1"/>
      <c r="Q871" s="1"/>
      <c r="R871" s="1"/>
      <c r="S871" s="1"/>
      <c r="T871" s="1"/>
      <c r="U871" s="2"/>
      <c r="V871" s="1"/>
      <c r="W871" s="1"/>
      <c r="X871" s="1"/>
      <c r="Y871" s="1"/>
      <c r="Z871" s="1"/>
    </row>
    <row r="872" spans="1:26" ht="24.75" customHeight="1">
      <c r="A872" s="1"/>
      <c r="B872" s="1"/>
      <c r="C872" s="1"/>
      <c r="D872" s="1"/>
      <c r="E872" s="1"/>
      <c r="F872" s="1"/>
      <c r="G872" s="1"/>
      <c r="H872" s="1"/>
      <c r="I872" s="1"/>
      <c r="J872" s="1"/>
      <c r="K872" s="1"/>
      <c r="L872" s="1"/>
      <c r="M872" s="1"/>
      <c r="N872" s="1"/>
      <c r="O872" s="1"/>
      <c r="P872" s="1"/>
      <c r="Q872" s="1"/>
      <c r="R872" s="1"/>
      <c r="S872" s="1"/>
      <c r="T872" s="1"/>
      <c r="U872" s="2"/>
      <c r="V872" s="1"/>
      <c r="W872" s="1"/>
      <c r="X872" s="1"/>
      <c r="Y872" s="1"/>
      <c r="Z872" s="1"/>
    </row>
    <row r="873" spans="1:26" ht="24.75" customHeight="1">
      <c r="A873" s="1"/>
      <c r="B873" s="1"/>
      <c r="C873" s="1"/>
      <c r="D873" s="1"/>
      <c r="E873" s="1"/>
      <c r="F873" s="1"/>
      <c r="G873" s="1"/>
      <c r="H873" s="1"/>
      <c r="I873" s="1"/>
      <c r="J873" s="1"/>
      <c r="K873" s="1"/>
      <c r="L873" s="1"/>
      <c r="M873" s="1"/>
      <c r="N873" s="1"/>
      <c r="O873" s="1"/>
      <c r="P873" s="1"/>
      <c r="Q873" s="1"/>
      <c r="R873" s="1"/>
      <c r="S873" s="1"/>
      <c r="T873" s="1"/>
      <c r="U873" s="2"/>
      <c r="V873" s="1"/>
      <c r="W873" s="1"/>
      <c r="X873" s="1"/>
      <c r="Y873" s="1"/>
      <c r="Z873" s="1"/>
    </row>
    <row r="874" spans="1:26" ht="24.75" customHeight="1">
      <c r="A874" s="1"/>
      <c r="B874" s="1"/>
      <c r="C874" s="1"/>
      <c r="D874" s="1"/>
      <c r="E874" s="1"/>
      <c r="F874" s="1"/>
      <c r="G874" s="1"/>
      <c r="H874" s="1"/>
      <c r="I874" s="1"/>
      <c r="J874" s="1"/>
      <c r="K874" s="1"/>
      <c r="L874" s="1"/>
      <c r="M874" s="1"/>
      <c r="N874" s="1"/>
      <c r="O874" s="1"/>
      <c r="P874" s="1"/>
      <c r="Q874" s="1"/>
      <c r="R874" s="1"/>
      <c r="S874" s="1"/>
      <c r="T874" s="1"/>
      <c r="U874" s="2"/>
      <c r="V874" s="1"/>
      <c r="W874" s="1"/>
      <c r="X874" s="1"/>
      <c r="Y874" s="1"/>
      <c r="Z874" s="1"/>
    </row>
    <row r="875" spans="1:26" ht="24.75" customHeight="1">
      <c r="A875" s="1"/>
      <c r="B875" s="1"/>
      <c r="C875" s="1"/>
      <c r="D875" s="1"/>
      <c r="E875" s="1"/>
      <c r="F875" s="1"/>
      <c r="G875" s="1"/>
      <c r="H875" s="1"/>
      <c r="I875" s="1"/>
      <c r="J875" s="1"/>
      <c r="K875" s="1"/>
      <c r="L875" s="1"/>
      <c r="M875" s="1"/>
      <c r="N875" s="1"/>
      <c r="O875" s="1"/>
      <c r="P875" s="1"/>
      <c r="Q875" s="1"/>
      <c r="R875" s="1"/>
      <c r="S875" s="1"/>
      <c r="T875" s="1"/>
      <c r="U875" s="2"/>
      <c r="V875" s="1"/>
      <c r="W875" s="1"/>
      <c r="X875" s="1"/>
      <c r="Y875" s="1"/>
      <c r="Z875" s="1"/>
    </row>
    <row r="876" spans="1:26" ht="24.75" customHeight="1">
      <c r="A876" s="1"/>
      <c r="B876" s="1"/>
      <c r="C876" s="1"/>
      <c r="D876" s="1"/>
      <c r="E876" s="1"/>
      <c r="F876" s="1"/>
      <c r="G876" s="1"/>
      <c r="H876" s="1"/>
      <c r="I876" s="1"/>
      <c r="J876" s="1"/>
      <c r="K876" s="1"/>
      <c r="L876" s="1"/>
      <c r="M876" s="1"/>
      <c r="N876" s="1"/>
      <c r="O876" s="1"/>
      <c r="P876" s="1"/>
      <c r="Q876" s="1"/>
      <c r="R876" s="1"/>
      <c r="S876" s="1"/>
      <c r="T876" s="1"/>
      <c r="U876" s="2"/>
      <c r="V876" s="1"/>
      <c r="W876" s="1"/>
      <c r="X876" s="1"/>
      <c r="Y876" s="1"/>
      <c r="Z876" s="1"/>
    </row>
    <row r="877" spans="1:26" ht="24.75" customHeight="1">
      <c r="A877" s="1"/>
      <c r="B877" s="1"/>
      <c r="C877" s="1"/>
      <c r="D877" s="1"/>
      <c r="E877" s="1"/>
      <c r="F877" s="1"/>
      <c r="G877" s="1"/>
      <c r="H877" s="1"/>
      <c r="I877" s="1"/>
      <c r="J877" s="1"/>
      <c r="K877" s="1"/>
      <c r="L877" s="1"/>
      <c r="M877" s="1"/>
      <c r="N877" s="1"/>
      <c r="O877" s="1"/>
      <c r="P877" s="1"/>
      <c r="Q877" s="1"/>
      <c r="R877" s="1"/>
      <c r="S877" s="1"/>
      <c r="T877" s="1"/>
      <c r="U877" s="2"/>
      <c r="V877" s="1"/>
      <c r="W877" s="1"/>
      <c r="X877" s="1"/>
      <c r="Y877" s="1"/>
      <c r="Z877" s="1"/>
    </row>
    <row r="878" spans="1:26" ht="24.75" customHeight="1">
      <c r="A878" s="1"/>
      <c r="B878" s="1"/>
      <c r="C878" s="1"/>
      <c r="D878" s="1"/>
      <c r="E878" s="1"/>
      <c r="F878" s="1"/>
      <c r="G878" s="1"/>
      <c r="H878" s="1"/>
      <c r="I878" s="1"/>
      <c r="J878" s="1"/>
      <c r="K878" s="1"/>
      <c r="L878" s="1"/>
      <c r="M878" s="1"/>
      <c r="N878" s="1"/>
      <c r="O878" s="1"/>
      <c r="P878" s="1"/>
      <c r="Q878" s="1"/>
      <c r="R878" s="1"/>
      <c r="S878" s="1"/>
      <c r="T878" s="1"/>
      <c r="U878" s="2"/>
      <c r="V878" s="1"/>
      <c r="W878" s="1"/>
      <c r="X878" s="1"/>
      <c r="Y878" s="1"/>
      <c r="Z878" s="1"/>
    </row>
    <row r="879" spans="1:26" ht="24.75" customHeight="1">
      <c r="A879" s="1"/>
      <c r="B879" s="1"/>
      <c r="C879" s="1"/>
      <c r="D879" s="1"/>
      <c r="E879" s="1"/>
      <c r="F879" s="1"/>
      <c r="G879" s="1"/>
      <c r="H879" s="1"/>
      <c r="I879" s="1"/>
      <c r="J879" s="1"/>
      <c r="K879" s="1"/>
      <c r="L879" s="1"/>
      <c r="M879" s="1"/>
      <c r="N879" s="1"/>
      <c r="O879" s="1"/>
      <c r="P879" s="1"/>
      <c r="Q879" s="1"/>
      <c r="R879" s="1"/>
      <c r="S879" s="1"/>
      <c r="T879" s="1"/>
      <c r="U879" s="2"/>
      <c r="V879" s="1"/>
      <c r="W879" s="1"/>
      <c r="X879" s="1"/>
      <c r="Y879" s="1"/>
      <c r="Z879" s="1"/>
    </row>
    <row r="880" spans="1:26" ht="24.75" customHeight="1">
      <c r="A880" s="1"/>
      <c r="B880" s="1"/>
      <c r="C880" s="1"/>
      <c r="D880" s="1"/>
      <c r="E880" s="1"/>
      <c r="F880" s="1"/>
      <c r="G880" s="1"/>
      <c r="H880" s="1"/>
      <c r="I880" s="1"/>
      <c r="J880" s="1"/>
      <c r="K880" s="1"/>
      <c r="L880" s="1"/>
      <c r="M880" s="1"/>
      <c r="N880" s="1"/>
      <c r="O880" s="1"/>
      <c r="P880" s="1"/>
      <c r="Q880" s="1"/>
      <c r="R880" s="1"/>
      <c r="S880" s="1"/>
      <c r="T880" s="1"/>
      <c r="U880" s="2"/>
      <c r="V880" s="1"/>
      <c r="W880" s="1"/>
      <c r="X880" s="1"/>
      <c r="Y880" s="1"/>
      <c r="Z880" s="1"/>
    </row>
    <row r="881" spans="1:26" ht="24.75" customHeight="1">
      <c r="A881" s="1"/>
      <c r="B881" s="1"/>
      <c r="C881" s="1"/>
      <c r="D881" s="1"/>
      <c r="E881" s="1"/>
      <c r="F881" s="1"/>
      <c r="G881" s="1"/>
      <c r="H881" s="1"/>
      <c r="I881" s="1"/>
      <c r="J881" s="1"/>
      <c r="K881" s="1"/>
      <c r="L881" s="1"/>
      <c r="M881" s="1"/>
      <c r="N881" s="1"/>
      <c r="O881" s="1"/>
      <c r="P881" s="1"/>
      <c r="Q881" s="1"/>
      <c r="R881" s="1"/>
      <c r="S881" s="1"/>
      <c r="T881" s="1"/>
      <c r="U881" s="2"/>
      <c r="V881" s="1"/>
      <c r="W881" s="1"/>
      <c r="X881" s="1"/>
      <c r="Y881" s="1"/>
      <c r="Z881" s="1"/>
    </row>
    <row r="882" spans="1:26" ht="24.75" customHeight="1">
      <c r="A882" s="1"/>
      <c r="B882" s="1"/>
      <c r="C882" s="1"/>
      <c r="D882" s="1"/>
      <c r="E882" s="1"/>
      <c r="F882" s="1"/>
      <c r="G882" s="1"/>
      <c r="H882" s="1"/>
      <c r="I882" s="1"/>
      <c r="J882" s="1"/>
      <c r="K882" s="1"/>
      <c r="L882" s="1"/>
      <c r="M882" s="1"/>
      <c r="N882" s="1"/>
      <c r="O882" s="1"/>
      <c r="P882" s="1"/>
      <c r="Q882" s="1"/>
      <c r="R882" s="1"/>
      <c r="S882" s="1"/>
      <c r="T882" s="1"/>
      <c r="U882" s="2"/>
      <c r="V882" s="1"/>
      <c r="W882" s="1"/>
      <c r="X882" s="1"/>
      <c r="Y882" s="1"/>
      <c r="Z882" s="1"/>
    </row>
    <row r="883" spans="1:26" ht="24.75" customHeight="1">
      <c r="A883" s="1"/>
      <c r="B883" s="1"/>
      <c r="C883" s="1"/>
      <c r="D883" s="1"/>
      <c r="E883" s="1"/>
      <c r="F883" s="1"/>
      <c r="G883" s="1"/>
      <c r="H883" s="1"/>
      <c r="I883" s="1"/>
      <c r="J883" s="1"/>
      <c r="K883" s="1"/>
      <c r="L883" s="1"/>
      <c r="M883" s="1"/>
      <c r="N883" s="1"/>
      <c r="O883" s="1"/>
      <c r="P883" s="1"/>
      <c r="Q883" s="1"/>
      <c r="R883" s="1"/>
      <c r="S883" s="1"/>
      <c r="T883" s="1"/>
      <c r="U883" s="2"/>
      <c r="V883" s="1"/>
      <c r="W883" s="1"/>
      <c r="X883" s="1"/>
      <c r="Y883" s="1"/>
      <c r="Z883" s="1"/>
    </row>
    <row r="884" spans="1:26" ht="24.75" customHeight="1">
      <c r="A884" s="1"/>
      <c r="B884" s="1"/>
      <c r="C884" s="1"/>
      <c r="D884" s="1"/>
      <c r="E884" s="1"/>
      <c r="F884" s="1"/>
      <c r="G884" s="1"/>
      <c r="H884" s="1"/>
      <c r="I884" s="1"/>
      <c r="J884" s="1"/>
      <c r="K884" s="1"/>
      <c r="L884" s="1"/>
      <c r="M884" s="1"/>
      <c r="N884" s="1"/>
      <c r="O884" s="1"/>
      <c r="P884" s="1"/>
      <c r="Q884" s="1"/>
      <c r="R884" s="1"/>
      <c r="S884" s="1"/>
      <c r="T884" s="1"/>
      <c r="U884" s="2"/>
      <c r="V884" s="1"/>
      <c r="W884" s="1"/>
      <c r="X884" s="1"/>
      <c r="Y884" s="1"/>
      <c r="Z884" s="1"/>
    </row>
    <row r="885" spans="1:26" ht="24.75" customHeight="1">
      <c r="A885" s="1"/>
      <c r="B885" s="1"/>
      <c r="C885" s="1"/>
      <c r="D885" s="1"/>
      <c r="E885" s="1"/>
      <c r="F885" s="1"/>
      <c r="G885" s="1"/>
      <c r="H885" s="1"/>
      <c r="I885" s="1"/>
      <c r="J885" s="1"/>
      <c r="K885" s="1"/>
      <c r="L885" s="1"/>
      <c r="M885" s="1"/>
      <c r="N885" s="1"/>
      <c r="O885" s="1"/>
      <c r="P885" s="1"/>
      <c r="Q885" s="1"/>
      <c r="R885" s="1"/>
      <c r="S885" s="1"/>
      <c r="T885" s="1"/>
      <c r="U885" s="2"/>
      <c r="V885" s="1"/>
      <c r="W885" s="1"/>
      <c r="X885" s="1"/>
      <c r="Y885" s="1"/>
      <c r="Z885" s="1"/>
    </row>
    <row r="886" spans="1:26" ht="24.75" customHeight="1">
      <c r="A886" s="1"/>
      <c r="B886" s="1"/>
      <c r="C886" s="1"/>
      <c r="D886" s="1"/>
      <c r="E886" s="1"/>
      <c r="F886" s="1"/>
      <c r="G886" s="1"/>
      <c r="H886" s="1"/>
      <c r="I886" s="1"/>
      <c r="J886" s="1"/>
      <c r="K886" s="1"/>
      <c r="L886" s="1"/>
      <c r="M886" s="1"/>
      <c r="N886" s="1"/>
      <c r="O886" s="1"/>
      <c r="P886" s="1"/>
      <c r="Q886" s="1"/>
      <c r="R886" s="1"/>
      <c r="S886" s="1"/>
      <c r="T886" s="1"/>
      <c r="U886" s="2"/>
      <c r="V886" s="1"/>
      <c r="W886" s="1"/>
      <c r="X886" s="1"/>
      <c r="Y886" s="1"/>
      <c r="Z886" s="1"/>
    </row>
    <row r="887" spans="1:26" ht="24.75" customHeight="1">
      <c r="A887" s="1"/>
      <c r="B887" s="1"/>
      <c r="C887" s="1"/>
      <c r="D887" s="1"/>
      <c r="E887" s="1"/>
      <c r="F887" s="1"/>
      <c r="G887" s="1"/>
      <c r="H887" s="1"/>
      <c r="I887" s="1"/>
      <c r="J887" s="1"/>
      <c r="K887" s="1"/>
      <c r="L887" s="1"/>
      <c r="M887" s="1"/>
      <c r="N887" s="1"/>
      <c r="O887" s="1"/>
      <c r="P887" s="1"/>
      <c r="Q887" s="1"/>
      <c r="R887" s="1"/>
      <c r="S887" s="1"/>
      <c r="T887" s="1"/>
      <c r="U887" s="2"/>
      <c r="V887" s="1"/>
      <c r="W887" s="1"/>
      <c r="X887" s="1"/>
      <c r="Y887" s="1"/>
      <c r="Z887" s="1"/>
    </row>
    <row r="888" spans="1:26" ht="24.75" customHeight="1">
      <c r="A888" s="1"/>
      <c r="B888" s="1"/>
      <c r="C888" s="1"/>
      <c r="D888" s="1"/>
      <c r="E888" s="1"/>
      <c r="F888" s="1"/>
      <c r="G888" s="1"/>
      <c r="H888" s="1"/>
      <c r="I888" s="1"/>
      <c r="J888" s="1"/>
      <c r="K888" s="1"/>
      <c r="L888" s="1"/>
      <c r="M888" s="1"/>
      <c r="N888" s="1"/>
      <c r="O888" s="1"/>
      <c r="P888" s="1"/>
      <c r="Q888" s="1"/>
      <c r="R888" s="1"/>
      <c r="S888" s="1"/>
      <c r="T888" s="1"/>
      <c r="U888" s="2"/>
      <c r="V888" s="1"/>
      <c r="W888" s="1"/>
      <c r="X888" s="1"/>
      <c r="Y888" s="1"/>
      <c r="Z888" s="1"/>
    </row>
    <row r="889" spans="1:26" ht="24.75" customHeight="1">
      <c r="A889" s="1"/>
      <c r="B889" s="1"/>
      <c r="C889" s="1"/>
      <c r="D889" s="1"/>
      <c r="E889" s="1"/>
      <c r="F889" s="1"/>
      <c r="G889" s="1"/>
      <c r="H889" s="1"/>
      <c r="I889" s="1"/>
      <c r="J889" s="1"/>
      <c r="K889" s="1"/>
      <c r="L889" s="1"/>
      <c r="M889" s="1"/>
      <c r="N889" s="1"/>
      <c r="O889" s="1"/>
      <c r="P889" s="1"/>
      <c r="Q889" s="1"/>
      <c r="R889" s="1"/>
      <c r="S889" s="1"/>
      <c r="T889" s="1"/>
      <c r="U889" s="2"/>
      <c r="V889" s="1"/>
      <c r="W889" s="1"/>
      <c r="X889" s="1"/>
      <c r="Y889" s="1"/>
      <c r="Z889" s="1"/>
    </row>
    <row r="890" spans="1:26" ht="24.75" customHeight="1">
      <c r="A890" s="1"/>
      <c r="B890" s="1"/>
      <c r="C890" s="1"/>
      <c r="D890" s="1"/>
      <c r="E890" s="1"/>
      <c r="F890" s="1"/>
      <c r="G890" s="1"/>
      <c r="H890" s="1"/>
      <c r="I890" s="1"/>
      <c r="J890" s="1"/>
      <c r="K890" s="1"/>
      <c r="L890" s="1"/>
      <c r="M890" s="1"/>
      <c r="N890" s="1"/>
      <c r="O890" s="1"/>
      <c r="P890" s="1"/>
      <c r="Q890" s="1"/>
      <c r="R890" s="1"/>
      <c r="S890" s="1"/>
      <c r="T890" s="1"/>
      <c r="U890" s="2"/>
      <c r="V890" s="1"/>
      <c r="W890" s="1"/>
      <c r="X890" s="1"/>
      <c r="Y890" s="1"/>
      <c r="Z890" s="1"/>
    </row>
    <row r="891" spans="1:26" ht="24.75" customHeight="1">
      <c r="A891" s="1"/>
      <c r="B891" s="1"/>
      <c r="C891" s="1"/>
      <c r="D891" s="1"/>
      <c r="E891" s="1"/>
      <c r="F891" s="1"/>
      <c r="G891" s="1"/>
      <c r="H891" s="1"/>
      <c r="I891" s="1"/>
      <c r="J891" s="1"/>
      <c r="K891" s="1"/>
      <c r="L891" s="1"/>
      <c r="M891" s="1"/>
      <c r="N891" s="1"/>
      <c r="O891" s="1"/>
      <c r="P891" s="1"/>
      <c r="Q891" s="1"/>
      <c r="R891" s="1"/>
      <c r="S891" s="1"/>
      <c r="T891" s="1"/>
      <c r="U891" s="2"/>
      <c r="V891" s="1"/>
      <c r="W891" s="1"/>
      <c r="X891" s="1"/>
      <c r="Y891" s="1"/>
      <c r="Z891" s="1"/>
    </row>
    <row r="892" spans="1:26" ht="24.75" customHeight="1">
      <c r="A892" s="1"/>
      <c r="B892" s="1"/>
      <c r="C892" s="1"/>
      <c r="D892" s="1"/>
      <c r="E892" s="1"/>
      <c r="F892" s="1"/>
      <c r="G892" s="1"/>
      <c r="H892" s="1"/>
      <c r="I892" s="1"/>
      <c r="J892" s="1"/>
      <c r="K892" s="1"/>
      <c r="L892" s="1"/>
      <c r="M892" s="1"/>
      <c r="N892" s="1"/>
      <c r="O892" s="1"/>
      <c r="P892" s="1"/>
      <c r="Q892" s="1"/>
      <c r="R892" s="1"/>
      <c r="S892" s="1"/>
      <c r="T892" s="1"/>
      <c r="U892" s="2"/>
      <c r="V892" s="1"/>
      <c r="W892" s="1"/>
      <c r="X892" s="1"/>
      <c r="Y892" s="1"/>
      <c r="Z892" s="1"/>
    </row>
    <row r="893" spans="1:26" ht="24.75" customHeight="1">
      <c r="A893" s="1"/>
      <c r="B893" s="1"/>
      <c r="C893" s="1"/>
      <c r="D893" s="1"/>
      <c r="E893" s="1"/>
      <c r="F893" s="1"/>
      <c r="G893" s="1"/>
      <c r="H893" s="1"/>
      <c r="I893" s="1"/>
      <c r="J893" s="1"/>
      <c r="K893" s="1"/>
      <c r="L893" s="1"/>
      <c r="M893" s="1"/>
      <c r="N893" s="1"/>
      <c r="O893" s="1"/>
      <c r="P893" s="1"/>
      <c r="Q893" s="1"/>
      <c r="R893" s="1"/>
      <c r="S893" s="1"/>
      <c r="T893" s="1"/>
      <c r="U893" s="2"/>
      <c r="V893" s="1"/>
      <c r="W893" s="1"/>
      <c r="X893" s="1"/>
      <c r="Y893" s="1"/>
      <c r="Z893" s="1"/>
    </row>
    <row r="894" spans="1:26" ht="24.75" customHeight="1">
      <c r="A894" s="1"/>
      <c r="B894" s="1"/>
      <c r="C894" s="1"/>
      <c r="D894" s="1"/>
      <c r="E894" s="1"/>
      <c r="F894" s="1"/>
      <c r="G894" s="1"/>
      <c r="H894" s="1"/>
      <c r="I894" s="1"/>
      <c r="J894" s="1"/>
      <c r="K894" s="1"/>
      <c r="L894" s="1"/>
      <c r="M894" s="1"/>
      <c r="N894" s="1"/>
      <c r="O894" s="1"/>
      <c r="P894" s="1"/>
      <c r="Q894" s="1"/>
      <c r="R894" s="1"/>
      <c r="S894" s="1"/>
      <c r="T894" s="1"/>
      <c r="U894" s="2"/>
      <c r="V894" s="1"/>
      <c r="W894" s="1"/>
      <c r="X894" s="1"/>
      <c r="Y894" s="1"/>
      <c r="Z894" s="1"/>
    </row>
    <row r="895" spans="1:26" ht="24.75" customHeight="1">
      <c r="A895" s="1"/>
      <c r="B895" s="1"/>
      <c r="C895" s="1"/>
      <c r="D895" s="1"/>
      <c r="E895" s="1"/>
      <c r="F895" s="1"/>
      <c r="G895" s="1"/>
      <c r="H895" s="1"/>
      <c r="I895" s="1"/>
      <c r="J895" s="1"/>
      <c r="K895" s="1"/>
      <c r="L895" s="1"/>
      <c r="M895" s="1"/>
      <c r="N895" s="1"/>
      <c r="O895" s="1"/>
      <c r="P895" s="1"/>
      <c r="Q895" s="1"/>
      <c r="R895" s="1"/>
      <c r="S895" s="1"/>
      <c r="T895" s="1"/>
      <c r="U895" s="2"/>
      <c r="V895" s="1"/>
      <c r="W895" s="1"/>
      <c r="X895" s="1"/>
      <c r="Y895" s="1"/>
      <c r="Z895" s="1"/>
    </row>
    <row r="896" spans="1:26" ht="24.75" customHeight="1">
      <c r="A896" s="1"/>
      <c r="B896" s="1"/>
      <c r="C896" s="1"/>
      <c r="D896" s="1"/>
      <c r="E896" s="1"/>
      <c r="F896" s="1"/>
      <c r="G896" s="1"/>
      <c r="H896" s="1"/>
      <c r="I896" s="1"/>
      <c r="J896" s="1"/>
      <c r="K896" s="1"/>
      <c r="L896" s="1"/>
      <c r="M896" s="1"/>
      <c r="N896" s="1"/>
      <c r="O896" s="1"/>
      <c r="P896" s="1"/>
      <c r="Q896" s="1"/>
      <c r="R896" s="1"/>
      <c r="S896" s="1"/>
      <c r="T896" s="1"/>
      <c r="U896" s="2"/>
      <c r="V896" s="1"/>
      <c r="W896" s="1"/>
      <c r="X896" s="1"/>
      <c r="Y896" s="1"/>
      <c r="Z896" s="1"/>
    </row>
    <row r="897" spans="1:26" ht="24.75" customHeight="1">
      <c r="A897" s="1"/>
      <c r="B897" s="1"/>
      <c r="C897" s="1"/>
      <c r="D897" s="1"/>
      <c r="E897" s="1"/>
      <c r="F897" s="1"/>
      <c r="G897" s="1"/>
      <c r="H897" s="1"/>
      <c r="I897" s="1"/>
      <c r="J897" s="1"/>
      <c r="K897" s="1"/>
      <c r="L897" s="1"/>
      <c r="M897" s="1"/>
      <c r="N897" s="1"/>
      <c r="O897" s="1"/>
      <c r="P897" s="1"/>
      <c r="Q897" s="1"/>
      <c r="R897" s="1"/>
      <c r="S897" s="1"/>
      <c r="T897" s="1"/>
      <c r="U897" s="2"/>
      <c r="V897" s="1"/>
      <c r="W897" s="1"/>
      <c r="X897" s="1"/>
      <c r="Y897" s="1"/>
      <c r="Z897" s="1"/>
    </row>
    <row r="898" spans="1:26" ht="24.75" customHeight="1">
      <c r="A898" s="1"/>
      <c r="B898" s="1"/>
      <c r="C898" s="1"/>
      <c r="D898" s="1"/>
      <c r="E898" s="1"/>
      <c r="F898" s="1"/>
      <c r="G898" s="1"/>
      <c r="H898" s="1"/>
      <c r="I898" s="1"/>
      <c r="J898" s="1"/>
      <c r="K898" s="1"/>
      <c r="L898" s="1"/>
      <c r="M898" s="1"/>
      <c r="N898" s="1"/>
      <c r="O898" s="1"/>
      <c r="P898" s="1"/>
      <c r="Q898" s="1"/>
      <c r="R898" s="1"/>
      <c r="S898" s="1"/>
      <c r="T898" s="1"/>
      <c r="U898" s="2"/>
      <c r="V898" s="1"/>
      <c r="W898" s="1"/>
      <c r="X898" s="1"/>
      <c r="Y898" s="1"/>
      <c r="Z898" s="1"/>
    </row>
    <row r="899" spans="1:26" ht="24.75" customHeight="1">
      <c r="A899" s="1"/>
      <c r="B899" s="1"/>
      <c r="C899" s="1"/>
      <c r="D899" s="1"/>
      <c r="E899" s="1"/>
      <c r="F899" s="1"/>
      <c r="G899" s="1"/>
      <c r="H899" s="1"/>
      <c r="I899" s="1"/>
      <c r="J899" s="1"/>
      <c r="K899" s="1"/>
      <c r="L899" s="1"/>
      <c r="M899" s="1"/>
      <c r="N899" s="1"/>
      <c r="O899" s="1"/>
      <c r="P899" s="1"/>
      <c r="Q899" s="1"/>
      <c r="R899" s="1"/>
      <c r="S899" s="1"/>
      <c r="T899" s="1"/>
      <c r="U899" s="2"/>
      <c r="V899" s="1"/>
      <c r="W899" s="1"/>
      <c r="X899" s="1"/>
      <c r="Y899" s="1"/>
      <c r="Z899" s="1"/>
    </row>
    <row r="900" spans="1:26" ht="24.75" customHeight="1">
      <c r="A900" s="1"/>
      <c r="B900" s="1"/>
      <c r="C900" s="1"/>
      <c r="D900" s="1"/>
      <c r="E900" s="1"/>
      <c r="F900" s="1"/>
      <c r="G900" s="1"/>
      <c r="H900" s="1"/>
      <c r="I900" s="1"/>
      <c r="J900" s="1"/>
      <c r="K900" s="1"/>
      <c r="L900" s="1"/>
      <c r="M900" s="1"/>
      <c r="N900" s="1"/>
      <c r="O900" s="1"/>
      <c r="P900" s="1"/>
      <c r="Q900" s="1"/>
      <c r="R900" s="1"/>
      <c r="S900" s="1"/>
      <c r="T900" s="1"/>
      <c r="U900" s="2"/>
      <c r="V900" s="1"/>
      <c r="W900" s="1"/>
      <c r="X900" s="1"/>
      <c r="Y900" s="1"/>
      <c r="Z900" s="1"/>
    </row>
    <row r="901" spans="1:26" ht="24.75" customHeight="1">
      <c r="A901" s="1"/>
      <c r="B901" s="1"/>
      <c r="C901" s="1"/>
      <c r="D901" s="1"/>
      <c r="E901" s="1"/>
      <c r="F901" s="1"/>
      <c r="G901" s="1"/>
      <c r="H901" s="1"/>
      <c r="I901" s="1"/>
      <c r="J901" s="1"/>
      <c r="K901" s="1"/>
      <c r="L901" s="1"/>
      <c r="M901" s="1"/>
      <c r="N901" s="1"/>
      <c r="O901" s="1"/>
      <c r="P901" s="1"/>
      <c r="Q901" s="1"/>
      <c r="R901" s="1"/>
      <c r="S901" s="1"/>
      <c r="T901" s="1"/>
      <c r="U901" s="2"/>
      <c r="V901" s="1"/>
      <c r="W901" s="1"/>
      <c r="X901" s="1"/>
      <c r="Y901" s="1"/>
      <c r="Z901" s="1"/>
    </row>
    <row r="902" spans="1:26" ht="24.75" customHeight="1">
      <c r="A902" s="1"/>
      <c r="B902" s="1"/>
      <c r="C902" s="1"/>
      <c r="D902" s="1"/>
      <c r="E902" s="1"/>
      <c r="F902" s="1"/>
      <c r="G902" s="1"/>
      <c r="H902" s="1"/>
      <c r="I902" s="1"/>
      <c r="J902" s="1"/>
      <c r="K902" s="1"/>
      <c r="L902" s="1"/>
      <c r="M902" s="1"/>
      <c r="N902" s="1"/>
      <c r="O902" s="1"/>
      <c r="P902" s="1"/>
      <c r="Q902" s="1"/>
      <c r="R902" s="1"/>
      <c r="S902" s="1"/>
      <c r="T902" s="1"/>
      <c r="U902" s="2"/>
      <c r="V902" s="1"/>
      <c r="W902" s="1"/>
      <c r="X902" s="1"/>
      <c r="Y902" s="1"/>
      <c r="Z902" s="1"/>
    </row>
    <row r="903" spans="1:26" ht="24.75" customHeight="1">
      <c r="A903" s="1"/>
      <c r="B903" s="1"/>
      <c r="C903" s="1"/>
      <c r="D903" s="1"/>
      <c r="E903" s="1"/>
      <c r="F903" s="1"/>
      <c r="G903" s="1"/>
      <c r="H903" s="1"/>
      <c r="I903" s="1"/>
      <c r="J903" s="1"/>
      <c r="K903" s="1"/>
      <c r="L903" s="1"/>
      <c r="M903" s="1"/>
      <c r="N903" s="1"/>
      <c r="O903" s="1"/>
      <c r="P903" s="1"/>
      <c r="Q903" s="1"/>
      <c r="R903" s="1"/>
      <c r="S903" s="1"/>
      <c r="T903" s="1"/>
      <c r="U903" s="2"/>
      <c r="V903" s="1"/>
      <c r="W903" s="1"/>
      <c r="X903" s="1"/>
      <c r="Y903" s="1"/>
      <c r="Z903" s="1"/>
    </row>
    <row r="904" spans="1:26" ht="24.75" customHeight="1">
      <c r="A904" s="1"/>
      <c r="B904" s="1"/>
      <c r="C904" s="1"/>
      <c r="D904" s="1"/>
      <c r="E904" s="1"/>
      <c r="F904" s="1"/>
      <c r="G904" s="1"/>
      <c r="H904" s="1"/>
      <c r="I904" s="1"/>
      <c r="J904" s="1"/>
      <c r="K904" s="1"/>
      <c r="L904" s="1"/>
      <c r="M904" s="1"/>
      <c r="N904" s="1"/>
      <c r="O904" s="1"/>
      <c r="P904" s="1"/>
      <c r="Q904" s="1"/>
      <c r="R904" s="1"/>
      <c r="S904" s="1"/>
      <c r="T904" s="1"/>
      <c r="U904" s="2"/>
      <c r="V904" s="1"/>
      <c r="W904" s="1"/>
      <c r="X904" s="1"/>
      <c r="Y904" s="1"/>
      <c r="Z904" s="1"/>
    </row>
    <row r="905" spans="1:26" ht="24.75" customHeight="1">
      <c r="A905" s="1"/>
      <c r="B905" s="1"/>
      <c r="C905" s="1"/>
      <c r="D905" s="1"/>
      <c r="E905" s="1"/>
      <c r="F905" s="1"/>
      <c r="G905" s="1"/>
      <c r="H905" s="1"/>
      <c r="I905" s="1"/>
      <c r="J905" s="1"/>
      <c r="K905" s="1"/>
      <c r="L905" s="1"/>
      <c r="M905" s="1"/>
      <c r="N905" s="1"/>
      <c r="O905" s="1"/>
      <c r="P905" s="1"/>
      <c r="Q905" s="1"/>
      <c r="R905" s="1"/>
      <c r="S905" s="1"/>
      <c r="T905" s="1"/>
      <c r="U905" s="2"/>
      <c r="V905" s="1"/>
      <c r="W905" s="1"/>
      <c r="X905" s="1"/>
      <c r="Y905" s="1"/>
      <c r="Z905" s="1"/>
    </row>
    <row r="906" spans="1:26" ht="24.75" customHeight="1">
      <c r="A906" s="1"/>
      <c r="B906" s="1"/>
      <c r="C906" s="1"/>
      <c r="D906" s="1"/>
      <c r="E906" s="1"/>
      <c r="F906" s="1"/>
      <c r="G906" s="1"/>
      <c r="H906" s="1"/>
      <c r="I906" s="1"/>
      <c r="J906" s="1"/>
      <c r="K906" s="1"/>
      <c r="L906" s="1"/>
      <c r="M906" s="1"/>
      <c r="N906" s="1"/>
      <c r="O906" s="1"/>
      <c r="P906" s="1"/>
      <c r="Q906" s="1"/>
      <c r="R906" s="1"/>
      <c r="S906" s="1"/>
      <c r="T906" s="1"/>
      <c r="U906" s="2"/>
      <c r="V906" s="1"/>
      <c r="W906" s="1"/>
      <c r="X906" s="1"/>
      <c r="Y906" s="1"/>
      <c r="Z906" s="1"/>
    </row>
    <row r="907" spans="1:26" ht="24.75" customHeight="1">
      <c r="A907" s="1"/>
      <c r="B907" s="1"/>
      <c r="C907" s="1"/>
      <c r="D907" s="1"/>
      <c r="E907" s="1"/>
      <c r="F907" s="1"/>
      <c r="G907" s="1"/>
      <c r="H907" s="1"/>
      <c r="I907" s="1"/>
      <c r="J907" s="1"/>
      <c r="K907" s="1"/>
      <c r="L907" s="1"/>
      <c r="M907" s="1"/>
      <c r="N907" s="1"/>
      <c r="O907" s="1"/>
      <c r="P907" s="1"/>
      <c r="Q907" s="1"/>
      <c r="R907" s="1"/>
      <c r="S907" s="1"/>
      <c r="T907" s="1"/>
      <c r="U907" s="2"/>
      <c r="V907" s="1"/>
      <c r="W907" s="1"/>
      <c r="X907" s="1"/>
      <c r="Y907" s="1"/>
      <c r="Z907" s="1"/>
    </row>
    <row r="908" spans="1:26" ht="24.75" customHeight="1">
      <c r="A908" s="1"/>
      <c r="B908" s="1"/>
      <c r="C908" s="1"/>
      <c r="D908" s="1"/>
      <c r="E908" s="1"/>
      <c r="F908" s="1"/>
      <c r="G908" s="1"/>
      <c r="H908" s="1"/>
      <c r="I908" s="1"/>
      <c r="J908" s="1"/>
      <c r="K908" s="1"/>
      <c r="L908" s="1"/>
      <c r="M908" s="1"/>
      <c r="N908" s="1"/>
      <c r="O908" s="1"/>
      <c r="P908" s="1"/>
      <c r="Q908" s="1"/>
      <c r="R908" s="1"/>
      <c r="S908" s="1"/>
      <c r="T908" s="1"/>
      <c r="U908" s="2"/>
      <c r="V908" s="1"/>
      <c r="W908" s="1"/>
      <c r="X908" s="1"/>
      <c r="Y908" s="1"/>
      <c r="Z908" s="1"/>
    </row>
    <row r="909" spans="1:26" ht="24.75" customHeight="1">
      <c r="A909" s="1"/>
      <c r="B909" s="1"/>
      <c r="C909" s="1"/>
      <c r="D909" s="1"/>
      <c r="E909" s="1"/>
      <c r="F909" s="1"/>
      <c r="G909" s="1"/>
      <c r="H909" s="1"/>
      <c r="I909" s="1"/>
      <c r="J909" s="1"/>
      <c r="K909" s="1"/>
      <c r="L909" s="1"/>
      <c r="M909" s="1"/>
      <c r="N909" s="1"/>
      <c r="O909" s="1"/>
      <c r="P909" s="1"/>
      <c r="Q909" s="1"/>
      <c r="R909" s="1"/>
      <c r="S909" s="1"/>
      <c r="T909" s="1"/>
      <c r="U909" s="2"/>
      <c r="V909" s="1"/>
      <c r="W909" s="1"/>
      <c r="X909" s="1"/>
      <c r="Y909" s="1"/>
      <c r="Z909" s="1"/>
    </row>
    <row r="910" spans="1:26" ht="24.75" customHeight="1">
      <c r="A910" s="1"/>
      <c r="B910" s="1"/>
      <c r="C910" s="1"/>
      <c r="D910" s="1"/>
      <c r="E910" s="1"/>
      <c r="F910" s="1"/>
      <c r="G910" s="1"/>
      <c r="H910" s="1"/>
      <c r="I910" s="1"/>
      <c r="J910" s="1"/>
      <c r="K910" s="1"/>
      <c r="L910" s="1"/>
      <c r="M910" s="1"/>
      <c r="N910" s="1"/>
      <c r="O910" s="1"/>
      <c r="P910" s="1"/>
      <c r="Q910" s="1"/>
      <c r="R910" s="1"/>
      <c r="S910" s="1"/>
      <c r="T910" s="1"/>
      <c r="U910" s="2"/>
      <c r="V910" s="1"/>
      <c r="W910" s="1"/>
      <c r="X910" s="1"/>
      <c r="Y910" s="1"/>
      <c r="Z910" s="1"/>
    </row>
    <row r="911" spans="1:26" ht="24.75" customHeight="1">
      <c r="A911" s="1"/>
      <c r="B911" s="1"/>
      <c r="C911" s="1"/>
      <c r="D911" s="1"/>
      <c r="E911" s="1"/>
      <c r="F911" s="1"/>
      <c r="G911" s="1"/>
      <c r="H911" s="1"/>
      <c r="I911" s="1"/>
      <c r="J911" s="1"/>
      <c r="K911" s="1"/>
      <c r="L911" s="1"/>
      <c r="M911" s="1"/>
      <c r="N911" s="1"/>
      <c r="O911" s="1"/>
      <c r="P911" s="1"/>
      <c r="Q911" s="1"/>
      <c r="R911" s="1"/>
      <c r="S911" s="1"/>
      <c r="T911" s="1"/>
      <c r="U911" s="2"/>
      <c r="V911" s="1"/>
      <c r="W911" s="1"/>
      <c r="X911" s="1"/>
      <c r="Y911" s="1"/>
      <c r="Z911" s="1"/>
    </row>
    <row r="912" spans="1:26" ht="24.75" customHeight="1">
      <c r="A912" s="1"/>
      <c r="B912" s="1"/>
      <c r="C912" s="1"/>
      <c r="D912" s="1"/>
      <c r="E912" s="1"/>
      <c r="F912" s="1"/>
      <c r="G912" s="1"/>
      <c r="H912" s="1"/>
      <c r="I912" s="1"/>
      <c r="J912" s="1"/>
      <c r="K912" s="1"/>
      <c r="L912" s="1"/>
      <c r="M912" s="1"/>
      <c r="N912" s="1"/>
      <c r="O912" s="1"/>
      <c r="P912" s="1"/>
      <c r="Q912" s="1"/>
      <c r="R912" s="1"/>
      <c r="S912" s="1"/>
      <c r="T912" s="1"/>
      <c r="U912" s="2"/>
      <c r="V912" s="1"/>
      <c r="W912" s="1"/>
      <c r="X912" s="1"/>
      <c r="Y912" s="1"/>
      <c r="Z912" s="1"/>
    </row>
    <row r="913" spans="1:26" ht="24.75" customHeight="1">
      <c r="A913" s="1"/>
      <c r="B913" s="1"/>
      <c r="C913" s="1"/>
      <c r="D913" s="1"/>
      <c r="E913" s="1"/>
      <c r="F913" s="1"/>
      <c r="G913" s="1"/>
      <c r="H913" s="1"/>
      <c r="I913" s="1"/>
      <c r="J913" s="1"/>
      <c r="K913" s="1"/>
      <c r="L913" s="1"/>
      <c r="M913" s="1"/>
      <c r="N913" s="1"/>
      <c r="O913" s="1"/>
      <c r="P913" s="1"/>
      <c r="Q913" s="1"/>
      <c r="R913" s="1"/>
      <c r="S913" s="1"/>
      <c r="T913" s="1"/>
      <c r="U913" s="2"/>
      <c r="V913" s="1"/>
      <c r="W913" s="1"/>
      <c r="X913" s="1"/>
      <c r="Y913" s="1"/>
      <c r="Z913" s="1"/>
    </row>
    <row r="914" spans="1:26" ht="24.75" customHeight="1">
      <c r="A914" s="1"/>
      <c r="B914" s="1"/>
      <c r="C914" s="1"/>
      <c r="D914" s="1"/>
      <c r="E914" s="1"/>
      <c r="F914" s="1"/>
      <c r="G914" s="1"/>
      <c r="H914" s="1"/>
      <c r="I914" s="1"/>
      <c r="J914" s="1"/>
      <c r="K914" s="1"/>
      <c r="L914" s="1"/>
      <c r="M914" s="1"/>
      <c r="N914" s="1"/>
      <c r="O914" s="1"/>
      <c r="P914" s="1"/>
      <c r="Q914" s="1"/>
      <c r="R914" s="1"/>
      <c r="S914" s="1"/>
      <c r="T914" s="1"/>
      <c r="U914" s="2"/>
      <c r="V914" s="1"/>
      <c r="W914" s="1"/>
      <c r="X914" s="1"/>
      <c r="Y914" s="1"/>
      <c r="Z914" s="1"/>
    </row>
    <row r="915" spans="1:26" ht="24.75" customHeight="1">
      <c r="A915" s="1"/>
      <c r="B915" s="1"/>
      <c r="C915" s="1"/>
      <c r="D915" s="1"/>
      <c r="E915" s="1"/>
      <c r="F915" s="1"/>
      <c r="G915" s="1"/>
      <c r="H915" s="1"/>
      <c r="I915" s="1"/>
      <c r="J915" s="1"/>
      <c r="K915" s="1"/>
      <c r="L915" s="1"/>
      <c r="M915" s="1"/>
      <c r="N915" s="1"/>
      <c r="O915" s="1"/>
      <c r="P915" s="1"/>
      <c r="Q915" s="1"/>
      <c r="R915" s="1"/>
      <c r="S915" s="1"/>
      <c r="T915" s="1"/>
      <c r="U915" s="2"/>
      <c r="V915" s="1"/>
      <c r="W915" s="1"/>
      <c r="X915" s="1"/>
      <c r="Y915" s="1"/>
      <c r="Z915" s="1"/>
    </row>
    <row r="916" spans="1:26" ht="24.75" customHeight="1">
      <c r="A916" s="1"/>
      <c r="B916" s="1"/>
      <c r="C916" s="1"/>
      <c r="D916" s="1"/>
      <c r="E916" s="1"/>
      <c r="F916" s="1"/>
      <c r="G916" s="1"/>
      <c r="H916" s="1"/>
      <c r="I916" s="1"/>
      <c r="J916" s="1"/>
      <c r="K916" s="1"/>
      <c r="L916" s="1"/>
      <c r="M916" s="1"/>
      <c r="N916" s="1"/>
      <c r="O916" s="1"/>
      <c r="P916" s="1"/>
      <c r="Q916" s="1"/>
      <c r="R916" s="1"/>
      <c r="S916" s="1"/>
      <c r="T916" s="1"/>
      <c r="U916" s="2"/>
      <c r="V916" s="1"/>
      <c r="W916" s="1"/>
      <c r="X916" s="1"/>
      <c r="Y916" s="1"/>
      <c r="Z916" s="1"/>
    </row>
    <row r="917" spans="1:26" ht="24.75" customHeight="1">
      <c r="A917" s="1"/>
      <c r="B917" s="1"/>
      <c r="C917" s="1"/>
      <c r="D917" s="1"/>
      <c r="E917" s="1"/>
      <c r="F917" s="1"/>
      <c r="G917" s="1"/>
      <c r="H917" s="1"/>
      <c r="I917" s="1"/>
      <c r="J917" s="1"/>
      <c r="K917" s="1"/>
      <c r="L917" s="1"/>
      <c r="M917" s="1"/>
      <c r="N917" s="1"/>
      <c r="O917" s="1"/>
      <c r="P917" s="1"/>
      <c r="Q917" s="1"/>
      <c r="R917" s="1"/>
      <c r="S917" s="1"/>
      <c r="T917" s="1"/>
      <c r="U917" s="2"/>
      <c r="V917" s="1"/>
      <c r="W917" s="1"/>
      <c r="X917" s="1"/>
      <c r="Y917" s="1"/>
      <c r="Z917" s="1"/>
    </row>
    <row r="918" spans="1:26" ht="24.75" customHeight="1">
      <c r="A918" s="1"/>
      <c r="B918" s="1"/>
      <c r="C918" s="1"/>
      <c r="D918" s="1"/>
      <c r="E918" s="1"/>
      <c r="F918" s="1"/>
      <c r="G918" s="1"/>
      <c r="H918" s="1"/>
      <c r="I918" s="1"/>
      <c r="J918" s="1"/>
      <c r="K918" s="1"/>
      <c r="L918" s="1"/>
      <c r="M918" s="1"/>
      <c r="N918" s="1"/>
      <c r="O918" s="1"/>
      <c r="P918" s="1"/>
      <c r="Q918" s="1"/>
      <c r="R918" s="1"/>
      <c r="S918" s="1"/>
      <c r="T918" s="1"/>
      <c r="U918" s="2"/>
      <c r="V918" s="1"/>
      <c r="W918" s="1"/>
      <c r="X918" s="1"/>
      <c r="Y918" s="1"/>
      <c r="Z918" s="1"/>
    </row>
    <row r="919" spans="1:26" ht="24.75" customHeight="1">
      <c r="A919" s="1"/>
      <c r="B919" s="1"/>
      <c r="C919" s="1"/>
      <c r="D919" s="1"/>
      <c r="E919" s="1"/>
      <c r="F919" s="1"/>
      <c r="G919" s="1"/>
      <c r="H919" s="1"/>
      <c r="I919" s="1"/>
      <c r="J919" s="1"/>
      <c r="K919" s="1"/>
      <c r="L919" s="1"/>
      <c r="M919" s="1"/>
      <c r="N919" s="1"/>
      <c r="O919" s="1"/>
      <c r="P919" s="1"/>
      <c r="Q919" s="1"/>
      <c r="R919" s="1"/>
      <c r="S919" s="1"/>
      <c r="T919" s="1"/>
      <c r="U919" s="2"/>
      <c r="V919" s="1"/>
      <c r="W919" s="1"/>
      <c r="X919" s="1"/>
      <c r="Y919" s="1"/>
      <c r="Z919" s="1"/>
    </row>
    <row r="920" spans="1:26" ht="24.75" customHeight="1">
      <c r="A920" s="1"/>
      <c r="B920" s="1"/>
      <c r="C920" s="1"/>
      <c r="D920" s="1"/>
      <c r="E920" s="1"/>
      <c r="F920" s="1"/>
      <c r="G920" s="1"/>
      <c r="H920" s="1"/>
      <c r="I920" s="1"/>
      <c r="J920" s="1"/>
      <c r="K920" s="1"/>
      <c r="L920" s="1"/>
      <c r="M920" s="1"/>
      <c r="N920" s="1"/>
      <c r="O920" s="1"/>
      <c r="P920" s="1"/>
      <c r="Q920" s="1"/>
      <c r="R920" s="1"/>
      <c r="S920" s="1"/>
      <c r="T920" s="1"/>
      <c r="U920" s="2"/>
      <c r="V920" s="1"/>
      <c r="W920" s="1"/>
      <c r="X920" s="1"/>
      <c r="Y920" s="1"/>
      <c r="Z920" s="1"/>
    </row>
    <row r="921" spans="1:26" ht="24.75" customHeight="1">
      <c r="A921" s="1"/>
      <c r="B921" s="1"/>
      <c r="C921" s="1"/>
      <c r="D921" s="1"/>
      <c r="E921" s="1"/>
      <c r="F921" s="1"/>
      <c r="G921" s="1"/>
      <c r="H921" s="1"/>
      <c r="I921" s="1"/>
      <c r="J921" s="1"/>
      <c r="K921" s="1"/>
      <c r="L921" s="1"/>
      <c r="M921" s="1"/>
      <c r="N921" s="1"/>
      <c r="O921" s="1"/>
      <c r="P921" s="1"/>
      <c r="Q921" s="1"/>
      <c r="R921" s="1"/>
      <c r="S921" s="1"/>
      <c r="T921" s="1"/>
      <c r="U921" s="2"/>
      <c r="V921" s="1"/>
      <c r="W921" s="1"/>
      <c r="X921" s="1"/>
      <c r="Y921" s="1"/>
      <c r="Z921" s="1"/>
    </row>
    <row r="922" spans="1:26" ht="24.75" customHeight="1">
      <c r="A922" s="1"/>
      <c r="B922" s="1"/>
      <c r="C922" s="1"/>
      <c r="D922" s="1"/>
      <c r="E922" s="1"/>
      <c r="F922" s="1"/>
      <c r="G922" s="1"/>
      <c r="H922" s="1"/>
      <c r="I922" s="1"/>
      <c r="J922" s="1"/>
      <c r="K922" s="1"/>
      <c r="L922" s="1"/>
      <c r="M922" s="1"/>
      <c r="N922" s="1"/>
      <c r="O922" s="1"/>
      <c r="P922" s="1"/>
      <c r="Q922" s="1"/>
      <c r="R922" s="1"/>
      <c r="S922" s="1"/>
      <c r="T922" s="1"/>
      <c r="U922" s="2"/>
      <c r="V922" s="1"/>
      <c r="W922" s="1"/>
      <c r="X922" s="1"/>
      <c r="Y922" s="1"/>
      <c r="Z922" s="1"/>
    </row>
    <row r="923" spans="1:26" ht="24.75" customHeight="1">
      <c r="A923" s="1"/>
      <c r="B923" s="1"/>
      <c r="C923" s="1"/>
      <c r="D923" s="1"/>
      <c r="E923" s="1"/>
      <c r="F923" s="1"/>
      <c r="G923" s="1"/>
      <c r="H923" s="1"/>
      <c r="I923" s="1"/>
      <c r="J923" s="1"/>
      <c r="K923" s="1"/>
      <c r="L923" s="1"/>
      <c r="M923" s="1"/>
      <c r="N923" s="1"/>
      <c r="O923" s="1"/>
      <c r="P923" s="1"/>
      <c r="Q923" s="1"/>
      <c r="R923" s="1"/>
      <c r="S923" s="1"/>
      <c r="T923" s="1"/>
      <c r="U923" s="2"/>
      <c r="V923" s="1"/>
      <c r="W923" s="1"/>
      <c r="X923" s="1"/>
      <c r="Y923" s="1"/>
      <c r="Z923" s="1"/>
    </row>
    <row r="924" spans="1:26" ht="24.75" customHeight="1">
      <c r="A924" s="1"/>
      <c r="B924" s="1"/>
      <c r="C924" s="1"/>
      <c r="D924" s="1"/>
      <c r="E924" s="1"/>
      <c r="F924" s="1"/>
      <c r="G924" s="1"/>
      <c r="H924" s="1"/>
      <c r="I924" s="1"/>
      <c r="J924" s="1"/>
      <c r="K924" s="1"/>
      <c r="L924" s="1"/>
      <c r="M924" s="1"/>
      <c r="N924" s="1"/>
      <c r="O924" s="1"/>
      <c r="P924" s="1"/>
      <c r="Q924" s="1"/>
      <c r="R924" s="1"/>
      <c r="S924" s="1"/>
      <c r="T924" s="1"/>
      <c r="U924" s="2"/>
      <c r="V924" s="1"/>
      <c r="W924" s="1"/>
      <c r="X924" s="1"/>
      <c r="Y924" s="1"/>
      <c r="Z924" s="1"/>
    </row>
    <row r="925" spans="1:26" ht="24.75" customHeight="1">
      <c r="A925" s="1"/>
      <c r="B925" s="1"/>
      <c r="C925" s="1"/>
      <c r="D925" s="1"/>
      <c r="E925" s="1"/>
      <c r="F925" s="1"/>
      <c r="G925" s="1"/>
      <c r="H925" s="1"/>
      <c r="I925" s="1"/>
      <c r="J925" s="1"/>
      <c r="K925" s="1"/>
      <c r="L925" s="1"/>
      <c r="M925" s="1"/>
      <c r="N925" s="1"/>
      <c r="O925" s="1"/>
      <c r="P925" s="1"/>
      <c r="Q925" s="1"/>
      <c r="R925" s="1"/>
      <c r="S925" s="1"/>
      <c r="T925" s="1"/>
      <c r="U925" s="2"/>
      <c r="V925" s="1"/>
      <c r="W925" s="1"/>
      <c r="X925" s="1"/>
      <c r="Y925" s="1"/>
      <c r="Z925" s="1"/>
    </row>
    <row r="926" spans="1:26" ht="24.75" customHeight="1">
      <c r="A926" s="1"/>
      <c r="B926" s="1"/>
      <c r="C926" s="1"/>
      <c r="D926" s="1"/>
      <c r="E926" s="1"/>
      <c r="F926" s="1"/>
      <c r="G926" s="1"/>
      <c r="H926" s="1"/>
      <c r="I926" s="1"/>
      <c r="J926" s="1"/>
      <c r="K926" s="1"/>
      <c r="L926" s="1"/>
      <c r="M926" s="1"/>
      <c r="N926" s="1"/>
      <c r="O926" s="1"/>
      <c r="P926" s="1"/>
      <c r="Q926" s="1"/>
      <c r="R926" s="1"/>
      <c r="S926" s="1"/>
      <c r="T926" s="1"/>
      <c r="U926" s="2"/>
      <c r="V926" s="1"/>
      <c r="W926" s="1"/>
      <c r="X926" s="1"/>
      <c r="Y926" s="1"/>
      <c r="Z926" s="1"/>
    </row>
    <row r="927" spans="1:26" ht="24.75" customHeight="1">
      <c r="A927" s="1"/>
      <c r="B927" s="1"/>
      <c r="C927" s="1"/>
      <c r="D927" s="1"/>
      <c r="E927" s="1"/>
      <c r="F927" s="1"/>
      <c r="G927" s="1"/>
      <c r="H927" s="1"/>
      <c r="I927" s="1"/>
      <c r="J927" s="1"/>
      <c r="K927" s="1"/>
      <c r="L927" s="1"/>
      <c r="M927" s="1"/>
      <c r="N927" s="1"/>
      <c r="O927" s="1"/>
      <c r="P927" s="1"/>
      <c r="Q927" s="1"/>
      <c r="R927" s="1"/>
      <c r="S927" s="1"/>
      <c r="T927" s="1"/>
      <c r="U927" s="2"/>
      <c r="V927" s="1"/>
      <c r="W927" s="1"/>
      <c r="X927" s="1"/>
      <c r="Y927" s="1"/>
      <c r="Z927" s="1"/>
    </row>
    <row r="928" spans="1:26" ht="24.75" customHeight="1">
      <c r="A928" s="1"/>
      <c r="B928" s="1"/>
      <c r="C928" s="1"/>
      <c r="D928" s="1"/>
      <c r="E928" s="1"/>
      <c r="F928" s="1"/>
      <c r="G928" s="1"/>
      <c r="H928" s="1"/>
      <c r="I928" s="1"/>
      <c r="J928" s="1"/>
      <c r="K928" s="1"/>
      <c r="L928" s="1"/>
      <c r="M928" s="1"/>
      <c r="N928" s="1"/>
      <c r="O928" s="1"/>
      <c r="P928" s="1"/>
      <c r="Q928" s="1"/>
      <c r="R928" s="1"/>
      <c r="S928" s="1"/>
      <c r="T928" s="1"/>
      <c r="U928" s="2"/>
      <c r="V928" s="1"/>
      <c r="W928" s="1"/>
      <c r="X928" s="1"/>
      <c r="Y928" s="1"/>
      <c r="Z928" s="1"/>
    </row>
    <row r="929" spans="1:26" ht="24.75" customHeight="1">
      <c r="A929" s="1"/>
      <c r="B929" s="1"/>
      <c r="C929" s="1"/>
      <c r="D929" s="1"/>
      <c r="E929" s="1"/>
      <c r="F929" s="1"/>
      <c r="G929" s="1"/>
      <c r="H929" s="1"/>
      <c r="I929" s="1"/>
      <c r="J929" s="1"/>
      <c r="K929" s="1"/>
      <c r="L929" s="1"/>
      <c r="M929" s="1"/>
      <c r="N929" s="1"/>
      <c r="O929" s="1"/>
      <c r="P929" s="1"/>
      <c r="Q929" s="1"/>
      <c r="R929" s="1"/>
      <c r="S929" s="1"/>
      <c r="T929" s="1"/>
      <c r="U929" s="2"/>
      <c r="V929" s="1"/>
      <c r="W929" s="1"/>
      <c r="X929" s="1"/>
      <c r="Y929" s="1"/>
      <c r="Z929" s="1"/>
    </row>
    <row r="930" spans="1:26" ht="24.75" customHeight="1">
      <c r="A930" s="1"/>
      <c r="B930" s="1"/>
      <c r="C930" s="1"/>
      <c r="D930" s="1"/>
      <c r="E930" s="1"/>
      <c r="F930" s="1"/>
      <c r="G930" s="1"/>
      <c r="H930" s="1"/>
      <c r="I930" s="1"/>
      <c r="J930" s="1"/>
      <c r="K930" s="1"/>
      <c r="L930" s="1"/>
      <c r="M930" s="1"/>
      <c r="N930" s="1"/>
      <c r="O930" s="1"/>
      <c r="P930" s="1"/>
      <c r="Q930" s="1"/>
      <c r="R930" s="1"/>
      <c r="S930" s="1"/>
      <c r="T930" s="1"/>
      <c r="U930" s="2"/>
      <c r="V930" s="1"/>
      <c r="W930" s="1"/>
      <c r="X930" s="1"/>
      <c r="Y930" s="1"/>
      <c r="Z930" s="1"/>
    </row>
    <row r="931" spans="1:26" ht="24.75" customHeight="1">
      <c r="A931" s="1"/>
      <c r="B931" s="1"/>
      <c r="C931" s="1"/>
      <c r="D931" s="1"/>
      <c r="E931" s="1"/>
      <c r="F931" s="1"/>
      <c r="G931" s="1"/>
      <c r="H931" s="1"/>
      <c r="I931" s="1"/>
      <c r="J931" s="1"/>
      <c r="K931" s="1"/>
      <c r="L931" s="1"/>
      <c r="M931" s="1"/>
      <c r="N931" s="1"/>
      <c r="O931" s="1"/>
      <c r="P931" s="1"/>
      <c r="Q931" s="1"/>
      <c r="R931" s="1"/>
      <c r="S931" s="1"/>
      <c r="T931" s="1"/>
      <c r="U931" s="2"/>
      <c r="V931" s="1"/>
      <c r="W931" s="1"/>
      <c r="X931" s="1"/>
      <c r="Y931" s="1"/>
      <c r="Z931" s="1"/>
    </row>
    <row r="932" spans="1:26" ht="24.75" customHeight="1">
      <c r="A932" s="1"/>
      <c r="B932" s="1"/>
      <c r="C932" s="1"/>
      <c r="D932" s="1"/>
      <c r="E932" s="1"/>
      <c r="F932" s="1"/>
      <c r="G932" s="1"/>
      <c r="H932" s="1"/>
      <c r="I932" s="1"/>
      <c r="J932" s="1"/>
      <c r="K932" s="1"/>
      <c r="L932" s="1"/>
      <c r="M932" s="1"/>
      <c r="N932" s="1"/>
      <c r="O932" s="1"/>
      <c r="P932" s="1"/>
      <c r="Q932" s="1"/>
      <c r="R932" s="1"/>
      <c r="S932" s="1"/>
      <c r="T932" s="1"/>
      <c r="U932" s="2"/>
      <c r="V932" s="1"/>
      <c r="W932" s="1"/>
      <c r="X932" s="1"/>
      <c r="Y932" s="1"/>
      <c r="Z932" s="1"/>
    </row>
    <row r="933" spans="1:26" ht="24.75" customHeight="1">
      <c r="A933" s="1"/>
      <c r="B933" s="1"/>
      <c r="C933" s="1"/>
      <c r="D933" s="1"/>
      <c r="E933" s="1"/>
      <c r="F933" s="1"/>
      <c r="G933" s="1"/>
      <c r="H933" s="1"/>
      <c r="I933" s="1"/>
      <c r="J933" s="1"/>
      <c r="K933" s="1"/>
      <c r="L933" s="1"/>
      <c r="M933" s="1"/>
      <c r="N933" s="1"/>
      <c r="O933" s="1"/>
      <c r="P933" s="1"/>
      <c r="Q933" s="1"/>
      <c r="R933" s="1"/>
      <c r="S933" s="1"/>
      <c r="T933" s="1"/>
      <c r="U933" s="2"/>
      <c r="V933" s="1"/>
      <c r="W933" s="1"/>
      <c r="X933" s="1"/>
      <c r="Y933" s="1"/>
      <c r="Z933" s="1"/>
    </row>
    <row r="934" spans="1:26" ht="24.75" customHeight="1">
      <c r="A934" s="1"/>
      <c r="B934" s="1"/>
      <c r="C934" s="1"/>
      <c r="D934" s="1"/>
      <c r="E934" s="1"/>
      <c r="F934" s="1"/>
      <c r="G934" s="1"/>
      <c r="H934" s="1"/>
      <c r="I934" s="1"/>
      <c r="J934" s="1"/>
      <c r="K934" s="1"/>
      <c r="L934" s="1"/>
      <c r="M934" s="1"/>
      <c r="N934" s="1"/>
      <c r="O934" s="1"/>
      <c r="P934" s="1"/>
      <c r="Q934" s="1"/>
      <c r="R934" s="1"/>
      <c r="S934" s="1"/>
      <c r="T934" s="1"/>
      <c r="U934" s="2"/>
      <c r="V934" s="1"/>
      <c r="W934" s="1"/>
      <c r="X934" s="1"/>
      <c r="Y934" s="1"/>
      <c r="Z934" s="1"/>
    </row>
    <row r="935" spans="1:26" ht="24.75" customHeight="1">
      <c r="A935" s="1"/>
      <c r="B935" s="1"/>
      <c r="C935" s="1"/>
      <c r="D935" s="1"/>
      <c r="E935" s="1"/>
      <c r="F935" s="1"/>
      <c r="G935" s="1"/>
      <c r="H935" s="1"/>
      <c r="I935" s="1"/>
      <c r="J935" s="1"/>
      <c r="K935" s="1"/>
      <c r="L935" s="1"/>
      <c r="M935" s="1"/>
      <c r="N935" s="1"/>
      <c r="O935" s="1"/>
      <c r="P935" s="1"/>
      <c r="Q935" s="1"/>
      <c r="R935" s="1"/>
      <c r="S935" s="1"/>
      <c r="T935" s="1"/>
      <c r="U935" s="2"/>
      <c r="V935" s="1"/>
      <c r="W935" s="1"/>
      <c r="X935" s="1"/>
      <c r="Y935" s="1"/>
      <c r="Z935" s="1"/>
    </row>
    <row r="936" spans="1:26" ht="24.75" customHeight="1">
      <c r="A936" s="1"/>
      <c r="B936" s="1"/>
      <c r="C936" s="1"/>
      <c r="D936" s="1"/>
      <c r="E936" s="1"/>
      <c r="F936" s="1"/>
      <c r="G936" s="1"/>
      <c r="H936" s="1"/>
      <c r="I936" s="1"/>
      <c r="J936" s="1"/>
      <c r="K936" s="1"/>
      <c r="L936" s="1"/>
      <c r="M936" s="1"/>
      <c r="N936" s="1"/>
      <c r="O936" s="1"/>
      <c r="P936" s="1"/>
      <c r="Q936" s="1"/>
      <c r="R936" s="1"/>
      <c r="S936" s="1"/>
      <c r="T936" s="1"/>
      <c r="U936" s="2"/>
      <c r="V936" s="1"/>
      <c r="W936" s="1"/>
      <c r="X936" s="1"/>
      <c r="Y936" s="1"/>
      <c r="Z936" s="1"/>
    </row>
    <row r="937" spans="1:26" ht="24.75" customHeight="1">
      <c r="A937" s="1"/>
      <c r="B937" s="1"/>
      <c r="C937" s="1"/>
      <c r="D937" s="1"/>
      <c r="E937" s="1"/>
      <c r="F937" s="1"/>
      <c r="G937" s="1"/>
      <c r="H937" s="1"/>
      <c r="I937" s="1"/>
      <c r="J937" s="1"/>
      <c r="K937" s="1"/>
      <c r="L937" s="1"/>
      <c r="M937" s="1"/>
      <c r="N937" s="1"/>
      <c r="O937" s="1"/>
      <c r="P937" s="1"/>
      <c r="Q937" s="1"/>
      <c r="R937" s="1"/>
      <c r="S937" s="1"/>
      <c r="T937" s="1"/>
      <c r="U937" s="2"/>
      <c r="V937" s="1"/>
      <c r="W937" s="1"/>
      <c r="X937" s="1"/>
      <c r="Y937" s="1"/>
      <c r="Z937" s="1"/>
    </row>
    <row r="938" spans="1:26" ht="24.75" customHeight="1">
      <c r="A938" s="1"/>
      <c r="B938" s="1"/>
      <c r="C938" s="1"/>
      <c r="D938" s="1"/>
      <c r="E938" s="1"/>
      <c r="F938" s="1"/>
      <c r="G938" s="1"/>
      <c r="H938" s="1"/>
      <c r="I938" s="1"/>
      <c r="J938" s="1"/>
      <c r="K938" s="1"/>
      <c r="L938" s="1"/>
      <c r="M938" s="1"/>
      <c r="N938" s="1"/>
      <c r="O938" s="1"/>
      <c r="P938" s="1"/>
      <c r="Q938" s="1"/>
      <c r="R938" s="1"/>
      <c r="S938" s="1"/>
      <c r="T938" s="1"/>
      <c r="U938" s="2"/>
      <c r="V938" s="1"/>
      <c r="W938" s="1"/>
      <c r="X938" s="1"/>
      <c r="Y938" s="1"/>
      <c r="Z938" s="1"/>
    </row>
    <row r="939" spans="1:26" ht="24.75" customHeight="1">
      <c r="A939" s="1"/>
      <c r="B939" s="1"/>
      <c r="C939" s="1"/>
      <c r="D939" s="1"/>
      <c r="E939" s="1"/>
      <c r="F939" s="1"/>
      <c r="G939" s="1"/>
      <c r="H939" s="1"/>
      <c r="I939" s="1"/>
      <c r="J939" s="1"/>
      <c r="K939" s="1"/>
      <c r="L939" s="1"/>
      <c r="M939" s="1"/>
      <c r="N939" s="1"/>
      <c r="O939" s="1"/>
      <c r="P939" s="1"/>
      <c r="Q939" s="1"/>
      <c r="R939" s="1"/>
      <c r="S939" s="1"/>
      <c r="T939" s="1"/>
      <c r="U939" s="2"/>
      <c r="V939" s="1"/>
      <c r="W939" s="1"/>
      <c r="X939" s="1"/>
      <c r="Y939" s="1"/>
      <c r="Z939" s="1"/>
    </row>
    <row r="940" spans="1:26" ht="24.75" customHeight="1">
      <c r="A940" s="1"/>
      <c r="B940" s="1"/>
      <c r="C940" s="1"/>
      <c r="D940" s="1"/>
      <c r="E940" s="1"/>
      <c r="F940" s="1"/>
      <c r="G940" s="1"/>
      <c r="H940" s="1"/>
      <c r="I940" s="1"/>
      <c r="J940" s="1"/>
      <c r="K940" s="1"/>
      <c r="L940" s="1"/>
      <c r="M940" s="1"/>
      <c r="N940" s="1"/>
      <c r="O940" s="1"/>
      <c r="P940" s="1"/>
      <c r="Q940" s="1"/>
      <c r="R940" s="1"/>
      <c r="S940" s="1"/>
      <c r="T940" s="1"/>
      <c r="U940" s="2"/>
      <c r="V940" s="1"/>
      <c r="W940" s="1"/>
      <c r="X940" s="1"/>
      <c r="Y940" s="1"/>
      <c r="Z940" s="1"/>
    </row>
    <row r="941" spans="1:26" ht="24.75" customHeight="1">
      <c r="A941" s="1"/>
      <c r="B941" s="1"/>
      <c r="C941" s="1"/>
      <c r="D941" s="1"/>
      <c r="E941" s="1"/>
      <c r="F941" s="1"/>
      <c r="G941" s="1"/>
      <c r="H941" s="1"/>
      <c r="I941" s="1"/>
      <c r="J941" s="1"/>
      <c r="K941" s="1"/>
      <c r="L941" s="1"/>
      <c r="M941" s="1"/>
      <c r="N941" s="1"/>
      <c r="O941" s="1"/>
      <c r="P941" s="1"/>
      <c r="Q941" s="1"/>
      <c r="R941" s="1"/>
      <c r="S941" s="1"/>
      <c r="T941" s="1"/>
      <c r="U941" s="2"/>
      <c r="V941" s="1"/>
      <c r="W941" s="1"/>
      <c r="X941" s="1"/>
      <c r="Y941" s="1"/>
      <c r="Z941" s="1"/>
    </row>
    <row r="942" spans="1:26" ht="24.75" customHeight="1">
      <c r="A942" s="1"/>
      <c r="B942" s="1"/>
      <c r="C942" s="1"/>
      <c r="D942" s="1"/>
      <c r="E942" s="1"/>
      <c r="F942" s="1"/>
      <c r="G942" s="1"/>
      <c r="H942" s="1"/>
      <c r="I942" s="1"/>
      <c r="J942" s="1"/>
      <c r="K942" s="1"/>
      <c r="L942" s="1"/>
      <c r="M942" s="1"/>
      <c r="N942" s="1"/>
      <c r="O942" s="1"/>
      <c r="P942" s="1"/>
      <c r="Q942" s="1"/>
      <c r="R942" s="1"/>
      <c r="S942" s="1"/>
      <c r="T942" s="1"/>
      <c r="U942" s="2"/>
      <c r="V942" s="1"/>
      <c r="W942" s="1"/>
      <c r="X942" s="1"/>
      <c r="Y942" s="1"/>
      <c r="Z942" s="1"/>
    </row>
    <row r="943" spans="1:26" ht="24.75" customHeight="1">
      <c r="A943" s="1"/>
      <c r="B943" s="1"/>
      <c r="C943" s="1"/>
      <c r="D943" s="1"/>
      <c r="E943" s="1"/>
      <c r="F943" s="1"/>
      <c r="G943" s="1"/>
      <c r="H943" s="1"/>
      <c r="I943" s="1"/>
      <c r="J943" s="1"/>
      <c r="K943" s="1"/>
      <c r="L943" s="1"/>
      <c r="M943" s="1"/>
      <c r="N943" s="1"/>
      <c r="O943" s="1"/>
      <c r="P943" s="1"/>
      <c r="Q943" s="1"/>
      <c r="R943" s="1"/>
      <c r="S943" s="1"/>
      <c r="T943" s="1"/>
      <c r="U943" s="2"/>
      <c r="V943" s="1"/>
      <c r="W943" s="1"/>
      <c r="X943" s="1"/>
      <c r="Y943" s="1"/>
      <c r="Z943" s="1"/>
    </row>
    <row r="944" spans="1:26" ht="24.75" customHeight="1">
      <c r="A944" s="1"/>
      <c r="B944" s="1"/>
      <c r="C944" s="1"/>
      <c r="D944" s="1"/>
      <c r="E944" s="1"/>
      <c r="F944" s="1"/>
      <c r="G944" s="1"/>
      <c r="H944" s="1"/>
      <c r="I944" s="1"/>
      <c r="J944" s="1"/>
      <c r="K944" s="1"/>
      <c r="L944" s="1"/>
      <c r="M944" s="1"/>
      <c r="N944" s="1"/>
      <c r="O944" s="1"/>
      <c r="P944" s="1"/>
      <c r="Q944" s="1"/>
      <c r="R944" s="1"/>
      <c r="S944" s="1"/>
      <c r="T944" s="1"/>
      <c r="U944" s="2"/>
      <c r="V944" s="1"/>
      <c r="W944" s="1"/>
      <c r="X944" s="1"/>
      <c r="Y944" s="1"/>
      <c r="Z944" s="1"/>
    </row>
    <row r="945" spans="1:26" ht="24.75" customHeight="1">
      <c r="A945" s="1"/>
      <c r="B945" s="1"/>
      <c r="C945" s="1"/>
      <c r="D945" s="1"/>
      <c r="E945" s="1"/>
      <c r="F945" s="1"/>
      <c r="G945" s="1"/>
      <c r="H945" s="1"/>
      <c r="I945" s="1"/>
      <c r="J945" s="1"/>
      <c r="K945" s="1"/>
      <c r="L945" s="1"/>
      <c r="M945" s="1"/>
      <c r="N945" s="1"/>
      <c r="O945" s="1"/>
      <c r="P945" s="1"/>
      <c r="Q945" s="1"/>
      <c r="R945" s="1"/>
      <c r="S945" s="1"/>
      <c r="T945" s="1"/>
      <c r="U945" s="2"/>
      <c r="V945" s="1"/>
      <c r="W945" s="1"/>
      <c r="X945" s="1"/>
      <c r="Y945" s="1"/>
      <c r="Z945" s="1"/>
    </row>
    <row r="946" spans="1:26" ht="24.75" customHeight="1">
      <c r="A946" s="1"/>
      <c r="B946" s="1"/>
      <c r="C946" s="1"/>
      <c r="D946" s="1"/>
      <c r="E946" s="1"/>
      <c r="F946" s="1"/>
      <c r="G946" s="1"/>
      <c r="H946" s="1"/>
      <c r="I946" s="1"/>
      <c r="J946" s="1"/>
      <c r="K946" s="1"/>
      <c r="L946" s="1"/>
      <c r="M946" s="1"/>
      <c r="N946" s="1"/>
      <c r="O946" s="1"/>
      <c r="P946" s="1"/>
      <c r="Q946" s="1"/>
      <c r="R946" s="1"/>
      <c r="S946" s="1"/>
      <c r="T946" s="1"/>
      <c r="U946" s="2"/>
      <c r="V946" s="1"/>
      <c r="W946" s="1"/>
      <c r="X946" s="1"/>
      <c r="Y946" s="1"/>
      <c r="Z946" s="1"/>
    </row>
    <row r="947" spans="1:26" ht="24.75" customHeight="1">
      <c r="A947" s="1"/>
      <c r="B947" s="1"/>
      <c r="C947" s="1"/>
      <c r="D947" s="1"/>
      <c r="E947" s="1"/>
      <c r="F947" s="1"/>
      <c r="G947" s="1"/>
      <c r="H947" s="1"/>
      <c r="I947" s="1"/>
      <c r="J947" s="1"/>
      <c r="K947" s="1"/>
      <c r="L947" s="1"/>
      <c r="M947" s="1"/>
      <c r="N947" s="1"/>
      <c r="O947" s="1"/>
      <c r="P947" s="1"/>
      <c r="Q947" s="1"/>
      <c r="R947" s="1"/>
      <c r="S947" s="1"/>
      <c r="T947" s="1"/>
      <c r="U947" s="2"/>
      <c r="V947" s="1"/>
      <c r="W947" s="1"/>
      <c r="X947" s="1"/>
      <c r="Y947" s="1"/>
      <c r="Z947" s="1"/>
    </row>
    <row r="948" spans="1:26" ht="24.75" customHeight="1">
      <c r="A948" s="1"/>
      <c r="B948" s="1"/>
      <c r="C948" s="1"/>
      <c r="D948" s="1"/>
      <c r="E948" s="1"/>
      <c r="F948" s="1"/>
      <c r="G948" s="1"/>
      <c r="H948" s="1"/>
      <c r="I948" s="1"/>
      <c r="J948" s="1"/>
      <c r="K948" s="1"/>
      <c r="L948" s="1"/>
      <c r="M948" s="1"/>
      <c r="N948" s="1"/>
      <c r="O948" s="1"/>
      <c r="P948" s="1"/>
      <c r="Q948" s="1"/>
      <c r="R948" s="1"/>
      <c r="S948" s="1"/>
      <c r="T948" s="1"/>
      <c r="U948" s="2"/>
      <c r="V948" s="1"/>
      <c r="W948" s="1"/>
      <c r="X948" s="1"/>
      <c r="Y948" s="1"/>
      <c r="Z948" s="1"/>
    </row>
    <row r="949" spans="1:26" ht="24.75" customHeight="1">
      <c r="A949" s="1"/>
      <c r="B949" s="1"/>
      <c r="C949" s="1"/>
      <c r="D949" s="1"/>
      <c r="E949" s="1"/>
      <c r="F949" s="1"/>
      <c r="G949" s="1"/>
      <c r="H949" s="1"/>
      <c r="I949" s="1"/>
      <c r="J949" s="1"/>
      <c r="K949" s="1"/>
      <c r="L949" s="1"/>
      <c r="M949" s="1"/>
      <c r="N949" s="1"/>
      <c r="O949" s="1"/>
      <c r="P949" s="1"/>
      <c r="Q949" s="1"/>
      <c r="R949" s="1"/>
      <c r="S949" s="1"/>
      <c r="T949" s="1"/>
      <c r="U949" s="2"/>
      <c r="V949" s="1"/>
      <c r="W949" s="1"/>
      <c r="X949" s="1"/>
      <c r="Y949" s="1"/>
      <c r="Z949" s="1"/>
    </row>
    <row r="950" spans="1:26" ht="24.75" customHeight="1">
      <c r="A950" s="1"/>
      <c r="B950" s="1"/>
      <c r="C950" s="1"/>
      <c r="D950" s="1"/>
      <c r="E950" s="1"/>
      <c r="F950" s="1"/>
      <c r="G950" s="1"/>
      <c r="H950" s="1"/>
      <c r="I950" s="1"/>
      <c r="J950" s="1"/>
      <c r="K950" s="1"/>
      <c r="L950" s="1"/>
      <c r="M950" s="1"/>
      <c r="N950" s="1"/>
      <c r="O950" s="1"/>
      <c r="P950" s="1"/>
      <c r="Q950" s="1"/>
      <c r="R950" s="1"/>
      <c r="S950" s="1"/>
      <c r="T950" s="1"/>
      <c r="U950" s="2"/>
      <c r="V950" s="1"/>
      <c r="W950" s="1"/>
      <c r="X950" s="1"/>
      <c r="Y950" s="1"/>
      <c r="Z950" s="1"/>
    </row>
    <row r="951" spans="1:26" ht="24.75" customHeight="1">
      <c r="A951" s="1"/>
      <c r="B951" s="1"/>
      <c r="C951" s="1"/>
      <c r="D951" s="1"/>
      <c r="E951" s="1"/>
      <c r="F951" s="1"/>
      <c r="G951" s="1"/>
      <c r="H951" s="1"/>
      <c r="I951" s="1"/>
      <c r="J951" s="1"/>
      <c r="K951" s="1"/>
      <c r="L951" s="1"/>
      <c r="M951" s="1"/>
      <c r="N951" s="1"/>
      <c r="O951" s="1"/>
      <c r="P951" s="1"/>
      <c r="Q951" s="1"/>
      <c r="R951" s="1"/>
      <c r="S951" s="1"/>
      <c r="T951" s="1"/>
      <c r="U951" s="2"/>
      <c r="V951" s="1"/>
      <c r="W951" s="1"/>
      <c r="X951" s="1"/>
      <c r="Y951" s="1"/>
      <c r="Z951" s="1"/>
    </row>
    <row r="952" spans="1:26" ht="24.75" customHeight="1">
      <c r="A952" s="1"/>
      <c r="B952" s="1"/>
      <c r="C952" s="1"/>
      <c r="D952" s="1"/>
      <c r="E952" s="1"/>
      <c r="F952" s="1"/>
      <c r="G952" s="1"/>
      <c r="H952" s="1"/>
      <c r="I952" s="1"/>
      <c r="J952" s="1"/>
      <c r="K952" s="1"/>
      <c r="L952" s="1"/>
      <c r="M952" s="1"/>
      <c r="N952" s="1"/>
      <c r="O952" s="1"/>
      <c r="P952" s="1"/>
      <c r="Q952" s="1"/>
      <c r="R952" s="1"/>
      <c r="S952" s="1"/>
      <c r="T952" s="1"/>
      <c r="U952" s="2"/>
      <c r="V952" s="1"/>
      <c r="W952" s="1"/>
      <c r="X952" s="1"/>
      <c r="Y952" s="1"/>
      <c r="Z952" s="1"/>
    </row>
    <row r="953" spans="1:26" ht="24.75" customHeight="1">
      <c r="A953" s="1"/>
      <c r="B953" s="1"/>
      <c r="C953" s="1"/>
      <c r="D953" s="1"/>
      <c r="E953" s="1"/>
      <c r="F953" s="1"/>
      <c r="G953" s="1"/>
      <c r="H953" s="1"/>
      <c r="I953" s="1"/>
      <c r="J953" s="1"/>
      <c r="K953" s="1"/>
      <c r="L953" s="1"/>
      <c r="M953" s="1"/>
      <c r="N953" s="1"/>
      <c r="O953" s="1"/>
      <c r="P953" s="1"/>
      <c r="Q953" s="1"/>
      <c r="R953" s="1"/>
      <c r="S953" s="1"/>
      <c r="T953" s="1"/>
      <c r="U953" s="2"/>
      <c r="V953" s="1"/>
      <c r="W953" s="1"/>
      <c r="X953" s="1"/>
      <c r="Y953" s="1"/>
      <c r="Z953" s="1"/>
    </row>
    <row r="954" spans="1:26" ht="24.75" customHeight="1">
      <c r="A954" s="1"/>
      <c r="B954" s="1"/>
      <c r="C954" s="1"/>
      <c r="D954" s="1"/>
      <c r="E954" s="1"/>
      <c r="F954" s="1"/>
      <c r="G954" s="1"/>
      <c r="H954" s="1"/>
      <c r="I954" s="1"/>
      <c r="J954" s="1"/>
      <c r="K954" s="1"/>
      <c r="L954" s="1"/>
      <c r="M954" s="1"/>
      <c r="N954" s="1"/>
      <c r="O954" s="1"/>
      <c r="P954" s="1"/>
      <c r="Q954" s="1"/>
      <c r="R954" s="1"/>
      <c r="S954" s="1"/>
      <c r="T954" s="1"/>
      <c r="U954" s="2"/>
      <c r="V954" s="1"/>
      <c r="W954" s="1"/>
      <c r="X954" s="1"/>
      <c r="Y954" s="1"/>
      <c r="Z954" s="1"/>
    </row>
    <row r="955" spans="1:26" ht="24.75" customHeight="1">
      <c r="A955" s="1"/>
      <c r="B955" s="1"/>
      <c r="C955" s="1"/>
      <c r="D955" s="1"/>
      <c r="E955" s="1"/>
      <c r="F955" s="1"/>
      <c r="G955" s="1"/>
      <c r="H955" s="1"/>
      <c r="I955" s="1"/>
      <c r="J955" s="1"/>
      <c r="K955" s="1"/>
      <c r="L955" s="1"/>
      <c r="M955" s="1"/>
      <c r="N955" s="1"/>
      <c r="O955" s="1"/>
      <c r="P955" s="1"/>
      <c r="Q955" s="1"/>
      <c r="R955" s="1"/>
      <c r="S955" s="1"/>
      <c r="T955" s="1"/>
      <c r="U955" s="2"/>
      <c r="V955" s="1"/>
      <c r="W955" s="1"/>
      <c r="X955" s="1"/>
      <c r="Y955" s="1"/>
      <c r="Z955" s="1"/>
    </row>
    <row r="956" spans="1:26" ht="24.75" customHeight="1">
      <c r="A956" s="1"/>
      <c r="B956" s="1"/>
      <c r="C956" s="1"/>
      <c r="D956" s="1"/>
      <c r="E956" s="1"/>
      <c r="F956" s="1"/>
      <c r="G956" s="1"/>
      <c r="H956" s="1"/>
      <c r="I956" s="1"/>
      <c r="J956" s="1"/>
      <c r="K956" s="1"/>
      <c r="L956" s="1"/>
      <c r="M956" s="1"/>
      <c r="N956" s="1"/>
      <c r="O956" s="1"/>
      <c r="P956" s="1"/>
      <c r="Q956" s="1"/>
      <c r="R956" s="1"/>
      <c r="S956" s="1"/>
      <c r="T956" s="1"/>
      <c r="U956" s="2"/>
      <c r="V956" s="1"/>
      <c r="W956" s="1"/>
      <c r="X956" s="1"/>
      <c r="Y956" s="1"/>
      <c r="Z956" s="1"/>
    </row>
    <row r="957" spans="1:26" ht="24.75" customHeight="1">
      <c r="A957" s="1"/>
      <c r="B957" s="1"/>
      <c r="C957" s="1"/>
      <c r="D957" s="1"/>
      <c r="E957" s="1"/>
      <c r="F957" s="1"/>
      <c r="G957" s="1"/>
      <c r="H957" s="1"/>
      <c r="I957" s="1"/>
      <c r="J957" s="1"/>
      <c r="K957" s="1"/>
      <c r="L957" s="1"/>
      <c r="M957" s="1"/>
      <c r="N957" s="1"/>
      <c r="O957" s="1"/>
      <c r="P957" s="1"/>
      <c r="Q957" s="1"/>
      <c r="R957" s="1"/>
      <c r="S957" s="1"/>
      <c r="T957" s="1"/>
      <c r="U957" s="2"/>
      <c r="V957" s="1"/>
      <c r="W957" s="1"/>
      <c r="X957" s="1"/>
      <c r="Y957" s="1"/>
      <c r="Z957" s="1"/>
    </row>
    <row r="958" spans="1:26" ht="24.75" customHeight="1">
      <c r="A958" s="1"/>
      <c r="B958" s="1"/>
      <c r="C958" s="1"/>
      <c r="D958" s="1"/>
      <c r="E958" s="1"/>
      <c r="F958" s="1"/>
      <c r="G958" s="1"/>
      <c r="H958" s="1"/>
      <c r="I958" s="1"/>
      <c r="J958" s="1"/>
      <c r="K958" s="1"/>
      <c r="L958" s="1"/>
      <c r="M958" s="1"/>
      <c r="N958" s="1"/>
      <c r="O958" s="1"/>
      <c r="P958" s="1"/>
      <c r="Q958" s="1"/>
      <c r="R958" s="1"/>
      <c r="S958" s="1"/>
      <c r="T958" s="1"/>
      <c r="U958" s="2"/>
      <c r="V958" s="1"/>
      <c r="W958" s="1"/>
      <c r="X958" s="1"/>
      <c r="Y958" s="1"/>
      <c r="Z958" s="1"/>
    </row>
    <row r="959" spans="1:26" ht="24.75" customHeight="1">
      <c r="A959" s="1"/>
      <c r="B959" s="1"/>
      <c r="C959" s="1"/>
      <c r="D959" s="1"/>
      <c r="E959" s="1"/>
      <c r="F959" s="1"/>
      <c r="G959" s="1"/>
      <c r="H959" s="1"/>
      <c r="I959" s="1"/>
      <c r="J959" s="1"/>
      <c r="K959" s="1"/>
      <c r="L959" s="1"/>
      <c r="M959" s="1"/>
      <c r="N959" s="1"/>
      <c r="O959" s="1"/>
      <c r="P959" s="1"/>
      <c r="Q959" s="1"/>
      <c r="R959" s="1"/>
      <c r="S959" s="1"/>
      <c r="T959" s="1"/>
      <c r="U959" s="2"/>
      <c r="V959" s="1"/>
      <c r="W959" s="1"/>
      <c r="X959" s="1"/>
      <c r="Y959" s="1"/>
      <c r="Z959" s="1"/>
    </row>
    <row r="960" spans="1:26" ht="24.75" customHeight="1">
      <c r="A960" s="1"/>
      <c r="B960" s="1"/>
      <c r="C960" s="1"/>
      <c r="D960" s="1"/>
      <c r="E960" s="1"/>
      <c r="F960" s="1"/>
      <c r="G960" s="1"/>
      <c r="H960" s="1"/>
      <c r="I960" s="1"/>
      <c r="J960" s="1"/>
      <c r="K960" s="1"/>
      <c r="L960" s="1"/>
      <c r="M960" s="1"/>
      <c r="N960" s="1"/>
      <c r="O960" s="1"/>
      <c r="P960" s="1"/>
      <c r="Q960" s="1"/>
      <c r="R960" s="1"/>
      <c r="S960" s="1"/>
      <c r="T960" s="1"/>
      <c r="U960" s="2"/>
      <c r="V960" s="1"/>
      <c r="W960" s="1"/>
      <c r="X960" s="1"/>
      <c r="Y960" s="1"/>
      <c r="Z960" s="1"/>
    </row>
    <row r="961" spans="1:26" ht="24.75" customHeight="1">
      <c r="A961" s="1"/>
      <c r="B961" s="1"/>
      <c r="C961" s="1"/>
      <c r="D961" s="1"/>
      <c r="E961" s="1"/>
      <c r="F961" s="1"/>
      <c r="G961" s="1"/>
      <c r="H961" s="1"/>
      <c r="I961" s="1"/>
      <c r="J961" s="1"/>
      <c r="K961" s="1"/>
      <c r="L961" s="1"/>
      <c r="M961" s="1"/>
      <c r="N961" s="1"/>
      <c r="O961" s="1"/>
      <c r="P961" s="1"/>
      <c r="Q961" s="1"/>
      <c r="R961" s="1"/>
      <c r="S961" s="1"/>
      <c r="T961" s="1"/>
      <c r="U961" s="2"/>
      <c r="V961" s="1"/>
      <c r="W961" s="1"/>
      <c r="X961" s="1"/>
      <c r="Y961" s="1"/>
      <c r="Z961" s="1"/>
    </row>
    <row r="962" spans="1:26" ht="24.75" customHeight="1">
      <c r="A962" s="1"/>
      <c r="B962" s="1"/>
      <c r="C962" s="1"/>
      <c r="D962" s="1"/>
      <c r="E962" s="1"/>
      <c r="F962" s="1"/>
      <c r="G962" s="1"/>
      <c r="H962" s="1"/>
      <c r="I962" s="1"/>
      <c r="J962" s="1"/>
      <c r="K962" s="1"/>
      <c r="L962" s="1"/>
      <c r="M962" s="1"/>
      <c r="N962" s="1"/>
      <c r="O962" s="1"/>
      <c r="P962" s="1"/>
      <c r="Q962" s="1"/>
      <c r="R962" s="1"/>
      <c r="S962" s="1"/>
      <c r="T962" s="1"/>
      <c r="U962" s="2"/>
      <c r="V962" s="1"/>
      <c r="W962" s="1"/>
      <c r="X962" s="1"/>
      <c r="Y962" s="1"/>
      <c r="Z962" s="1"/>
    </row>
    <row r="963" spans="1:26" ht="24.75" customHeight="1">
      <c r="A963" s="1"/>
      <c r="B963" s="1"/>
      <c r="C963" s="1"/>
      <c r="D963" s="1"/>
      <c r="E963" s="1"/>
      <c r="F963" s="1"/>
      <c r="G963" s="1"/>
      <c r="H963" s="1"/>
      <c r="I963" s="1"/>
      <c r="J963" s="1"/>
      <c r="K963" s="1"/>
      <c r="L963" s="1"/>
      <c r="M963" s="1"/>
      <c r="N963" s="1"/>
      <c r="O963" s="1"/>
      <c r="P963" s="1"/>
      <c r="Q963" s="1"/>
      <c r="R963" s="1"/>
      <c r="S963" s="1"/>
      <c r="T963" s="1"/>
      <c r="U963" s="2"/>
      <c r="V963" s="1"/>
      <c r="W963" s="1"/>
      <c r="X963" s="1"/>
      <c r="Y963" s="1"/>
      <c r="Z963" s="1"/>
    </row>
    <row r="964" spans="1:26" ht="24.75" customHeight="1">
      <c r="A964" s="1"/>
      <c r="B964" s="1"/>
      <c r="C964" s="1"/>
      <c r="D964" s="1"/>
      <c r="E964" s="1"/>
      <c r="F964" s="1"/>
      <c r="G964" s="1"/>
      <c r="H964" s="1"/>
      <c r="I964" s="1"/>
      <c r="J964" s="1"/>
      <c r="K964" s="1"/>
      <c r="L964" s="1"/>
      <c r="M964" s="1"/>
      <c r="N964" s="1"/>
      <c r="O964" s="1"/>
      <c r="P964" s="1"/>
      <c r="Q964" s="1"/>
      <c r="R964" s="1"/>
      <c r="S964" s="1"/>
      <c r="T964" s="1"/>
      <c r="U964" s="2"/>
      <c r="V964" s="1"/>
      <c r="W964" s="1"/>
      <c r="X964" s="1"/>
      <c r="Y964" s="1"/>
      <c r="Z964" s="1"/>
    </row>
    <row r="965" spans="1:26" ht="24.75" customHeight="1">
      <c r="A965" s="1"/>
      <c r="B965" s="1"/>
      <c r="C965" s="1"/>
      <c r="D965" s="1"/>
      <c r="E965" s="1"/>
      <c r="F965" s="1"/>
      <c r="G965" s="1"/>
      <c r="H965" s="1"/>
      <c r="I965" s="1"/>
      <c r="J965" s="1"/>
      <c r="K965" s="1"/>
      <c r="L965" s="1"/>
      <c r="M965" s="1"/>
      <c r="N965" s="1"/>
      <c r="O965" s="1"/>
      <c r="P965" s="1"/>
      <c r="Q965" s="1"/>
      <c r="R965" s="1"/>
      <c r="S965" s="1"/>
      <c r="T965" s="1"/>
      <c r="U965" s="2"/>
      <c r="V965" s="1"/>
      <c r="W965" s="1"/>
      <c r="X965" s="1"/>
      <c r="Y965" s="1"/>
      <c r="Z965" s="1"/>
    </row>
    <row r="966" spans="1:26" ht="24.75" customHeight="1">
      <c r="A966" s="1"/>
      <c r="B966" s="1"/>
      <c r="C966" s="1"/>
      <c r="D966" s="1"/>
      <c r="E966" s="1"/>
      <c r="F966" s="1"/>
      <c r="G966" s="1"/>
      <c r="H966" s="1"/>
      <c r="I966" s="1"/>
      <c r="J966" s="1"/>
      <c r="K966" s="1"/>
      <c r="L966" s="1"/>
      <c r="M966" s="1"/>
      <c r="N966" s="1"/>
      <c r="O966" s="1"/>
      <c r="P966" s="1"/>
      <c r="Q966" s="1"/>
      <c r="R966" s="1"/>
      <c r="S966" s="1"/>
      <c r="T966" s="1"/>
      <c r="U966" s="2"/>
      <c r="V966" s="1"/>
      <c r="W966" s="1"/>
      <c r="X966" s="1"/>
      <c r="Y966" s="1"/>
      <c r="Z966" s="1"/>
    </row>
    <row r="967" spans="1:26" ht="24.75" customHeight="1">
      <c r="A967" s="1"/>
      <c r="B967" s="1"/>
      <c r="C967" s="1"/>
      <c r="D967" s="1"/>
      <c r="E967" s="1"/>
      <c r="F967" s="1"/>
      <c r="G967" s="1"/>
      <c r="H967" s="1"/>
      <c r="I967" s="1"/>
      <c r="J967" s="1"/>
      <c r="K967" s="1"/>
      <c r="L967" s="1"/>
      <c r="M967" s="1"/>
      <c r="N967" s="1"/>
      <c r="O967" s="1"/>
      <c r="P967" s="1"/>
      <c r="Q967" s="1"/>
      <c r="R967" s="1"/>
      <c r="S967" s="1"/>
      <c r="T967" s="1"/>
      <c r="U967" s="2"/>
      <c r="V967" s="1"/>
      <c r="W967" s="1"/>
      <c r="X967" s="1"/>
      <c r="Y967" s="1"/>
      <c r="Z967" s="1"/>
    </row>
    <row r="968" spans="1:26" ht="24.75" customHeight="1">
      <c r="A968" s="1"/>
      <c r="B968" s="1"/>
      <c r="C968" s="1"/>
      <c r="D968" s="1"/>
      <c r="E968" s="1"/>
      <c r="F968" s="1"/>
      <c r="G968" s="1"/>
      <c r="H968" s="1"/>
      <c r="I968" s="1"/>
      <c r="J968" s="1"/>
      <c r="K968" s="1"/>
      <c r="L968" s="1"/>
      <c r="M968" s="1"/>
      <c r="N968" s="1"/>
      <c r="O968" s="1"/>
      <c r="P968" s="1"/>
      <c r="Q968" s="1"/>
      <c r="R968" s="1"/>
      <c r="S968" s="1"/>
      <c r="T968" s="1"/>
      <c r="U968" s="2"/>
      <c r="V968" s="1"/>
      <c r="W968" s="1"/>
      <c r="X968" s="1"/>
      <c r="Y968" s="1"/>
      <c r="Z968" s="1"/>
    </row>
    <row r="969" spans="1:26" ht="24.75" customHeight="1">
      <c r="A969" s="1"/>
      <c r="B969" s="1"/>
      <c r="C969" s="1"/>
      <c r="D969" s="1"/>
      <c r="E969" s="1"/>
      <c r="F969" s="1"/>
      <c r="G969" s="1"/>
      <c r="H969" s="1"/>
      <c r="I969" s="1"/>
      <c r="J969" s="1"/>
      <c r="K969" s="1"/>
      <c r="L969" s="1"/>
      <c r="M969" s="1"/>
      <c r="N969" s="1"/>
      <c r="O969" s="1"/>
      <c r="P969" s="1"/>
      <c r="Q969" s="1"/>
      <c r="R969" s="1"/>
      <c r="S969" s="1"/>
      <c r="T969" s="1"/>
      <c r="U969" s="2"/>
      <c r="V969" s="1"/>
      <c r="W969" s="1"/>
      <c r="X969" s="1"/>
      <c r="Y969" s="1"/>
      <c r="Z969" s="1"/>
    </row>
    <row r="970" spans="1:26" ht="24.75" customHeight="1">
      <c r="A970" s="1"/>
      <c r="B970" s="1"/>
      <c r="C970" s="1"/>
      <c r="D970" s="1"/>
      <c r="E970" s="1"/>
      <c r="F970" s="1"/>
      <c r="G970" s="1"/>
      <c r="H970" s="1"/>
      <c r="I970" s="1"/>
      <c r="J970" s="1"/>
      <c r="K970" s="1"/>
      <c r="L970" s="1"/>
      <c r="M970" s="1"/>
      <c r="N970" s="1"/>
      <c r="O970" s="1"/>
      <c r="P970" s="1"/>
      <c r="Q970" s="1"/>
      <c r="R970" s="1"/>
      <c r="S970" s="1"/>
      <c r="T970" s="1"/>
      <c r="U970" s="2"/>
      <c r="V970" s="1"/>
      <c r="W970" s="1"/>
      <c r="X970" s="1"/>
      <c r="Y970" s="1"/>
      <c r="Z970" s="1"/>
    </row>
    <row r="971" spans="1:26" ht="24.75" customHeight="1">
      <c r="A971" s="1"/>
      <c r="B971" s="1"/>
      <c r="C971" s="1"/>
      <c r="D971" s="1"/>
      <c r="E971" s="1"/>
      <c r="F971" s="1"/>
      <c r="G971" s="1"/>
      <c r="H971" s="1"/>
      <c r="I971" s="1"/>
      <c r="J971" s="1"/>
      <c r="K971" s="1"/>
      <c r="L971" s="1"/>
      <c r="M971" s="1"/>
      <c r="N971" s="1"/>
      <c r="O971" s="1"/>
      <c r="P971" s="1"/>
      <c r="Q971" s="1"/>
      <c r="R971" s="1"/>
      <c r="S971" s="1"/>
      <c r="T971" s="1"/>
      <c r="U971" s="2"/>
      <c r="V971" s="1"/>
      <c r="W971" s="1"/>
      <c r="X971" s="1"/>
      <c r="Y971" s="1"/>
      <c r="Z971" s="1"/>
    </row>
    <row r="972" spans="1:26" ht="24.75" customHeight="1">
      <c r="A972" s="1"/>
      <c r="B972" s="1"/>
      <c r="C972" s="1"/>
      <c r="D972" s="1"/>
      <c r="E972" s="1"/>
      <c r="F972" s="1"/>
      <c r="G972" s="1"/>
      <c r="H972" s="1"/>
      <c r="I972" s="1"/>
      <c r="J972" s="1"/>
      <c r="K972" s="1"/>
      <c r="L972" s="1"/>
      <c r="M972" s="1"/>
      <c r="N972" s="1"/>
      <c r="O972" s="1"/>
      <c r="P972" s="1"/>
      <c r="Q972" s="1"/>
      <c r="R972" s="1"/>
      <c r="S972" s="1"/>
      <c r="T972" s="1"/>
      <c r="U972" s="2"/>
      <c r="V972" s="1"/>
      <c r="W972" s="1"/>
      <c r="X972" s="1"/>
      <c r="Y972" s="1"/>
      <c r="Z972" s="1"/>
    </row>
    <row r="973" spans="1:26" ht="24.75" customHeight="1">
      <c r="A973" s="1"/>
      <c r="B973" s="1"/>
      <c r="C973" s="1"/>
      <c r="D973" s="1"/>
      <c r="E973" s="1"/>
      <c r="F973" s="1"/>
      <c r="G973" s="1"/>
      <c r="H973" s="1"/>
      <c r="I973" s="1"/>
      <c r="J973" s="1"/>
      <c r="K973" s="1"/>
      <c r="L973" s="1"/>
      <c r="M973" s="1"/>
      <c r="N973" s="1"/>
      <c r="O973" s="1"/>
      <c r="P973" s="1"/>
      <c r="Q973" s="1"/>
      <c r="R973" s="1"/>
      <c r="S973" s="1"/>
      <c r="T973" s="1"/>
      <c r="U973" s="2"/>
      <c r="V973" s="1"/>
      <c r="W973" s="1"/>
      <c r="X973" s="1"/>
      <c r="Y973" s="1"/>
      <c r="Z973" s="1"/>
    </row>
    <row r="974" spans="1:26" ht="24.75" customHeight="1">
      <c r="A974" s="1"/>
      <c r="B974" s="1"/>
      <c r="C974" s="1"/>
      <c r="D974" s="1"/>
      <c r="E974" s="1"/>
      <c r="F974" s="1"/>
      <c r="G974" s="1"/>
      <c r="H974" s="1"/>
      <c r="I974" s="1"/>
      <c r="J974" s="1"/>
      <c r="K974" s="1"/>
      <c r="L974" s="1"/>
      <c r="M974" s="1"/>
      <c r="N974" s="1"/>
      <c r="O974" s="1"/>
      <c r="P974" s="1"/>
      <c r="Q974" s="1"/>
      <c r="R974" s="1"/>
      <c r="S974" s="1"/>
      <c r="T974" s="1"/>
      <c r="U974" s="2"/>
      <c r="V974" s="1"/>
      <c r="W974" s="1"/>
      <c r="X974" s="1"/>
      <c r="Y974" s="1"/>
      <c r="Z974" s="1"/>
    </row>
    <row r="975" spans="1:26" ht="24.75" customHeight="1">
      <c r="A975" s="1"/>
      <c r="B975" s="1"/>
      <c r="C975" s="1"/>
      <c r="D975" s="1"/>
      <c r="E975" s="1"/>
      <c r="F975" s="1"/>
      <c r="G975" s="1"/>
      <c r="H975" s="1"/>
      <c r="I975" s="1"/>
      <c r="J975" s="1"/>
      <c r="K975" s="1"/>
      <c r="L975" s="1"/>
      <c r="M975" s="1"/>
      <c r="N975" s="1"/>
      <c r="O975" s="1"/>
      <c r="P975" s="1"/>
      <c r="Q975" s="1"/>
      <c r="R975" s="1"/>
      <c r="S975" s="1"/>
      <c r="T975" s="1"/>
      <c r="U975" s="2"/>
      <c r="V975" s="1"/>
      <c r="W975" s="1"/>
      <c r="X975" s="1"/>
      <c r="Y975" s="1"/>
      <c r="Z975" s="1"/>
    </row>
    <row r="976" spans="1:26" ht="24.75" customHeight="1">
      <c r="A976" s="1"/>
      <c r="B976" s="1"/>
      <c r="C976" s="1"/>
      <c r="D976" s="1"/>
      <c r="E976" s="1"/>
      <c r="F976" s="1"/>
      <c r="G976" s="1"/>
      <c r="H976" s="1"/>
      <c r="I976" s="1"/>
      <c r="J976" s="1"/>
      <c r="K976" s="1"/>
      <c r="L976" s="1"/>
      <c r="M976" s="1"/>
      <c r="N976" s="1"/>
      <c r="O976" s="1"/>
      <c r="P976" s="1"/>
      <c r="Q976" s="1"/>
      <c r="R976" s="1"/>
      <c r="S976" s="1"/>
      <c r="T976" s="1"/>
      <c r="U976" s="2"/>
      <c r="V976" s="1"/>
      <c r="W976" s="1"/>
      <c r="X976" s="1"/>
      <c r="Y976" s="1"/>
      <c r="Z976" s="1"/>
    </row>
    <row r="977" spans="1:26" ht="24.75" customHeight="1">
      <c r="A977" s="1"/>
      <c r="B977" s="1"/>
      <c r="C977" s="1"/>
      <c r="D977" s="1"/>
      <c r="E977" s="1"/>
      <c r="F977" s="1"/>
      <c r="G977" s="1"/>
      <c r="H977" s="1"/>
      <c r="I977" s="1"/>
      <c r="J977" s="1"/>
      <c r="K977" s="1"/>
      <c r="L977" s="1"/>
      <c r="M977" s="1"/>
      <c r="N977" s="1"/>
      <c r="O977" s="1"/>
      <c r="P977" s="1"/>
      <c r="Q977" s="1"/>
      <c r="R977" s="1"/>
      <c r="S977" s="1"/>
      <c r="T977" s="1"/>
      <c r="U977" s="2"/>
      <c r="V977" s="1"/>
      <c r="W977" s="1"/>
      <c r="X977" s="1"/>
      <c r="Y977" s="1"/>
      <c r="Z977" s="1"/>
    </row>
    <row r="978" spans="1:26" ht="24.75" customHeight="1">
      <c r="A978" s="1"/>
      <c r="B978" s="1"/>
      <c r="C978" s="1"/>
      <c r="D978" s="1"/>
      <c r="E978" s="1"/>
      <c r="F978" s="1"/>
      <c r="G978" s="1"/>
      <c r="H978" s="1"/>
      <c r="I978" s="1"/>
      <c r="J978" s="1"/>
      <c r="K978" s="1"/>
      <c r="L978" s="1"/>
      <c r="M978" s="1"/>
      <c r="N978" s="1"/>
      <c r="O978" s="1"/>
      <c r="P978" s="1"/>
      <c r="Q978" s="1"/>
      <c r="R978" s="1"/>
      <c r="S978" s="1"/>
      <c r="T978" s="1"/>
      <c r="U978" s="2"/>
      <c r="V978" s="1"/>
      <c r="W978" s="1"/>
      <c r="X978" s="1"/>
      <c r="Y978" s="1"/>
      <c r="Z978" s="1"/>
    </row>
    <row r="979" spans="1:26" ht="24.75" customHeight="1">
      <c r="A979" s="1"/>
      <c r="B979" s="1"/>
      <c r="C979" s="1"/>
      <c r="D979" s="1"/>
      <c r="E979" s="1"/>
      <c r="F979" s="1"/>
      <c r="G979" s="1"/>
      <c r="H979" s="1"/>
      <c r="I979" s="1"/>
      <c r="J979" s="1"/>
      <c r="K979" s="1"/>
      <c r="L979" s="1"/>
      <c r="M979" s="1"/>
      <c r="N979" s="1"/>
      <c r="O979" s="1"/>
      <c r="P979" s="1"/>
      <c r="Q979" s="1"/>
      <c r="R979" s="1"/>
      <c r="S979" s="1"/>
      <c r="T979" s="1"/>
      <c r="U979" s="2"/>
      <c r="V979" s="1"/>
      <c r="W979" s="1"/>
      <c r="X979" s="1"/>
      <c r="Y979" s="1"/>
      <c r="Z979" s="1"/>
    </row>
    <row r="980" spans="1:26" ht="24.75" customHeight="1">
      <c r="A980" s="1"/>
      <c r="B980" s="1"/>
      <c r="C980" s="1"/>
      <c r="D980" s="1"/>
      <c r="E980" s="1"/>
      <c r="F980" s="1"/>
      <c r="G980" s="1"/>
      <c r="H980" s="1"/>
      <c r="I980" s="1"/>
      <c r="J980" s="1"/>
      <c r="K980" s="1"/>
      <c r="L980" s="1"/>
      <c r="M980" s="1"/>
      <c r="N980" s="1"/>
      <c r="O980" s="1"/>
      <c r="P980" s="1"/>
      <c r="Q980" s="1"/>
      <c r="R980" s="1"/>
      <c r="S980" s="1"/>
      <c r="T980" s="1"/>
      <c r="U980" s="2"/>
      <c r="V980" s="1"/>
      <c r="W980" s="1"/>
      <c r="X980" s="1"/>
      <c r="Y980" s="1"/>
      <c r="Z980" s="1"/>
    </row>
    <row r="981" spans="1:26" ht="24.75" customHeight="1">
      <c r="A981" s="1"/>
      <c r="B981" s="1"/>
      <c r="C981" s="1"/>
      <c r="D981" s="1"/>
      <c r="E981" s="1"/>
      <c r="F981" s="1"/>
      <c r="G981" s="1"/>
      <c r="H981" s="1"/>
      <c r="I981" s="1"/>
      <c r="J981" s="1"/>
      <c r="K981" s="1"/>
      <c r="L981" s="1"/>
      <c r="M981" s="1"/>
      <c r="N981" s="1"/>
      <c r="O981" s="1"/>
      <c r="P981" s="1"/>
      <c r="Q981" s="1"/>
      <c r="R981" s="1"/>
      <c r="S981" s="1"/>
      <c r="T981" s="1"/>
      <c r="U981" s="2"/>
      <c r="V981" s="1"/>
      <c r="W981" s="1"/>
      <c r="X981" s="1"/>
      <c r="Y981" s="1"/>
      <c r="Z981" s="1"/>
    </row>
    <row r="982" spans="1:26" ht="24.75" customHeight="1">
      <c r="A982" s="1"/>
      <c r="B982" s="1"/>
      <c r="C982" s="1"/>
      <c r="D982" s="1"/>
      <c r="E982" s="1"/>
      <c r="F982" s="1"/>
      <c r="G982" s="1"/>
      <c r="H982" s="1"/>
      <c r="I982" s="1"/>
      <c r="J982" s="1"/>
      <c r="K982" s="1"/>
      <c r="L982" s="1"/>
      <c r="M982" s="1"/>
      <c r="N982" s="1"/>
      <c r="O982" s="1"/>
      <c r="P982" s="1"/>
      <c r="Q982" s="1"/>
      <c r="R982" s="1"/>
      <c r="S982" s="1"/>
      <c r="T982" s="1"/>
      <c r="U982" s="2"/>
      <c r="V982" s="1"/>
      <c r="W982" s="1"/>
      <c r="X982" s="1"/>
      <c r="Y982" s="1"/>
      <c r="Z982" s="1"/>
    </row>
    <row r="983" spans="1:26" ht="24.75" customHeight="1">
      <c r="A983" s="1"/>
      <c r="B983" s="1"/>
      <c r="C983" s="1"/>
      <c r="D983" s="1"/>
      <c r="E983" s="1"/>
      <c r="F983" s="1"/>
      <c r="G983" s="1"/>
      <c r="H983" s="1"/>
      <c r="I983" s="1"/>
      <c r="J983" s="1"/>
      <c r="K983" s="1"/>
      <c r="L983" s="1"/>
      <c r="M983" s="1"/>
      <c r="N983" s="1"/>
      <c r="O983" s="1"/>
      <c r="P983" s="1"/>
      <c r="Q983" s="1"/>
      <c r="R983" s="1"/>
      <c r="S983" s="1"/>
      <c r="T983" s="1"/>
      <c r="U983" s="2"/>
      <c r="V983" s="1"/>
      <c r="W983" s="1"/>
      <c r="X983" s="1"/>
      <c r="Y983" s="1"/>
      <c r="Z983" s="1"/>
    </row>
    <row r="984" spans="1:26" ht="24.75" customHeight="1">
      <c r="A984" s="1"/>
      <c r="B984" s="1"/>
      <c r="C984" s="1"/>
      <c r="D984" s="1"/>
      <c r="E984" s="1"/>
      <c r="F984" s="1"/>
      <c r="G984" s="1"/>
      <c r="H984" s="1"/>
      <c r="I984" s="1"/>
      <c r="J984" s="1"/>
      <c r="K984" s="1"/>
      <c r="L984" s="1"/>
      <c r="M984" s="1"/>
      <c r="N984" s="1"/>
      <c r="O984" s="1"/>
      <c r="P984" s="1"/>
      <c r="Q984" s="1"/>
      <c r="R984" s="1"/>
      <c r="S984" s="1"/>
      <c r="T984" s="1"/>
      <c r="U984" s="2"/>
      <c r="V984" s="1"/>
      <c r="W984" s="1"/>
      <c r="X984" s="1"/>
      <c r="Y984" s="1"/>
      <c r="Z984" s="1"/>
    </row>
    <row r="985" spans="1:26" ht="24.75" customHeight="1">
      <c r="A985" s="1"/>
      <c r="B985" s="1"/>
      <c r="C985" s="1"/>
      <c r="D985" s="1"/>
      <c r="E985" s="1"/>
      <c r="F985" s="1"/>
      <c r="G985" s="1"/>
      <c r="H985" s="1"/>
      <c r="I985" s="1"/>
      <c r="J985" s="1"/>
      <c r="K985" s="1"/>
      <c r="L985" s="1"/>
      <c r="M985" s="1"/>
      <c r="N985" s="1"/>
      <c r="O985" s="1"/>
      <c r="P985" s="1"/>
      <c r="Q985" s="1"/>
      <c r="R985" s="1"/>
      <c r="S985" s="1"/>
      <c r="T985" s="1"/>
      <c r="U985" s="2"/>
      <c r="V985" s="1"/>
      <c r="W985" s="1"/>
      <c r="X985" s="1"/>
      <c r="Y985" s="1"/>
      <c r="Z985" s="1"/>
    </row>
    <row r="986" spans="1:26" ht="24.75" customHeight="1">
      <c r="A986" s="1"/>
      <c r="B986" s="1"/>
      <c r="C986" s="1"/>
      <c r="D986" s="1"/>
      <c r="E986" s="1"/>
      <c r="F986" s="1"/>
      <c r="G986" s="1"/>
      <c r="H986" s="1"/>
      <c r="I986" s="1"/>
      <c r="J986" s="1"/>
      <c r="K986" s="1"/>
      <c r="L986" s="1"/>
      <c r="M986" s="1"/>
      <c r="N986" s="1"/>
      <c r="O986" s="1"/>
      <c r="P986" s="1"/>
      <c r="Q986" s="1"/>
      <c r="R986" s="1"/>
      <c r="S986" s="1"/>
      <c r="T986" s="1"/>
      <c r="U986" s="2"/>
      <c r="V986" s="1"/>
      <c r="W986" s="1"/>
      <c r="X986" s="1"/>
      <c r="Y986" s="1"/>
      <c r="Z986" s="1"/>
    </row>
    <row r="987" spans="1:26" ht="24.75" customHeight="1">
      <c r="A987" s="1"/>
      <c r="B987" s="1"/>
      <c r="C987" s="1"/>
      <c r="D987" s="1"/>
      <c r="E987" s="1"/>
      <c r="F987" s="1"/>
      <c r="G987" s="1"/>
      <c r="H987" s="1"/>
      <c r="I987" s="1"/>
      <c r="J987" s="1"/>
      <c r="K987" s="1"/>
      <c r="L987" s="1"/>
      <c r="M987" s="1"/>
      <c r="N987" s="1"/>
      <c r="O987" s="1"/>
      <c r="P987" s="1"/>
      <c r="Q987" s="1"/>
      <c r="R987" s="1"/>
      <c r="S987" s="1"/>
      <c r="T987" s="1"/>
      <c r="U987" s="2"/>
      <c r="V987" s="1"/>
      <c r="W987" s="1"/>
      <c r="X987" s="1"/>
      <c r="Y987" s="1"/>
      <c r="Z987" s="1"/>
    </row>
    <row r="988" spans="1:26" ht="24.75" customHeight="1">
      <c r="A988" s="1"/>
      <c r="B988" s="1"/>
      <c r="C988" s="1"/>
      <c r="D988" s="1"/>
      <c r="E988" s="1"/>
      <c r="F988" s="1"/>
      <c r="G988" s="1"/>
      <c r="H988" s="1"/>
      <c r="I988" s="1"/>
      <c r="J988" s="1"/>
      <c r="K988" s="1"/>
      <c r="L988" s="1"/>
      <c r="M988" s="1"/>
      <c r="N988" s="1"/>
      <c r="O988" s="1"/>
      <c r="P988" s="1"/>
      <c r="Q988" s="1"/>
      <c r="R988" s="1"/>
      <c r="S988" s="1"/>
      <c r="T988" s="1"/>
      <c r="U988" s="2"/>
      <c r="V988" s="1"/>
      <c r="W988" s="1"/>
      <c r="X988" s="1"/>
      <c r="Y988" s="1"/>
      <c r="Z988" s="1"/>
    </row>
    <row r="989" spans="1:26" ht="24.75" customHeight="1">
      <c r="A989" s="1"/>
      <c r="B989" s="1"/>
      <c r="C989" s="1"/>
      <c r="D989" s="1"/>
      <c r="E989" s="1"/>
      <c r="F989" s="1"/>
      <c r="G989" s="1"/>
      <c r="H989" s="1"/>
      <c r="I989" s="1"/>
      <c r="J989" s="1"/>
      <c r="K989" s="1"/>
      <c r="L989" s="1"/>
      <c r="M989" s="1"/>
      <c r="N989" s="1"/>
      <c r="O989" s="1"/>
      <c r="P989" s="1"/>
      <c r="Q989" s="1"/>
      <c r="R989" s="1"/>
      <c r="S989" s="1"/>
      <c r="T989" s="1"/>
      <c r="U989" s="2"/>
      <c r="V989" s="1"/>
      <c r="W989" s="1"/>
      <c r="X989" s="1"/>
      <c r="Y989" s="1"/>
      <c r="Z989" s="1"/>
    </row>
    <row r="990" spans="1:26" ht="24.75" customHeight="1">
      <c r="A990" s="1"/>
      <c r="B990" s="1"/>
      <c r="C990" s="1"/>
      <c r="D990" s="1"/>
      <c r="E990" s="1"/>
      <c r="F990" s="1"/>
      <c r="G990" s="1"/>
      <c r="H990" s="1"/>
      <c r="I990" s="1"/>
      <c r="J990" s="1"/>
      <c r="K990" s="1"/>
      <c r="L990" s="1"/>
      <c r="M990" s="1"/>
      <c r="N990" s="1"/>
      <c r="O990" s="1"/>
      <c r="P990" s="1"/>
      <c r="Q990" s="1"/>
      <c r="R990" s="1"/>
      <c r="S990" s="1"/>
      <c r="T990" s="1"/>
      <c r="U990" s="2"/>
      <c r="V990" s="1"/>
      <c r="W990" s="1"/>
      <c r="X990" s="1"/>
      <c r="Y990" s="1"/>
      <c r="Z990" s="1"/>
    </row>
    <row r="991" spans="1:26" ht="24.75" customHeight="1">
      <c r="A991" s="1"/>
      <c r="B991" s="1"/>
      <c r="C991" s="1"/>
      <c r="D991" s="1"/>
      <c r="E991" s="1"/>
      <c r="F991" s="1"/>
      <c r="G991" s="1"/>
      <c r="H991" s="1"/>
      <c r="I991" s="1"/>
      <c r="J991" s="1"/>
      <c r="K991" s="1"/>
      <c r="L991" s="1"/>
      <c r="M991" s="1"/>
      <c r="N991" s="1"/>
      <c r="O991" s="1"/>
      <c r="P991" s="1"/>
      <c r="Q991" s="1"/>
      <c r="R991" s="1"/>
      <c r="S991" s="1"/>
      <c r="T991" s="1"/>
      <c r="U991" s="2"/>
      <c r="V991" s="1"/>
      <c r="W991" s="1"/>
      <c r="X991" s="1"/>
      <c r="Y991" s="1"/>
      <c r="Z991" s="1"/>
    </row>
    <row r="992" spans="1:26" ht="24.75" customHeight="1">
      <c r="A992" s="1"/>
      <c r="B992" s="1"/>
      <c r="C992" s="1"/>
      <c r="D992" s="1"/>
      <c r="E992" s="1"/>
      <c r="F992" s="1"/>
      <c r="G992" s="1"/>
      <c r="H992" s="1"/>
      <c r="I992" s="1"/>
      <c r="J992" s="1"/>
      <c r="K992" s="1"/>
      <c r="L992" s="1"/>
      <c r="M992" s="1"/>
      <c r="N992" s="1"/>
      <c r="O992" s="1"/>
      <c r="P992" s="1"/>
      <c r="Q992" s="1"/>
      <c r="R992" s="1"/>
      <c r="S992" s="1"/>
      <c r="T992" s="1"/>
      <c r="U992" s="2"/>
      <c r="V992" s="1"/>
      <c r="W992" s="1"/>
      <c r="X992" s="1"/>
      <c r="Y992" s="1"/>
      <c r="Z992" s="1"/>
    </row>
    <row r="993" spans="1:26" ht="24.75" customHeight="1">
      <c r="A993" s="1"/>
      <c r="B993" s="1"/>
      <c r="C993" s="1"/>
      <c r="D993" s="1"/>
      <c r="E993" s="1"/>
      <c r="F993" s="1"/>
      <c r="G993" s="1"/>
      <c r="H993" s="1"/>
      <c r="I993" s="1"/>
      <c r="J993" s="1"/>
      <c r="K993" s="1"/>
      <c r="L993" s="1"/>
      <c r="M993" s="1"/>
      <c r="N993" s="1"/>
      <c r="O993" s="1"/>
      <c r="P993" s="1"/>
      <c r="Q993" s="1"/>
      <c r="R993" s="1"/>
      <c r="S993" s="1"/>
      <c r="T993" s="1"/>
      <c r="U993" s="2"/>
      <c r="V993" s="1"/>
      <c r="W993" s="1"/>
      <c r="X993" s="1"/>
      <c r="Y993" s="1"/>
      <c r="Z993" s="1"/>
    </row>
    <row r="994" spans="1:26" ht="24.75" customHeight="1">
      <c r="A994" s="1"/>
      <c r="B994" s="1"/>
      <c r="C994" s="1"/>
      <c r="D994" s="1"/>
      <c r="E994" s="1"/>
      <c r="F994" s="1"/>
      <c r="G994" s="1"/>
      <c r="H994" s="1"/>
      <c r="I994" s="1"/>
      <c r="J994" s="1"/>
      <c r="K994" s="1"/>
      <c r="L994" s="1"/>
      <c r="M994" s="1"/>
      <c r="N994" s="1"/>
      <c r="O994" s="1"/>
      <c r="P994" s="1"/>
      <c r="Q994" s="1"/>
      <c r="R994" s="1"/>
      <c r="S994" s="1"/>
      <c r="T994" s="1"/>
      <c r="U994" s="2"/>
      <c r="V994" s="1"/>
      <c r="W994" s="1"/>
      <c r="X994" s="1"/>
      <c r="Y994" s="1"/>
      <c r="Z994" s="1"/>
    </row>
    <row r="995" spans="1:26" ht="24.75" customHeight="1">
      <c r="A995" s="1"/>
      <c r="B995" s="1"/>
      <c r="C995" s="1"/>
      <c r="D995" s="1"/>
      <c r="E995" s="1"/>
      <c r="F995" s="1"/>
      <c r="G995" s="1"/>
      <c r="H995" s="1"/>
      <c r="I995" s="1"/>
      <c r="J995" s="1"/>
      <c r="K995" s="1"/>
      <c r="L995" s="1"/>
      <c r="M995" s="1"/>
      <c r="N995" s="1"/>
      <c r="O995" s="1"/>
      <c r="P995" s="1"/>
      <c r="Q995" s="1"/>
      <c r="R995" s="1"/>
      <c r="S995" s="1"/>
      <c r="T995" s="1"/>
      <c r="U995" s="2"/>
      <c r="V995" s="1"/>
      <c r="W995" s="1"/>
      <c r="X995" s="1"/>
      <c r="Y995" s="1"/>
      <c r="Z995" s="1"/>
    </row>
    <row r="996" spans="1:26" ht="24.75" customHeight="1">
      <c r="A996" s="1"/>
      <c r="B996" s="1"/>
      <c r="C996" s="1"/>
      <c r="D996" s="1"/>
      <c r="E996" s="1"/>
      <c r="F996" s="1"/>
      <c r="G996" s="1"/>
      <c r="H996" s="1"/>
      <c r="I996" s="1"/>
      <c r="J996" s="1"/>
      <c r="K996" s="1"/>
      <c r="L996" s="1"/>
      <c r="M996" s="1"/>
      <c r="N996" s="1"/>
      <c r="O996" s="1"/>
      <c r="P996" s="1"/>
      <c r="Q996" s="1"/>
      <c r="R996" s="1"/>
      <c r="S996" s="1"/>
      <c r="T996" s="1"/>
      <c r="U996" s="2"/>
      <c r="V996" s="1"/>
      <c r="W996" s="1"/>
      <c r="X996" s="1"/>
      <c r="Y996" s="1"/>
      <c r="Z996" s="1"/>
    </row>
    <row r="997" spans="1:26" ht="24.75" customHeight="1">
      <c r="A997" s="1"/>
      <c r="B997" s="1"/>
      <c r="C997" s="1"/>
      <c r="D997" s="1"/>
      <c r="E997" s="1"/>
      <c r="F997" s="1"/>
      <c r="G997" s="1"/>
      <c r="H997" s="1"/>
      <c r="I997" s="1"/>
      <c r="J997" s="1"/>
      <c r="K997" s="1"/>
      <c r="L997" s="1"/>
      <c r="M997" s="1"/>
      <c r="N997" s="1"/>
      <c r="O997" s="1"/>
      <c r="P997" s="1"/>
      <c r="Q997" s="1"/>
      <c r="R997" s="1"/>
      <c r="S997" s="1"/>
      <c r="T997" s="1"/>
      <c r="U997" s="2"/>
      <c r="V997" s="1"/>
      <c r="W997" s="1"/>
      <c r="X997" s="1"/>
      <c r="Y997" s="1"/>
      <c r="Z997" s="1"/>
    </row>
    <row r="998" spans="1:26" ht="24.75" customHeight="1">
      <c r="A998" s="1"/>
      <c r="B998" s="1"/>
      <c r="C998" s="1"/>
      <c r="D998" s="1"/>
      <c r="E998" s="1"/>
      <c r="F998" s="1"/>
      <c r="G998" s="1"/>
      <c r="H998" s="1"/>
      <c r="I998" s="1"/>
      <c r="J998" s="1"/>
      <c r="K998" s="1"/>
      <c r="L998" s="1"/>
      <c r="M998" s="1"/>
      <c r="N998" s="1"/>
      <c r="O998" s="1"/>
      <c r="P998" s="1"/>
      <c r="Q998" s="1"/>
      <c r="R998" s="1"/>
      <c r="S998" s="1"/>
      <c r="T998" s="1"/>
      <c r="U998" s="2"/>
      <c r="V998" s="1"/>
      <c r="W998" s="1"/>
      <c r="X998" s="1"/>
      <c r="Y998" s="1"/>
      <c r="Z998" s="1"/>
    </row>
    <row r="999" spans="1:26" ht="24.75" customHeight="1">
      <c r="A999" s="1"/>
      <c r="B999" s="1"/>
      <c r="C999" s="1"/>
      <c r="D999" s="1"/>
      <c r="E999" s="1"/>
      <c r="F999" s="1"/>
      <c r="G999" s="1"/>
      <c r="H999" s="1"/>
      <c r="I999" s="1"/>
      <c r="J999" s="1"/>
      <c r="K999" s="1"/>
      <c r="L999" s="1"/>
      <c r="M999" s="1"/>
      <c r="N999" s="1"/>
      <c r="O999" s="1"/>
      <c r="P999" s="1"/>
      <c r="Q999" s="1"/>
      <c r="R999" s="1"/>
      <c r="S999" s="1"/>
      <c r="T999" s="1"/>
      <c r="U999" s="2"/>
      <c r="V999" s="1"/>
      <c r="W999" s="1"/>
      <c r="X999" s="1"/>
      <c r="Y999" s="1"/>
      <c r="Z999" s="1"/>
    </row>
    <row r="1000" spans="1:26" ht="24.75" customHeight="1">
      <c r="A1000" s="1"/>
      <c r="B1000" s="1"/>
      <c r="C1000" s="1"/>
      <c r="D1000" s="1"/>
      <c r="E1000" s="1"/>
      <c r="F1000" s="1"/>
      <c r="G1000" s="1"/>
      <c r="H1000" s="1"/>
      <c r="I1000" s="1"/>
      <c r="J1000" s="1"/>
      <c r="K1000" s="1"/>
      <c r="L1000" s="1"/>
      <c r="M1000" s="1"/>
      <c r="N1000" s="1"/>
      <c r="O1000" s="1"/>
      <c r="P1000" s="1"/>
      <c r="Q1000" s="1"/>
      <c r="R1000" s="1"/>
      <c r="S1000" s="1"/>
      <c r="T1000" s="1"/>
      <c r="U1000" s="2"/>
      <c r="V1000" s="1"/>
      <c r="W1000" s="1"/>
      <c r="X1000" s="1"/>
      <c r="Y1000" s="1"/>
      <c r="Z1000" s="1"/>
    </row>
  </sheetData>
  <mergeCells count="101">
    <mergeCell ref="B204:B206"/>
    <mergeCell ref="C204:C206"/>
    <mergeCell ref="B209:D209"/>
    <mergeCell ref="A210:D210"/>
    <mergeCell ref="A135:A158"/>
    <mergeCell ref="B135:B136"/>
    <mergeCell ref="B138:B144"/>
    <mergeCell ref="B145:B146"/>
    <mergeCell ref="B147:B149"/>
    <mergeCell ref="B158:D158"/>
    <mergeCell ref="A159:A209"/>
    <mergeCell ref="C135:C136"/>
    <mergeCell ref="C138:C144"/>
    <mergeCell ref="C145:C146"/>
    <mergeCell ref="C147:C149"/>
    <mergeCell ref="C150:C153"/>
    <mergeCell ref="B173:B179"/>
    <mergeCell ref="C173:C179"/>
    <mergeCell ref="B180:B183"/>
    <mergeCell ref="C180:C183"/>
    <mergeCell ref="B184:B186"/>
    <mergeCell ref="C184:C186"/>
    <mergeCell ref="B187:B192"/>
    <mergeCell ref="C187:C192"/>
    <mergeCell ref="B150:B153"/>
    <mergeCell ref="B159:B162"/>
    <mergeCell ref="C159:C162"/>
    <mergeCell ref="B163:B167"/>
    <mergeCell ref="C163:C167"/>
    <mergeCell ref="B168:B172"/>
    <mergeCell ref="C168:C172"/>
    <mergeCell ref="B202:B203"/>
    <mergeCell ref="C202:C203"/>
    <mergeCell ref="B194:B199"/>
    <mergeCell ref="C194:C199"/>
    <mergeCell ref="B200:B201"/>
    <mergeCell ref="C200:C201"/>
    <mergeCell ref="C94:C103"/>
    <mergeCell ref="B104:B105"/>
    <mergeCell ref="C104:C105"/>
    <mergeCell ref="B106:B110"/>
    <mergeCell ref="C106:C110"/>
    <mergeCell ref="B111:B113"/>
    <mergeCell ref="C111:C113"/>
    <mergeCell ref="B94:B103"/>
    <mergeCell ref="A94:A134"/>
    <mergeCell ref="B114:B118"/>
    <mergeCell ref="C114:C118"/>
    <mergeCell ref="B119:B120"/>
    <mergeCell ref="C119:C120"/>
    <mergeCell ref="B122:B125"/>
    <mergeCell ref="C122:C125"/>
    <mergeCell ref="B128:B130"/>
    <mergeCell ref="C128:C130"/>
    <mergeCell ref="B131:B132"/>
    <mergeCell ref="C131:C132"/>
    <mergeCell ref="B134:D134"/>
    <mergeCell ref="B79:B85"/>
    <mergeCell ref="C79:C85"/>
    <mergeCell ref="B75:B78"/>
    <mergeCell ref="B57:B66"/>
    <mergeCell ref="C57:C66"/>
    <mergeCell ref="A69:A93"/>
    <mergeCell ref="B70:B74"/>
    <mergeCell ref="C70:C74"/>
    <mergeCell ref="C75:C78"/>
    <mergeCell ref="B86:B89"/>
    <mergeCell ref="C86:C89"/>
    <mergeCell ref="B93:D93"/>
    <mergeCell ref="B47:B56"/>
    <mergeCell ref="C47:C56"/>
    <mergeCell ref="C6:C23"/>
    <mergeCell ref="B24:B25"/>
    <mergeCell ref="C24:C25"/>
    <mergeCell ref="Q4:Q5"/>
    <mergeCell ref="R4:R5"/>
    <mergeCell ref="S4:S5"/>
    <mergeCell ref="A1:E1"/>
    <mergeCell ref="A4:A5"/>
    <mergeCell ref="C4:C5"/>
    <mergeCell ref="D4:D5"/>
    <mergeCell ref="E4:E5"/>
    <mergeCell ref="F4:F5"/>
    <mergeCell ref="A6:A68"/>
    <mergeCell ref="B68:D68"/>
    <mergeCell ref="B4:B5"/>
    <mergeCell ref="B6:B23"/>
    <mergeCell ref="B26:B36"/>
    <mergeCell ref="C26:C36"/>
    <mergeCell ref="B37:B39"/>
    <mergeCell ref="C37:C39"/>
    <mergeCell ref="B40:B46"/>
    <mergeCell ref="U4:U5"/>
    <mergeCell ref="G4:H4"/>
    <mergeCell ref="I4:I5"/>
    <mergeCell ref="J4:L4"/>
    <mergeCell ref="M4:M5"/>
    <mergeCell ref="N4:N5"/>
    <mergeCell ref="O4:O5"/>
    <mergeCell ref="P4:P5"/>
    <mergeCell ref="C40:C46"/>
  </mergeCell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dimension ref="A1:Z1000"/>
  <sheetViews>
    <sheetView workbookViewId="0">
      <pane xSplit="3" ySplit="5" topLeftCell="D79" activePane="bottomRight" state="frozen"/>
      <selection pane="topRight" activeCell="D1" sqref="D1"/>
      <selection pane="bottomLeft" activeCell="A6" sqref="A6"/>
      <selection pane="bottomRight" activeCell="K89" sqref="K89"/>
    </sheetView>
  </sheetViews>
  <sheetFormatPr defaultColWidth="14.42578125" defaultRowHeight="15" customHeight="1"/>
  <cols>
    <col min="1" max="1" width="6.7109375" style="3" customWidth="1"/>
    <col min="2" max="2" width="7.28515625" style="3" customWidth="1"/>
    <col min="3" max="3" width="11.28515625" style="3" customWidth="1"/>
    <col min="4" max="4" width="5.85546875" style="3" customWidth="1"/>
    <col min="5" max="5" width="35.85546875" style="3" customWidth="1"/>
    <col min="6" max="6" width="7.42578125" style="3" customWidth="1"/>
    <col min="7" max="7" width="10.7109375" style="3" customWidth="1"/>
    <col min="8" max="8" width="8.28515625" style="3" customWidth="1"/>
    <col min="9" max="9" width="10.5703125" style="3" customWidth="1"/>
    <col min="10" max="10" width="11.85546875" style="3" customWidth="1"/>
    <col min="11" max="11" width="9.28515625" style="3" customWidth="1"/>
    <col min="12" max="12" width="6.7109375" style="3" customWidth="1"/>
    <col min="13" max="13" width="9" style="3" customWidth="1"/>
    <col min="14" max="14" width="9.7109375" style="3" customWidth="1"/>
    <col min="15" max="15" width="6.5703125" style="3" customWidth="1"/>
    <col min="16" max="16" width="10.85546875" style="3" customWidth="1"/>
    <col min="17" max="17" width="8.28515625" style="3" customWidth="1"/>
    <col min="18" max="18" width="10.5703125" style="3" customWidth="1"/>
    <col min="19" max="19" width="10.42578125" style="3" customWidth="1"/>
    <col min="20" max="20" width="15.7109375" style="3" customWidth="1"/>
    <col min="21" max="21" width="45.5703125" style="61" customWidth="1"/>
    <col min="22" max="16384" width="14.42578125" style="3"/>
  </cols>
  <sheetData>
    <row r="1" spans="1:26" ht="24.75" customHeight="1">
      <c r="A1" s="172" t="s">
        <v>379</v>
      </c>
      <c r="B1" s="173"/>
      <c r="C1" s="173"/>
      <c r="D1" s="173"/>
      <c r="E1" s="174"/>
      <c r="F1" s="1"/>
      <c r="G1" s="1"/>
      <c r="H1" s="1"/>
      <c r="I1" s="1"/>
      <c r="J1" s="1"/>
      <c r="K1" s="1"/>
      <c r="L1" s="1"/>
      <c r="M1" s="1"/>
      <c r="N1" s="1"/>
      <c r="O1" s="1"/>
      <c r="P1" s="1"/>
      <c r="Q1" s="1"/>
      <c r="R1" s="1"/>
      <c r="S1" s="1"/>
      <c r="T1" s="1"/>
      <c r="U1" s="2"/>
      <c r="V1" s="1"/>
      <c r="W1" s="1"/>
      <c r="X1" s="1"/>
      <c r="Y1" s="1"/>
      <c r="Z1" s="1"/>
    </row>
    <row r="2" spans="1:26" ht="24.75" hidden="1" customHeight="1">
      <c r="A2" s="1"/>
      <c r="B2" s="1"/>
      <c r="C2" s="1"/>
      <c r="D2" s="1"/>
      <c r="E2" s="1"/>
      <c r="F2" s="1"/>
      <c r="G2" s="1"/>
      <c r="H2" s="1"/>
      <c r="I2" s="1"/>
      <c r="J2" s="1"/>
      <c r="K2" s="1"/>
      <c r="L2" s="1"/>
      <c r="M2" s="1"/>
      <c r="N2" s="1"/>
      <c r="O2" s="1"/>
      <c r="P2" s="1"/>
      <c r="Q2" s="1"/>
      <c r="R2" s="1"/>
      <c r="S2" s="1"/>
      <c r="T2" s="1"/>
      <c r="U2" s="2"/>
      <c r="V2" s="1"/>
      <c r="W2" s="1"/>
      <c r="X2" s="1"/>
      <c r="Y2" s="1"/>
      <c r="Z2" s="1"/>
    </row>
    <row r="3" spans="1:26" ht="24.75" hidden="1" customHeight="1">
      <c r="A3" s="1"/>
      <c r="B3" s="4"/>
      <c r="C3" s="4"/>
      <c r="D3" s="4"/>
      <c r="E3" s="4"/>
      <c r="F3" s="4"/>
      <c r="G3" s="4"/>
      <c r="H3" s="4"/>
      <c r="I3" s="4"/>
      <c r="J3" s="4"/>
      <c r="K3" s="4"/>
      <c r="L3" s="4"/>
      <c r="M3" s="4"/>
      <c r="N3" s="4"/>
      <c r="O3" s="4"/>
      <c r="P3" s="4"/>
      <c r="Q3" s="4"/>
      <c r="R3" s="4"/>
      <c r="S3" s="4"/>
      <c r="T3" s="4"/>
      <c r="U3" s="60" t="s">
        <v>1</v>
      </c>
      <c r="V3" s="1"/>
      <c r="W3" s="1"/>
      <c r="X3" s="1"/>
      <c r="Y3" s="1"/>
      <c r="Z3" s="1"/>
    </row>
    <row r="4" spans="1:26" ht="24.75" customHeight="1">
      <c r="A4" s="168" t="s">
        <v>2</v>
      </c>
      <c r="B4" s="168" t="s">
        <v>3</v>
      </c>
      <c r="C4" s="168" t="s">
        <v>4</v>
      </c>
      <c r="D4" s="168" t="s">
        <v>5</v>
      </c>
      <c r="E4" s="168" t="s">
        <v>6</v>
      </c>
      <c r="F4" s="168" t="s">
        <v>7</v>
      </c>
      <c r="G4" s="166" t="s">
        <v>8</v>
      </c>
      <c r="H4" s="167"/>
      <c r="I4" s="168" t="s">
        <v>9</v>
      </c>
      <c r="J4" s="166" t="s">
        <v>10</v>
      </c>
      <c r="K4" s="170"/>
      <c r="L4" s="167"/>
      <c r="M4" s="168" t="s">
        <v>570</v>
      </c>
      <c r="N4" s="168" t="s">
        <v>11</v>
      </c>
      <c r="O4" s="168" t="s">
        <v>12</v>
      </c>
      <c r="P4" s="168" t="s">
        <v>380</v>
      </c>
      <c r="Q4" s="168" t="s">
        <v>14</v>
      </c>
      <c r="R4" s="168" t="s">
        <v>15</v>
      </c>
      <c r="S4" s="168" t="s">
        <v>16</v>
      </c>
      <c r="T4" s="5" t="s">
        <v>597</v>
      </c>
      <c r="U4" s="164" t="s">
        <v>17</v>
      </c>
      <c r="V4" s="1"/>
      <c r="W4" s="1"/>
      <c r="X4" s="1"/>
      <c r="Y4" s="1"/>
      <c r="Z4" s="1"/>
    </row>
    <row r="5" spans="1:26" ht="24.75" customHeight="1">
      <c r="A5" s="169"/>
      <c r="B5" s="169"/>
      <c r="C5" s="169"/>
      <c r="D5" s="169"/>
      <c r="E5" s="169"/>
      <c r="F5" s="169"/>
      <c r="G5" s="5" t="s">
        <v>18</v>
      </c>
      <c r="H5" s="5" t="s">
        <v>19</v>
      </c>
      <c r="I5" s="169"/>
      <c r="J5" s="5" t="s">
        <v>571</v>
      </c>
      <c r="K5" s="5" t="s">
        <v>20</v>
      </c>
      <c r="L5" s="5" t="s">
        <v>21</v>
      </c>
      <c r="M5" s="169"/>
      <c r="N5" s="169"/>
      <c r="O5" s="169"/>
      <c r="P5" s="169"/>
      <c r="Q5" s="169"/>
      <c r="R5" s="169"/>
      <c r="S5" s="169"/>
      <c r="T5" s="5" t="s">
        <v>22</v>
      </c>
      <c r="U5" s="165"/>
      <c r="V5" s="1"/>
      <c r="W5" s="1"/>
      <c r="X5" s="1"/>
      <c r="Y5" s="1"/>
      <c r="Z5" s="1"/>
    </row>
    <row r="6" spans="1:26" ht="24.75" customHeight="1">
      <c r="A6" s="175" t="s">
        <v>23</v>
      </c>
      <c r="B6" s="168" t="s">
        <v>24</v>
      </c>
      <c r="C6" s="168" t="s">
        <v>25</v>
      </c>
      <c r="D6" s="5">
        <v>1</v>
      </c>
      <c r="E6" s="5" t="s">
        <v>26</v>
      </c>
      <c r="F6" s="5"/>
      <c r="G6" s="5"/>
      <c r="H6" s="5"/>
      <c r="I6" s="5"/>
      <c r="J6" s="5"/>
      <c r="K6" s="5"/>
      <c r="L6" s="5"/>
      <c r="M6" s="5"/>
      <c r="N6" s="5"/>
      <c r="O6" s="5"/>
      <c r="P6" s="5"/>
      <c r="Q6" s="5"/>
      <c r="R6" s="5"/>
      <c r="S6" s="5"/>
      <c r="T6" s="6">
        <f t="shared" ref="T6:T69" si="0">SUM(F6:S6)</f>
        <v>0</v>
      </c>
      <c r="U6" s="9"/>
      <c r="V6" s="1"/>
      <c r="W6" s="1"/>
      <c r="X6" s="1"/>
      <c r="Y6" s="1"/>
      <c r="Z6" s="1"/>
    </row>
    <row r="7" spans="1:26" ht="24.75" customHeight="1">
      <c r="A7" s="171"/>
      <c r="B7" s="171"/>
      <c r="C7" s="171"/>
      <c r="D7" s="5">
        <v>2</v>
      </c>
      <c r="E7" s="5" t="s">
        <v>27</v>
      </c>
      <c r="F7" s="5"/>
      <c r="G7" s="5"/>
      <c r="H7" s="5"/>
      <c r="I7" s="5"/>
      <c r="J7" s="5"/>
      <c r="K7" s="6">
        <v>88.73</v>
      </c>
      <c r="L7" s="5"/>
      <c r="M7" s="5"/>
      <c r="N7" s="5"/>
      <c r="O7" s="5"/>
      <c r="P7" s="8">
        <v>1.75</v>
      </c>
      <c r="Q7" s="5"/>
      <c r="R7" s="5"/>
      <c r="S7" s="5"/>
      <c r="T7" s="6">
        <f t="shared" si="0"/>
        <v>90.48</v>
      </c>
      <c r="U7" s="9" t="s">
        <v>28</v>
      </c>
      <c r="V7" s="1"/>
      <c r="W7" s="1"/>
      <c r="X7" s="1"/>
      <c r="Y7" s="1"/>
      <c r="Z7" s="1"/>
    </row>
    <row r="8" spans="1:26" ht="24.75" customHeight="1">
      <c r="A8" s="171"/>
      <c r="B8" s="171"/>
      <c r="C8" s="171"/>
      <c r="D8" s="5">
        <v>3</v>
      </c>
      <c r="E8" s="5" t="s">
        <v>29</v>
      </c>
      <c r="F8" s="8">
        <v>60.22</v>
      </c>
      <c r="G8" s="5"/>
      <c r="H8" s="5"/>
      <c r="I8" s="5"/>
      <c r="J8" s="5"/>
      <c r="K8" s="5"/>
      <c r="L8" s="5"/>
      <c r="M8" s="5"/>
      <c r="N8" s="5"/>
      <c r="O8" s="8">
        <v>48.14</v>
      </c>
      <c r="P8" s="5"/>
      <c r="Q8" s="5"/>
      <c r="R8" s="8">
        <v>2.77</v>
      </c>
      <c r="S8" s="5"/>
      <c r="T8" s="6">
        <f t="shared" si="0"/>
        <v>111.13</v>
      </c>
      <c r="U8" s="9" t="s">
        <v>30</v>
      </c>
      <c r="V8" s="1"/>
      <c r="W8" s="1"/>
      <c r="X8" s="1"/>
      <c r="Y8" s="1"/>
      <c r="Z8" s="1"/>
    </row>
    <row r="9" spans="1:26" ht="24.75" customHeight="1">
      <c r="A9" s="171"/>
      <c r="B9" s="171"/>
      <c r="C9" s="171"/>
      <c r="D9" s="5">
        <v>4</v>
      </c>
      <c r="E9" s="5" t="s">
        <v>31</v>
      </c>
      <c r="F9" s="5"/>
      <c r="G9" s="5"/>
      <c r="H9" s="5"/>
      <c r="I9" s="5"/>
      <c r="J9" s="5"/>
      <c r="K9" s="5"/>
      <c r="L9" s="5"/>
      <c r="M9" s="6">
        <v>30.25</v>
      </c>
      <c r="N9" s="5"/>
      <c r="O9" s="5"/>
      <c r="P9" s="8">
        <v>1.51</v>
      </c>
      <c r="Q9" s="5"/>
      <c r="R9" s="5"/>
      <c r="S9" s="5"/>
      <c r="T9" s="6">
        <f t="shared" si="0"/>
        <v>31.76</v>
      </c>
      <c r="U9" s="9" t="s">
        <v>32</v>
      </c>
      <c r="V9" s="1"/>
      <c r="W9" s="1"/>
      <c r="X9" s="1"/>
      <c r="Y9" s="1"/>
      <c r="Z9" s="1"/>
    </row>
    <row r="10" spans="1:26" ht="24.75" customHeight="1">
      <c r="A10" s="171"/>
      <c r="B10" s="171"/>
      <c r="C10" s="171"/>
      <c r="D10" s="5">
        <v>5</v>
      </c>
      <c r="E10" s="5" t="s">
        <v>33</v>
      </c>
      <c r="F10" s="5"/>
      <c r="G10" s="5"/>
      <c r="H10" s="5"/>
      <c r="I10" s="5"/>
      <c r="J10" s="5"/>
      <c r="K10" s="5"/>
      <c r="L10" s="5"/>
      <c r="M10" s="5"/>
      <c r="N10" s="5"/>
      <c r="O10" s="5"/>
      <c r="P10" s="6">
        <v>50.41</v>
      </c>
      <c r="Q10" s="5"/>
      <c r="R10" s="5"/>
      <c r="S10" s="5"/>
      <c r="T10" s="6">
        <f t="shared" si="0"/>
        <v>50.41</v>
      </c>
      <c r="U10" s="9" t="s">
        <v>34</v>
      </c>
      <c r="V10" s="1"/>
      <c r="W10" s="1"/>
      <c r="X10" s="1"/>
      <c r="Y10" s="1"/>
      <c r="Z10" s="1"/>
    </row>
    <row r="11" spans="1:26" ht="24.75" customHeight="1">
      <c r="A11" s="171"/>
      <c r="B11" s="171"/>
      <c r="C11" s="171"/>
      <c r="D11" s="5">
        <v>6</v>
      </c>
      <c r="E11" s="5" t="s">
        <v>35</v>
      </c>
      <c r="F11" s="5"/>
      <c r="G11" s="5"/>
      <c r="H11" s="5"/>
      <c r="I11" s="5"/>
      <c r="J11" s="5"/>
      <c r="K11" s="5"/>
      <c r="L11" s="5"/>
      <c r="M11" s="5"/>
      <c r="N11" s="8"/>
      <c r="O11" s="5"/>
      <c r="P11" s="8">
        <v>0.5</v>
      </c>
      <c r="Q11" s="5"/>
      <c r="R11" s="5"/>
      <c r="S11" s="5"/>
      <c r="T11" s="6">
        <f t="shared" si="0"/>
        <v>0.5</v>
      </c>
      <c r="U11" s="9" t="s">
        <v>36</v>
      </c>
      <c r="V11" s="1"/>
      <c r="W11" s="1"/>
      <c r="X11" s="1"/>
      <c r="Y11" s="1"/>
      <c r="Z11" s="1"/>
    </row>
    <row r="12" spans="1:26" ht="24.75" customHeight="1">
      <c r="A12" s="171"/>
      <c r="B12" s="171"/>
      <c r="C12" s="171"/>
      <c r="D12" s="5">
        <v>7</v>
      </c>
      <c r="E12" s="5" t="s">
        <v>37</v>
      </c>
      <c r="F12" s="5"/>
      <c r="G12" s="5"/>
      <c r="H12" s="5"/>
      <c r="I12" s="5"/>
      <c r="J12" s="5"/>
      <c r="K12" s="5"/>
      <c r="L12" s="5"/>
      <c r="M12" s="5"/>
      <c r="N12" s="5"/>
      <c r="O12" s="5"/>
      <c r="P12" s="8">
        <v>0.06</v>
      </c>
      <c r="Q12" s="8"/>
      <c r="R12" s="5"/>
      <c r="S12" s="5"/>
      <c r="T12" s="6">
        <f t="shared" si="0"/>
        <v>0.06</v>
      </c>
      <c r="U12" s="9" t="s">
        <v>38</v>
      </c>
      <c r="V12" s="1"/>
      <c r="W12" s="1"/>
      <c r="X12" s="1"/>
      <c r="Y12" s="1"/>
      <c r="Z12" s="1"/>
    </row>
    <row r="13" spans="1:26" ht="24.75" customHeight="1">
      <c r="A13" s="171"/>
      <c r="B13" s="171"/>
      <c r="C13" s="171"/>
      <c r="D13" s="5">
        <v>8</v>
      </c>
      <c r="E13" s="5" t="s">
        <v>39</v>
      </c>
      <c r="F13" s="5"/>
      <c r="G13" s="5"/>
      <c r="H13" s="5"/>
      <c r="I13" s="5"/>
      <c r="J13" s="5"/>
      <c r="K13" s="5"/>
      <c r="L13" s="5"/>
      <c r="M13" s="5"/>
      <c r="N13" s="6"/>
      <c r="O13" s="5"/>
      <c r="P13" s="5"/>
      <c r="Q13" s="5"/>
      <c r="R13" s="5"/>
      <c r="S13" s="5"/>
      <c r="T13" s="6">
        <f t="shared" si="0"/>
        <v>0</v>
      </c>
      <c r="U13" s="9"/>
      <c r="V13" s="1"/>
      <c r="W13" s="1"/>
      <c r="X13" s="1"/>
      <c r="Y13" s="1"/>
      <c r="Z13" s="1"/>
    </row>
    <row r="14" spans="1:26" ht="24.75" customHeight="1">
      <c r="A14" s="171"/>
      <c r="B14" s="171"/>
      <c r="C14" s="171"/>
      <c r="D14" s="5">
        <v>9</v>
      </c>
      <c r="E14" s="5" t="s">
        <v>40</v>
      </c>
      <c r="F14" s="5"/>
      <c r="G14" s="5"/>
      <c r="H14" s="5"/>
      <c r="I14" s="5"/>
      <c r="J14" s="5"/>
      <c r="K14" s="5"/>
      <c r="L14" s="5"/>
      <c r="M14" s="5"/>
      <c r="N14" s="6">
        <v>0.18</v>
      </c>
      <c r="O14" s="5"/>
      <c r="P14" s="5"/>
      <c r="Q14" s="8"/>
      <c r="R14" s="5"/>
      <c r="S14" s="8">
        <v>0.4</v>
      </c>
      <c r="T14" s="6">
        <f t="shared" si="0"/>
        <v>0.58000000000000007</v>
      </c>
      <c r="U14" s="9" t="s">
        <v>41</v>
      </c>
      <c r="V14" s="1"/>
      <c r="W14" s="1"/>
      <c r="X14" s="1"/>
      <c r="Y14" s="1"/>
      <c r="Z14" s="1"/>
    </row>
    <row r="15" spans="1:26" ht="24.75" customHeight="1">
      <c r="A15" s="171"/>
      <c r="B15" s="171"/>
      <c r="C15" s="171"/>
      <c r="D15" s="5">
        <v>10</v>
      </c>
      <c r="E15" s="5" t="s">
        <v>42</v>
      </c>
      <c r="F15" s="5"/>
      <c r="G15" s="5"/>
      <c r="H15" s="5"/>
      <c r="I15" s="6"/>
      <c r="J15" s="5"/>
      <c r="K15" s="5"/>
      <c r="L15" s="5"/>
      <c r="M15" s="5"/>
      <c r="N15" s="6">
        <v>0.45750000000000002</v>
      </c>
      <c r="O15" s="5"/>
      <c r="P15" s="5"/>
      <c r="Q15" s="5"/>
      <c r="R15" s="5"/>
      <c r="S15" s="5"/>
      <c r="T15" s="6">
        <f t="shared" si="0"/>
        <v>0.45750000000000002</v>
      </c>
      <c r="U15" s="10" t="s">
        <v>43</v>
      </c>
      <c r="V15" s="1"/>
      <c r="W15" s="1"/>
      <c r="X15" s="1"/>
      <c r="Y15" s="1"/>
      <c r="Z15" s="1"/>
    </row>
    <row r="16" spans="1:26" ht="24.75" customHeight="1">
      <c r="A16" s="171"/>
      <c r="B16" s="171"/>
      <c r="C16" s="171"/>
      <c r="D16" s="5">
        <v>11</v>
      </c>
      <c r="E16" s="5" t="s">
        <v>44</v>
      </c>
      <c r="F16" s="5"/>
      <c r="G16" s="8"/>
      <c r="H16" s="8"/>
      <c r="I16" s="5"/>
      <c r="J16" s="5"/>
      <c r="K16" s="5"/>
      <c r="L16" s="5"/>
      <c r="M16" s="5"/>
      <c r="N16" s="5"/>
      <c r="O16" s="5"/>
      <c r="P16" s="5"/>
      <c r="Q16" s="5"/>
      <c r="R16" s="5"/>
      <c r="S16" s="5"/>
      <c r="T16" s="6">
        <f t="shared" si="0"/>
        <v>0</v>
      </c>
      <c r="U16" s="9"/>
      <c r="V16" s="1"/>
      <c r="W16" s="1"/>
      <c r="X16" s="1"/>
      <c r="Y16" s="1"/>
      <c r="Z16" s="1"/>
    </row>
    <row r="17" spans="1:26" ht="24.75" customHeight="1">
      <c r="A17" s="171"/>
      <c r="B17" s="171"/>
      <c r="C17" s="171"/>
      <c r="D17" s="5">
        <v>12</v>
      </c>
      <c r="E17" s="5" t="s">
        <v>45</v>
      </c>
      <c r="F17" s="5"/>
      <c r="G17" s="5"/>
      <c r="H17" s="5"/>
      <c r="I17" s="5"/>
      <c r="J17" s="5"/>
      <c r="K17" s="5"/>
      <c r="L17" s="5"/>
      <c r="M17" s="5"/>
      <c r="N17" s="6">
        <v>3.4950000000000001</v>
      </c>
      <c r="O17" s="5"/>
      <c r="P17" s="5"/>
      <c r="Q17" s="5"/>
      <c r="R17" s="5"/>
      <c r="S17" s="5"/>
      <c r="T17" s="6">
        <f t="shared" si="0"/>
        <v>3.4950000000000001</v>
      </c>
      <c r="U17" s="9" t="s">
        <v>46</v>
      </c>
      <c r="V17" s="1"/>
      <c r="W17" s="1"/>
      <c r="X17" s="1"/>
      <c r="Y17" s="1"/>
      <c r="Z17" s="1"/>
    </row>
    <row r="18" spans="1:26" ht="24.75" customHeight="1">
      <c r="A18" s="171"/>
      <c r="B18" s="171"/>
      <c r="C18" s="171"/>
      <c r="D18" s="5">
        <v>13</v>
      </c>
      <c r="E18" s="5" t="s">
        <v>47</v>
      </c>
      <c r="F18" s="5"/>
      <c r="G18" s="5"/>
      <c r="H18" s="5"/>
      <c r="I18" s="5"/>
      <c r="J18" s="5"/>
      <c r="K18" s="5"/>
      <c r="L18" s="5"/>
      <c r="M18" s="5"/>
      <c r="N18" s="5"/>
      <c r="O18" s="5"/>
      <c r="P18" s="8"/>
      <c r="Q18" s="5"/>
      <c r="R18" s="5"/>
      <c r="S18" s="5"/>
      <c r="T18" s="6">
        <f t="shared" si="0"/>
        <v>0</v>
      </c>
      <c r="U18" s="9"/>
      <c r="V18" s="1"/>
      <c r="W18" s="1"/>
      <c r="X18" s="1"/>
      <c r="Y18" s="1"/>
      <c r="Z18" s="1"/>
    </row>
    <row r="19" spans="1:26" ht="24.75" customHeight="1">
      <c r="A19" s="171"/>
      <c r="B19" s="171"/>
      <c r="C19" s="171"/>
      <c r="D19" s="5">
        <v>14</v>
      </c>
      <c r="E19" s="5" t="s">
        <v>48</v>
      </c>
      <c r="F19" s="5"/>
      <c r="G19" s="5"/>
      <c r="H19" s="5"/>
      <c r="I19" s="5"/>
      <c r="J19" s="5"/>
      <c r="K19" s="5"/>
      <c r="L19" s="5"/>
      <c r="M19" s="5"/>
      <c r="N19" s="5"/>
      <c r="O19" s="5"/>
      <c r="P19" s="5"/>
      <c r="Q19" s="5"/>
      <c r="R19" s="5"/>
      <c r="S19" s="5"/>
      <c r="T19" s="6">
        <f t="shared" si="0"/>
        <v>0</v>
      </c>
      <c r="U19" s="9"/>
      <c r="V19" s="1"/>
      <c r="W19" s="1"/>
      <c r="X19" s="1"/>
      <c r="Y19" s="1"/>
      <c r="Z19" s="1"/>
    </row>
    <row r="20" spans="1:26" ht="24.75" customHeight="1">
      <c r="A20" s="171"/>
      <c r="B20" s="171"/>
      <c r="C20" s="171"/>
      <c r="D20" s="5">
        <v>15</v>
      </c>
      <c r="E20" s="5" t="s">
        <v>49</v>
      </c>
      <c r="F20" s="5"/>
      <c r="G20" s="5"/>
      <c r="H20" s="5"/>
      <c r="I20" s="8">
        <v>6</v>
      </c>
      <c r="J20" s="5"/>
      <c r="K20" s="5"/>
      <c r="L20" s="5"/>
      <c r="M20" s="5"/>
      <c r="N20" s="6">
        <v>0.74785000000000001</v>
      </c>
      <c r="O20" s="5"/>
      <c r="P20" s="8"/>
      <c r="Q20" s="8"/>
      <c r="R20" s="5"/>
      <c r="S20" s="5"/>
      <c r="T20" s="6">
        <f t="shared" si="0"/>
        <v>6.7478499999999997</v>
      </c>
      <c r="U20" s="9" t="s">
        <v>50</v>
      </c>
      <c r="V20" s="1"/>
      <c r="W20" s="1"/>
      <c r="X20" s="1"/>
      <c r="Y20" s="1"/>
      <c r="Z20" s="1"/>
    </row>
    <row r="21" spans="1:26" ht="24.75" customHeight="1">
      <c r="A21" s="171"/>
      <c r="B21" s="171"/>
      <c r="C21" s="171"/>
      <c r="D21" s="5">
        <v>16</v>
      </c>
      <c r="E21" s="5" t="s">
        <v>51</v>
      </c>
      <c r="F21" s="5"/>
      <c r="G21" s="5"/>
      <c r="H21" s="5"/>
      <c r="I21" s="5"/>
      <c r="J21" s="5"/>
      <c r="K21" s="5"/>
      <c r="L21" s="5"/>
      <c r="M21" s="5"/>
      <c r="N21" s="5"/>
      <c r="O21" s="5"/>
      <c r="P21" s="5"/>
      <c r="Q21" s="5"/>
      <c r="R21" s="5"/>
      <c r="S21" s="5"/>
      <c r="T21" s="6">
        <f t="shared" si="0"/>
        <v>0</v>
      </c>
      <c r="U21" s="9"/>
      <c r="V21" s="1"/>
      <c r="W21" s="1"/>
      <c r="X21" s="1"/>
      <c r="Y21" s="1"/>
      <c r="Z21" s="1"/>
    </row>
    <row r="22" spans="1:26" ht="24.75" customHeight="1">
      <c r="A22" s="171"/>
      <c r="B22" s="171"/>
      <c r="C22" s="171"/>
      <c r="D22" s="5">
        <v>17</v>
      </c>
      <c r="E22" s="5" t="s">
        <v>52</v>
      </c>
      <c r="F22" s="5"/>
      <c r="G22" s="5"/>
      <c r="H22" s="5"/>
      <c r="I22" s="6"/>
      <c r="J22" s="5"/>
      <c r="K22" s="5"/>
      <c r="L22" s="5"/>
      <c r="M22" s="5"/>
      <c r="N22" s="6">
        <v>1.179</v>
      </c>
      <c r="O22" s="5"/>
      <c r="P22" s="8">
        <v>0.9</v>
      </c>
      <c r="Q22" s="6">
        <v>6.05</v>
      </c>
      <c r="R22" s="5"/>
      <c r="S22" s="8"/>
      <c r="T22" s="6">
        <f t="shared" si="0"/>
        <v>8.1289999999999996</v>
      </c>
      <c r="U22" s="9" t="s">
        <v>470</v>
      </c>
      <c r="V22" s="1"/>
      <c r="W22" s="1"/>
      <c r="X22" s="1"/>
      <c r="Y22" s="1"/>
      <c r="Z22" s="1"/>
    </row>
    <row r="23" spans="1:26" ht="24.75" customHeight="1">
      <c r="A23" s="171"/>
      <c r="B23" s="169"/>
      <c r="C23" s="169"/>
      <c r="D23" s="5">
        <v>18</v>
      </c>
      <c r="E23" s="5" t="s">
        <v>54</v>
      </c>
      <c r="F23" s="5"/>
      <c r="G23" s="5"/>
      <c r="H23" s="5"/>
      <c r="I23" s="5"/>
      <c r="J23" s="5"/>
      <c r="K23" s="5"/>
      <c r="L23" s="5"/>
      <c r="M23" s="5"/>
      <c r="N23" s="5"/>
      <c r="O23" s="5"/>
      <c r="P23" s="8">
        <f>1.12+0.15</f>
        <v>1.27</v>
      </c>
      <c r="Q23" s="8"/>
      <c r="R23" s="5"/>
      <c r="S23" s="8"/>
      <c r="T23" s="6">
        <f t="shared" si="0"/>
        <v>1.27</v>
      </c>
      <c r="U23" s="9" t="s">
        <v>55</v>
      </c>
      <c r="V23" s="1"/>
      <c r="W23" s="1"/>
      <c r="X23" s="1"/>
      <c r="Y23" s="1"/>
      <c r="Z23" s="1"/>
    </row>
    <row r="24" spans="1:26" ht="24.75" customHeight="1">
      <c r="A24" s="171"/>
      <c r="B24" s="168" t="s">
        <v>56</v>
      </c>
      <c r="C24" s="168" t="s">
        <v>57</v>
      </c>
      <c r="D24" s="5">
        <v>19</v>
      </c>
      <c r="E24" s="5" t="s">
        <v>57</v>
      </c>
      <c r="F24" s="5"/>
      <c r="G24" s="5"/>
      <c r="H24" s="5"/>
      <c r="I24" s="5"/>
      <c r="J24" s="5"/>
      <c r="K24" s="5"/>
      <c r="L24" s="5"/>
      <c r="M24" s="5"/>
      <c r="N24" s="5"/>
      <c r="O24" s="5"/>
      <c r="P24" s="5"/>
      <c r="Q24" s="5"/>
      <c r="R24" s="5"/>
      <c r="S24" s="5"/>
      <c r="T24" s="6">
        <f t="shared" si="0"/>
        <v>0</v>
      </c>
      <c r="U24" s="9"/>
      <c r="V24" s="1"/>
      <c r="W24" s="1"/>
      <c r="X24" s="1"/>
      <c r="Y24" s="1"/>
      <c r="Z24" s="1"/>
    </row>
    <row r="25" spans="1:26" ht="24.75" customHeight="1">
      <c r="A25" s="171"/>
      <c r="B25" s="169"/>
      <c r="C25" s="169"/>
      <c r="D25" s="5">
        <v>20</v>
      </c>
      <c r="E25" s="5" t="s">
        <v>58</v>
      </c>
      <c r="F25" s="5"/>
      <c r="G25" s="5"/>
      <c r="H25" s="5"/>
      <c r="I25" s="5"/>
      <c r="J25" s="5"/>
      <c r="K25" s="5"/>
      <c r="L25" s="5"/>
      <c r="M25" s="5"/>
      <c r="N25" s="5"/>
      <c r="O25" s="5"/>
      <c r="P25" s="5"/>
      <c r="Q25" s="6">
        <v>0.3</v>
      </c>
      <c r="R25" s="5"/>
      <c r="S25" s="5"/>
      <c r="T25" s="6">
        <f t="shared" si="0"/>
        <v>0.3</v>
      </c>
      <c r="U25" s="9" t="s">
        <v>359</v>
      </c>
      <c r="V25" s="1"/>
      <c r="W25" s="1"/>
      <c r="X25" s="1"/>
      <c r="Y25" s="1"/>
      <c r="Z25" s="1"/>
    </row>
    <row r="26" spans="1:26" ht="24.75" customHeight="1">
      <c r="A26" s="171"/>
      <c r="B26" s="168" t="s">
        <v>60</v>
      </c>
      <c r="C26" s="168" t="s">
        <v>61</v>
      </c>
      <c r="D26" s="5">
        <v>21</v>
      </c>
      <c r="E26" s="5" t="s">
        <v>62</v>
      </c>
      <c r="F26" s="123"/>
      <c r="G26" s="123"/>
      <c r="H26" s="124"/>
      <c r="I26" s="125">
        <v>2.87</v>
      </c>
      <c r="J26" s="123"/>
      <c r="K26" s="125"/>
      <c r="L26" s="123"/>
      <c r="M26" s="123"/>
      <c r="N26" s="125">
        <f>0.992+0.4565+0.4+1</f>
        <v>2.8485</v>
      </c>
      <c r="O26" s="123"/>
      <c r="P26" s="124">
        <f>17.28+3.132</f>
        <v>20.412000000000003</v>
      </c>
      <c r="Q26" s="124">
        <f>0.205</f>
        <v>0.20499999999999999</v>
      </c>
      <c r="R26" s="125">
        <f>0.5+0.287</f>
        <v>0.78699999999999992</v>
      </c>
      <c r="S26" s="123"/>
      <c r="T26" s="125">
        <f t="shared" ref="T26:T36" si="1">SUM(F26:S26)</f>
        <v>27.122500000000002</v>
      </c>
      <c r="U26" s="9" t="s">
        <v>65</v>
      </c>
      <c r="V26" s="1"/>
      <c r="W26" s="1"/>
      <c r="X26" s="1"/>
      <c r="Y26" s="1"/>
      <c r="Z26" s="1"/>
    </row>
    <row r="27" spans="1:26" ht="24.75" customHeight="1">
      <c r="A27" s="171"/>
      <c r="B27" s="171"/>
      <c r="C27" s="171"/>
      <c r="D27" s="5">
        <v>22</v>
      </c>
      <c r="E27" s="5" t="s">
        <v>64</v>
      </c>
      <c r="F27" s="124"/>
      <c r="G27" s="123"/>
      <c r="H27" s="124"/>
      <c r="I27" s="125"/>
      <c r="J27" s="123"/>
      <c r="K27" s="123"/>
      <c r="L27" s="123"/>
      <c r="M27" s="124">
        <v>0.75</v>
      </c>
      <c r="N27" s="123"/>
      <c r="O27" s="123"/>
      <c r="P27" s="124">
        <v>301.2</v>
      </c>
      <c r="Q27" s="124"/>
      <c r="R27" s="125"/>
      <c r="S27" s="123"/>
      <c r="T27" s="125">
        <f t="shared" si="1"/>
        <v>301.95</v>
      </c>
      <c r="U27" s="9" t="s">
        <v>65</v>
      </c>
      <c r="V27" s="1"/>
      <c r="W27" s="1"/>
      <c r="X27" s="1"/>
      <c r="Y27" s="1"/>
      <c r="Z27" s="1"/>
    </row>
    <row r="28" spans="1:26" ht="24.75" customHeight="1">
      <c r="A28" s="171"/>
      <c r="B28" s="171"/>
      <c r="C28" s="171"/>
      <c r="D28" s="5">
        <v>23</v>
      </c>
      <c r="E28" s="5" t="s">
        <v>66</v>
      </c>
      <c r="F28" s="123"/>
      <c r="G28" s="123"/>
      <c r="H28" s="123"/>
      <c r="I28" s="123"/>
      <c r="J28" s="123"/>
      <c r="K28" s="125"/>
      <c r="L28" s="123"/>
      <c r="M28" s="123"/>
      <c r="N28" s="123"/>
      <c r="O28" s="124">
        <f>50.41875+6</f>
        <v>56.418750000000003</v>
      </c>
      <c r="P28" s="123"/>
      <c r="Q28" s="124"/>
      <c r="R28" s="123"/>
      <c r="S28" s="123"/>
      <c r="T28" s="125">
        <f t="shared" si="1"/>
        <v>56.418750000000003</v>
      </c>
      <c r="U28" s="9" t="s">
        <v>65</v>
      </c>
      <c r="V28" s="1"/>
      <c r="W28" s="1"/>
      <c r="X28" s="1"/>
      <c r="Y28" s="1"/>
      <c r="Z28" s="1"/>
    </row>
    <row r="29" spans="1:26" ht="24.75" customHeight="1">
      <c r="A29" s="171"/>
      <c r="B29" s="171"/>
      <c r="C29" s="171"/>
      <c r="D29" s="5">
        <v>24</v>
      </c>
      <c r="E29" s="5" t="s">
        <v>67</v>
      </c>
      <c r="F29" s="123"/>
      <c r="G29" s="123"/>
      <c r="H29" s="124"/>
      <c r="I29" s="123"/>
      <c r="J29" s="123"/>
      <c r="K29" s="123"/>
      <c r="L29" s="123"/>
      <c r="M29" s="123"/>
      <c r="N29" s="125">
        <f>1.72+1.72+1+1</f>
        <v>5.4399999999999995</v>
      </c>
      <c r="O29" s="124"/>
      <c r="P29" s="123">
        <f>2+10+0.8+5+8.75</f>
        <v>26.55</v>
      </c>
      <c r="Q29" s="125"/>
      <c r="R29" s="123"/>
      <c r="S29" s="123"/>
      <c r="T29" s="125">
        <f t="shared" si="1"/>
        <v>31.990000000000002</v>
      </c>
      <c r="U29" s="9" t="s">
        <v>360</v>
      </c>
      <c r="V29" s="1"/>
      <c r="W29" s="1"/>
      <c r="X29" s="1"/>
      <c r="Y29" s="1"/>
      <c r="Z29" s="1"/>
    </row>
    <row r="30" spans="1:26" ht="24.75" customHeight="1">
      <c r="A30" s="171"/>
      <c r="B30" s="171"/>
      <c r="C30" s="171"/>
      <c r="D30" s="5">
        <v>25</v>
      </c>
      <c r="E30" s="5" t="s">
        <v>69</v>
      </c>
      <c r="F30" s="123"/>
      <c r="G30" s="123"/>
      <c r="H30" s="123"/>
      <c r="I30" s="123"/>
      <c r="J30" s="123"/>
      <c r="K30" s="123"/>
      <c r="L30" s="123"/>
      <c r="M30" s="123"/>
      <c r="N30" s="125">
        <v>0.5</v>
      </c>
      <c r="O30" s="123"/>
      <c r="P30" s="123"/>
      <c r="Q30" s="123"/>
      <c r="R30" s="123"/>
      <c r="S30" s="123"/>
      <c r="T30" s="125">
        <f t="shared" si="1"/>
        <v>0.5</v>
      </c>
      <c r="U30" s="9" t="s">
        <v>65</v>
      </c>
      <c r="V30" s="1"/>
      <c r="W30" s="1"/>
      <c r="X30" s="1"/>
      <c r="Y30" s="1"/>
      <c r="Z30" s="1"/>
    </row>
    <row r="31" spans="1:26" ht="24.75" customHeight="1">
      <c r="A31" s="171"/>
      <c r="B31" s="171"/>
      <c r="C31" s="171"/>
      <c r="D31" s="5">
        <v>26</v>
      </c>
      <c r="E31" s="5" t="s">
        <v>70</v>
      </c>
      <c r="F31" s="123"/>
      <c r="G31" s="123"/>
      <c r="H31" s="123"/>
      <c r="I31" s="125"/>
      <c r="J31" s="123"/>
      <c r="K31" s="123"/>
      <c r="L31" s="123"/>
      <c r="M31" s="123"/>
      <c r="N31" s="125">
        <v>3.45</v>
      </c>
      <c r="O31" s="123"/>
      <c r="P31" s="123"/>
      <c r="Q31" s="125">
        <v>3</v>
      </c>
      <c r="R31" s="124"/>
      <c r="S31" s="123"/>
      <c r="T31" s="125">
        <f t="shared" si="1"/>
        <v>6.45</v>
      </c>
      <c r="U31" s="9" t="s">
        <v>360</v>
      </c>
      <c r="V31" s="1"/>
      <c r="W31" s="1"/>
      <c r="X31" s="1"/>
      <c r="Y31" s="1"/>
      <c r="Z31" s="1"/>
    </row>
    <row r="32" spans="1:26" ht="24.75" customHeight="1">
      <c r="A32" s="171"/>
      <c r="B32" s="171"/>
      <c r="C32" s="171"/>
      <c r="D32" s="5">
        <v>27</v>
      </c>
      <c r="E32" s="5" t="s">
        <v>72</v>
      </c>
      <c r="F32" s="123"/>
      <c r="G32" s="123"/>
      <c r="H32" s="124"/>
      <c r="I32" s="125"/>
      <c r="J32" s="123"/>
      <c r="K32" s="123"/>
      <c r="L32" s="123"/>
      <c r="M32" s="123"/>
      <c r="N32" s="125"/>
      <c r="O32" s="124"/>
      <c r="P32" s="124"/>
      <c r="Q32" s="123"/>
      <c r="R32" s="123"/>
      <c r="S32" s="123"/>
      <c r="T32" s="125">
        <f t="shared" si="1"/>
        <v>0</v>
      </c>
      <c r="U32" s="9"/>
      <c r="V32" s="1"/>
      <c r="W32" s="1"/>
      <c r="X32" s="1"/>
      <c r="Y32" s="1"/>
      <c r="Z32" s="1"/>
    </row>
    <row r="33" spans="1:26" ht="24.75" customHeight="1">
      <c r="A33" s="171"/>
      <c r="B33" s="171"/>
      <c r="C33" s="171"/>
      <c r="D33" s="5">
        <v>28</v>
      </c>
      <c r="E33" s="5" t="s">
        <v>31</v>
      </c>
      <c r="F33" s="123"/>
      <c r="G33" s="123"/>
      <c r="H33" s="123"/>
      <c r="I33" s="123"/>
      <c r="J33" s="123"/>
      <c r="K33" s="125">
        <v>3.024</v>
      </c>
      <c r="L33" s="123"/>
      <c r="M33" s="125">
        <v>3.024</v>
      </c>
      <c r="N33" s="123"/>
      <c r="O33" s="123"/>
      <c r="P33" s="123"/>
      <c r="Q33" s="123"/>
      <c r="R33" s="123"/>
      <c r="S33" s="123"/>
      <c r="T33" s="125">
        <f t="shared" si="1"/>
        <v>6.048</v>
      </c>
      <c r="U33" s="9" t="s">
        <v>65</v>
      </c>
      <c r="V33" s="1"/>
      <c r="W33" s="1"/>
      <c r="X33" s="1"/>
      <c r="Y33" s="1"/>
      <c r="Z33" s="1"/>
    </row>
    <row r="34" spans="1:26" ht="24.75" customHeight="1">
      <c r="A34" s="171"/>
      <c r="B34" s="171"/>
      <c r="C34" s="171"/>
      <c r="D34" s="5">
        <v>29</v>
      </c>
      <c r="E34" s="5" t="s">
        <v>33</v>
      </c>
      <c r="F34" s="123"/>
      <c r="G34" s="123"/>
      <c r="H34" s="123"/>
      <c r="I34" s="123"/>
      <c r="J34" s="123"/>
      <c r="K34" s="123"/>
      <c r="L34" s="123"/>
      <c r="M34" s="123"/>
      <c r="N34" s="123"/>
      <c r="O34" s="123"/>
      <c r="P34" s="125">
        <v>7.56</v>
      </c>
      <c r="Q34" s="123"/>
      <c r="R34" s="123"/>
      <c r="S34" s="123"/>
      <c r="T34" s="125">
        <f t="shared" si="1"/>
        <v>7.56</v>
      </c>
      <c r="U34" s="9" t="s">
        <v>65</v>
      </c>
      <c r="V34" s="1"/>
      <c r="W34" s="1"/>
      <c r="X34" s="1"/>
      <c r="Y34" s="1"/>
      <c r="Z34" s="1"/>
    </row>
    <row r="35" spans="1:26" ht="24.75" customHeight="1">
      <c r="A35" s="171"/>
      <c r="B35" s="171"/>
      <c r="C35" s="171"/>
      <c r="D35" s="5">
        <v>30</v>
      </c>
      <c r="E35" s="5" t="s">
        <v>73</v>
      </c>
      <c r="F35" s="123"/>
      <c r="G35" s="123"/>
      <c r="H35" s="123"/>
      <c r="I35" s="125"/>
      <c r="J35" s="123"/>
      <c r="K35" s="123"/>
      <c r="L35" s="123"/>
      <c r="M35" s="123"/>
      <c r="N35" s="123"/>
      <c r="O35" s="123"/>
      <c r="P35" s="123"/>
      <c r="Q35" s="125">
        <v>7</v>
      </c>
      <c r="R35" s="124">
        <v>1.552</v>
      </c>
      <c r="S35" s="123"/>
      <c r="T35" s="125">
        <f t="shared" si="1"/>
        <v>8.5519999999999996</v>
      </c>
      <c r="U35" s="9" t="s">
        <v>360</v>
      </c>
      <c r="V35" s="1"/>
      <c r="W35" s="1"/>
      <c r="X35" s="1"/>
      <c r="Y35" s="1"/>
      <c r="Z35" s="1"/>
    </row>
    <row r="36" spans="1:26" ht="24.75" customHeight="1">
      <c r="A36" s="171"/>
      <c r="B36" s="169"/>
      <c r="C36" s="169"/>
      <c r="D36" s="5">
        <v>31</v>
      </c>
      <c r="E36" s="5" t="s">
        <v>54</v>
      </c>
      <c r="F36" s="123"/>
      <c r="G36" s="123"/>
      <c r="H36" s="123"/>
      <c r="I36" s="123"/>
      <c r="J36" s="123"/>
      <c r="K36" s="123"/>
      <c r="L36" s="123"/>
      <c r="M36" s="123"/>
      <c r="N36" s="123"/>
      <c r="O36" s="123"/>
      <c r="P36" s="123"/>
      <c r="Q36" s="123"/>
      <c r="R36" s="123"/>
      <c r="S36" s="123"/>
      <c r="T36" s="125">
        <f t="shared" si="1"/>
        <v>0</v>
      </c>
      <c r="U36" s="9"/>
      <c r="V36" s="1"/>
      <c r="W36" s="1"/>
      <c r="X36" s="1"/>
      <c r="Y36" s="1"/>
      <c r="Z36" s="1"/>
    </row>
    <row r="37" spans="1:26" ht="24.75" customHeight="1">
      <c r="A37" s="171"/>
      <c r="B37" s="168" t="s">
        <v>75</v>
      </c>
      <c r="C37" s="168" t="s">
        <v>76</v>
      </c>
      <c r="D37" s="5">
        <v>32</v>
      </c>
      <c r="E37" s="5" t="s">
        <v>77</v>
      </c>
      <c r="F37" s="5"/>
      <c r="G37" s="5"/>
      <c r="H37" s="5"/>
      <c r="I37" s="6"/>
      <c r="J37" s="5"/>
      <c r="K37" s="5"/>
      <c r="L37" s="5"/>
      <c r="M37" s="6"/>
      <c r="N37" s="6">
        <v>2.37</v>
      </c>
      <c r="O37" s="8">
        <v>70.930000000000007</v>
      </c>
      <c r="P37" s="8">
        <v>21.04</v>
      </c>
      <c r="Q37" s="6">
        <v>4.75</v>
      </c>
      <c r="R37" s="8">
        <v>5.5010000000000003</v>
      </c>
      <c r="S37" s="5"/>
      <c r="T37" s="6">
        <f t="shared" si="0"/>
        <v>104.59100000000001</v>
      </c>
      <c r="U37" s="9" t="s">
        <v>361</v>
      </c>
      <c r="V37" s="1"/>
      <c r="W37" s="1"/>
      <c r="X37" s="1"/>
      <c r="Y37" s="1"/>
      <c r="Z37" s="1"/>
    </row>
    <row r="38" spans="1:26" ht="24.75" customHeight="1">
      <c r="A38" s="171"/>
      <c r="B38" s="171"/>
      <c r="C38" s="171"/>
      <c r="D38" s="5">
        <v>33</v>
      </c>
      <c r="E38" s="5" t="s">
        <v>79</v>
      </c>
      <c r="F38" s="5"/>
      <c r="G38" s="5"/>
      <c r="H38" s="5"/>
      <c r="I38" s="5"/>
      <c r="J38" s="5"/>
      <c r="K38" s="5"/>
      <c r="L38" s="5"/>
      <c r="M38" s="5"/>
      <c r="N38" s="5"/>
      <c r="O38" s="5"/>
      <c r="P38" s="5"/>
      <c r="Q38" s="5"/>
      <c r="R38" s="5"/>
      <c r="S38" s="5"/>
      <c r="T38" s="6">
        <f t="shared" si="0"/>
        <v>0</v>
      </c>
      <c r="U38" s="9"/>
      <c r="V38" s="1"/>
      <c r="W38" s="1"/>
      <c r="X38" s="1"/>
      <c r="Y38" s="1"/>
      <c r="Z38" s="1"/>
    </row>
    <row r="39" spans="1:26" ht="24.75" customHeight="1">
      <c r="A39" s="171"/>
      <c r="B39" s="169"/>
      <c r="C39" s="169"/>
      <c r="D39" s="5">
        <v>34</v>
      </c>
      <c r="E39" s="5" t="s">
        <v>80</v>
      </c>
      <c r="F39" s="5"/>
      <c r="G39" s="5"/>
      <c r="H39" s="5"/>
      <c r="I39" s="5"/>
      <c r="J39" s="5"/>
      <c r="K39" s="5"/>
      <c r="L39" s="5"/>
      <c r="M39" s="5"/>
      <c r="N39" s="6"/>
      <c r="O39" s="5"/>
      <c r="P39" s="8"/>
      <c r="Q39" s="5"/>
      <c r="R39" s="5"/>
      <c r="S39" s="5"/>
      <c r="T39" s="6">
        <f t="shared" si="0"/>
        <v>0</v>
      </c>
      <c r="U39" s="9"/>
      <c r="V39" s="1"/>
      <c r="W39" s="1"/>
      <c r="X39" s="1"/>
      <c r="Y39" s="1"/>
      <c r="Z39" s="1"/>
    </row>
    <row r="40" spans="1:26" ht="24.75" customHeight="1">
      <c r="A40" s="171"/>
      <c r="B40" s="168" t="s">
        <v>81</v>
      </c>
      <c r="C40" s="168" t="s">
        <v>82</v>
      </c>
      <c r="D40" s="5">
        <v>35</v>
      </c>
      <c r="E40" s="5" t="s">
        <v>83</v>
      </c>
      <c r="F40" s="5"/>
      <c r="G40" s="5"/>
      <c r="H40" s="5"/>
      <c r="I40" s="6"/>
      <c r="J40" s="5"/>
      <c r="K40" s="5"/>
      <c r="L40" s="5"/>
      <c r="M40" s="5"/>
      <c r="N40" s="6">
        <v>2.75</v>
      </c>
      <c r="O40" s="5"/>
      <c r="P40" s="8">
        <v>2.04</v>
      </c>
      <c r="Q40" s="8"/>
      <c r="R40" s="5">
        <v>0.1</v>
      </c>
      <c r="S40" s="5"/>
      <c r="T40" s="6">
        <f t="shared" si="0"/>
        <v>4.8899999999999997</v>
      </c>
      <c r="U40" s="9" t="s">
        <v>611</v>
      </c>
      <c r="V40" s="1"/>
      <c r="W40" s="1"/>
      <c r="X40" s="1"/>
      <c r="Y40" s="1"/>
      <c r="Z40" s="1"/>
    </row>
    <row r="41" spans="1:26" ht="24.75" customHeight="1">
      <c r="A41" s="171"/>
      <c r="B41" s="171"/>
      <c r="C41" s="171"/>
      <c r="D41" s="5">
        <v>36</v>
      </c>
      <c r="E41" s="5" t="s">
        <v>84</v>
      </c>
      <c r="F41" s="5"/>
      <c r="G41" s="5"/>
      <c r="H41" s="5"/>
      <c r="I41" s="5"/>
      <c r="J41" s="5"/>
      <c r="K41" s="6"/>
      <c r="L41" s="5"/>
      <c r="M41" s="5"/>
      <c r="N41" s="6">
        <v>0.8</v>
      </c>
      <c r="O41" s="5"/>
      <c r="P41" s="5"/>
      <c r="Q41" s="5"/>
      <c r="R41" s="5"/>
      <c r="S41" s="5"/>
      <c r="T41" s="6">
        <f t="shared" si="0"/>
        <v>0.8</v>
      </c>
      <c r="U41" s="9" t="s">
        <v>471</v>
      </c>
      <c r="V41" s="1"/>
      <c r="W41" s="1"/>
      <c r="X41" s="1"/>
      <c r="Y41" s="1"/>
      <c r="Z41" s="1"/>
    </row>
    <row r="42" spans="1:26" ht="24.75" customHeight="1">
      <c r="A42" s="171"/>
      <c r="B42" s="171"/>
      <c r="C42" s="171"/>
      <c r="D42" s="5">
        <v>37</v>
      </c>
      <c r="E42" s="5" t="s">
        <v>86</v>
      </c>
      <c r="F42" s="5"/>
      <c r="G42" s="5"/>
      <c r="H42" s="5"/>
      <c r="I42" s="5"/>
      <c r="J42" s="5"/>
      <c r="K42" s="6"/>
      <c r="L42" s="5"/>
      <c r="M42" s="5"/>
      <c r="N42" s="5"/>
      <c r="O42" s="5"/>
      <c r="P42" s="5"/>
      <c r="Q42" s="5"/>
      <c r="R42" s="5"/>
      <c r="S42" s="5"/>
      <c r="T42" s="6">
        <f t="shared" si="0"/>
        <v>0</v>
      </c>
      <c r="U42" s="9"/>
      <c r="V42" s="1"/>
      <c r="W42" s="1"/>
      <c r="X42" s="1"/>
      <c r="Y42" s="1"/>
      <c r="Z42" s="1"/>
    </row>
    <row r="43" spans="1:26" ht="24.75" customHeight="1">
      <c r="A43" s="171"/>
      <c r="B43" s="171"/>
      <c r="C43" s="171"/>
      <c r="D43" s="5">
        <v>38</v>
      </c>
      <c r="E43" s="5" t="s">
        <v>87</v>
      </c>
      <c r="F43" s="5"/>
      <c r="G43" s="5"/>
      <c r="H43" s="5"/>
      <c r="I43" s="5"/>
      <c r="J43" s="5"/>
      <c r="K43" s="5"/>
      <c r="L43" s="5"/>
      <c r="M43" s="5"/>
      <c r="N43" s="6">
        <v>3.9249999999999998</v>
      </c>
      <c r="O43" s="8">
        <v>0.16</v>
      </c>
      <c r="P43" s="8">
        <v>6.8</v>
      </c>
      <c r="Q43" s="8">
        <v>0.7</v>
      </c>
      <c r="R43" s="5">
        <v>1</v>
      </c>
      <c r="S43" s="5"/>
      <c r="T43" s="6">
        <f t="shared" si="0"/>
        <v>12.584999999999999</v>
      </c>
      <c r="U43" s="9" t="s">
        <v>612</v>
      </c>
      <c r="V43" s="1"/>
      <c r="W43" s="1"/>
      <c r="X43" s="1"/>
      <c r="Y43" s="1"/>
      <c r="Z43" s="1"/>
    </row>
    <row r="44" spans="1:26" ht="24.75" customHeight="1">
      <c r="A44" s="171"/>
      <c r="B44" s="171"/>
      <c r="C44" s="171"/>
      <c r="D44" s="5">
        <v>39</v>
      </c>
      <c r="E44" s="5" t="s">
        <v>88</v>
      </c>
      <c r="F44" s="5"/>
      <c r="G44" s="5"/>
      <c r="H44" s="5"/>
      <c r="I44" s="5"/>
      <c r="J44" s="5"/>
      <c r="K44" s="5"/>
      <c r="L44" s="5"/>
      <c r="M44" s="5"/>
      <c r="N44" s="5"/>
      <c r="O44" s="5"/>
      <c r="P44" s="8">
        <v>0.87</v>
      </c>
      <c r="Q44" s="8">
        <v>15.5</v>
      </c>
      <c r="R44" s="5"/>
      <c r="S44" s="5"/>
      <c r="T44" s="6">
        <f t="shared" si="0"/>
        <v>16.37</v>
      </c>
      <c r="U44" s="9" t="s">
        <v>613</v>
      </c>
      <c r="V44" s="1"/>
      <c r="W44" s="1"/>
      <c r="X44" s="1"/>
      <c r="Y44" s="1"/>
      <c r="Z44" s="1"/>
    </row>
    <row r="45" spans="1:26" ht="24.75" customHeight="1">
      <c r="A45" s="171"/>
      <c r="B45" s="171"/>
      <c r="C45" s="171"/>
      <c r="D45" s="5">
        <v>40</v>
      </c>
      <c r="E45" s="5" t="s">
        <v>89</v>
      </c>
      <c r="F45" s="5"/>
      <c r="G45" s="5"/>
      <c r="H45" s="5"/>
      <c r="I45" s="5"/>
      <c r="J45" s="5"/>
      <c r="K45" s="5"/>
      <c r="L45" s="5"/>
      <c r="M45" s="5"/>
      <c r="N45" s="6">
        <v>0.10920000000000001</v>
      </c>
      <c r="O45" s="5"/>
      <c r="P45" s="8">
        <v>0.15</v>
      </c>
      <c r="Q45" s="6">
        <v>0.32</v>
      </c>
      <c r="R45" s="8">
        <v>2</v>
      </c>
      <c r="S45" s="5"/>
      <c r="T45" s="6">
        <f t="shared" si="0"/>
        <v>2.5792000000000002</v>
      </c>
      <c r="U45" s="9" t="s">
        <v>832</v>
      </c>
      <c r="V45" s="1"/>
      <c r="W45" s="1"/>
      <c r="X45" s="1"/>
      <c r="Y45" s="1"/>
      <c r="Z45" s="1"/>
    </row>
    <row r="46" spans="1:26" ht="24.75" customHeight="1">
      <c r="A46" s="171"/>
      <c r="B46" s="169"/>
      <c r="C46" s="169"/>
      <c r="D46" s="5">
        <v>41</v>
      </c>
      <c r="E46" s="5" t="s">
        <v>54</v>
      </c>
      <c r="F46" s="5"/>
      <c r="G46" s="5"/>
      <c r="H46" s="5"/>
      <c r="I46" s="5"/>
      <c r="J46" s="5"/>
      <c r="K46" s="5"/>
      <c r="L46" s="5"/>
      <c r="M46" s="5"/>
      <c r="N46" s="5"/>
      <c r="O46" s="5"/>
      <c r="P46" s="5"/>
      <c r="Q46" s="5"/>
      <c r="R46" s="5"/>
      <c r="S46" s="5"/>
      <c r="T46" s="6">
        <f t="shared" si="0"/>
        <v>0</v>
      </c>
      <c r="U46" s="9"/>
      <c r="V46" s="1"/>
      <c r="W46" s="1"/>
      <c r="X46" s="1"/>
      <c r="Y46" s="1"/>
      <c r="Z46" s="1"/>
    </row>
    <row r="47" spans="1:26" ht="24.75" customHeight="1">
      <c r="A47" s="171"/>
      <c r="B47" s="168" t="s">
        <v>90</v>
      </c>
      <c r="C47" s="168" t="s">
        <v>91</v>
      </c>
      <c r="D47" s="5">
        <v>42</v>
      </c>
      <c r="E47" s="5" t="s">
        <v>92</v>
      </c>
      <c r="F47" s="8">
        <v>14.82</v>
      </c>
      <c r="G47" s="5"/>
      <c r="H47" s="5"/>
      <c r="I47" s="6"/>
      <c r="J47" s="5"/>
      <c r="K47" s="5"/>
      <c r="L47" s="5"/>
      <c r="M47" s="5"/>
      <c r="N47" s="6">
        <v>1.37</v>
      </c>
      <c r="O47" s="5"/>
      <c r="P47" s="8">
        <v>0.9</v>
      </c>
      <c r="Q47" s="5"/>
      <c r="R47" s="5"/>
      <c r="S47" s="5"/>
      <c r="T47" s="6">
        <f t="shared" si="0"/>
        <v>17.09</v>
      </c>
      <c r="U47" s="9"/>
      <c r="V47" s="1"/>
      <c r="W47" s="1"/>
      <c r="X47" s="1"/>
      <c r="Y47" s="1"/>
      <c r="Z47" s="1"/>
    </row>
    <row r="48" spans="1:26" ht="24.75" customHeight="1">
      <c r="A48" s="171"/>
      <c r="B48" s="171"/>
      <c r="C48" s="171"/>
      <c r="D48" s="5">
        <v>43</v>
      </c>
      <c r="E48" s="5" t="s">
        <v>93</v>
      </c>
      <c r="F48" s="8">
        <v>0.87</v>
      </c>
      <c r="G48" s="5"/>
      <c r="H48" s="5"/>
      <c r="I48" s="6"/>
      <c r="J48" s="5"/>
      <c r="K48" s="5"/>
      <c r="L48" s="5"/>
      <c r="M48" s="5"/>
      <c r="N48" s="6">
        <v>0.45750000000000002</v>
      </c>
      <c r="O48" s="5"/>
      <c r="P48" s="8">
        <v>0.8</v>
      </c>
      <c r="Q48" s="5"/>
      <c r="R48" s="5"/>
      <c r="S48" s="5"/>
      <c r="T48" s="6">
        <f t="shared" si="0"/>
        <v>2.1275000000000004</v>
      </c>
      <c r="U48" s="9"/>
      <c r="V48" s="1"/>
      <c r="W48" s="1"/>
      <c r="X48" s="1"/>
      <c r="Y48" s="1"/>
      <c r="Z48" s="1"/>
    </row>
    <row r="49" spans="1:26" ht="24.75" customHeight="1">
      <c r="A49" s="171"/>
      <c r="B49" s="171"/>
      <c r="C49" s="171"/>
      <c r="D49" s="5">
        <v>44</v>
      </c>
      <c r="E49" s="5" t="s">
        <v>94</v>
      </c>
      <c r="F49" s="8">
        <v>5.13</v>
      </c>
      <c r="G49" s="5"/>
      <c r="H49" s="5"/>
      <c r="I49" s="6"/>
      <c r="J49" s="5"/>
      <c r="K49" s="5"/>
      <c r="L49" s="5"/>
      <c r="M49" s="5"/>
      <c r="N49" s="6">
        <v>3.28</v>
      </c>
      <c r="O49" s="8">
        <v>0.32</v>
      </c>
      <c r="P49" s="8">
        <v>0.4</v>
      </c>
      <c r="Q49" s="5"/>
      <c r="R49" s="5"/>
      <c r="S49" s="5"/>
      <c r="T49" s="6">
        <f t="shared" si="0"/>
        <v>9.1300000000000008</v>
      </c>
      <c r="U49" s="9" t="s">
        <v>472</v>
      </c>
      <c r="V49" s="1"/>
      <c r="W49" s="1"/>
      <c r="X49" s="1"/>
      <c r="Y49" s="1"/>
      <c r="Z49" s="1"/>
    </row>
    <row r="50" spans="1:26" ht="24.75" customHeight="1">
      <c r="A50" s="171"/>
      <c r="B50" s="171"/>
      <c r="C50" s="171"/>
      <c r="D50" s="5">
        <v>45</v>
      </c>
      <c r="E50" s="5" t="s">
        <v>96</v>
      </c>
      <c r="F50" s="8">
        <v>0.12</v>
      </c>
      <c r="G50" s="5"/>
      <c r="H50" s="5"/>
      <c r="I50" s="5"/>
      <c r="J50" s="5"/>
      <c r="K50" s="5"/>
      <c r="L50" s="5"/>
      <c r="M50" s="5"/>
      <c r="N50" s="6">
        <v>1</v>
      </c>
      <c r="O50" s="8">
        <v>0.12</v>
      </c>
      <c r="P50" s="5"/>
      <c r="Q50" s="5"/>
      <c r="R50" s="5"/>
      <c r="S50" s="5"/>
      <c r="T50" s="6">
        <f t="shared" si="0"/>
        <v>1.2400000000000002</v>
      </c>
      <c r="U50" s="9"/>
      <c r="V50" s="1"/>
      <c r="W50" s="1"/>
      <c r="X50" s="1"/>
      <c r="Y50" s="1"/>
      <c r="Z50" s="1"/>
    </row>
    <row r="51" spans="1:26" ht="24.75" customHeight="1">
      <c r="A51" s="171"/>
      <c r="B51" s="171"/>
      <c r="C51" s="171"/>
      <c r="D51" s="5">
        <v>46</v>
      </c>
      <c r="E51" s="5" t="s">
        <v>97</v>
      </c>
      <c r="F51" s="5"/>
      <c r="G51" s="5"/>
      <c r="H51" s="5"/>
      <c r="I51" s="5"/>
      <c r="J51" s="5"/>
      <c r="K51" s="5"/>
      <c r="L51" s="5"/>
      <c r="M51" s="5"/>
      <c r="N51" s="5"/>
      <c r="O51" s="5"/>
      <c r="P51" s="5"/>
      <c r="Q51" s="5"/>
      <c r="R51" s="5"/>
      <c r="S51" s="5"/>
      <c r="T51" s="6">
        <f t="shared" si="0"/>
        <v>0</v>
      </c>
      <c r="U51" s="9"/>
      <c r="V51" s="1"/>
      <c r="W51" s="1"/>
      <c r="X51" s="1"/>
      <c r="Y51" s="1"/>
      <c r="Z51" s="1"/>
    </row>
    <row r="52" spans="1:26" ht="24.75" customHeight="1">
      <c r="A52" s="171"/>
      <c r="B52" s="171"/>
      <c r="C52" s="171"/>
      <c r="D52" s="5">
        <v>47</v>
      </c>
      <c r="E52" s="5" t="s">
        <v>98</v>
      </c>
      <c r="F52" s="8">
        <v>2.9</v>
      </c>
      <c r="G52" s="5"/>
      <c r="H52" s="5"/>
      <c r="I52" s="5"/>
      <c r="J52" s="5"/>
      <c r="K52" s="5"/>
      <c r="L52" s="5"/>
      <c r="M52" s="5"/>
      <c r="N52" s="5"/>
      <c r="O52" s="5"/>
      <c r="P52" s="5"/>
      <c r="Q52" s="5"/>
      <c r="R52" s="5"/>
      <c r="S52" s="5"/>
      <c r="T52" s="6">
        <f t="shared" si="0"/>
        <v>2.9</v>
      </c>
      <c r="U52" s="9"/>
      <c r="V52" s="1"/>
      <c r="W52" s="1"/>
      <c r="X52" s="1"/>
      <c r="Y52" s="1"/>
      <c r="Z52" s="1"/>
    </row>
    <row r="53" spans="1:26" ht="24.75" customHeight="1">
      <c r="A53" s="171"/>
      <c r="B53" s="171"/>
      <c r="C53" s="171"/>
      <c r="D53" s="5">
        <v>48</v>
      </c>
      <c r="E53" s="5" t="s">
        <v>99</v>
      </c>
      <c r="F53" s="5"/>
      <c r="G53" s="5"/>
      <c r="H53" s="5"/>
      <c r="I53" s="5"/>
      <c r="J53" s="5"/>
      <c r="K53" s="5"/>
      <c r="L53" s="5"/>
      <c r="M53" s="5"/>
      <c r="N53" s="6">
        <v>0.1</v>
      </c>
      <c r="O53" s="5"/>
      <c r="P53" s="8"/>
      <c r="Q53" s="5"/>
      <c r="R53" s="5"/>
      <c r="S53" s="5"/>
      <c r="T53" s="6">
        <f t="shared" si="0"/>
        <v>0.1</v>
      </c>
      <c r="U53" s="9"/>
      <c r="V53" s="1"/>
      <c r="W53" s="1"/>
      <c r="X53" s="1"/>
      <c r="Y53" s="1"/>
      <c r="Z53" s="1"/>
    </row>
    <row r="54" spans="1:26" ht="24.75" customHeight="1">
      <c r="A54" s="171"/>
      <c r="B54" s="171"/>
      <c r="C54" s="171"/>
      <c r="D54" s="5">
        <v>49</v>
      </c>
      <c r="E54" s="5" t="s">
        <v>100</v>
      </c>
      <c r="F54" s="5"/>
      <c r="G54" s="5"/>
      <c r="H54" s="5"/>
      <c r="I54" s="5"/>
      <c r="J54" s="5"/>
      <c r="K54" s="5"/>
      <c r="L54" s="5"/>
      <c r="M54" s="5"/>
      <c r="N54" s="5"/>
      <c r="O54" s="5"/>
      <c r="P54" s="5"/>
      <c r="Q54" s="6">
        <v>1.5</v>
      </c>
      <c r="R54" s="8">
        <v>1.5</v>
      </c>
      <c r="S54" s="5"/>
      <c r="T54" s="6">
        <f t="shared" si="0"/>
        <v>3</v>
      </c>
      <c r="U54" s="9" t="s">
        <v>310</v>
      </c>
      <c r="V54" s="1"/>
      <c r="W54" s="1"/>
      <c r="X54" s="1"/>
      <c r="Y54" s="1"/>
      <c r="Z54" s="1"/>
    </row>
    <row r="55" spans="1:26" ht="24.75" customHeight="1">
      <c r="A55" s="171"/>
      <c r="B55" s="171"/>
      <c r="C55" s="171"/>
      <c r="D55" s="5">
        <v>50</v>
      </c>
      <c r="E55" s="5" t="s">
        <v>102</v>
      </c>
      <c r="F55" s="5"/>
      <c r="G55" s="5"/>
      <c r="H55" s="5"/>
      <c r="I55" s="6"/>
      <c r="J55" s="5"/>
      <c r="K55" s="5"/>
      <c r="L55" s="5"/>
      <c r="M55" s="5"/>
      <c r="N55" s="6">
        <v>1.1399999999999999</v>
      </c>
      <c r="O55" s="5"/>
      <c r="P55" s="8">
        <v>0.78</v>
      </c>
      <c r="Q55" s="6">
        <v>6</v>
      </c>
      <c r="R55" s="8">
        <v>0.113</v>
      </c>
      <c r="S55" s="5"/>
      <c r="T55" s="6">
        <f t="shared" si="0"/>
        <v>8.0329999999999995</v>
      </c>
      <c r="U55" s="9" t="s">
        <v>310</v>
      </c>
      <c r="V55" s="1"/>
      <c r="W55" s="1"/>
      <c r="X55" s="1"/>
      <c r="Y55" s="1"/>
      <c r="Z55" s="1"/>
    </row>
    <row r="56" spans="1:26" ht="24.75" customHeight="1">
      <c r="A56" s="171"/>
      <c r="B56" s="169"/>
      <c r="C56" s="169"/>
      <c r="D56" s="5">
        <v>51</v>
      </c>
      <c r="E56" s="5" t="s">
        <v>54</v>
      </c>
      <c r="F56" s="5"/>
      <c r="G56" s="5"/>
      <c r="H56" s="5"/>
      <c r="I56" s="5"/>
      <c r="J56" s="5"/>
      <c r="K56" s="5"/>
      <c r="L56" s="5"/>
      <c r="M56" s="5"/>
      <c r="N56" s="8"/>
      <c r="O56" s="5"/>
      <c r="P56" s="5">
        <v>1</v>
      </c>
      <c r="Q56" s="5"/>
      <c r="R56" s="5"/>
      <c r="S56" s="5"/>
      <c r="T56" s="6">
        <f t="shared" si="0"/>
        <v>1</v>
      </c>
      <c r="U56" s="9"/>
      <c r="V56" s="1"/>
      <c r="W56" s="1"/>
      <c r="X56" s="1"/>
      <c r="Y56" s="1"/>
      <c r="Z56" s="1"/>
    </row>
    <row r="57" spans="1:26" ht="24.75" customHeight="1">
      <c r="A57" s="171"/>
      <c r="B57" s="168" t="s">
        <v>103</v>
      </c>
      <c r="C57" s="168" t="s">
        <v>104</v>
      </c>
      <c r="D57" s="5">
        <v>52</v>
      </c>
      <c r="E57" s="5" t="s">
        <v>105</v>
      </c>
      <c r="F57" s="123"/>
      <c r="G57" s="123"/>
      <c r="H57" s="123"/>
      <c r="I57" s="125"/>
      <c r="J57" s="123"/>
      <c r="K57" s="125"/>
      <c r="L57" s="123"/>
      <c r="M57" s="123"/>
      <c r="N57" s="125">
        <v>2</v>
      </c>
      <c r="O57" s="124">
        <v>37.17</v>
      </c>
      <c r="P57" s="123"/>
      <c r="Q57" s="123"/>
      <c r="R57" s="123"/>
      <c r="S57" s="123"/>
      <c r="T57" s="125">
        <f t="shared" ref="T57:T66" si="2">SUM(F57:S57)</f>
        <v>39.17</v>
      </c>
      <c r="U57" s="9" t="s">
        <v>65</v>
      </c>
      <c r="V57" s="1"/>
      <c r="W57" s="1"/>
      <c r="X57" s="1"/>
      <c r="Y57" s="1"/>
      <c r="Z57" s="1"/>
    </row>
    <row r="58" spans="1:26" ht="24.75" customHeight="1">
      <c r="A58" s="171"/>
      <c r="B58" s="171"/>
      <c r="C58" s="171"/>
      <c r="D58" s="5">
        <v>53</v>
      </c>
      <c r="E58" s="5" t="s">
        <v>106</v>
      </c>
      <c r="F58" s="123"/>
      <c r="G58" s="123"/>
      <c r="H58" s="123"/>
      <c r="I58" s="123"/>
      <c r="J58" s="123"/>
      <c r="K58" s="125"/>
      <c r="L58" s="123"/>
      <c r="M58" s="123"/>
      <c r="N58" s="125"/>
      <c r="O58" s="124">
        <v>4.13</v>
      </c>
      <c r="P58" s="123"/>
      <c r="Q58" s="124">
        <v>3</v>
      </c>
      <c r="R58" s="123"/>
      <c r="S58" s="123"/>
      <c r="T58" s="125">
        <f t="shared" si="2"/>
        <v>7.13</v>
      </c>
      <c r="U58" s="9" t="s">
        <v>65</v>
      </c>
      <c r="V58" s="1"/>
      <c r="W58" s="1"/>
      <c r="X58" s="1"/>
      <c r="Y58" s="1"/>
      <c r="Z58" s="1"/>
    </row>
    <row r="59" spans="1:26" ht="24.75" customHeight="1">
      <c r="A59" s="171"/>
      <c r="B59" s="171"/>
      <c r="C59" s="171"/>
      <c r="D59" s="5">
        <v>54</v>
      </c>
      <c r="E59" s="5" t="s">
        <v>107</v>
      </c>
      <c r="F59" s="123"/>
      <c r="G59" s="123"/>
      <c r="H59" s="124"/>
      <c r="I59" s="123"/>
      <c r="J59" s="123"/>
      <c r="K59" s="123"/>
      <c r="L59" s="123"/>
      <c r="M59" s="123"/>
      <c r="N59" s="123"/>
      <c r="O59" s="124"/>
      <c r="P59" s="124"/>
      <c r="Q59" s="123"/>
      <c r="R59" s="123"/>
      <c r="S59" s="123"/>
      <c r="T59" s="125">
        <f t="shared" si="2"/>
        <v>0</v>
      </c>
      <c r="U59" s="9"/>
      <c r="V59" s="1"/>
      <c r="W59" s="1"/>
      <c r="X59" s="1"/>
      <c r="Y59" s="1"/>
      <c r="Z59" s="1"/>
    </row>
    <row r="60" spans="1:26" ht="24.75" customHeight="1">
      <c r="A60" s="171"/>
      <c r="B60" s="171"/>
      <c r="C60" s="171"/>
      <c r="D60" s="5">
        <v>55</v>
      </c>
      <c r="E60" s="5" t="s">
        <v>108</v>
      </c>
      <c r="F60" s="123"/>
      <c r="G60" s="123"/>
      <c r="H60" s="123"/>
      <c r="I60" s="123"/>
      <c r="J60" s="123"/>
      <c r="K60" s="125"/>
      <c r="L60" s="123"/>
      <c r="M60" s="123"/>
      <c r="N60" s="123"/>
      <c r="O60" s="123"/>
      <c r="P60" s="123"/>
      <c r="Q60" s="123"/>
      <c r="R60" s="123"/>
      <c r="S60" s="123"/>
      <c r="T60" s="125">
        <f t="shared" si="2"/>
        <v>0</v>
      </c>
      <c r="U60" s="9"/>
      <c r="V60" s="1"/>
      <c r="W60" s="1"/>
      <c r="X60" s="1"/>
      <c r="Y60" s="1"/>
      <c r="Z60" s="1"/>
    </row>
    <row r="61" spans="1:26" ht="24.75" customHeight="1">
      <c r="A61" s="171"/>
      <c r="B61" s="171"/>
      <c r="C61" s="171"/>
      <c r="D61" s="5">
        <v>56</v>
      </c>
      <c r="E61" s="5" t="s">
        <v>109</v>
      </c>
      <c r="F61" s="123"/>
      <c r="G61" s="123"/>
      <c r="H61" s="123"/>
      <c r="I61" s="123"/>
      <c r="J61" s="123"/>
      <c r="K61" s="123"/>
      <c r="L61" s="123"/>
      <c r="M61" s="123"/>
      <c r="N61" s="123"/>
      <c r="O61" s="124">
        <v>8.26</v>
      </c>
      <c r="P61" s="123"/>
      <c r="Q61" s="123"/>
      <c r="R61" s="123"/>
      <c r="S61" s="123"/>
      <c r="T61" s="125">
        <f t="shared" si="2"/>
        <v>8.26</v>
      </c>
      <c r="U61" s="9" t="s">
        <v>65</v>
      </c>
      <c r="V61" s="1"/>
      <c r="W61" s="1"/>
      <c r="X61" s="1"/>
      <c r="Y61" s="1"/>
      <c r="Z61" s="1"/>
    </row>
    <row r="62" spans="1:26" ht="24.75" customHeight="1">
      <c r="A62" s="171"/>
      <c r="B62" s="171"/>
      <c r="C62" s="171"/>
      <c r="D62" s="5">
        <v>57</v>
      </c>
      <c r="E62" s="5" t="s">
        <v>110</v>
      </c>
      <c r="F62" s="123"/>
      <c r="G62" s="123"/>
      <c r="H62" s="124"/>
      <c r="I62" s="123"/>
      <c r="J62" s="123"/>
      <c r="K62" s="123"/>
      <c r="L62" s="123"/>
      <c r="M62" s="125">
        <f>2.49+2.1</f>
        <v>4.59</v>
      </c>
      <c r="N62" s="123"/>
      <c r="O62" s="123"/>
      <c r="P62" s="123"/>
      <c r="Q62" s="123"/>
      <c r="R62" s="123"/>
      <c r="S62" s="123"/>
      <c r="T62" s="125">
        <f t="shared" si="2"/>
        <v>4.59</v>
      </c>
      <c r="U62" s="9" t="s">
        <v>65</v>
      </c>
      <c r="V62" s="1"/>
      <c r="W62" s="1"/>
      <c r="X62" s="1"/>
      <c r="Y62" s="1"/>
      <c r="Z62" s="1"/>
    </row>
    <row r="63" spans="1:26" ht="24.75" customHeight="1">
      <c r="A63" s="171"/>
      <c r="B63" s="171"/>
      <c r="C63" s="171"/>
      <c r="D63" s="5">
        <v>58</v>
      </c>
      <c r="E63" s="5" t="s">
        <v>111</v>
      </c>
      <c r="F63" s="123"/>
      <c r="G63" s="123"/>
      <c r="H63" s="123"/>
      <c r="I63" s="123"/>
      <c r="J63" s="123"/>
      <c r="K63" s="125"/>
      <c r="L63" s="123"/>
      <c r="M63" s="123"/>
      <c r="N63" s="123"/>
      <c r="O63" s="124">
        <v>2.0699999999999998</v>
      </c>
      <c r="P63" s="123"/>
      <c r="Q63" s="124">
        <v>0.75</v>
      </c>
      <c r="R63" s="123"/>
      <c r="S63" s="123"/>
      <c r="T63" s="125">
        <f t="shared" si="2"/>
        <v>2.82</v>
      </c>
      <c r="U63" s="9" t="s">
        <v>65</v>
      </c>
      <c r="V63" s="1"/>
      <c r="W63" s="1"/>
      <c r="X63" s="1"/>
      <c r="Y63" s="1"/>
      <c r="Z63" s="1"/>
    </row>
    <row r="64" spans="1:26" ht="24.75" customHeight="1">
      <c r="A64" s="171"/>
      <c r="B64" s="171"/>
      <c r="C64" s="171"/>
      <c r="D64" s="5">
        <v>59</v>
      </c>
      <c r="E64" s="5" t="s">
        <v>112</v>
      </c>
      <c r="F64" s="123"/>
      <c r="G64" s="123"/>
      <c r="H64" s="123"/>
      <c r="I64" s="123"/>
      <c r="J64" s="123"/>
      <c r="K64" s="123"/>
      <c r="L64" s="123"/>
      <c r="M64" s="123"/>
      <c r="N64" s="123"/>
      <c r="O64" s="123"/>
      <c r="P64" s="123"/>
      <c r="Q64" s="123"/>
      <c r="R64" s="123"/>
      <c r="S64" s="123"/>
      <c r="T64" s="125">
        <f t="shared" si="2"/>
        <v>0</v>
      </c>
      <c r="U64" s="9"/>
      <c r="V64" s="1"/>
      <c r="W64" s="1"/>
      <c r="X64" s="1"/>
      <c r="Y64" s="1"/>
      <c r="Z64" s="1"/>
    </row>
    <row r="65" spans="1:26" ht="24.75" customHeight="1">
      <c r="A65" s="171"/>
      <c r="B65" s="171"/>
      <c r="C65" s="171"/>
      <c r="D65" s="5">
        <v>60</v>
      </c>
      <c r="E65" s="5" t="s">
        <v>113</v>
      </c>
      <c r="F65" s="123"/>
      <c r="G65" s="123"/>
      <c r="H65" s="123"/>
      <c r="I65" s="123"/>
      <c r="J65" s="123"/>
      <c r="K65" s="123"/>
      <c r="L65" s="123"/>
      <c r="M65" s="123"/>
      <c r="N65" s="123"/>
      <c r="O65" s="123"/>
      <c r="P65" s="123"/>
      <c r="Q65" s="123"/>
      <c r="R65" s="123"/>
      <c r="S65" s="123"/>
      <c r="T65" s="125">
        <f t="shared" si="2"/>
        <v>0</v>
      </c>
      <c r="U65" s="9"/>
      <c r="V65" s="1"/>
      <c r="W65" s="1"/>
      <c r="X65" s="1"/>
      <c r="Y65" s="1"/>
      <c r="Z65" s="1"/>
    </row>
    <row r="66" spans="1:26" ht="24.75" customHeight="1">
      <c r="A66" s="171"/>
      <c r="B66" s="169"/>
      <c r="C66" s="169"/>
      <c r="D66" s="5">
        <v>61</v>
      </c>
      <c r="E66" s="5" t="s">
        <v>54</v>
      </c>
      <c r="F66" s="123"/>
      <c r="G66" s="123"/>
      <c r="H66" s="123"/>
      <c r="I66" s="123"/>
      <c r="J66" s="123"/>
      <c r="K66" s="123"/>
      <c r="L66" s="123"/>
      <c r="M66" s="123"/>
      <c r="N66" s="123"/>
      <c r="O66" s="123"/>
      <c r="P66" s="123"/>
      <c r="Q66" s="123"/>
      <c r="R66" s="123"/>
      <c r="S66" s="123"/>
      <c r="T66" s="125">
        <f t="shared" si="2"/>
        <v>0</v>
      </c>
      <c r="U66" s="9"/>
      <c r="V66" s="1"/>
      <c r="W66" s="1"/>
      <c r="X66" s="1"/>
      <c r="Y66" s="1"/>
      <c r="Z66" s="1"/>
    </row>
    <row r="67" spans="1:26" ht="24.75" customHeight="1">
      <c r="A67" s="171"/>
      <c r="B67" s="5" t="s">
        <v>114</v>
      </c>
      <c r="C67" s="5" t="s">
        <v>115</v>
      </c>
      <c r="D67" s="5">
        <v>62</v>
      </c>
      <c r="E67" s="5" t="s">
        <v>116</v>
      </c>
      <c r="F67" s="5"/>
      <c r="G67" s="5"/>
      <c r="H67" s="5"/>
      <c r="I67" s="5"/>
      <c r="J67" s="5"/>
      <c r="K67" s="5"/>
      <c r="L67" s="5"/>
      <c r="M67" s="6"/>
      <c r="N67" s="5"/>
      <c r="O67" s="8">
        <v>1</v>
      </c>
      <c r="P67" s="8"/>
      <c r="Q67" s="6">
        <v>0.25</v>
      </c>
      <c r="R67" s="5"/>
      <c r="S67" s="8"/>
      <c r="T67" s="6">
        <f t="shared" si="0"/>
        <v>1.25</v>
      </c>
      <c r="U67" s="61" t="s">
        <v>577</v>
      </c>
      <c r="V67" s="1"/>
      <c r="W67" s="1"/>
      <c r="X67" s="1"/>
      <c r="Y67" s="1"/>
      <c r="Z67" s="1"/>
    </row>
    <row r="68" spans="1:26" ht="24.75" customHeight="1">
      <c r="A68" s="169"/>
      <c r="B68" s="176" t="s">
        <v>117</v>
      </c>
      <c r="C68" s="177"/>
      <c r="D68" s="178"/>
      <c r="E68" s="51"/>
      <c r="F68" s="51">
        <f t="shared" ref="F68:S68" si="3">SUM(F6:F67)</f>
        <v>84.06</v>
      </c>
      <c r="G68" s="51">
        <f t="shared" si="3"/>
        <v>0</v>
      </c>
      <c r="H68" s="51">
        <f t="shared" si="3"/>
        <v>0</v>
      </c>
      <c r="I68" s="51">
        <f t="shared" si="3"/>
        <v>8.870000000000001</v>
      </c>
      <c r="J68" s="51">
        <f t="shared" si="3"/>
        <v>0</v>
      </c>
      <c r="K68" s="51">
        <f t="shared" si="3"/>
        <v>91.754000000000005</v>
      </c>
      <c r="L68" s="51">
        <f t="shared" si="3"/>
        <v>0</v>
      </c>
      <c r="M68" s="51">
        <f t="shared" si="3"/>
        <v>38.614000000000004</v>
      </c>
      <c r="N68" s="51">
        <f t="shared" si="3"/>
        <v>37.599550000000008</v>
      </c>
      <c r="O68" s="51">
        <f t="shared" si="3"/>
        <v>228.71875</v>
      </c>
      <c r="P68" s="51">
        <f t="shared" si="3"/>
        <v>446.90199999999999</v>
      </c>
      <c r="Q68" s="51">
        <f t="shared" si="3"/>
        <v>49.324999999999996</v>
      </c>
      <c r="R68" s="51">
        <f t="shared" si="3"/>
        <v>15.322999999999999</v>
      </c>
      <c r="S68" s="51">
        <f t="shared" si="3"/>
        <v>0.4</v>
      </c>
      <c r="T68" s="6">
        <f t="shared" si="0"/>
        <v>1001.5663</v>
      </c>
      <c r="U68" s="9"/>
      <c r="V68" s="1"/>
      <c r="W68" s="1"/>
      <c r="X68" s="1"/>
      <c r="Y68" s="1"/>
      <c r="Z68" s="1"/>
    </row>
    <row r="69" spans="1:26" ht="39.75" customHeight="1">
      <c r="A69" s="175" t="s">
        <v>118</v>
      </c>
      <c r="B69" s="5" t="s">
        <v>119</v>
      </c>
      <c r="C69" s="5" t="s">
        <v>120</v>
      </c>
      <c r="D69" s="5">
        <v>63</v>
      </c>
      <c r="E69" s="5" t="s">
        <v>121</v>
      </c>
      <c r="F69" s="5"/>
      <c r="G69" s="5"/>
      <c r="H69" s="5"/>
      <c r="I69" s="5"/>
      <c r="J69" s="5"/>
      <c r="K69" s="5"/>
      <c r="L69" s="5"/>
      <c r="M69" s="8"/>
      <c r="N69" s="6">
        <v>9.15</v>
      </c>
      <c r="O69" s="5"/>
      <c r="P69" s="6"/>
      <c r="Q69" s="5"/>
      <c r="R69" s="8">
        <v>5</v>
      </c>
      <c r="S69" s="8">
        <v>2</v>
      </c>
      <c r="T69" s="6">
        <f t="shared" si="0"/>
        <v>16.149999999999999</v>
      </c>
      <c r="U69" s="9" t="s">
        <v>364</v>
      </c>
      <c r="V69" s="1"/>
      <c r="W69" s="1"/>
      <c r="X69" s="1"/>
      <c r="Y69" s="1"/>
      <c r="Z69" s="1"/>
    </row>
    <row r="70" spans="1:26" ht="39.75" customHeight="1">
      <c r="A70" s="171"/>
      <c r="B70" s="168" t="s">
        <v>122</v>
      </c>
      <c r="C70" s="168" t="s">
        <v>123</v>
      </c>
      <c r="D70" s="5">
        <v>64</v>
      </c>
      <c r="E70" s="5" t="s">
        <v>124</v>
      </c>
      <c r="F70" s="15"/>
      <c r="G70" s="37"/>
      <c r="H70" s="15"/>
      <c r="I70" s="17"/>
      <c r="J70" s="15"/>
      <c r="K70" s="17"/>
      <c r="L70" s="15"/>
      <c r="M70" s="15"/>
      <c r="N70" s="17">
        <v>0.8</v>
      </c>
      <c r="O70" s="16">
        <v>0.6</v>
      </c>
      <c r="P70" s="17">
        <f>70.9675+5.917</f>
        <v>76.884500000000003</v>
      </c>
      <c r="Q70" s="17">
        <f>0.54+0.5</f>
        <v>1.04</v>
      </c>
      <c r="R70" s="16">
        <v>3</v>
      </c>
      <c r="S70" s="16"/>
      <c r="T70" s="6">
        <f t="shared" ref="T70:T133" si="4">SUM(F70:S70)</f>
        <v>82.324500000000015</v>
      </c>
      <c r="U70" s="9" t="s">
        <v>439</v>
      </c>
      <c r="V70" s="1"/>
      <c r="W70" s="1"/>
      <c r="X70" s="1"/>
      <c r="Y70" s="1"/>
      <c r="Z70" s="1"/>
    </row>
    <row r="71" spans="1:26" ht="39.75" customHeight="1">
      <c r="A71" s="171"/>
      <c r="B71" s="171"/>
      <c r="C71" s="171"/>
      <c r="D71" s="5">
        <v>65</v>
      </c>
      <c r="E71" s="5" t="s">
        <v>126</v>
      </c>
      <c r="F71" s="15"/>
      <c r="G71" s="15"/>
      <c r="H71" s="15"/>
      <c r="I71" s="15"/>
      <c r="J71" s="15"/>
      <c r="K71" s="15"/>
      <c r="L71" s="15"/>
      <c r="M71" s="15"/>
      <c r="N71" s="17"/>
      <c r="O71" s="15"/>
      <c r="P71" s="16">
        <v>0.17</v>
      </c>
      <c r="Q71" s="15"/>
      <c r="R71" s="15"/>
      <c r="S71" s="16"/>
      <c r="T71" s="6">
        <f t="shared" si="4"/>
        <v>0.17</v>
      </c>
      <c r="U71" s="9" t="s">
        <v>366</v>
      </c>
      <c r="V71" s="1"/>
      <c r="W71" s="1"/>
      <c r="X71" s="1"/>
      <c r="Y71" s="1"/>
      <c r="Z71" s="1"/>
    </row>
    <row r="72" spans="1:26" ht="39.75" customHeight="1">
      <c r="A72" s="171"/>
      <c r="B72" s="171"/>
      <c r="C72" s="171"/>
      <c r="D72" s="5">
        <v>66</v>
      </c>
      <c r="E72" s="5" t="s">
        <v>128</v>
      </c>
      <c r="F72" s="15"/>
      <c r="G72" s="15"/>
      <c r="H72" s="15"/>
      <c r="I72" s="15"/>
      <c r="J72" s="15"/>
      <c r="K72" s="17"/>
      <c r="L72" s="15"/>
      <c r="M72" s="15"/>
      <c r="N72" s="17">
        <v>0.2</v>
      </c>
      <c r="O72" s="15"/>
      <c r="P72" s="16"/>
      <c r="Q72" s="17">
        <v>0.05</v>
      </c>
      <c r="R72" s="34">
        <v>0.15</v>
      </c>
      <c r="S72" s="15"/>
      <c r="T72" s="6">
        <f t="shared" si="4"/>
        <v>0.4</v>
      </c>
      <c r="U72" s="9" t="s">
        <v>129</v>
      </c>
      <c r="V72" s="1"/>
      <c r="W72" s="1"/>
      <c r="X72" s="1"/>
      <c r="Y72" s="1"/>
      <c r="Z72" s="1"/>
    </row>
    <row r="73" spans="1:26" ht="39.75" customHeight="1">
      <c r="A73" s="171"/>
      <c r="B73" s="171"/>
      <c r="C73" s="171"/>
      <c r="D73" s="5">
        <v>67</v>
      </c>
      <c r="E73" s="5" t="s">
        <v>131</v>
      </c>
      <c r="F73" s="15"/>
      <c r="G73" s="15"/>
      <c r="H73" s="15"/>
      <c r="I73" s="15">
        <v>1.28</v>
      </c>
      <c r="J73" s="15"/>
      <c r="K73" s="17"/>
      <c r="L73" s="15"/>
      <c r="M73" s="15"/>
      <c r="N73" s="17">
        <v>0.6</v>
      </c>
      <c r="O73" s="15">
        <v>1.5</v>
      </c>
      <c r="P73" s="16">
        <v>2</v>
      </c>
      <c r="Q73" s="17">
        <v>0.84499999999999997</v>
      </c>
      <c r="R73" s="16">
        <v>3.75</v>
      </c>
      <c r="S73" s="16"/>
      <c r="T73" s="6">
        <f t="shared" si="4"/>
        <v>9.9749999999999996</v>
      </c>
      <c r="U73" s="9" t="s">
        <v>367</v>
      </c>
      <c r="V73" s="1"/>
      <c r="W73" s="1"/>
      <c r="X73" s="1"/>
      <c r="Y73" s="1"/>
      <c r="Z73" s="1"/>
    </row>
    <row r="74" spans="1:26" ht="39.75" customHeight="1">
      <c r="A74" s="171"/>
      <c r="B74" s="169"/>
      <c r="C74" s="169"/>
      <c r="D74" s="5">
        <v>68</v>
      </c>
      <c r="E74" s="5" t="s">
        <v>133</v>
      </c>
      <c r="F74" s="16"/>
      <c r="G74" s="15"/>
      <c r="H74" s="15"/>
      <c r="I74" s="17"/>
      <c r="J74" s="15"/>
      <c r="K74" s="17"/>
      <c r="L74" s="15"/>
      <c r="M74" s="15"/>
      <c r="N74" s="17">
        <v>1.1000000000000001</v>
      </c>
      <c r="O74" s="16"/>
      <c r="P74" s="16">
        <v>2.63</v>
      </c>
      <c r="Q74" s="17">
        <v>3.5</v>
      </c>
      <c r="R74" s="16">
        <v>10.4</v>
      </c>
      <c r="S74" s="16">
        <v>6.4</v>
      </c>
      <c r="T74" s="6">
        <f t="shared" si="4"/>
        <v>24.03</v>
      </c>
      <c r="U74" s="9" t="s">
        <v>427</v>
      </c>
      <c r="V74" s="1"/>
      <c r="W74" s="1"/>
      <c r="X74" s="1"/>
      <c r="Y74" s="1"/>
      <c r="Z74" s="1"/>
    </row>
    <row r="75" spans="1:26" ht="39.75" customHeight="1">
      <c r="A75" s="171"/>
      <c r="B75" s="168" t="s">
        <v>136</v>
      </c>
      <c r="C75" s="168" t="s">
        <v>137</v>
      </c>
      <c r="D75" s="5">
        <v>69</v>
      </c>
      <c r="E75" s="5" t="s">
        <v>138</v>
      </c>
      <c r="F75" s="20"/>
      <c r="G75" s="20"/>
      <c r="H75" s="20"/>
      <c r="I75" s="20"/>
      <c r="J75" s="20"/>
      <c r="K75" s="20"/>
      <c r="L75" s="20"/>
      <c r="M75" s="20">
        <v>0.68</v>
      </c>
      <c r="N75" s="20"/>
      <c r="O75" s="20">
        <v>79.281999999999996</v>
      </c>
      <c r="P75" s="20">
        <v>1.5</v>
      </c>
      <c r="Q75" s="20"/>
      <c r="R75" s="20"/>
      <c r="S75" s="20"/>
      <c r="T75" s="6">
        <f t="shared" si="4"/>
        <v>81.462000000000003</v>
      </c>
      <c r="U75" s="10" t="s">
        <v>473</v>
      </c>
      <c r="V75" s="18"/>
      <c r="W75" s="1"/>
      <c r="X75" s="1"/>
      <c r="Y75" s="1"/>
      <c r="Z75" s="1"/>
    </row>
    <row r="76" spans="1:26" ht="39.75" customHeight="1">
      <c r="A76" s="171"/>
      <c r="B76" s="171"/>
      <c r="C76" s="171"/>
      <c r="D76" s="5">
        <v>70</v>
      </c>
      <c r="E76" s="5" t="s">
        <v>140</v>
      </c>
      <c r="F76" s="20"/>
      <c r="G76" s="20"/>
      <c r="H76" s="20"/>
      <c r="I76" s="22">
        <v>0.312</v>
      </c>
      <c r="J76" s="20"/>
      <c r="K76" s="20"/>
      <c r="L76" s="20"/>
      <c r="M76" s="20"/>
      <c r="N76" s="20"/>
      <c r="O76" s="20"/>
      <c r="P76" s="20">
        <v>0.3</v>
      </c>
      <c r="Q76" s="20"/>
      <c r="R76" s="20"/>
      <c r="S76" s="20"/>
      <c r="T76" s="6">
        <f t="shared" si="4"/>
        <v>0.61199999999999999</v>
      </c>
      <c r="U76" s="10" t="s">
        <v>474</v>
      </c>
      <c r="V76" s="18"/>
      <c r="W76" s="1"/>
      <c r="X76" s="1"/>
      <c r="Y76" s="1"/>
      <c r="Z76" s="1"/>
    </row>
    <row r="77" spans="1:26" ht="39.75" customHeight="1">
      <c r="A77" s="171"/>
      <c r="B77" s="171"/>
      <c r="C77" s="171"/>
      <c r="D77" s="5">
        <v>71</v>
      </c>
      <c r="E77" s="5" t="s">
        <v>142</v>
      </c>
      <c r="F77" s="20"/>
      <c r="G77" s="20"/>
      <c r="H77" s="20"/>
      <c r="I77" s="20"/>
      <c r="J77" s="20"/>
      <c r="K77" s="20"/>
      <c r="L77" s="20"/>
      <c r="M77" s="20"/>
      <c r="N77" s="20"/>
      <c r="O77" s="20"/>
      <c r="P77" s="20"/>
      <c r="Q77" s="20"/>
      <c r="R77" s="20"/>
      <c r="S77" s="20"/>
      <c r="T77" s="6">
        <f t="shared" si="4"/>
        <v>0</v>
      </c>
      <c r="U77" s="10"/>
      <c r="V77" s="18"/>
      <c r="W77" s="1"/>
      <c r="X77" s="1"/>
      <c r="Y77" s="1"/>
      <c r="Z77" s="1"/>
    </row>
    <row r="78" spans="1:26" ht="39.75" customHeight="1">
      <c r="A78" s="171"/>
      <c r="B78" s="169"/>
      <c r="C78" s="169"/>
      <c r="D78" s="5">
        <v>72</v>
      </c>
      <c r="E78" s="5" t="s">
        <v>143</v>
      </c>
      <c r="F78" s="20"/>
      <c r="G78" s="20"/>
      <c r="H78" s="20"/>
      <c r="I78" s="20"/>
      <c r="J78" s="20"/>
      <c r="K78" s="20"/>
      <c r="L78" s="20"/>
      <c r="M78" s="20"/>
      <c r="N78" s="20">
        <v>4.7939999999999996</v>
      </c>
      <c r="O78" s="20"/>
      <c r="P78" s="20"/>
      <c r="Q78" s="20">
        <v>2.8780000000000001</v>
      </c>
      <c r="R78" s="20">
        <v>2.8490000000000002</v>
      </c>
      <c r="S78" s="20"/>
      <c r="T78" s="6">
        <f t="shared" si="4"/>
        <v>10.521000000000001</v>
      </c>
      <c r="U78" s="10" t="s">
        <v>475</v>
      </c>
      <c r="V78" s="18"/>
      <c r="W78" s="1"/>
      <c r="X78" s="1"/>
      <c r="Y78" s="1"/>
      <c r="Z78" s="1"/>
    </row>
    <row r="79" spans="1:26" ht="39.75" customHeight="1">
      <c r="A79" s="171"/>
      <c r="B79" s="168" t="s">
        <v>145</v>
      </c>
      <c r="C79" s="168" t="s">
        <v>146</v>
      </c>
      <c r="D79" s="5">
        <v>73</v>
      </c>
      <c r="E79" s="5" t="s">
        <v>147</v>
      </c>
      <c r="F79" s="128">
        <v>6.4</v>
      </c>
      <c r="G79" s="128"/>
      <c r="H79" s="128">
        <v>2.5</v>
      </c>
      <c r="I79" s="128">
        <f>2.5+2.4+2+1.5</f>
        <v>8.4</v>
      </c>
      <c r="J79" s="112"/>
      <c r="K79" s="128">
        <f>2.8</f>
        <v>2.8</v>
      </c>
      <c r="L79" s="112"/>
      <c r="M79" s="128">
        <f>4.4+5.4</f>
        <v>9.8000000000000007</v>
      </c>
      <c r="N79" s="128">
        <f>4.2+2.3+0.8</f>
        <v>7.3</v>
      </c>
      <c r="O79" s="128"/>
      <c r="P79" s="128">
        <f>1.3+0.25+1.6</f>
        <v>3.1500000000000004</v>
      </c>
      <c r="Q79" s="112"/>
      <c r="R79" s="128">
        <f>4.4+2.9+1.5+2.4+3.7+1.1</f>
        <v>16.000000000000004</v>
      </c>
      <c r="S79" s="128">
        <f>0.8</f>
        <v>0.8</v>
      </c>
      <c r="T79" s="129">
        <f>SUM(F79:S79)</f>
        <v>57.150000000000006</v>
      </c>
      <c r="U79" s="130" t="s">
        <v>792</v>
      </c>
      <c r="V79" s="1"/>
      <c r="W79" s="1"/>
      <c r="X79" s="1"/>
      <c r="Y79" s="1"/>
      <c r="Z79" s="1"/>
    </row>
    <row r="80" spans="1:26" ht="39.75" customHeight="1">
      <c r="A80" s="171"/>
      <c r="B80" s="171"/>
      <c r="C80" s="171"/>
      <c r="D80" s="5">
        <v>74</v>
      </c>
      <c r="E80" s="5" t="s">
        <v>148</v>
      </c>
      <c r="F80" s="128">
        <f>59+4.4</f>
        <v>63.4</v>
      </c>
      <c r="G80" s="128"/>
      <c r="H80" s="112"/>
      <c r="I80" s="112"/>
      <c r="J80" s="112"/>
      <c r="K80" s="112"/>
      <c r="L80" s="112"/>
      <c r="M80" s="112"/>
      <c r="N80" s="112"/>
      <c r="O80" s="112"/>
      <c r="P80" s="112"/>
      <c r="Q80" s="112"/>
      <c r="R80" s="112"/>
      <c r="S80" s="112"/>
      <c r="T80" s="129">
        <f t="shared" ref="T80:T84" si="5">SUM(F80:S80)</f>
        <v>63.4</v>
      </c>
      <c r="U80" s="130" t="s">
        <v>793</v>
      </c>
      <c r="V80" s="1"/>
      <c r="W80" s="1"/>
      <c r="X80" s="1"/>
      <c r="Y80" s="1"/>
      <c r="Z80" s="1"/>
    </row>
    <row r="81" spans="1:26" ht="39.75" customHeight="1">
      <c r="A81" s="171"/>
      <c r="B81" s="171"/>
      <c r="C81" s="171"/>
      <c r="D81" s="5">
        <v>75</v>
      </c>
      <c r="E81" s="5" t="s">
        <v>149</v>
      </c>
      <c r="F81" s="128">
        <f>4.8+2.1</f>
        <v>6.9</v>
      </c>
      <c r="G81" s="128"/>
      <c r="H81" s="112"/>
      <c r="I81" s="112"/>
      <c r="J81" s="112"/>
      <c r="K81" s="112"/>
      <c r="L81" s="112"/>
      <c r="M81" s="112"/>
      <c r="N81" s="112"/>
      <c r="O81" s="112"/>
      <c r="P81" s="128">
        <f>15</f>
        <v>15</v>
      </c>
      <c r="Q81" s="112"/>
      <c r="R81" s="112"/>
      <c r="S81" s="112"/>
      <c r="T81" s="129">
        <f t="shared" si="5"/>
        <v>21.9</v>
      </c>
      <c r="U81" s="130" t="s">
        <v>794</v>
      </c>
      <c r="V81" s="1"/>
      <c r="W81" s="1"/>
      <c r="X81" s="1"/>
      <c r="Y81" s="1"/>
      <c r="Z81" s="1"/>
    </row>
    <row r="82" spans="1:26" ht="39.75" customHeight="1">
      <c r="A82" s="171"/>
      <c r="B82" s="171"/>
      <c r="C82" s="171"/>
      <c r="D82" s="5">
        <v>76</v>
      </c>
      <c r="E82" s="5" t="s">
        <v>150</v>
      </c>
      <c r="F82" s="112"/>
      <c r="G82" s="112"/>
      <c r="H82" s="112"/>
      <c r="I82" s="112"/>
      <c r="J82" s="112"/>
      <c r="K82" s="128"/>
      <c r="L82" s="112"/>
      <c r="M82" s="128">
        <f>2.2</f>
        <v>2.2000000000000002</v>
      </c>
      <c r="N82" s="112"/>
      <c r="O82" s="112"/>
      <c r="P82" s="112"/>
      <c r="Q82" s="112"/>
      <c r="R82" s="112"/>
      <c r="S82" s="112"/>
      <c r="T82" s="129">
        <f t="shared" si="5"/>
        <v>2.2000000000000002</v>
      </c>
      <c r="U82" s="131" t="s">
        <v>747</v>
      </c>
      <c r="V82" s="1"/>
      <c r="W82" s="1"/>
      <c r="X82" s="1"/>
      <c r="Y82" s="1"/>
      <c r="Z82" s="1"/>
    </row>
    <row r="83" spans="1:26" ht="39.75" customHeight="1">
      <c r="A83" s="171"/>
      <c r="B83" s="171"/>
      <c r="C83" s="171"/>
      <c r="D83" s="5">
        <v>77</v>
      </c>
      <c r="E83" s="5" t="s">
        <v>151</v>
      </c>
      <c r="F83" s="128">
        <f>2.1</f>
        <v>2.1</v>
      </c>
      <c r="G83" s="128"/>
      <c r="H83" s="128">
        <f>7</f>
        <v>7</v>
      </c>
      <c r="I83" s="128">
        <f>5.5+6.5</f>
        <v>12</v>
      </c>
      <c r="J83" s="112"/>
      <c r="K83" s="128">
        <f>2.3</f>
        <v>2.2999999999999998</v>
      </c>
      <c r="L83" s="112"/>
      <c r="M83" s="128">
        <f>15</f>
        <v>15</v>
      </c>
      <c r="N83" s="128">
        <f>0.4</f>
        <v>0.4</v>
      </c>
      <c r="O83" s="112"/>
      <c r="P83" s="112"/>
      <c r="Q83" s="112"/>
      <c r="R83" s="112"/>
      <c r="S83" s="128">
        <f>0.5</f>
        <v>0.5</v>
      </c>
      <c r="T83" s="129">
        <f t="shared" si="5"/>
        <v>39.300000000000004</v>
      </c>
      <c r="U83" s="130" t="s">
        <v>795</v>
      </c>
      <c r="V83" s="1"/>
      <c r="W83" s="1"/>
      <c r="X83" s="1"/>
      <c r="Y83" s="1"/>
      <c r="Z83" s="1"/>
    </row>
    <row r="84" spans="1:26" ht="39.75" customHeight="1">
      <c r="A84" s="171"/>
      <c r="B84" s="171"/>
      <c r="C84" s="171"/>
      <c r="D84" s="5">
        <v>78</v>
      </c>
      <c r="E84" s="5" t="s">
        <v>152</v>
      </c>
      <c r="F84" s="112"/>
      <c r="G84" s="112"/>
      <c r="H84" s="112"/>
      <c r="I84" s="112"/>
      <c r="J84" s="112"/>
      <c r="K84" s="112"/>
      <c r="L84" s="112"/>
      <c r="M84" s="112"/>
      <c r="N84" s="112"/>
      <c r="O84" s="112"/>
      <c r="P84" s="112"/>
      <c r="Q84" s="128">
        <f>12.99+1.4</f>
        <v>14.39</v>
      </c>
      <c r="R84" s="112"/>
      <c r="S84" s="112"/>
      <c r="T84" s="129">
        <f t="shared" si="5"/>
        <v>14.39</v>
      </c>
      <c r="U84" s="130" t="s">
        <v>796</v>
      </c>
      <c r="V84" s="1"/>
      <c r="W84" s="1"/>
      <c r="X84" s="1"/>
      <c r="Y84" s="1"/>
      <c r="Z84" s="1"/>
    </row>
    <row r="85" spans="1:26" ht="39.75" customHeight="1">
      <c r="A85" s="171"/>
      <c r="B85" s="169"/>
      <c r="C85" s="169"/>
      <c r="D85" s="5">
        <v>79</v>
      </c>
      <c r="E85" s="5" t="s">
        <v>54</v>
      </c>
      <c r="F85" s="112"/>
      <c r="G85" s="112"/>
      <c r="H85" s="112"/>
      <c r="I85" s="112"/>
      <c r="J85" s="112"/>
      <c r="K85" s="112"/>
      <c r="L85" s="112"/>
      <c r="M85" s="112"/>
      <c r="N85" s="112"/>
      <c r="O85" s="112"/>
      <c r="P85" s="112"/>
      <c r="Q85" s="112"/>
      <c r="R85" s="112"/>
      <c r="S85" s="112"/>
      <c r="T85" s="129"/>
      <c r="U85" s="112"/>
      <c r="V85" s="1"/>
      <c r="W85" s="1"/>
      <c r="X85" s="1"/>
      <c r="Y85" s="1"/>
      <c r="Z85" s="1"/>
    </row>
    <row r="86" spans="1:26" ht="39.75" customHeight="1">
      <c r="A86" s="171"/>
      <c r="B86" s="168" t="s">
        <v>153</v>
      </c>
      <c r="C86" s="168" t="s">
        <v>154</v>
      </c>
      <c r="D86" s="5">
        <v>80</v>
      </c>
      <c r="E86" s="5" t="s">
        <v>155</v>
      </c>
      <c r="F86" s="5"/>
      <c r="G86" s="5"/>
      <c r="H86" s="5"/>
      <c r="I86" s="5"/>
      <c r="J86" s="5"/>
      <c r="K86" s="25"/>
      <c r="L86" s="5"/>
      <c r="M86" s="6"/>
      <c r="N86" s="5"/>
      <c r="O86" s="5"/>
      <c r="P86" s="8">
        <v>2.4</v>
      </c>
      <c r="Q86" s="6">
        <v>1</v>
      </c>
      <c r="R86" s="8"/>
      <c r="S86" s="5"/>
      <c r="T86" s="6">
        <f t="shared" si="4"/>
        <v>3.4</v>
      </c>
      <c r="U86" s="10" t="s">
        <v>476</v>
      </c>
      <c r="V86" s="1"/>
      <c r="W86" s="1"/>
      <c r="X86" s="1"/>
      <c r="Y86" s="1"/>
      <c r="Z86" s="1"/>
    </row>
    <row r="87" spans="1:26" ht="39.75" customHeight="1">
      <c r="A87" s="171"/>
      <c r="B87" s="171"/>
      <c r="C87" s="171"/>
      <c r="D87" s="5">
        <v>81</v>
      </c>
      <c r="E87" s="5" t="s">
        <v>156</v>
      </c>
      <c r="F87" s="5"/>
      <c r="G87" s="5"/>
      <c r="H87" s="5"/>
      <c r="I87" s="5"/>
      <c r="J87" s="5"/>
      <c r="K87" s="5"/>
      <c r="L87" s="5"/>
      <c r="M87" s="6"/>
      <c r="N87" s="6"/>
      <c r="O87" s="5"/>
      <c r="P87" s="8"/>
      <c r="Q87" s="8"/>
      <c r="R87" s="5"/>
      <c r="S87" s="5"/>
      <c r="T87" s="6">
        <f t="shared" si="4"/>
        <v>0</v>
      </c>
      <c r="U87" s="46"/>
      <c r="V87" s="1"/>
      <c r="W87" s="1"/>
      <c r="X87" s="1"/>
      <c r="Y87" s="1"/>
      <c r="Z87" s="1"/>
    </row>
    <row r="88" spans="1:26" ht="39.75" customHeight="1">
      <c r="A88" s="171"/>
      <c r="B88" s="171"/>
      <c r="C88" s="171"/>
      <c r="D88" s="5">
        <v>82</v>
      </c>
      <c r="E88" s="5" t="s">
        <v>157</v>
      </c>
      <c r="F88" s="5"/>
      <c r="G88" s="5"/>
      <c r="H88" s="5"/>
      <c r="I88" s="5"/>
      <c r="J88" s="5"/>
      <c r="K88" s="5"/>
      <c r="L88" s="5"/>
      <c r="M88" s="5"/>
      <c r="N88" s="5"/>
      <c r="O88" s="5"/>
      <c r="P88" s="8">
        <v>3</v>
      </c>
      <c r="Q88" s="5"/>
      <c r="R88" s="5"/>
      <c r="S88" s="5"/>
      <c r="T88" s="6">
        <f t="shared" si="4"/>
        <v>3</v>
      </c>
      <c r="U88" s="46" t="s">
        <v>477</v>
      </c>
      <c r="V88" s="1"/>
      <c r="W88" s="1"/>
      <c r="X88" s="1"/>
      <c r="Y88" s="1"/>
      <c r="Z88" s="1"/>
    </row>
    <row r="89" spans="1:26" ht="39.75" customHeight="1">
      <c r="A89" s="171"/>
      <c r="B89" s="169"/>
      <c r="C89" s="169"/>
      <c r="D89" s="5">
        <v>83</v>
      </c>
      <c r="E89" s="5" t="s">
        <v>158</v>
      </c>
      <c r="F89" s="5"/>
      <c r="G89" s="5"/>
      <c r="H89" s="5"/>
      <c r="I89" s="5"/>
      <c r="J89" s="5"/>
      <c r="K89" s="6">
        <v>1</v>
      </c>
      <c r="L89" s="5"/>
      <c r="M89" s="8"/>
      <c r="N89" s="6"/>
      <c r="O89" s="5"/>
      <c r="P89" s="8">
        <v>1.54</v>
      </c>
      <c r="Q89" s="6"/>
      <c r="R89" s="8"/>
      <c r="S89" s="5"/>
      <c r="T89" s="6">
        <f t="shared" si="4"/>
        <v>2.54</v>
      </c>
      <c r="U89" s="46" t="s">
        <v>478</v>
      </c>
      <c r="V89" s="1"/>
      <c r="W89" s="1"/>
      <c r="X89" s="1"/>
      <c r="Y89" s="1"/>
      <c r="Z89" s="1"/>
    </row>
    <row r="90" spans="1:26" ht="39.75" customHeight="1">
      <c r="A90" s="171"/>
      <c r="B90" s="5" t="s">
        <v>159</v>
      </c>
      <c r="C90" s="5" t="s">
        <v>160</v>
      </c>
      <c r="D90" s="5">
        <v>84</v>
      </c>
      <c r="E90" s="5" t="s">
        <v>161</v>
      </c>
      <c r="F90" s="5"/>
      <c r="G90" s="5"/>
      <c r="H90" s="5"/>
      <c r="I90" s="6"/>
      <c r="J90" s="5"/>
      <c r="K90" s="6"/>
      <c r="L90" s="5"/>
      <c r="M90" s="5"/>
      <c r="N90" s="6">
        <v>0.78</v>
      </c>
      <c r="O90" s="5"/>
      <c r="P90" s="5"/>
      <c r="Q90" s="6">
        <v>2.5</v>
      </c>
      <c r="R90" s="8">
        <v>0.2</v>
      </c>
      <c r="S90" s="5"/>
      <c r="T90" s="6">
        <f t="shared" si="4"/>
        <v>3.4800000000000004</v>
      </c>
      <c r="U90" s="9" t="s">
        <v>581</v>
      </c>
      <c r="V90" s="1"/>
      <c r="W90" s="1"/>
      <c r="X90" s="1"/>
      <c r="Y90" s="1"/>
      <c r="Z90" s="1"/>
    </row>
    <row r="91" spans="1:26" ht="39.75" customHeight="1">
      <c r="A91" s="171"/>
      <c r="B91" s="5" t="s">
        <v>162</v>
      </c>
      <c r="C91" s="5" t="s">
        <v>163</v>
      </c>
      <c r="D91" s="5">
        <v>85</v>
      </c>
      <c r="E91" s="5" t="s">
        <v>164</v>
      </c>
      <c r="F91" s="5"/>
      <c r="G91" s="5"/>
      <c r="H91" s="5"/>
      <c r="I91" s="5"/>
      <c r="J91" s="5"/>
      <c r="K91" s="6"/>
      <c r="L91" s="5"/>
      <c r="M91" s="5"/>
      <c r="N91" s="6">
        <v>0.25</v>
      </c>
      <c r="O91" s="5"/>
      <c r="P91" s="5"/>
      <c r="Q91" s="6">
        <v>1</v>
      </c>
      <c r="R91" s="8"/>
      <c r="S91" s="5"/>
      <c r="T91" s="6">
        <f t="shared" si="4"/>
        <v>1.25</v>
      </c>
      <c r="U91" s="9" t="s">
        <v>165</v>
      </c>
      <c r="V91" s="1"/>
      <c r="W91" s="1"/>
      <c r="X91" s="1"/>
      <c r="Y91" s="1"/>
      <c r="Z91" s="1"/>
    </row>
    <row r="92" spans="1:26" ht="39.75" customHeight="1">
      <c r="A92" s="171"/>
      <c r="B92" s="5" t="s">
        <v>166</v>
      </c>
      <c r="C92" s="5" t="s">
        <v>54</v>
      </c>
      <c r="D92" s="5">
        <v>86</v>
      </c>
      <c r="E92" s="5" t="s">
        <v>167</v>
      </c>
      <c r="F92" s="5"/>
      <c r="G92" s="5"/>
      <c r="H92" s="5"/>
      <c r="I92" s="5"/>
      <c r="J92" s="5"/>
      <c r="K92" s="5"/>
      <c r="L92" s="5"/>
      <c r="M92" s="5"/>
      <c r="N92" s="5"/>
      <c r="O92" s="5"/>
      <c r="P92" s="5"/>
      <c r="Q92" s="5"/>
      <c r="R92" s="5"/>
      <c r="S92" s="5"/>
      <c r="T92" s="6">
        <f t="shared" si="4"/>
        <v>0</v>
      </c>
      <c r="U92" s="9"/>
      <c r="V92" s="1"/>
      <c r="W92" s="1"/>
      <c r="X92" s="1"/>
      <c r="Y92" s="1"/>
      <c r="Z92" s="1"/>
    </row>
    <row r="93" spans="1:26" ht="39.75" customHeight="1">
      <c r="A93" s="169"/>
      <c r="B93" s="176" t="s">
        <v>168</v>
      </c>
      <c r="C93" s="177"/>
      <c r="D93" s="178"/>
      <c r="E93" s="51"/>
      <c r="F93" s="51">
        <f t="shared" ref="F93:S93" si="6">SUM(F69:F92)</f>
        <v>78.8</v>
      </c>
      <c r="G93" s="51">
        <f t="shared" si="6"/>
        <v>0</v>
      </c>
      <c r="H93" s="51">
        <f t="shared" si="6"/>
        <v>9.5</v>
      </c>
      <c r="I93" s="51">
        <f t="shared" si="6"/>
        <v>21.992000000000001</v>
      </c>
      <c r="J93" s="51">
        <f t="shared" si="6"/>
        <v>0</v>
      </c>
      <c r="K93" s="51">
        <f t="shared" si="6"/>
        <v>6.1</v>
      </c>
      <c r="L93" s="51">
        <f t="shared" si="6"/>
        <v>0</v>
      </c>
      <c r="M93" s="56">
        <f t="shared" si="6"/>
        <v>27.68</v>
      </c>
      <c r="N93" s="52">
        <f t="shared" si="6"/>
        <v>25.373999999999999</v>
      </c>
      <c r="O93" s="51">
        <f t="shared" si="6"/>
        <v>81.381999999999991</v>
      </c>
      <c r="P93" s="52">
        <f t="shared" si="6"/>
        <v>108.57450000000001</v>
      </c>
      <c r="Q93" s="51">
        <f t="shared" si="6"/>
        <v>27.203000000000003</v>
      </c>
      <c r="R93" s="56">
        <f t="shared" si="6"/>
        <v>41.349000000000004</v>
      </c>
      <c r="S93" s="56">
        <f t="shared" si="6"/>
        <v>9.7000000000000011</v>
      </c>
      <c r="T93" s="6">
        <f t="shared" si="4"/>
        <v>437.65449999999998</v>
      </c>
      <c r="U93" s="9"/>
      <c r="V93" s="1"/>
      <c r="W93" s="1"/>
      <c r="X93" s="1"/>
      <c r="Y93" s="1"/>
      <c r="Z93" s="1"/>
    </row>
    <row r="94" spans="1:26" ht="39.75" customHeight="1">
      <c r="A94" s="175" t="s">
        <v>169</v>
      </c>
      <c r="B94" s="168" t="s">
        <v>170</v>
      </c>
      <c r="C94" s="168" t="s">
        <v>171</v>
      </c>
      <c r="D94" s="5">
        <v>87</v>
      </c>
      <c r="E94" s="5" t="s">
        <v>172</v>
      </c>
      <c r="F94" s="114"/>
      <c r="G94" s="114"/>
      <c r="H94" s="114"/>
      <c r="I94" s="114"/>
      <c r="J94" s="114"/>
      <c r="K94" s="115">
        <v>8</v>
      </c>
      <c r="L94" s="114"/>
      <c r="M94" s="114"/>
      <c r="N94" s="114"/>
      <c r="O94" s="114"/>
      <c r="P94" s="114"/>
      <c r="Q94" s="114"/>
      <c r="R94" s="114"/>
      <c r="S94" s="116"/>
      <c r="T94" s="117">
        <f>SUM(F94:S94)</f>
        <v>8</v>
      </c>
      <c r="U94" s="88" t="s">
        <v>726</v>
      </c>
      <c r="V94" s="18"/>
      <c r="W94" s="1"/>
      <c r="X94" s="1"/>
      <c r="Y94" s="1"/>
      <c r="Z94" s="1"/>
    </row>
    <row r="95" spans="1:26" ht="39.75" customHeight="1">
      <c r="A95" s="171"/>
      <c r="B95" s="171"/>
      <c r="C95" s="171"/>
      <c r="D95" s="5">
        <v>88</v>
      </c>
      <c r="E95" s="5" t="s">
        <v>173</v>
      </c>
      <c r="F95" s="114"/>
      <c r="G95" s="114"/>
      <c r="H95" s="114"/>
      <c r="I95" s="114"/>
      <c r="J95" s="114"/>
      <c r="K95" s="114"/>
      <c r="L95" s="114"/>
      <c r="M95" s="114"/>
      <c r="N95" s="114"/>
      <c r="O95" s="114"/>
      <c r="P95" s="118">
        <v>18</v>
      </c>
      <c r="Q95" s="114"/>
      <c r="R95" s="114"/>
      <c r="S95" s="116"/>
      <c r="T95" s="117">
        <f t="shared" ref="T95:T103" si="7">SUM(F95:S95)</f>
        <v>18</v>
      </c>
      <c r="U95" s="88" t="s">
        <v>727</v>
      </c>
      <c r="V95" s="18"/>
      <c r="W95" s="1"/>
      <c r="X95" s="1"/>
      <c r="Y95" s="1"/>
      <c r="Z95" s="1"/>
    </row>
    <row r="96" spans="1:26" ht="39.75" customHeight="1">
      <c r="A96" s="171"/>
      <c r="B96" s="171"/>
      <c r="C96" s="171"/>
      <c r="D96" s="5">
        <v>89</v>
      </c>
      <c r="E96" s="5" t="s">
        <v>174</v>
      </c>
      <c r="F96" s="114"/>
      <c r="G96" s="114"/>
      <c r="H96" s="114"/>
      <c r="I96" s="114"/>
      <c r="J96" s="114"/>
      <c r="K96" s="114"/>
      <c r="L96" s="114"/>
      <c r="M96" s="114"/>
      <c r="N96" s="114"/>
      <c r="O96" s="114"/>
      <c r="P96" s="114"/>
      <c r="Q96" s="114"/>
      <c r="R96" s="114"/>
      <c r="S96" s="116"/>
      <c r="T96" s="117">
        <f t="shared" si="7"/>
        <v>0</v>
      </c>
      <c r="U96" s="88"/>
      <c r="V96" s="18"/>
      <c r="W96" s="1"/>
      <c r="X96" s="1"/>
      <c r="Y96" s="1"/>
      <c r="Z96" s="1"/>
    </row>
    <row r="97" spans="1:26" ht="39.75" customHeight="1">
      <c r="A97" s="171"/>
      <c r="B97" s="171"/>
      <c r="C97" s="171"/>
      <c r="D97" s="5">
        <v>90</v>
      </c>
      <c r="E97" s="5" t="s">
        <v>175</v>
      </c>
      <c r="F97" s="114"/>
      <c r="G97" s="114"/>
      <c r="H97" s="114"/>
      <c r="I97" s="114"/>
      <c r="J97" s="114"/>
      <c r="K97" s="114"/>
      <c r="L97" s="114"/>
      <c r="M97" s="114"/>
      <c r="N97" s="114"/>
      <c r="O97" s="114"/>
      <c r="P97" s="118"/>
      <c r="Q97" s="114"/>
      <c r="R97" s="114"/>
      <c r="S97" s="116"/>
      <c r="T97" s="117">
        <f t="shared" si="7"/>
        <v>0</v>
      </c>
      <c r="U97" s="88"/>
      <c r="V97" s="18"/>
      <c r="W97" s="1"/>
      <c r="X97" s="1"/>
      <c r="Y97" s="1"/>
      <c r="Z97" s="1"/>
    </row>
    <row r="98" spans="1:26" ht="39.75" customHeight="1">
      <c r="A98" s="171"/>
      <c r="B98" s="171"/>
      <c r="C98" s="171"/>
      <c r="D98" s="5">
        <v>91</v>
      </c>
      <c r="E98" s="5" t="s">
        <v>176</v>
      </c>
      <c r="F98" s="114"/>
      <c r="G98" s="114"/>
      <c r="H98" s="114"/>
      <c r="I98" s="114"/>
      <c r="J98" s="114"/>
      <c r="K98" s="115">
        <v>0</v>
      </c>
      <c r="L98" s="114"/>
      <c r="M98" s="114"/>
      <c r="N98" s="114"/>
      <c r="O98" s="114"/>
      <c r="P98" s="118">
        <v>2</v>
      </c>
      <c r="Q98" s="114"/>
      <c r="R98" s="114"/>
      <c r="S98" s="116"/>
      <c r="T98" s="117">
        <f t="shared" si="7"/>
        <v>2</v>
      </c>
      <c r="U98" s="119" t="s">
        <v>469</v>
      </c>
      <c r="V98" s="18"/>
      <c r="W98" s="1"/>
      <c r="X98" s="1"/>
      <c r="Y98" s="1"/>
      <c r="Z98" s="1"/>
    </row>
    <row r="99" spans="1:26" ht="39.75" customHeight="1">
      <c r="A99" s="171"/>
      <c r="B99" s="171"/>
      <c r="C99" s="171"/>
      <c r="D99" s="5">
        <v>92</v>
      </c>
      <c r="E99" s="5" t="s">
        <v>178</v>
      </c>
      <c r="F99" s="114"/>
      <c r="G99" s="114"/>
      <c r="H99" s="114"/>
      <c r="I99" s="114"/>
      <c r="J99" s="114"/>
      <c r="K99" s="114"/>
      <c r="L99" s="114"/>
      <c r="M99" s="114"/>
      <c r="N99" s="114"/>
      <c r="O99" s="114"/>
      <c r="P99" s="118">
        <v>2.2000000000000002</v>
      </c>
      <c r="Q99" s="114"/>
      <c r="R99" s="114"/>
      <c r="S99" s="116"/>
      <c r="T99" s="117">
        <f t="shared" si="7"/>
        <v>2.2000000000000002</v>
      </c>
      <c r="U99" s="120" t="s">
        <v>479</v>
      </c>
      <c r="V99" s="18"/>
      <c r="W99" s="1"/>
      <c r="X99" s="1"/>
      <c r="Y99" s="1"/>
      <c r="Z99" s="1"/>
    </row>
    <row r="100" spans="1:26" ht="39.75" customHeight="1">
      <c r="A100" s="171"/>
      <c r="B100" s="171"/>
      <c r="C100" s="171"/>
      <c r="D100" s="5">
        <v>93</v>
      </c>
      <c r="E100" s="5" t="s">
        <v>180</v>
      </c>
      <c r="F100" s="114"/>
      <c r="G100" s="114"/>
      <c r="H100" s="114"/>
      <c r="I100" s="118"/>
      <c r="J100" s="114"/>
      <c r="K100" s="114"/>
      <c r="L100" s="114"/>
      <c r="M100" s="114"/>
      <c r="N100" s="114"/>
      <c r="O100" s="114"/>
      <c r="P100" s="114"/>
      <c r="Q100" s="114"/>
      <c r="R100" s="114"/>
      <c r="S100" s="116"/>
      <c r="T100" s="117">
        <f t="shared" si="7"/>
        <v>0</v>
      </c>
      <c r="U100" s="119"/>
      <c r="V100" s="18"/>
      <c r="W100" s="1"/>
      <c r="X100" s="1"/>
      <c r="Y100" s="1"/>
      <c r="Z100" s="1"/>
    </row>
    <row r="101" spans="1:26" ht="39.75" customHeight="1">
      <c r="A101" s="171"/>
      <c r="B101" s="171"/>
      <c r="C101" s="171"/>
      <c r="D101" s="5">
        <v>94</v>
      </c>
      <c r="E101" s="5" t="s">
        <v>181</v>
      </c>
      <c r="F101" s="114"/>
      <c r="G101" s="114"/>
      <c r="H101" s="114"/>
      <c r="I101" s="118"/>
      <c r="J101" s="114"/>
      <c r="K101" s="114"/>
      <c r="L101" s="114"/>
      <c r="M101" s="114"/>
      <c r="N101" s="114"/>
      <c r="O101" s="114"/>
      <c r="P101" s="114"/>
      <c r="Q101" s="114"/>
      <c r="R101" s="114"/>
      <c r="S101" s="116"/>
      <c r="T101" s="117">
        <f t="shared" si="7"/>
        <v>0</v>
      </c>
      <c r="U101" s="120"/>
      <c r="V101" s="18"/>
      <c r="W101" s="1"/>
      <c r="X101" s="1"/>
      <c r="Y101" s="1"/>
      <c r="Z101" s="1"/>
    </row>
    <row r="102" spans="1:26" ht="39.75" customHeight="1">
      <c r="A102" s="171"/>
      <c r="B102" s="171"/>
      <c r="C102" s="171"/>
      <c r="D102" s="5">
        <v>95</v>
      </c>
      <c r="E102" s="5" t="s">
        <v>182</v>
      </c>
      <c r="F102" s="114"/>
      <c r="G102" s="114"/>
      <c r="H102" s="118"/>
      <c r="I102" s="115">
        <v>7</v>
      </c>
      <c r="J102" s="114"/>
      <c r="K102" s="114"/>
      <c r="L102" s="114"/>
      <c r="M102" s="114"/>
      <c r="N102" s="114"/>
      <c r="O102" s="114"/>
      <c r="P102" s="114"/>
      <c r="Q102" s="114"/>
      <c r="R102" s="114"/>
      <c r="S102" s="116"/>
      <c r="T102" s="117">
        <f t="shared" si="7"/>
        <v>7</v>
      </c>
      <c r="U102" s="88" t="s">
        <v>728</v>
      </c>
      <c r="V102" s="18"/>
      <c r="W102" s="1"/>
      <c r="X102" s="1"/>
      <c r="Y102" s="1"/>
      <c r="Z102" s="1"/>
    </row>
    <row r="103" spans="1:26" ht="39.75" customHeight="1">
      <c r="A103" s="171"/>
      <c r="B103" s="169"/>
      <c r="C103" s="169"/>
      <c r="D103" s="5">
        <v>96</v>
      </c>
      <c r="E103" s="5" t="s">
        <v>183</v>
      </c>
      <c r="F103" s="114"/>
      <c r="G103" s="114"/>
      <c r="H103" s="114"/>
      <c r="I103" s="114"/>
      <c r="J103" s="114"/>
      <c r="K103" s="114"/>
      <c r="L103" s="114"/>
      <c r="M103" s="114"/>
      <c r="N103" s="115">
        <v>0</v>
      </c>
      <c r="O103" s="114"/>
      <c r="P103" s="114"/>
      <c r="Q103" s="115">
        <v>1</v>
      </c>
      <c r="R103" s="118">
        <v>1</v>
      </c>
      <c r="S103" s="116"/>
      <c r="T103" s="117">
        <f t="shared" si="7"/>
        <v>2</v>
      </c>
      <c r="U103" s="88" t="s">
        <v>421</v>
      </c>
      <c r="V103" s="18"/>
      <c r="W103" s="1"/>
      <c r="X103" s="1"/>
      <c r="Y103" s="1"/>
      <c r="Z103" s="1"/>
    </row>
    <row r="104" spans="1:26" ht="39.75" customHeight="1">
      <c r="A104" s="171"/>
      <c r="B104" s="168" t="s">
        <v>184</v>
      </c>
      <c r="C104" s="168" t="s">
        <v>185</v>
      </c>
      <c r="D104" s="5">
        <v>97</v>
      </c>
      <c r="E104" s="5" t="s">
        <v>186</v>
      </c>
      <c r="F104" s="5"/>
      <c r="G104" s="5"/>
      <c r="H104" s="5"/>
      <c r="I104" s="6"/>
      <c r="J104" s="5"/>
      <c r="K104" s="6"/>
      <c r="L104" s="5"/>
      <c r="M104" s="6"/>
      <c r="N104" s="6">
        <v>5.5</v>
      </c>
      <c r="O104" s="5"/>
      <c r="P104" s="8">
        <v>23.2</v>
      </c>
      <c r="Q104" s="6">
        <v>4</v>
      </c>
      <c r="R104" s="8">
        <v>17.55</v>
      </c>
      <c r="S104" s="5"/>
      <c r="T104" s="6">
        <f t="shared" si="4"/>
        <v>50.25</v>
      </c>
      <c r="U104" s="10" t="s">
        <v>391</v>
      </c>
      <c r="V104" s="1"/>
      <c r="W104" s="1"/>
      <c r="X104" s="1"/>
      <c r="Y104" s="1"/>
      <c r="Z104" s="1"/>
    </row>
    <row r="105" spans="1:26" ht="39.75" customHeight="1">
      <c r="A105" s="171"/>
      <c r="B105" s="169"/>
      <c r="C105" s="169"/>
      <c r="D105" s="5">
        <v>98</v>
      </c>
      <c r="E105" s="5" t="s">
        <v>54</v>
      </c>
      <c r="F105" s="5"/>
      <c r="G105" s="5"/>
      <c r="H105" s="5"/>
      <c r="I105" s="5"/>
      <c r="J105" s="5"/>
      <c r="K105" s="5"/>
      <c r="L105" s="5"/>
      <c r="M105" s="5"/>
      <c r="N105" s="5"/>
      <c r="O105" s="5"/>
      <c r="P105" s="5"/>
      <c r="Q105" s="5"/>
      <c r="R105" s="5"/>
      <c r="S105" s="5"/>
      <c r="T105" s="6">
        <f t="shared" si="4"/>
        <v>0</v>
      </c>
      <c r="U105" s="46"/>
      <c r="V105" s="1"/>
      <c r="W105" s="1"/>
      <c r="X105" s="1"/>
      <c r="Y105" s="1"/>
      <c r="Z105" s="1"/>
    </row>
    <row r="106" spans="1:26" ht="39.75" customHeight="1">
      <c r="A106" s="171"/>
      <c r="B106" s="168" t="s">
        <v>188</v>
      </c>
      <c r="C106" s="168" t="s">
        <v>189</v>
      </c>
      <c r="D106" s="5">
        <v>99</v>
      </c>
      <c r="E106" s="5" t="s">
        <v>190</v>
      </c>
      <c r="F106" s="5"/>
      <c r="G106" s="5"/>
      <c r="H106" s="8"/>
      <c r="I106" s="6">
        <v>2</v>
      </c>
      <c r="J106" s="5"/>
      <c r="K106" s="6"/>
      <c r="L106" s="5"/>
      <c r="M106" s="5"/>
      <c r="N106" s="6">
        <v>0.8</v>
      </c>
      <c r="O106" s="5"/>
      <c r="P106" s="5"/>
      <c r="Q106" s="6">
        <v>2</v>
      </c>
      <c r="R106" s="5"/>
      <c r="S106" s="5"/>
      <c r="T106" s="6">
        <f t="shared" si="4"/>
        <v>4.8</v>
      </c>
      <c r="U106" s="46" t="s">
        <v>374</v>
      </c>
      <c r="V106" s="1"/>
      <c r="W106" s="1"/>
      <c r="X106" s="1"/>
      <c r="Y106" s="1"/>
      <c r="Z106" s="1"/>
    </row>
    <row r="107" spans="1:26" ht="39.75" customHeight="1">
      <c r="A107" s="171"/>
      <c r="B107" s="171"/>
      <c r="C107" s="171"/>
      <c r="D107" s="5">
        <v>100</v>
      </c>
      <c r="E107" s="5" t="s">
        <v>192</v>
      </c>
      <c r="F107" s="5"/>
      <c r="G107" s="5"/>
      <c r="H107" s="5"/>
      <c r="I107" s="6">
        <v>0.8</v>
      </c>
      <c r="J107" s="5"/>
      <c r="K107" s="6"/>
      <c r="L107" s="5"/>
      <c r="M107" s="5"/>
      <c r="N107" s="5"/>
      <c r="O107" s="5"/>
      <c r="P107" s="5"/>
      <c r="Q107" s="5"/>
      <c r="R107" s="5"/>
      <c r="S107" s="5"/>
      <c r="T107" s="6">
        <f t="shared" si="4"/>
        <v>0.8</v>
      </c>
      <c r="U107" s="46" t="s">
        <v>193</v>
      </c>
      <c r="V107" s="1"/>
      <c r="W107" s="1"/>
      <c r="X107" s="1"/>
      <c r="Y107" s="1"/>
      <c r="Z107" s="1"/>
    </row>
    <row r="108" spans="1:26" ht="39.75" customHeight="1">
      <c r="A108" s="171"/>
      <c r="B108" s="171"/>
      <c r="C108" s="171"/>
      <c r="D108" s="5">
        <v>101</v>
      </c>
      <c r="E108" s="5" t="s">
        <v>194</v>
      </c>
      <c r="F108" s="5"/>
      <c r="G108" s="5"/>
      <c r="H108" s="5"/>
      <c r="I108" s="5"/>
      <c r="J108" s="5"/>
      <c r="K108" s="5"/>
      <c r="L108" s="5"/>
      <c r="M108" s="5"/>
      <c r="N108" s="5"/>
      <c r="O108" s="5"/>
      <c r="P108" s="5"/>
      <c r="Q108" s="5"/>
      <c r="R108" s="5"/>
      <c r="S108" s="5"/>
      <c r="T108" s="6">
        <f t="shared" si="4"/>
        <v>0</v>
      </c>
      <c r="U108" s="9"/>
      <c r="V108" s="1"/>
      <c r="W108" s="1"/>
      <c r="X108" s="1"/>
      <c r="Y108" s="1"/>
      <c r="Z108" s="1"/>
    </row>
    <row r="109" spans="1:26" ht="39.75" customHeight="1">
      <c r="A109" s="171"/>
      <c r="B109" s="171"/>
      <c r="C109" s="171"/>
      <c r="D109" s="5">
        <v>102</v>
      </c>
      <c r="E109" s="5" t="s">
        <v>195</v>
      </c>
      <c r="F109" s="5"/>
      <c r="G109" s="5"/>
      <c r="H109" s="5"/>
      <c r="I109" s="5"/>
      <c r="J109" s="5"/>
      <c r="K109" s="5"/>
      <c r="L109" s="5"/>
      <c r="M109" s="5"/>
      <c r="N109" s="5"/>
      <c r="O109" s="5"/>
      <c r="P109" s="5"/>
      <c r="Q109" s="6"/>
      <c r="R109" s="5"/>
      <c r="S109" s="5"/>
      <c r="T109" s="6">
        <f t="shared" si="4"/>
        <v>0</v>
      </c>
      <c r="U109" s="9"/>
      <c r="V109" s="1"/>
      <c r="W109" s="1"/>
      <c r="X109" s="1"/>
      <c r="Y109" s="1"/>
      <c r="Z109" s="1"/>
    </row>
    <row r="110" spans="1:26" ht="39.75" customHeight="1">
      <c r="A110" s="171"/>
      <c r="B110" s="169"/>
      <c r="C110" s="169"/>
      <c r="D110" s="5">
        <v>103</v>
      </c>
      <c r="E110" s="5" t="s">
        <v>54</v>
      </c>
      <c r="F110" s="5"/>
      <c r="G110" s="5"/>
      <c r="H110" s="5"/>
      <c r="I110" s="5"/>
      <c r="J110" s="5"/>
      <c r="K110" s="5"/>
      <c r="L110" s="5"/>
      <c r="M110" s="5"/>
      <c r="N110" s="5"/>
      <c r="O110" s="5"/>
      <c r="P110" s="8">
        <v>2.2000000000000002</v>
      </c>
      <c r="Q110" s="5"/>
      <c r="R110" s="8"/>
      <c r="S110" s="8"/>
      <c r="T110" s="6">
        <f t="shared" si="4"/>
        <v>2.2000000000000002</v>
      </c>
      <c r="U110" s="10" t="s">
        <v>196</v>
      </c>
      <c r="V110" s="1"/>
      <c r="W110" s="1"/>
      <c r="X110" s="1"/>
      <c r="Y110" s="1"/>
      <c r="Z110" s="1"/>
    </row>
    <row r="111" spans="1:26" ht="39.75" customHeight="1">
      <c r="A111" s="171"/>
      <c r="B111" s="168" t="s">
        <v>197</v>
      </c>
      <c r="C111" s="168" t="s">
        <v>198</v>
      </c>
      <c r="D111" s="5">
        <v>104</v>
      </c>
      <c r="E111" s="5" t="s">
        <v>199</v>
      </c>
      <c r="F111" s="5"/>
      <c r="G111" s="5"/>
      <c r="H111" s="5"/>
      <c r="I111" s="5"/>
      <c r="J111" s="5"/>
      <c r="K111" s="5"/>
      <c r="L111" s="5"/>
      <c r="M111" s="5"/>
      <c r="N111" s="8">
        <v>2</v>
      </c>
      <c r="O111" s="5"/>
      <c r="P111" s="8">
        <v>3</v>
      </c>
      <c r="Q111" s="8">
        <v>1</v>
      </c>
      <c r="R111" s="8"/>
      <c r="S111" s="8"/>
      <c r="T111" s="6">
        <f t="shared" si="4"/>
        <v>6</v>
      </c>
      <c r="U111" s="113" t="s">
        <v>691</v>
      </c>
      <c r="V111" s="1"/>
      <c r="W111" s="1"/>
      <c r="X111" s="1"/>
      <c r="Y111" s="1"/>
      <c r="Z111" s="1"/>
    </row>
    <row r="112" spans="1:26" ht="39.75" customHeight="1">
      <c r="A112" s="171"/>
      <c r="B112" s="171"/>
      <c r="C112" s="171"/>
      <c r="D112" s="5">
        <v>105</v>
      </c>
      <c r="E112" s="5" t="s">
        <v>200</v>
      </c>
      <c r="F112" s="5"/>
      <c r="G112" s="5"/>
      <c r="H112" s="5"/>
      <c r="I112" s="5"/>
      <c r="J112" s="5"/>
      <c r="K112" s="5"/>
      <c r="L112" s="5"/>
      <c r="M112" s="5"/>
      <c r="N112" s="5"/>
      <c r="O112" s="5"/>
      <c r="P112" s="5"/>
      <c r="Q112" s="5"/>
      <c r="R112" s="5"/>
      <c r="S112" s="5"/>
      <c r="T112" s="6">
        <f t="shared" si="4"/>
        <v>0</v>
      </c>
      <c r="U112" s="9"/>
      <c r="V112" s="1"/>
      <c r="W112" s="1"/>
      <c r="X112" s="1"/>
      <c r="Y112" s="1"/>
      <c r="Z112" s="1"/>
    </row>
    <row r="113" spans="1:26" ht="39.75" customHeight="1">
      <c r="A113" s="171"/>
      <c r="B113" s="169"/>
      <c r="C113" s="169"/>
      <c r="D113" s="5">
        <v>106</v>
      </c>
      <c r="E113" s="5" t="s">
        <v>201</v>
      </c>
      <c r="F113" s="5"/>
      <c r="G113" s="5"/>
      <c r="H113" s="5"/>
      <c r="I113" s="6"/>
      <c r="J113" s="5"/>
      <c r="K113" s="6"/>
      <c r="L113" s="5"/>
      <c r="M113" s="5"/>
      <c r="N113" s="6"/>
      <c r="O113" s="5"/>
      <c r="P113" s="8"/>
      <c r="Q113" s="6">
        <v>2</v>
      </c>
      <c r="R113" s="8">
        <v>3</v>
      </c>
      <c r="S113" s="8"/>
      <c r="T113" s="6">
        <f t="shared" si="4"/>
        <v>5</v>
      </c>
      <c r="U113" s="113" t="s">
        <v>689</v>
      </c>
      <c r="V113" s="1"/>
      <c r="W113" s="1"/>
      <c r="X113" s="1"/>
      <c r="Y113" s="1"/>
      <c r="Z113" s="1"/>
    </row>
    <row r="114" spans="1:26" ht="39.75" customHeight="1">
      <c r="A114" s="171"/>
      <c r="B114" s="168" t="s">
        <v>202</v>
      </c>
      <c r="C114" s="168" t="s">
        <v>203</v>
      </c>
      <c r="D114" s="5">
        <v>107</v>
      </c>
      <c r="E114" s="5" t="s">
        <v>204</v>
      </c>
      <c r="F114" s="5"/>
      <c r="G114" s="5"/>
      <c r="H114" s="5"/>
      <c r="I114" s="6"/>
      <c r="J114" s="5"/>
      <c r="K114" s="6"/>
      <c r="L114" s="5"/>
      <c r="M114" s="5"/>
      <c r="N114" s="6"/>
      <c r="O114" s="5"/>
      <c r="P114" s="8">
        <v>3.5</v>
      </c>
      <c r="Q114" s="5"/>
      <c r="R114" s="8"/>
      <c r="S114" s="5"/>
      <c r="T114" s="6">
        <f t="shared" si="4"/>
        <v>3.5</v>
      </c>
      <c r="U114" s="46" t="s">
        <v>205</v>
      </c>
      <c r="V114" s="1"/>
      <c r="W114" s="1"/>
      <c r="X114" s="1"/>
      <c r="Y114" s="1"/>
      <c r="Z114" s="1"/>
    </row>
    <row r="115" spans="1:26" ht="39.75" customHeight="1">
      <c r="A115" s="171"/>
      <c r="B115" s="171"/>
      <c r="C115" s="171"/>
      <c r="D115" s="5">
        <v>108</v>
      </c>
      <c r="E115" s="5" t="s">
        <v>206</v>
      </c>
      <c r="F115" s="5"/>
      <c r="G115" s="5"/>
      <c r="H115" s="5"/>
      <c r="I115" s="6"/>
      <c r="J115" s="5"/>
      <c r="K115" s="6"/>
      <c r="L115" s="5"/>
      <c r="M115" s="5"/>
      <c r="N115" s="5"/>
      <c r="O115" s="5"/>
      <c r="P115" s="8">
        <v>12.8</v>
      </c>
      <c r="Q115" s="5"/>
      <c r="R115" s="5"/>
      <c r="S115" s="5"/>
      <c r="T115" s="6">
        <f t="shared" si="4"/>
        <v>12.8</v>
      </c>
      <c r="U115" s="46" t="s">
        <v>207</v>
      </c>
      <c r="V115" s="1"/>
      <c r="W115" s="1"/>
      <c r="X115" s="1"/>
      <c r="Y115" s="1"/>
      <c r="Z115" s="1"/>
    </row>
    <row r="116" spans="1:26" ht="39.75" customHeight="1">
      <c r="A116" s="171"/>
      <c r="B116" s="171"/>
      <c r="C116" s="171"/>
      <c r="D116" s="5">
        <v>109</v>
      </c>
      <c r="E116" s="5" t="s">
        <v>208</v>
      </c>
      <c r="F116" s="5"/>
      <c r="G116" s="5"/>
      <c r="H116" s="8"/>
      <c r="I116" s="6"/>
      <c r="J116" s="5"/>
      <c r="K116" s="6"/>
      <c r="L116" s="5"/>
      <c r="M116" s="5"/>
      <c r="N116" s="5"/>
      <c r="O116" s="5"/>
      <c r="P116" s="5"/>
      <c r="Q116" s="5"/>
      <c r="R116" s="5"/>
      <c r="S116" s="5"/>
      <c r="T116" s="6">
        <f t="shared" si="4"/>
        <v>0</v>
      </c>
      <c r="U116" s="9"/>
      <c r="V116" s="1"/>
      <c r="W116" s="1"/>
      <c r="X116" s="1"/>
      <c r="Y116" s="1"/>
      <c r="Z116" s="1"/>
    </row>
    <row r="117" spans="1:26" ht="39.75" customHeight="1">
      <c r="A117" s="171"/>
      <c r="B117" s="171"/>
      <c r="C117" s="171"/>
      <c r="D117" s="5">
        <v>110</v>
      </c>
      <c r="E117" s="5" t="s">
        <v>209</v>
      </c>
      <c r="F117" s="5"/>
      <c r="G117" s="5"/>
      <c r="H117" s="5"/>
      <c r="I117" s="6"/>
      <c r="J117" s="5"/>
      <c r="K117" s="6"/>
      <c r="L117" s="5"/>
      <c r="M117" s="8"/>
      <c r="N117" s="6">
        <v>3</v>
      </c>
      <c r="O117" s="8">
        <v>12.36</v>
      </c>
      <c r="P117" s="6"/>
      <c r="Q117" s="8">
        <v>6.6</v>
      </c>
      <c r="R117" s="8">
        <v>9.4</v>
      </c>
      <c r="S117" s="5"/>
      <c r="T117" s="6">
        <f t="shared" si="4"/>
        <v>31.36</v>
      </c>
      <c r="U117" s="9" t="s">
        <v>375</v>
      </c>
      <c r="V117" s="1"/>
      <c r="W117" s="1"/>
      <c r="X117" s="1"/>
      <c r="Y117" s="1"/>
      <c r="Z117" s="1"/>
    </row>
    <row r="118" spans="1:26" ht="39.75" customHeight="1">
      <c r="A118" s="171"/>
      <c r="B118" s="169"/>
      <c r="C118" s="169"/>
      <c r="D118" s="5">
        <v>111</v>
      </c>
      <c r="E118" s="5" t="s">
        <v>54</v>
      </c>
      <c r="F118" s="5"/>
      <c r="G118" s="5"/>
      <c r="H118" s="5"/>
      <c r="I118" s="8"/>
      <c r="J118" s="5"/>
      <c r="K118" s="8"/>
      <c r="L118" s="5"/>
      <c r="M118" s="5">
        <v>6</v>
      </c>
      <c r="N118" s="5"/>
      <c r="O118" s="5"/>
      <c r="P118" s="8"/>
      <c r="Q118" s="6"/>
      <c r="R118" s="5"/>
      <c r="S118" s="8"/>
      <c r="T118" s="6">
        <f t="shared" si="4"/>
        <v>6</v>
      </c>
      <c r="U118" s="113" t="s">
        <v>683</v>
      </c>
      <c r="V118" s="1"/>
      <c r="W118" s="1"/>
      <c r="X118" s="1"/>
      <c r="Y118" s="1"/>
      <c r="Z118" s="1"/>
    </row>
    <row r="119" spans="1:26" ht="39.75" customHeight="1">
      <c r="A119" s="171"/>
      <c r="B119" s="168" t="s">
        <v>211</v>
      </c>
      <c r="C119" s="168" t="s">
        <v>212</v>
      </c>
      <c r="D119" s="5">
        <v>112</v>
      </c>
      <c r="E119" s="5" t="s">
        <v>213</v>
      </c>
      <c r="F119" s="5"/>
      <c r="G119" s="5"/>
      <c r="H119" s="5"/>
      <c r="I119" s="6"/>
      <c r="J119" s="5"/>
      <c r="K119" s="6"/>
      <c r="L119" s="5"/>
      <c r="M119" s="5"/>
      <c r="N119" s="5"/>
      <c r="O119" s="5"/>
      <c r="P119" s="5"/>
      <c r="Q119" s="6"/>
      <c r="R119" s="5"/>
      <c r="S119" s="5"/>
      <c r="T119" s="6">
        <f t="shared" si="4"/>
        <v>0</v>
      </c>
      <c r="U119" s="9"/>
      <c r="V119" s="1"/>
      <c r="W119" s="1"/>
      <c r="X119" s="1"/>
      <c r="Y119" s="1"/>
      <c r="Z119" s="1"/>
    </row>
    <row r="120" spans="1:26" ht="39.75" customHeight="1">
      <c r="A120" s="171"/>
      <c r="B120" s="169"/>
      <c r="C120" s="169"/>
      <c r="D120" s="5">
        <v>113</v>
      </c>
      <c r="E120" s="5" t="s">
        <v>214</v>
      </c>
      <c r="F120" s="5"/>
      <c r="G120" s="5"/>
      <c r="H120" s="5"/>
      <c r="I120" s="6"/>
      <c r="J120" s="5"/>
      <c r="K120" s="6"/>
      <c r="L120" s="5"/>
      <c r="M120" s="6"/>
      <c r="N120" s="6">
        <v>0.5</v>
      </c>
      <c r="O120" s="5"/>
      <c r="P120" s="5"/>
      <c r="Q120" s="6">
        <v>0.5</v>
      </c>
      <c r="R120" s="5"/>
      <c r="S120" s="5"/>
      <c r="T120" s="6">
        <f t="shared" si="4"/>
        <v>1</v>
      </c>
      <c r="U120" s="10" t="s">
        <v>215</v>
      </c>
      <c r="V120" s="1"/>
      <c r="W120" s="1"/>
      <c r="X120" s="1"/>
      <c r="Y120" s="1"/>
      <c r="Z120" s="1"/>
    </row>
    <row r="121" spans="1:26" ht="39.75" customHeight="1">
      <c r="A121" s="171"/>
      <c r="B121" s="5" t="s">
        <v>216</v>
      </c>
      <c r="C121" s="5" t="s">
        <v>217</v>
      </c>
      <c r="D121" s="5">
        <v>114</v>
      </c>
      <c r="E121" s="5" t="s">
        <v>218</v>
      </c>
      <c r="F121" s="5"/>
      <c r="G121" s="5"/>
      <c r="H121" s="8"/>
      <c r="I121" s="5"/>
      <c r="J121" s="5"/>
      <c r="K121" s="5"/>
      <c r="L121" s="5"/>
      <c r="M121" s="5"/>
      <c r="N121" s="8">
        <v>1.5</v>
      </c>
      <c r="O121" s="5"/>
      <c r="P121" s="8">
        <v>7</v>
      </c>
      <c r="Q121" s="6">
        <v>2</v>
      </c>
      <c r="R121" s="8">
        <v>1</v>
      </c>
      <c r="S121" s="8"/>
      <c r="T121" s="6">
        <f t="shared" si="4"/>
        <v>11.5</v>
      </c>
      <c r="U121" s="113" t="s">
        <v>681</v>
      </c>
      <c r="V121" s="1"/>
      <c r="W121" s="1"/>
      <c r="X121" s="1"/>
      <c r="Y121" s="1"/>
      <c r="Z121" s="1"/>
    </row>
    <row r="122" spans="1:26" ht="39.75" customHeight="1">
      <c r="A122" s="171"/>
      <c r="B122" s="168" t="s">
        <v>219</v>
      </c>
      <c r="C122" s="168" t="s">
        <v>220</v>
      </c>
      <c r="D122" s="5">
        <v>115</v>
      </c>
      <c r="E122" s="5" t="s">
        <v>221</v>
      </c>
      <c r="F122" s="5"/>
      <c r="G122" s="5"/>
      <c r="H122" s="5"/>
      <c r="I122" s="5"/>
      <c r="J122" s="5"/>
      <c r="K122" s="5"/>
      <c r="L122" s="5"/>
      <c r="M122" s="6"/>
      <c r="N122" s="5"/>
      <c r="O122" s="5"/>
      <c r="P122" s="5"/>
      <c r="Q122" s="5"/>
      <c r="R122" s="5"/>
      <c r="S122" s="5"/>
      <c r="T122" s="6">
        <f t="shared" si="4"/>
        <v>0</v>
      </c>
      <c r="U122" s="9"/>
      <c r="V122" s="1"/>
      <c r="W122" s="1"/>
      <c r="X122" s="1"/>
      <c r="Y122" s="1"/>
      <c r="Z122" s="1"/>
    </row>
    <row r="123" spans="1:26" ht="39.75" customHeight="1">
      <c r="A123" s="171"/>
      <c r="B123" s="171"/>
      <c r="C123" s="171"/>
      <c r="D123" s="5">
        <v>116</v>
      </c>
      <c r="E123" s="5" t="s">
        <v>222</v>
      </c>
      <c r="F123" s="5"/>
      <c r="G123" s="5"/>
      <c r="H123" s="5"/>
      <c r="I123" s="5"/>
      <c r="J123" s="5"/>
      <c r="K123" s="5"/>
      <c r="L123" s="5"/>
      <c r="M123" s="6">
        <v>11.58</v>
      </c>
      <c r="N123" s="5"/>
      <c r="O123" s="5"/>
      <c r="P123" s="5"/>
      <c r="Q123" s="6">
        <v>6.7</v>
      </c>
      <c r="R123" s="5"/>
      <c r="S123" s="5"/>
      <c r="T123" s="6">
        <f t="shared" si="4"/>
        <v>18.28</v>
      </c>
      <c r="U123" s="113" t="s">
        <v>679</v>
      </c>
      <c r="V123" s="1"/>
      <c r="W123" s="1"/>
      <c r="X123" s="1"/>
      <c r="Y123" s="1"/>
      <c r="Z123" s="1"/>
    </row>
    <row r="124" spans="1:26" ht="39.75" customHeight="1">
      <c r="A124" s="171"/>
      <c r="B124" s="171"/>
      <c r="C124" s="171"/>
      <c r="D124" s="5">
        <v>117</v>
      </c>
      <c r="E124" s="5" t="s">
        <v>224</v>
      </c>
      <c r="F124" s="5"/>
      <c r="G124" s="5"/>
      <c r="H124" s="5"/>
      <c r="I124" s="5"/>
      <c r="J124" s="5"/>
      <c r="K124" s="5"/>
      <c r="L124" s="5"/>
      <c r="M124" s="5"/>
      <c r="N124" s="5"/>
      <c r="O124" s="5"/>
      <c r="P124" s="5"/>
      <c r="Q124" s="5"/>
      <c r="R124" s="5"/>
      <c r="S124" s="5"/>
      <c r="T124" s="6">
        <f t="shared" si="4"/>
        <v>0</v>
      </c>
      <c r="U124" s="46"/>
      <c r="V124" s="1"/>
      <c r="W124" s="1"/>
      <c r="X124" s="1"/>
      <c r="Y124" s="1"/>
      <c r="Z124" s="1"/>
    </row>
    <row r="125" spans="1:26" ht="39.75" customHeight="1">
      <c r="A125" s="171"/>
      <c r="B125" s="169"/>
      <c r="C125" s="169"/>
      <c r="D125" s="5">
        <v>118</v>
      </c>
      <c r="E125" s="5" t="s">
        <v>54</v>
      </c>
      <c r="F125" s="5"/>
      <c r="G125" s="5"/>
      <c r="H125" s="5"/>
      <c r="I125" s="5"/>
      <c r="J125" s="5"/>
      <c r="K125" s="5"/>
      <c r="L125" s="5"/>
      <c r="M125" s="5"/>
      <c r="N125" s="5"/>
      <c r="O125" s="5"/>
      <c r="P125" s="5"/>
      <c r="Q125" s="6"/>
      <c r="R125" s="5"/>
      <c r="S125" s="5"/>
      <c r="T125" s="6">
        <f t="shared" si="4"/>
        <v>0</v>
      </c>
      <c r="U125" s="9"/>
      <c r="V125" s="1"/>
      <c r="W125" s="1"/>
      <c r="X125" s="1"/>
      <c r="Y125" s="1"/>
      <c r="Z125" s="1"/>
    </row>
    <row r="126" spans="1:26" ht="39.75" customHeight="1">
      <c r="A126" s="171"/>
      <c r="B126" s="5" t="s">
        <v>225</v>
      </c>
      <c r="C126" s="5" t="s">
        <v>226</v>
      </c>
      <c r="D126" s="5">
        <v>119</v>
      </c>
      <c r="E126" s="5" t="s">
        <v>227</v>
      </c>
      <c r="F126" s="5"/>
      <c r="G126" s="5"/>
      <c r="H126" s="8">
        <v>6</v>
      </c>
      <c r="I126" s="6">
        <v>1</v>
      </c>
      <c r="J126" s="5"/>
      <c r="K126" s="5"/>
      <c r="L126" s="5"/>
      <c r="M126" s="5"/>
      <c r="N126" s="6">
        <v>1</v>
      </c>
      <c r="O126" s="5"/>
      <c r="P126" s="8">
        <v>8</v>
      </c>
      <c r="Q126" s="6">
        <v>2</v>
      </c>
      <c r="R126" s="5"/>
      <c r="S126" s="5"/>
      <c r="T126" s="6">
        <f t="shared" si="4"/>
        <v>18</v>
      </c>
      <c r="U126" s="113" t="s">
        <v>678</v>
      </c>
      <c r="V126" s="1"/>
      <c r="W126" s="1"/>
      <c r="X126" s="1"/>
      <c r="Y126" s="1"/>
      <c r="Z126" s="1"/>
    </row>
    <row r="127" spans="1:26" ht="39.75" customHeight="1">
      <c r="A127" s="171"/>
      <c r="B127" s="5" t="s">
        <v>228</v>
      </c>
      <c r="C127" s="5" t="s">
        <v>229</v>
      </c>
      <c r="D127" s="5">
        <v>120</v>
      </c>
      <c r="E127" s="5" t="s">
        <v>230</v>
      </c>
      <c r="F127" s="5"/>
      <c r="G127" s="5"/>
      <c r="H127" s="5"/>
      <c r="I127" s="5"/>
      <c r="J127" s="5"/>
      <c r="K127" s="8"/>
      <c r="L127" s="5"/>
      <c r="M127" s="8"/>
      <c r="N127" s="6"/>
      <c r="O127" s="5"/>
      <c r="P127" s="8"/>
      <c r="Q127" s="6"/>
      <c r="R127" s="8"/>
      <c r="S127" s="5"/>
      <c r="T127" s="6">
        <f t="shared" si="4"/>
        <v>0</v>
      </c>
      <c r="U127" s="9"/>
      <c r="V127" s="1"/>
      <c r="W127" s="1"/>
      <c r="X127" s="1"/>
      <c r="Y127" s="1"/>
      <c r="Z127" s="1"/>
    </row>
    <row r="128" spans="1:26" ht="39.75" customHeight="1">
      <c r="A128" s="171"/>
      <c r="B128" s="168" t="s">
        <v>231</v>
      </c>
      <c r="C128" s="168" t="s">
        <v>232</v>
      </c>
      <c r="D128" s="5">
        <v>121</v>
      </c>
      <c r="E128" s="5" t="s">
        <v>233</v>
      </c>
      <c r="F128" s="5"/>
      <c r="G128" s="5"/>
      <c r="H128" s="5"/>
      <c r="I128" s="6"/>
      <c r="J128" s="5"/>
      <c r="K128" s="5"/>
      <c r="L128" s="5"/>
      <c r="M128" s="5"/>
      <c r="N128" s="5"/>
      <c r="O128" s="5"/>
      <c r="P128" s="5"/>
      <c r="Q128" s="5"/>
      <c r="R128" s="5"/>
      <c r="S128" s="5"/>
      <c r="T128" s="6">
        <f t="shared" si="4"/>
        <v>0</v>
      </c>
      <c r="U128" s="10"/>
      <c r="V128" s="18"/>
      <c r="W128" s="1"/>
      <c r="X128" s="1"/>
      <c r="Y128" s="1"/>
      <c r="Z128" s="1"/>
    </row>
    <row r="129" spans="1:26" ht="39.75" customHeight="1">
      <c r="A129" s="171"/>
      <c r="B129" s="171"/>
      <c r="C129" s="171"/>
      <c r="D129" s="5">
        <v>122</v>
      </c>
      <c r="E129" s="5" t="s">
        <v>234</v>
      </c>
      <c r="F129" s="5"/>
      <c r="G129" s="5"/>
      <c r="H129" s="5"/>
      <c r="I129" s="5"/>
      <c r="J129" s="5"/>
      <c r="K129" s="5"/>
      <c r="L129" s="5"/>
      <c r="M129" s="5"/>
      <c r="N129" s="5"/>
      <c r="O129" s="5"/>
      <c r="P129" s="5"/>
      <c r="Q129" s="5"/>
      <c r="R129" s="5"/>
      <c r="S129" s="5"/>
      <c r="T129" s="6">
        <f t="shared" si="4"/>
        <v>0</v>
      </c>
      <c r="U129" s="10"/>
      <c r="V129" s="18"/>
      <c r="W129" s="1"/>
      <c r="X129" s="1"/>
      <c r="Y129" s="1"/>
      <c r="Z129" s="1"/>
    </row>
    <row r="130" spans="1:26" ht="39.75" customHeight="1">
      <c r="A130" s="171"/>
      <c r="B130" s="169"/>
      <c r="C130" s="169"/>
      <c r="D130" s="5">
        <v>123</v>
      </c>
      <c r="E130" s="5" t="s">
        <v>235</v>
      </c>
      <c r="F130" s="5"/>
      <c r="G130" s="5"/>
      <c r="H130" s="5"/>
      <c r="I130" s="5"/>
      <c r="J130" s="5"/>
      <c r="K130" s="5"/>
      <c r="L130" s="5"/>
      <c r="M130" s="5"/>
      <c r="N130" s="5"/>
      <c r="O130" s="5"/>
      <c r="P130" s="8">
        <v>0</v>
      </c>
      <c r="Q130" s="6">
        <v>2</v>
      </c>
      <c r="R130" s="5"/>
      <c r="S130" s="5"/>
      <c r="T130" s="6">
        <f t="shared" si="4"/>
        <v>2</v>
      </c>
      <c r="U130" s="10" t="s">
        <v>236</v>
      </c>
      <c r="V130" s="18"/>
      <c r="W130" s="1"/>
      <c r="X130" s="1"/>
      <c r="Y130" s="1"/>
      <c r="Z130" s="1"/>
    </row>
    <row r="131" spans="1:26" ht="39.75" customHeight="1">
      <c r="A131" s="171"/>
      <c r="B131" s="168" t="s">
        <v>237</v>
      </c>
      <c r="C131" s="168" t="s">
        <v>238</v>
      </c>
      <c r="D131" s="5">
        <v>124</v>
      </c>
      <c r="E131" s="5" t="s">
        <v>239</v>
      </c>
      <c r="F131" s="5"/>
      <c r="G131" s="5"/>
      <c r="H131" s="8"/>
      <c r="I131" s="5"/>
      <c r="J131" s="5"/>
      <c r="K131" s="5"/>
      <c r="L131" s="5"/>
      <c r="M131" s="5"/>
      <c r="N131" s="5"/>
      <c r="O131" s="5"/>
      <c r="P131" s="5"/>
      <c r="Q131" s="8">
        <v>2</v>
      </c>
      <c r="R131" s="5"/>
      <c r="S131" s="5"/>
      <c r="T131" s="6">
        <f t="shared" si="4"/>
        <v>2</v>
      </c>
      <c r="U131" s="10" t="s">
        <v>240</v>
      </c>
      <c r="V131" s="1"/>
      <c r="W131" s="1"/>
      <c r="X131" s="1"/>
      <c r="Y131" s="1"/>
      <c r="Z131" s="1"/>
    </row>
    <row r="132" spans="1:26" ht="39.75" customHeight="1">
      <c r="A132" s="171"/>
      <c r="B132" s="169"/>
      <c r="C132" s="169"/>
      <c r="D132" s="5">
        <v>125</v>
      </c>
      <c r="E132" s="5" t="s">
        <v>241</v>
      </c>
      <c r="F132" s="5"/>
      <c r="G132" s="5"/>
      <c r="H132" s="8"/>
      <c r="I132" s="5"/>
      <c r="J132" s="5"/>
      <c r="K132" s="5"/>
      <c r="L132" s="5"/>
      <c r="M132" s="5"/>
      <c r="N132" s="5"/>
      <c r="O132" s="5"/>
      <c r="P132" s="5"/>
      <c r="Q132" s="5"/>
      <c r="R132" s="5"/>
      <c r="S132" s="5"/>
      <c r="T132" s="6">
        <f t="shared" si="4"/>
        <v>0</v>
      </c>
      <c r="U132" s="9"/>
      <c r="V132" s="1"/>
      <c r="W132" s="1"/>
      <c r="X132" s="1"/>
      <c r="Y132" s="1"/>
      <c r="Z132" s="1"/>
    </row>
    <row r="133" spans="1:26" ht="39.75" customHeight="1">
      <c r="A133" s="171"/>
      <c r="B133" s="5" t="s">
        <v>242</v>
      </c>
      <c r="C133" s="5" t="s">
        <v>243</v>
      </c>
      <c r="D133" s="5">
        <v>126</v>
      </c>
      <c r="E133" s="5" t="s">
        <v>167</v>
      </c>
      <c r="F133" s="5"/>
      <c r="G133" s="5"/>
      <c r="H133" s="5"/>
      <c r="I133" s="5"/>
      <c r="J133" s="5"/>
      <c r="K133" s="5"/>
      <c r="L133" s="5"/>
      <c r="M133" s="5"/>
      <c r="N133" s="5"/>
      <c r="O133" s="5"/>
      <c r="P133" s="5"/>
      <c r="Q133" s="5"/>
      <c r="R133" s="5"/>
      <c r="S133" s="5"/>
      <c r="T133" s="6">
        <f t="shared" si="4"/>
        <v>0</v>
      </c>
      <c r="U133" s="9"/>
      <c r="V133" s="1"/>
      <c r="W133" s="1"/>
      <c r="X133" s="1"/>
      <c r="Y133" s="1"/>
      <c r="Z133" s="1"/>
    </row>
    <row r="134" spans="1:26" ht="39.75" customHeight="1">
      <c r="A134" s="169"/>
      <c r="B134" s="176" t="s">
        <v>244</v>
      </c>
      <c r="C134" s="177"/>
      <c r="D134" s="178"/>
      <c r="E134" s="51"/>
      <c r="F134" s="51">
        <f t="shared" ref="F134:S134" si="8">SUM(F94:F133)</f>
        <v>0</v>
      </c>
      <c r="G134" s="51">
        <f t="shared" si="8"/>
        <v>0</v>
      </c>
      <c r="H134" s="51">
        <f t="shared" si="8"/>
        <v>6</v>
      </c>
      <c r="I134" s="51">
        <f t="shared" si="8"/>
        <v>10.8</v>
      </c>
      <c r="J134" s="51">
        <f t="shared" si="8"/>
        <v>0</v>
      </c>
      <c r="K134" s="52">
        <f t="shared" si="8"/>
        <v>8</v>
      </c>
      <c r="L134" s="51">
        <f t="shared" si="8"/>
        <v>0</v>
      </c>
      <c r="M134" s="51">
        <f t="shared" si="8"/>
        <v>17.579999999999998</v>
      </c>
      <c r="N134" s="51">
        <f t="shared" si="8"/>
        <v>14.3</v>
      </c>
      <c r="O134" s="51">
        <f t="shared" si="8"/>
        <v>12.36</v>
      </c>
      <c r="P134" s="51">
        <f t="shared" si="8"/>
        <v>81.900000000000006</v>
      </c>
      <c r="Q134" s="51">
        <f t="shared" si="8"/>
        <v>31.8</v>
      </c>
      <c r="R134" s="51">
        <f t="shared" si="8"/>
        <v>31.950000000000003</v>
      </c>
      <c r="S134" s="51">
        <f t="shared" si="8"/>
        <v>0</v>
      </c>
      <c r="T134" s="52">
        <f t="shared" ref="T134:T197" si="9">SUM(F134:S134)</f>
        <v>214.69</v>
      </c>
      <c r="U134" s="9"/>
      <c r="V134" s="1"/>
      <c r="W134" s="1"/>
      <c r="X134" s="1"/>
      <c r="Y134" s="1"/>
      <c r="Z134" s="1"/>
    </row>
    <row r="135" spans="1:26" ht="39.75" customHeight="1">
      <c r="A135" s="175" t="s">
        <v>245</v>
      </c>
      <c r="B135" s="168" t="s">
        <v>246</v>
      </c>
      <c r="C135" s="168" t="s">
        <v>247</v>
      </c>
      <c r="D135" s="5">
        <v>127</v>
      </c>
      <c r="E135" s="5" t="s">
        <v>248</v>
      </c>
      <c r="F135" s="98"/>
      <c r="G135" s="98"/>
      <c r="H135" s="98"/>
      <c r="I135" s="98"/>
      <c r="J135" s="98"/>
      <c r="K135" s="98"/>
      <c r="L135" s="98"/>
      <c r="M135" s="98"/>
      <c r="N135" s="98"/>
      <c r="O135" s="98"/>
      <c r="P135" s="98"/>
      <c r="Q135" s="98"/>
      <c r="R135" s="98"/>
      <c r="S135" s="98"/>
      <c r="T135" s="99">
        <f t="shared" ref="T135:T157" si="10">SUM(F135:S135)</f>
        <v>0</v>
      </c>
      <c r="U135" s="100"/>
      <c r="V135" s="1"/>
      <c r="W135" s="1"/>
      <c r="X135" s="1"/>
      <c r="Y135" s="1"/>
      <c r="Z135" s="1"/>
    </row>
    <row r="136" spans="1:26" ht="39.75" customHeight="1">
      <c r="A136" s="171"/>
      <c r="B136" s="169"/>
      <c r="C136" s="169"/>
      <c r="D136" s="5">
        <v>128</v>
      </c>
      <c r="E136" s="5" t="s">
        <v>249</v>
      </c>
      <c r="F136" s="98"/>
      <c r="G136" s="98"/>
      <c r="H136" s="98"/>
      <c r="I136" s="98"/>
      <c r="J136" s="98"/>
      <c r="K136" s="99"/>
      <c r="L136" s="98"/>
      <c r="M136" s="98"/>
      <c r="N136" s="99"/>
      <c r="O136" s="98"/>
      <c r="P136" s="99"/>
      <c r="Q136" s="99">
        <f>(14*0.75)+(14*0.1)</f>
        <v>11.9</v>
      </c>
      <c r="R136" s="98"/>
      <c r="S136" s="98"/>
      <c r="T136" s="99">
        <f t="shared" si="10"/>
        <v>11.9</v>
      </c>
      <c r="U136" s="101" t="s">
        <v>662</v>
      </c>
      <c r="V136" s="1"/>
      <c r="W136" s="1"/>
      <c r="X136" s="1"/>
      <c r="Y136" s="1"/>
      <c r="Z136" s="1"/>
    </row>
    <row r="137" spans="1:26" ht="39.75" customHeight="1">
      <c r="A137" s="171"/>
      <c r="B137" s="28"/>
      <c r="C137" s="28"/>
      <c r="D137" s="5">
        <v>129</v>
      </c>
      <c r="E137" s="5" t="s">
        <v>250</v>
      </c>
      <c r="F137" s="98"/>
      <c r="G137" s="98"/>
      <c r="H137" s="98"/>
      <c r="I137" s="98"/>
      <c r="J137" s="98"/>
      <c r="K137" s="98"/>
      <c r="L137" s="98"/>
      <c r="M137" s="98"/>
      <c r="N137" s="98"/>
      <c r="O137" s="98"/>
      <c r="P137" s="98"/>
      <c r="Q137" s="98"/>
      <c r="R137" s="98"/>
      <c r="S137" s="98"/>
      <c r="T137" s="99">
        <f t="shared" si="10"/>
        <v>0</v>
      </c>
      <c r="U137" s="100"/>
      <c r="V137" s="1"/>
      <c r="W137" s="1"/>
      <c r="X137" s="1"/>
      <c r="Y137" s="1"/>
      <c r="Z137" s="1"/>
    </row>
    <row r="138" spans="1:26" ht="39.75" customHeight="1">
      <c r="A138" s="171"/>
      <c r="B138" s="168" t="s">
        <v>251</v>
      </c>
      <c r="C138" s="168" t="s">
        <v>252</v>
      </c>
      <c r="D138" s="5">
        <v>130</v>
      </c>
      <c r="E138" s="5" t="s">
        <v>253</v>
      </c>
      <c r="F138" s="98"/>
      <c r="G138" s="98"/>
      <c r="H138" s="98"/>
      <c r="I138" s="98"/>
      <c r="J138" s="98"/>
      <c r="K138" s="98"/>
      <c r="L138" s="98"/>
      <c r="M138" s="98"/>
      <c r="N138" s="98"/>
      <c r="O138" s="98"/>
      <c r="P138" s="98"/>
      <c r="Q138" s="98"/>
      <c r="R138" s="98"/>
      <c r="S138" s="98"/>
      <c r="T138" s="99">
        <f t="shared" si="10"/>
        <v>0</v>
      </c>
      <c r="U138" s="100"/>
      <c r="V138" s="1"/>
      <c r="W138" s="1"/>
      <c r="X138" s="1"/>
      <c r="Y138" s="1"/>
      <c r="Z138" s="1"/>
    </row>
    <row r="139" spans="1:26" ht="39.75" customHeight="1">
      <c r="A139" s="171"/>
      <c r="B139" s="171"/>
      <c r="C139" s="171"/>
      <c r="D139" s="5">
        <v>131</v>
      </c>
      <c r="E139" s="5" t="s">
        <v>254</v>
      </c>
      <c r="F139" s="98"/>
      <c r="G139" s="98"/>
      <c r="H139" s="98"/>
      <c r="I139" s="98"/>
      <c r="J139" s="98"/>
      <c r="K139" s="98"/>
      <c r="L139" s="98"/>
      <c r="M139" s="98"/>
      <c r="N139" s="99">
        <f>0.01*127</f>
        <v>1.27</v>
      </c>
      <c r="O139" s="98"/>
      <c r="P139" s="98"/>
      <c r="Q139" s="98"/>
      <c r="R139" s="98"/>
      <c r="S139" s="98"/>
      <c r="T139" s="99">
        <f t="shared" si="10"/>
        <v>1.27</v>
      </c>
      <c r="U139" s="102" t="s">
        <v>667</v>
      </c>
      <c r="V139" s="1"/>
      <c r="W139" s="1"/>
      <c r="X139" s="1"/>
      <c r="Y139" s="1"/>
      <c r="Z139" s="1"/>
    </row>
    <row r="140" spans="1:26" ht="39.75" customHeight="1">
      <c r="A140" s="171"/>
      <c r="B140" s="171"/>
      <c r="C140" s="171"/>
      <c r="D140" s="5">
        <v>132</v>
      </c>
      <c r="E140" s="5" t="s">
        <v>255</v>
      </c>
      <c r="F140" s="98"/>
      <c r="G140" s="98"/>
      <c r="H140" s="98"/>
      <c r="I140" s="98"/>
      <c r="J140" s="98"/>
      <c r="K140" s="98"/>
      <c r="L140" s="98"/>
      <c r="M140" s="98"/>
      <c r="N140" s="98"/>
      <c r="O140" s="98"/>
      <c r="P140" s="98"/>
      <c r="Q140" s="98"/>
      <c r="R140" s="98"/>
      <c r="S140" s="98"/>
      <c r="T140" s="99">
        <f t="shared" si="10"/>
        <v>0</v>
      </c>
      <c r="U140" s="100"/>
      <c r="V140" s="1"/>
      <c r="W140" s="1"/>
      <c r="X140" s="1"/>
      <c r="Y140" s="1"/>
      <c r="Z140" s="1"/>
    </row>
    <row r="141" spans="1:26" ht="39.75" customHeight="1">
      <c r="A141" s="171"/>
      <c r="B141" s="171"/>
      <c r="C141" s="171"/>
      <c r="D141" s="5">
        <v>133</v>
      </c>
      <c r="E141" s="5" t="s">
        <v>256</v>
      </c>
      <c r="F141" s="98"/>
      <c r="G141" s="98"/>
      <c r="H141" s="98"/>
      <c r="I141" s="98"/>
      <c r="J141" s="98"/>
      <c r="K141" s="98"/>
      <c r="L141" s="98"/>
      <c r="M141" s="98"/>
      <c r="N141" s="98"/>
      <c r="O141" s="98"/>
      <c r="P141" s="98"/>
      <c r="Q141" s="98"/>
      <c r="R141" s="98"/>
      <c r="S141" s="98"/>
      <c r="T141" s="99">
        <f t="shared" si="10"/>
        <v>0</v>
      </c>
      <c r="U141" s="100"/>
      <c r="V141" s="1"/>
      <c r="W141" s="1"/>
      <c r="X141" s="1"/>
      <c r="Y141" s="1"/>
      <c r="Z141" s="1"/>
    </row>
    <row r="142" spans="1:26" ht="39.75" customHeight="1">
      <c r="A142" s="171"/>
      <c r="B142" s="171"/>
      <c r="C142" s="171"/>
      <c r="D142" s="5">
        <v>134</v>
      </c>
      <c r="E142" s="5" t="s">
        <v>257</v>
      </c>
      <c r="F142" s="98"/>
      <c r="G142" s="98"/>
      <c r="H142" s="98"/>
      <c r="I142" s="98"/>
      <c r="J142" s="98"/>
      <c r="K142" s="98"/>
      <c r="L142" s="98"/>
      <c r="M142" s="98"/>
      <c r="N142" s="98"/>
      <c r="O142" s="98"/>
      <c r="P142" s="99">
        <f>(55*0.005*12)+(55*0.0025*12)+(14*4*0.1)</f>
        <v>10.55</v>
      </c>
      <c r="Q142" s="98"/>
      <c r="R142" s="98"/>
      <c r="S142" s="98"/>
      <c r="T142" s="99">
        <f t="shared" si="10"/>
        <v>10.55</v>
      </c>
      <c r="U142" s="100" t="s">
        <v>258</v>
      </c>
      <c r="V142" s="1"/>
      <c r="W142" s="1"/>
      <c r="X142" s="1"/>
      <c r="Y142" s="1"/>
      <c r="Z142" s="1"/>
    </row>
    <row r="143" spans="1:26" ht="39.75" customHeight="1">
      <c r="A143" s="171"/>
      <c r="B143" s="171"/>
      <c r="C143" s="171"/>
      <c r="D143" s="5">
        <v>135</v>
      </c>
      <c r="E143" s="5" t="s">
        <v>259</v>
      </c>
      <c r="F143" s="98"/>
      <c r="G143" s="98"/>
      <c r="H143" s="98"/>
      <c r="I143" s="98"/>
      <c r="J143" s="98"/>
      <c r="K143" s="98"/>
      <c r="L143" s="98"/>
      <c r="M143" s="98"/>
      <c r="N143" s="98"/>
      <c r="O143" s="98"/>
      <c r="P143" s="98"/>
      <c r="Q143" s="98"/>
      <c r="R143" s="98"/>
      <c r="S143" s="98"/>
      <c r="T143" s="99">
        <f t="shared" si="10"/>
        <v>0</v>
      </c>
      <c r="U143" s="100"/>
      <c r="V143" s="1"/>
      <c r="W143" s="1"/>
      <c r="X143" s="1"/>
      <c r="Y143" s="1"/>
      <c r="Z143" s="1"/>
    </row>
    <row r="144" spans="1:26" ht="39.75" customHeight="1">
      <c r="A144" s="171"/>
      <c r="B144" s="169"/>
      <c r="C144" s="169"/>
      <c r="D144" s="5">
        <v>136</v>
      </c>
      <c r="E144" s="5" t="s">
        <v>260</v>
      </c>
      <c r="F144" s="98"/>
      <c r="G144" s="98"/>
      <c r="H144" s="98"/>
      <c r="I144" s="98"/>
      <c r="J144" s="98"/>
      <c r="K144" s="98"/>
      <c r="L144" s="98"/>
      <c r="M144" s="98"/>
      <c r="N144" s="98"/>
      <c r="O144" s="98"/>
      <c r="P144" s="99"/>
      <c r="Q144" s="98"/>
      <c r="R144" s="98"/>
      <c r="S144" s="98"/>
      <c r="T144" s="99">
        <f t="shared" si="10"/>
        <v>0</v>
      </c>
      <c r="U144" s="101"/>
      <c r="V144" s="1"/>
      <c r="W144" s="1"/>
      <c r="X144" s="1"/>
      <c r="Y144" s="1"/>
      <c r="Z144" s="1"/>
    </row>
    <row r="145" spans="1:26" ht="39.75" customHeight="1">
      <c r="A145" s="171"/>
      <c r="B145" s="168" t="s">
        <v>261</v>
      </c>
      <c r="C145" s="168" t="s">
        <v>262</v>
      </c>
      <c r="D145" s="5">
        <v>137</v>
      </c>
      <c r="E145" s="5" t="s">
        <v>263</v>
      </c>
      <c r="F145" s="98"/>
      <c r="G145" s="98"/>
      <c r="H145" s="98"/>
      <c r="I145" s="98"/>
      <c r="J145" s="98"/>
      <c r="K145" s="98"/>
      <c r="L145" s="98"/>
      <c r="M145" s="99"/>
      <c r="N145" s="98"/>
      <c r="O145" s="98"/>
      <c r="P145" s="99">
        <f>0.24*12+0.04</f>
        <v>2.92</v>
      </c>
      <c r="Q145" s="98"/>
      <c r="R145" s="98"/>
      <c r="S145" s="98"/>
      <c r="T145" s="99">
        <f t="shared" si="10"/>
        <v>2.92</v>
      </c>
      <c r="U145" s="101" t="s">
        <v>264</v>
      </c>
      <c r="V145" s="1"/>
      <c r="W145" s="1"/>
      <c r="X145" s="1"/>
      <c r="Y145" s="1"/>
      <c r="Z145" s="1"/>
    </row>
    <row r="146" spans="1:26" ht="39.75" customHeight="1">
      <c r="A146" s="171"/>
      <c r="B146" s="169"/>
      <c r="C146" s="169"/>
      <c r="D146" s="5">
        <v>138</v>
      </c>
      <c r="E146" s="5" t="s">
        <v>265</v>
      </c>
      <c r="F146" s="103"/>
      <c r="G146" s="103"/>
      <c r="H146" s="104"/>
      <c r="I146" s="104"/>
      <c r="J146" s="103"/>
      <c r="K146" s="104"/>
      <c r="L146" s="103"/>
      <c r="M146" s="104"/>
      <c r="N146" s="103"/>
      <c r="O146" s="103"/>
      <c r="P146" s="103"/>
      <c r="Q146" s="103"/>
      <c r="R146" s="103"/>
      <c r="S146" s="103"/>
      <c r="T146" s="104">
        <f t="shared" si="10"/>
        <v>0</v>
      </c>
      <c r="U146" s="105"/>
      <c r="V146" s="1"/>
      <c r="W146" s="1"/>
      <c r="X146" s="1"/>
      <c r="Y146" s="1"/>
      <c r="Z146" s="1"/>
    </row>
    <row r="147" spans="1:26" ht="39.75" customHeight="1">
      <c r="A147" s="171"/>
      <c r="B147" s="168" t="s">
        <v>266</v>
      </c>
      <c r="C147" s="168" t="s">
        <v>267</v>
      </c>
      <c r="D147" s="5">
        <v>139</v>
      </c>
      <c r="E147" s="5" t="s">
        <v>268</v>
      </c>
      <c r="F147" s="98"/>
      <c r="G147" s="98"/>
      <c r="H147" s="98"/>
      <c r="I147" s="98"/>
      <c r="J147" s="98"/>
      <c r="K147" s="98"/>
      <c r="L147" s="98"/>
      <c r="M147" s="98"/>
      <c r="N147" s="99"/>
      <c r="O147" s="98"/>
      <c r="P147" s="99">
        <v>14</v>
      </c>
      <c r="Q147" s="98"/>
      <c r="R147" s="99">
        <v>1.2</v>
      </c>
      <c r="S147" s="98"/>
      <c r="T147" s="99">
        <f t="shared" si="10"/>
        <v>15.2</v>
      </c>
      <c r="U147" s="101" t="s">
        <v>669</v>
      </c>
      <c r="V147" s="1"/>
      <c r="W147" s="1"/>
      <c r="X147" s="1"/>
      <c r="Y147" s="1"/>
      <c r="Z147" s="1"/>
    </row>
    <row r="148" spans="1:26" ht="39.75" customHeight="1">
      <c r="A148" s="171"/>
      <c r="B148" s="171"/>
      <c r="C148" s="171"/>
      <c r="D148" s="5">
        <v>140</v>
      </c>
      <c r="E148" s="5" t="s">
        <v>269</v>
      </c>
      <c r="F148" s="98"/>
      <c r="G148" s="98"/>
      <c r="H148" s="98"/>
      <c r="I148" s="98"/>
      <c r="J148" s="98"/>
      <c r="K148" s="98"/>
      <c r="L148" s="98"/>
      <c r="M148" s="98"/>
      <c r="N148" s="98"/>
      <c r="O148" s="98"/>
      <c r="P148" s="99">
        <f>14+(11*0.055)+(0.08*5)</f>
        <v>15.005000000000001</v>
      </c>
      <c r="Q148" s="98"/>
      <c r="R148" s="98"/>
      <c r="S148" s="98"/>
      <c r="T148" s="99">
        <f t="shared" si="10"/>
        <v>15.005000000000001</v>
      </c>
      <c r="U148" s="101" t="s">
        <v>666</v>
      </c>
      <c r="V148" s="1"/>
      <c r="W148" s="1"/>
      <c r="X148" s="1"/>
      <c r="Y148" s="1"/>
      <c r="Z148" s="1"/>
    </row>
    <row r="149" spans="1:26" ht="39.75" customHeight="1">
      <c r="A149" s="171"/>
      <c r="B149" s="169"/>
      <c r="C149" s="169"/>
      <c r="D149" s="5">
        <v>141</v>
      </c>
      <c r="E149" s="5" t="s">
        <v>270</v>
      </c>
      <c r="F149" s="98"/>
      <c r="G149" s="98"/>
      <c r="H149" s="98"/>
      <c r="I149" s="98"/>
      <c r="J149" s="98"/>
      <c r="K149" s="98"/>
      <c r="L149" s="98"/>
      <c r="M149" s="98"/>
      <c r="N149" s="98"/>
      <c r="O149" s="98"/>
      <c r="P149" s="98"/>
      <c r="Q149" s="98"/>
      <c r="R149" s="98"/>
      <c r="S149" s="98"/>
      <c r="T149" s="99">
        <f t="shared" si="10"/>
        <v>0</v>
      </c>
      <c r="U149" s="100"/>
      <c r="V149" s="1"/>
      <c r="W149" s="1"/>
      <c r="X149" s="1"/>
      <c r="Y149" s="1"/>
      <c r="Z149" s="1"/>
    </row>
    <row r="150" spans="1:26" ht="39.75" customHeight="1">
      <c r="A150" s="171"/>
      <c r="B150" s="168" t="s">
        <v>271</v>
      </c>
      <c r="C150" s="168" t="s">
        <v>272</v>
      </c>
      <c r="D150" s="5">
        <v>142</v>
      </c>
      <c r="E150" s="5" t="s">
        <v>273</v>
      </c>
      <c r="F150" s="98"/>
      <c r="G150" s="98"/>
      <c r="H150" s="98"/>
      <c r="I150" s="98"/>
      <c r="J150" s="98"/>
      <c r="K150" s="98"/>
      <c r="L150" s="98"/>
      <c r="M150" s="98"/>
      <c r="N150" s="98"/>
      <c r="O150" s="98"/>
      <c r="P150" s="98"/>
      <c r="Q150" s="98"/>
      <c r="R150" s="98">
        <v>476.62</v>
      </c>
      <c r="S150" s="98"/>
      <c r="T150" s="99">
        <f t="shared" si="10"/>
        <v>476.62</v>
      </c>
      <c r="U150" s="100"/>
      <c r="V150" s="1"/>
      <c r="W150" s="1"/>
      <c r="X150" s="1"/>
      <c r="Y150" s="1"/>
      <c r="Z150" s="1"/>
    </row>
    <row r="151" spans="1:26" ht="39.75" customHeight="1">
      <c r="A151" s="171"/>
      <c r="B151" s="171"/>
      <c r="C151" s="171"/>
      <c r="D151" s="5">
        <v>143</v>
      </c>
      <c r="E151" s="5" t="s">
        <v>274</v>
      </c>
      <c r="F151" s="98"/>
      <c r="G151" s="98"/>
      <c r="H151" s="98"/>
      <c r="I151" s="98"/>
      <c r="J151" s="98"/>
      <c r="K151" s="98"/>
      <c r="L151" s="98"/>
      <c r="M151" s="98"/>
      <c r="N151" s="98"/>
      <c r="O151" s="98"/>
      <c r="P151" s="98"/>
      <c r="Q151" s="98"/>
      <c r="R151" s="98"/>
      <c r="S151" s="98"/>
      <c r="T151" s="99">
        <f t="shared" si="10"/>
        <v>0</v>
      </c>
      <c r="U151" s="100"/>
      <c r="V151" s="1"/>
      <c r="W151" s="1"/>
      <c r="X151" s="1"/>
      <c r="Y151" s="1"/>
      <c r="Z151" s="1"/>
    </row>
    <row r="152" spans="1:26" ht="39.75" customHeight="1">
      <c r="A152" s="171"/>
      <c r="B152" s="171"/>
      <c r="C152" s="171"/>
      <c r="D152" s="5">
        <v>144</v>
      </c>
      <c r="E152" s="5" t="s">
        <v>275</v>
      </c>
      <c r="F152" s="98"/>
      <c r="G152" s="98"/>
      <c r="H152" s="98"/>
      <c r="I152" s="98"/>
      <c r="J152" s="98"/>
      <c r="K152" s="98"/>
      <c r="L152" s="98"/>
      <c r="M152" s="98"/>
      <c r="N152" s="98"/>
      <c r="O152" s="98"/>
      <c r="P152" s="98"/>
      <c r="Q152" s="98"/>
      <c r="R152" s="98"/>
      <c r="S152" s="98"/>
      <c r="T152" s="99">
        <f t="shared" si="10"/>
        <v>0</v>
      </c>
      <c r="U152" s="100"/>
      <c r="V152" s="1"/>
      <c r="W152" s="1"/>
      <c r="X152" s="1"/>
      <c r="Y152" s="1"/>
      <c r="Z152" s="1"/>
    </row>
    <row r="153" spans="1:26" ht="39.75" customHeight="1">
      <c r="A153" s="171"/>
      <c r="B153" s="169"/>
      <c r="C153" s="169"/>
      <c r="D153" s="5">
        <v>145</v>
      </c>
      <c r="E153" s="5" t="s">
        <v>276</v>
      </c>
      <c r="F153" s="98"/>
      <c r="G153" s="98"/>
      <c r="H153" s="98"/>
      <c r="I153" s="98"/>
      <c r="J153" s="98"/>
      <c r="K153" s="98"/>
      <c r="L153" s="98"/>
      <c r="M153" s="98"/>
      <c r="N153" s="98"/>
      <c r="O153" s="98"/>
      <c r="P153" s="98"/>
      <c r="Q153" s="98"/>
      <c r="R153" s="98"/>
      <c r="S153" s="98"/>
      <c r="T153" s="99">
        <f t="shared" si="10"/>
        <v>0</v>
      </c>
      <c r="U153" s="100"/>
      <c r="V153" s="1"/>
      <c r="W153" s="1"/>
      <c r="X153" s="1"/>
      <c r="Y153" s="1"/>
      <c r="Z153" s="1"/>
    </row>
    <row r="154" spans="1:26" ht="39.75" customHeight="1">
      <c r="A154" s="171"/>
      <c r="B154" s="5" t="s">
        <v>277</v>
      </c>
      <c r="C154" s="5" t="s">
        <v>278</v>
      </c>
      <c r="D154" s="5">
        <v>146</v>
      </c>
      <c r="E154" s="5" t="s">
        <v>279</v>
      </c>
      <c r="F154" s="98"/>
      <c r="G154" s="98"/>
      <c r="H154" s="98"/>
      <c r="I154" s="98"/>
      <c r="J154" s="98"/>
      <c r="K154" s="98"/>
      <c r="L154" s="98"/>
      <c r="M154" s="98"/>
      <c r="N154" s="98"/>
      <c r="O154" s="98"/>
      <c r="P154" s="98"/>
      <c r="Q154" s="98"/>
      <c r="R154" s="99">
        <v>5.4</v>
      </c>
      <c r="S154" s="98"/>
      <c r="T154" s="99">
        <f t="shared" si="10"/>
        <v>5.4</v>
      </c>
      <c r="U154" s="102" t="s">
        <v>280</v>
      </c>
      <c r="V154" s="1"/>
      <c r="W154" s="1"/>
      <c r="X154" s="1"/>
      <c r="Y154" s="1"/>
      <c r="Z154" s="1"/>
    </row>
    <row r="155" spans="1:26" ht="39.75" customHeight="1">
      <c r="A155" s="171"/>
      <c r="B155" s="5" t="s">
        <v>281</v>
      </c>
      <c r="C155" s="5" t="s">
        <v>282</v>
      </c>
      <c r="D155" s="5">
        <v>147</v>
      </c>
      <c r="E155" s="5" t="s">
        <v>149</v>
      </c>
      <c r="F155" s="98"/>
      <c r="G155" s="98"/>
      <c r="H155" s="98"/>
      <c r="I155" s="98"/>
      <c r="J155" s="98"/>
      <c r="K155" s="98"/>
      <c r="L155" s="98"/>
      <c r="M155" s="98"/>
      <c r="N155" s="98"/>
      <c r="O155" s="98"/>
      <c r="P155" s="98"/>
      <c r="Q155" s="98"/>
      <c r="R155" s="98"/>
      <c r="S155" s="98"/>
      <c r="T155" s="99">
        <f t="shared" si="10"/>
        <v>0</v>
      </c>
      <c r="U155" s="100"/>
      <c r="V155" s="1"/>
      <c r="W155" s="1"/>
      <c r="X155" s="1"/>
      <c r="Y155" s="1"/>
      <c r="Z155" s="1"/>
    </row>
    <row r="156" spans="1:26" ht="39.75" customHeight="1">
      <c r="A156" s="171"/>
      <c r="B156" s="5" t="s">
        <v>283</v>
      </c>
      <c r="C156" s="5" t="s">
        <v>284</v>
      </c>
      <c r="D156" s="5">
        <v>148</v>
      </c>
      <c r="E156" s="5" t="s">
        <v>285</v>
      </c>
      <c r="F156" s="98"/>
      <c r="G156" s="98"/>
      <c r="H156" s="98"/>
      <c r="I156" s="98"/>
      <c r="J156" s="98"/>
      <c r="K156" s="98"/>
      <c r="L156" s="98"/>
      <c r="M156" s="98"/>
      <c r="N156" s="99"/>
      <c r="O156" s="98"/>
      <c r="P156" s="99"/>
      <c r="Q156" s="98"/>
      <c r="R156" s="98"/>
      <c r="S156" s="98"/>
      <c r="T156" s="99">
        <f t="shared" si="10"/>
        <v>0</v>
      </c>
      <c r="U156" s="101"/>
      <c r="V156" s="1"/>
      <c r="W156" s="1"/>
      <c r="X156" s="1"/>
      <c r="Y156" s="1"/>
      <c r="Z156" s="1"/>
    </row>
    <row r="157" spans="1:26" ht="39.75" customHeight="1">
      <c r="A157" s="171"/>
      <c r="B157" s="5" t="s">
        <v>286</v>
      </c>
      <c r="C157" s="5" t="s">
        <v>287</v>
      </c>
      <c r="D157" s="5">
        <v>149</v>
      </c>
      <c r="E157" s="5" t="s">
        <v>288</v>
      </c>
      <c r="F157" s="106"/>
      <c r="G157" s="106"/>
      <c r="H157" s="106"/>
      <c r="I157" s="106"/>
      <c r="J157" s="106"/>
      <c r="K157" s="106"/>
      <c r="L157" s="106"/>
      <c r="M157" s="106"/>
      <c r="N157" s="106"/>
      <c r="O157" s="106"/>
      <c r="P157" s="99">
        <f>(14*1.75)+(0.05*127)</f>
        <v>30.85</v>
      </c>
      <c r="Q157" s="106"/>
      <c r="R157" s="106"/>
      <c r="S157" s="106"/>
      <c r="T157" s="99">
        <f t="shared" si="10"/>
        <v>30.85</v>
      </c>
      <c r="U157" s="101"/>
      <c r="V157" s="1"/>
      <c r="W157" s="1"/>
      <c r="X157" s="1"/>
      <c r="Y157" s="1"/>
      <c r="Z157" s="1"/>
    </row>
    <row r="158" spans="1:26" ht="39.75" customHeight="1">
      <c r="A158" s="169"/>
      <c r="B158" s="176" t="s">
        <v>289</v>
      </c>
      <c r="C158" s="177"/>
      <c r="D158" s="178"/>
      <c r="E158" s="51"/>
      <c r="F158" s="51">
        <f t="shared" ref="F158:S158" si="11">SUM(F135:F157)</f>
        <v>0</v>
      </c>
      <c r="G158" s="51">
        <f t="shared" si="11"/>
        <v>0</v>
      </c>
      <c r="H158" s="51">
        <f t="shared" si="11"/>
        <v>0</v>
      </c>
      <c r="I158" s="51">
        <f t="shared" si="11"/>
        <v>0</v>
      </c>
      <c r="J158" s="51">
        <f t="shared" si="11"/>
        <v>0</v>
      </c>
      <c r="K158" s="51">
        <f t="shared" si="11"/>
        <v>0</v>
      </c>
      <c r="L158" s="51">
        <f t="shared" si="11"/>
        <v>0</v>
      </c>
      <c r="M158" s="51">
        <f t="shared" si="11"/>
        <v>0</v>
      </c>
      <c r="N158" s="51">
        <f t="shared" si="11"/>
        <v>1.27</v>
      </c>
      <c r="O158" s="51">
        <f t="shared" si="11"/>
        <v>0</v>
      </c>
      <c r="P158" s="51">
        <f t="shared" si="11"/>
        <v>73.325000000000003</v>
      </c>
      <c r="Q158" s="51">
        <f t="shared" si="11"/>
        <v>11.9</v>
      </c>
      <c r="R158" s="52">
        <f t="shared" si="11"/>
        <v>483.21999999999997</v>
      </c>
      <c r="S158" s="51">
        <f t="shared" si="11"/>
        <v>0</v>
      </c>
      <c r="T158" s="52">
        <f t="shared" si="9"/>
        <v>569.71499999999992</v>
      </c>
      <c r="U158" s="9"/>
      <c r="V158" s="29"/>
      <c r="W158" s="29"/>
      <c r="X158" s="29"/>
      <c r="Y158" s="29"/>
      <c r="Z158" s="29"/>
    </row>
    <row r="159" spans="1:26" ht="39.75" customHeight="1">
      <c r="A159" s="175" t="s">
        <v>290</v>
      </c>
      <c r="B159" s="168" t="s">
        <v>291</v>
      </c>
      <c r="C159" s="168" t="s">
        <v>247</v>
      </c>
      <c r="D159" s="5">
        <v>150</v>
      </c>
      <c r="E159" s="5" t="s">
        <v>292</v>
      </c>
      <c r="F159" s="5"/>
      <c r="G159" s="8">
        <v>493.5</v>
      </c>
      <c r="H159" s="8">
        <v>658</v>
      </c>
      <c r="I159" s="5"/>
      <c r="J159" s="5"/>
      <c r="K159" s="5"/>
      <c r="L159" s="5"/>
      <c r="M159" s="5"/>
      <c r="N159" s="6">
        <v>2.5</v>
      </c>
      <c r="O159" s="5"/>
      <c r="P159" s="8"/>
      <c r="Q159" s="5"/>
      <c r="R159" s="5"/>
      <c r="S159" s="5"/>
      <c r="T159" s="6">
        <f t="shared" si="9"/>
        <v>1154</v>
      </c>
      <c r="U159" s="62" t="s">
        <v>376</v>
      </c>
      <c r="V159" s="1"/>
      <c r="W159" s="1"/>
      <c r="X159" s="1"/>
      <c r="Y159" s="1"/>
      <c r="Z159" s="1"/>
    </row>
    <row r="160" spans="1:26" ht="39.75" customHeight="1">
      <c r="A160" s="171"/>
      <c r="B160" s="171"/>
      <c r="C160" s="171"/>
      <c r="D160" s="5">
        <v>151</v>
      </c>
      <c r="E160" s="5" t="s">
        <v>294</v>
      </c>
      <c r="F160" s="5"/>
      <c r="G160" s="8"/>
      <c r="H160" s="8"/>
      <c r="I160" s="6"/>
      <c r="J160" s="5"/>
      <c r="K160" s="5"/>
      <c r="L160" s="5"/>
      <c r="M160" s="5"/>
      <c r="N160" s="6"/>
      <c r="O160" s="8"/>
      <c r="P160" s="8"/>
      <c r="Q160" s="6"/>
      <c r="R160" s="8">
        <v>6</v>
      </c>
      <c r="S160" s="5"/>
      <c r="T160" s="6">
        <f t="shared" si="9"/>
        <v>6</v>
      </c>
      <c r="U160" s="9" t="s">
        <v>640</v>
      </c>
      <c r="V160" s="1"/>
      <c r="W160" s="1"/>
      <c r="X160" s="1"/>
      <c r="Y160" s="1"/>
      <c r="Z160" s="1"/>
    </row>
    <row r="161" spans="1:26" ht="39.75" customHeight="1">
      <c r="A161" s="171"/>
      <c r="B161" s="171"/>
      <c r="C161" s="171"/>
      <c r="D161" s="5">
        <v>152</v>
      </c>
      <c r="E161" s="5" t="s">
        <v>295</v>
      </c>
      <c r="F161" s="5"/>
      <c r="G161" s="5"/>
      <c r="H161" s="5"/>
      <c r="I161" s="5"/>
      <c r="J161" s="5"/>
      <c r="K161" s="5"/>
      <c r="L161" s="5"/>
      <c r="M161" s="5"/>
      <c r="N161" s="5"/>
      <c r="O161" s="5"/>
      <c r="P161" s="8">
        <v>15</v>
      </c>
      <c r="Q161" s="5"/>
      <c r="R161" s="5"/>
      <c r="S161" s="5"/>
      <c r="T161" s="6">
        <f t="shared" si="9"/>
        <v>15</v>
      </c>
      <c r="U161" s="9" t="s">
        <v>296</v>
      </c>
      <c r="V161" s="1"/>
      <c r="W161" s="1"/>
      <c r="X161" s="1"/>
      <c r="Y161" s="1"/>
      <c r="Z161" s="1"/>
    </row>
    <row r="162" spans="1:26" ht="39.75" customHeight="1">
      <c r="A162" s="171"/>
      <c r="B162" s="179"/>
      <c r="C162" s="179"/>
      <c r="D162" s="5">
        <v>153</v>
      </c>
      <c r="E162" s="5" t="s">
        <v>297</v>
      </c>
      <c r="F162" s="24"/>
      <c r="G162" s="24"/>
      <c r="H162" s="24"/>
      <c r="I162" s="24"/>
      <c r="J162" s="24"/>
      <c r="K162" s="24"/>
      <c r="L162" s="24"/>
      <c r="M162" s="24"/>
      <c r="N162" s="6"/>
      <c r="O162" s="24"/>
      <c r="P162" s="24"/>
      <c r="Q162" s="24"/>
      <c r="R162" s="24"/>
      <c r="S162" s="24"/>
      <c r="T162" s="6">
        <f t="shared" si="9"/>
        <v>0</v>
      </c>
      <c r="U162" s="9" t="s">
        <v>298</v>
      </c>
      <c r="V162" s="1"/>
      <c r="W162" s="1"/>
      <c r="X162" s="1"/>
      <c r="Y162" s="1"/>
      <c r="Z162" s="1"/>
    </row>
    <row r="163" spans="1:26" ht="39.75" customHeight="1">
      <c r="A163" s="171"/>
      <c r="B163" s="168" t="s">
        <v>299</v>
      </c>
      <c r="C163" s="168" t="s">
        <v>300</v>
      </c>
      <c r="D163" s="5">
        <v>154</v>
      </c>
      <c r="E163" s="5" t="s">
        <v>301</v>
      </c>
      <c r="F163" s="5"/>
      <c r="G163" s="5"/>
      <c r="H163" s="5"/>
      <c r="I163" s="5"/>
      <c r="J163" s="5"/>
      <c r="K163" s="6"/>
      <c r="L163" s="5"/>
      <c r="M163" s="6"/>
      <c r="N163" s="5"/>
      <c r="O163" s="5"/>
      <c r="P163" s="5"/>
      <c r="Q163" s="8"/>
      <c r="R163" s="5"/>
      <c r="S163" s="5"/>
      <c r="T163" s="6">
        <f t="shared" si="9"/>
        <v>0</v>
      </c>
      <c r="U163" s="9"/>
      <c r="V163" s="1"/>
      <c r="W163" s="1"/>
      <c r="X163" s="1"/>
      <c r="Y163" s="1"/>
      <c r="Z163" s="1"/>
    </row>
    <row r="164" spans="1:26" ht="39.75" customHeight="1">
      <c r="A164" s="171"/>
      <c r="B164" s="171"/>
      <c r="C164" s="171"/>
      <c r="D164" s="5">
        <v>155</v>
      </c>
      <c r="E164" s="5" t="s">
        <v>302</v>
      </c>
      <c r="F164" s="5"/>
      <c r="G164" s="5"/>
      <c r="H164" s="5"/>
      <c r="I164" s="5"/>
      <c r="J164" s="5"/>
      <c r="K164" s="5"/>
      <c r="L164" s="5"/>
      <c r="M164" s="5"/>
      <c r="N164" s="5"/>
      <c r="O164" s="5"/>
      <c r="P164" s="8"/>
      <c r="Q164" s="5"/>
      <c r="R164" s="5"/>
      <c r="S164" s="5"/>
      <c r="T164" s="6">
        <f t="shared" si="9"/>
        <v>0</v>
      </c>
      <c r="U164" s="9"/>
      <c r="V164" s="1"/>
      <c r="W164" s="1"/>
      <c r="X164" s="1"/>
      <c r="Y164" s="1"/>
      <c r="Z164" s="1"/>
    </row>
    <row r="165" spans="1:26" ht="39.75" customHeight="1">
      <c r="A165" s="171"/>
      <c r="B165" s="171"/>
      <c r="C165" s="171"/>
      <c r="D165" s="5">
        <v>156</v>
      </c>
      <c r="E165" s="5" t="s">
        <v>303</v>
      </c>
      <c r="F165" s="5"/>
      <c r="G165" s="5"/>
      <c r="H165" s="8"/>
      <c r="I165" s="6"/>
      <c r="J165" s="5"/>
      <c r="K165" s="5"/>
      <c r="L165" s="5"/>
      <c r="M165" s="5"/>
      <c r="N165" s="5"/>
      <c r="O165" s="5"/>
      <c r="P165" s="8">
        <v>1.6</v>
      </c>
      <c r="Q165" s="5"/>
      <c r="R165" s="5"/>
      <c r="S165" s="5"/>
      <c r="T165" s="6">
        <f t="shared" si="9"/>
        <v>1.6</v>
      </c>
      <c r="U165" s="9"/>
      <c r="V165" s="1"/>
      <c r="W165" s="1"/>
      <c r="X165" s="1"/>
      <c r="Y165" s="1"/>
      <c r="Z165" s="1"/>
    </row>
    <row r="166" spans="1:26" ht="39.75" customHeight="1">
      <c r="A166" s="171"/>
      <c r="B166" s="171"/>
      <c r="C166" s="171"/>
      <c r="D166" s="5">
        <v>157</v>
      </c>
      <c r="E166" s="5" t="s">
        <v>304</v>
      </c>
      <c r="F166" s="5"/>
      <c r="G166" s="5"/>
      <c r="H166" s="5"/>
      <c r="I166" s="5"/>
      <c r="J166" s="5"/>
      <c r="K166" s="5"/>
      <c r="L166" s="5"/>
      <c r="M166" s="5"/>
      <c r="N166" s="5"/>
      <c r="O166" s="5"/>
      <c r="P166" s="5"/>
      <c r="Q166" s="5"/>
      <c r="R166" s="5"/>
      <c r="S166" s="5"/>
      <c r="T166" s="6">
        <f t="shared" si="9"/>
        <v>0</v>
      </c>
      <c r="U166" s="9"/>
      <c r="V166" s="1"/>
      <c r="W166" s="1"/>
      <c r="X166" s="1"/>
      <c r="Y166" s="1"/>
      <c r="Z166" s="1"/>
    </row>
    <row r="167" spans="1:26" ht="39.75" customHeight="1">
      <c r="A167" s="171"/>
      <c r="B167" s="169"/>
      <c r="C167" s="169"/>
      <c r="D167" s="5">
        <v>158</v>
      </c>
      <c r="E167" s="5" t="s">
        <v>305</v>
      </c>
      <c r="F167" s="5"/>
      <c r="G167" s="5"/>
      <c r="H167" s="5"/>
      <c r="I167" s="5"/>
      <c r="J167" s="5"/>
      <c r="K167" s="5"/>
      <c r="L167" s="5"/>
      <c r="M167" s="5"/>
      <c r="N167" s="5"/>
      <c r="O167" s="5"/>
      <c r="P167" s="5"/>
      <c r="Q167" s="6"/>
      <c r="R167" s="5"/>
      <c r="S167" s="5"/>
      <c r="T167" s="6">
        <f t="shared" si="9"/>
        <v>0</v>
      </c>
      <c r="U167" s="9"/>
      <c r="V167" s="1"/>
      <c r="W167" s="1"/>
      <c r="X167" s="1"/>
      <c r="Y167" s="1"/>
      <c r="Z167" s="1"/>
    </row>
    <row r="168" spans="1:26" ht="39.75" customHeight="1">
      <c r="A168" s="171"/>
      <c r="B168" s="168" t="s">
        <v>306</v>
      </c>
      <c r="C168" s="168" t="s">
        <v>252</v>
      </c>
      <c r="D168" s="5">
        <v>159</v>
      </c>
      <c r="E168" s="5" t="s">
        <v>253</v>
      </c>
      <c r="F168" s="5"/>
      <c r="G168" s="5"/>
      <c r="H168" s="5"/>
      <c r="I168" s="5"/>
      <c r="J168" s="5"/>
      <c r="K168" s="6"/>
      <c r="L168" s="5"/>
      <c r="M168" s="5"/>
      <c r="N168" s="8">
        <v>28.54</v>
      </c>
      <c r="O168" s="8">
        <v>543.84</v>
      </c>
      <c r="P168" s="8">
        <v>54.53</v>
      </c>
      <c r="Q168" s="6">
        <v>4.5599999999999996</v>
      </c>
      <c r="R168" s="5"/>
      <c r="S168" s="5"/>
      <c r="T168" s="6">
        <f t="shared" si="9"/>
        <v>631.46999999999991</v>
      </c>
      <c r="U168" s="12" t="s">
        <v>459</v>
      </c>
      <c r="V168" s="1"/>
      <c r="W168" s="1"/>
      <c r="X168" s="1"/>
      <c r="Y168" s="1"/>
      <c r="Z168" s="1"/>
    </row>
    <row r="169" spans="1:26" ht="39.75" customHeight="1">
      <c r="A169" s="171"/>
      <c r="B169" s="171"/>
      <c r="C169" s="171"/>
      <c r="D169" s="5">
        <v>160</v>
      </c>
      <c r="E169" s="5" t="s">
        <v>308</v>
      </c>
      <c r="F169" s="5"/>
      <c r="G169" s="5"/>
      <c r="H169" s="5"/>
      <c r="I169" s="5"/>
      <c r="J169" s="5"/>
      <c r="K169" s="5"/>
      <c r="L169" s="5"/>
      <c r="M169" s="5"/>
      <c r="N169" s="5"/>
      <c r="O169" s="5"/>
      <c r="P169" s="5"/>
      <c r="Q169" s="5"/>
      <c r="R169" s="5"/>
      <c r="S169" s="5"/>
      <c r="T169" s="6">
        <f t="shared" si="9"/>
        <v>0</v>
      </c>
      <c r="U169" s="9"/>
      <c r="V169" s="1"/>
      <c r="W169" s="1"/>
      <c r="X169" s="1"/>
      <c r="Y169" s="1"/>
      <c r="Z169" s="1"/>
    </row>
    <row r="170" spans="1:26" ht="39.75" customHeight="1">
      <c r="A170" s="171"/>
      <c r="B170" s="171"/>
      <c r="C170" s="171"/>
      <c r="D170" s="5">
        <v>161</v>
      </c>
      <c r="E170" s="5" t="s">
        <v>255</v>
      </c>
      <c r="F170" s="5"/>
      <c r="G170" s="5"/>
      <c r="H170" s="5"/>
      <c r="I170" s="5"/>
      <c r="J170" s="5"/>
      <c r="K170" s="5"/>
      <c r="L170" s="5"/>
      <c r="M170" s="5"/>
      <c r="N170" s="5"/>
      <c r="O170" s="5"/>
      <c r="P170" s="5"/>
      <c r="Q170" s="5"/>
      <c r="R170" s="5"/>
      <c r="S170" s="5"/>
      <c r="T170" s="6">
        <f t="shared" si="9"/>
        <v>0</v>
      </c>
      <c r="U170" s="9"/>
      <c r="V170" s="1"/>
      <c r="W170" s="1"/>
      <c r="X170" s="1"/>
      <c r="Y170" s="1"/>
      <c r="Z170" s="1"/>
    </row>
    <row r="171" spans="1:26" ht="39.75" customHeight="1">
      <c r="A171" s="171"/>
      <c r="B171" s="171"/>
      <c r="C171" s="171"/>
      <c r="D171" s="5">
        <v>162</v>
      </c>
      <c r="E171" s="5" t="s">
        <v>256</v>
      </c>
      <c r="F171" s="5"/>
      <c r="G171" s="5"/>
      <c r="H171" s="5"/>
      <c r="I171" s="5"/>
      <c r="J171" s="5"/>
      <c r="K171" s="5"/>
      <c r="L171" s="5"/>
      <c r="M171" s="5"/>
      <c r="N171" s="5"/>
      <c r="O171" s="5"/>
      <c r="P171" s="5"/>
      <c r="Q171" s="5"/>
      <c r="R171" s="5"/>
      <c r="S171" s="5"/>
      <c r="T171" s="6">
        <f t="shared" si="9"/>
        <v>0</v>
      </c>
      <c r="U171" s="9"/>
      <c r="V171" s="1"/>
      <c r="W171" s="1"/>
      <c r="X171" s="1"/>
      <c r="Y171" s="1"/>
      <c r="Z171" s="1"/>
    </row>
    <row r="172" spans="1:26" ht="39.75" customHeight="1">
      <c r="A172" s="171"/>
      <c r="B172" s="169"/>
      <c r="C172" s="169"/>
      <c r="D172" s="5">
        <v>163</v>
      </c>
      <c r="E172" s="5" t="s">
        <v>309</v>
      </c>
      <c r="F172" s="5"/>
      <c r="G172" s="5"/>
      <c r="H172" s="5"/>
      <c r="I172" s="5"/>
      <c r="J172" s="5"/>
      <c r="K172" s="5"/>
      <c r="L172" s="5"/>
      <c r="M172" s="5"/>
      <c r="N172" s="5"/>
      <c r="O172" s="8"/>
      <c r="P172" s="8">
        <v>2.1</v>
      </c>
      <c r="Q172" s="6">
        <v>3.5</v>
      </c>
      <c r="R172" s="5"/>
      <c r="S172" s="5"/>
      <c r="T172" s="6">
        <f t="shared" si="9"/>
        <v>5.6</v>
      </c>
      <c r="U172" s="9" t="s">
        <v>310</v>
      </c>
      <c r="V172" s="1"/>
      <c r="W172" s="1"/>
      <c r="X172" s="1"/>
      <c r="Y172" s="1"/>
      <c r="Z172" s="1"/>
    </row>
    <row r="173" spans="1:26" ht="39.75" customHeight="1">
      <c r="A173" s="171"/>
      <c r="B173" s="168" t="s">
        <v>311</v>
      </c>
      <c r="C173" s="168" t="s">
        <v>312</v>
      </c>
      <c r="D173" s="5">
        <v>164</v>
      </c>
      <c r="E173" s="5" t="s">
        <v>313</v>
      </c>
      <c r="F173" s="5"/>
      <c r="G173" s="8"/>
      <c r="H173" s="8"/>
      <c r="I173" s="5"/>
      <c r="J173" s="5"/>
      <c r="K173" s="5"/>
      <c r="L173" s="5"/>
      <c r="M173" s="5"/>
      <c r="N173" s="5"/>
      <c r="O173" s="5"/>
      <c r="P173" s="5"/>
      <c r="Q173" s="5"/>
      <c r="R173" s="5"/>
      <c r="S173" s="5"/>
      <c r="T173" s="6">
        <f t="shared" si="9"/>
        <v>0</v>
      </c>
      <c r="U173" s="9"/>
      <c r="V173" s="1"/>
      <c r="W173" s="1"/>
      <c r="X173" s="1"/>
      <c r="Y173" s="1"/>
      <c r="Z173" s="1"/>
    </row>
    <row r="174" spans="1:26" ht="39.75" customHeight="1">
      <c r="A174" s="171"/>
      <c r="B174" s="171"/>
      <c r="C174" s="171"/>
      <c r="D174" s="5">
        <v>165</v>
      </c>
      <c r="E174" s="5" t="s">
        <v>314</v>
      </c>
      <c r="F174" s="5"/>
      <c r="G174" s="8"/>
      <c r="H174" s="8"/>
      <c r="I174" s="5"/>
      <c r="J174" s="5"/>
      <c r="K174" s="5"/>
      <c r="L174" s="5"/>
      <c r="M174" s="5"/>
      <c r="N174" s="5"/>
      <c r="O174" s="5"/>
      <c r="P174" s="5"/>
      <c r="Q174" s="5"/>
      <c r="R174" s="5"/>
      <c r="S174" s="5"/>
      <c r="T174" s="6">
        <f t="shared" si="9"/>
        <v>0</v>
      </c>
      <c r="U174" s="9"/>
      <c r="V174" s="1"/>
      <c r="W174" s="1"/>
      <c r="X174" s="1"/>
      <c r="Y174" s="1"/>
      <c r="Z174" s="1"/>
    </row>
    <row r="175" spans="1:26" ht="39.75" customHeight="1">
      <c r="A175" s="171"/>
      <c r="B175" s="171"/>
      <c r="C175" s="171"/>
      <c r="D175" s="5">
        <v>166</v>
      </c>
      <c r="E175" s="5" t="s">
        <v>315</v>
      </c>
      <c r="F175" s="5"/>
      <c r="G175" s="8"/>
      <c r="H175" s="8"/>
      <c r="I175" s="5"/>
      <c r="J175" s="5"/>
      <c r="K175" s="5"/>
      <c r="L175" s="5"/>
      <c r="M175" s="5"/>
      <c r="N175" s="5"/>
      <c r="O175" s="5"/>
      <c r="P175" s="5"/>
      <c r="Q175" s="5"/>
      <c r="R175" s="5"/>
      <c r="S175" s="5"/>
      <c r="T175" s="6">
        <f t="shared" si="9"/>
        <v>0</v>
      </c>
      <c r="U175" s="9"/>
      <c r="V175" s="1"/>
      <c r="W175" s="1"/>
      <c r="X175" s="1"/>
      <c r="Y175" s="1"/>
      <c r="Z175" s="1"/>
    </row>
    <row r="176" spans="1:26" ht="39.75" customHeight="1">
      <c r="A176" s="171"/>
      <c r="B176" s="171"/>
      <c r="C176" s="171"/>
      <c r="D176" s="5">
        <v>167</v>
      </c>
      <c r="E176" s="5" t="s">
        <v>316</v>
      </c>
      <c r="F176" s="5"/>
      <c r="G176" s="8"/>
      <c r="H176" s="8"/>
      <c r="I176" s="5"/>
      <c r="J176" s="5"/>
      <c r="K176" s="5"/>
      <c r="L176" s="5"/>
      <c r="M176" s="5"/>
      <c r="N176" s="5"/>
      <c r="O176" s="5"/>
      <c r="P176" s="5"/>
      <c r="Q176" s="5"/>
      <c r="R176" s="5"/>
      <c r="S176" s="5"/>
      <c r="T176" s="6">
        <f t="shared" si="9"/>
        <v>0</v>
      </c>
      <c r="U176" s="9"/>
      <c r="V176" s="1"/>
      <c r="W176" s="1"/>
      <c r="X176" s="1"/>
      <c r="Y176" s="1"/>
      <c r="Z176" s="1"/>
    </row>
    <row r="177" spans="1:26" ht="39.75" customHeight="1">
      <c r="A177" s="171"/>
      <c r="B177" s="171"/>
      <c r="C177" s="171"/>
      <c r="D177" s="5">
        <v>168</v>
      </c>
      <c r="E177" s="5" t="s">
        <v>317</v>
      </c>
      <c r="F177" s="5"/>
      <c r="G177" s="8"/>
      <c r="H177" s="8"/>
      <c r="I177" s="5"/>
      <c r="J177" s="5"/>
      <c r="K177" s="5"/>
      <c r="L177" s="5"/>
      <c r="M177" s="5"/>
      <c r="N177" s="5"/>
      <c r="O177" s="5"/>
      <c r="P177" s="5"/>
      <c r="Q177" s="5"/>
      <c r="R177" s="5"/>
      <c r="S177" s="5"/>
      <c r="T177" s="6">
        <f t="shared" si="9"/>
        <v>0</v>
      </c>
      <c r="U177" s="9"/>
      <c r="V177" s="1"/>
      <c r="W177" s="1"/>
      <c r="X177" s="1"/>
      <c r="Y177" s="1"/>
      <c r="Z177" s="1"/>
    </row>
    <row r="178" spans="1:26" ht="39.75" customHeight="1">
      <c r="A178" s="171"/>
      <c r="B178" s="171"/>
      <c r="C178" s="171"/>
      <c r="D178" s="5">
        <v>169</v>
      </c>
      <c r="E178" s="5" t="s">
        <v>318</v>
      </c>
      <c r="F178" s="5"/>
      <c r="G178" s="8"/>
      <c r="H178" s="8"/>
      <c r="I178" s="6"/>
      <c r="J178" s="5"/>
      <c r="K178" s="5"/>
      <c r="L178" s="5"/>
      <c r="M178" s="5"/>
      <c r="N178" s="5"/>
      <c r="O178" s="5"/>
      <c r="P178" s="5"/>
      <c r="Q178" s="5"/>
      <c r="R178" s="5"/>
      <c r="S178" s="5"/>
      <c r="T178" s="6">
        <f t="shared" si="9"/>
        <v>0</v>
      </c>
      <c r="U178" s="9"/>
      <c r="V178" s="1"/>
      <c r="W178" s="1"/>
      <c r="X178" s="1"/>
      <c r="Y178" s="1"/>
      <c r="Z178" s="1"/>
    </row>
    <row r="179" spans="1:26" ht="39.75" customHeight="1">
      <c r="A179" s="171"/>
      <c r="B179" s="169"/>
      <c r="C179" s="169"/>
      <c r="D179" s="5">
        <v>170</v>
      </c>
      <c r="E179" s="5" t="s">
        <v>319</v>
      </c>
      <c r="F179" s="5"/>
      <c r="G179" s="5"/>
      <c r="H179" s="5"/>
      <c r="I179" s="5"/>
      <c r="J179" s="5"/>
      <c r="K179" s="5"/>
      <c r="L179" s="5"/>
      <c r="M179" s="5"/>
      <c r="N179" s="5"/>
      <c r="O179" s="5"/>
      <c r="P179" s="5"/>
      <c r="Q179" s="5"/>
      <c r="R179" s="5"/>
      <c r="S179" s="5"/>
      <c r="T179" s="6">
        <f t="shared" si="9"/>
        <v>0</v>
      </c>
      <c r="U179" s="9"/>
      <c r="V179" s="1"/>
      <c r="W179" s="1"/>
      <c r="X179" s="1"/>
      <c r="Y179" s="1"/>
      <c r="Z179" s="1"/>
    </row>
    <row r="180" spans="1:26" ht="39.75" customHeight="1">
      <c r="A180" s="171"/>
      <c r="B180" s="168" t="s">
        <v>320</v>
      </c>
      <c r="C180" s="168" t="s">
        <v>321</v>
      </c>
      <c r="D180" s="5">
        <v>171</v>
      </c>
      <c r="E180" s="5" t="s">
        <v>322</v>
      </c>
      <c r="F180" s="5"/>
      <c r="G180" s="5"/>
      <c r="H180" s="5"/>
      <c r="I180" s="5"/>
      <c r="J180" s="5"/>
      <c r="K180" s="5"/>
      <c r="L180" s="5"/>
      <c r="M180" s="5"/>
      <c r="N180" s="5"/>
      <c r="O180" s="5"/>
      <c r="P180" s="5"/>
      <c r="Q180" s="5"/>
      <c r="R180" s="5"/>
      <c r="S180" s="5"/>
      <c r="T180" s="6">
        <f t="shared" si="9"/>
        <v>0</v>
      </c>
      <c r="U180" s="9"/>
      <c r="V180" s="1"/>
      <c r="W180" s="1"/>
      <c r="X180" s="1"/>
      <c r="Y180" s="1"/>
      <c r="Z180" s="1"/>
    </row>
    <row r="181" spans="1:26" ht="39.75" customHeight="1">
      <c r="A181" s="171"/>
      <c r="B181" s="171"/>
      <c r="C181" s="171"/>
      <c r="D181" s="5">
        <v>172</v>
      </c>
      <c r="E181" s="5" t="s">
        <v>323</v>
      </c>
      <c r="F181" s="5"/>
      <c r="G181" s="5"/>
      <c r="H181" s="5"/>
      <c r="I181" s="5"/>
      <c r="J181" s="5"/>
      <c r="K181" s="5"/>
      <c r="L181" s="5"/>
      <c r="M181" s="5"/>
      <c r="N181" s="5"/>
      <c r="O181" s="5"/>
      <c r="P181" s="6"/>
      <c r="Q181" s="5"/>
      <c r="R181" s="5"/>
      <c r="S181" s="5"/>
      <c r="T181" s="6">
        <f t="shared" si="9"/>
        <v>0</v>
      </c>
      <c r="U181" s="9"/>
      <c r="V181" s="1"/>
      <c r="W181" s="1"/>
      <c r="X181" s="1"/>
      <c r="Y181" s="1"/>
      <c r="Z181" s="1"/>
    </row>
    <row r="182" spans="1:26" ht="39.75" customHeight="1">
      <c r="A182" s="171"/>
      <c r="B182" s="171"/>
      <c r="C182" s="171"/>
      <c r="D182" s="5">
        <v>173</v>
      </c>
      <c r="E182" s="5" t="s">
        <v>324</v>
      </c>
      <c r="F182" s="5"/>
      <c r="G182" s="5"/>
      <c r="H182" s="5"/>
      <c r="I182" s="5"/>
      <c r="J182" s="5"/>
      <c r="K182" s="5"/>
      <c r="L182" s="5"/>
      <c r="M182" s="5"/>
      <c r="N182" s="5"/>
      <c r="O182" s="5"/>
      <c r="P182" s="5"/>
      <c r="Q182" s="5"/>
      <c r="R182" s="5"/>
      <c r="S182" s="5"/>
      <c r="T182" s="6">
        <f t="shared" si="9"/>
        <v>0</v>
      </c>
      <c r="U182" s="9"/>
      <c r="V182" s="1"/>
      <c r="W182" s="1"/>
      <c r="X182" s="1"/>
      <c r="Y182" s="1"/>
      <c r="Z182" s="1"/>
    </row>
    <row r="183" spans="1:26" ht="39.75" customHeight="1">
      <c r="A183" s="171"/>
      <c r="B183" s="169"/>
      <c r="C183" s="169"/>
      <c r="D183" s="5">
        <v>174</v>
      </c>
      <c r="E183" s="5" t="s">
        <v>325</v>
      </c>
      <c r="F183" s="5"/>
      <c r="G183" s="5"/>
      <c r="H183" s="5"/>
      <c r="I183" s="5"/>
      <c r="J183" s="5"/>
      <c r="K183" s="5"/>
      <c r="L183" s="5"/>
      <c r="M183" s="5"/>
      <c r="N183" s="5"/>
      <c r="O183" s="5"/>
      <c r="P183" s="6"/>
      <c r="Q183" s="5"/>
      <c r="R183" s="5"/>
      <c r="S183" s="5"/>
      <c r="T183" s="6">
        <f t="shared" si="9"/>
        <v>0</v>
      </c>
      <c r="U183" s="9"/>
      <c r="V183" s="1"/>
      <c r="W183" s="1"/>
      <c r="X183" s="1"/>
      <c r="Y183" s="1"/>
      <c r="Z183" s="1"/>
    </row>
    <row r="184" spans="1:26" ht="39.75" customHeight="1">
      <c r="A184" s="171"/>
      <c r="B184" s="168" t="s">
        <v>326</v>
      </c>
      <c r="C184" s="168" t="s">
        <v>267</v>
      </c>
      <c r="D184" s="5">
        <v>175</v>
      </c>
      <c r="E184" s="5" t="s">
        <v>268</v>
      </c>
      <c r="F184" s="141"/>
      <c r="G184" s="141"/>
      <c r="H184" s="141"/>
      <c r="I184" s="142">
        <v>10</v>
      </c>
      <c r="J184" s="141"/>
      <c r="K184" s="141"/>
      <c r="L184" s="141"/>
      <c r="M184" s="141"/>
      <c r="N184" s="143">
        <f>8.39+1.5</f>
        <v>9.89</v>
      </c>
      <c r="O184" s="141"/>
      <c r="P184" s="142">
        <v>4</v>
      </c>
      <c r="Q184" s="144">
        <v>4.2857000000000003</v>
      </c>
      <c r="R184" s="142">
        <f>0.504+0.252</f>
        <v>0.75600000000000001</v>
      </c>
      <c r="S184" s="142"/>
      <c r="T184" s="143">
        <f t="shared" ref="T184:T186" si="12">SUM(F184:S184)</f>
        <v>28.931699999999999</v>
      </c>
      <c r="U184" s="145" t="s">
        <v>858</v>
      </c>
      <c r="V184" s="1"/>
      <c r="W184" s="1"/>
      <c r="X184" s="1"/>
      <c r="Y184" s="1"/>
      <c r="Z184" s="1"/>
    </row>
    <row r="185" spans="1:26" ht="39.75" customHeight="1">
      <c r="A185" s="171"/>
      <c r="B185" s="171"/>
      <c r="C185" s="171"/>
      <c r="D185" s="5">
        <v>176</v>
      </c>
      <c r="E185" s="5" t="s">
        <v>269</v>
      </c>
      <c r="F185" s="141"/>
      <c r="G185" s="141"/>
      <c r="H185" s="141"/>
      <c r="I185" s="141"/>
      <c r="J185" s="141"/>
      <c r="K185" s="141"/>
      <c r="L185" s="141"/>
      <c r="M185" s="142">
        <v>29.2</v>
      </c>
      <c r="N185" s="141"/>
      <c r="O185" s="141"/>
      <c r="P185" s="142">
        <v>51.01</v>
      </c>
      <c r="Q185" s="142">
        <v>5.52</v>
      </c>
      <c r="R185" s="141"/>
      <c r="S185" s="141"/>
      <c r="T185" s="143">
        <f t="shared" si="12"/>
        <v>85.72999999999999</v>
      </c>
      <c r="U185" s="145" t="s">
        <v>859</v>
      </c>
      <c r="V185" s="1"/>
      <c r="W185" s="1"/>
      <c r="X185" s="1"/>
      <c r="Y185" s="1"/>
      <c r="Z185" s="1"/>
    </row>
    <row r="186" spans="1:26" ht="39.75" customHeight="1">
      <c r="A186" s="171"/>
      <c r="B186" s="169"/>
      <c r="C186" s="169"/>
      <c r="D186" s="5">
        <v>177</v>
      </c>
      <c r="E186" s="5" t="s">
        <v>270</v>
      </c>
      <c r="F186" s="141"/>
      <c r="G186" s="141"/>
      <c r="H186" s="141"/>
      <c r="I186" s="141"/>
      <c r="J186" s="141"/>
      <c r="K186" s="141"/>
      <c r="L186" s="141"/>
      <c r="M186" s="141"/>
      <c r="N186" s="143">
        <v>1</v>
      </c>
      <c r="O186" s="141"/>
      <c r="P186" s="141"/>
      <c r="Q186" s="141"/>
      <c r="R186" s="141"/>
      <c r="S186" s="141"/>
      <c r="T186" s="143">
        <f t="shared" si="12"/>
        <v>1</v>
      </c>
      <c r="U186" s="145" t="s">
        <v>839</v>
      </c>
      <c r="V186" s="1"/>
      <c r="W186" s="1"/>
      <c r="X186" s="1"/>
      <c r="Y186" s="1"/>
      <c r="Z186" s="1"/>
    </row>
    <row r="187" spans="1:26" ht="39.75" customHeight="1">
      <c r="A187" s="171"/>
      <c r="B187" s="168" t="s">
        <v>327</v>
      </c>
      <c r="C187" s="168" t="s">
        <v>328</v>
      </c>
      <c r="D187" s="5">
        <v>178</v>
      </c>
      <c r="E187" s="5" t="s">
        <v>329</v>
      </c>
      <c r="F187" s="5"/>
      <c r="G187" s="5"/>
      <c r="H187" s="5"/>
      <c r="I187" s="5"/>
      <c r="J187" s="5"/>
      <c r="K187" s="5"/>
      <c r="L187" s="5"/>
      <c r="M187" s="5"/>
      <c r="N187" s="5"/>
      <c r="O187" s="5"/>
      <c r="P187" s="5"/>
      <c r="Q187" s="5"/>
      <c r="R187" s="5"/>
      <c r="S187" s="5"/>
      <c r="T187" s="6">
        <f t="shared" si="9"/>
        <v>0</v>
      </c>
      <c r="U187" s="9"/>
      <c r="V187" s="1"/>
      <c r="W187" s="1"/>
      <c r="X187" s="1"/>
      <c r="Y187" s="1"/>
      <c r="Z187" s="1"/>
    </row>
    <row r="188" spans="1:26" ht="39.75" customHeight="1">
      <c r="A188" s="171"/>
      <c r="B188" s="171"/>
      <c r="C188" s="171"/>
      <c r="D188" s="5">
        <v>179</v>
      </c>
      <c r="E188" s="5" t="s">
        <v>149</v>
      </c>
      <c r="F188" s="5"/>
      <c r="G188" s="5"/>
      <c r="H188" s="5"/>
      <c r="I188" s="5"/>
      <c r="J188" s="5"/>
      <c r="K188" s="5"/>
      <c r="L188" s="5"/>
      <c r="M188" s="5"/>
      <c r="N188" s="5"/>
      <c r="O188" s="5"/>
      <c r="P188" s="5"/>
      <c r="Q188" s="5"/>
      <c r="R188" s="5"/>
      <c r="S188" s="5"/>
      <c r="T188" s="6">
        <f t="shared" si="9"/>
        <v>0</v>
      </c>
      <c r="U188" s="9"/>
      <c r="V188" s="1"/>
      <c r="W188" s="1"/>
      <c r="X188" s="1"/>
      <c r="Y188" s="1"/>
      <c r="Z188" s="1"/>
    </row>
    <row r="189" spans="1:26" ht="39.75" customHeight="1">
      <c r="A189" s="171"/>
      <c r="B189" s="171"/>
      <c r="C189" s="171"/>
      <c r="D189" s="5">
        <v>180</v>
      </c>
      <c r="E189" s="5" t="s">
        <v>330</v>
      </c>
      <c r="F189" s="5"/>
      <c r="G189" s="5"/>
      <c r="H189" s="5"/>
      <c r="I189" s="5"/>
      <c r="J189" s="5"/>
      <c r="K189" s="6"/>
      <c r="L189" s="5"/>
      <c r="M189" s="5"/>
      <c r="N189" s="5"/>
      <c r="O189" s="5"/>
      <c r="P189" s="8"/>
      <c r="Q189" s="5"/>
      <c r="R189" s="5"/>
      <c r="S189" s="5"/>
      <c r="T189" s="6">
        <f t="shared" si="9"/>
        <v>0</v>
      </c>
      <c r="U189" s="9"/>
      <c r="V189" s="1"/>
      <c r="W189" s="1"/>
      <c r="X189" s="1"/>
      <c r="Y189" s="1"/>
      <c r="Z189" s="1"/>
    </row>
    <row r="190" spans="1:26" ht="39.75" customHeight="1">
      <c r="A190" s="171"/>
      <c r="B190" s="171"/>
      <c r="C190" s="171"/>
      <c r="D190" s="5">
        <v>181</v>
      </c>
      <c r="E190" s="5" t="s">
        <v>331</v>
      </c>
      <c r="F190" s="5"/>
      <c r="G190" s="5"/>
      <c r="H190" s="5"/>
      <c r="I190" s="5"/>
      <c r="J190" s="5"/>
      <c r="K190" s="5"/>
      <c r="L190" s="5"/>
      <c r="M190" s="5"/>
      <c r="N190" s="5"/>
      <c r="O190" s="5"/>
      <c r="P190" s="5"/>
      <c r="Q190" s="5"/>
      <c r="R190" s="5"/>
      <c r="S190" s="5"/>
      <c r="T190" s="6">
        <f t="shared" si="9"/>
        <v>0</v>
      </c>
      <c r="U190" s="9"/>
      <c r="V190" s="1"/>
      <c r="W190" s="1"/>
      <c r="X190" s="1"/>
      <c r="Y190" s="1"/>
      <c r="Z190" s="1"/>
    </row>
    <row r="191" spans="1:26" ht="39.75" customHeight="1">
      <c r="A191" s="171"/>
      <c r="B191" s="171"/>
      <c r="C191" s="171"/>
      <c r="D191" s="5">
        <v>182</v>
      </c>
      <c r="E191" s="5" t="s">
        <v>332</v>
      </c>
      <c r="F191" s="5"/>
      <c r="G191" s="5"/>
      <c r="H191" s="5"/>
      <c r="I191" s="5"/>
      <c r="J191" s="5"/>
      <c r="K191" s="5"/>
      <c r="L191" s="5"/>
      <c r="M191" s="5"/>
      <c r="N191" s="5"/>
      <c r="O191" s="5"/>
      <c r="P191" s="6">
        <v>6</v>
      </c>
      <c r="Q191" s="5"/>
      <c r="R191" s="5"/>
      <c r="S191" s="5"/>
      <c r="T191" s="6">
        <f t="shared" si="9"/>
        <v>6</v>
      </c>
      <c r="U191" s="9" t="s">
        <v>378</v>
      </c>
      <c r="V191" s="1"/>
      <c r="W191" s="1"/>
      <c r="X191" s="1"/>
      <c r="Y191" s="1"/>
      <c r="Z191" s="1"/>
    </row>
    <row r="192" spans="1:26" ht="39.75" customHeight="1">
      <c r="A192" s="171"/>
      <c r="B192" s="169"/>
      <c r="C192" s="169"/>
      <c r="D192" s="5">
        <v>183</v>
      </c>
      <c r="E192" s="5" t="s">
        <v>334</v>
      </c>
      <c r="F192" s="5"/>
      <c r="G192" s="5"/>
      <c r="H192" s="5"/>
      <c r="I192" s="5"/>
      <c r="J192" s="5"/>
      <c r="K192" s="5"/>
      <c r="L192" s="5"/>
      <c r="M192" s="5"/>
      <c r="N192" s="5"/>
      <c r="O192" s="5"/>
      <c r="P192" s="8"/>
      <c r="Q192" s="5"/>
      <c r="R192" s="5"/>
      <c r="S192" s="5"/>
      <c r="T192" s="6">
        <f t="shared" si="9"/>
        <v>0</v>
      </c>
      <c r="U192" s="9"/>
      <c r="V192" s="1"/>
      <c r="W192" s="1"/>
      <c r="X192" s="1"/>
      <c r="Y192" s="1"/>
      <c r="Z192" s="1"/>
    </row>
    <row r="193" spans="1:26" ht="39.75" customHeight="1">
      <c r="A193" s="171"/>
      <c r="B193" s="5" t="s">
        <v>335</v>
      </c>
      <c r="C193" s="5" t="s">
        <v>336</v>
      </c>
      <c r="D193" s="5">
        <v>184</v>
      </c>
      <c r="E193" s="5" t="s">
        <v>337</v>
      </c>
      <c r="F193" s="5"/>
      <c r="G193" s="5"/>
      <c r="H193" s="5"/>
      <c r="I193" s="5"/>
      <c r="J193" s="5"/>
      <c r="K193" s="5"/>
      <c r="L193" s="5"/>
      <c r="M193" s="5"/>
      <c r="N193" s="5"/>
      <c r="O193" s="5"/>
      <c r="P193" s="6"/>
      <c r="Q193" s="5"/>
      <c r="R193" s="5"/>
      <c r="S193" s="5"/>
      <c r="T193" s="6">
        <f t="shared" si="9"/>
        <v>0</v>
      </c>
      <c r="U193" s="9"/>
      <c r="V193" s="1"/>
      <c r="W193" s="1"/>
      <c r="X193" s="1"/>
      <c r="Y193" s="1"/>
      <c r="Z193" s="1"/>
    </row>
    <row r="194" spans="1:26" ht="39.75" customHeight="1">
      <c r="A194" s="171"/>
      <c r="B194" s="168" t="s">
        <v>338</v>
      </c>
      <c r="C194" s="168" t="s">
        <v>272</v>
      </c>
      <c r="D194" s="5">
        <v>185</v>
      </c>
      <c r="E194" s="5" t="s">
        <v>273</v>
      </c>
      <c r="F194" s="5"/>
      <c r="G194" s="5"/>
      <c r="H194" s="5"/>
      <c r="I194" s="5"/>
      <c r="J194" s="5"/>
      <c r="K194" s="5"/>
      <c r="L194" s="5"/>
      <c r="M194" s="5"/>
      <c r="N194" s="5"/>
      <c r="O194" s="5"/>
      <c r="P194" s="5"/>
      <c r="Q194" s="5"/>
      <c r="R194" s="5">
        <v>2188.69</v>
      </c>
      <c r="S194" s="5"/>
      <c r="T194" s="6">
        <f t="shared" si="9"/>
        <v>2188.69</v>
      </c>
      <c r="U194" s="9" t="s">
        <v>639</v>
      </c>
      <c r="V194" s="1"/>
      <c r="W194" s="1"/>
      <c r="X194" s="1"/>
      <c r="Y194" s="1"/>
      <c r="Z194" s="1"/>
    </row>
    <row r="195" spans="1:26" ht="39.75" customHeight="1">
      <c r="A195" s="171"/>
      <c r="B195" s="171"/>
      <c r="C195" s="171"/>
      <c r="D195" s="5">
        <v>186</v>
      </c>
      <c r="E195" s="5" t="s">
        <v>274</v>
      </c>
      <c r="F195" s="5"/>
      <c r="G195" s="5"/>
      <c r="H195" s="5"/>
      <c r="I195" s="5"/>
      <c r="J195" s="5"/>
      <c r="K195" s="5"/>
      <c r="L195" s="5"/>
      <c r="M195" s="5"/>
      <c r="N195" s="5"/>
      <c r="O195" s="5"/>
      <c r="P195" s="8">
        <v>0.32</v>
      </c>
      <c r="Q195" s="6"/>
      <c r="R195" s="5"/>
      <c r="S195" s="5"/>
      <c r="T195" s="6">
        <f t="shared" si="9"/>
        <v>0.32</v>
      </c>
      <c r="U195" s="9" t="s">
        <v>638</v>
      </c>
      <c r="V195" s="1"/>
      <c r="W195" s="1"/>
      <c r="X195" s="1"/>
      <c r="Y195" s="1"/>
      <c r="Z195" s="1"/>
    </row>
    <row r="196" spans="1:26" ht="39.75" customHeight="1">
      <c r="A196" s="171"/>
      <c r="B196" s="171"/>
      <c r="C196" s="171"/>
      <c r="D196" s="5">
        <v>187</v>
      </c>
      <c r="E196" s="5" t="s">
        <v>339</v>
      </c>
      <c r="F196" s="5"/>
      <c r="G196" s="5"/>
      <c r="H196" s="5"/>
      <c r="I196" s="5"/>
      <c r="J196" s="5"/>
      <c r="K196" s="5"/>
      <c r="L196" s="5"/>
      <c r="M196" s="5"/>
      <c r="N196" s="5"/>
      <c r="O196" s="5"/>
      <c r="P196" s="5"/>
      <c r="Q196" s="5"/>
      <c r="R196" s="5"/>
      <c r="S196" s="5"/>
      <c r="T196" s="6">
        <f t="shared" si="9"/>
        <v>0</v>
      </c>
      <c r="U196" s="9"/>
      <c r="V196" s="1"/>
      <c r="W196" s="1"/>
      <c r="X196" s="1"/>
      <c r="Y196" s="1"/>
      <c r="Z196" s="1"/>
    </row>
    <row r="197" spans="1:26" ht="39.75" customHeight="1">
      <c r="A197" s="171"/>
      <c r="B197" s="171"/>
      <c r="C197" s="171"/>
      <c r="D197" s="5">
        <v>188</v>
      </c>
      <c r="E197" s="5" t="s">
        <v>275</v>
      </c>
      <c r="F197" s="5"/>
      <c r="G197" s="5"/>
      <c r="H197" s="5"/>
      <c r="I197" s="5"/>
      <c r="J197" s="5"/>
      <c r="K197" s="5"/>
      <c r="L197" s="5"/>
      <c r="M197" s="5"/>
      <c r="N197" s="5"/>
      <c r="O197" s="5"/>
      <c r="P197" s="5"/>
      <c r="Q197" s="5"/>
      <c r="R197" s="5"/>
      <c r="S197" s="5"/>
      <c r="T197" s="6">
        <f t="shared" si="9"/>
        <v>0</v>
      </c>
      <c r="U197" s="9"/>
      <c r="V197" s="1"/>
      <c r="W197" s="1"/>
      <c r="X197" s="1"/>
      <c r="Y197" s="1"/>
      <c r="Z197" s="1"/>
    </row>
    <row r="198" spans="1:26" ht="39.75" customHeight="1">
      <c r="A198" s="171"/>
      <c r="B198" s="171"/>
      <c r="C198" s="171"/>
      <c r="D198" s="5">
        <v>189</v>
      </c>
      <c r="E198" s="5" t="s">
        <v>276</v>
      </c>
      <c r="F198" s="5"/>
      <c r="G198" s="5"/>
      <c r="H198" s="5"/>
      <c r="I198" s="5"/>
      <c r="J198" s="5"/>
      <c r="K198" s="5"/>
      <c r="L198" s="5"/>
      <c r="M198" s="5"/>
      <c r="N198" s="5"/>
      <c r="O198" s="5"/>
      <c r="P198" s="5"/>
      <c r="Q198" s="5"/>
      <c r="R198" s="5"/>
      <c r="S198" s="5"/>
      <c r="T198" s="6">
        <f t="shared" ref="T198:T208" si="13">SUM(F198:S198)</f>
        <v>0</v>
      </c>
      <c r="U198" s="9"/>
      <c r="V198" s="1"/>
      <c r="W198" s="1"/>
      <c r="X198" s="1"/>
      <c r="Y198" s="1"/>
      <c r="Z198" s="1"/>
    </row>
    <row r="199" spans="1:26" ht="39.75" customHeight="1">
      <c r="A199" s="171"/>
      <c r="B199" s="169"/>
      <c r="C199" s="169"/>
      <c r="D199" s="5">
        <v>190</v>
      </c>
      <c r="E199" s="5" t="s">
        <v>340</v>
      </c>
      <c r="F199" s="5"/>
      <c r="G199" s="5"/>
      <c r="H199" s="5"/>
      <c r="I199" s="5"/>
      <c r="J199" s="5"/>
      <c r="K199" s="5"/>
      <c r="L199" s="5"/>
      <c r="M199" s="5"/>
      <c r="N199" s="5"/>
      <c r="O199" s="5"/>
      <c r="P199" s="8"/>
      <c r="Q199" s="5"/>
      <c r="R199" s="5"/>
      <c r="S199" s="5"/>
      <c r="T199" s="6">
        <f t="shared" si="13"/>
        <v>0</v>
      </c>
      <c r="U199" s="9"/>
      <c r="V199" s="1"/>
      <c r="W199" s="1"/>
      <c r="X199" s="1"/>
      <c r="Y199" s="1"/>
      <c r="Z199" s="1"/>
    </row>
    <row r="200" spans="1:26" ht="39.75" customHeight="1">
      <c r="A200" s="171"/>
      <c r="B200" s="168" t="s">
        <v>341</v>
      </c>
      <c r="C200" s="168" t="s">
        <v>342</v>
      </c>
      <c r="D200" s="5">
        <v>191</v>
      </c>
      <c r="E200" s="5" t="s">
        <v>343</v>
      </c>
      <c r="F200" s="5"/>
      <c r="G200" s="5"/>
      <c r="H200" s="5"/>
      <c r="I200" s="5"/>
      <c r="J200" s="5"/>
      <c r="K200" s="5"/>
      <c r="L200" s="5"/>
      <c r="M200" s="5"/>
      <c r="N200" s="6">
        <v>6.69</v>
      </c>
      <c r="O200" s="5"/>
      <c r="P200" s="5"/>
      <c r="Q200" s="5"/>
      <c r="R200" s="5"/>
      <c r="S200" s="5"/>
      <c r="T200" s="6">
        <f t="shared" si="13"/>
        <v>6.69</v>
      </c>
      <c r="U200" s="63" t="s">
        <v>480</v>
      </c>
      <c r="V200" s="30"/>
      <c r="W200" s="1"/>
      <c r="X200" s="1"/>
      <c r="Y200" s="1"/>
      <c r="Z200" s="1"/>
    </row>
    <row r="201" spans="1:26" ht="39.75" customHeight="1">
      <c r="A201" s="171"/>
      <c r="B201" s="169"/>
      <c r="C201" s="169"/>
      <c r="D201" s="5">
        <v>192</v>
      </c>
      <c r="E201" s="5" t="s">
        <v>345</v>
      </c>
      <c r="F201" s="5"/>
      <c r="G201" s="5"/>
      <c r="H201" s="8"/>
      <c r="I201" s="5"/>
      <c r="J201" s="5"/>
      <c r="K201" s="5"/>
      <c r="L201" s="5"/>
      <c r="M201" s="5"/>
      <c r="N201" s="6">
        <v>0.5</v>
      </c>
      <c r="O201" s="5"/>
      <c r="P201" s="6"/>
      <c r="Q201" s="8"/>
      <c r="R201" s="5"/>
      <c r="S201" s="5"/>
      <c r="T201" s="6">
        <f t="shared" si="13"/>
        <v>0.5</v>
      </c>
      <c r="U201" s="61" t="s">
        <v>651</v>
      </c>
      <c r="V201" s="1"/>
      <c r="W201" s="1"/>
      <c r="X201" s="1"/>
      <c r="Y201" s="1"/>
      <c r="Z201" s="1"/>
    </row>
    <row r="202" spans="1:26" ht="39.75" customHeight="1">
      <c r="A202" s="171"/>
      <c r="B202" s="168" t="s">
        <v>346</v>
      </c>
      <c r="C202" s="168" t="s">
        <v>278</v>
      </c>
      <c r="D202" s="5">
        <v>193</v>
      </c>
      <c r="E202" s="5" t="s">
        <v>347</v>
      </c>
      <c r="F202" s="5"/>
      <c r="G202" s="5"/>
      <c r="H202" s="5"/>
      <c r="I202" s="5"/>
      <c r="J202" s="5"/>
      <c r="K202" s="5"/>
      <c r="L202" s="5"/>
      <c r="M202" s="5"/>
      <c r="N202" s="5"/>
      <c r="O202" s="5"/>
      <c r="P202" s="6"/>
      <c r="Q202" s="5"/>
      <c r="R202" s="5"/>
      <c r="S202" s="8"/>
      <c r="T202" s="6">
        <f t="shared" si="13"/>
        <v>0</v>
      </c>
      <c r="U202" s="9"/>
      <c r="V202" s="1"/>
      <c r="W202" s="1"/>
      <c r="X202" s="1"/>
      <c r="Y202" s="1"/>
      <c r="Z202" s="1"/>
    </row>
    <row r="203" spans="1:26" ht="39.75" customHeight="1">
      <c r="A203" s="171"/>
      <c r="B203" s="169"/>
      <c r="C203" s="169"/>
      <c r="D203" s="5">
        <v>194</v>
      </c>
      <c r="E203" s="5" t="s">
        <v>279</v>
      </c>
      <c r="F203" s="5"/>
      <c r="G203" s="5"/>
      <c r="H203" s="5"/>
      <c r="I203" s="5"/>
      <c r="J203" s="5"/>
      <c r="K203" s="5"/>
      <c r="L203" s="5"/>
      <c r="M203" s="5"/>
      <c r="N203" s="6"/>
      <c r="O203" s="5"/>
      <c r="P203" s="5"/>
      <c r="Q203" s="6"/>
      <c r="R203" s="6">
        <v>40.1</v>
      </c>
      <c r="S203" s="5"/>
      <c r="T203" s="6">
        <f t="shared" si="13"/>
        <v>40.1</v>
      </c>
      <c r="U203" s="9" t="s">
        <v>629</v>
      </c>
      <c r="V203" s="1"/>
      <c r="W203" s="1"/>
      <c r="X203" s="1"/>
      <c r="Y203" s="1"/>
      <c r="Z203" s="1"/>
    </row>
    <row r="204" spans="1:26" ht="39.75" customHeight="1">
      <c r="A204" s="171"/>
      <c r="B204" s="168" t="s">
        <v>348</v>
      </c>
      <c r="C204" s="168" t="s">
        <v>349</v>
      </c>
      <c r="D204" s="5">
        <v>195</v>
      </c>
      <c r="E204" s="5" t="s">
        <v>350</v>
      </c>
      <c r="F204" s="5"/>
      <c r="G204" s="5"/>
      <c r="H204" s="5"/>
      <c r="I204" s="5"/>
      <c r="J204" s="5"/>
      <c r="K204" s="5"/>
      <c r="L204" s="5"/>
      <c r="M204" s="5"/>
      <c r="N204" s="5"/>
      <c r="O204" s="5"/>
      <c r="P204" s="6">
        <v>1.75</v>
      </c>
      <c r="Q204" s="8">
        <v>1.25</v>
      </c>
      <c r="R204" s="6">
        <v>2.1</v>
      </c>
      <c r="S204" s="5"/>
      <c r="T204" s="6">
        <f t="shared" si="13"/>
        <v>5.0999999999999996</v>
      </c>
      <c r="U204" s="61" t="s">
        <v>351</v>
      </c>
      <c r="V204" s="1"/>
      <c r="W204" s="1"/>
      <c r="X204" s="1"/>
      <c r="Y204" s="1"/>
      <c r="Z204" s="1"/>
    </row>
    <row r="205" spans="1:26" ht="39.75" customHeight="1">
      <c r="A205" s="171"/>
      <c r="B205" s="171"/>
      <c r="C205" s="171"/>
      <c r="D205" s="5">
        <v>196</v>
      </c>
      <c r="E205" s="5" t="s">
        <v>352</v>
      </c>
      <c r="F205" s="5"/>
      <c r="G205" s="5"/>
      <c r="H205" s="5"/>
      <c r="I205" s="5"/>
      <c r="J205" s="5"/>
      <c r="K205" s="5"/>
      <c r="L205" s="5"/>
      <c r="M205" s="5"/>
      <c r="N205" s="5"/>
      <c r="O205" s="5"/>
      <c r="P205" s="5"/>
      <c r="Q205" s="5"/>
      <c r="R205" s="5"/>
      <c r="S205" s="5"/>
      <c r="T205" s="6">
        <f t="shared" si="13"/>
        <v>0</v>
      </c>
      <c r="U205" s="9"/>
      <c r="V205" s="1"/>
      <c r="W205" s="1"/>
      <c r="X205" s="1"/>
      <c r="Y205" s="1"/>
      <c r="Z205" s="1"/>
    </row>
    <row r="206" spans="1:26" ht="39.75" customHeight="1">
      <c r="A206" s="171"/>
      <c r="B206" s="169"/>
      <c r="C206" s="169"/>
      <c r="D206" s="5">
        <v>197</v>
      </c>
      <c r="E206" s="5" t="s">
        <v>353</v>
      </c>
      <c r="F206" s="5"/>
      <c r="G206" s="5"/>
      <c r="H206" s="5"/>
      <c r="I206" s="5"/>
      <c r="J206" s="5"/>
      <c r="K206" s="5"/>
      <c r="L206" s="5"/>
      <c r="M206" s="5"/>
      <c r="N206" s="5"/>
      <c r="O206" s="5"/>
      <c r="P206" s="6"/>
      <c r="Q206" s="5"/>
      <c r="R206" s="5"/>
      <c r="S206" s="5"/>
      <c r="T206" s="6">
        <f t="shared" si="13"/>
        <v>0</v>
      </c>
      <c r="U206" s="9"/>
      <c r="V206" s="1"/>
      <c r="W206" s="1"/>
      <c r="X206" s="1"/>
      <c r="Y206" s="1"/>
      <c r="Z206" s="1"/>
    </row>
    <row r="207" spans="1:26" ht="39.75" customHeight="1">
      <c r="A207" s="171"/>
      <c r="B207" s="5" t="s">
        <v>354</v>
      </c>
      <c r="C207" s="5" t="s">
        <v>284</v>
      </c>
      <c r="D207" s="5">
        <v>198</v>
      </c>
      <c r="E207" s="5" t="s">
        <v>285</v>
      </c>
      <c r="F207" s="5"/>
      <c r="G207" s="5"/>
      <c r="H207" s="5"/>
      <c r="I207" s="5"/>
      <c r="J207" s="5"/>
      <c r="K207" s="5"/>
      <c r="L207" s="5"/>
      <c r="M207" s="5"/>
      <c r="N207" s="5"/>
      <c r="O207" s="5"/>
      <c r="P207" s="5"/>
      <c r="Q207" s="5"/>
      <c r="R207" s="5"/>
      <c r="S207" s="5"/>
      <c r="T207" s="6">
        <f t="shared" si="13"/>
        <v>0</v>
      </c>
      <c r="U207" s="9"/>
      <c r="V207" s="1"/>
      <c r="W207" s="1"/>
      <c r="X207" s="1"/>
      <c r="Y207" s="1"/>
      <c r="Z207" s="1"/>
    </row>
    <row r="208" spans="1:26" ht="39.75" customHeight="1">
      <c r="A208" s="171"/>
      <c r="B208" s="5" t="s">
        <v>355</v>
      </c>
      <c r="C208" s="5" t="s">
        <v>287</v>
      </c>
      <c r="D208" s="5">
        <v>199</v>
      </c>
      <c r="E208" s="5" t="s">
        <v>288</v>
      </c>
      <c r="F208" s="24"/>
      <c r="G208" s="24"/>
      <c r="H208" s="24"/>
      <c r="I208" s="24"/>
      <c r="J208" s="24"/>
      <c r="K208" s="24"/>
      <c r="L208" s="24"/>
      <c r="M208" s="24"/>
      <c r="N208" s="24"/>
      <c r="O208" s="24"/>
      <c r="P208" s="24">
        <v>217.6</v>
      </c>
      <c r="Q208" s="24"/>
      <c r="R208" s="24"/>
      <c r="S208" s="24"/>
      <c r="T208" s="6">
        <f t="shared" si="13"/>
        <v>217.6</v>
      </c>
      <c r="U208" s="76" t="s">
        <v>631</v>
      </c>
      <c r="V208" s="1"/>
      <c r="W208" s="1"/>
      <c r="X208" s="1"/>
      <c r="Y208" s="1"/>
      <c r="Z208" s="1"/>
    </row>
    <row r="209" spans="1:26" s="58" customFormat="1" ht="39.75" customHeight="1">
      <c r="A209" s="169"/>
      <c r="B209" s="176" t="s">
        <v>356</v>
      </c>
      <c r="C209" s="183"/>
      <c r="D209" s="184"/>
      <c r="E209" s="51"/>
      <c r="F209" s="51">
        <f t="shared" ref="F209:T209" si="14">SUM(F159:F208)</f>
        <v>0</v>
      </c>
      <c r="G209" s="56">
        <f t="shared" si="14"/>
        <v>493.5</v>
      </c>
      <c r="H209" s="56">
        <f t="shared" si="14"/>
        <v>658</v>
      </c>
      <c r="I209" s="51">
        <f t="shared" si="14"/>
        <v>10</v>
      </c>
      <c r="J209" s="51">
        <f t="shared" si="14"/>
        <v>0</v>
      </c>
      <c r="K209" s="51">
        <f t="shared" si="14"/>
        <v>0</v>
      </c>
      <c r="L209" s="51">
        <f t="shared" si="14"/>
        <v>0</v>
      </c>
      <c r="M209" s="51">
        <f t="shared" si="14"/>
        <v>29.2</v>
      </c>
      <c r="N209" s="52">
        <f t="shared" si="14"/>
        <v>49.12</v>
      </c>
      <c r="O209" s="51">
        <f t="shared" si="14"/>
        <v>543.84</v>
      </c>
      <c r="P209" s="56">
        <f t="shared" si="14"/>
        <v>353.90999999999997</v>
      </c>
      <c r="Q209" s="51">
        <f t="shared" si="14"/>
        <v>19.115699999999997</v>
      </c>
      <c r="R209" s="51">
        <f t="shared" si="14"/>
        <v>2237.6459999999997</v>
      </c>
      <c r="S209" s="51">
        <f t="shared" si="14"/>
        <v>0</v>
      </c>
      <c r="T209" s="52">
        <f t="shared" si="14"/>
        <v>4394.3316999999997</v>
      </c>
      <c r="U209" s="7"/>
      <c r="V209" s="29"/>
      <c r="W209" s="29"/>
      <c r="X209" s="29"/>
      <c r="Y209" s="29"/>
      <c r="Z209" s="29"/>
    </row>
    <row r="210" spans="1:26" ht="39.75" customHeight="1">
      <c r="A210" s="180" t="s">
        <v>357</v>
      </c>
      <c r="B210" s="181"/>
      <c r="C210" s="181"/>
      <c r="D210" s="182"/>
      <c r="E210" s="64"/>
      <c r="F210" s="65">
        <f t="shared" ref="F210:T210" si="15">F209+F158+F134+F93+F68</f>
        <v>162.86000000000001</v>
      </c>
      <c r="G210" s="66">
        <f t="shared" si="15"/>
        <v>493.5</v>
      </c>
      <c r="H210" s="66">
        <f t="shared" si="15"/>
        <v>673.5</v>
      </c>
      <c r="I210" s="65">
        <f t="shared" si="15"/>
        <v>51.662000000000006</v>
      </c>
      <c r="J210" s="65">
        <f t="shared" si="15"/>
        <v>0</v>
      </c>
      <c r="K210" s="67">
        <f t="shared" si="15"/>
        <v>105.854</v>
      </c>
      <c r="L210" s="65">
        <f t="shared" si="15"/>
        <v>0</v>
      </c>
      <c r="M210" s="66">
        <f t="shared" si="15"/>
        <v>113.07400000000001</v>
      </c>
      <c r="N210" s="67">
        <f t="shared" si="15"/>
        <v>127.66355</v>
      </c>
      <c r="O210" s="65">
        <f t="shared" si="15"/>
        <v>866.30074999999999</v>
      </c>
      <c r="P210" s="66">
        <f t="shared" si="15"/>
        <v>1064.6115</v>
      </c>
      <c r="Q210" s="65">
        <f t="shared" si="15"/>
        <v>139.34369999999998</v>
      </c>
      <c r="R210" s="66">
        <f t="shared" si="15"/>
        <v>2809.4879999999994</v>
      </c>
      <c r="S210" s="66">
        <f t="shared" si="15"/>
        <v>10.100000000000001</v>
      </c>
      <c r="T210" s="67">
        <f t="shared" si="15"/>
        <v>6617.9574999999986</v>
      </c>
      <c r="U210" s="9"/>
      <c r="V210" s="1"/>
      <c r="W210" s="1"/>
      <c r="X210" s="1"/>
      <c r="Y210" s="1"/>
      <c r="Z210" s="1"/>
    </row>
    <row r="211" spans="1:26" ht="24.75" customHeight="1">
      <c r="A211" s="1"/>
      <c r="B211" s="1"/>
      <c r="C211" s="1"/>
      <c r="D211" s="1"/>
      <c r="E211" s="1"/>
      <c r="F211" s="1"/>
      <c r="G211" s="1"/>
      <c r="H211" s="1"/>
      <c r="I211" s="1"/>
      <c r="J211" s="1"/>
      <c r="K211" s="1"/>
      <c r="L211" s="1"/>
      <c r="M211" s="1"/>
      <c r="N211" s="1"/>
      <c r="O211" s="1"/>
      <c r="P211" s="1"/>
      <c r="Q211" s="1"/>
      <c r="R211" s="1"/>
      <c r="S211" s="1"/>
      <c r="T211" s="32"/>
      <c r="U211" s="2"/>
      <c r="V211" s="1"/>
      <c r="W211" s="1"/>
      <c r="X211" s="1"/>
      <c r="Y211" s="1"/>
      <c r="Z211" s="1"/>
    </row>
    <row r="212" spans="1:26" ht="24.75" customHeight="1">
      <c r="A212" s="1"/>
      <c r="B212" s="1"/>
      <c r="C212" s="1"/>
      <c r="D212" s="1"/>
      <c r="E212" s="1"/>
      <c r="F212" s="1"/>
      <c r="G212" s="1"/>
      <c r="H212" s="1"/>
      <c r="I212" s="1"/>
      <c r="J212" s="1"/>
      <c r="K212" s="1"/>
      <c r="L212" s="1"/>
      <c r="M212" s="1"/>
      <c r="N212" s="1"/>
      <c r="O212" s="1"/>
      <c r="P212" s="1"/>
      <c r="Q212" s="1"/>
      <c r="R212" s="1"/>
      <c r="S212" s="1"/>
      <c r="T212" s="1"/>
      <c r="U212" s="2"/>
      <c r="V212" s="1"/>
      <c r="W212" s="1"/>
      <c r="X212" s="1"/>
      <c r="Y212" s="1"/>
      <c r="Z212" s="1"/>
    </row>
    <row r="213" spans="1:26" ht="24.75" customHeight="1">
      <c r="A213" s="1"/>
      <c r="B213" s="1"/>
      <c r="C213" s="1"/>
      <c r="D213" s="1"/>
      <c r="E213" s="1"/>
      <c r="F213" s="1"/>
      <c r="G213" s="1"/>
      <c r="H213" s="1"/>
      <c r="I213" s="1"/>
      <c r="J213" s="1"/>
      <c r="K213" s="1"/>
      <c r="L213" s="1"/>
      <c r="M213" s="1"/>
      <c r="N213" s="1"/>
      <c r="O213" s="1"/>
      <c r="P213" s="1"/>
      <c r="Q213" s="1"/>
      <c r="R213" s="1"/>
      <c r="S213" s="1"/>
      <c r="T213" s="1"/>
      <c r="U213" s="2"/>
      <c r="V213" s="1"/>
      <c r="W213" s="1"/>
      <c r="X213" s="1"/>
      <c r="Y213" s="1"/>
      <c r="Z213" s="1"/>
    </row>
    <row r="214" spans="1:26" ht="24.75" customHeight="1">
      <c r="A214" s="1"/>
      <c r="B214" s="1"/>
      <c r="C214" s="1"/>
      <c r="D214" s="1"/>
      <c r="E214" s="1"/>
      <c r="F214" s="1"/>
      <c r="G214" s="1"/>
      <c r="H214" s="1"/>
      <c r="I214" s="1"/>
      <c r="J214" s="1"/>
      <c r="K214" s="1"/>
      <c r="L214" s="1"/>
      <c r="M214" s="1"/>
      <c r="N214" s="1"/>
      <c r="O214" s="1"/>
      <c r="P214" s="1"/>
      <c r="Q214" s="1"/>
      <c r="R214" s="1"/>
      <c r="S214" s="1"/>
      <c r="T214" s="1"/>
      <c r="U214" s="2"/>
      <c r="V214" s="1"/>
      <c r="W214" s="1"/>
      <c r="X214" s="1"/>
      <c r="Y214" s="1"/>
      <c r="Z214" s="1"/>
    </row>
    <row r="215" spans="1:26" ht="24.75" customHeight="1">
      <c r="A215" s="1"/>
      <c r="B215" s="1"/>
      <c r="C215" s="1"/>
      <c r="D215" s="1"/>
      <c r="E215" s="1"/>
      <c r="F215" s="1"/>
      <c r="G215" s="1"/>
      <c r="H215" s="1"/>
      <c r="I215" s="1"/>
      <c r="J215" s="1"/>
      <c r="K215" s="1"/>
      <c r="L215" s="1"/>
      <c r="M215" s="1"/>
      <c r="N215" s="1"/>
      <c r="O215" s="1"/>
      <c r="P215" s="1"/>
      <c r="Q215" s="1"/>
      <c r="R215" s="1"/>
      <c r="S215" s="1"/>
      <c r="T215" s="1"/>
      <c r="U215" s="2"/>
      <c r="V215" s="1"/>
      <c r="W215" s="1"/>
      <c r="X215" s="1"/>
      <c r="Y215" s="1"/>
      <c r="Z215" s="1"/>
    </row>
    <row r="216" spans="1:26" ht="24.75" customHeight="1">
      <c r="A216" s="1"/>
      <c r="B216" s="1"/>
      <c r="C216" s="1"/>
      <c r="D216" s="1"/>
      <c r="E216" s="1"/>
      <c r="F216" s="1"/>
      <c r="G216" s="1"/>
      <c r="H216" s="1"/>
      <c r="I216" s="1"/>
      <c r="J216" s="1"/>
      <c r="K216" s="1"/>
      <c r="L216" s="1"/>
      <c r="M216" s="1"/>
      <c r="N216" s="1"/>
      <c r="O216" s="1"/>
      <c r="P216" s="1"/>
      <c r="Q216" s="1"/>
      <c r="R216" s="1"/>
      <c r="S216" s="1"/>
      <c r="T216" s="1"/>
      <c r="U216" s="2"/>
      <c r="V216" s="1"/>
      <c r="W216" s="1"/>
      <c r="X216" s="1"/>
      <c r="Y216" s="1"/>
      <c r="Z216" s="1"/>
    </row>
    <row r="217" spans="1:26" ht="24.75" customHeight="1">
      <c r="A217" s="1"/>
      <c r="B217" s="1"/>
      <c r="C217" s="1"/>
      <c r="D217" s="1"/>
      <c r="E217" s="1"/>
      <c r="F217" s="1"/>
      <c r="G217" s="1"/>
      <c r="H217" s="1"/>
      <c r="I217" s="1"/>
      <c r="J217" s="1"/>
      <c r="K217" s="1"/>
      <c r="L217" s="1"/>
      <c r="M217" s="1"/>
      <c r="N217" s="1"/>
      <c r="O217" s="1"/>
      <c r="P217" s="1"/>
      <c r="Q217" s="1"/>
      <c r="R217" s="1"/>
      <c r="S217" s="1"/>
      <c r="T217" s="1"/>
      <c r="U217" s="2"/>
      <c r="V217" s="1"/>
      <c r="W217" s="1"/>
      <c r="X217" s="1"/>
      <c r="Y217" s="1"/>
      <c r="Z217" s="1"/>
    </row>
    <row r="218" spans="1:26" ht="24.75" customHeight="1">
      <c r="A218" s="1"/>
      <c r="B218" s="1"/>
      <c r="C218" s="1"/>
      <c r="D218" s="1"/>
      <c r="E218" s="1"/>
      <c r="F218" s="1"/>
      <c r="G218" s="1"/>
      <c r="H218" s="1"/>
      <c r="I218" s="1"/>
      <c r="J218" s="1"/>
      <c r="K218" s="1"/>
      <c r="L218" s="1"/>
      <c r="M218" s="1"/>
      <c r="N218" s="1"/>
      <c r="O218" s="1"/>
      <c r="P218" s="1"/>
      <c r="Q218" s="1"/>
      <c r="R218" s="1"/>
      <c r="S218" s="1"/>
      <c r="T218" s="1"/>
      <c r="U218" s="2"/>
      <c r="V218" s="1"/>
      <c r="W218" s="1"/>
      <c r="X218" s="1"/>
      <c r="Y218" s="1"/>
      <c r="Z218" s="1"/>
    </row>
    <row r="219" spans="1:26" ht="24.75" customHeight="1">
      <c r="A219" s="1"/>
      <c r="B219" s="1"/>
      <c r="C219" s="1"/>
      <c r="D219" s="1"/>
      <c r="E219" s="1"/>
      <c r="F219" s="1"/>
      <c r="G219" s="1"/>
      <c r="H219" s="1"/>
      <c r="I219" s="1"/>
      <c r="J219" s="1"/>
      <c r="K219" s="1"/>
      <c r="L219" s="1"/>
      <c r="M219" s="1"/>
      <c r="N219" s="1"/>
      <c r="O219" s="1"/>
      <c r="P219" s="1"/>
      <c r="Q219" s="1"/>
      <c r="R219" s="1"/>
      <c r="S219" s="1"/>
      <c r="T219" s="1"/>
      <c r="U219" s="2"/>
      <c r="V219" s="1"/>
      <c r="W219" s="1"/>
      <c r="X219" s="1"/>
      <c r="Y219" s="1"/>
      <c r="Z219" s="1"/>
    </row>
    <row r="220" spans="1:26" ht="24.75" customHeight="1">
      <c r="A220" s="1"/>
      <c r="B220" s="1"/>
      <c r="C220" s="1"/>
      <c r="D220" s="1"/>
      <c r="E220" s="1"/>
      <c r="F220" s="1"/>
      <c r="G220" s="1"/>
      <c r="H220" s="1"/>
      <c r="I220" s="1"/>
      <c r="J220" s="1"/>
      <c r="K220" s="1"/>
      <c r="L220" s="1"/>
      <c r="M220" s="1"/>
      <c r="N220" s="1"/>
      <c r="O220" s="1"/>
      <c r="P220" s="1"/>
      <c r="Q220" s="1"/>
      <c r="R220" s="1"/>
      <c r="S220" s="1"/>
      <c r="T220" s="1"/>
      <c r="U220" s="2"/>
      <c r="V220" s="1"/>
      <c r="W220" s="1"/>
      <c r="X220" s="1"/>
      <c r="Y220" s="1"/>
      <c r="Z220" s="1"/>
    </row>
    <row r="221" spans="1:26" ht="24.75" customHeight="1">
      <c r="A221" s="1"/>
      <c r="B221" s="1"/>
      <c r="C221" s="1"/>
      <c r="D221" s="1"/>
      <c r="E221" s="1"/>
      <c r="F221" s="1"/>
      <c r="G221" s="1"/>
      <c r="H221" s="1"/>
      <c r="I221" s="1"/>
      <c r="J221" s="1"/>
      <c r="K221" s="1"/>
      <c r="L221" s="1"/>
      <c r="M221" s="1"/>
      <c r="N221" s="1"/>
      <c r="O221" s="1"/>
      <c r="P221" s="1"/>
      <c r="Q221" s="1"/>
      <c r="R221" s="1"/>
      <c r="S221" s="1"/>
      <c r="T221" s="1"/>
      <c r="U221" s="2"/>
      <c r="V221" s="1"/>
      <c r="W221" s="1"/>
      <c r="X221" s="1"/>
      <c r="Y221" s="1"/>
      <c r="Z221" s="1"/>
    </row>
    <row r="222" spans="1:26" ht="24.75" customHeight="1">
      <c r="A222" s="1"/>
      <c r="B222" s="1"/>
      <c r="C222" s="1"/>
      <c r="D222" s="1"/>
      <c r="E222" s="1"/>
      <c r="F222" s="1"/>
      <c r="G222" s="1"/>
      <c r="H222" s="1"/>
      <c r="I222" s="1"/>
      <c r="J222" s="1"/>
      <c r="K222" s="1"/>
      <c r="L222" s="1"/>
      <c r="M222" s="1"/>
      <c r="N222" s="1"/>
      <c r="O222" s="1"/>
      <c r="P222" s="1"/>
      <c r="Q222" s="1"/>
      <c r="R222" s="1"/>
      <c r="S222" s="1"/>
      <c r="T222" s="1"/>
      <c r="U222" s="2"/>
      <c r="V222" s="1"/>
      <c r="W222" s="1"/>
      <c r="X222" s="1"/>
      <c r="Y222" s="1"/>
      <c r="Z222" s="1"/>
    </row>
    <row r="223" spans="1:26" ht="24.75" customHeight="1">
      <c r="A223" s="1"/>
      <c r="B223" s="1"/>
      <c r="C223" s="1"/>
      <c r="D223" s="1"/>
      <c r="E223" s="1"/>
      <c r="F223" s="1"/>
      <c r="G223" s="1"/>
      <c r="H223" s="1"/>
      <c r="I223" s="1"/>
      <c r="J223" s="1"/>
      <c r="K223" s="1"/>
      <c r="L223" s="1"/>
      <c r="M223" s="1"/>
      <c r="N223" s="1"/>
      <c r="O223" s="1"/>
      <c r="P223" s="1"/>
      <c r="Q223" s="1"/>
      <c r="R223" s="1"/>
      <c r="S223" s="1"/>
      <c r="T223" s="1"/>
      <c r="U223" s="2"/>
      <c r="V223" s="1"/>
      <c r="W223" s="1"/>
      <c r="X223" s="1"/>
      <c r="Y223" s="1"/>
      <c r="Z223" s="1"/>
    </row>
    <row r="224" spans="1:26" ht="24.75" customHeight="1">
      <c r="A224" s="1"/>
      <c r="B224" s="1"/>
      <c r="C224" s="1"/>
      <c r="D224" s="1"/>
      <c r="E224" s="1"/>
      <c r="F224" s="1"/>
      <c r="G224" s="1"/>
      <c r="H224" s="1"/>
      <c r="I224" s="1"/>
      <c r="J224" s="1"/>
      <c r="K224" s="1"/>
      <c r="L224" s="1"/>
      <c r="M224" s="1"/>
      <c r="N224" s="1"/>
      <c r="O224" s="1"/>
      <c r="P224" s="1"/>
      <c r="Q224" s="1"/>
      <c r="R224" s="1"/>
      <c r="S224" s="1"/>
      <c r="T224" s="1"/>
      <c r="U224" s="2"/>
      <c r="V224" s="1"/>
      <c r="W224" s="1"/>
      <c r="X224" s="1"/>
      <c r="Y224" s="1"/>
      <c r="Z224" s="1"/>
    </row>
    <row r="225" spans="1:26" ht="24.75" customHeight="1">
      <c r="A225" s="1"/>
      <c r="B225" s="1"/>
      <c r="C225" s="1"/>
      <c r="D225" s="1"/>
      <c r="E225" s="1"/>
      <c r="F225" s="1"/>
      <c r="G225" s="1"/>
      <c r="H225" s="1"/>
      <c r="I225" s="1"/>
      <c r="J225" s="1"/>
      <c r="K225" s="1"/>
      <c r="L225" s="1"/>
      <c r="M225" s="1"/>
      <c r="N225" s="1"/>
      <c r="O225" s="1"/>
      <c r="P225" s="1"/>
      <c r="Q225" s="1"/>
      <c r="R225" s="1"/>
      <c r="S225" s="1"/>
      <c r="T225" s="1"/>
      <c r="U225" s="2"/>
      <c r="V225" s="1"/>
      <c r="W225" s="1"/>
      <c r="X225" s="1"/>
      <c r="Y225" s="1"/>
      <c r="Z225" s="1"/>
    </row>
    <row r="226" spans="1:26" ht="24.75" customHeight="1">
      <c r="A226" s="1"/>
      <c r="B226" s="1"/>
      <c r="C226" s="1"/>
      <c r="D226" s="1"/>
      <c r="E226" s="1"/>
      <c r="F226" s="1"/>
      <c r="G226" s="1"/>
      <c r="H226" s="1"/>
      <c r="I226" s="1"/>
      <c r="J226" s="1"/>
      <c r="K226" s="1"/>
      <c r="L226" s="1"/>
      <c r="M226" s="1"/>
      <c r="N226" s="1"/>
      <c r="O226" s="1"/>
      <c r="P226" s="1"/>
      <c r="Q226" s="1"/>
      <c r="R226" s="1"/>
      <c r="S226" s="1"/>
      <c r="T226" s="1"/>
      <c r="U226" s="2"/>
      <c r="V226" s="1"/>
      <c r="W226" s="1"/>
      <c r="X226" s="1"/>
      <c r="Y226" s="1"/>
      <c r="Z226" s="1"/>
    </row>
    <row r="227" spans="1:26" ht="24.75" customHeight="1">
      <c r="A227" s="1"/>
      <c r="B227" s="1"/>
      <c r="C227" s="1"/>
      <c r="D227" s="1"/>
      <c r="E227" s="1"/>
      <c r="F227" s="1"/>
      <c r="G227" s="1"/>
      <c r="H227" s="1"/>
      <c r="I227" s="1"/>
      <c r="J227" s="1"/>
      <c r="K227" s="1"/>
      <c r="L227" s="1"/>
      <c r="M227" s="1"/>
      <c r="N227" s="1"/>
      <c r="O227" s="1"/>
      <c r="P227" s="1"/>
      <c r="Q227" s="1"/>
      <c r="R227" s="1"/>
      <c r="S227" s="1"/>
      <c r="T227" s="1"/>
      <c r="U227" s="2"/>
      <c r="V227" s="1"/>
      <c r="W227" s="1"/>
      <c r="X227" s="1"/>
      <c r="Y227" s="1"/>
      <c r="Z227" s="1"/>
    </row>
    <row r="228" spans="1:26" ht="24.75" customHeight="1">
      <c r="A228" s="1"/>
      <c r="B228" s="1"/>
      <c r="C228" s="1"/>
      <c r="D228" s="1"/>
      <c r="E228" s="1"/>
      <c r="F228" s="1"/>
      <c r="G228" s="1"/>
      <c r="H228" s="1"/>
      <c r="I228" s="1"/>
      <c r="J228" s="1"/>
      <c r="K228" s="1"/>
      <c r="L228" s="1"/>
      <c r="M228" s="1"/>
      <c r="N228" s="1"/>
      <c r="O228" s="1"/>
      <c r="P228" s="1"/>
      <c r="Q228" s="1"/>
      <c r="R228" s="1"/>
      <c r="S228" s="1"/>
      <c r="T228" s="1"/>
      <c r="U228" s="2"/>
      <c r="V228" s="1"/>
      <c r="W228" s="1"/>
      <c r="X228" s="1"/>
      <c r="Y228" s="1"/>
      <c r="Z228" s="1"/>
    </row>
    <row r="229" spans="1:26" ht="24.75" customHeight="1">
      <c r="A229" s="1"/>
      <c r="B229" s="1"/>
      <c r="C229" s="1"/>
      <c r="D229" s="1"/>
      <c r="E229" s="1"/>
      <c r="F229" s="1"/>
      <c r="G229" s="1"/>
      <c r="H229" s="1"/>
      <c r="I229" s="1"/>
      <c r="J229" s="1"/>
      <c r="K229" s="1"/>
      <c r="L229" s="1"/>
      <c r="M229" s="1"/>
      <c r="N229" s="1"/>
      <c r="O229" s="1"/>
      <c r="P229" s="1"/>
      <c r="Q229" s="1"/>
      <c r="R229" s="1"/>
      <c r="S229" s="1"/>
      <c r="T229" s="1"/>
      <c r="U229" s="2"/>
      <c r="V229" s="1"/>
      <c r="W229" s="1"/>
      <c r="X229" s="1"/>
      <c r="Y229" s="1"/>
      <c r="Z229" s="1"/>
    </row>
    <row r="230" spans="1:26" ht="24.75" customHeight="1">
      <c r="A230" s="1"/>
      <c r="B230" s="1"/>
      <c r="C230" s="1"/>
      <c r="D230" s="1"/>
      <c r="E230" s="1"/>
      <c r="F230" s="1"/>
      <c r="G230" s="1"/>
      <c r="H230" s="1"/>
      <c r="I230" s="1"/>
      <c r="J230" s="1"/>
      <c r="K230" s="1"/>
      <c r="L230" s="1"/>
      <c r="M230" s="1"/>
      <c r="N230" s="1"/>
      <c r="O230" s="1"/>
      <c r="P230" s="1"/>
      <c r="Q230" s="1"/>
      <c r="R230" s="1"/>
      <c r="S230" s="1"/>
      <c r="T230" s="1"/>
      <c r="U230" s="2"/>
      <c r="V230" s="1"/>
      <c r="W230" s="1"/>
      <c r="X230" s="1"/>
      <c r="Y230" s="1"/>
      <c r="Z230" s="1"/>
    </row>
    <row r="231" spans="1:26" ht="24.75" customHeight="1">
      <c r="A231" s="1"/>
      <c r="B231" s="1"/>
      <c r="C231" s="1"/>
      <c r="D231" s="1"/>
      <c r="E231" s="1"/>
      <c r="F231" s="1"/>
      <c r="G231" s="1"/>
      <c r="H231" s="1"/>
      <c r="I231" s="1"/>
      <c r="J231" s="1"/>
      <c r="K231" s="1"/>
      <c r="L231" s="1"/>
      <c r="M231" s="1"/>
      <c r="N231" s="1"/>
      <c r="O231" s="1"/>
      <c r="P231" s="1"/>
      <c r="Q231" s="1"/>
      <c r="R231" s="1"/>
      <c r="S231" s="1"/>
      <c r="T231" s="1"/>
      <c r="U231" s="2"/>
      <c r="V231" s="1"/>
      <c r="W231" s="1"/>
      <c r="X231" s="1"/>
      <c r="Y231" s="1"/>
      <c r="Z231" s="1"/>
    </row>
    <row r="232" spans="1:26" ht="24.75" customHeight="1">
      <c r="A232" s="1"/>
      <c r="B232" s="1"/>
      <c r="C232" s="1"/>
      <c r="D232" s="1"/>
      <c r="E232" s="1"/>
      <c r="F232" s="1"/>
      <c r="G232" s="1"/>
      <c r="H232" s="1"/>
      <c r="I232" s="1"/>
      <c r="J232" s="1"/>
      <c r="K232" s="1"/>
      <c r="L232" s="1"/>
      <c r="M232" s="1"/>
      <c r="N232" s="1"/>
      <c r="O232" s="1"/>
      <c r="P232" s="1"/>
      <c r="Q232" s="1"/>
      <c r="R232" s="1"/>
      <c r="S232" s="1"/>
      <c r="T232" s="1"/>
      <c r="U232" s="2"/>
      <c r="V232" s="1"/>
      <c r="W232" s="1"/>
      <c r="X232" s="1"/>
      <c r="Y232" s="1"/>
      <c r="Z232" s="1"/>
    </row>
    <row r="233" spans="1:26" ht="24.75" customHeight="1">
      <c r="A233" s="1"/>
      <c r="B233" s="1"/>
      <c r="C233" s="1"/>
      <c r="D233" s="1"/>
      <c r="E233" s="1"/>
      <c r="F233" s="1"/>
      <c r="G233" s="1"/>
      <c r="H233" s="1"/>
      <c r="I233" s="1"/>
      <c r="J233" s="1"/>
      <c r="K233" s="1"/>
      <c r="L233" s="1"/>
      <c r="M233" s="1"/>
      <c r="N233" s="1"/>
      <c r="O233" s="1"/>
      <c r="P233" s="1"/>
      <c r="Q233" s="1"/>
      <c r="R233" s="1"/>
      <c r="S233" s="1"/>
      <c r="T233" s="1"/>
      <c r="U233" s="2"/>
      <c r="V233" s="1"/>
      <c r="W233" s="1"/>
      <c r="X233" s="1"/>
      <c r="Y233" s="1"/>
      <c r="Z233" s="1"/>
    </row>
    <row r="234" spans="1:26" ht="24.75" customHeight="1">
      <c r="A234" s="1"/>
      <c r="B234" s="1"/>
      <c r="C234" s="1"/>
      <c r="D234" s="1"/>
      <c r="E234" s="1"/>
      <c r="F234" s="1"/>
      <c r="G234" s="1"/>
      <c r="H234" s="1"/>
      <c r="I234" s="1"/>
      <c r="J234" s="1"/>
      <c r="K234" s="1"/>
      <c r="L234" s="1"/>
      <c r="M234" s="1"/>
      <c r="N234" s="1"/>
      <c r="O234" s="1"/>
      <c r="P234" s="1"/>
      <c r="Q234" s="1"/>
      <c r="R234" s="1"/>
      <c r="S234" s="1"/>
      <c r="T234" s="1"/>
      <c r="U234" s="2"/>
      <c r="V234" s="1"/>
      <c r="W234" s="1"/>
      <c r="X234" s="1"/>
      <c r="Y234" s="1"/>
      <c r="Z234" s="1"/>
    </row>
    <row r="235" spans="1:26" ht="24.75" customHeight="1">
      <c r="A235" s="1"/>
      <c r="B235" s="1"/>
      <c r="C235" s="1"/>
      <c r="D235" s="1"/>
      <c r="E235" s="1"/>
      <c r="F235" s="1"/>
      <c r="G235" s="1"/>
      <c r="H235" s="1"/>
      <c r="I235" s="1"/>
      <c r="J235" s="1"/>
      <c r="K235" s="1"/>
      <c r="L235" s="1"/>
      <c r="M235" s="1"/>
      <c r="N235" s="1"/>
      <c r="O235" s="1"/>
      <c r="P235" s="1"/>
      <c r="Q235" s="1"/>
      <c r="R235" s="1"/>
      <c r="S235" s="1"/>
      <c r="T235" s="1"/>
      <c r="U235" s="2"/>
      <c r="V235" s="1"/>
      <c r="W235" s="1"/>
      <c r="X235" s="1"/>
      <c r="Y235" s="1"/>
      <c r="Z235" s="1"/>
    </row>
    <row r="236" spans="1:26" ht="24.75" customHeight="1">
      <c r="A236" s="1"/>
      <c r="B236" s="1"/>
      <c r="C236" s="1"/>
      <c r="D236" s="1"/>
      <c r="E236" s="1"/>
      <c r="F236" s="1"/>
      <c r="G236" s="1"/>
      <c r="H236" s="1"/>
      <c r="I236" s="1"/>
      <c r="J236" s="1"/>
      <c r="K236" s="1"/>
      <c r="L236" s="1"/>
      <c r="M236" s="1"/>
      <c r="N236" s="1"/>
      <c r="O236" s="1"/>
      <c r="P236" s="1"/>
      <c r="Q236" s="1"/>
      <c r="R236" s="1"/>
      <c r="S236" s="1"/>
      <c r="T236" s="1"/>
      <c r="U236" s="2"/>
      <c r="V236" s="1"/>
      <c r="W236" s="1"/>
      <c r="X236" s="1"/>
      <c r="Y236" s="1"/>
      <c r="Z236" s="1"/>
    </row>
    <row r="237" spans="1:26" ht="24.75" customHeight="1">
      <c r="A237" s="1"/>
      <c r="B237" s="1"/>
      <c r="C237" s="1"/>
      <c r="D237" s="1"/>
      <c r="E237" s="1"/>
      <c r="F237" s="1"/>
      <c r="G237" s="1"/>
      <c r="H237" s="1"/>
      <c r="I237" s="1"/>
      <c r="J237" s="1"/>
      <c r="K237" s="1"/>
      <c r="L237" s="1"/>
      <c r="M237" s="1"/>
      <c r="N237" s="1"/>
      <c r="O237" s="1"/>
      <c r="P237" s="1"/>
      <c r="Q237" s="1"/>
      <c r="R237" s="1"/>
      <c r="S237" s="1"/>
      <c r="T237" s="1"/>
      <c r="U237" s="2"/>
      <c r="V237" s="1"/>
      <c r="W237" s="1"/>
      <c r="X237" s="1"/>
      <c r="Y237" s="1"/>
      <c r="Z237" s="1"/>
    </row>
    <row r="238" spans="1:26" ht="24.75" customHeight="1">
      <c r="A238" s="1"/>
      <c r="B238" s="1"/>
      <c r="C238" s="1"/>
      <c r="D238" s="1"/>
      <c r="E238" s="1"/>
      <c r="F238" s="1"/>
      <c r="G238" s="1"/>
      <c r="H238" s="1"/>
      <c r="I238" s="1"/>
      <c r="J238" s="1"/>
      <c r="K238" s="1"/>
      <c r="L238" s="1"/>
      <c r="M238" s="1"/>
      <c r="N238" s="1"/>
      <c r="O238" s="1"/>
      <c r="P238" s="1"/>
      <c r="Q238" s="1"/>
      <c r="R238" s="1"/>
      <c r="S238" s="1"/>
      <c r="T238" s="1"/>
      <c r="U238" s="2"/>
      <c r="V238" s="1"/>
      <c r="W238" s="1"/>
      <c r="X238" s="1"/>
      <c r="Y238" s="1"/>
      <c r="Z238" s="1"/>
    </row>
    <row r="239" spans="1:26" ht="24.75" customHeight="1">
      <c r="A239" s="1"/>
      <c r="B239" s="1"/>
      <c r="C239" s="1"/>
      <c r="D239" s="1"/>
      <c r="E239" s="1"/>
      <c r="F239" s="1"/>
      <c r="G239" s="1"/>
      <c r="H239" s="1"/>
      <c r="I239" s="1"/>
      <c r="J239" s="1"/>
      <c r="K239" s="1"/>
      <c r="L239" s="1"/>
      <c r="M239" s="1"/>
      <c r="N239" s="1"/>
      <c r="O239" s="1"/>
      <c r="P239" s="1"/>
      <c r="Q239" s="1"/>
      <c r="R239" s="1"/>
      <c r="S239" s="1"/>
      <c r="T239" s="1"/>
      <c r="U239" s="2"/>
      <c r="V239" s="1"/>
      <c r="W239" s="1"/>
      <c r="X239" s="1"/>
      <c r="Y239" s="1"/>
      <c r="Z239" s="1"/>
    </row>
    <row r="240" spans="1:26" ht="24.75" customHeight="1">
      <c r="A240" s="1"/>
      <c r="B240" s="1"/>
      <c r="C240" s="1"/>
      <c r="D240" s="1"/>
      <c r="E240" s="1"/>
      <c r="F240" s="1"/>
      <c r="G240" s="1"/>
      <c r="H240" s="1"/>
      <c r="I240" s="1"/>
      <c r="J240" s="1"/>
      <c r="K240" s="1"/>
      <c r="L240" s="1"/>
      <c r="M240" s="1"/>
      <c r="N240" s="1"/>
      <c r="O240" s="1"/>
      <c r="P240" s="1"/>
      <c r="Q240" s="1"/>
      <c r="R240" s="1"/>
      <c r="S240" s="1"/>
      <c r="T240" s="1"/>
      <c r="U240" s="2"/>
      <c r="V240" s="1"/>
      <c r="W240" s="1"/>
      <c r="X240" s="1"/>
      <c r="Y240" s="1"/>
      <c r="Z240" s="1"/>
    </row>
    <row r="241" spans="1:26" ht="24.75" customHeight="1">
      <c r="A241" s="1"/>
      <c r="B241" s="1"/>
      <c r="C241" s="1"/>
      <c r="D241" s="1"/>
      <c r="E241" s="1"/>
      <c r="F241" s="1"/>
      <c r="G241" s="1"/>
      <c r="H241" s="1"/>
      <c r="I241" s="1"/>
      <c r="J241" s="1"/>
      <c r="K241" s="1"/>
      <c r="L241" s="1"/>
      <c r="M241" s="1"/>
      <c r="N241" s="1"/>
      <c r="O241" s="1"/>
      <c r="P241" s="1"/>
      <c r="Q241" s="1"/>
      <c r="R241" s="1"/>
      <c r="S241" s="1"/>
      <c r="T241" s="1"/>
      <c r="U241" s="2"/>
      <c r="V241" s="1"/>
      <c r="W241" s="1"/>
      <c r="X241" s="1"/>
      <c r="Y241" s="1"/>
      <c r="Z241" s="1"/>
    </row>
    <row r="242" spans="1:26" ht="24.75" customHeight="1">
      <c r="A242" s="1"/>
      <c r="B242" s="1"/>
      <c r="C242" s="1"/>
      <c r="D242" s="1"/>
      <c r="E242" s="1"/>
      <c r="F242" s="1"/>
      <c r="G242" s="1"/>
      <c r="H242" s="1"/>
      <c r="I242" s="1"/>
      <c r="J242" s="1"/>
      <c r="K242" s="1"/>
      <c r="L242" s="1"/>
      <c r="M242" s="1"/>
      <c r="N242" s="1"/>
      <c r="O242" s="1"/>
      <c r="P242" s="1"/>
      <c r="Q242" s="1"/>
      <c r="R242" s="1"/>
      <c r="S242" s="1"/>
      <c r="T242" s="1"/>
      <c r="U242" s="2"/>
      <c r="V242" s="1"/>
      <c r="W242" s="1"/>
      <c r="X242" s="1"/>
      <c r="Y242" s="1"/>
      <c r="Z242" s="1"/>
    </row>
    <row r="243" spans="1:26" ht="24.75" customHeight="1">
      <c r="A243" s="1"/>
      <c r="B243" s="1"/>
      <c r="C243" s="1"/>
      <c r="D243" s="1"/>
      <c r="E243" s="1"/>
      <c r="F243" s="1"/>
      <c r="G243" s="1"/>
      <c r="H243" s="1"/>
      <c r="I243" s="1"/>
      <c r="J243" s="1"/>
      <c r="K243" s="1"/>
      <c r="L243" s="1"/>
      <c r="M243" s="1"/>
      <c r="N243" s="1"/>
      <c r="O243" s="1"/>
      <c r="P243" s="1"/>
      <c r="Q243" s="1"/>
      <c r="R243" s="1"/>
      <c r="S243" s="1"/>
      <c r="T243" s="1"/>
      <c r="U243" s="2"/>
      <c r="V243" s="1"/>
      <c r="W243" s="1"/>
      <c r="X243" s="1"/>
      <c r="Y243" s="1"/>
      <c r="Z243" s="1"/>
    </row>
    <row r="244" spans="1:26" ht="24.75" customHeight="1">
      <c r="A244" s="1"/>
      <c r="B244" s="1"/>
      <c r="C244" s="1"/>
      <c r="D244" s="1"/>
      <c r="E244" s="1"/>
      <c r="F244" s="1"/>
      <c r="G244" s="1"/>
      <c r="H244" s="1"/>
      <c r="I244" s="1"/>
      <c r="J244" s="1"/>
      <c r="K244" s="1"/>
      <c r="L244" s="1"/>
      <c r="M244" s="1"/>
      <c r="N244" s="1"/>
      <c r="O244" s="1"/>
      <c r="P244" s="1"/>
      <c r="Q244" s="1"/>
      <c r="R244" s="1"/>
      <c r="S244" s="1"/>
      <c r="T244" s="1"/>
      <c r="U244" s="2"/>
      <c r="V244" s="1"/>
      <c r="W244" s="1"/>
      <c r="X244" s="1"/>
      <c r="Y244" s="1"/>
      <c r="Z244" s="1"/>
    </row>
    <row r="245" spans="1:26" ht="24.75" customHeight="1">
      <c r="A245" s="1"/>
      <c r="B245" s="1"/>
      <c r="C245" s="1"/>
      <c r="D245" s="1"/>
      <c r="E245" s="1"/>
      <c r="F245" s="1"/>
      <c r="G245" s="1"/>
      <c r="H245" s="1"/>
      <c r="I245" s="1"/>
      <c r="J245" s="1"/>
      <c r="K245" s="1"/>
      <c r="L245" s="1"/>
      <c r="M245" s="1"/>
      <c r="N245" s="1"/>
      <c r="O245" s="1"/>
      <c r="P245" s="1"/>
      <c r="Q245" s="1"/>
      <c r="R245" s="1"/>
      <c r="S245" s="1"/>
      <c r="T245" s="1"/>
      <c r="U245" s="2"/>
      <c r="V245" s="1"/>
      <c r="W245" s="1"/>
      <c r="X245" s="1"/>
      <c r="Y245" s="1"/>
      <c r="Z245" s="1"/>
    </row>
    <row r="246" spans="1:26" ht="24.75" customHeight="1">
      <c r="A246" s="1"/>
      <c r="B246" s="1"/>
      <c r="C246" s="1"/>
      <c r="D246" s="1"/>
      <c r="E246" s="1"/>
      <c r="F246" s="1"/>
      <c r="G246" s="1"/>
      <c r="H246" s="1"/>
      <c r="I246" s="1"/>
      <c r="J246" s="1"/>
      <c r="K246" s="1"/>
      <c r="L246" s="1"/>
      <c r="M246" s="1"/>
      <c r="N246" s="1"/>
      <c r="O246" s="1"/>
      <c r="P246" s="1"/>
      <c r="Q246" s="1"/>
      <c r="R246" s="1"/>
      <c r="S246" s="1"/>
      <c r="T246" s="1"/>
      <c r="U246" s="2"/>
      <c r="V246" s="1"/>
      <c r="W246" s="1"/>
      <c r="X246" s="1"/>
      <c r="Y246" s="1"/>
      <c r="Z246" s="1"/>
    </row>
    <row r="247" spans="1:26" ht="24.75" customHeight="1">
      <c r="A247" s="1"/>
      <c r="B247" s="1"/>
      <c r="C247" s="1"/>
      <c r="D247" s="1"/>
      <c r="E247" s="1"/>
      <c r="F247" s="1"/>
      <c r="G247" s="1"/>
      <c r="H247" s="1"/>
      <c r="I247" s="1"/>
      <c r="J247" s="1"/>
      <c r="K247" s="1"/>
      <c r="L247" s="1"/>
      <c r="M247" s="1"/>
      <c r="N247" s="1"/>
      <c r="O247" s="1"/>
      <c r="P247" s="1"/>
      <c r="Q247" s="1"/>
      <c r="R247" s="1"/>
      <c r="S247" s="1"/>
      <c r="T247" s="1"/>
      <c r="U247" s="2"/>
      <c r="V247" s="1"/>
      <c r="W247" s="1"/>
      <c r="X247" s="1"/>
      <c r="Y247" s="1"/>
      <c r="Z247" s="1"/>
    </row>
    <row r="248" spans="1:26" ht="24.75" customHeight="1">
      <c r="A248" s="1"/>
      <c r="B248" s="1"/>
      <c r="C248" s="1"/>
      <c r="D248" s="1"/>
      <c r="E248" s="1"/>
      <c r="F248" s="1"/>
      <c r="G248" s="1"/>
      <c r="H248" s="1"/>
      <c r="I248" s="1"/>
      <c r="J248" s="1"/>
      <c r="K248" s="1"/>
      <c r="L248" s="1"/>
      <c r="M248" s="1"/>
      <c r="N248" s="1"/>
      <c r="O248" s="1"/>
      <c r="P248" s="1"/>
      <c r="Q248" s="1"/>
      <c r="R248" s="1"/>
      <c r="S248" s="1"/>
      <c r="T248" s="1"/>
      <c r="U248" s="2"/>
      <c r="V248" s="1"/>
      <c r="W248" s="1"/>
      <c r="X248" s="1"/>
      <c r="Y248" s="1"/>
      <c r="Z248" s="1"/>
    </row>
    <row r="249" spans="1:26" ht="24.75" customHeight="1">
      <c r="A249" s="1"/>
      <c r="B249" s="1"/>
      <c r="C249" s="1"/>
      <c r="D249" s="1"/>
      <c r="E249" s="1"/>
      <c r="F249" s="1"/>
      <c r="G249" s="1"/>
      <c r="H249" s="1"/>
      <c r="I249" s="1"/>
      <c r="J249" s="1"/>
      <c r="K249" s="1"/>
      <c r="L249" s="1"/>
      <c r="M249" s="1"/>
      <c r="N249" s="1"/>
      <c r="O249" s="1"/>
      <c r="P249" s="1"/>
      <c r="Q249" s="1"/>
      <c r="R249" s="1"/>
      <c r="S249" s="1"/>
      <c r="T249" s="1"/>
      <c r="U249" s="2"/>
      <c r="V249" s="1"/>
      <c r="W249" s="1"/>
      <c r="X249" s="1"/>
      <c r="Y249" s="1"/>
      <c r="Z249" s="1"/>
    </row>
    <row r="250" spans="1:26" ht="24.75" customHeight="1">
      <c r="A250" s="1"/>
      <c r="B250" s="1"/>
      <c r="C250" s="1"/>
      <c r="D250" s="1"/>
      <c r="E250" s="1"/>
      <c r="F250" s="1"/>
      <c r="G250" s="1"/>
      <c r="H250" s="1"/>
      <c r="I250" s="1"/>
      <c r="J250" s="1"/>
      <c r="K250" s="1"/>
      <c r="L250" s="1"/>
      <c r="M250" s="1"/>
      <c r="N250" s="1"/>
      <c r="O250" s="1"/>
      <c r="P250" s="1"/>
      <c r="Q250" s="1"/>
      <c r="R250" s="1"/>
      <c r="S250" s="1"/>
      <c r="T250" s="1"/>
      <c r="U250" s="2"/>
      <c r="V250" s="1"/>
      <c r="W250" s="1"/>
      <c r="X250" s="1"/>
      <c r="Y250" s="1"/>
      <c r="Z250" s="1"/>
    </row>
    <row r="251" spans="1:26" ht="24.75" customHeight="1">
      <c r="A251" s="1"/>
      <c r="B251" s="1"/>
      <c r="C251" s="1"/>
      <c r="D251" s="1"/>
      <c r="E251" s="1"/>
      <c r="F251" s="1"/>
      <c r="G251" s="1"/>
      <c r="H251" s="1"/>
      <c r="I251" s="1"/>
      <c r="J251" s="1"/>
      <c r="K251" s="1"/>
      <c r="L251" s="1"/>
      <c r="M251" s="1"/>
      <c r="N251" s="1"/>
      <c r="O251" s="1"/>
      <c r="P251" s="1"/>
      <c r="Q251" s="1"/>
      <c r="R251" s="1"/>
      <c r="S251" s="1"/>
      <c r="T251" s="1"/>
      <c r="U251" s="2"/>
      <c r="V251" s="1"/>
      <c r="W251" s="1"/>
      <c r="X251" s="1"/>
      <c r="Y251" s="1"/>
      <c r="Z251" s="1"/>
    </row>
    <row r="252" spans="1:26" ht="24.75" customHeight="1">
      <c r="A252" s="1"/>
      <c r="B252" s="1"/>
      <c r="C252" s="1"/>
      <c r="D252" s="1"/>
      <c r="E252" s="1"/>
      <c r="F252" s="1"/>
      <c r="G252" s="1"/>
      <c r="H252" s="1"/>
      <c r="I252" s="1"/>
      <c r="J252" s="1"/>
      <c r="K252" s="1"/>
      <c r="L252" s="1"/>
      <c r="M252" s="1"/>
      <c r="N252" s="1"/>
      <c r="O252" s="1"/>
      <c r="P252" s="1"/>
      <c r="Q252" s="1"/>
      <c r="R252" s="1"/>
      <c r="S252" s="1"/>
      <c r="T252" s="1"/>
      <c r="U252" s="2"/>
      <c r="V252" s="1"/>
      <c r="W252" s="1"/>
      <c r="X252" s="1"/>
      <c r="Y252" s="1"/>
      <c r="Z252" s="1"/>
    </row>
    <row r="253" spans="1:26" ht="24.75" customHeight="1">
      <c r="A253" s="1"/>
      <c r="B253" s="1"/>
      <c r="C253" s="1"/>
      <c r="D253" s="1"/>
      <c r="E253" s="1"/>
      <c r="F253" s="1"/>
      <c r="G253" s="1"/>
      <c r="H253" s="1"/>
      <c r="I253" s="1"/>
      <c r="J253" s="1"/>
      <c r="K253" s="1"/>
      <c r="L253" s="1"/>
      <c r="M253" s="1"/>
      <c r="N253" s="1"/>
      <c r="O253" s="1"/>
      <c r="P253" s="1"/>
      <c r="Q253" s="1"/>
      <c r="R253" s="1"/>
      <c r="S253" s="1"/>
      <c r="T253" s="1"/>
      <c r="U253" s="2"/>
      <c r="V253" s="1"/>
      <c r="W253" s="1"/>
      <c r="X253" s="1"/>
      <c r="Y253" s="1"/>
      <c r="Z253" s="1"/>
    </row>
    <row r="254" spans="1:26" ht="24.75" customHeight="1">
      <c r="A254" s="1"/>
      <c r="B254" s="1"/>
      <c r="C254" s="1"/>
      <c r="D254" s="1"/>
      <c r="E254" s="1"/>
      <c r="F254" s="1"/>
      <c r="G254" s="1"/>
      <c r="H254" s="1"/>
      <c r="I254" s="1"/>
      <c r="J254" s="1"/>
      <c r="K254" s="1"/>
      <c r="L254" s="1"/>
      <c r="M254" s="1"/>
      <c r="N254" s="1"/>
      <c r="O254" s="1"/>
      <c r="P254" s="1"/>
      <c r="Q254" s="1"/>
      <c r="R254" s="1"/>
      <c r="S254" s="1"/>
      <c r="T254" s="1"/>
      <c r="U254" s="2"/>
      <c r="V254" s="1"/>
      <c r="W254" s="1"/>
      <c r="X254" s="1"/>
      <c r="Y254" s="1"/>
      <c r="Z254" s="1"/>
    </row>
    <row r="255" spans="1:26" ht="24.75" customHeight="1">
      <c r="A255" s="1"/>
      <c r="B255" s="1"/>
      <c r="C255" s="1"/>
      <c r="D255" s="1"/>
      <c r="E255" s="1"/>
      <c r="F255" s="1"/>
      <c r="G255" s="1"/>
      <c r="H255" s="1"/>
      <c r="I255" s="1"/>
      <c r="J255" s="1"/>
      <c r="K255" s="1"/>
      <c r="L255" s="1"/>
      <c r="M255" s="1"/>
      <c r="N255" s="1"/>
      <c r="O255" s="1"/>
      <c r="P255" s="1"/>
      <c r="Q255" s="1"/>
      <c r="R255" s="1"/>
      <c r="S255" s="1"/>
      <c r="T255" s="1"/>
      <c r="U255" s="2"/>
      <c r="V255" s="1"/>
      <c r="W255" s="1"/>
      <c r="X255" s="1"/>
      <c r="Y255" s="1"/>
      <c r="Z255" s="1"/>
    </row>
    <row r="256" spans="1:26" ht="24.75" customHeight="1">
      <c r="A256" s="1"/>
      <c r="B256" s="1"/>
      <c r="C256" s="1"/>
      <c r="D256" s="1"/>
      <c r="E256" s="1"/>
      <c r="F256" s="1"/>
      <c r="G256" s="1"/>
      <c r="H256" s="1"/>
      <c r="I256" s="1"/>
      <c r="J256" s="1"/>
      <c r="K256" s="1"/>
      <c r="L256" s="1"/>
      <c r="M256" s="1"/>
      <c r="N256" s="1"/>
      <c r="O256" s="1"/>
      <c r="P256" s="1"/>
      <c r="Q256" s="1"/>
      <c r="R256" s="1"/>
      <c r="S256" s="1"/>
      <c r="T256" s="1"/>
      <c r="U256" s="2"/>
      <c r="V256" s="1"/>
      <c r="W256" s="1"/>
      <c r="X256" s="1"/>
      <c r="Y256" s="1"/>
      <c r="Z256" s="1"/>
    </row>
    <row r="257" spans="1:26" ht="24.75" customHeight="1">
      <c r="A257" s="1"/>
      <c r="B257" s="1"/>
      <c r="C257" s="1"/>
      <c r="D257" s="1"/>
      <c r="E257" s="1"/>
      <c r="F257" s="1"/>
      <c r="G257" s="1"/>
      <c r="H257" s="1"/>
      <c r="I257" s="1"/>
      <c r="J257" s="1"/>
      <c r="K257" s="1"/>
      <c r="L257" s="1"/>
      <c r="M257" s="1"/>
      <c r="N257" s="1"/>
      <c r="O257" s="1"/>
      <c r="P257" s="1"/>
      <c r="Q257" s="1"/>
      <c r="R257" s="1"/>
      <c r="S257" s="1"/>
      <c r="T257" s="1"/>
      <c r="U257" s="2"/>
      <c r="V257" s="1"/>
      <c r="W257" s="1"/>
      <c r="X257" s="1"/>
      <c r="Y257" s="1"/>
      <c r="Z257" s="1"/>
    </row>
    <row r="258" spans="1:26" ht="24.75" customHeight="1">
      <c r="A258" s="1"/>
      <c r="B258" s="1"/>
      <c r="C258" s="1"/>
      <c r="D258" s="1"/>
      <c r="E258" s="1"/>
      <c r="F258" s="1"/>
      <c r="G258" s="1"/>
      <c r="H258" s="1"/>
      <c r="I258" s="1"/>
      <c r="J258" s="1"/>
      <c r="K258" s="1"/>
      <c r="L258" s="1"/>
      <c r="M258" s="1"/>
      <c r="N258" s="1"/>
      <c r="O258" s="1"/>
      <c r="P258" s="1"/>
      <c r="Q258" s="1"/>
      <c r="R258" s="1"/>
      <c r="S258" s="1"/>
      <c r="T258" s="1"/>
      <c r="U258" s="2"/>
      <c r="V258" s="1"/>
      <c r="W258" s="1"/>
      <c r="X258" s="1"/>
      <c r="Y258" s="1"/>
      <c r="Z258" s="1"/>
    </row>
    <row r="259" spans="1:26" ht="24.75" customHeight="1">
      <c r="A259" s="1"/>
      <c r="B259" s="1"/>
      <c r="C259" s="1"/>
      <c r="D259" s="1"/>
      <c r="E259" s="1"/>
      <c r="F259" s="1"/>
      <c r="G259" s="1"/>
      <c r="H259" s="1"/>
      <c r="I259" s="1"/>
      <c r="J259" s="1"/>
      <c r="K259" s="1"/>
      <c r="L259" s="1"/>
      <c r="M259" s="1"/>
      <c r="N259" s="1"/>
      <c r="O259" s="1"/>
      <c r="P259" s="1"/>
      <c r="Q259" s="1"/>
      <c r="R259" s="1"/>
      <c r="S259" s="1"/>
      <c r="T259" s="1"/>
      <c r="U259" s="2"/>
      <c r="V259" s="1"/>
      <c r="W259" s="1"/>
      <c r="X259" s="1"/>
      <c r="Y259" s="1"/>
      <c r="Z259" s="1"/>
    </row>
    <row r="260" spans="1:26" ht="24.75" customHeight="1">
      <c r="A260" s="1"/>
      <c r="B260" s="1"/>
      <c r="C260" s="1"/>
      <c r="D260" s="1"/>
      <c r="E260" s="1"/>
      <c r="F260" s="1"/>
      <c r="G260" s="1"/>
      <c r="H260" s="1"/>
      <c r="I260" s="1"/>
      <c r="J260" s="1"/>
      <c r="K260" s="1"/>
      <c r="L260" s="1"/>
      <c r="M260" s="1"/>
      <c r="N260" s="1"/>
      <c r="O260" s="1"/>
      <c r="P260" s="1"/>
      <c r="Q260" s="1"/>
      <c r="R260" s="1"/>
      <c r="S260" s="1"/>
      <c r="T260" s="1"/>
      <c r="U260" s="2"/>
      <c r="V260" s="1"/>
      <c r="W260" s="1"/>
      <c r="X260" s="1"/>
      <c r="Y260" s="1"/>
      <c r="Z260" s="1"/>
    </row>
    <row r="261" spans="1:26" ht="24.75" customHeight="1">
      <c r="A261" s="1"/>
      <c r="B261" s="1"/>
      <c r="C261" s="1"/>
      <c r="D261" s="1"/>
      <c r="E261" s="1"/>
      <c r="F261" s="1"/>
      <c r="G261" s="1"/>
      <c r="H261" s="1"/>
      <c r="I261" s="1"/>
      <c r="J261" s="1"/>
      <c r="K261" s="1"/>
      <c r="L261" s="1"/>
      <c r="M261" s="1"/>
      <c r="N261" s="1"/>
      <c r="O261" s="1"/>
      <c r="P261" s="1"/>
      <c r="Q261" s="1"/>
      <c r="R261" s="1"/>
      <c r="S261" s="1"/>
      <c r="T261" s="1"/>
      <c r="U261" s="2"/>
      <c r="V261" s="1"/>
      <c r="W261" s="1"/>
      <c r="X261" s="1"/>
      <c r="Y261" s="1"/>
      <c r="Z261" s="1"/>
    </row>
    <row r="262" spans="1:26" ht="24.75" customHeight="1">
      <c r="A262" s="1"/>
      <c r="B262" s="1"/>
      <c r="C262" s="1"/>
      <c r="D262" s="1"/>
      <c r="E262" s="1"/>
      <c r="F262" s="1"/>
      <c r="G262" s="1"/>
      <c r="H262" s="1"/>
      <c r="I262" s="1"/>
      <c r="J262" s="1"/>
      <c r="K262" s="1"/>
      <c r="L262" s="1"/>
      <c r="M262" s="1"/>
      <c r="N262" s="1"/>
      <c r="O262" s="1"/>
      <c r="P262" s="1"/>
      <c r="Q262" s="1"/>
      <c r="R262" s="1"/>
      <c r="S262" s="1"/>
      <c r="T262" s="1"/>
      <c r="U262" s="2"/>
      <c r="V262" s="1"/>
      <c r="W262" s="1"/>
      <c r="X262" s="1"/>
      <c r="Y262" s="1"/>
      <c r="Z262" s="1"/>
    </row>
    <row r="263" spans="1:26" ht="24.75" customHeight="1">
      <c r="A263" s="1"/>
      <c r="B263" s="1"/>
      <c r="C263" s="1"/>
      <c r="D263" s="1"/>
      <c r="E263" s="1"/>
      <c r="F263" s="1"/>
      <c r="G263" s="1"/>
      <c r="H263" s="1"/>
      <c r="I263" s="1"/>
      <c r="J263" s="1"/>
      <c r="K263" s="1"/>
      <c r="L263" s="1"/>
      <c r="M263" s="1"/>
      <c r="N263" s="1"/>
      <c r="O263" s="1"/>
      <c r="P263" s="1"/>
      <c r="Q263" s="1"/>
      <c r="R263" s="1"/>
      <c r="S263" s="1"/>
      <c r="T263" s="1"/>
      <c r="U263" s="2"/>
      <c r="V263" s="1"/>
      <c r="W263" s="1"/>
      <c r="X263" s="1"/>
      <c r="Y263" s="1"/>
      <c r="Z263" s="1"/>
    </row>
    <row r="264" spans="1:26" ht="24.75" customHeight="1">
      <c r="A264" s="1"/>
      <c r="B264" s="1"/>
      <c r="C264" s="1"/>
      <c r="D264" s="1"/>
      <c r="E264" s="1"/>
      <c r="F264" s="1"/>
      <c r="G264" s="1"/>
      <c r="H264" s="1"/>
      <c r="I264" s="1"/>
      <c r="J264" s="1"/>
      <c r="K264" s="1"/>
      <c r="L264" s="1"/>
      <c r="M264" s="1"/>
      <c r="N264" s="1"/>
      <c r="O264" s="1"/>
      <c r="P264" s="1"/>
      <c r="Q264" s="1"/>
      <c r="R264" s="1"/>
      <c r="S264" s="1"/>
      <c r="T264" s="1"/>
      <c r="U264" s="2"/>
      <c r="V264" s="1"/>
      <c r="W264" s="1"/>
      <c r="X264" s="1"/>
      <c r="Y264" s="1"/>
      <c r="Z264" s="1"/>
    </row>
    <row r="265" spans="1:26" ht="24.75" customHeight="1">
      <c r="A265" s="1"/>
      <c r="B265" s="1"/>
      <c r="C265" s="1"/>
      <c r="D265" s="1"/>
      <c r="E265" s="1"/>
      <c r="F265" s="1"/>
      <c r="G265" s="1"/>
      <c r="H265" s="1"/>
      <c r="I265" s="1"/>
      <c r="J265" s="1"/>
      <c r="K265" s="1"/>
      <c r="L265" s="1"/>
      <c r="M265" s="1"/>
      <c r="N265" s="1"/>
      <c r="O265" s="1"/>
      <c r="P265" s="1"/>
      <c r="Q265" s="1"/>
      <c r="R265" s="1"/>
      <c r="S265" s="1"/>
      <c r="T265" s="1"/>
      <c r="U265" s="2"/>
      <c r="V265" s="1"/>
      <c r="W265" s="1"/>
      <c r="X265" s="1"/>
      <c r="Y265" s="1"/>
      <c r="Z265" s="1"/>
    </row>
    <row r="266" spans="1:26" ht="24.75" customHeight="1">
      <c r="A266" s="1"/>
      <c r="B266" s="1"/>
      <c r="C266" s="1"/>
      <c r="D266" s="1"/>
      <c r="E266" s="1"/>
      <c r="F266" s="1"/>
      <c r="G266" s="1"/>
      <c r="H266" s="1"/>
      <c r="I266" s="1"/>
      <c r="J266" s="1"/>
      <c r="K266" s="1"/>
      <c r="L266" s="1"/>
      <c r="M266" s="1"/>
      <c r="N266" s="1"/>
      <c r="O266" s="1"/>
      <c r="P266" s="1"/>
      <c r="Q266" s="1"/>
      <c r="R266" s="1"/>
      <c r="S266" s="1"/>
      <c r="T266" s="1"/>
      <c r="U266" s="2"/>
      <c r="V266" s="1"/>
      <c r="W266" s="1"/>
      <c r="X266" s="1"/>
      <c r="Y266" s="1"/>
      <c r="Z266" s="1"/>
    </row>
    <row r="267" spans="1:26" ht="24.75" customHeight="1">
      <c r="A267" s="1"/>
      <c r="B267" s="1"/>
      <c r="C267" s="1"/>
      <c r="D267" s="1"/>
      <c r="E267" s="1"/>
      <c r="F267" s="1"/>
      <c r="G267" s="1"/>
      <c r="H267" s="1"/>
      <c r="I267" s="1"/>
      <c r="J267" s="1"/>
      <c r="K267" s="1"/>
      <c r="L267" s="1"/>
      <c r="M267" s="1"/>
      <c r="N267" s="1"/>
      <c r="O267" s="1"/>
      <c r="P267" s="1"/>
      <c r="Q267" s="1"/>
      <c r="R267" s="1"/>
      <c r="S267" s="1"/>
      <c r="T267" s="1"/>
      <c r="U267" s="2"/>
      <c r="V267" s="1"/>
      <c r="W267" s="1"/>
      <c r="X267" s="1"/>
      <c r="Y267" s="1"/>
      <c r="Z267" s="1"/>
    </row>
    <row r="268" spans="1:26" ht="24.75" customHeight="1">
      <c r="A268" s="1"/>
      <c r="B268" s="1"/>
      <c r="C268" s="1"/>
      <c r="D268" s="1"/>
      <c r="E268" s="1"/>
      <c r="F268" s="1"/>
      <c r="G268" s="1"/>
      <c r="H268" s="1"/>
      <c r="I268" s="1"/>
      <c r="J268" s="1"/>
      <c r="K268" s="1"/>
      <c r="L268" s="1"/>
      <c r="M268" s="1"/>
      <c r="N268" s="1"/>
      <c r="O268" s="1"/>
      <c r="P268" s="1"/>
      <c r="Q268" s="1"/>
      <c r="R268" s="1"/>
      <c r="S268" s="1"/>
      <c r="T268" s="1"/>
      <c r="U268" s="2"/>
      <c r="V268" s="1"/>
      <c r="W268" s="1"/>
      <c r="X268" s="1"/>
      <c r="Y268" s="1"/>
      <c r="Z268" s="1"/>
    </row>
    <row r="269" spans="1:26" ht="24.75" customHeight="1">
      <c r="A269" s="1"/>
      <c r="B269" s="1"/>
      <c r="C269" s="1"/>
      <c r="D269" s="1"/>
      <c r="E269" s="1"/>
      <c r="F269" s="1"/>
      <c r="G269" s="1"/>
      <c r="H269" s="1"/>
      <c r="I269" s="1"/>
      <c r="J269" s="1"/>
      <c r="K269" s="1"/>
      <c r="L269" s="1"/>
      <c r="M269" s="1"/>
      <c r="N269" s="1"/>
      <c r="O269" s="1"/>
      <c r="P269" s="1"/>
      <c r="Q269" s="1"/>
      <c r="R269" s="1"/>
      <c r="S269" s="1"/>
      <c r="T269" s="1"/>
      <c r="U269" s="2"/>
      <c r="V269" s="1"/>
      <c r="W269" s="1"/>
      <c r="X269" s="1"/>
      <c r="Y269" s="1"/>
      <c r="Z269" s="1"/>
    </row>
    <row r="270" spans="1:26" ht="24.75" customHeight="1">
      <c r="A270" s="1"/>
      <c r="B270" s="1"/>
      <c r="C270" s="1"/>
      <c r="D270" s="1"/>
      <c r="E270" s="1"/>
      <c r="F270" s="1"/>
      <c r="G270" s="1"/>
      <c r="H270" s="1"/>
      <c r="I270" s="1"/>
      <c r="J270" s="1"/>
      <c r="K270" s="1"/>
      <c r="L270" s="1"/>
      <c r="M270" s="1"/>
      <c r="N270" s="1"/>
      <c r="O270" s="1"/>
      <c r="P270" s="1"/>
      <c r="Q270" s="1"/>
      <c r="R270" s="1"/>
      <c r="S270" s="1"/>
      <c r="T270" s="1"/>
      <c r="U270" s="2"/>
      <c r="V270" s="1"/>
      <c r="W270" s="1"/>
      <c r="X270" s="1"/>
      <c r="Y270" s="1"/>
      <c r="Z270" s="1"/>
    </row>
    <row r="271" spans="1:26" ht="24.75" customHeight="1">
      <c r="A271" s="1"/>
      <c r="B271" s="1"/>
      <c r="C271" s="1"/>
      <c r="D271" s="1"/>
      <c r="E271" s="1"/>
      <c r="F271" s="1"/>
      <c r="G271" s="1"/>
      <c r="H271" s="1"/>
      <c r="I271" s="1"/>
      <c r="J271" s="1"/>
      <c r="K271" s="1"/>
      <c r="L271" s="1"/>
      <c r="M271" s="1"/>
      <c r="N271" s="1"/>
      <c r="O271" s="1"/>
      <c r="P271" s="1"/>
      <c r="Q271" s="1"/>
      <c r="R271" s="1"/>
      <c r="S271" s="1"/>
      <c r="T271" s="1"/>
      <c r="U271" s="2"/>
      <c r="V271" s="1"/>
      <c r="W271" s="1"/>
      <c r="X271" s="1"/>
      <c r="Y271" s="1"/>
      <c r="Z271" s="1"/>
    </row>
    <row r="272" spans="1:26" ht="24.75" customHeight="1">
      <c r="A272" s="1"/>
      <c r="B272" s="1"/>
      <c r="C272" s="1"/>
      <c r="D272" s="1"/>
      <c r="E272" s="1"/>
      <c r="F272" s="1"/>
      <c r="G272" s="1"/>
      <c r="H272" s="1"/>
      <c r="I272" s="1"/>
      <c r="J272" s="1"/>
      <c r="K272" s="1"/>
      <c r="L272" s="1"/>
      <c r="M272" s="1"/>
      <c r="N272" s="1"/>
      <c r="O272" s="1"/>
      <c r="P272" s="1"/>
      <c r="Q272" s="1"/>
      <c r="R272" s="1"/>
      <c r="S272" s="1"/>
      <c r="T272" s="1"/>
      <c r="U272" s="2"/>
      <c r="V272" s="1"/>
      <c r="W272" s="1"/>
      <c r="X272" s="1"/>
      <c r="Y272" s="1"/>
      <c r="Z272" s="1"/>
    </row>
    <row r="273" spans="1:26" ht="24.75" customHeight="1">
      <c r="A273" s="1"/>
      <c r="B273" s="1"/>
      <c r="C273" s="1"/>
      <c r="D273" s="1"/>
      <c r="E273" s="1"/>
      <c r="F273" s="1"/>
      <c r="G273" s="1"/>
      <c r="H273" s="1"/>
      <c r="I273" s="1"/>
      <c r="J273" s="1"/>
      <c r="K273" s="1"/>
      <c r="L273" s="1"/>
      <c r="M273" s="1"/>
      <c r="N273" s="1"/>
      <c r="O273" s="1"/>
      <c r="P273" s="1"/>
      <c r="Q273" s="1"/>
      <c r="R273" s="1"/>
      <c r="S273" s="1"/>
      <c r="T273" s="1"/>
      <c r="U273" s="2"/>
      <c r="V273" s="1"/>
      <c r="W273" s="1"/>
      <c r="X273" s="1"/>
      <c r="Y273" s="1"/>
      <c r="Z273" s="1"/>
    </row>
    <row r="274" spans="1:26" ht="24.75" customHeight="1">
      <c r="A274" s="1"/>
      <c r="B274" s="1"/>
      <c r="C274" s="1"/>
      <c r="D274" s="1"/>
      <c r="E274" s="1"/>
      <c r="F274" s="1"/>
      <c r="G274" s="1"/>
      <c r="H274" s="1"/>
      <c r="I274" s="1"/>
      <c r="J274" s="1"/>
      <c r="K274" s="1"/>
      <c r="L274" s="1"/>
      <c r="M274" s="1"/>
      <c r="N274" s="1"/>
      <c r="O274" s="1"/>
      <c r="P274" s="1"/>
      <c r="Q274" s="1"/>
      <c r="R274" s="1"/>
      <c r="S274" s="1"/>
      <c r="T274" s="1"/>
      <c r="U274" s="2"/>
      <c r="V274" s="1"/>
      <c r="W274" s="1"/>
      <c r="X274" s="1"/>
      <c r="Y274" s="1"/>
      <c r="Z274" s="1"/>
    </row>
    <row r="275" spans="1:26" ht="24.75" customHeight="1">
      <c r="A275" s="1"/>
      <c r="B275" s="1"/>
      <c r="C275" s="1"/>
      <c r="D275" s="1"/>
      <c r="E275" s="1"/>
      <c r="F275" s="1"/>
      <c r="G275" s="1"/>
      <c r="H275" s="1"/>
      <c r="I275" s="1"/>
      <c r="J275" s="1"/>
      <c r="K275" s="1"/>
      <c r="L275" s="1"/>
      <c r="M275" s="1"/>
      <c r="N275" s="1"/>
      <c r="O275" s="1"/>
      <c r="P275" s="1"/>
      <c r="Q275" s="1"/>
      <c r="R275" s="1"/>
      <c r="S275" s="1"/>
      <c r="T275" s="1"/>
      <c r="U275" s="2"/>
      <c r="V275" s="1"/>
      <c r="W275" s="1"/>
      <c r="X275" s="1"/>
      <c r="Y275" s="1"/>
      <c r="Z275" s="1"/>
    </row>
    <row r="276" spans="1:26" ht="24.75" customHeight="1">
      <c r="A276" s="1"/>
      <c r="B276" s="1"/>
      <c r="C276" s="1"/>
      <c r="D276" s="1"/>
      <c r="E276" s="1"/>
      <c r="F276" s="1"/>
      <c r="G276" s="1"/>
      <c r="H276" s="1"/>
      <c r="I276" s="1"/>
      <c r="J276" s="1"/>
      <c r="K276" s="1"/>
      <c r="L276" s="1"/>
      <c r="M276" s="1"/>
      <c r="N276" s="1"/>
      <c r="O276" s="1"/>
      <c r="P276" s="1"/>
      <c r="Q276" s="1"/>
      <c r="R276" s="1"/>
      <c r="S276" s="1"/>
      <c r="T276" s="1"/>
      <c r="U276" s="2"/>
      <c r="V276" s="1"/>
      <c r="W276" s="1"/>
      <c r="X276" s="1"/>
      <c r="Y276" s="1"/>
      <c r="Z276" s="1"/>
    </row>
    <row r="277" spans="1:26" ht="24.75" customHeight="1">
      <c r="A277" s="1"/>
      <c r="B277" s="1"/>
      <c r="C277" s="1"/>
      <c r="D277" s="1"/>
      <c r="E277" s="1"/>
      <c r="F277" s="1"/>
      <c r="G277" s="1"/>
      <c r="H277" s="1"/>
      <c r="I277" s="1"/>
      <c r="J277" s="1"/>
      <c r="K277" s="1"/>
      <c r="L277" s="1"/>
      <c r="M277" s="1"/>
      <c r="N277" s="1"/>
      <c r="O277" s="1"/>
      <c r="P277" s="1"/>
      <c r="Q277" s="1"/>
      <c r="R277" s="1"/>
      <c r="S277" s="1"/>
      <c r="T277" s="1"/>
      <c r="U277" s="2"/>
      <c r="V277" s="1"/>
      <c r="W277" s="1"/>
      <c r="X277" s="1"/>
      <c r="Y277" s="1"/>
      <c r="Z277" s="1"/>
    </row>
    <row r="278" spans="1:26" ht="24.75" customHeight="1">
      <c r="A278" s="1"/>
      <c r="B278" s="1"/>
      <c r="C278" s="1"/>
      <c r="D278" s="1"/>
      <c r="E278" s="1"/>
      <c r="F278" s="1"/>
      <c r="G278" s="1"/>
      <c r="H278" s="1"/>
      <c r="I278" s="1"/>
      <c r="J278" s="1"/>
      <c r="K278" s="1"/>
      <c r="L278" s="1"/>
      <c r="M278" s="1"/>
      <c r="N278" s="1"/>
      <c r="O278" s="1"/>
      <c r="P278" s="1"/>
      <c r="Q278" s="1"/>
      <c r="R278" s="1"/>
      <c r="S278" s="1"/>
      <c r="T278" s="1"/>
      <c r="U278" s="2"/>
      <c r="V278" s="1"/>
      <c r="W278" s="1"/>
      <c r="X278" s="1"/>
      <c r="Y278" s="1"/>
      <c r="Z278" s="1"/>
    </row>
    <row r="279" spans="1:26" ht="24.75" customHeight="1">
      <c r="A279" s="1"/>
      <c r="B279" s="1"/>
      <c r="C279" s="1"/>
      <c r="D279" s="1"/>
      <c r="E279" s="1"/>
      <c r="F279" s="1"/>
      <c r="G279" s="1"/>
      <c r="H279" s="1"/>
      <c r="I279" s="1"/>
      <c r="J279" s="1"/>
      <c r="K279" s="1"/>
      <c r="L279" s="1"/>
      <c r="M279" s="1"/>
      <c r="N279" s="1"/>
      <c r="O279" s="1"/>
      <c r="P279" s="1"/>
      <c r="Q279" s="1"/>
      <c r="R279" s="1"/>
      <c r="S279" s="1"/>
      <c r="T279" s="1"/>
      <c r="U279" s="2"/>
      <c r="V279" s="1"/>
      <c r="W279" s="1"/>
      <c r="X279" s="1"/>
      <c r="Y279" s="1"/>
      <c r="Z279" s="1"/>
    </row>
    <row r="280" spans="1:26" ht="24.75" customHeight="1">
      <c r="A280" s="1"/>
      <c r="B280" s="1"/>
      <c r="C280" s="1"/>
      <c r="D280" s="1"/>
      <c r="E280" s="1"/>
      <c r="F280" s="1"/>
      <c r="G280" s="1"/>
      <c r="H280" s="1"/>
      <c r="I280" s="1"/>
      <c r="J280" s="1"/>
      <c r="K280" s="1"/>
      <c r="L280" s="1"/>
      <c r="M280" s="1"/>
      <c r="N280" s="1"/>
      <c r="O280" s="1"/>
      <c r="P280" s="1"/>
      <c r="Q280" s="1"/>
      <c r="R280" s="1"/>
      <c r="S280" s="1"/>
      <c r="T280" s="1"/>
      <c r="U280" s="2"/>
      <c r="V280" s="1"/>
      <c r="W280" s="1"/>
      <c r="X280" s="1"/>
      <c r="Y280" s="1"/>
      <c r="Z280" s="1"/>
    </row>
    <row r="281" spans="1:26" ht="24.75" customHeight="1">
      <c r="A281" s="1"/>
      <c r="B281" s="1"/>
      <c r="C281" s="1"/>
      <c r="D281" s="1"/>
      <c r="E281" s="1"/>
      <c r="F281" s="1"/>
      <c r="G281" s="1"/>
      <c r="H281" s="1"/>
      <c r="I281" s="1"/>
      <c r="J281" s="1"/>
      <c r="K281" s="1"/>
      <c r="L281" s="1"/>
      <c r="M281" s="1"/>
      <c r="N281" s="1"/>
      <c r="O281" s="1"/>
      <c r="P281" s="1"/>
      <c r="Q281" s="1"/>
      <c r="R281" s="1"/>
      <c r="S281" s="1"/>
      <c r="T281" s="1"/>
      <c r="U281" s="2"/>
      <c r="V281" s="1"/>
      <c r="W281" s="1"/>
      <c r="X281" s="1"/>
      <c r="Y281" s="1"/>
      <c r="Z281" s="1"/>
    </row>
    <row r="282" spans="1:26" ht="24.75" customHeight="1">
      <c r="A282" s="1"/>
      <c r="B282" s="1"/>
      <c r="C282" s="1"/>
      <c r="D282" s="1"/>
      <c r="E282" s="1"/>
      <c r="F282" s="1"/>
      <c r="G282" s="1"/>
      <c r="H282" s="1"/>
      <c r="I282" s="1"/>
      <c r="J282" s="1"/>
      <c r="K282" s="1"/>
      <c r="L282" s="1"/>
      <c r="M282" s="1"/>
      <c r="N282" s="1"/>
      <c r="O282" s="1"/>
      <c r="P282" s="1"/>
      <c r="Q282" s="1"/>
      <c r="R282" s="1"/>
      <c r="S282" s="1"/>
      <c r="T282" s="1"/>
      <c r="U282" s="2"/>
      <c r="V282" s="1"/>
      <c r="W282" s="1"/>
      <c r="X282" s="1"/>
      <c r="Y282" s="1"/>
      <c r="Z282" s="1"/>
    </row>
    <row r="283" spans="1:26" ht="24.75" customHeight="1">
      <c r="A283" s="1"/>
      <c r="B283" s="1"/>
      <c r="C283" s="1"/>
      <c r="D283" s="1"/>
      <c r="E283" s="1"/>
      <c r="F283" s="1"/>
      <c r="G283" s="1"/>
      <c r="H283" s="1"/>
      <c r="I283" s="1"/>
      <c r="J283" s="1"/>
      <c r="K283" s="1"/>
      <c r="L283" s="1"/>
      <c r="M283" s="1"/>
      <c r="N283" s="1"/>
      <c r="O283" s="1"/>
      <c r="P283" s="1"/>
      <c r="Q283" s="1"/>
      <c r="R283" s="1"/>
      <c r="S283" s="1"/>
      <c r="T283" s="1"/>
      <c r="U283" s="2"/>
      <c r="V283" s="1"/>
      <c r="W283" s="1"/>
      <c r="X283" s="1"/>
      <c r="Y283" s="1"/>
      <c r="Z283" s="1"/>
    </row>
    <row r="284" spans="1:26" ht="24.75" customHeight="1">
      <c r="A284" s="1"/>
      <c r="B284" s="1"/>
      <c r="C284" s="1"/>
      <c r="D284" s="1"/>
      <c r="E284" s="1"/>
      <c r="F284" s="1"/>
      <c r="G284" s="1"/>
      <c r="H284" s="1"/>
      <c r="I284" s="1"/>
      <c r="J284" s="1"/>
      <c r="K284" s="1"/>
      <c r="L284" s="1"/>
      <c r="M284" s="1"/>
      <c r="N284" s="1"/>
      <c r="O284" s="1"/>
      <c r="P284" s="1"/>
      <c r="Q284" s="1"/>
      <c r="R284" s="1"/>
      <c r="S284" s="1"/>
      <c r="T284" s="1"/>
      <c r="U284" s="2"/>
      <c r="V284" s="1"/>
      <c r="W284" s="1"/>
      <c r="X284" s="1"/>
      <c r="Y284" s="1"/>
      <c r="Z284" s="1"/>
    </row>
    <row r="285" spans="1:26" ht="24.75" customHeight="1">
      <c r="A285" s="1"/>
      <c r="B285" s="1"/>
      <c r="C285" s="1"/>
      <c r="D285" s="1"/>
      <c r="E285" s="1"/>
      <c r="F285" s="1"/>
      <c r="G285" s="1"/>
      <c r="H285" s="1"/>
      <c r="I285" s="1"/>
      <c r="J285" s="1"/>
      <c r="K285" s="1"/>
      <c r="L285" s="1"/>
      <c r="M285" s="1"/>
      <c r="N285" s="1"/>
      <c r="O285" s="1"/>
      <c r="P285" s="1"/>
      <c r="Q285" s="1"/>
      <c r="R285" s="1"/>
      <c r="S285" s="1"/>
      <c r="T285" s="1"/>
      <c r="U285" s="2"/>
      <c r="V285" s="1"/>
      <c r="W285" s="1"/>
      <c r="X285" s="1"/>
      <c r="Y285" s="1"/>
      <c r="Z285" s="1"/>
    </row>
    <row r="286" spans="1:26" ht="24.75" customHeight="1">
      <c r="A286" s="1"/>
      <c r="B286" s="1"/>
      <c r="C286" s="1"/>
      <c r="D286" s="1"/>
      <c r="E286" s="1"/>
      <c r="F286" s="1"/>
      <c r="G286" s="1"/>
      <c r="H286" s="1"/>
      <c r="I286" s="1"/>
      <c r="J286" s="1"/>
      <c r="K286" s="1"/>
      <c r="L286" s="1"/>
      <c r="M286" s="1"/>
      <c r="N286" s="1"/>
      <c r="O286" s="1"/>
      <c r="P286" s="1"/>
      <c r="Q286" s="1"/>
      <c r="R286" s="1"/>
      <c r="S286" s="1"/>
      <c r="T286" s="1"/>
      <c r="U286" s="2"/>
      <c r="V286" s="1"/>
      <c r="W286" s="1"/>
      <c r="X286" s="1"/>
      <c r="Y286" s="1"/>
      <c r="Z286" s="1"/>
    </row>
    <row r="287" spans="1:26" ht="24.75" customHeight="1">
      <c r="A287" s="1"/>
      <c r="B287" s="1"/>
      <c r="C287" s="1"/>
      <c r="D287" s="1"/>
      <c r="E287" s="1"/>
      <c r="F287" s="1"/>
      <c r="G287" s="1"/>
      <c r="H287" s="1"/>
      <c r="I287" s="1"/>
      <c r="J287" s="1"/>
      <c r="K287" s="1"/>
      <c r="L287" s="1"/>
      <c r="M287" s="1"/>
      <c r="N287" s="1"/>
      <c r="O287" s="1"/>
      <c r="P287" s="1"/>
      <c r="Q287" s="1"/>
      <c r="R287" s="1"/>
      <c r="S287" s="1"/>
      <c r="T287" s="1"/>
      <c r="U287" s="2"/>
      <c r="V287" s="1"/>
      <c r="W287" s="1"/>
      <c r="X287" s="1"/>
      <c r="Y287" s="1"/>
      <c r="Z287" s="1"/>
    </row>
    <row r="288" spans="1:26" ht="24.75" customHeight="1">
      <c r="A288" s="1"/>
      <c r="B288" s="1"/>
      <c r="C288" s="1"/>
      <c r="D288" s="1"/>
      <c r="E288" s="1"/>
      <c r="F288" s="1"/>
      <c r="G288" s="1"/>
      <c r="H288" s="1"/>
      <c r="I288" s="1"/>
      <c r="J288" s="1"/>
      <c r="K288" s="1"/>
      <c r="L288" s="1"/>
      <c r="M288" s="1"/>
      <c r="N288" s="1"/>
      <c r="O288" s="1"/>
      <c r="P288" s="1"/>
      <c r="Q288" s="1"/>
      <c r="R288" s="1"/>
      <c r="S288" s="1"/>
      <c r="T288" s="1"/>
      <c r="U288" s="2"/>
      <c r="V288" s="1"/>
      <c r="W288" s="1"/>
      <c r="X288" s="1"/>
      <c r="Y288" s="1"/>
      <c r="Z288" s="1"/>
    </row>
    <row r="289" spans="1:26" ht="24.75" customHeight="1">
      <c r="A289" s="1"/>
      <c r="B289" s="1"/>
      <c r="C289" s="1"/>
      <c r="D289" s="1"/>
      <c r="E289" s="1"/>
      <c r="F289" s="1"/>
      <c r="G289" s="1"/>
      <c r="H289" s="1"/>
      <c r="I289" s="1"/>
      <c r="J289" s="1"/>
      <c r="K289" s="1"/>
      <c r="L289" s="1"/>
      <c r="M289" s="1"/>
      <c r="N289" s="1"/>
      <c r="O289" s="1"/>
      <c r="P289" s="1"/>
      <c r="Q289" s="1"/>
      <c r="R289" s="1"/>
      <c r="S289" s="1"/>
      <c r="T289" s="1"/>
      <c r="U289" s="2"/>
      <c r="V289" s="1"/>
      <c r="W289" s="1"/>
      <c r="X289" s="1"/>
      <c r="Y289" s="1"/>
      <c r="Z289" s="1"/>
    </row>
    <row r="290" spans="1:26" ht="24.75" customHeight="1">
      <c r="A290" s="1"/>
      <c r="B290" s="1"/>
      <c r="C290" s="1"/>
      <c r="D290" s="1"/>
      <c r="E290" s="1"/>
      <c r="F290" s="1"/>
      <c r="G290" s="1"/>
      <c r="H290" s="1"/>
      <c r="I290" s="1"/>
      <c r="J290" s="1"/>
      <c r="K290" s="1"/>
      <c r="L290" s="1"/>
      <c r="M290" s="1"/>
      <c r="N290" s="1"/>
      <c r="O290" s="1"/>
      <c r="P290" s="1"/>
      <c r="Q290" s="1"/>
      <c r="R290" s="1"/>
      <c r="S290" s="1"/>
      <c r="T290" s="1"/>
      <c r="U290" s="2"/>
      <c r="V290" s="1"/>
      <c r="W290" s="1"/>
      <c r="X290" s="1"/>
      <c r="Y290" s="1"/>
      <c r="Z290" s="1"/>
    </row>
    <row r="291" spans="1:26" ht="24.75" customHeight="1">
      <c r="A291" s="1"/>
      <c r="B291" s="1"/>
      <c r="C291" s="1"/>
      <c r="D291" s="1"/>
      <c r="E291" s="1"/>
      <c r="F291" s="1"/>
      <c r="G291" s="1"/>
      <c r="H291" s="1"/>
      <c r="I291" s="1"/>
      <c r="J291" s="1"/>
      <c r="K291" s="1"/>
      <c r="L291" s="1"/>
      <c r="M291" s="1"/>
      <c r="N291" s="1"/>
      <c r="O291" s="1"/>
      <c r="P291" s="1"/>
      <c r="Q291" s="1"/>
      <c r="R291" s="1"/>
      <c r="S291" s="1"/>
      <c r="T291" s="1"/>
      <c r="U291" s="2"/>
      <c r="V291" s="1"/>
      <c r="W291" s="1"/>
      <c r="X291" s="1"/>
      <c r="Y291" s="1"/>
      <c r="Z291" s="1"/>
    </row>
    <row r="292" spans="1:26" ht="24.75" customHeight="1">
      <c r="A292" s="1"/>
      <c r="B292" s="1"/>
      <c r="C292" s="1"/>
      <c r="D292" s="1"/>
      <c r="E292" s="1"/>
      <c r="F292" s="1"/>
      <c r="G292" s="1"/>
      <c r="H292" s="1"/>
      <c r="I292" s="1"/>
      <c r="J292" s="1"/>
      <c r="K292" s="1"/>
      <c r="L292" s="1"/>
      <c r="M292" s="1"/>
      <c r="N292" s="1"/>
      <c r="O292" s="1"/>
      <c r="P292" s="1"/>
      <c r="Q292" s="1"/>
      <c r="R292" s="1"/>
      <c r="S292" s="1"/>
      <c r="T292" s="1"/>
      <c r="U292" s="2"/>
      <c r="V292" s="1"/>
      <c r="W292" s="1"/>
      <c r="X292" s="1"/>
      <c r="Y292" s="1"/>
      <c r="Z292" s="1"/>
    </row>
    <row r="293" spans="1:26" ht="24.75" customHeight="1">
      <c r="A293" s="1"/>
      <c r="B293" s="1"/>
      <c r="C293" s="1"/>
      <c r="D293" s="1"/>
      <c r="E293" s="1"/>
      <c r="F293" s="1"/>
      <c r="G293" s="1"/>
      <c r="H293" s="1"/>
      <c r="I293" s="1"/>
      <c r="J293" s="1"/>
      <c r="K293" s="1"/>
      <c r="L293" s="1"/>
      <c r="M293" s="1"/>
      <c r="N293" s="1"/>
      <c r="O293" s="1"/>
      <c r="P293" s="1"/>
      <c r="Q293" s="1"/>
      <c r="R293" s="1"/>
      <c r="S293" s="1"/>
      <c r="T293" s="1"/>
      <c r="U293" s="2"/>
      <c r="V293" s="1"/>
      <c r="W293" s="1"/>
      <c r="X293" s="1"/>
      <c r="Y293" s="1"/>
      <c r="Z293" s="1"/>
    </row>
    <row r="294" spans="1:26" ht="24.75" customHeight="1">
      <c r="A294" s="1"/>
      <c r="B294" s="1"/>
      <c r="C294" s="1"/>
      <c r="D294" s="1"/>
      <c r="E294" s="1"/>
      <c r="F294" s="1"/>
      <c r="G294" s="1"/>
      <c r="H294" s="1"/>
      <c r="I294" s="1"/>
      <c r="J294" s="1"/>
      <c r="K294" s="1"/>
      <c r="L294" s="1"/>
      <c r="M294" s="1"/>
      <c r="N294" s="1"/>
      <c r="O294" s="1"/>
      <c r="P294" s="1"/>
      <c r="Q294" s="1"/>
      <c r="R294" s="1"/>
      <c r="S294" s="1"/>
      <c r="T294" s="1"/>
      <c r="U294" s="2"/>
      <c r="V294" s="1"/>
      <c r="W294" s="1"/>
      <c r="X294" s="1"/>
      <c r="Y294" s="1"/>
      <c r="Z294" s="1"/>
    </row>
    <row r="295" spans="1:26" ht="24.75" customHeight="1">
      <c r="A295" s="1"/>
      <c r="B295" s="1"/>
      <c r="C295" s="1"/>
      <c r="D295" s="1"/>
      <c r="E295" s="1"/>
      <c r="F295" s="1"/>
      <c r="G295" s="1"/>
      <c r="H295" s="1"/>
      <c r="I295" s="1"/>
      <c r="J295" s="1"/>
      <c r="K295" s="1"/>
      <c r="L295" s="1"/>
      <c r="M295" s="1"/>
      <c r="N295" s="1"/>
      <c r="O295" s="1"/>
      <c r="P295" s="1"/>
      <c r="Q295" s="1"/>
      <c r="R295" s="1"/>
      <c r="S295" s="1"/>
      <c r="T295" s="1"/>
      <c r="U295" s="2"/>
      <c r="V295" s="1"/>
      <c r="W295" s="1"/>
      <c r="X295" s="1"/>
      <c r="Y295" s="1"/>
      <c r="Z295" s="1"/>
    </row>
    <row r="296" spans="1:26" ht="24.75" customHeight="1">
      <c r="A296" s="1"/>
      <c r="B296" s="1"/>
      <c r="C296" s="1"/>
      <c r="D296" s="1"/>
      <c r="E296" s="1"/>
      <c r="F296" s="1"/>
      <c r="G296" s="1"/>
      <c r="H296" s="1"/>
      <c r="I296" s="1"/>
      <c r="J296" s="1"/>
      <c r="K296" s="1"/>
      <c r="L296" s="1"/>
      <c r="M296" s="1"/>
      <c r="N296" s="1"/>
      <c r="O296" s="1"/>
      <c r="P296" s="1"/>
      <c r="Q296" s="1"/>
      <c r="R296" s="1"/>
      <c r="S296" s="1"/>
      <c r="T296" s="1"/>
      <c r="U296" s="2"/>
      <c r="V296" s="1"/>
      <c r="W296" s="1"/>
      <c r="X296" s="1"/>
      <c r="Y296" s="1"/>
      <c r="Z296" s="1"/>
    </row>
    <row r="297" spans="1:26" ht="24.75" customHeight="1">
      <c r="A297" s="1"/>
      <c r="B297" s="1"/>
      <c r="C297" s="1"/>
      <c r="D297" s="1"/>
      <c r="E297" s="1"/>
      <c r="F297" s="1"/>
      <c r="G297" s="1"/>
      <c r="H297" s="1"/>
      <c r="I297" s="1"/>
      <c r="J297" s="1"/>
      <c r="K297" s="1"/>
      <c r="L297" s="1"/>
      <c r="M297" s="1"/>
      <c r="N297" s="1"/>
      <c r="O297" s="1"/>
      <c r="P297" s="1"/>
      <c r="Q297" s="1"/>
      <c r="R297" s="1"/>
      <c r="S297" s="1"/>
      <c r="T297" s="1"/>
      <c r="U297" s="2"/>
      <c r="V297" s="1"/>
      <c r="W297" s="1"/>
      <c r="X297" s="1"/>
      <c r="Y297" s="1"/>
      <c r="Z297" s="1"/>
    </row>
    <row r="298" spans="1:26" ht="24.75" customHeight="1">
      <c r="A298" s="1"/>
      <c r="B298" s="1"/>
      <c r="C298" s="1"/>
      <c r="D298" s="1"/>
      <c r="E298" s="1"/>
      <c r="F298" s="1"/>
      <c r="G298" s="1"/>
      <c r="H298" s="1"/>
      <c r="I298" s="1"/>
      <c r="J298" s="1"/>
      <c r="K298" s="1"/>
      <c r="L298" s="1"/>
      <c r="M298" s="1"/>
      <c r="N298" s="1"/>
      <c r="O298" s="1"/>
      <c r="P298" s="1"/>
      <c r="Q298" s="1"/>
      <c r="R298" s="1"/>
      <c r="S298" s="1"/>
      <c r="T298" s="1"/>
      <c r="U298" s="2"/>
      <c r="V298" s="1"/>
      <c r="W298" s="1"/>
      <c r="X298" s="1"/>
      <c r="Y298" s="1"/>
      <c r="Z298" s="1"/>
    </row>
    <row r="299" spans="1:26" ht="24.75" customHeight="1">
      <c r="A299" s="1"/>
      <c r="B299" s="1"/>
      <c r="C299" s="1"/>
      <c r="D299" s="1"/>
      <c r="E299" s="1"/>
      <c r="F299" s="1"/>
      <c r="G299" s="1"/>
      <c r="H299" s="1"/>
      <c r="I299" s="1"/>
      <c r="J299" s="1"/>
      <c r="K299" s="1"/>
      <c r="L299" s="1"/>
      <c r="M299" s="1"/>
      <c r="N299" s="1"/>
      <c r="O299" s="1"/>
      <c r="P299" s="1"/>
      <c r="Q299" s="1"/>
      <c r="R299" s="1"/>
      <c r="S299" s="1"/>
      <c r="T299" s="1"/>
      <c r="U299" s="2"/>
      <c r="V299" s="1"/>
      <c r="W299" s="1"/>
      <c r="X299" s="1"/>
      <c r="Y299" s="1"/>
      <c r="Z299" s="1"/>
    </row>
    <row r="300" spans="1:26" ht="24.75" customHeight="1">
      <c r="A300" s="1"/>
      <c r="B300" s="1"/>
      <c r="C300" s="1"/>
      <c r="D300" s="1"/>
      <c r="E300" s="1"/>
      <c r="F300" s="1"/>
      <c r="G300" s="1"/>
      <c r="H300" s="1"/>
      <c r="I300" s="1"/>
      <c r="J300" s="1"/>
      <c r="K300" s="1"/>
      <c r="L300" s="1"/>
      <c r="M300" s="1"/>
      <c r="N300" s="1"/>
      <c r="O300" s="1"/>
      <c r="P300" s="1"/>
      <c r="Q300" s="1"/>
      <c r="R300" s="1"/>
      <c r="S300" s="1"/>
      <c r="T300" s="1"/>
      <c r="U300" s="2"/>
      <c r="V300" s="1"/>
      <c r="W300" s="1"/>
      <c r="X300" s="1"/>
      <c r="Y300" s="1"/>
      <c r="Z300" s="1"/>
    </row>
    <row r="301" spans="1:26" ht="24.75" customHeight="1">
      <c r="A301" s="1"/>
      <c r="B301" s="1"/>
      <c r="C301" s="1"/>
      <c r="D301" s="1"/>
      <c r="E301" s="1"/>
      <c r="F301" s="1"/>
      <c r="G301" s="1"/>
      <c r="H301" s="1"/>
      <c r="I301" s="1"/>
      <c r="J301" s="1"/>
      <c r="K301" s="1"/>
      <c r="L301" s="1"/>
      <c r="M301" s="1"/>
      <c r="N301" s="1"/>
      <c r="O301" s="1"/>
      <c r="P301" s="1"/>
      <c r="Q301" s="1"/>
      <c r="R301" s="1"/>
      <c r="S301" s="1"/>
      <c r="T301" s="1"/>
      <c r="U301" s="2"/>
      <c r="V301" s="1"/>
      <c r="W301" s="1"/>
      <c r="X301" s="1"/>
      <c r="Y301" s="1"/>
      <c r="Z301" s="1"/>
    </row>
    <row r="302" spans="1:26" ht="24.75" customHeight="1">
      <c r="A302" s="1"/>
      <c r="B302" s="1"/>
      <c r="C302" s="1"/>
      <c r="D302" s="1"/>
      <c r="E302" s="1"/>
      <c r="F302" s="1"/>
      <c r="G302" s="1"/>
      <c r="H302" s="1"/>
      <c r="I302" s="1"/>
      <c r="J302" s="1"/>
      <c r="K302" s="1"/>
      <c r="L302" s="1"/>
      <c r="M302" s="1"/>
      <c r="N302" s="1"/>
      <c r="O302" s="1"/>
      <c r="P302" s="1"/>
      <c r="Q302" s="1"/>
      <c r="R302" s="1"/>
      <c r="S302" s="1"/>
      <c r="T302" s="1"/>
      <c r="U302" s="2"/>
      <c r="V302" s="1"/>
      <c r="W302" s="1"/>
      <c r="X302" s="1"/>
      <c r="Y302" s="1"/>
      <c r="Z302" s="1"/>
    </row>
    <row r="303" spans="1:26" ht="24.75" customHeight="1">
      <c r="A303" s="1"/>
      <c r="B303" s="1"/>
      <c r="C303" s="1"/>
      <c r="D303" s="1"/>
      <c r="E303" s="1"/>
      <c r="F303" s="1"/>
      <c r="G303" s="1"/>
      <c r="H303" s="1"/>
      <c r="I303" s="1"/>
      <c r="J303" s="1"/>
      <c r="K303" s="1"/>
      <c r="L303" s="1"/>
      <c r="M303" s="1"/>
      <c r="N303" s="1"/>
      <c r="O303" s="1"/>
      <c r="P303" s="1"/>
      <c r="Q303" s="1"/>
      <c r="R303" s="1"/>
      <c r="S303" s="1"/>
      <c r="T303" s="1"/>
      <c r="U303" s="2"/>
      <c r="V303" s="1"/>
      <c r="W303" s="1"/>
      <c r="X303" s="1"/>
      <c r="Y303" s="1"/>
      <c r="Z303" s="1"/>
    </row>
    <row r="304" spans="1:26" ht="24.75" customHeight="1">
      <c r="A304" s="1"/>
      <c r="B304" s="1"/>
      <c r="C304" s="1"/>
      <c r="D304" s="1"/>
      <c r="E304" s="1"/>
      <c r="F304" s="1"/>
      <c r="G304" s="1"/>
      <c r="H304" s="1"/>
      <c r="I304" s="1"/>
      <c r="J304" s="1"/>
      <c r="K304" s="1"/>
      <c r="L304" s="1"/>
      <c r="M304" s="1"/>
      <c r="N304" s="1"/>
      <c r="O304" s="1"/>
      <c r="P304" s="1"/>
      <c r="Q304" s="1"/>
      <c r="R304" s="1"/>
      <c r="S304" s="1"/>
      <c r="T304" s="1"/>
      <c r="U304" s="2"/>
      <c r="V304" s="1"/>
      <c r="W304" s="1"/>
      <c r="X304" s="1"/>
      <c r="Y304" s="1"/>
      <c r="Z304" s="1"/>
    </row>
    <row r="305" spans="1:26" ht="24.75" customHeight="1">
      <c r="A305" s="1"/>
      <c r="B305" s="1"/>
      <c r="C305" s="1"/>
      <c r="D305" s="1"/>
      <c r="E305" s="1"/>
      <c r="F305" s="1"/>
      <c r="G305" s="1"/>
      <c r="H305" s="1"/>
      <c r="I305" s="1"/>
      <c r="J305" s="1"/>
      <c r="K305" s="1"/>
      <c r="L305" s="1"/>
      <c r="M305" s="1"/>
      <c r="N305" s="1"/>
      <c r="O305" s="1"/>
      <c r="P305" s="1"/>
      <c r="Q305" s="1"/>
      <c r="R305" s="1"/>
      <c r="S305" s="1"/>
      <c r="T305" s="1"/>
      <c r="U305" s="2"/>
      <c r="V305" s="1"/>
      <c r="W305" s="1"/>
      <c r="X305" s="1"/>
      <c r="Y305" s="1"/>
      <c r="Z305" s="1"/>
    </row>
    <row r="306" spans="1:26" ht="24.75" customHeight="1">
      <c r="A306" s="1"/>
      <c r="B306" s="1"/>
      <c r="C306" s="1"/>
      <c r="D306" s="1"/>
      <c r="E306" s="1"/>
      <c r="F306" s="1"/>
      <c r="G306" s="1"/>
      <c r="H306" s="1"/>
      <c r="I306" s="1"/>
      <c r="J306" s="1"/>
      <c r="K306" s="1"/>
      <c r="L306" s="1"/>
      <c r="M306" s="1"/>
      <c r="N306" s="1"/>
      <c r="O306" s="1"/>
      <c r="P306" s="1"/>
      <c r="Q306" s="1"/>
      <c r="R306" s="1"/>
      <c r="S306" s="1"/>
      <c r="T306" s="1"/>
      <c r="U306" s="2"/>
      <c r="V306" s="1"/>
      <c r="W306" s="1"/>
      <c r="X306" s="1"/>
      <c r="Y306" s="1"/>
      <c r="Z306" s="1"/>
    </row>
    <row r="307" spans="1:26" ht="24.75" customHeight="1">
      <c r="A307" s="1"/>
      <c r="B307" s="1"/>
      <c r="C307" s="1"/>
      <c r="D307" s="1"/>
      <c r="E307" s="1"/>
      <c r="F307" s="1"/>
      <c r="G307" s="1"/>
      <c r="H307" s="1"/>
      <c r="I307" s="1"/>
      <c r="J307" s="1"/>
      <c r="K307" s="1"/>
      <c r="L307" s="1"/>
      <c r="M307" s="1"/>
      <c r="N307" s="1"/>
      <c r="O307" s="1"/>
      <c r="P307" s="1"/>
      <c r="Q307" s="1"/>
      <c r="R307" s="1"/>
      <c r="S307" s="1"/>
      <c r="T307" s="1"/>
      <c r="U307" s="2"/>
      <c r="V307" s="1"/>
      <c r="W307" s="1"/>
      <c r="X307" s="1"/>
      <c r="Y307" s="1"/>
      <c r="Z307" s="1"/>
    </row>
    <row r="308" spans="1:26" ht="24.75" customHeight="1">
      <c r="A308" s="1"/>
      <c r="B308" s="1"/>
      <c r="C308" s="1"/>
      <c r="D308" s="1"/>
      <c r="E308" s="1"/>
      <c r="F308" s="1"/>
      <c r="G308" s="1"/>
      <c r="H308" s="1"/>
      <c r="I308" s="1"/>
      <c r="J308" s="1"/>
      <c r="K308" s="1"/>
      <c r="L308" s="1"/>
      <c r="M308" s="1"/>
      <c r="N308" s="1"/>
      <c r="O308" s="1"/>
      <c r="P308" s="1"/>
      <c r="Q308" s="1"/>
      <c r="R308" s="1"/>
      <c r="S308" s="1"/>
      <c r="T308" s="1"/>
      <c r="U308" s="2"/>
      <c r="V308" s="1"/>
      <c r="W308" s="1"/>
      <c r="X308" s="1"/>
      <c r="Y308" s="1"/>
      <c r="Z308" s="1"/>
    </row>
    <row r="309" spans="1:26" ht="24.75" customHeight="1">
      <c r="A309" s="1"/>
      <c r="B309" s="1"/>
      <c r="C309" s="1"/>
      <c r="D309" s="1"/>
      <c r="E309" s="1"/>
      <c r="F309" s="1"/>
      <c r="G309" s="1"/>
      <c r="H309" s="1"/>
      <c r="I309" s="1"/>
      <c r="J309" s="1"/>
      <c r="K309" s="1"/>
      <c r="L309" s="1"/>
      <c r="M309" s="1"/>
      <c r="N309" s="1"/>
      <c r="O309" s="1"/>
      <c r="P309" s="1"/>
      <c r="Q309" s="1"/>
      <c r="R309" s="1"/>
      <c r="S309" s="1"/>
      <c r="T309" s="1"/>
      <c r="U309" s="2"/>
      <c r="V309" s="1"/>
      <c r="W309" s="1"/>
      <c r="X309" s="1"/>
      <c r="Y309" s="1"/>
      <c r="Z309" s="1"/>
    </row>
    <row r="310" spans="1:26" ht="24.75" customHeight="1">
      <c r="A310" s="1"/>
      <c r="B310" s="1"/>
      <c r="C310" s="1"/>
      <c r="D310" s="1"/>
      <c r="E310" s="1"/>
      <c r="F310" s="1"/>
      <c r="G310" s="1"/>
      <c r="H310" s="1"/>
      <c r="I310" s="1"/>
      <c r="J310" s="1"/>
      <c r="K310" s="1"/>
      <c r="L310" s="1"/>
      <c r="M310" s="1"/>
      <c r="N310" s="1"/>
      <c r="O310" s="1"/>
      <c r="P310" s="1"/>
      <c r="Q310" s="1"/>
      <c r="R310" s="1"/>
      <c r="S310" s="1"/>
      <c r="T310" s="1"/>
      <c r="U310" s="2"/>
      <c r="V310" s="1"/>
      <c r="W310" s="1"/>
      <c r="X310" s="1"/>
      <c r="Y310" s="1"/>
      <c r="Z310" s="1"/>
    </row>
    <row r="311" spans="1:26" ht="24.75" customHeight="1">
      <c r="A311" s="1"/>
      <c r="B311" s="1"/>
      <c r="C311" s="1"/>
      <c r="D311" s="1"/>
      <c r="E311" s="1"/>
      <c r="F311" s="1"/>
      <c r="G311" s="1"/>
      <c r="H311" s="1"/>
      <c r="I311" s="1"/>
      <c r="J311" s="1"/>
      <c r="K311" s="1"/>
      <c r="L311" s="1"/>
      <c r="M311" s="1"/>
      <c r="N311" s="1"/>
      <c r="O311" s="1"/>
      <c r="P311" s="1"/>
      <c r="Q311" s="1"/>
      <c r="R311" s="1"/>
      <c r="S311" s="1"/>
      <c r="T311" s="1"/>
      <c r="U311" s="2"/>
      <c r="V311" s="1"/>
      <c r="W311" s="1"/>
      <c r="X311" s="1"/>
      <c r="Y311" s="1"/>
      <c r="Z311" s="1"/>
    </row>
    <row r="312" spans="1:26" ht="24.75" customHeight="1">
      <c r="A312" s="1"/>
      <c r="B312" s="1"/>
      <c r="C312" s="1"/>
      <c r="D312" s="1"/>
      <c r="E312" s="1"/>
      <c r="F312" s="1"/>
      <c r="G312" s="1"/>
      <c r="H312" s="1"/>
      <c r="I312" s="1"/>
      <c r="J312" s="1"/>
      <c r="K312" s="1"/>
      <c r="L312" s="1"/>
      <c r="M312" s="1"/>
      <c r="N312" s="1"/>
      <c r="O312" s="1"/>
      <c r="P312" s="1"/>
      <c r="Q312" s="1"/>
      <c r="R312" s="1"/>
      <c r="S312" s="1"/>
      <c r="T312" s="1"/>
      <c r="U312" s="2"/>
      <c r="V312" s="1"/>
      <c r="W312" s="1"/>
      <c r="X312" s="1"/>
      <c r="Y312" s="1"/>
      <c r="Z312" s="1"/>
    </row>
    <row r="313" spans="1:26" ht="24.75" customHeight="1">
      <c r="A313" s="1"/>
      <c r="B313" s="1"/>
      <c r="C313" s="1"/>
      <c r="D313" s="1"/>
      <c r="E313" s="1"/>
      <c r="F313" s="1"/>
      <c r="G313" s="1"/>
      <c r="H313" s="1"/>
      <c r="I313" s="1"/>
      <c r="J313" s="1"/>
      <c r="K313" s="1"/>
      <c r="L313" s="1"/>
      <c r="M313" s="1"/>
      <c r="N313" s="1"/>
      <c r="O313" s="1"/>
      <c r="P313" s="1"/>
      <c r="Q313" s="1"/>
      <c r="R313" s="1"/>
      <c r="S313" s="1"/>
      <c r="T313" s="1"/>
      <c r="U313" s="2"/>
      <c r="V313" s="1"/>
      <c r="W313" s="1"/>
      <c r="X313" s="1"/>
      <c r="Y313" s="1"/>
      <c r="Z313" s="1"/>
    </row>
    <row r="314" spans="1:26" ht="24.75" customHeight="1">
      <c r="A314" s="1"/>
      <c r="B314" s="1"/>
      <c r="C314" s="1"/>
      <c r="D314" s="1"/>
      <c r="E314" s="1"/>
      <c r="F314" s="1"/>
      <c r="G314" s="1"/>
      <c r="H314" s="1"/>
      <c r="I314" s="1"/>
      <c r="J314" s="1"/>
      <c r="K314" s="1"/>
      <c r="L314" s="1"/>
      <c r="M314" s="1"/>
      <c r="N314" s="1"/>
      <c r="O314" s="1"/>
      <c r="P314" s="1"/>
      <c r="Q314" s="1"/>
      <c r="R314" s="1"/>
      <c r="S314" s="1"/>
      <c r="T314" s="1"/>
      <c r="U314" s="2"/>
      <c r="V314" s="1"/>
      <c r="W314" s="1"/>
      <c r="X314" s="1"/>
      <c r="Y314" s="1"/>
      <c r="Z314" s="1"/>
    </row>
    <row r="315" spans="1:26" ht="24.75" customHeight="1">
      <c r="A315" s="1"/>
      <c r="B315" s="1"/>
      <c r="C315" s="1"/>
      <c r="D315" s="1"/>
      <c r="E315" s="1"/>
      <c r="F315" s="1"/>
      <c r="G315" s="1"/>
      <c r="H315" s="1"/>
      <c r="I315" s="1"/>
      <c r="J315" s="1"/>
      <c r="K315" s="1"/>
      <c r="L315" s="1"/>
      <c r="M315" s="1"/>
      <c r="N315" s="1"/>
      <c r="O315" s="1"/>
      <c r="P315" s="1"/>
      <c r="Q315" s="1"/>
      <c r="R315" s="1"/>
      <c r="S315" s="1"/>
      <c r="T315" s="1"/>
      <c r="U315" s="2"/>
      <c r="V315" s="1"/>
      <c r="W315" s="1"/>
      <c r="X315" s="1"/>
      <c r="Y315" s="1"/>
      <c r="Z315" s="1"/>
    </row>
    <row r="316" spans="1:26" ht="24.75" customHeight="1">
      <c r="A316" s="1"/>
      <c r="B316" s="1"/>
      <c r="C316" s="1"/>
      <c r="D316" s="1"/>
      <c r="E316" s="1"/>
      <c r="F316" s="1"/>
      <c r="G316" s="1"/>
      <c r="H316" s="1"/>
      <c r="I316" s="1"/>
      <c r="J316" s="1"/>
      <c r="K316" s="1"/>
      <c r="L316" s="1"/>
      <c r="M316" s="1"/>
      <c r="N316" s="1"/>
      <c r="O316" s="1"/>
      <c r="P316" s="1"/>
      <c r="Q316" s="1"/>
      <c r="R316" s="1"/>
      <c r="S316" s="1"/>
      <c r="T316" s="1"/>
      <c r="U316" s="2"/>
      <c r="V316" s="1"/>
      <c r="W316" s="1"/>
      <c r="X316" s="1"/>
      <c r="Y316" s="1"/>
      <c r="Z316" s="1"/>
    </row>
    <row r="317" spans="1:26" ht="24.75" customHeight="1">
      <c r="A317" s="1"/>
      <c r="B317" s="1"/>
      <c r="C317" s="1"/>
      <c r="D317" s="1"/>
      <c r="E317" s="1"/>
      <c r="F317" s="1"/>
      <c r="G317" s="1"/>
      <c r="H317" s="1"/>
      <c r="I317" s="1"/>
      <c r="J317" s="1"/>
      <c r="K317" s="1"/>
      <c r="L317" s="1"/>
      <c r="M317" s="1"/>
      <c r="N317" s="1"/>
      <c r="O317" s="1"/>
      <c r="P317" s="1"/>
      <c r="Q317" s="1"/>
      <c r="R317" s="1"/>
      <c r="S317" s="1"/>
      <c r="T317" s="1"/>
      <c r="U317" s="2"/>
      <c r="V317" s="1"/>
      <c r="W317" s="1"/>
      <c r="X317" s="1"/>
      <c r="Y317" s="1"/>
      <c r="Z317" s="1"/>
    </row>
    <row r="318" spans="1:26" ht="24.75" customHeight="1">
      <c r="A318" s="1"/>
      <c r="B318" s="1"/>
      <c r="C318" s="1"/>
      <c r="D318" s="1"/>
      <c r="E318" s="1"/>
      <c r="F318" s="1"/>
      <c r="G318" s="1"/>
      <c r="H318" s="1"/>
      <c r="I318" s="1"/>
      <c r="J318" s="1"/>
      <c r="K318" s="1"/>
      <c r="L318" s="1"/>
      <c r="M318" s="1"/>
      <c r="N318" s="1"/>
      <c r="O318" s="1"/>
      <c r="P318" s="1"/>
      <c r="Q318" s="1"/>
      <c r="R318" s="1"/>
      <c r="S318" s="1"/>
      <c r="T318" s="1"/>
      <c r="U318" s="2"/>
      <c r="V318" s="1"/>
      <c r="W318" s="1"/>
      <c r="X318" s="1"/>
      <c r="Y318" s="1"/>
      <c r="Z318" s="1"/>
    </row>
    <row r="319" spans="1:26" ht="24.75" customHeight="1">
      <c r="A319" s="1"/>
      <c r="B319" s="1"/>
      <c r="C319" s="1"/>
      <c r="D319" s="1"/>
      <c r="E319" s="1"/>
      <c r="F319" s="1"/>
      <c r="G319" s="1"/>
      <c r="H319" s="1"/>
      <c r="I319" s="1"/>
      <c r="J319" s="1"/>
      <c r="K319" s="1"/>
      <c r="L319" s="1"/>
      <c r="M319" s="1"/>
      <c r="N319" s="1"/>
      <c r="O319" s="1"/>
      <c r="P319" s="1"/>
      <c r="Q319" s="1"/>
      <c r="R319" s="1"/>
      <c r="S319" s="1"/>
      <c r="T319" s="1"/>
      <c r="U319" s="2"/>
      <c r="V319" s="1"/>
      <c r="W319" s="1"/>
      <c r="X319" s="1"/>
      <c r="Y319" s="1"/>
      <c r="Z319" s="1"/>
    </row>
    <row r="320" spans="1:26" ht="24.75" customHeight="1">
      <c r="A320" s="1"/>
      <c r="B320" s="1"/>
      <c r="C320" s="1"/>
      <c r="D320" s="1"/>
      <c r="E320" s="1"/>
      <c r="F320" s="1"/>
      <c r="G320" s="1"/>
      <c r="H320" s="1"/>
      <c r="I320" s="1"/>
      <c r="J320" s="1"/>
      <c r="K320" s="1"/>
      <c r="L320" s="1"/>
      <c r="M320" s="1"/>
      <c r="N320" s="1"/>
      <c r="O320" s="1"/>
      <c r="P320" s="1"/>
      <c r="Q320" s="1"/>
      <c r="R320" s="1"/>
      <c r="S320" s="1"/>
      <c r="T320" s="1"/>
      <c r="U320" s="2"/>
      <c r="V320" s="1"/>
      <c r="W320" s="1"/>
      <c r="X320" s="1"/>
      <c r="Y320" s="1"/>
      <c r="Z320" s="1"/>
    </row>
    <row r="321" spans="1:26" ht="24.75" customHeight="1">
      <c r="A321" s="1"/>
      <c r="B321" s="1"/>
      <c r="C321" s="1"/>
      <c r="D321" s="1"/>
      <c r="E321" s="1"/>
      <c r="F321" s="1"/>
      <c r="G321" s="1"/>
      <c r="H321" s="1"/>
      <c r="I321" s="1"/>
      <c r="J321" s="1"/>
      <c r="K321" s="1"/>
      <c r="L321" s="1"/>
      <c r="M321" s="1"/>
      <c r="N321" s="1"/>
      <c r="O321" s="1"/>
      <c r="P321" s="1"/>
      <c r="Q321" s="1"/>
      <c r="R321" s="1"/>
      <c r="S321" s="1"/>
      <c r="T321" s="1"/>
      <c r="U321" s="2"/>
      <c r="V321" s="1"/>
      <c r="W321" s="1"/>
      <c r="X321" s="1"/>
      <c r="Y321" s="1"/>
      <c r="Z321" s="1"/>
    </row>
    <row r="322" spans="1:26" ht="24.75" customHeight="1">
      <c r="A322" s="1"/>
      <c r="B322" s="1"/>
      <c r="C322" s="1"/>
      <c r="D322" s="1"/>
      <c r="E322" s="1"/>
      <c r="F322" s="1"/>
      <c r="G322" s="1"/>
      <c r="H322" s="1"/>
      <c r="I322" s="1"/>
      <c r="J322" s="1"/>
      <c r="K322" s="1"/>
      <c r="L322" s="1"/>
      <c r="M322" s="1"/>
      <c r="N322" s="1"/>
      <c r="O322" s="1"/>
      <c r="P322" s="1"/>
      <c r="Q322" s="1"/>
      <c r="R322" s="1"/>
      <c r="S322" s="1"/>
      <c r="T322" s="1"/>
      <c r="U322" s="2"/>
      <c r="V322" s="1"/>
      <c r="W322" s="1"/>
      <c r="X322" s="1"/>
      <c r="Y322" s="1"/>
      <c r="Z322" s="1"/>
    </row>
    <row r="323" spans="1:26" ht="24.75" customHeight="1">
      <c r="A323" s="1"/>
      <c r="B323" s="1"/>
      <c r="C323" s="1"/>
      <c r="D323" s="1"/>
      <c r="E323" s="1"/>
      <c r="F323" s="1"/>
      <c r="G323" s="1"/>
      <c r="H323" s="1"/>
      <c r="I323" s="1"/>
      <c r="J323" s="1"/>
      <c r="K323" s="1"/>
      <c r="L323" s="1"/>
      <c r="M323" s="1"/>
      <c r="N323" s="1"/>
      <c r="O323" s="1"/>
      <c r="P323" s="1"/>
      <c r="Q323" s="1"/>
      <c r="R323" s="1"/>
      <c r="S323" s="1"/>
      <c r="T323" s="1"/>
      <c r="U323" s="2"/>
      <c r="V323" s="1"/>
      <c r="W323" s="1"/>
      <c r="X323" s="1"/>
      <c r="Y323" s="1"/>
      <c r="Z323" s="1"/>
    </row>
    <row r="324" spans="1:26" ht="24.75" customHeight="1">
      <c r="A324" s="1"/>
      <c r="B324" s="1"/>
      <c r="C324" s="1"/>
      <c r="D324" s="1"/>
      <c r="E324" s="1"/>
      <c r="F324" s="1"/>
      <c r="G324" s="1"/>
      <c r="H324" s="1"/>
      <c r="I324" s="1"/>
      <c r="J324" s="1"/>
      <c r="K324" s="1"/>
      <c r="L324" s="1"/>
      <c r="M324" s="1"/>
      <c r="N324" s="1"/>
      <c r="O324" s="1"/>
      <c r="P324" s="1"/>
      <c r="Q324" s="1"/>
      <c r="R324" s="1"/>
      <c r="S324" s="1"/>
      <c r="T324" s="1"/>
      <c r="U324" s="2"/>
      <c r="V324" s="1"/>
      <c r="W324" s="1"/>
      <c r="X324" s="1"/>
      <c r="Y324" s="1"/>
      <c r="Z324" s="1"/>
    </row>
    <row r="325" spans="1:26" ht="24.75" customHeight="1">
      <c r="A325" s="1"/>
      <c r="B325" s="1"/>
      <c r="C325" s="1"/>
      <c r="D325" s="1"/>
      <c r="E325" s="1"/>
      <c r="F325" s="1"/>
      <c r="G325" s="1"/>
      <c r="H325" s="1"/>
      <c r="I325" s="1"/>
      <c r="J325" s="1"/>
      <c r="K325" s="1"/>
      <c r="L325" s="1"/>
      <c r="M325" s="1"/>
      <c r="N325" s="1"/>
      <c r="O325" s="1"/>
      <c r="P325" s="1"/>
      <c r="Q325" s="1"/>
      <c r="R325" s="1"/>
      <c r="S325" s="1"/>
      <c r="T325" s="1"/>
      <c r="U325" s="2"/>
      <c r="V325" s="1"/>
      <c r="W325" s="1"/>
      <c r="X325" s="1"/>
      <c r="Y325" s="1"/>
      <c r="Z325" s="1"/>
    </row>
    <row r="326" spans="1:26" ht="24.75" customHeight="1">
      <c r="A326" s="1"/>
      <c r="B326" s="1"/>
      <c r="C326" s="1"/>
      <c r="D326" s="1"/>
      <c r="E326" s="1"/>
      <c r="F326" s="1"/>
      <c r="G326" s="1"/>
      <c r="H326" s="1"/>
      <c r="I326" s="1"/>
      <c r="J326" s="1"/>
      <c r="K326" s="1"/>
      <c r="L326" s="1"/>
      <c r="M326" s="1"/>
      <c r="N326" s="1"/>
      <c r="O326" s="1"/>
      <c r="P326" s="1"/>
      <c r="Q326" s="1"/>
      <c r="R326" s="1"/>
      <c r="S326" s="1"/>
      <c r="T326" s="1"/>
      <c r="U326" s="2"/>
      <c r="V326" s="1"/>
      <c r="W326" s="1"/>
      <c r="X326" s="1"/>
      <c r="Y326" s="1"/>
      <c r="Z326" s="1"/>
    </row>
    <row r="327" spans="1:26" ht="24.75" customHeight="1">
      <c r="A327" s="1"/>
      <c r="B327" s="1"/>
      <c r="C327" s="1"/>
      <c r="D327" s="1"/>
      <c r="E327" s="1"/>
      <c r="F327" s="1"/>
      <c r="G327" s="1"/>
      <c r="H327" s="1"/>
      <c r="I327" s="1"/>
      <c r="J327" s="1"/>
      <c r="K327" s="1"/>
      <c r="L327" s="1"/>
      <c r="M327" s="1"/>
      <c r="N327" s="1"/>
      <c r="O327" s="1"/>
      <c r="P327" s="1"/>
      <c r="Q327" s="1"/>
      <c r="R327" s="1"/>
      <c r="S327" s="1"/>
      <c r="T327" s="1"/>
      <c r="U327" s="2"/>
      <c r="V327" s="1"/>
      <c r="W327" s="1"/>
      <c r="X327" s="1"/>
      <c r="Y327" s="1"/>
      <c r="Z327" s="1"/>
    </row>
    <row r="328" spans="1:26" ht="24.75" customHeight="1">
      <c r="A328" s="1"/>
      <c r="B328" s="1"/>
      <c r="C328" s="1"/>
      <c r="D328" s="1"/>
      <c r="E328" s="1"/>
      <c r="F328" s="1"/>
      <c r="G328" s="1"/>
      <c r="H328" s="1"/>
      <c r="I328" s="1"/>
      <c r="J328" s="1"/>
      <c r="K328" s="1"/>
      <c r="L328" s="1"/>
      <c r="M328" s="1"/>
      <c r="N328" s="1"/>
      <c r="O328" s="1"/>
      <c r="P328" s="1"/>
      <c r="Q328" s="1"/>
      <c r="R328" s="1"/>
      <c r="S328" s="1"/>
      <c r="T328" s="1"/>
      <c r="U328" s="2"/>
      <c r="V328" s="1"/>
      <c r="W328" s="1"/>
      <c r="X328" s="1"/>
      <c r="Y328" s="1"/>
      <c r="Z328" s="1"/>
    </row>
    <row r="329" spans="1:26" ht="24.75" customHeight="1">
      <c r="A329" s="1"/>
      <c r="B329" s="1"/>
      <c r="C329" s="1"/>
      <c r="D329" s="1"/>
      <c r="E329" s="1"/>
      <c r="F329" s="1"/>
      <c r="G329" s="1"/>
      <c r="H329" s="1"/>
      <c r="I329" s="1"/>
      <c r="J329" s="1"/>
      <c r="K329" s="1"/>
      <c r="L329" s="1"/>
      <c r="M329" s="1"/>
      <c r="N329" s="1"/>
      <c r="O329" s="1"/>
      <c r="P329" s="1"/>
      <c r="Q329" s="1"/>
      <c r="R329" s="1"/>
      <c r="S329" s="1"/>
      <c r="T329" s="1"/>
      <c r="U329" s="2"/>
      <c r="V329" s="1"/>
      <c r="W329" s="1"/>
      <c r="X329" s="1"/>
      <c r="Y329" s="1"/>
      <c r="Z329" s="1"/>
    </row>
    <row r="330" spans="1:26" ht="24.75" customHeight="1">
      <c r="A330" s="1"/>
      <c r="B330" s="1"/>
      <c r="C330" s="1"/>
      <c r="D330" s="1"/>
      <c r="E330" s="1"/>
      <c r="F330" s="1"/>
      <c r="G330" s="1"/>
      <c r="H330" s="1"/>
      <c r="I330" s="1"/>
      <c r="J330" s="1"/>
      <c r="K330" s="1"/>
      <c r="L330" s="1"/>
      <c r="M330" s="1"/>
      <c r="N330" s="1"/>
      <c r="O330" s="1"/>
      <c r="P330" s="1"/>
      <c r="Q330" s="1"/>
      <c r="R330" s="1"/>
      <c r="S330" s="1"/>
      <c r="T330" s="1"/>
      <c r="U330" s="2"/>
      <c r="V330" s="1"/>
      <c r="W330" s="1"/>
      <c r="X330" s="1"/>
      <c r="Y330" s="1"/>
      <c r="Z330" s="1"/>
    </row>
    <row r="331" spans="1:26" ht="24.75" customHeight="1">
      <c r="A331" s="1"/>
      <c r="B331" s="1"/>
      <c r="C331" s="1"/>
      <c r="D331" s="1"/>
      <c r="E331" s="1"/>
      <c r="F331" s="1"/>
      <c r="G331" s="1"/>
      <c r="H331" s="1"/>
      <c r="I331" s="1"/>
      <c r="J331" s="1"/>
      <c r="K331" s="1"/>
      <c r="L331" s="1"/>
      <c r="M331" s="1"/>
      <c r="N331" s="1"/>
      <c r="O331" s="1"/>
      <c r="P331" s="1"/>
      <c r="Q331" s="1"/>
      <c r="R331" s="1"/>
      <c r="S331" s="1"/>
      <c r="T331" s="1"/>
      <c r="U331" s="2"/>
      <c r="V331" s="1"/>
      <c r="W331" s="1"/>
      <c r="X331" s="1"/>
      <c r="Y331" s="1"/>
      <c r="Z331" s="1"/>
    </row>
    <row r="332" spans="1:26" ht="24.75" customHeight="1">
      <c r="A332" s="1"/>
      <c r="B332" s="1"/>
      <c r="C332" s="1"/>
      <c r="D332" s="1"/>
      <c r="E332" s="1"/>
      <c r="F332" s="1"/>
      <c r="G332" s="1"/>
      <c r="H332" s="1"/>
      <c r="I332" s="1"/>
      <c r="J332" s="1"/>
      <c r="K332" s="1"/>
      <c r="L332" s="1"/>
      <c r="M332" s="1"/>
      <c r="N332" s="1"/>
      <c r="O332" s="1"/>
      <c r="P332" s="1"/>
      <c r="Q332" s="1"/>
      <c r="R332" s="1"/>
      <c r="S332" s="1"/>
      <c r="T332" s="1"/>
      <c r="U332" s="2"/>
      <c r="V332" s="1"/>
      <c r="W332" s="1"/>
      <c r="X332" s="1"/>
      <c r="Y332" s="1"/>
      <c r="Z332" s="1"/>
    </row>
    <row r="333" spans="1:26" ht="24.75" customHeight="1">
      <c r="A333" s="1"/>
      <c r="B333" s="1"/>
      <c r="C333" s="1"/>
      <c r="D333" s="1"/>
      <c r="E333" s="1"/>
      <c r="F333" s="1"/>
      <c r="G333" s="1"/>
      <c r="H333" s="1"/>
      <c r="I333" s="1"/>
      <c r="J333" s="1"/>
      <c r="K333" s="1"/>
      <c r="L333" s="1"/>
      <c r="M333" s="1"/>
      <c r="N333" s="1"/>
      <c r="O333" s="1"/>
      <c r="P333" s="1"/>
      <c r="Q333" s="1"/>
      <c r="R333" s="1"/>
      <c r="S333" s="1"/>
      <c r="T333" s="1"/>
      <c r="U333" s="2"/>
      <c r="V333" s="1"/>
      <c r="W333" s="1"/>
      <c r="X333" s="1"/>
      <c r="Y333" s="1"/>
      <c r="Z333" s="1"/>
    </row>
    <row r="334" spans="1:26" ht="24.75" customHeight="1">
      <c r="A334" s="1"/>
      <c r="B334" s="1"/>
      <c r="C334" s="1"/>
      <c r="D334" s="1"/>
      <c r="E334" s="1"/>
      <c r="F334" s="1"/>
      <c r="G334" s="1"/>
      <c r="H334" s="1"/>
      <c r="I334" s="1"/>
      <c r="J334" s="1"/>
      <c r="K334" s="1"/>
      <c r="L334" s="1"/>
      <c r="M334" s="1"/>
      <c r="N334" s="1"/>
      <c r="O334" s="1"/>
      <c r="P334" s="1"/>
      <c r="Q334" s="1"/>
      <c r="R334" s="1"/>
      <c r="S334" s="1"/>
      <c r="T334" s="1"/>
      <c r="U334" s="2"/>
      <c r="V334" s="1"/>
      <c r="W334" s="1"/>
      <c r="X334" s="1"/>
      <c r="Y334" s="1"/>
      <c r="Z334" s="1"/>
    </row>
    <row r="335" spans="1:26" ht="24.75" customHeight="1">
      <c r="A335" s="1"/>
      <c r="B335" s="1"/>
      <c r="C335" s="1"/>
      <c r="D335" s="1"/>
      <c r="E335" s="1"/>
      <c r="F335" s="1"/>
      <c r="G335" s="1"/>
      <c r="H335" s="1"/>
      <c r="I335" s="1"/>
      <c r="J335" s="1"/>
      <c r="K335" s="1"/>
      <c r="L335" s="1"/>
      <c r="M335" s="1"/>
      <c r="N335" s="1"/>
      <c r="O335" s="1"/>
      <c r="P335" s="1"/>
      <c r="Q335" s="1"/>
      <c r="R335" s="1"/>
      <c r="S335" s="1"/>
      <c r="T335" s="1"/>
      <c r="U335" s="2"/>
      <c r="V335" s="1"/>
      <c r="W335" s="1"/>
      <c r="X335" s="1"/>
      <c r="Y335" s="1"/>
      <c r="Z335" s="1"/>
    </row>
    <row r="336" spans="1:26" ht="24.75" customHeight="1">
      <c r="A336" s="1"/>
      <c r="B336" s="1"/>
      <c r="C336" s="1"/>
      <c r="D336" s="1"/>
      <c r="E336" s="1"/>
      <c r="F336" s="1"/>
      <c r="G336" s="1"/>
      <c r="H336" s="1"/>
      <c r="I336" s="1"/>
      <c r="J336" s="1"/>
      <c r="K336" s="1"/>
      <c r="L336" s="1"/>
      <c r="M336" s="1"/>
      <c r="N336" s="1"/>
      <c r="O336" s="1"/>
      <c r="P336" s="1"/>
      <c r="Q336" s="1"/>
      <c r="R336" s="1"/>
      <c r="S336" s="1"/>
      <c r="T336" s="1"/>
      <c r="U336" s="2"/>
      <c r="V336" s="1"/>
      <c r="W336" s="1"/>
      <c r="X336" s="1"/>
      <c r="Y336" s="1"/>
      <c r="Z336" s="1"/>
    </row>
    <row r="337" spans="1:26" ht="24.75" customHeight="1">
      <c r="A337" s="1"/>
      <c r="B337" s="1"/>
      <c r="C337" s="1"/>
      <c r="D337" s="1"/>
      <c r="E337" s="1"/>
      <c r="F337" s="1"/>
      <c r="G337" s="1"/>
      <c r="H337" s="1"/>
      <c r="I337" s="1"/>
      <c r="J337" s="1"/>
      <c r="K337" s="1"/>
      <c r="L337" s="1"/>
      <c r="M337" s="1"/>
      <c r="N337" s="1"/>
      <c r="O337" s="1"/>
      <c r="P337" s="1"/>
      <c r="Q337" s="1"/>
      <c r="R337" s="1"/>
      <c r="S337" s="1"/>
      <c r="T337" s="1"/>
      <c r="U337" s="2"/>
      <c r="V337" s="1"/>
      <c r="W337" s="1"/>
      <c r="X337" s="1"/>
      <c r="Y337" s="1"/>
      <c r="Z337" s="1"/>
    </row>
    <row r="338" spans="1:26" ht="24.75" customHeight="1">
      <c r="A338" s="1"/>
      <c r="B338" s="1"/>
      <c r="C338" s="1"/>
      <c r="D338" s="1"/>
      <c r="E338" s="1"/>
      <c r="F338" s="1"/>
      <c r="G338" s="1"/>
      <c r="H338" s="1"/>
      <c r="I338" s="1"/>
      <c r="J338" s="1"/>
      <c r="K338" s="1"/>
      <c r="L338" s="1"/>
      <c r="M338" s="1"/>
      <c r="N338" s="1"/>
      <c r="O338" s="1"/>
      <c r="P338" s="1"/>
      <c r="Q338" s="1"/>
      <c r="R338" s="1"/>
      <c r="S338" s="1"/>
      <c r="T338" s="1"/>
      <c r="U338" s="2"/>
      <c r="V338" s="1"/>
      <c r="W338" s="1"/>
      <c r="X338" s="1"/>
      <c r="Y338" s="1"/>
      <c r="Z338" s="1"/>
    </row>
    <row r="339" spans="1:26" ht="24.75" customHeight="1">
      <c r="A339" s="1"/>
      <c r="B339" s="1"/>
      <c r="C339" s="1"/>
      <c r="D339" s="1"/>
      <c r="E339" s="1"/>
      <c r="F339" s="1"/>
      <c r="G339" s="1"/>
      <c r="H339" s="1"/>
      <c r="I339" s="1"/>
      <c r="J339" s="1"/>
      <c r="K339" s="1"/>
      <c r="L339" s="1"/>
      <c r="M339" s="1"/>
      <c r="N339" s="1"/>
      <c r="O339" s="1"/>
      <c r="P339" s="1"/>
      <c r="Q339" s="1"/>
      <c r="R339" s="1"/>
      <c r="S339" s="1"/>
      <c r="T339" s="1"/>
      <c r="U339" s="2"/>
      <c r="V339" s="1"/>
      <c r="W339" s="1"/>
      <c r="X339" s="1"/>
      <c r="Y339" s="1"/>
      <c r="Z339" s="1"/>
    </row>
    <row r="340" spans="1:26" ht="24.75" customHeight="1">
      <c r="A340" s="1"/>
      <c r="B340" s="1"/>
      <c r="C340" s="1"/>
      <c r="D340" s="1"/>
      <c r="E340" s="1"/>
      <c r="F340" s="1"/>
      <c r="G340" s="1"/>
      <c r="H340" s="1"/>
      <c r="I340" s="1"/>
      <c r="J340" s="1"/>
      <c r="K340" s="1"/>
      <c r="L340" s="1"/>
      <c r="M340" s="1"/>
      <c r="N340" s="1"/>
      <c r="O340" s="1"/>
      <c r="P340" s="1"/>
      <c r="Q340" s="1"/>
      <c r="R340" s="1"/>
      <c r="S340" s="1"/>
      <c r="T340" s="1"/>
      <c r="U340" s="2"/>
      <c r="V340" s="1"/>
      <c r="W340" s="1"/>
      <c r="X340" s="1"/>
      <c r="Y340" s="1"/>
      <c r="Z340" s="1"/>
    </row>
    <row r="341" spans="1:26" ht="24.75" customHeight="1">
      <c r="A341" s="1"/>
      <c r="B341" s="1"/>
      <c r="C341" s="1"/>
      <c r="D341" s="1"/>
      <c r="E341" s="1"/>
      <c r="F341" s="1"/>
      <c r="G341" s="1"/>
      <c r="H341" s="1"/>
      <c r="I341" s="1"/>
      <c r="J341" s="1"/>
      <c r="K341" s="1"/>
      <c r="L341" s="1"/>
      <c r="M341" s="1"/>
      <c r="N341" s="1"/>
      <c r="O341" s="1"/>
      <c r="P341" s="1"/>
      <c r="Q341" s="1"/>
      <c r="R341" s="1"/>
      <c r="S341" s="1"/>
      <c r="T341" s="1"/>
      <c r="U341" s="2"/>
      <c r="V341" s="1"/>
      <c r="W341" s="1"/>
      <c r="X341" s="1"/>
      <c r="Y341" s="1"/>
      <c r="Z341" s="1"/>
    </row>
    <row r="342" spans="1:26" ht="24.75" customHeight="1">
      <c r="A342" s="1"/>
      <c r="B342" s="1"/>
      <c r="C342" s="1"/>
      <c r="D342" s="1"/>
      <c r="E342" s="1"/>
      <c r="F342" s="1"/>
      <c r="G342" s="1"/>
      <c r="H342" s="1"/>
      <c r="I342" s="1"/>
      <c r="J342" s="1"/>
      <c r="K342" s="1"/>
      <c r="L342" s="1"/>
      <c r="M342" s="1"/>
      <c r="N342" s="1"/>
      <c r="O342" s="1"/>
      <c r="P342" s="1"/>
      <c r="Q342" s="1"/>
      <c r="R342" s="1"/>
      <c r="S342" s="1"/>
      <c r="T342" s="1"/>
      <c r="U342" s="2"/>
      <c r="V342" s="1"/>
      <c r="W342" s="1"/>
      <c r="X342" s="1"/>
      <c r="Y342" s="1"/>
      <c r="Z342" s="1"/>
    </row>
    <row r="343" spans="1:26" ht="24.75" customHeight="1">
      <c r="A343" s="1"/>
      <c r="B343" s="1"/>
      <c r="C343" s="1"/>
      <c r="D343" s="1"/>
      <c r="E343" s="1"/>
      <c r="F343" s="1"/>
      <c r="G343" s="1"/>
      <c r="H343" s="1"/>
      <c r="I343" s="1"/>
      <c r="J343" s="1"/>
      <c r="K343" s="1"/>
      <c r="L343" s="1"/>
      <c r="M343" s="1"/>
      <c r="N343" s="1"/>
      <c r="O343" s="1"/>
      <c r="P343" s="1"/>
      <c r="Q343" s="1"/>
      <c r="R343" s="1"/>
      <c r="S343" s="1"/>
      <c r="T343" s="1"/>
      <c r="U343" s="2"/>
      <c r="V343" s="1"/>
      <c r="W343" s="1"/>
      <c r="X343" s="1"/>
      <c r="Y343" s="1"/>
      <c r="Z343" s="1"/>
    </row>
    <row r="344" spans="1:26" ht="24.75" customHeight="1">
      <c r="A344" s="1"/>
      <c r="B344" s="1"/>
      <c r="C344" s="1"/>
      <c r="D344" s="1"/>
      <c r="E344" s="1"/>
      <c r="F344" s="1"/>
      <c r="G344" s="1"/>
      <c r="H344" s="1"/>
      <c r="I344" s="1"/>
      <c r="J344" s="1"/>
      <c r="K344" s="1"/>
      <c r="L344" s="1"/>
      <c r="M344" s="1"/>
      <c r="N344" s="1"/>
      <c r="O344" s="1"/>
      <c r="P344" s="1"/>
      <c r="Q344" s="1"/>
      <c r="R344" s="1"/>
      <c r="S344" s="1"/>
      <c r="T344" s="1"/>
      <c r="U344" s="2"/>
      <c r="V344" s="1"/>
      <c r="W344" s="1"/>
      <c r="X344" s="1"/>
      <c r="Y344" s="1"/>
      <c r="Z344" s="1"/>
    </row>
    <row r="345" spans="1:26" ht="24.75" customHeight="1">
      <c r="A345" s="1"/>
      <c r="B345" s="1"/>
      <c r="C345" s="1"/>
      <c r="D345" s="1"/>
      <c r="E345" s="1"/>
      <c r="F345" s="1"/>
      <c r="G345" s="1"/>
      <c r="H345" s="1"/>
      <c r="I345" s="1"/>
      <c r="J345" s="1"/>
      <c r="K345" s="1"/>
      <c r="L345" s="1"/>
      <c r="M345" s="1"/>
      <c r="N345" s="1"/>
      <c r="O345" s="1"/>
      <c r="P345" s="1"/>
      <c r="Q345" s="1"/>
      <c r="R345" s="1"/>
      <c r="S345" s="1"/>
      <c r="T345" s="1"/>
      <c r="U345" s="2"/>
      <c r="V345" s="1"/>
      <c r="W345" s="1"/>
      <c r="X345" s="1"/>
      <c r="Y345" s="1"/>
      <c r="Z345" s="1"/>
    </row>
    <row r="346" spans="1:26" ht="24.75" customHeight="1">
      <c r="A346" s="1"/>
      <c r="B346" s="1"/>
      <c r="C346" s="1"/>
      <c r="D346" s="1"/>
      <c r="E346" s="1"/>
      <c r="F346" s="1"/>
      <c r="G346" s="1"/>
      <c r="H346" s="1"/>
      <c r="I346" s="1"/>
      <c r="J346" s="1"/>
      <c r="K346" s="1"/>
      <c r="L346" s="1"/>
      <c r="M346" s="1"/>
      <c r="N346" s="1"/>
      <c r="O346" s="1"/>
      <c r="P346" s="1"/>
      <c r="Q346" s="1"/>
      <c r="R346" s="1"/>
      <c r="S346" s="1"/>
      <c r="T346" s="1"/>
      <c r="U346" s="2"/>
      <c r="V346" s="1"/>
      <c r="W346" s="1"/>
      <c r="X346" s="1"/>
      <c r="Y346" s="1"/>
      <c r="Z346" s="1"/>
    </row>
    <row r="347" spans="1:26" ht="24.75" customHeight="1">
      <c r="A347" s="1"/>
      <c r="B347" s="1"/>
      <c r="C347" s="1"/>
      <c r="D347" s="1"/>
      <c r="E347" s="1"/>
      <c r="F347" s="1"/>
      <c r="G347" s="1"/>
      <c r="H347" s="1"/>
      <c r="I347" s="1"/>
      <c r="J347" s="1"/>
      <c r="K347" s="1"/>
      <c r="L347" s="1"/>
      <c r="M347" s="1"/>
      <c r="N347" s="1"/>
      <c r="O347" s="1"/>
      <c r="P347" s="1"/>
      <c r="Q347" s="1"/>
      <c r="R347" s="1"/>
      <c r="S347" s="1"/>
      <c r="T347" s="1"/>
      <c r="U347" s="2"/>
      <c r="V347" s="1"/>
      <c r="W347" s="1"/>
      <c r="X347" s="1"/>
      <c r="Y347" s="1"/>
      <c r="Z347" s="1"/>
    </row>
    <row r="348" spans="1:26" ht="24.75" customHeight="1">
      <c r="A348" s="1"/>
      <c r="B348" s="1"/>
      <c r="C348" s="1"/>
      <c r="D348" s="1"/>
      <c r="E348" s="1"/>
      <c r="F348" s="1"/>
      <c r="G348" s="1"/>
      <c r="H348" s="1"/>
      <c r="I348" s="1"/>
      <c r="J348" s="1"/>
      <c r="K348" s="1"/>
      <c r="L348" s="1"/>
      <c r="M348" s="1"/>
      <c r="N348" s="1"/>
      <c r="O348" s="1"/>
      <c r="P348" s="1"/>
      <c r="Q348" s="1"/>
      <c r="R348" s="1"/>
      <c r="S348" s="1"/>
      <c r="T348" s="1"/>
      <c r="U348" s="2"/>
      <c r="V348" s="1"/>
      <c r="W348" s="1"/>
      <c r="X348" s="1"/>
      <c r="Y348" s="1"/>
      <c r="Z348" s="1"/>
    </row>
    <row r="349" spans="1:26" ht="24.75" customHeight="1">
      <c r="A349" s="1"/>
      <c r="B349" s="1"/>
      <c r="C349" s="1"/>
      <c r="D349" s="1"/>
      <c r="E349" s="1"/>
      <c r="F349" s="1"/>
      <c r="G349" s="1"/>
      <c r="H349" s="1"/>
      <c r="I349" s="1"/>
      <c r="J349" s="1"/>
      <c r="K349" s="1"/>
      <c r="L349" s="1"/>
      <c r="M349" s="1"/>
      <c r="N349" s="1"/>
      <c r="O349" s="1"/>
      <c r="P349" s="1"/>
      <c r="Q349" s="1"/>
      <c r="R349" s="1"/>
      <c r="S349" s="1"/>
      <c r="T349" s="1"/>
      <c r="U349" s="2"/>
      <c r="V349" s="1"/>
      <c r="W349" s="1"/>
      <c r="X349" s="1"/>
      <c r="Y349" s="1"/>
      <c r="Z349" s="1"/>
    </row>
    <row r="350" spans="1:26" ht="24.75" customHeight="1">
      <c r="A350" s="1"/>
      <c r="B350" s="1"/>
      <c r="C350" s="1"/>
      <c r="D350" s="1"/>
      <c r="E350" s="1"/>
      <c r="F350" s="1"/>
      <c r="G350" s="1"/>
      <c r="H350" s="1"/>
      <c r="I350" s="1"/>
      <c r="J350" s="1"/>
      <c r="K350" s="1"/>
      <c r="L350" s="1"/>
      <c r="M350" s="1"/>
      <c r="N350" s="1"/>
      <c r="O350" s="1"/>
      <c r="P350" s="1"/>
      <c r="Q350" s="1"/>
      <c r="R350" s="1"/>
      <c r="S350" s="1"/>
      <c r="T350" s="1"/>
      <c r="U350" s="2"/>
      <c r="V350" s="1"/>
      <c r="W350" s="1"/>
      <c r="X350" s="1"/>
      <c r="Y350" s="1"/>
      <c r="Z350" s="1"/>
    </row>
    <row r="351" spans="1:26" ht="24.75" customHeight="1">
      <c r="A351" s="1"/>
      <c r="B351" s="1"/>
      <c r="C351" s="1"/>
      <c r="D351" s="1"/>
      <c r="E351" s="1"/>
      <c r="F351" s="1"/>
      <c r="G351" s="1"/>
      <c r="H351" s="1"/>
      <c r="I351" s="1"/>
      <c r="J351" s="1"/>
      <c r="K351" s="1"/>
      <c r="L351" s="1"/>
      <c r="M351" s="1"/>
      <c r="N351" s="1"/>
      <c r="O351" s="1"/>
      <c r="P351" s="1"/>
      <c r="Q351" s="1"/>
      <c r="R351" s="1"/>
      <c r="S351" s="1"/>
      <c r="T351" s="1"/>
      <c r="U351" s="2"/>
      <c r="V351" s="1"/>
      <c r="W351" s="1"/>
      <c r="X351" s="1"/>
      <c r="Y351" s="1"/>
      <c r="Z351" s="1"/>
    </row>
    <row r="352" spans="1:26" ht="24.75" customHeight="1">
      <c r="A352" s="1"/>
      <c r="B352" s="1"/>
      <c r="C352" s="1"/>
      <c r="D352" s="1"/>
      <c r="E352" s="1"/>
      <c r="F352" s="1"/>
      <c r="G352" s="1"/>
      <c r="H352" s="1"/>
      <c r="I352" s="1"/>
      <c r="J352" s="1"/>
      <c r="K352" s="1"/>
      <c r="L352" s="1"/>
      <c r="M352" s="1"/>
      <c r="N352" s="1"/>
      <c r="O352" s="1"/>
      <c r="P352" s="1"/>
      <c r="Q352" s="1"/>
      <c r="R352" s="1"/>
      <c r="S352" s="1"/>
      <c r="T352" s="1"/>
      <c r="U352" s="2"/>
      <c r="V352" s="1"/>
      <c r="W352" s="1"/>
      <c r="X352" s="1"/>
      <c r="Y352" s="1"/>
      <c r="Z352" s="1"/>
    </row>
    <row r="353" spans="1:26" ht="24.75" customHeight="1">
      <c r="A353" s="1"/>
      <c r="B353" s="1"/>
      <c r="C353" s="1"/>
      <c r="D353" s="1"/>
      <c r="E353" s="1"/>
      <c r="F353" s="1"/>
      <c r="G353" s="1"/>
      <c r="H353" s="1"/>
      <c r="I353" s="1"/>
      <c r="J353" s="1"/>
      <c r="K353" s="1"/>
      <c r="L353" s="1"/>
      <c r="M353" s="1"/>
      <c r="N353" s="1"/>
      <c r="O353" s="1"/>
      <c r="P353" s="1"/>
      <c r="Q353" s="1"/>
      <c r="R353" s="1"/>
      <c r="S353" s="1"/>
      <c r="T353" s="1"/>
      <c r="U353" s="2"/>
      <c r="V353" s="1"/>
      <c r="W353" s="1"/>
      <c r="X353" s="1"/>
      <c r="Y353" s="1"/>
      <c r="Z353" s="1"/>
    </row>
    <row r="354" spans="1:26" ht="24.75" customHeight="1">
      <c r="A354" s="1"/>
      <c r="B354" s="1"/>
      <c r="C354" s="1"/>
      <c r="D354" s="1"/>
      <c r="E354" s="1"/>
      <c r="F354" s="1"/>
      <c r="G354" s="1"/>
      <c r="H354" s="1"/>
      <c r="I354" s="1"/>
      <c r="J354" s="1"/>
      <c r="K354" s="1"/>
      <c r="L354" s="1"/>
      <c r="M354" s="1"/>
      <c r="N354" s="1"/>
      <c r="O354" s="1"/>
      <c r="P354" s="1"/>
      <c r="Q354" s="1"/>
      <c r="R354" s="1"/>
      <c r="S354" s="1"/>
      <c r="T354" s="1"/>
      <c r="U354" s="2"/>
      <c r="V354" s="1"/>
      <c r="W354" s="1"/>
      <c r="X354" s="1"/>
      <c r="Y354" s="1"/>
      <c r="Z354" s="1"/>
    </row>
    <row r="355" spans="1:26" ht="24.75" customHeight="1">
      <c r="A355" s="1"/>
      <c r="B355" s="1"/>
      <c r="C355" s="1"/>
      <c r="D355" s="1"/>
      <c r="E355" s="1"/>
      <c r="F355" s="1"/>
      <c r="G355" s="1"/>
      <c r="H355" s="1"/>
      <c r="I355" s="1"/>
      <c r="J355" s="1"/>
      <c r="K355" s="1"/>
      <c r="L355" s="1"/>
      <c r="M355" s="1"/>
      <c r="N355" s="1"/>
      <c r="O355" s="1"/>
      <c r="P355" s="1"/>
      <c r="Q355" s="1"/>
      <c r="R355" s="1"/>
      <c r="S355" s="1"/>
      <c r="T355" s="1"/>
      <c r="U355" s="2"/>
      <c r="V355" s="1"/>
      <c r="W355" s="1"/>
      <c r="X355" s="1"/>
      <c r="Y355" s="1"/>
      <c r="Z355" s="1"/>
    </row>
    <row r="356" spans="1:26" ht="24.75" customHeight="1">
      <c r="A356" s="1"/>
      <c r="B356" s="1"/>
      <c r="C356" s="1"/>
      <c r="D356" s="1"/>
      <c r="E356" s="1"/>
      <c r="F356" s="1"/>
      <c r="G356" s="1"/>
      <c r="H356" s="1"/>
      <c r="I356" s="1"/>
      <c r="J356" s="1"/>
      <c r="K356" s="1"/>
      <c r="L356" s="1"/>
      <c r="M356" s="1"/>
      <c r="N356" s="1"/>
      <c r="O356" s="1"/>
      <c r="P356" s="1"/>
      <c r="Q356" s="1"/>
      <c r="R356" s="1"/>
      <c r="S356" s="1"/>
      <c r="T356" s="1"/>
      <c r="U356" s="2"/>
      <c r="V356" s="1"/>
      <c r="W356" s="1"/>
      <c r="X356" s="1"/>
      <c r="Y356" s="1"/>
      <c r="Z356" s="1"/>
    </row>
    <row r="357" spans="1:26" ht="24.75" customHeight="1">
      <c r="A357" s="1"/>
      <c r="B357" s="1"/>
      <c r="C357" s="1"/>
      <c r="D357" s="1"/>
      <c r="E357" s="1"/>
      <c r="F357" s="1"/>
      <c r="G357" s="1"/>
      <c r="H357" s="1"/>
      <c r="I357" s="1"/>
      <c r="J357" s="1"/>
      <c r="K357" s="1"/>
      <c r="L357" s="1"/>
      <c r="M357" s="1"/>
      <c r="N357" s="1"/>
      <c r="O357" s="1"/>
      <c r="P357" s="1"/>
      <c r="Q357" s="1"/>
      <c r="R357" s="1"/>
      <c r="S357" s="1"/>
      <c r="T357" s="1"/>
      <c r="U357" s="2"/>
      <c r="V357" s="1"/>
      <c r="W357" s="1"/>
      <c r="X357" s="1"/>
      <c r="Y357" s="1"/>
      <c r="Z357" s="1"/>
    </row>
    <row r="358" spans="1:26" ht="24.75" customHeight="1">
      <c r="A358" s="1"/>
      <c r="B358" s="1"/>
      <c r="C358" s="1"/>
      <c r="D358" s="1"/>
      <c r="E358" s="1"/>
      <c r="F358" s="1"/>
      <c r="G358" s="1"/>
      <c r="H358" s="1"/>
      <c r="I358" s="1"/>
      <c r="J358" s="1"/>
      <c r="K358" s="1"/>
      <c r="L358" s="1"/>
      <c r="M358" s="1"/>
      <c r="N358" s="1"/>
      <c r="O358" s="1"/>
      <c r="P358" s="1"/>
      <c r="Q358" s="1"/>
      <c r="R358" s="1"/>
      <c r="S358" s="1"/>
      <c r="T358" s="1"/>
      <c r="U358" s="2"/>
      <c r="V358" s="1"/>
      <c r="W358" s="1"/>
      <c r="X358" s="1"/>
      <c r="Y358" s="1"/>
      <c r="Z358" s="1"/>
    </row>
    <row r="359" spans="1:26" ht="24.75" customHeight="1">
      <c r="A359" s="1"/>
      <c r="B359" s="1"/>
      <c r="C359" s="1"/>
      <c r="D359" s="1"/>
      <c r="E359" s="1"/>
      <c r="F359" s="1"/>
      <c r="G359" s="1"/>
      <c r="H359" s="1"/>
      <c r="I359" s="1"/>
      <c r="J359" s="1"/>
      <c r="K359" s="1"/>
      <c r="L359" s="1"/>
      <c r="M359" s="1"/>
      <c r="N359" s="1"/>
      <c r="O359" s="1"/>
      <c r="P359" s="1"/>
      <c r="Q359" s="1"/>
      <c r="R359" s="1"/>
      <c r="S359" s="1"/>
      <c r="T359" s="1"/>
      <c r="U359" s="2"/>
      <c r="V359" s="1"/>
      <c r="W359" s="1"/>
      <c r="X359" s="1"/>
      <c r="Y359" s="1"/>
      <c r="Z359" s="1"/>
    </row>
    <row r="360" spans="1:26" ht="24.75" customHeight="1">
      <c r="A360" s="1"/>
      <c r="B360" s="1"/>
      <c r="C360" s="1"/>
      <c r="D360" s="1"/>
      <c r="E360" s="1"/>
      <c r="F360" s="1"/>
      <c r="G360" s="1"/>
      <c r="H360" s="1"/>
      <c r="I360" s="1"/>
      <c r="J360" s="1"/>
      <c r="K360" s="1"/>
      <c r="L360" s="1"/>
      <c r="M360" s="1"/>
      <c r="N360" s="1"/>
      <c r="O360" s="1"/>
      <c r="P360" s="1"/>
      <c r="Q360" s="1"/>
      <c r="R360" s="1"/>
      <c r="S360" s="1"/>
      <c r="T360" s="1"/>
      <c r="U360" s="2"/>
      <c r="V360" s="1"/>
      <c r="W360" s="1"/>
      <c r="X360" s="1"/>
      <c r="Y360" s="1"/>
      <c r="Z360" s="1"/>
    </row>
    <row r="361" spans="1:26" ht="24.75" customHeight="1">
      <c r="A361" s="1"/>
      <c r="B361" s="1"/>
      <c r="C361" s="1"/>
      <c r="D361" s="1"/>
      <c r="E361" s="1"/>
      <c r="F361" s="1"/>
      <c r="G361" s="1"/>
      <c r="H361" s="1"/>
      <c r="I361" s="1"/>
      <c r="J361" s="1"/>
      <c r="K361" s="1"/>
      <c r="L361" s="1"/>
      <c r="M361" s="1"/>
      <c r="N361" s="1"/>
      <c r="O361" s="1"/>
      <c r="P361" s="1"/>
      <c r="Q361" s="1"/>
      <c r="R361" s="1"/>
      <c r="S361" s="1"/>
      <c r="T361" s="1"/>
      <c r="U361" s="2"/>
      <c r="V361" s="1"/>
      <c r="W361" s="1"/>
      <c r="X361" s="1"/>
      <c r="Y361" s="1"/>
      <c r="Z361" s="1"/>
    </row>
    <row r="362" spans="1:26" ht="24.75" customHeight="1">
      <c r="A362" s="1"/>
      <c r="B362" s="1"/>
      <c r="C362" s="1"/>
      <c r="D362" s="1"/>
      <c r="E362" s="1"/>
      <c r="F362" s="1"/>
      <c r="G362" s="1"/>
      <c r="H362" s="1"/>
      <c r="I362" s="1"/>
      <c r="J362" s="1"/>
      <c r="K362" s="1"/>
      <c r="L362" s="1"/>
      <c r="M362" s="1"/>
      <c r="N362" s="1"/>
      <c r="O362" s="1"/>
      <c r="P362" s="1"/>
      <c r="Q362" s="1"/>
      <c r="R362" s="1"/>
      <c r="S362" s="1"/>
      <c r="T362" s="1"/>
      <c r="U362" s="2"/>
      <c r="V362" s="1"/>
      <c r="W362" s="1"/>
      <c r="X362" s="1"/>
      <c r="Y362" s="1"/>
      <c r="Z362" s="1"/>
    </row>
    <row r="363" spans="1:26" ht="24.75" customHeight="1">
      <c r="A363" s="1"/>
      <c r="B363" s="1"/>
      <c r="C363" s="1"/>
      <c r="D363" s="1"/>
      <c r="E363" s="1"/>
      <c r="F363" s="1"/>
      <c r="G363" s="1"/>
      <c r="H363" s="1"/>
      <c r="I363" s="1"/>
      <c r="J363" s="1"/>
      <c r="K363" s="1"/>
      <c r="L363" s="1"/>
      <c r="M363" s="1"/>
      <c r="N363" s="1"/>
      <c r="O363" s="1"/>
      <c r="P363" s="1"/>
      <c r="Q363" s="1"/>
      <c r="R363" s="1"/>
      <c r="S363" s="1"/>
      <c r="T363" s="1"/>
      <c r="U363" s="2"/>
      <c r="V363" s="1"/>
      <c r="W363" s="1"/>
      <c r="X363" s="1"/>
      <c r="Y363" s="1"/>
      <c r="Z363" s="1"/>
    </row>
    <row r="364" spans="1:26" ht="24.75" customHeight="1">
      <c r="A364" s="1"/>
      <c r="B364" s="1"/>
      <c r="C364" s="1"/>
      <c r="D364" s="1"/>
      <c r="E364" s="1"/>
      <c r="F364" s="1"/>
      <c r="G364" s="1"/>
      <c r="H364" s="1"/>
      <c r="I364" s="1"/>
      <c r="J364" s="1"/>
      <c r="K364" s="1"/>
      <c r="L364" s="1"/>
      <c r="M364" s="1"/>
      <c r="N364" s="1"/>
      <c r="O364" s="1"/>
      <c r="P364" s="1"/>
      <c r="Q364" s="1"/>
      <c r="R364" s="1"/>
      <c r="S364" s="1"/>
      <c r="T364" s="1"/>
      <c r="U364" s="2"/>
      <c r="V364" s="1"/>
      <c r="W364" s="1"/>
      <c r="X364" s="1"/>
      <c r="Y364" s="1"/>
      <c r="Z364" s="1"/>
    </row>
    <row r="365" spans="1:26" ht="24.75" customHeight="1">
      <c r="A365" s="1"/>
      <c r="B365" s="1"/>
      <c r="C365" s="1"/>
      <c r="D365" s="1"/>
      <c r="E365" s="1"/>
      <c r="F365" s="1"/>
      <c r="G365" s="1"/>
      <c r="H365" s="1"/>
      <c r="I365" s="1"/>
      <c r="J365" s="1"/>
      <c r="K365" s="1"/>
      <c r="L365" s="1"/>
      <c r="M365" s="1"/>
      <c r="N365" s="1"/>
      <c r="O365" s="1"/>
      <c r="P365" s="1"/>
      <c r="Q365" s="1"/>
      <c r="R365" s="1"/>
      <c r="S365" s="1"/>
      <c r="T365" s="1"/>
      <c r="U365" s="2"/>
      <c r="V365" s="1"/>
      <c r="W365" s="1"/>
      <c r="X365" s="1"/>
      <c r="Y365" s="1"/>
      <c r="Z365" s="1"/>
    </row>
    <row r="366" spans="1:26" ht="24.75" customHeight="1">
      <c r="A366" s="1"/>
      <c r="B366" s="1"/>
      <c r="C366" s="1"/>
      <c r="D366" s="1"/>
      <c r="E366" s="1"/>
      <c r="F366" s="1"/>
      <c r="G366" s="1"/>
      <c r="H366" s="1"/>
      <c r="I366" s="1"/>
      <c r="J366" s="1"/>
      <c r="K366" s="1"/>
      <c r="L366" s="1"/>
      <c r="M366" s="1"/>
      <c r="N366" s="1"/>
      <c r="O366" s="1"/>
      <c r="P366" s="1"/>
      <c r="Q366" s="1"/>
      <c r="R366" s="1"/>
      <c r="S366" s="1"/>
      <c r="T366" s="1"/>
      <c r="U366" s="2"/>
      <c r="V366" s="1"/>
      <c r="W366" s="1"/>
      <c r="X366" s="1"/>
      <c r="Y366" s="1"/>
      <c r="Z366" s="1"/>
    </row>
    <row r="367" spans="1:26" ht="24.75" customHeight="1">
      <c r="A367" s="1"/>
      <c r="B367" s="1"/>
      <c r="C367" s="1"/>
      <c r="D367" s="1"/>
      <c r="E367" s="1"/>
      <c r="F367" s="1"/>
      <c r="G367" s="1"/>
      <c r="H367" s="1"/>
      <c r="I367" s="1"/>
      <c r="J367" s="1"/>
      <c r="K367" s="1"/>
      <c r="L367" s="1"/>
      <c r="M367" s="1"/>
      <c r="N367" s="1"/>
      <c r="O367" s="1"/>
      <c r="P367" s="1"/>
      <c r="Q367" s="1"/>
      <c r="R367" s="1"/>
      <c r="S367" s="1"/>
      <c r="T367" s="1"/>
      <c r="U367" s="2"/>
      <c r="V367" s="1"/>
      <c r="W367" s="1"/>
      <c r="X367" s="1"/>
      <c r="Y367" s="1"/>
      <c r="Z367" s="1"/>
    </row>
    <row r="368" spans="1:26" ht="24.75" customHeight="1">
      <c r="A368" s="1"/>
      <c r="B368" s="1"/>
      <c r="C368" s="1"/>
      <c r="D368" s="1"/>
      <c r="E368" s="1"/>
      <c r="F368" s="1"/>
      <c r="G368" s="1"/>
      <c r="H368" s="1"/>
      <c r="I368" s="1"/>
      <c r="J368" s="1"/>
      <c r="K368" s="1"/>
      <c r="L368" s="1"/>
      <c r="M368" s="1"/>
      <c r="N368" s="1"/>
      <c r="O368" s="1"/>
      <c r="P368" s="1"/>
      <c r="Q368" s="1"/>
      <c r="R368" s="1"/>
      <c r="S368" s="1"/>
      <c r="T368" s="1"/>
      <c r="U368" s="2"/>
      <c r="V368" s="1"/>
      <c r="W368" s="1"/>
      <c r="X368" s="1"/>
      <c r="Y368" s="1"/>
      <c r="Z368" s="1"/>
    </row>
    <row r="369" spans="1:26" ht="24.75" customHeight="1">
      <c r="A369" s="1"/>
      <c r="B369" s="1"/>
      <c r="C369" s="1"/>
      <c r="D369" s="1"/>
      <c r="E369" s="1"/>
      <c r="F369" s="1"/>
      <c r="G369" s="1"/>
      <c r="H369" s="1"/>
      <c r="I369" s="1"/>
      <c r="J369" s="1"/>
      <c r="K369" s="1"/>
      <c r="L369" s="1"/>
      <c r="M369" s="1"/>
      <c r="N369" s="1"/>
      <c r="O369" s="1"/>
      <c r="P369" s="1"/>
      <c r="Q369" s="1"/>
      <c r="R369" s="1"/>
      <c r="S369" s="1"/>
      <c r="T369" s="1"/>
      <c r="U369" s="2"/>
      <c r="V369" s="1"/>
      <c r="W369" s="1"/>
      <c r="X369" s="1"/>
      <c r="Y369" s="1"/>
      <c r="Z369" s="1"/>
    </row>
    <row r="370" spans="1:26" ht="24.75" customHeight="1">
      <c r="A370" s="1"/>
      <c r="B370" s="1"/>
      <c r="C370" s="1"/>
      <c r="D370" s="1"/>
      <c r="E370" s="1"/>
      <c r="F370" s="1"/>
      <c r="G370" s="1"/>
      <c r="H370" s="1"/>
      <c r="I370" s="1"/>
      <c r="J370" s="1"/>
      <c r="K370" s="1"/>
      <c r="L370" s="1"/>
      <c r="M370" s="1"/>
      <c r="N370" s="1"/>
      <c r="O370" s="1"/>
      <c r="P370" s="1"/>
      <c r="Q370" s="1"/>
      <c r="R370" s="1"/>
      <c r="S370" s="1"/>
      <c r="T370" s="1"/>
      <c r="U370" s="2"/>
      <c r="V370" s="1"/>
      <c r="W370" s="1"/>
      <c r="X370" s="1"/>
      <c r="Y370" s="1"/>
      <c r="Z370" s="1"/>
    </row>
    <row r="371" spans="1:26" ht="24.75" customHeight="1">
      <c r="A371" s="1"/>
      <c r="B371" s="1"/>
      <c r="C371" s="1"/>
      <c r="D371" s="1"/>
      <c r="E371" s="1"/>
      <c r="F371" s="1"/>
      <c r="G371" s="1"/>
      <c r="H371" s="1"/>
      <c r="I371" s="1"/>
      <c r="J371" s="1"/>
      <c r="K371" s="1"/>
      <c r="L371" s="1"/>
      <c r="M371" s="1"/>
      <c r="N371" s="1"/>
      <c r="O371" s="1"/>
      <c r="P371" s="1"/>
      <c r="Q371" s="1"/>
      <c r="R371" s="1"/>
      <c r="S371" s="1"/>
      <c r="T371" s="1"/>
      <c r="U371" s="2"/>
      <c r="V371" s="1"/>
      <c r="W371" s="1"/>
      <c r="X371" s="1"/>
      <c r="Y371" s="1"/>
      <c r="Z371" s="1"/>
    </row>
    <row r="372" spans="1:26" ht="24.75" customHeight="1">
      <c r="A372" s="1"/>
      <c r="B372" s="1"/>
      <c r="C372" s="1"/>
      <c r="D372" s="1"/>
      <c r="E372" s="1"/>
      <c r="F372" s="1"/>
      <c r="G372" s="1"/>
      <c r="H372" s="1"/>
      <c r="I372" s="1"/>
      <c r="J372" s="1"/>
      <c r="K372" s="1"/>
      <c r="L372" s="1"/>
      <c r="M372" s="1"/>
      <c r="N372" s="1"/>
      <c r="O372" s="1"/>
      <c r="P372" s="1"/>
      <c r="Q372" s="1"/>
      <c r="R372" s="1"/>
      <c r="S372" s="1"/>
      <c r="T372" s="1"/>
      <c r="U372" s="2"/>
      <c r="V372" s="1"/>
      <c r="W372" s="1"/>
      <c r="X372" s="1"/>
      <c r="Y372" s="1"/>
      <c r="Z372" s="1"/>
    </row>
    <row r="373" spans="1:26" ht="24.75" customHeight="1">
      <c r="A373" s="1"/>
      <c r="B373" s="1"/>
      <c r="C373" s="1"/>
      <c r="D373" s="1"/>
      <c r="E373" s="1"/>
      <c r="F373" s="1"/>
      <c r="G373" s="1"/>
      <c r="H373" s="1"/>
      <c r="I373" s="1"/>
      <c r="J373" s="1"/>
      <c r="K373" s="1"/>
      <c r="L373" s="1"/>
      <c r="M373" s="1"/>
      <c r="N373" s="1"/>
      <c r="O373" s="1"/>
      <c r="P373" s="1"/>
      <c r="Q373" s="1"/>
      <c r="R373" s="1"/>
      <c r="S373" s="1"/>
      <c r="T373" s="1"/>
      <c r="U373" s="2"/>
      <c r="V373" s="1"/>
      <c r="W373" s="1"/>
      <c r="X373" s="1"/>
      <c r="Y373" s="1"/>
      <c r="Z373" s="1"/>
    </row>
    <row r="374" spans="1:26" ht="24.75" customHeight="1">
      <c r="A374" s="1"/>
      <c r="B374" s="1"/>
      <c r="C374" s="1"/>
      <c r="D374" s="1"/>
      <c r="E374" s="1"/>
      <c r="F374" s="1"/>
      <c r="G374" s="1"/>
      <c r="H374" s="1"/>
      <c r="I374" s="1"/>
      <c r="J374" s="1"/>
      <c r="K374" s="1"/>
      <c r="L374" s="1"/>
      <c r="M374" s="1"/>
      <c r="N374" s="1"/>
      <c r="O374" s="1"/>
      <c r="P374" s="1"/>
      <c r="Q374" s="1"/>
      <c r="R374" s="1"/>
      <c r="S374" s="1"/>
      <c r="T374" s="1"/>
      <c r="U374" s="2"/>
      <c r="V374" s="1"/>
      <c r="W374" s="1"/>
      <c r="X374" s="1"/>
      <c r="Y374" s="1"/>
      <c r="Z374" s="1"/>
    </row>
    <row r="375" spans="1:26" ht="24.75" customHeight="1">
      <c r="A375" s="1"/>
      <c r="B375" s="1"/>
      <c r="C375" s="1"/>
      <c r="D375" s="1"/>
      <c r="E375" s="1"/>
      <c r="F375" s="1"/>
      <c r="G375" s="1"/>
      <c r="H375" s="1"/>
      <c r="I375" s="1"/>
      <c r="J375" s="1"/>
      <c r="K375" s="1"/>
      <c r="L375" s="1"/>
      <c r="M375" s="1"/>
      <c r="N375" s="1"/>
      <c r="O375" s="1"/>
      <c r="P375" s="1"/>
      <c r="Q375" s="1"/>
      <c r="R375" s="1"/>
      <c r="S375" s="1"/>
      <c r="T375" s="1"/>
      <c r="U375" s="2"/>
      <c r="V375" s="1"/>
      <c r="W375" s="1"/>
      <c r="X375" s="1"/>
      <c r="Y375" s="1"/>
      <c r="Z375" s="1"/>
    </row>
    <row r="376" spans="1:26" ht="24.75" customHeight="1">
      <c r="A376" s="1"/>
      <c r="B376" s="1"/>
      <c r="C376" s="1"/>
      <c r="D376" s="1"/>
      <c r="E376" s="1"/>
      <c r="F376" s="1"/>
      <c r="G376" s="1"/>
      <c r="H376" s="1"/>
      <c r="I376" s="1"/>
      <c r="J376" s="1"/>
      <c r="K376" s="1"/>
      <c r="L376" s="1"/>
      <c r="M376" s="1"/>
      <c r="N376" s="1"/>
      <c r="O376" s="1"/>
      <c r="P376" s="1"/>
      <c r="Q376" s="1"/>
      <c r="R376" s="1"/>
      <c r="S376" s="1"/>
      <c r="T376" s="1"/>
      <c r="U376" s="2"/>
      <c r="V376" s="1"/>
      <c r="W376" s="1"/>
      <c r="X376" s="1"/>
      <c r="Y376" s="1"/>
      <c r="Z376" s="1"/>
    </row>
    <row r="377" spans="1:26" ht="24.75" customHeight="1">
      <c r="A377" s="1"/>
      <c r="B377" s="1"/>
      <c r="C377" s="1"/>
      <c r="D377" s="1"/>
      <c r="E377" s="1"/>
      <c r="F377" s="1"/>
      <c r="G377" s="1"/>
      <c r="H377" s="1"/>
      <c r="I377" s="1"/>
      <c r="J377" s="1"/>
      <c r="K377" s="1"/>
      <c r="L377" s="1"/>
      <c r="M377" s="1"/>
      <c r="N377" s="1"/>
      <c r="O377" s="1"/>
      <c r="P377" s="1"/>
      <c r="Q377" s="1"/>
      <c r="R377" s="1"/>
      <c r="S377" s="1"/>
      <c r="T377" s="1"/>
      <c r="U377" s="2"/>
      <c r="V377" s="1"/>
      <c r="W377" s="1"/>
      <c r="X377" s="1"/>
      <c r="Y377" s="1"/>
      <c r="Z377" s="1"/>
    </row>
    <row r="378" spans="1:26" ht="24.75" customHeight="1">
      <c r="A378" s="1"/>
      <c r="B378" s="1"/>
      <c r="C378" s="1"/>
      <c r="D378" s="1"/>
      <c r="E378" s="1"/>
      <c r="F378" s="1"/>
      <c r="G378" s="1"/>
      <c r="H378" s="1"/>
      <c r="I378" s="1"/>
      <c r="J378" s="1"/>
      <c r="K378" s="1"/>
      <c r="L378" s="1"/>
      <c r="M378" s="1"/>
      <c r="N378" s="1"/>
      <c r="O378" s="1"/>
      <c r="P378" s="1"/>
      <c r="Q378" s="1"/>
      <c r="R378" s="1"/>
      <c r="S378" s="1"/>
      <c r="T378" s="1"/>
      <c r="U378" s="2"/>
      <c r="V378" s="1"/>
      <c r="W378" s="1"/>
      <c r="X378" s="1"/>
      <c r="Y378" s="1"/>
      <c r="Z378" s="1"/>
    </row>
    <row r="379" spans="1:26" ht="24.75" customHeight="1">
      <c r="A379" s="1"/>
      <c r="B379" s="1"/>
      <c r="C379" s="1"/>
      <c r="D379" s="1"/>
      <c r="E379" s="1"/>
      <c r="F379" s="1"/>
      <c r="G379" s="1"/>
      <c r="H379" s="1"/>
      <c r="I379" s="1"/>
      <c r="J379" s="1"/>
      <c r="K379" s="1"/>
      <c r="L379" s="1"/>
      <c r="M379" s="1"/>
      <c r="N379" s="1"/>
      <c r="O379" s="1"/>
      <c r="P379" s="1"/>
      <c r="Q379" s="1"/>
      <c r="R379" s="1"/>
      <c r="S379" s="1"/>
      <c r="T379" s="1"/>
      <c r="U379" s="2"/>
      <c r="V379" s="1"/>
      <c r="W379" s="1"/>
      <c r="X379" s="1"/>
      <c r="Y379" s="1"/>
      <c r="Z379" s="1"/>
    </row>
    <row r="380" spans="1:26" ht="24.75" customHeight="1">
      <c r="A380" s="1"/>
      <c r="B380" s="1"/>
      <c r="C380" s="1"/>
      <c r="D380" s="1"/>
      <c r="E380" s="1"/>
      <c r="F380" s="1"/>
      <c r="G380" s="1"/>
      <c r="H380" s="1"/>
      <c r="I380" s="1"/>
      <c r="J380" s="1"/>
      <c r="K380" s="1"/>
      <c r="L380" s="1"/>
      <c r="M380" s="1"/>
      <c r="N380" s="1"/>
      <c r="O380" s="1"/>
      <c r="P380" s="1"/>
      <c r="Q380" s="1"/>
      <c r="R380" s="1"/>
      <c r="S380" s="1"/>
      <c r="T380" s="1"/>
      <c r="U380" s="2"/>
      <c r="V380" s="1"/>
      <c r="W380" s="1"/>
      <c r="X380" s="1"/>
      <c r="Y380" s="1"/>
      <c r="Z380" s="1"/>
    </row>
    <row r="381" spans="1:26" ht="24.75" customHeight="1">
      <c r="A381" s="1"/>
      <c r="B381" s="1"/>
      <c r="C381" s="1"/>
      <c r="D381" s="1"/>
      <c r="E381" s="1"/>
      <c r="F381" s="1"/>
      <c r="G381" s="1"/>
      <c r="H381" s="1"/>
      <c r="I381" s="1"/>
      <c r="J381" s="1"/>
      <c r="K381" s="1"/>
      <c r="L381" s="1"/>
      <c r="M381" s="1"/>
      <c r="N381" s="1"/>
      <c r="O381" s="1"/>
      <c r="P381" s="1"/>
      <c r="Q381" s="1"/>
      <c r="R381" s="1"/>
      <c r="S381" s="1"/>
      <c r="T381" s="1"/>
      <c r="U381" s="2"/>
      <c r="V381" s="1"/>
      <c r="W381" s="1"/>
      <c r="X381" s="1"/>
      <c r="Y381" s="1"/>
      <c r="Z381" s="1"/>
    </row>
    <row r="382" spans="1:26" ht="24.75" customHeight="1">
      <c r="A382" s="1"/>
      <c r="B382" s="1"/>
      <c r="C382" s="1"/>
      <c r="D382" s="1"/>
      <c r="E382" s="1"/>
      <c r="F382" s="1"/>
      <c r="G382" s="1"/>
      <c r="H382" s="1"/>
      <c r="I382" s="1"/>
      <c r="J382" s="1"/>
      <c r="K382" s="1"/>
      <c r="L382" s="1"/>
      <c r="M382" s="1"/>
      <c r="N382" s="1"/>
      <c r="O382" s="1"/>
      <c r="P382" s="1"/>
      <c r="Q382" s="1"/>
      <c r="R382" s="1"/>
      <c r="S382" s="1"/>
      <c r="T382" s="1"/>
      <c r="U382" s="2"/>
      <c r="V382" s="1"/>
      <c r="W382" s="1"/>
      <c r="X382" s="1"/>
      <c r="Y382" s="1"/>
      <c r="Z382" s="1"/>
    </row>
    <row r="383" spans="1:26" ht="24.75" customHeight="1">
      <c r="A383" s="1"/>
      <c r="B383" s="1"/>
      <c r="C383" s="1"/>
      <c r="D383" s="1"/>
      <c r="E383" s="1"/>
      <c r="F383" s="1"/>
      <c r="G383" s="1"/>
      <c r="H383" s="1"/>
      <c r="I383" s="1"/>
      <c r="J383" s="1"/>
      <c r="K383" s="1"/>
      <c r="L383" s="1"/>
      <c r="M383" s="1"/>
      <c r="N383" s="1"/>
      <c r="O383" s="1"/>
      <c r="P383" s="1"/>
      <c r="Q383" s="1"/>
      <c r="R383" s="1"/>
      <c r="S383" s="1"/>
      <c r="T383" s="1"/>
      <c r="U383" s="2"/>
      <c r="V383" s="1"/>
      <c r="W383" s="1"/>
      <c r="X383" s="1"/>
      <c r="Y383" s="1"/>
      <c r="Z383" s="1"/>
    </row>
    <row r="384" spans="1:26" ht="24.75" customHeight="1">
      <c r="A384" s="1"/>
      <c r="B384" s="1"/>
      <c r="C384" s="1"/>
      <c r="D384" s="1"/>
      <c r="E384" s="1"/>
      <c r="F384" s="1"/>
      <c r="G384" s="1"/>
      <c r="H384" s="1"/>
      <c r="I384" s="1"/>
      <c r="J384" s="1"/>
      <c r="K384" s="1"/>
      <c r="L384" s="1"/>
      <c r="M384" s="1"/>
      <c r="N384" s="1"/>
      <c r="O384" s="1"/>
      <c r="P384" s="1"/>
      <c r="Q384" s="1"/>
      <c r="R384" s="1"/>
      <c r="S384" s="1"/>
      <c r="T384" s="1"/>
      <c r="U384" s="2"/>
      <c r="V384" s="1"/>
      <c r="W384" s="1"/>
      <c r="X384" s="1"/>
      <c r="Y384" s="1"/>
      <c r="Z384" s="1"/>
    </row>
    <row r="385" spans="1:26" ht="24.75" customHeight="1">
      <c r="A385" s="1"/>
      <c r="B385" s="1"/>
      <c r="C385" s="1"/>
      <c r="D385" s="1"/>
      <c r="E385" s="1"/>
      <c r="F385" s="1"/>
      <c r="G385" s="1"/>
      <c r="H385" s="1"/>
      <c r="I385" s="1"/>
      <c r="J385" s="1"/>
      <c r="K385" s="1"/>
      <c r="L385" s="1"/>
      <c r="M385" s="1"/>
      <c r="N385" s="1"/>
      <c r="O385" s="1"/>
      <c r="P385" s="1"/>
      <c r="Q385" s="1"/>
      <c r="R385" s="1"/>
      <c r="S385" s="1"/>
      <c r="T385" s="1"/>
      <c r="U385" s="2"/>
      <c r="V385" s="1"/>
      <c r="W385" s="1"/>
      <c r="X385" s="1"/>
      <c r="Y385" s="1"/>
      <c r="Z385" s="1"/>
    </row>
    <row r="386" spans="1:26" ht="24.75" customHeight="1">
      <c r="A386" s="1"/>
      <c r="B386" s="1"/>
      <c r="C386" s="1"/>
      <c r="D386" s="1"/>
      <c r="E386" s="1"/>
      <c r="F386" s="1"/>
      <c r="G386" s="1"/>
      <c r="H386" s="1"/>
      <c r="I386" s="1"/>
      <c r="J386" s="1"/>
      <c r="K386" s="1"/>
      <c r="L386" s="1"/>
      <c r="M386" s="1"/>
      <c r="N386" s="1"/>
      <c r="O386" s="1"/>
      <c r="P386" s="1"/>
      <c r="Q386" s="1"/>
      <c r="R386" s="1"/>
      <c r="S386" s="1"/>
      <c r="T386" s="1"/>
      <c r="U386" s="2"/>
      <c r="V386" s="1"/>
      <c r="W386" s="1"/>
      <c r="X386" s="1"/>
      <c r="Y386" s="1"/>
      <c r="Z386" s="1"/>
    </row>
    <row r="387" spans="1:26" ht="24.75" customHeight="1">
      <c r="A387" s="1"/>
      <c r="B387" s="1"/>
      <c r="C387" s="1"/>
      <c r="D387" s="1"/>
      <c r="E387" s="1"/>
      <c r="F387" s="1"/>
      <c r="G387" s="1"/>
      <c r="H387" s="1"/>
      <c r="I387" s="1"/>
      <c r="J387" s="1"/>
      <c r="K387" s="1"/>
      <c r="L387" s="1"/>
      <c r="M387" s="1"/>
      <c r="N387" s="1"/>
      <c r="O387" s="1"/>
      <c r="P387" s="1"/>
      <c r="Q387" s="1"/>
      <c r="R387" s="1"/>
      <c r="S387" s="1"/>
      <c r="T387" s="1"/>
      <c r="U387" s="2"/>
      <c r="V387" s="1"/>
      <c r="W387" s="1"/>
      <c r="X387" s="1"/>
      <c r="Y387" s="1"/>
      <c r="Z387" s="1"/>
    </row>
    <row r="388" spans="1:26" ht="24.75" customHeight="1">
      <c r="A388" s="1"/>
      <c r="B388" s="1"/>
      <c r="C388" s="1"/>
      <c r="D388" s="1"/>
      <c r="E388" s="1"/>
      <c r="F388" s="1"/>
      <c r="G388" s="1"/>
      <c r="H388" s="1"/>
      <c r="I388" s="1"/>
      <c r="J388" s="1"/>
      <c r="K388" s="1"/>
      <c r="L388" s="1"/>
      <c r="M388" s="1"/>
      <c r="N388" s="1"/>
      <c r="O388" s="1"/>
      <c r="P388" s="1"/>
      <c r="Q388" s="1"/>
      <c r="R388" s="1"/>
      <c r="S388" s="1"/>
      <c r="T388" s="1"/>
      <c r="U388" s="2"/>
      <c r="V388" s="1"/>
      <c r="W388" s="1"/>
      <c r="X388" s="1"/>
      <c r="Y388" s="1"/>
      <c r="Z388" s="1"/>
    </row>
    <row r="389" spans="1:26" ht="24.75" customHeight="1">
      <c r="A389" s="1"/>
      <c r="B389" s="1"/>
      <c r="C389" s="1"/>
      <c r="D389" s="1"/>
      <c r="E389" s="1"/>
      <c r="F389" s="1"/>
      <c r="G389" s="1"/>
      <c r="H389" s="1"/>
      <c r="I389" s="1"/>
      <c r="J389" s="1"/>
      <c r="K389" s="1"/>
      <c r="L389" s="1"/>
      <c r="M389" s="1"/>
      <c r="N389" s="1"/>
      <c r="O389" s="1"/>
      <c r="P389" s="1"/>
      <c r="Q389" s="1"/>
      <c r="R389" s="1"/>
      <c r="S389" s="1"/>
      <c r="T389" s="1"/>
      <c r="U389" s="2"/>
      <c r="V389" s="1"/>
      <c r="W389" s="1"/>
      <c r="X389" s="1"/>
      <c r="Y389" s="1"/>
      <c r="Z389" s="1"/>
    </row>
    <row r="390" spans="1:26" ht="24.75" customHeight="1">
      <c r="A390" s="1"/>
      <c r="B390" s="1"/>
      <c r="C390" s="1"/>
      <c r="D390" s="1"/>
      <c r="E390" s="1"/>
      <c r="F390" s="1"/>
      <c r="G390" s="1"/>
      <c r="H390" s="1"/>
      <c r="I390" s="1"/>
      <c r="J390" s="1"/>
      <c r="K390" s="1"/>
      <c r="L390" s="1"/>
      <c r="M390" s="1"/>
      <c r="N390" s="1"/>
      <c r="O390" s="1"/>
      <c r="P390" s="1"/>
      <c r="Q390" s="1"/>
      <c r="R390" s="1"/>
      <c r="S390" s="1"/>
      <c r="T390" s="1"/>
      <c r="U390" s="2"/>
      <c r="V390" s="1"/>
      <c r="W390" s="1"/>
      <c r="X390" s="1"/>
      <c r="Y390" s="1"/>
      <c r="Z390" s="1"/>
    </row>
    <row r="391" spans="1:26" ht="24.75" customHeight="1">
      <c r="A391" s="1"/>
      <c r="B391" s="1"/>
      <c r="C391" s="1"/>
      <c r="D391" s="1"/>
      <c r="E391" s="1"/>
      <c r="F391" s="1"/>
      <c r="G391" s="1"/>
      <c r="H391" s="1"/>
      <c r="I391" s="1"/>
      <c r="J391" s="1"/>
      <c r="K391" s="1"/>
      <c r="L391" s="1"/>
      <c r="M391" s="1"/>
      <c r="N391" s="1"/>
      <c r="O391" s="1"/>
      <c r="P391" s="1"/>
      <c r="Q391" s="1"/>
      <c r="R391" s="1"/>
      <c r="S391" s="1"/>
      <c r="T391" s="1"/>
      <c r="U391" s="2"/>
      <c r="V391" s="1"/>
      <c r="W391" s="1"/>
      <c r="X391" s="1"/>
      <c r="Y391" s="1"/>
      <c r="Z391" s="1"/>
    </row>
    <row r="392" spans="1:26" ht="24.75" customHeight="1">
      <c r="A392" s="1"/>
      <c r="B392" s="1"/>
      <c r="C392" s="1"/>
      <c r="D392" s="1"/>
      <c r="E392" s="1"/>
      <c r="F392" s="1"/>
      <c r="G392" s="1"/>
      <c r="H392" s="1"/>
      <c r="I392" s="1"/>
      <c r="J392" s="1"/>
      <c r="K392" s="1"/>
      <c r="L392" s="1"/>
      <c r="M392" s="1"/>
      <c r="N392" s="1"/>
      <c r="O392" s="1"/>
      <c r="P392" s="1"/>
      <c r="Q392" s="1"/>
      <c r="R392" s="1"/>
      <c r="S392" s="1"/>
      <c r="T392" s="1"/>
      <c r="U392" s="2"/>
      <c r="V392" s="1"/>
      <c r="W392" s="1"/>
      <c r="X392" s="1"/>
      <c r="Y392" s="1"/>
      <c r="Z392" s="1"/>
    </row>
    <row r="393" spans="1:26" ht="24.75" customHeight="1">
      <c r="A393" s="1"/>
      <c r="B393" s="1"/>
      <c r="C393" s="1"/>
      <c r="D393" s="1"/>
      <c r="E393" s="1"/>
      <c r="F393" s="1"/>
      <c r="G393" s="1"/>
      <c r="H393" s="1"/>
      <c r="I393" s="1"/>
      <c r="J393" s="1"/>
      <c r="K393" s="1"/>
      <c r="L393" s="1"/>
      <c r="M393" s="1"/>
      <c r="N393" s="1"/>
      <c r="O393" s="1"/>
      <c r="P393" s="1"/>
      <c r="Q393" s="1"/>
      <c r="R393" s="1"/>
      <c r="S393" s="1"/>
      <c r="T393" s="1"/>
      <c r="U393" s="2"/>
      <c r="V393" s="1"/>
      <c r="W393" s="1"/>
      <c r="X393" s="1"/>
      <c r="Y393" s="1"/>
      <c r="Z393" s="1"/>
    </row>
    <row r="394" spans="1:26" ht="24.75" customHeight="1">
      <c r="A394" s="1"/>
      <c r="B394" s="1"/>
      <c r="C394" s="1"/>
      <c r="D394" s="1"/>
      <c r="E394" s="1"/>
      <c r="F394" s="1"/>
      <c r="G394" s="1"/>
      <c r="H394" s="1"/>
      <c r="I394" s="1"/>
      <c r="J394" s="1"/>
      <c r="K394" s="1"/>
      <c r="L394" s="1"/>
      <c r="M394" s="1"/>
      <c r="N394" s="1"/>
      <c r="O394" s="1"/>
      <c r="P394" s="1"/>
      <c r="Q394" s="1"/>
      <c r="R394" s="1"/>
      <c r="S394" s="1"/>
      <c r="T394" s="1"/>
      <c r="U394" s="2"/>
      <c r="V394" s="1"/>
      <c r="W394" s="1"/>
      <c r="X394" s="1"/>
      <c r="Y394" s="1"/>
      <c r="Z394" s="1"/>
    </row>
    <row r="395" spans="1:26" ht="24.75" customHeight="1">
      <c r="A395" s="1"/>
      <c r="B395" s="1"/>
      <c r="C395" s="1"/>
      <c r="D395" s="1"/>
      <c r="E395" s="1"/>
      <c r="F395" s="1"/>
      <c r="G395" s="1"/>
      <c r="H395" s="1"/>
      <c r="I395" s="1"/>
      <c r="J395" s="1"/>
      <c r="K395" s="1"/>
      <c r="L395" s="1"/>
      <c r="M395" s="1"/>
      <c r="N395" s="1"/>
      <c r="O395" s="1"/>
      <c r="P395" s="1"/>
      <c r="Q395" s="1"/>
      <c r="R395" s="1"/>
      <c r="S395" s="1"/>
      <c r="T395" s="1"/>
      <c r="U395" s="2"/>
      <c r="V395" s="1"/>
      <c r="W395" s="1"/>
      <c r="X395" s="1"/>
      <c r="Y395" s="1"/>
      <c r="Z395" s="1"/>
    </row>
    <row r="396" spans="1:26" ht="24.75" customHeight="1">
      <c r="A396" s="1"/>
      <c r="B396" s="1"/>
      <c r="C396" s="1"/>
      <c r="D396" s="1"/>
      <c r="E396" s="1"/>
      <c r="F396" s="1"/>
      <c r="G396" s="1"/>
      <c r="H396" s="1"/>
      <c r="I396" s="1"/>
      <c r="J396" s="1"/>
      <c r="K396" s="1"/>
      <c r="L396" s="1"/>
      <c r="M396" s="1"/>
      <c r="N396" s="1"/>
      <c r="O396" s="1"/>
      <c r="P396" s="1"/>
      <c r="Q396" s="1"/>
      <c r="R396" s="1"/>
      <c r="S396" s="1"/>
      <c r="T396" s="1"/>
      <c r="U396" s="2"/>
      <c r="V396" s="1"/>
      <c r="W396" s="1"/>
      <c r="X396" s="1"/>
      <c r="Y396" s="1"/>
      <c r="Z396" s="1"/>
    </row>
    <row r="397" spans="1:26" ht="24.75" customHeight="1">
      <c r="A397" s="1"/>
      <c r="B397" s="1"/>
      <c r="C397" s="1"/>
      <c r="D397" s="1"/>
      <c r="E397" s="1"/>
      <c r="F397" s="1"/>
      <c r="G397" s="1"/>
      <c r="H397" s="1"/>
      <c r="I397" s="1"/>
      <c r="J397" s="1"/>
      <c r="K397" s="1"/>
      <c r="L397" s="1"/>
      <c r="M397" s="1"/>
      <c r="N397" s="1"/>
      <c r="O397" s="1"/>
      <c r="P397" s="1"/>
      <c r="Q397" s="1"/>
      <c r="R397" s="1"/>
      <c r="S397" s="1"/>
      <c r="T397" s="1"/>
      <c r="U397" s="2"/>
      <c r="V397" s="1"/>
      <c r="W397" s="1"/>
      <c r="X397" s="1"/>
      <c r="Y397" s="1"/>
      <c r="Z397" s="1"/>
    </row>
    <row r="398" spans="1:26" ht="24.75" customHeight="1">
      <c r="A398" s="1"/>
      <c r="B398" s="1"/>
      <c r="C398" s="1"/>
      <c r="D398" s="1"/>
      <c r="E398" s="1"/>
      <c r="F398" s="1"/>
      <c r="G398" s="1"/>
      <c r="H398" s="1"/>
      <c r="I398" s="1"/>
      <c r="J398" s="1"/>
      <c r="K398" s="1"/>
      <c r="L398" s="1"/>
      <c r="M398" s="1"/>
      <c r="N398" s="1"/>
      <c r="O398" s="1"/>
      <c r="P398" s="1"/>
      <c r="Q398" s="1"/>
      <c r="R398" s="1"/>
      <c r="S398" s="1"/>
      <c r="T398" s="1"/>
      <c r="U398" s="2"/>
      <c r="V398" s="1"/>
      <c r="W398" s="1"/>
      <c r="X398" s="1"/>
      <c r="Y398" s="1"/>
      <c r="Z398" s="1"/>
    </row>
    <row r="399" spans="1:26" ht="24.75" customHeight="1">
      <c r="A399" s="1"/>
      <c r="B399" s="1"/>
      <c r="C399" s="1"/>
      <c r="D399" s="1"/>
      <c r="E399" s="1"/>
      <c r="F399" s="1"/>
      <c r="G399" s="1"/>
      <c r="H399" s="1"/>
      <c r="I399" s="1"/>
      <c r="J399" s="1"/>
      <c r="K399" s="1"/>
      <c r="L399" s="1"/>
      <c r="M399" s="1"/>
      <c r="N399" s="1"/>
      <c r="O399" s="1"/>
      <c r="P399" s="1"/>
      <c r="Q399" s="1"/>
      <c r="R399" s="1"/>
      <c r="S399" s="1"/>
      <c r="T399" s="1"/>
      <c r="U399" s="2"/>
      <c r="V399" s="1"/>
      <c r="W399" s="1"/>
      <c r="X399" s="1"/>
      <c r="Y399" s="1"/>
      <c r="Z399" s="1"/>
    </row>
    <row r="400" spans="1:26" ht="24.75" customHeight="1">
      <c r="A400" s="1"/>
      <c r="B400" s="1"/>
      <c r="C400" s="1"/>
      <c r="D400" s="1"/>
      <c r="E400" s="1"/>
      <c r="F400" s="1"/>
      <c r="G400" s="1"/>
      <c r="H400" s="1"/>
      <c r="I400" s="1"/>
      <c r="J400" s="1"/>
      <c r="K400" s="1"/>
      <c r="L400" s="1"/>
      <c r="M400" s="1"/>
      <c r="N400" s="1"/>
      <c r="O400" s="1"/>
      <c r="P400" s="1"/>
      <c r="Q400" s="1"/>
      <c r="R400" s="1"/>
      <c r="S400" s="1"/>
      <c r="T400" s="1"/>
      <c r="U400" s="2"/>
      <c r="V400" s="1"/>
      <c r="W400" s="1"/>
      <c r="X400" s="1"/>
      <c r="Y400" s="1"/>
      <c r="Z400" s="1"/>
    </row>
    <row r="401" spans="1:26" ht="24.75" customHeight="1">
      <c r="A401" s="1"/>
      <c r="B401" s="1"/>
      <c r="C401" s="1"/>
      <c r="D401" s="1"/>
      <c r="E401" s="1"/>
      <c r="F401" s="1"/>
      <c r="G401" s="1"/>
      <c r="H401" s="1"/>
      <c r="I401" s="1"/>
      <c r="J401" s="1"/>
      <c r="K401" s="1"/>
      <c r="L401" s="1"/>
      <c r="M401" s="1"/>
      <c r="N401" s="1"/>
      <c r="O401" s="1"/>
      <c r="P401" s="1"/>
      <c r="Q401" s="1"/>
      <c r="R401" s="1"/>
      <c r="S401" s="1"/>
      <c r="T401" s="1"/>
      <c r="U401" s="2"/>
      <c r="V401" s="1"/>
      <c r="W401" s="1"/>
      <c r="X401" s="1"/>
      <c r="Y401" s="1"/>
      <c r="Z401" s="1"/>
    </row>
    <row r="402" spans="1:26" ht="24.75" customHeight="1">
      <c r="A402" s="1"/>
      <c r="B402" s="1"/>
      <c r="C402" s="1"/>
      <c r="D402" s="1"/>
      <c r="E402" s="1"/>
      <c r="F402" s="1"/>
      <c r="G402" s="1"/>
      <c r="H402" s="1"/>
      <c r="I402" s="1"/>
      <c r="J402" s="1"/>
      <c r="K402" s="1"/>
      <c r="L402" s="1"/>
      <c r="M402" s="1"/>
      <c r="N402" s="1"/>
      <c r="O402" s="1"/>
      <c r="P402" s="1"/>
      <c r="Q402" s="1"/>
      <c r="R402" s="1"/>
      <c r="S402" s="1"/>
      <c r="T402" s="1"/>
      <c r="U402" s="2"/>
      <c r="V402" s="1"/>
      <c r="W402" s="1"/>
      <c r="X402" s="1"/>
      <c r="Y402" s="1"/>
      <c r="Z402" s="1"/>
    </row>
    <row r="403" spans="1:26" ht="24.75" customHeight="1">
      <c r="A403" s="1"/>
      <c r="B403" s="1"/>
      <c r="C403" s="1"/>
      <c r="D403" s="1"/>
      <c r="E403" s="1"/>
      <c r="F403" s="1"/>
      <c r="G403" s="1"/>
      <c r="H403" s="1"/>
      <c r="I403" s="1"/>
      <c r="J403" s="1"/>
      <c r="K403" s="1"/>
      <c r="L403" s="1"/>
      <c r="M403" s="1"/>
      <c r="N403" s="1"/>
      <c r="O403" s="1"/>
      <c r="P403" s="1"/>
      <c r="Q403" s="1"/>
      <c r="R403" s="1"/>
      <c r="S403" s="1"/>
      <c r="T403" s="1"/>
      <c r="U403" s="2"/>
      <c r="V403" s="1"/>
      <c r="W403" s="1"/>
      <c r="X403" s="1"/>
      <c r="Y403" s="1"/>
      <c r="Z403" s="1"/>
    </row>
    <row r="404" spans="1:26" ht="24.75" customHeight="1">
      <c r="A404" s="1"/>
      <c r="B404" s="1"/>
      <c r="C404" s="1"/>
      <c r="D404" s="1"/>
      <c r="E404" s="1"/>
      <c r="F404" s="1"/>
      <c r="G404" s="1"/>
      <c r="H404" s="1"/>
      <c r="I404" s="1"/>
      <c r="J404" s="1"/>
      <c r="K404" s="1"/>
      <c r="L404" s="1"/>
      <c r="M404" s="1"/>
      <c r="N404" s="1"/>
      <c r="O404" s="1"/>
      <c r="P404" s="1"/>
      <c r="Q404" s="1"/>
      <c r="R404" s="1"/>
      <c r="S404" s="1"/>
      <c r="T404" s="1"/>
      <c r="U404" s="2"/>
      <c r="V404" s="1"/>
      <c r="W404" s="1"/>
      <c r="X404" s="1"/>
      <c r="Y404" s="1"/>
      <c r="Z404" s="1"/>
    </row>
    <row r="405" spans="1:26" ht="24.75" customHeight="1">
      <c r="A405" s="1"/>
      <c r="B405" s="1"/>
      <c r="C405" s="1"/>
      <c r="D405" s="1"/>
      <c r="E405" s="1"/>
      <c r="F405" s="1"/>
      <c r="G405" s="1"/>
      <c r="H405" s="1"/>
      <c r="I405" s="1"/>
      <c r="J405" s="1"/>
      <c r="K405" s="1"/>
      <c r="L405" s="1"/>
      <c r="M405" s="1"/>
      <c r="N405" s="1"/>
      <c r="O405" s="1"/>
      <c r="P405" s="1"/>
      <c r="Q405" s="1"/>
      <c r="R405" s="1"/>
      <c r="S405" s="1"/>
      <c r="T405" s="1"/>
      <c r="U405" s="2"/>
      <c r="V405" s="1"/>
      <c r="W405" s="1"/>
      <c r="X405" s="1"/>
      <c r="Y405" s="1"/>
      <c r="Z405" s="1"/>
    </row>
    <row r="406" spans="1:26" ht="24.75" customHeight="1">
      <c r="A406" s="1"/>
      <c r="B406" s="1"/>
      <c r="C406" s="1"/>
      <c r="D406" s="1"/>
      <c r="E406" s="1"/>
      <c r="F406" s="1"/>
      <c r="G406" s="1"/>
      <c r="H406" s="1"/>
      <c r="I406" s="1"/>
      <c r="J406" s="1"/>
      <c r="K406" s="1"/>
      <c r="L406" s="1"/>
      <c r="M406" s="1"/>
      <c r="N406" s="1"/>
      <c r="O406" s="1"/>
      <c r="P406" s="1"/>
      <c r="Q406" s="1"/>
      <c r="R406" s="1"/>
      <c r="S406" s="1"/>
      <c r="T406" s="1"/>
      <c r="U406" s="2"/>
      <c r="V406" s="1"/>
      <c r="W406" s="1"/>
      <c r="X406" s="1"/>
      <c r="Y406" s="1"/>
      <c r="Z406" s="1"/>
    </row>
    <row r="407" spans="1:26" ht="24.75" customHeight="1">
      <c r="A407" s="1"/>
      <c r="B407" s="1"/>
      <c r="C407" s="1"/>
      <c r="D407" s="1"/>
      <c r="E407" s="1"/>
      <c r="F407" s="1"/>
      <c r="G407" s="1"/>
      <c r="H407" s="1"/>
      <c r="I407" s="1"/>
      <c r="J407" s="1"/>
      <c r="K407" s="1"/>
      <c r="L407" s="1"/>
      <c r="M407" s="1"/>
      <c r="N407" s="1"/>
      <c r="O407" s="1"/>
      <c r="P407" s="1"/>
      <c r="Q407" s="1"/>
      <c r="R407" s="1"/>
      <c r="S407" s="1"/>
      <c r="T407" s="1"/>
      <c r="U407" s="2"/>
      <c r="V407" s="1"/>
      <c r="W407" s="1"/>
      <c r="X407" s="1"/>
      <c r="Y407" s="1"/>
      <c r="Z407" s="1"/>
    </row>
    <row r="408" spans="1:26" ht="24.75" customHeight="1">
      <c r="A408" s="1"/>
      <c r="B408" s="1"/>
      <c r="C408" s="1"/>
      <c r="D408" s="1"/>
      <c r="E408" s="1"/>
      <c r="F408" s="1"/>
      <c r="G408" s="1"/>
      <c r="H408" s="1"/>
      <c r="I408" s="1"/>
      <c r="J408" s="1"/>
      <c r="K408" s="1"/>
      <c r="L408" s="1"/>
      <c r="M408" s="1"/>
      <c r="N408" s="1"/>
      <c r="O408" s="1"/>
      <c r="P408" s="1"/>
      <c r="Q408" s="1"/>
      <c r="R408" s="1"/>
      <c r="S408" s="1"/>
      <c r="T408" s="1"/>
      <c r="U408" s="2"/>
      <c r="V408" s="1"/>
      <c r="W408" s="1"/>
      <c r="X408" s="1"/>
      <c r="Y408" s="1"/>
      <c r="Z408" s="1"/>
    </row>
    <row r="409" spans="1:26" ht="24.75" customHeight="1">
      <c r="A409" s="1"/>
      <c r="B409" s="1"/>
      <c r="C409" s="1"/>
      <c r="D409" s="1"/>
      <c r="E409" s="1"/>
      <c r="F409" s="1"/>
      <c r="G409" s="1"/>
      <c r="H409" s="1"/>
      <c r="I409" s="1"/>
      <c r="J409" s="1"/>
      <c r="K409" s="1"/>
      <c r="L409" s="1"/>
      <c r="M409" s="1"/>
      <c r="N409" s="1"/>
      <c r="O409" s="1"/>
      <c r="P409" s="1"/>
      <c r="Q409" s="1"/>
      <c r="R409" s="1"/>
      <c r="S409" s="1"/>
      <c r="T409" s="1"/>
      <c r="U409" s="2"/>
      <c r="V409" s="1"/>
      <c r="W409" s="1"/>
      <c r="X409" s="1"/>
      <c r="Y409" s="1"/>
      <c r="Z409" s="1"/>
    </row>
    <row r="410" spans="1:26" ht="24.75" customHeight="1">
      <c r="A410" s="1"/>
      <c r="B410" s="1"/>
      <c r="C410" s="1"/>
      <c r="D410" s="1"/>
      <c r="E410" s="1"/>
      <c r="F410" s="1"/>
      <c r="G410" s="1"/>
      <c r="H410" s="1"/>
      <c r="I410" s="1"/>
      <c r="J410" s="1"/>
      <c r="K410" s="1"/>
      <c r="L410" s="1"/>
      <c r="M410" s="1"/>
      <c r="N410" s="1"/>
      <c r="O410" s="1"/>
      <c r="P410" s="1"/>
      <c r="Q410" s="1"/>
      <c r="R410" s="1"/>
      <c r="S410" s="1"/>
      <c r="T410" s="1"/>
      <c r="U410" s="2"/>
      <c r="V410" s="1"/>
      <c r="W410" s="1"/>
      <c r="X410" s="1"/>
      <c r="Y410" s="1"/>
      <c r="Z410" s="1"/>
    </row>
    <row r="411" spans="1:26" ht="24.75" customHeight="1">
      <c r="A411" s="1"/>
      <c r="B411" s="1"/>
      <c r="C411" s="1"/>
      <c r="D411" s="1"/>
      <c r="E411" s="1"/>
      <c r="F411" s="1"/>
      <c r="G411" s="1"/>
      <c r="H411" s="1"/>
      <c r="I411" s="1"/>
      <c r="J411" s="1"/>
      <c r="K411" s="1"/>
      <c r="L411" s="1"/>
      <c r="M411" s="1"/>
      <c r="N411" s="1"/>
      <c r="O411" s="1"/>
      <c r="P411" s="1"/>
      <c r="Q411" s="1"/>
      <c r="R411" s="1"/>
      <c r="S411" s="1"/>
      <c r="T411" s="1"/>
      <c r="U411" s="2"/>
      <c r="V411" s="1"/>
      <c r="W411" s="1"/>
      <c r="X411" s="1"/>
      <c r="Y411" s="1"/>
      <c r="Z411" s="1"/>
    </row>
    <row r="412" spans="1:26" ht="24.75" customHeight="1">
      <c r="A412" s="1"/>
      <c r="B412" s="1"/>
      <c r="C412" s="1"/>
      <c r="D412" s="1"/>
      <c r="E412" s="1"/>
      <c r="F412" s="1"/>
      <c r="G412" s="1"/>
      <c r="H412" s="1"/>
      <c r="I412" s="1"/>
      <c r="J412" s="1"/>
      <c r="K412" s="1"/>
      <c r="L412" s="1"/>
      <c r="M412" s="1"/>
      <c r="N412" s="1"/>
      <c r="O412" s="1"/>
      <c r="P412" s="1"/>
      <c r="Q412" s="1"/>
      <c r="R412" s="1"/>
      <c r="S412" s="1"/>
      <c r="T412" s="1"/>
      <c r="U412" s="2"/>
      <c r="V412" s="1"/>
      <c r="W412" s="1"/>
      <c r="X412" s="1"/>
      <c r="Y412" s="1"/>
      <c r="Z412" s="1"/>
    </row>
    <row r="413" spans="1:26" ht="24.75" customHeight="1">
      <c r="A413" s="1"/>
      <c r="B413" s="1"/>
      <c r="C413" s="1"/>
      <c r="D413" s="1"/>
      <c r="E413" s="1"/>
      <c r="F413" s="1"/>
      <c r="G413" s="1"/>
      <c r="H413" s="1"/>
      <c r="I413" s="1"/>
      <c r="J413" s="1"/>
      <c r="K413" s="1"/>
      <c r="L413" s="1"/>
      <c r="M413" s="1"/>
      <c r="N413" s="1"/>
      <c r="O413" s="1"/>
      <c r="P413" s="1"/>
      <c r="Q413" s="1"/>
      <c r="R413" s="1"/>
      <c r="S413" s="1"/>
      <c r="T413" s="1"/>
      <c r="U413" s="2"/>
      <c r="V413" s="1"/>
      <c r="W413" s="1"/>
      <c r="X413" s="1"/>
      <c r="Y413" s="1"/>
      <c r="Z413" s="1"/>
    </row>
    <row r="414" spans="1:26" ht="24.75" customHeight="1">
      <c r="A414" s="1"/>
      <c r="B414" s="1"/>
      <c r="C414" s="1"/>
      <c r="D414" s="1"/>
      <c r="E414" s="1"/>
      <c r="F414" s="1"/>
      <c r="G414" s="1"/>
      <c r="H414" s="1"/>
      <c r="I414" s="1"/>
      <c r="J414" s="1"/>
      <c r="K414" s="1"/>
      <c r="L414" s="1"/>
      <c r="M414" s="1"/>
      <c r="N414" s="1"/>
      <c r="O414" s="1"/>
      <c r="P414" s="1"/>
      <c r="Q414" s="1"/>
      <c r="R414" s="1"/>
      <c r="S414" s="1"/>
      <c r="T414" s="1"/>
      <c r="U414" s="2"/>
      <c r="V414" s="1"/>
      <c r="W414" s="1"/>
      <c r="X414" s="1"/>
      <c r="Y414" s="1"/>
      <c r="Z414" s="1"/>
    </row>
    <row r="415" spans="1:26" ht="24.75" customHeight="1">
      <c r="A415" s="1"/>
      <c r="B415" s="1"/>
      <c r="C415" s="1"/>
      <c r="D415" s="1"/>
      <c r="E415" s="1"/>
      <c r="F415" s="1"/>
      <c r="G415" s="1"/>
      <c r="H415" s="1"/>
      <c r="I415" s="1"/>
      <c r="J415" s="1"/>
      <c r="K415" s="1"/>
      <c r="L415" s="1"/>
      <c r="M415" s="1"/>
      <c r="N415" s="1"/>
      <c r="O415" s="1"/>
      <c r="P415" s="1"/>
      <c r="Q415" s="1"/>
      <c r="R415" s="1"/>
      <c r="S415" s="1"/>
      <c r="T415" s="1"/>
      <c r="U415" s="2"/>
      <c r="V415" s="1"/>
      <c r="W415" s="1"/>
      <c r="X415" s="1"/>
      <c r="Y415" s="1"/>
      <c r="Z415" s="1"/>
    </row>
    <row r="416" spans="1:26" ht="24.75" customHeight="1">
      <c r="A416" s="1"/>
      <c r="B416" s="1"/>
      <c r="C416" s="1"/>
      <c r="D416" s="1"/>
      <c r="E416" s="1"/>
      <c r="F416" s="1"/>
      <c r="G416" s="1"/>
      <c r="H416" s="1"/>
      <c r="I416" s="1"/>
      <c r="J416" s="1"/>
      <c r="K416" s="1"/>
      <c r="L416" s="1"/>
      <c r="M416" s="1"/>
      <c r="N416" s="1"/>
      <c r="O416" s="1"/>
      <c r="P416" s="1"/>
      <c r="Q416" s="1"/>
      <c r="R416" s="1"/>
      <c r="S416" s="1"/>
      <c r="T416" s="1"/>
      <c r="U416" s="2"/>
      <c r="V416" s="1"/>
      <c r="W416" s="1"/>
      <c r="X416" s="1"/>
      <c r="Y416" s="1"/>
      <c r="Z416" s="1"/>
    </row>
    <row r="417" spans="1:26" ht="24.75" customHeight="1">
      <c r="A417" s="1"/>
      <c r="B417" s="1"/>
      <c r="C417" s="1"/>
      <c r="D417" s="1"/>
      <c r="E417" s="1"/>
      <c r="F417" s="1"/>
      <c r="G417" s="1"/>
      <c r="H417" s="1"/>
      <c r="I417" s="1"/>
      <c r="J417" s="1"/>
      <c r="K417" s="1"/>
      <c r="L417" s="1"/>
      <c r="M417" s="1"/>
      <c r="N417" s="1"/>
      <c r="O417" s="1"/>
      <c r="P417" s="1"/>
      <c r="Q417" s="1"/>
      <c r="R417" s="1"/>
      <c r="S417" s="1"/>
      <c r="T417" s="1"/>
      <c r="U417" s="2"/>
      <c r="V417" s="1"/>
      <c r="W417" s="1"/>
      <c r="X417" s="1"/>
      <c r="Y417" s="1"/>
      <c r="Z417" s="1"/>
    </row>
    <row r="418" spans="1:26" ht="24.75" customHeight="1">
      <c r="A418" s="1"/>
      <c r="B418" s="1"/>
      <c r="C418" s="1"/>
      <c r="D418" s="1"/>
      <c r="E418" s="1"/>
      <c r="F418" s="1"/>
      <c r="G418" s="1"/>
      <c r="H418" s="1"/>
      <c r="I418" s="1"/>
      <c r="J418" s="1"/>
      <c r="K418" s="1"/>
      <c r="L418" s="1"/>
      <c r="M418" s="1"/>
      <c r="N418" s="1"/>
      <c r="O418" s="1"/>
      <c r="P418" s="1"/>
      <c r="Q418" s="1"/>
      <c r="R418" s="1"/>
      <c r="S418" s="1"/>
      <c r="T418" s="1"/>
      <c r="U418" s="2"/>
      <c r="V418" s="1"/>
      <c r="W418" s="1"/>
      <c r="X418" s="1"/>
      <c r="Y418" s="1"/>
      <c r="Z418" s="1"/>
    </row>
    <row r="419" spans="1:26" ht="24.75" customHeight="1">
      <c r="A419" s="1"/>
      <c r="B419" s="1"/>
      <c r="C419" s="1"/>
      <c r="D419" s="1"/>
      <c r="E419" s="1"/>
      <c r="F419" s="1"/>
      <c r="G419" s="1"/>
      <c r="H419" s="1"/>
      <c r="I419" s="1"/>
      <c r="J419" s="1"/>
      <c r="K419" s="1"/>
      <c r="L419" s="1"/>
      <c r="M419" s="1"/>
      <c r="N419" s="1"/>
      <c r="O419" s="1"/>
      <c r="P419" s="1"/>
      <c r="Q419" s="1"/>
      <c r="R419" s="1"/>
      <c r="S419" s="1"/>
      <c r="T419" s="1"/>
      <c r="U419" s="2"/>
      <c r="V419" s="1"/>
      <c r="W419" s="1"/>
      <c r="X419" s="1"/>
      <c r="Y419" s="1"/>
      <c r="Z419" s="1"/>
    </row>
    <row r="420" spans="1:26" ht="24.75" customHeight="1">
      <c r="A420" s="1"/>
      <c r="B420" s="1"/>
      <c r="C420" s="1"/>
      <c r="D420" s="1"/>
      <c r="E420" s="1"/>
      <c r="F420" s="1"/>
      <c r="G420" s="1"/>
      <c r="H420" s="1"/>
      <c r="I420" s="1"/>
      <c r="J420" s="1"/>
      <c r="K420" s="1"/>
      <c r="L420" s="1"/>
      <c r="M420" s="1"/>
      <c r="N420" s="1"/>
      <c r="O420" s="1"/>
      <c r="P420" s="1"/>
      <c r="Q420" s="1"/>
      <c r="R420" s="1"/>
      <c r="S420" s="1"/>
      <c r="T420" s="1"/>
      <c r="U420" s="2"/>
      <c r="V420" s="1"/>
      <c r="W420" s="1"/>
      <c r="X420" s="1"/>
      <c r="Y420" s="1"/>
      <c r="Z420" s="1"/>
    </row>
    <row r="421" spans="1:26" ht="24.75" customHeight="1">
      <c r="A421" s="1"/>
      <c r="B421" s="1"/>
      <c r="C421" s="1"/>
      <c r="D421" s="1"/>
      <c r="E421" s="1"/>
      <c r="F421" s="1"/>
      <c r="G421" s="1"/>
      <c r="H421" s="1"/>
      <c r="I421" s="1"/>
      <c r="J421" s="1"/>
      <c r="K421" s="1"/>
      <c r="L421" s="1"/>
      <c r="M421" s="1"/>
      <c r="N421" s="1"/>
      <c r="O421" s="1"/>
      <c r="P421" s="1"/>
      <c r="Q421" s="1"/>
      <c r="R421" s="1"/>
      <c r="S421" s="1"/>
      <c r="T421" s="1"/>
      <c r="U421" s="2"/>
      <c r="V421" s="1"/>
      <c r="W421" s="1"/>
      <c r="X421" s="1"/>
      <c r="Y421" s="1"/>
      <c r="Z421" s="1"/>
    </row>
    <row r="422" spans="1:26" ht="24.75" customHeight="1">
      <c r="A422" s="1"/>
      <c r="B422" s="1"/>
      <c r="C422" s="1"/>
      <c r="D422" s="1"/>
      <c r="E422" s="1"/>
      <c r="F422" s="1"/>
      <c r="G422" s="1"/>
      <c r="H422" s="1"/>
      <c r="I422" s="1"/>
      <c r="J422" s="1"/>
      <c r="K422" s="1"/>
      <c r="L422" s="1"/>
      <c r="M422" s="1"/>
      <c r="N422" s="1"/>
      <c r="O422" s="1"/>
      <c r="P422" s="1"/>
      <c r="Q422" s="1"/>
      <c r="R422" s="1"/>
      <c r="S422" s="1"/>
      <c r="T422" s="1"/>
      <c r="U422" s="2"/>
      <c r="V422" s="1"/>
      <c r="W422" s="1"/>
      <c r="X422" s="1"/>
      <c r="Y422" s="1"/>
      <c r="Z422" s="1"/>
    </row>
    <row r="423" spans="1:26" ht="24.75" customHeight="1">
      <c r="A423" s="1"/>
      <c r="B423" s="1"/>
      <c r="C423" s="1"/>
      <c r="D423" s="1"/>
      <c r="E423" s="1"/>
      <c r="F423" s="1"/>
      <c r="G423" s="1"/>
      <c r="H423" s="1"/>
      <c r="I423" s="1"/>
      <c r="J423" s="1"/>
      <c r="K423" s="1"/>
      <c r="L423" s="1"/>
      <c r="M423" s="1"/>
      <c r="N423" s="1"/>
      <c r="O423" s="1"/>
      <c r="P423" s="1"/>
      <c r="Q423" s="1"/>
      <c r="R423" s="1"/>
      <c r="S423" s="1"/>
      <c r="T423" s="1"/>
      <c r="U423" s="2"/>
      <c r="V423" s="1"/>
      <c r="W423" s="1"/>
      <c r="X423" s="1"/>
      <c r="Y423" s="1"/>
      <c r="Z423" s="1"/>
    </row>
    <row r="424" spans="1:26" ht="24.75" customHeight="1">
      <c r="A424" s="1"/>
      <c r="B424" s="1"/>
      <c r="C424" s="1"/>
      <c r="D424" s="1"/>
      <c r="E424" s="1"/>
      <c r="F424" s="1"/>
      <c r="G424" s="1"/>
      <c r="H424" s="1"/>
      <c r="I424" s="1"/>
      <c r="J424" s="1"/>
      <c r="K424" s="1"/>
      <c r="L424" s="1"/>
      <c r="M424" s="1"/>
      <c r="N424" s="1"/>
      <c r="O424" s="1"/>
      <c r="P424" s="1"/>
      <c r="Q424" s="1"/>
      <c r="R424" s="1"/>
      <c r="S424" s="1"/>
      <c r="T424" s="1"/>
      <c r="U424" s="2"/>
      <c r="V424" s="1"/>
      <c r="W424" s="1"/>
      <c r="X424" s="1"/>
      <c r="Y424" s="1"/>
      <c r="Z424" s="1"/>
    </row>
    <row r="425" spans="1:26" ht="24.75" customHeight="1">
      <c r="A425" s="1"/>
      <c r="B425" s="1"/>
      <c r="C425" s="1"/>
      <c r="D425" s="1"/>
      <c r="E425" s="1"/>
      <c r="F425" s="1"/>
      <c r="G425" s="1"/>
      <c r="H425" s="1"/>
      <c r="I425" s="1"/>
      <c r="J425" s="1"/>
      <c r="K425" s="1"/>
      <c r="L425" s="1"/>
      <c r="M425" s="1"/>
      <c r="N425" s="1"/>
      <c r="O425" s="1"/>
      <c r="P425" s="1"/>
      <c r="Q425" s="1"/>
      <c r="R425" s="1"/>
      <c r="S425" s="1"/>
      <c r="T425" s="1"/>
      <c r="U425" s="2"/>
      <c r="V425" s="1"/>
      <c r="W425" s="1"/>
      <c r="X425" s="1"/>
      <c r="Y425" s="1"/>
      <c r="Z425" s="1"/>
    </row>
    <row r="426" spans="1:26" ht="24.75" customHeight="1">
      <c r="A426" s="1"/>
      <c r="B426" s="1"/>
      <c r="C426" s="1"/>
      <c r="D426" s="1"/>
      <c r="E426" s="1"/>
      <c r="F426" s="1"/>
      <c r="G426" s="1"/>
      <c r="H426" s="1"/>
      <c r="I426" s="1"/>
      <c r="J426" s="1"/>
      <c r="K426" s="1"/>
      <c r="L426" s="1"/>
      <c r="M426" s="1"/>
      <c r="N426" s="1"/>
      <c r="O426" s="1"/>
      <c r="P426" s="1"/>
      <c r="Q426" s="1"/>
      <c r="R426" s="1"/>
      <c r="S426" s="1"/>
      <c r="T426" s="1"/>
      <c r="U426" s="2"/>
      <c r="V426" s="1"/>
      <c r="W426" s="1"/>
      <c r="X426" s="1"/>
      <c r="Y426" s="1"/>
      <c r="Z426" s="1"/>
    </row>
    <row r="427" spans="1:26" ht="24.75" customHeight="1">
      <c r="A427" s="1"/>
      <c r="B427" s="1"/>
      <c r="C427" s="1"/>
      <c r="D427" s="1"/>
      <c r="E427" s="1"/>
      <c r="F427" s="1"/>
      <c r="G427" s="1"/>
      <c r="H427" s="1"/>
      <c r="I427" s="1"/>
      <c r="J427" s="1"/>
      <c r="K427" s="1"/>
      <c r="L427" s="1"/>
      <c r="M427" s="1"/>
      <c r="N427" s="1"/>
      <c r="O427" s="1"/>
      <c r="P427" s="1"/>
      <c r="Q427" s="1"/>
      <c r="R427" s="1"/>
      <c r="S427" s="1"/>
      <c r="T427" s="1"/>
      <c r="U427" s="2"/>
      <c r="V427" s="1"/>
      <c r="W427" s="1"/>
      <c r="X427" s="1"/>
      <c r="Y427" s="1"/>
      <c r="Z427" s="1"/>
    </row>
    <row r="428" spans="1:26" ht="24.75" customHeight="1">
      <c r="A428" s="1"/>
      <c r="B428" s="1"/>
      <c r="C428" s="1"/>
      <c r="D428" s="1"/>
      <c r="E428" s="1"/>
      <c r="F428" s="1"/>
      <c r="G428" s="1"/>
      <c r="H428" s="1"/>
      <c r="I428" s="1"/>
      <c r="J428" s="1"/>
      <c r="K428" s="1"/>
      <c r="L428" s="1"/>
      <c r="M428" s="1"/>
      <c r="N428" s="1"/>
      <c r="O428" s="1"/>
      <c r="P428" s="1"/>
      <c r="Q428" s="1"/>
      <c r="R428" s="1"/>
      <c r="S428" s="1"/>
      <c r="T428" s="1"/>
      <c r="U428" s="2"/>
      <c r="V428" s="1"/>
      <c r="W428" s="1"/>
      <c r="X428" s="1"/>
      <c r="Y428" s="1"/>
      <c r="Z428" s="1"/>
    </row>
    <row r="429" spans="1:26" ht="24.75" customHeight="1">
      <c r="A429" s="1"/>
      <c r="B429" s="1"/>
      <c r="C429" s="1"/>
      <c r="D429" s="1"/>
      <c r="E429" s="1"/>
      <c r="F429" s="1"/>
      <c r="G429" s="1"/>
      <c r="H429" s="1"/>
      <c r="I429" s="1"/>
      <c r="J429" s="1"/>
      <c r="K429" s="1"/>
      <c r="L429" s="1"/>
      <c r="M429" s="1"/>
      <c r="N429" s="1"/>
      <c r="O429" s="1"/>
      <c r="P429" s="1"/>
      <c r="Q429" s="1"/>
      <c r="R429" s="1"/>
      <c r="S429" s="1"/>
      <c r="T429" s="1"/>
      <c r="U429" s="2"/>
      <c r="V429" s="1"/>
      <c r="W429" s="1"/>
      <c r="X429" s="1"/>
      <c r="Y429" s="1"/>
      <c r="Z429" s="1"/>
    </row>
    <row r="430" spans="1:26" ht="24.75" customHeight="1">
      <c r="A430" s="1"/>
      <c r="B430" s="1"/>
      <c r="C430" s="1"/>
      <c r="D430" s="1"/>
      <c r="E430" s="1"/>
      <c r="F430" s="1"/>
      <c r="G430" s="1"/>
      <c r="H430" s="1"/>
      <c r="I430" s="1"/>
      <c r="J430" s="1"/>
      <c r="K430" s="1"/>
      <c r="L430" s="1"/>
      <c r="M430" s="1"/>
      <c r="N430" s="1"/>
      <c r="O430" s="1"/>
      <c r="P430" s="1"/>
      <c r="Q430" s="1"/>
      <c r="R430" s="1"/>
      <c r="S430" s="1"/>
      <c r="T430" s="1"/>
      <c r="U430" s="2"/>
      <c r="V430" s="1"/>
      <c r="W430" s="1"/>
      <c r="X430" s="1"/>
      <c r="Y430" s="1"/>
      <c r="Z430" s="1"/>
    </row>
    <row r="431" spans="1:26" ht="24.75" customHeight="1">
      <c r="A431" s="1"/>
      <c r="B431" s="1"/>
      <c r="C431" s="1"/>
      <c r="D431" s="1"/>
      <c r="E431" s="1"/>
      <c r="F431" s="1"/>
      <c r="G431" s="1"/>
      <c r="H431" s="1"/>
      <c r="I431" s="1"/>
      <c r="J431" s="1"/>
      <c r="K431" s="1"/>
      <c r="L431" s="1"/>
      <c r="M431" s="1"/>
      <c r="N431" s="1"/>
      <c r="O431" s="1"/>
      <c r="P431" s="1"/>
      <c r="Q431" s="1"/>
      <c r="R431" s="1"/>
      <c r="S431" s="1"/>
      <c r="T431" s="1"/>
      <c r="U431" s="2"/>
      <c r="V431" s="1"/>
      <c r="W431" s="1"/>
      <c r="X431" s="1"/>
      <c r="Y431" s="1"/>
      <c r="Z431" s="1"/>
    </row>
    <row r="432" spans="1:26" ht="24.75" customHeight="1">
      <c r="A432" s="1"/>
      <c r="B432" s="1"/>
      <c r="C432" s="1"/>
      <c r="D432" s="1"/>
      <c r="E432" s="1"/>
      <c r="F432" s="1"/>
      <c r="G432" s="1"/>
      <c r="H432" s="1"/>
      <c r="I432" s="1"/>
      <c r="J432" s="1"/>
      <c r="K432" s="1"/>
      <c r="L432" s="1"/>
      <c r="M432" s="1"/>
      <c r="N432" s="1"/>
      <c r="O432" s="1"/>
      <c r="P432" s="1"/>
      <c r="Q432" s="1"/>
      <c r="R432" s="1"/>
      <c r="S432" s="1"/>
      <c r="T432" s="1"/>
      <c r="U432" s="2"/>
      <c r="V432" s="1"/>
      <c r="W432" s="1"/>
      <c r="X432" s="1"/>
      <c r="Y432" s="1"/>
      <c r="Z432" s="1"/>
    </row>
    <row r="433" spans="1:26" ht="24.75" customHeight="1">
      <c r="A433" s="1"/>
      <c r="B433" s="1"/>
      <c r="C433" s="1"/>
      <c r="D433" s="1"/>
      <c r="E433" s="1"/>
      <c r="F433" s="1"/>
      <c r="G433" s="1"/>
      <c r="H433" s="1"/>
      <c r="I433" s="1"/>
      <c r="J433" s="1"/>
      <c r="K433" s="1"/>
      <c r="L433" s="1"/>
      <c r="M433" s="1"/>
      <c r="N433" s="1"/>
      <c r="O433" s="1"/>
      <c r="P433" s="1"/>
      <c r="Q433" s="1"/>
      <c r="R433" s="1"/>
      <c r="S433" s="1"/>
      <c r="T433" s="1"/>
      <c r="U433" s="2"/>
      <c r="V433" s="1"/>
      <c r="W433" s="1"/>
      <c r="X433" s="1"/>
      <c r="Y433" s="1"/>
      <c r="Z433" s="1"/>
    </row>
    <row r="434" spans="1:26" ht="24.75" customHeight="1">
      <c r="A434" s="1"/>
      <c r="B434" s="1"/>
      <c r="C434" s="1"/>
      <c r="D434" s="1"/>
      <c r="E434" s="1"/>
      <c r="F434" s="1"/>
      <c r="G434" s="1"/>
      <c r="H434" s="1"/>
      <c r="I434" s="1"/>
      <c r="J434" s="1"/>
      <c r="K434" s="1"/>
      <c r="L434" s="1"/>
      <c r="M434" s="1"/>
      <c r="N434" s="1"/>
      <c r="O434" s="1"/>
      <c r="P434" s="1"/>
      <c r="Q434" s="1"/>
      <c r="R434" s="1"/>
      <c r="S434" s="1"/>
      <c r="T434" s="1"/>
      <c r="U434" s="2"/>
      <c r="V434" s="1"/>
      <c r="W434" s="1"/>
      <c r="X434" s="1"/>
      <c r="Y434" s="1"/>
      <c r="Z434" s="1"/>
    </row>
    <row r="435" spans="1:26" ht="24.75" customHeight="1">
      <c r="A435" s="1"/>
      <c r="B435" s="1"/>
      <c r="C435" s="1"/>
      <c r="D435" s="1"/>
      <c r="E435" s="1"/>
      <c r="F435" s="1"/>
      <c r="G435" s="1"/>
      <c r="H435" s="1"/>
      <c r="I435" s="1"/>
      <c r="J435" s="1"/>
      <c r="K435" s="1"/>
      <c r="L435" s="1"/>
      <c r="M435" s="1"/>
      <c r="N435" s="1"/>
      <c r="O435" s="1"/>
      <c r="P435" s="1"/>
      <c r="Q435" s="1"/>
      <c r="R435" s="1"/>
      <c r="S435" s="1"/>
      <c r="T435" s="1"/>
      <c r="U435" s="2"/>
      <c r="V435" s="1"/>
      <c r="W435" s="1"/>
      <c r="X435" s="1"/>
      <c r="Y435" s="1"/>
      <c r="Z435" s="1"/>
    </row>
    <row r="436" spans="1:26" ht="24.75" customHeight="1">
      <c r="A436" s="1"/>
      <c r="B436" s="1"/>
      <c r="C436" s="1"/>
      <c r="D436" s="1"/>
      <c r="E436" s="1"/>
      <c r="F436" s="1"/>
      <c r="G436" s="1"/>
      <c r="H436" s="1"/>
      <c r="I436" s="1"/>
      <c r="J436" s="1"/>
      <c r="K436" s="1"/>
      <c r="L436" s="1"/>
      <c r="M436" s="1"/>
      <c r="N436" s="1"/>
      <c r="O436" s="1"/>
      <c r="P436" s="1"/>
      <c r="Q436" s="1"/>
      <c r="R436" s="1"/>
      <c r="S436" s="1"/>
      <c r="T436" s="1"/>
      <c r="U436" s="2"/>
      <c r="V436" s="1"/>
      <c r="W436" s="1"/>
      <c r="X436" s="1"/>
      <c r="Y436" s="1"/>
      <c r="Z436" s="1"/>
    </row>
    <row r="437" spans="1:26" ht="24.75" customHeight="1">
      <c r="A437" s="1"/>
      <c r="B437" s="1"/>
      <c r="C437" s="1"/>
      <c r="D437" s="1"/>
      <c r="E437" s="1"/>
      <c r="F437" s="1"/>
      <c r="G437" s="1"/>
      <c r="H437" s="1"/>
      <c r="I437" s="1"/>
      <c r="J437" s="1"/>
      <c r="K437" s="1"/>
      <c r="L437" s="1"/>
      <c r="M437" s="1"/>
      <c r="N437" s="1"/>
      <c r="O437" s="1"/>
      <c r="P437" s="1"/>
      <c r="Q437" s="1"/>
      <c r="R437" s="1"/>
      <c r="S437" s="1"/>
      <c r="T437" s="1"/>
      <c r="U437" s="2"/>
      <c r="V437" s="1"/>
      <c r="W437" s="1"/>
      <c r="X437" s="1"/>
      <c r="Y437" s="1"/>
      <c r="Z437" s="1"/>
    </row>
    <row r="438" spans="1:26" ht="24.75" customHeight="1">
      <c r="A438" s="1"/>
      <c r="B438" s="1"/>
      <c r="C438" s="1"/>
      <c r="D438" s="1"/>
      <c r="E438" s="1"/>
      <c r="F438" s="1"/>
      <c r="G438" s="1"/>
      <c r="H438" s="1"/>
      <c r="I438" s="1"/>
      <c r="J438" s="1"/>
      <c r="K438" s="1"/>
      <c r="L438" s="1"/>
      <c r="M438" s="1"/>
      <c r="N438" s="1"/>
      <c r="O438" s="1"/>
      <c r="P438" s="1"/>
      <c r="Q438" s="1"/>
      <c r="R438" s="1"/>
      <c r="S438" s="1"/>
      <c r="T438" s="1"/>
      <c r="U438" s="2"/>
      <c r="V438" s="1"/>
      <c r="W438" s="1"/>
      <c r="X438" s="1"/>
      <c r="Y438" s="1"/>
      <c r="Z438" s="1"/>
    </row>
    <row r="439" spans="1:26" ht="24.75" customHeight="1">
      <c r="A439" s="1"/>
      <c r="B439" s="1"/>
      <c r="C439" s="1"/>
      <c r="D439" s="1"/>
      <c r="E439" s="1"/>
      <c r="F439" s="1"/>
      <c r="G439" s="1"/>
      <c r="H439" s="1"/>
      <c r="I439" s="1"/>
      <c r="J439" s="1"/>
      <c r="K439" s="1"/>
      <c r="L439" s="1"/>
      <c r="M439" s="1"/>
      <c r="N439" s="1"/>
      <c r="O439" s="1"/>
      <c r="P439" s="1"/>
      <c r="Q439" s="1"/>
      <c r="R439" s="1"/>
      <c r="S439" s="1"/>
      <c r="T439" s="1"/>
      <c r="U439" s="2"/>
      <c r="V439" s="1"/>
      <c r="W439" s="1"/>
      <c r="X439" s="1"/>
      <c r="Y439" s="1"/>
      <c r="Z439" s="1"/>
    </row>
    <row r="440" spans="1:26" ht="24.75" customHeight="1">
      <c r="A440" s="1"/>
      <c r="B440" s="1"/>
      <c r="C440" s="1"/>
      <c r="D440" s="1"/>
      <c r="E440" s="1"/>
      <c r="F440" s="1"/>
      <c r="G440" s="1"/>
      <c r="H440" s="1"/>
      <c r="I440" s="1"/>
      <c r="J440" s="1"/>
      <c r="K440" s="1"/>
      <c r="L440" s="1"/>
      <c r="M440" s="1"/>
      <c r="N440" s="1"/>
      <c r="O440" s="1"/>
      <c r="P440" s="1"/>
      <c r="Q440" s="1"/>
      <c r="R440" s="1"/>
      <c r="S440" s="1"/>
      <c r="T440" s="1"/>
      <c r="U440" s="2"/>
      <c r="V440" s="1"/>
      <c r="W440" s="1"/>
      <c r="X440" s="1"/>
      <c r="Y440" s="1"/>
      <c r="Z440" s="1"/>
    </row>
    <row r="441" spans="1:26" ht="24.75" customHeight="1">
      <c r="A441" s="1"/>
      <c r="B441" s="1"/>
      <c r="C441" s="1"/>
      <c r="D441" s="1"/>
      <c r="E441" s="1"/>
      <c r="F441" s="1"/>
      <c r="G441" s="1"/>
      <c r="H441" s="1"/>
      <c r="I441" s="1"/>
      <c r="J441" s="1"/>
      <c r="K441" s="1"/>
      <c r="L441" s="1"/>
      <c r="M441" s="1"/>
      <c r="N441" s="1"/>
      <c r="O441" s="1"/>
      <c r="P441" s="1"/>
      <c r="Q441" s="1"/>
      <c r="R441" s="1"/>
      <c r="S441" s="1"/>
      <c r="T441" s="1"/>
      <c r="U441" s="2"/>
      <c r="V441" s="1"/>
      <c r="W441" s="1"/>
      <c r="X441" s="1"/>
      <c r="Y441" s="1"/>
      <c r="Z441" s="1"/>
    </row>
    <row r="442" spans="1:26" ht="24.75" customHeight="1">
      <c r="A442" s="1"/>
      <c r="B442" s="1"/>
      <c r="C442" s="1"/>
      <c r="D442" s="1"/>
      <c r="E442" s="1"/>
      <c r="F442" s="1"/>
      <c r="G442" s="1"/>
      <c r="H442" s="1"/>
      <c r="I442" s="1"/>
      <c r="J442" s="1"/>
      <c r="K442" s="1"/>
      <c r="L442" s="1"/>
      <c r="M442" s="1"/>
      <c r="N442" s="1"/>
      <c r="O442" s="1"/>
      <c r="P442" s="1"/>
      <c r="Q442" s="1"/>
      <c r="R442" s="1"/>
      <c r="S442" s="1"/>
      <c r="T442" s="1"/>
      <c r="U442" s="2"/>
      <c r="V442" s="1"/>
      <c r="W442" s="1"/>
      <c r="X442" s="1"/>
      <c r="Y442" s="1"/>
      <c r="Z442" s="1"/>
    </row>
    <row r="443" spans="1:26" ht="24.75" customHeight="1">
      <c r="A443" s="1"/>
      <c r="B443" s="1"/>
      <c r="C443" s="1"/>
      <c r="D443" s="1"/>
      <c r="E443" s="1"/>
      <c r="F443" s="1"/>
      <c r="G443" s="1"/>
      <c r="H443" s="1"/>
      <c r="I443" s="1"/>
      <c r="J443" s="1"/>
      <c r="K443" s="1"/>
      <c r="L443" s="1"/>
      <c r="M443" s="1"/>
      <c r="N443" s="1"/>
      <c r="O443" s="1"/>
      <c r="P443" s="1"/>
      <c r="Q443" s="1"/>
      <c r="R443" s="1"/>
      <c r="S443" s="1"/>
      <c r="T443" s="1"/>
      <c r="U443" s="2"/>
      <c r="V443" s="1"/>
      <c r="W443" s="1"/>
      <c r="X443" s="1"/>
      <c r="Y443" s="1"/>
      <c r="Z443" s="1"/>
    </row>
    <row r="444" spans="1:26" ht="24.75" customHeight="1">
      <c r="A444" s="1"/>
      <c r="B444" s="1"/>
      <c r="C444" s="1"/>
      <c r="D444" s="1"/>
      <c r="E444" s="1"/>
      <c r="F444" s="1"/>
      <c r="G444" s="1"/>
      <c r="H444" s="1"/>
      <c r="I444" s="1"/>
      <c r="J444" s="1"/>
      <c r="K444" s="1"/>
      <c r="L444" s="1"/>
      <c r="M444" s="1"/>
      <c r="N444" s="1"/>
      <c r="O444" s="1"/>
      <c r="P444" s="1"/>
      <c r="Q444" s="1"/>
      <c r="R444" s="1"/>
      <c r="S444" s="1"/>
      <c r="T444" s="1"/>
      <c r="U444" s="2"/>
      <c r="V444" s="1"/>
      <c r="W444" s="1"/>
      <c r="X444" s="1"/>
      <c r="Y444" s="1"/>
      <c r="Z444" s="1"/>
    </row>
    <row r="445" spans="1:26" ht="24.75" customHeight="1">
      <c r="A445" s="1"/>
      <c r="B445" s="1"/>
      <c r="C445" s="1"/>
      <c r="D445" s="1"/>
      <c r="E445" s="1"/>
      <c r="F445" s="1"/>
      <c r="G445" s="1"/>
      <c r="H445" s="1"/>
      <c r="I445" s="1"/>
      <c r="J445" s="1"/>
      <c r="K445" s="1"/>
      <c r="L445" s="1"/>
      <c r="M445" s="1"/>
      <c r="N445" s="1"/>
      <c r="O445" s="1"/>
      <c r="P445" s="1"/>
      <c r="Q445" s="1"/>
      <c r="R445" s="1"/>
      <c r="S445" s="1"/>
      <c r="T445" s="1"/>
      <c r="U445" s="2"/>
      <c r="V445" s="1"/>
      <c r="W445" s="1"/>
      <c r="X445" s="1"/>
      <c r="Y445" s="1"/>
      <c r="Z445" s="1"/>
    </row>
    <row r="446" spans="1:26" ht="24.75" customHeight="1">
      <c r="A446" s="1"/>
      <c r="B446" s="1"/>
      <c r="C446" s="1"/>
      <c r="D446" s="1"/>
      <c r="E446" s="1"/>
      <c r="F446" s="1"/>
      <c r="G446" s="1"/>
      <c r="H446" s="1"/>
      <c r="I446" s="1"/>
      <c r="J446" s="1"/>
      <c r="K446" s="1"/>
      <c r="L446" s="1"/>
      <c r="M446" s="1"/>
      <c r="N446" s="1"/>
      <c r="O446" s="1"/>
      <c r="P446" s="1"/>
      <c r="Q446" s="1"/>
      <c r="R446" s="1"/>
      <c r="S446" s="1"/>
      <c r="T446" s="1"/>
      <c r="U446" s="2"/>
      <c r="V446" s="1"/>
      <c r="W446" s="1"/>
      <c r="X446" s="1"/>
      <c r="Y446" s="1"/>
      <c r="Z446" s="1"/>
    </row>
    <row r="447" spans="1:26" ht="24.75" customHeight="1">
      <c r="A447" s="1"/>
      <c r="B447" s="1"/>
      <c r="C447" s="1"/>
      <c r="D447" s="1"/>
      <c r="E447" s="1"/>
      <c r="F447" s="1"/>
      <c r="G447" s="1"/>
      <c r="H447" s="1"/>
      <c r="I447" s="1"/>
      <c r="J447" s="1"/>
      <c r="K447" s="1"/>
      <c r="L447" s="1"/>
      <c r="M447" s="1"/>
      <c r="N447" s="1"/>
      <c r="O447" s="1"/>
      <c r="P447" s="1"/>
      <c r="Q447" s="1"/>
      <c r="R447" s="1"/>
      <c r="S447" s="1"/>
      <c r="T447" s="1"/>
      <c r="U447" s="2"/>
      <c r="V447" s="1"/>
      <c r="W447" s="1"/>
      <c r="X447" s="1"/>
      <c r="Y447" s="1"/>
      <c r="Z447" s="1"/>
    </row>
    <row r="448" spans="1:26" ht="24.75" customHeight="1">
      <c r="A448" s="1"/>
      <c r="B448" s="1"/>
      <c r="C448" s="1"/>
      <c r="D448" s="1"/>
      <c r="E448" s="1"/>
      <c r="F448" s="1"/>
      <c r="G448" s="1"/>
      <c r="H448" s="1"/>
      <c r="I448" s="1"/>
      <c r="J448" s="1"/>
      <c r="K448" s="1"/>
      <c r="L448" s="1"/>
      <c r="M448" s="1"/>
      <c r="N448" s="1"/>
      <c r="O448" s="1"/>
      <c r="P448" s="1"/>
      <c r="Q448" s="1"/>
      <c r="R448" s="1"/>
      <c r="S448" s="1"/>
      <c r="T448" s="1"/>
      <c r="U448" s="2"/>
      <c r="V448" s="1"/>
      <c r="W448" s="1"/>
      <c r="X448" s="1"/>
      <c r="Y448" s="1"/>
      <c r="Z448" s="1"/>
    </row>
    <row r="449" spans="1:26" ht="24.75" customHeight="1">
      <c r="A449" s="1"/>
      <c r="B449" s="1"/>
      <c r="C449" s="1"/>
      <c r="D449" s="1"/>
      <c r="E449" s="1"/>
      <c r="F449" s="1"/>
      <c r="G449" s="1"/>
      <c r="H449" s="1"/>
      <c r="I449" s="1"/>
      <c r="J449" s="1"/>
      <c r="K449" s="1"/>
      <c r="L449" s="1"/>
      <c r="M449" s="1"/>
      <c r="N449" s="1"/>
      <c r="O449" s="1"/>
      <c r="P449" s="1"/>
      <c r="Q449" s="1"/>
      <c r="R449" s="1"/>
      <c r="S449" s="1"/>
      <c r="T449" s="1"/>
      <c r="U449" s="2"/>
      <c r="V449" s="1"/>
      <c r="W449" s="1"/>
      <c r="X449" s="1"/>
      <c r="Y449" s="1"/>
      <c r="Z449" s="1"/>
    </row>
    <row r="450" spans="1:26" ht="24.75" customHeight="1">
      <c r="A450" s="1"/>
      <c r="B450" s="1"/>
      <c r="C450" s="1"/>
      <c r="D450" s="1"/>
      <c r="E450" s="1"/>
      <c r="F450" s="1"/>
      <c r="G450" s="1"/>
      <c r="H450" s="1"/>
      <c r="I450" s="1"/>
      <c r="J450" s="1"/>
      <c r="K450" s="1"/>
      <c r="L450" s="1"/>
      <c r="M450" s="1"/>
      <c r="N450" s="1"/>
      <c r="O450" s="1"/>
      <c r="P450" s="1"/>
      <c r="Q450" s="1"/>
      <c r="R450" s="1"/>
      <c r="S450" s="1"/>
      <c r="T450" s="1"/>
      <c r="U450" s="2"/>
      <c r="V450" s="1"/>
      <c r="W450" s="1"/>
      <c r="X450" s="1"/>
      <c r="Y450" s="1"/>
      <c r="Z450" s="1"/>
    </row>
    <row r="451" spans="1:26" ht="24.75" customHeight="1">
      <c r="A451" s="1"/>
      <c r="B451" s="1"/>
      <c r="C451" s="1"/>
      <c r="D451" s="1"/>
      <c r="E451" s="1"/>
      <c r="F451" s="1"/>
      <c r="G451" s="1"/>
      <c r="H451" s="1"/>
      <c r="I451" s="1"/>
      <c r="J451" s="1"/>
      <c r="K451" s="1"/>
      <c r="L451" s="1"/>
      <c r="M451" s="1"/>
      <c r="N451" s="1"/>
      <c r="O451" s="1"/>
      <c r="P451" s="1"/>
      <c r="Q451" s="1"/>
      <c r="R451" s="1"/>
      <c r="S451" s="1"/>
      <c r="T451" s="1"/>
      <c r="U451" s="2"/>
      <c r="V451" s="1"/>
      <c r="W451" s="1"/>
      <c r="X451" s="1"/>
      <c r="Y451" s="1"/>
      <c r="Z451" s="1"/>
    </row>
    <row r="452" spans="1:26" ht="24.75" customHeight="1">
      <c r="A452" s="1"/>
      <c r="B452" s="1"/>
      <c r="C452" s="1"/>
      <c r="D452" s="1"/>
      <c r="E452" s="1"/>
      <c r="F452" s="1"/>
      <c r="G452" s="1"/>
      <c r="H452" s="1"/>
      <c r="I452" s="1"/>
      <c r="J452" s="1"/>
      <c r="K452" s="1"/>
      <c r="L452" s="1"/>
      <c r="M452" s="1"/>
      <c r="N452" s="1"/>
      <c r="O452" s="1"/>
      <c r="P452" s="1"/>
      <c r="Q452" s="1"/>
      <c r="R452" s="1"/>
      <c r="S452" s="1"/>
      <c r="T452" s="1"/>
      <c r="U452" s="2"/>
      <c r="V452" s="1"/>
      <c r="W452" s="1"/>
      <c r="X452" s="1"/>
      <c r="Y452" s="1"/>
      <c r="Z452" s="1"/>
    </row>
    <row r="453" spans="1:26" ht="24.75" customHeight="1">
      <c r="A453" s="1"/>
      <c r="B453" s="1"/>
      <c r="C453" s="1"/>
      <c r="D453" s="1"/>
      <c r="E453" s="1"/>
      <c r="F453" s="1"/>
      <c r="G453" s="1"/>
      <c r="H453" s="1"/>
      <c r="I453" s="1"/>
      <c r="J453" s="1"/>
      <c r="K453" s="1"/>
      <c r="L453" s="1"/>
      <c r="M453" s="1"/>
      <c r="N453" s="1"/>
      <c r="O453" s="1"/>
      <c r="P453" s="1"/>
      <c r="Q453" s="1"/>
      <c r="R453" s="1"/>
      <c r="S453" s="1"/>
      <c r="T453" s="1"/>
      <c r="U453" s="2"/>
      <c r="V453" s="1"/>
      <c r="W453" s="1"/>
      <c r="X453" s="1"/>
      <c r="Y453" s="1"/>
      <c r="Z453" s="1"/>
    </row>
    <row r="454" spans="1:26" ht="24.75" customHeight="1">
      <c r="A454" s="1"/>
      <c r="B454" s="1"/>
      <c r="C454" s="1"/>
      <c r="D454" s="1"/>
      <c r="E454" s="1"/>
      <c r="F454" s="1"/>
      <c r="G454" s="1"/>
      <c r="H454" s="1"/>
      <c r="I454" s="1"/>
      <c r="J454" s="1"/>
      <c r="K454" s="1"/>
      <c r="L454" s="1"/>
      <c r="M454" s="1"/>
      <c r="N454" s="1"/>
      <c r="O454" s="1"/>
      <c r="P454" s="1"/>
      <c r="Q454" s="1"/>
      <c r="R454" s="1"/>
      <c r="S454" s="1"/>
      <c r="T454" s="1"/>
      <c r="U454" s="2"/>
      <c r="V454" s="1"/>
      <c r="W454" s="1"/>
      <c r="X454" s="1"/>
      <c r="Y454" s="1"/>
      <c r="Z454" s="1"/>
    </row>
    <row r="455" spans="1:26" ht="24.75" customHeight="1">
      <c r="A455" s="1"/>
      <c r="B455" s="1"/>
      <c r="C455" s="1"/>
      <c r="D455" s="1"/>
      <c r="E455" s="1"/>
      <c r="F455" s="1"/>
      <c r="G455" s="1"/>
      <c r="H455" s="1"/>
      <c r="I455" s="1"/>
      <c r="J455" s="1"/>
      <c r="K455" s="1"/>
      <c r="L455" s="1"/>
      <c r="M455" s="1"/>
      <c r="N455" s="1"/>
      <c r="O455" s="1"/>
      <c r="P455" s="1"/>
      <c r="Q455" s="1"/>
      <c r="R455" s="1"/>
      <c r="S455" s="1"/>
      <c r="T455" s="1"/>
      <c r="U455" s="2"/>
      <c r="V455" s="1"/>
      <c r="W455" s="1"/>
      <c r="X455" s="1"/>
      <c r="Y455" s="1"/>
      <c r="Z455" s="1"/>
    </row>
    <row r="456" spans="1:26" ht="24.75" customHeight="1">
      <c r="A456" s="1"/>
      <c r="B456" s="1"/>
      <c r="C456" s="1"/>
      <c r="D456" s="1"/>
      <c r="E456" s="1"/>
      <c r="F456" s="1"/>
      <c r="G456" s="1"/>
      <c r="H456" s="1"/>
      <c r="I456" s="1"/>
      <c r="J456" s="1"/>
      <c r="K456" s="1"/>
      <c r="L456" s="1"/>
      <c r="M456" s="1"/>
      <c r="N456" s="1"/>
      <c r="O456" s="1"/>
      <c r="P456" s="1"/>
      <c r="Q456" s="1"/>
      <c r="R456" s="1"/>
      <c r="S456" s="1"/>
      <c r="T456" s="1"/>
      <c r="U456" s="2"/>
      <c r="V456" s="1"/>
      <c r="W456" s="1"/>
      <c r="X456" s="1"/>
      <c r="Y456" s="1"/>
      <c r="Z456" s="1"/>
    </row>
    <row r="457" spans="1:26" ht="24.75" customHeight="1">
      <c r="A457" s="1"/>
      <c r="B457" s="1"/>
      <c r="C457" s="1"/>
      <c r="D457" s="1"/>
      <c r="E457" s="1"/>
      <c r="F457" s="1"/>
      <c r="G457" s="1"/>
      <c r="H457" s="1"/>
      <c r="I457" s="1"/>
      <c r="J457" s="1"/>
      <c r="K457" s="1"/>
      <c r="L457" s="1"/>
      <c r="M457" s="1"/>
      <c r="N457" s="1"/>
      <c r="O457" s="1"/>
      <c r="P457" s="1"/>
      <c r="Q457" s="1"/>
      <c r="R457" s="1"/>
      <c r="S457" s="1"/>
      <c r="T457" s="1"/>
      <c r="U457" s="2"/>
      <c r="V457" s="1"/>
      <c r="W457" s="1"/>
      <c r="X457" s="1"/>
      <c r="Y457" s="1"/>
      <c r="Z457" s="1"/>
    </row>
    <row r="458" spans="1:26" ht="24.75" customHeight="1">
      <c r="A458" s="1"/>
      <c r="B458" s="1"/>
      <c r="C458" s="1"/>
      <c r="D458" s="1"/>
      <c r="E458" s="1"/>
      <c r="F458" s="1"/>
      <c r="G458" s="1"/>
      <c r="H458" s="1"/>
      <c r="I458" s="1"/>
      <c r="J458" s="1"/>
      <c r="K458" s="1"/>
      <c r="L458" s="1"/>
      <c r="M458" s="1"/>
      <c r="N458" s="1"/>
      <c r="O458" s="1"/>
      <c r="P458" s="1"/>
      <c r="Q458" s="1"/>
      <c r="R458" s="1"/>
      <c r="S458" s="1"/>
      <c r="T458" s="1"/>
      <c r="U458" s="2"/>
      <c r="V458" s="1"/>
      <c r="W458" s="1"/>
      <c r="X458" s="1"/>
      <c r="Y458" s="1"/>
      <c r="Z458" s="1"/>
    </row>
    <row r="459" spans="1:26" ht="24.75" customHeight="1">
      <c r="A459" s="1"/>
      <c r="B459" s="1"/>
      <c r="C459" s="1"/>
      <c r="D459" s="1"/>
      <c r="E459" s="1"/>
      <c r="F459" s="1"/>
      <c r="G459" s="1"/>
      <c r="H459" s="1"/>
      <c r="I459" s="1"/>
      <c r="J459" s="1"/>
      <c r="K459" s="1"/>
      <c r="L459" s="1"/>
      <c r="M459" s="1"/>
      <c r="N459" s="1"/>
      <c r="O459" s="1"/>
      <c r="P459" s="1"/>
      <c r="Q459" s="1"/>
      <c r="R459" s="1"/>
      <c r="S459" s="1"/>
      <c r="T459" s="1"/>
      <c r="U459" s="2"/>
      <c r="V459" s="1"/>
      <c r="W459" s="1"/>
      <c r="X459" s="1"/>
      <c r="Y459" s="1"/>
      <c r="Z459" s="1"/>
    </row>
    <row r="460" spans="1:26" ht="24.75" customHeight="1">
      <c r="A460" s="1"/>
      <c r="B460" s="1"/>
      <c r="C460" s="1"/>
      <c r="D460" s="1"/>
      <c r="E460" s="1"/>
      <c r="F460" s="1"/>
      <c r="G460" s="1"/>
      <c r="H460" s="1"/>
      <c r="I460" s="1"/>
      <c r="J460" s="1"/>
      <c r="K460" s="1"/>
      <c r="L460" s="1"/>
      <c r="M460" s="1"/>
      <c r="N460" s="1"/>
      <c r="O460" s="1"/>
      <c r="P460" s="1"/>
      <c r="Q460" s="1"/>
      <c r="R460" s="1"/>
      <c r="S460" s="1"/>
      <c r="T460" s="1"/>
      <c r="U460" s="2"/>
      <c r="V460" s="1"/>
      <c r="W460" s="1"/>
      <c r="X460" s="1"/>
      <c r="Y460" s="1"/>
      <c r="Z460" s="1"/>
    </row>
    <row r="461" spans="1:26" ht="24.75" customHeight="1">
      <c r="A461" s="1"/>
      <c r="B461" s="1"/>
      <c r="C461" s="1"/>
      <c r="D461" s="1"/>
      <c r="E461" s="1"/>
      <c r="F461" s="1"/>
      <c r="G461" s="1"/>
      <c r="H461" s="1"/>
      <c r="I461" s="1"/>
      <c r="J461" s="1"/>
      <c r="K461" s="1"/>
      <c r="L461" s="1"/>
      <c r="M461" s="1"/>
      <c r="N461" s="1"/>
      <c r="O461" s="1"/>
      <c r="P461" s="1"/>
      <c r="Q461" s="1"/>
      <c r="R461" s="1"/>
      <c r="S461" s="1"/>
      <c r="T461" s="1"/>
      <c r="U461" s="2"/>
      <c r="V461" s="1"/>
      <c r="W461" s="1"/>
      <c r="X461" s="1"/>
      <c r="Y461" s="1"/>
      <c r="Z461" s="1"/>
    </row>
    <row r="462" spans="1:26" ht="24.75" customHeight="1">
      <c r="A462" s="1"/>
      <c r="B462" s="1"/>
      <c r="C462" s="1"/>
      <c r="D462" s="1"/>
      <c r="E462" s="1"/>
      <c r="F462" s="1"/>
      <c r="G462" s="1"/>
      <c r="H462" s="1"/>
      <c r="I462" s="1"/>
      <c r="J462" s="1"/>
      <c r="K462" s="1"/>
      <c r="L462" s="1"/>
      <c r="M462" s="1"/>
      <c r="N462" s="1"/>
      <c r="O462" s="1"/>
      <c r="P462" s="1"/>
      <c r="Q462" s="1"/>
      <c r="R462" s="1"/>
      <c r="S462" s="1"/>
      <c r="T462" s="1"/>
      <c r="U462" s="2"/>
      <c r="V462" s="1"/>
      <c r="W462" s="1"/>
      <c r="X462" s="1"/>
      <c r="Y462" s="1"/>
      <c r="Z462" s="1"/>
    </row>
    <row r="463" spans="1:26" ht="24.75" customHeight="1">
      <c r="A463" s="1"/>
      <c r="B463" s="1"/>
      <c r="C463" s="1"/>
      <c r="D463" s="1"/>
      <c r="E463" s="1"/>
      <c r="F463" s="1"/>
      <c r="G463" s="1"/>
      <c r="H463" s="1"/>
      <c r="I463" s="1"/>
      <c r="J463" s="1"/>
      <c r="K463" s="1"/>
      <c r="L463" s="1"/>
      <c r="M463" s="1"/>
      <c r="N463" s="1"/>
      <c r="O463" s="1"/>
      <c r="P463" s="1"/>
      <c r="Q463" s="1"/>
      <c r="R463" s="1"/>
      <c r="S463" s="1"/>
      <c r="T463" s="1"/>
      <c r="U463" s="2"/>
      <c r="V463" s="1"/>
      <c r="W463" s="1"/>
      <c r="X463" s="1"/>
      <c r="Y463" s="1"/>
      <c r="Z463" s="1"/>
    </row>
    <row r="464" spans="1:26" ht="24.75" customHeight="1">
      <c r="A464" s="1"/>
      <c r="B464" s="1"/>
      <c r="C464" s="1"/>
      <c r="D464" s="1"/>
      <c r="E464" s="1"/>
      <c r="F464" s="1"/>
      <c r="G464" s="1"/>
      <c r="H464" s="1"/>
      <c r="I464" s="1"/>
      <c r="J464" s="1"/>
      <c r="K464" s="1"/>
      <c r="L464" s="1"/>
      <c r="M464" s="1"/>
      <c r="N464" s="1"/>
      <c r="O464" s="1"/>
      <c r="P464" s="1"/>
      <c r="Q464" s="1"/>
      <c r="R464" s="1"/>
      <c r="S464" s="1"/>
      <c r="T464" s="1"/>
      <c r="U464" s="2"/>
      <c r="V464" s="1"/>
      <c r="W464" s="1"/>
      <c r="X464" s="1"/>
      <c r="Y464" s="1"/>
      <c r="Z464" s="1"/>
    </row>
    <row r="465" spans="1:26" ht="24.75" customHeight="1">
      <c r="A465" s="1"/>
      <c r="B465" s="1"/>
      <c r="C465" s="1"/>
      <c r="D465" s="1"/>
      <c r="E465" s="1"/>
      <c r="F465" s="1"/>
      <c r="G465" s="1"/>
      <c r="H465" s="1"/>
      <c r="I465" s="1"/>
      <c r="J465" s="1"/>
      <c r="K465" s="1"/>
      <c r="L465" s="1"/>
      <c r="M465" s="1"/>
      <c r="N465" s="1"/>
      <c r="O465" s="1"/>
      <c r="P465" s="1"/>
      <c r="Q465" s="1"/>
      <c r="R465" s="1"/>
      <c r="S465" s="1"/>
      <c r="T465" s="1"/>
      <c r="U465" s="2"/>
      <c r="V465" s="1"/>
      <c r="W465" s="1"/>
      <c r="X465" s="1"/>
      <c r="Y465" s="1"/>
      <c r="Z465" s="1"/>
    </row>
    <row r="466" spans="1:26" ht="24.75" customHeight="1">
      <c r="A466" s="1"/>
      <c r="B466" s="1"/>
      <c r="C466" s="1"/>
      <c r="D466" s="1"/>
      <c r="E466" s="1"/>
      <c r="F466" s="1"/>
      <c r="G466" s="1"/>
      <c r="H466" s="1"/>
      <c r="I466" s="1"/>
      <c r="J466" s="1"/>
      <c r="K466" s="1"/>
      <c r="L466" s="1"/>
      <c r="M466" s="1"/>
      <c r="N466" s="1"/>
      <c r="O466" s="1"/>
      <c r="P466" s="1"/>
      <c r="Q466" s="1"/>
      <c r="R466" s="1"/>
      <c r="S466" s="1"/>
      <c r="T466" s="1"/>
      <c r="U466" s="2"/>
      <c r="V466" s="1"/>
      <c r="W466" s="1"/>
      <c r="X466" s="1"/>
      <c r="Y466" s="1"/>
      <c r="Z466" s="1"/>
    </row>
    <row r="467" spans="1:26" ht="24.75" customHeight="1">
      <c r="A467" s="1"/>
      <c r="B467" s="1"/>
      <c r="C467" s="1"/>
      <c r="D467" s="1"/>
      <c r="E467" s="1"/>
      <c r="F467" s="1"/>
      <c r="G467" s="1"/>
      <c r="H467" s="1"/>
      <c r="I467" s="1"/>
      <c r="J467" s="1"/>
      <c r="K467" s="1"/>
      <c r="L467" s="1"/>
      <c r="M467" s="1"/>
      <c r="N467" s="1"/>
      <c r="O467" s="1"/>
      <c r="P467" s="1"/>
      <c r="Q467" s="1"/>
      <c r="R467" s="1"/>
      <c r="S467" s="1"/>
      <c r="T467" s="1"/>
      <c r="U467" s="2"/>
      <c r="V467" s="1"/>
      <c r="W467" s="1"/>
      <c r="X467" s="1"/>
      <c r="Y467" s="1"/>
      <c r="Z467" s="1"/>
    </row>
    <row r="468" spans="1:26" ht="24.75" customHeight="1">
      <c r="A468" s="1"/>
      <c r="B468" s="1"/>
      <c r="C468" s="1"/>
      <c r="D468" s="1"/>
      <c r="E468" s="1"/>
      <c r="F468" s="1"/>
      <c r="G468" s="1"/>
      <c r="H468" s="1"/>
      <c r="I468" s="1"/>
      <c r="J468" s="1"/>
      <c r="K468" s="1"/>
      <c r="L468" s="1"/>
      <c r="M468" s="1"/>
      <c r="N468" s="1"/>
      <c r="O468" s="1"/>
      <c r="P468" s="1"/>
      <c r="Q468" s="1"/>
      <c r="R468" s="1"/>
      <c r="S468" s="1"/>
      <c r="T468" s="1"/>
      <c r="U468" s="2"/>
      <c r="V468" s="1"/>
      <c r="W468" s="1"/>
      <c r="X468" s="1"/>
      <c r="Y468" s="1"/>
      <c r="Z468" s="1"/>
    </row>
    <row r="469" spans="1:26" ht="24.75" customHeight="1">
      <c r="A469" s="1"/>
      <c r="B469" s="1"/>
      <c r="C469" s="1"/>
      <c r="D469" s="1"/>
      <c r="E469" s="1"/>
      <c r="F469" s="1"/>
      <c r="G469" s="1"/>
      <c r="H469" s="1"/>
      <c r="I469" s="1"/>
      <c r="J469" s="1"/>
      <c r="K469" s="1"/>
      <c r="L469" s="1"/>
      <c r="M469" s="1"/>
      <c r="N469" s="1"/>
      <c r="O469" s="1"/>
      <c r="P469" s="1"/>
      <c r="Q469" s="1"/>
      <c r="R469" s="1"/>
      <c r="S469" s="1"/>
      <c r="T469" s="1"/>
      <c r="U469" s="2"/>
      <c r="V469" s="1"/>
      <c r="W469" s="1"/>
      <c r="X469" s="1"/>
      <c r="Y469" s="1"/>
      <c r="Z469" s="1"/>
    </row>
    <row r="470" spans="1:26" ht="24.75" customHeight="1">
      <c r="A470" s="1"/>
      <c r="B470" s="1"/>
      <c r="C470" s="1"/>
      <c r="D470" s="1"/>
      <c r="E470" s="1"/>
      <c r="F470" s="1"/>
      <c r="G470" s="1"/>
      <c r="H470" s="1"/>
      <c r="I470" s="1"/>
      <c r="J470" s="1"/>
      <c r="K470" s="1"/>
      <c r="L470" s="1"/>
      <c r="M470" s="1"/>
      <c r="N470" s="1"/>
      <c r="O470" s="1"/>
      <c r="P470" s="1"/>
      <c r="Q470" s="1"/>
      <c r="R470" s="1"/>
      <c r="S470" s="1"/>
      <c r="T470" s="1"/>
      <c r="U470" s="2"/>
      <c r="V470" s="1"/>
      <c r="W470" s="1"/>
      <c r="X470" s="1"/>
      <c r="Y470" s="1"/>
      <c r="Z470" s="1"/>
    </row>
    <row r="471" spans="1:26" ht="24.75" customHeight="1">
      <c r="A471" s="1"/>
      <c r="B471" s="1"/>
      <c r="C471" s="1"/>
      <c r="D471" s="1"/>
      <c r="E471" s="1"/>
      <c r="F471" s="1"/>
      <c r="G471" s="1"/>
      <c r="H471" s="1"/>
      <c r="I471" s="1"/>
      <c r="J471" s="1"/>
      <c r="K471" s="1"/>
      <c r="L471" s="1"/>
      <c r="M471" s="1"/>
      <c r="N471" s="1"/>
      <c r="O471" s="1"/>
      <c r="P471" s="1"/>
      <c r="Q471" s="1"/>
      <c r="R471" s="1"/>
      <c r="S471" s="1"/>
      <c r="T471" s="1"/>
      <c r="U471" s="2"/>
      <c r="V471" s="1"/>
      <c r="W471" s="1"/>
      <c r="X471" s="1"/>
      <c r="Y471" s="1"/>
      <c r="Z471" s="1"/>
    </row>
    <row r="472" spans="1:26" ht="24.75" customHeight="1">
      <c r="A472" s="1"/>
      <c r="B472" s="1"/>
      <c r="C472" s="1"/>
      <c r="D472" s="1"/>
      <c r="E472" s="1"/>
      <c r="F472" s="1"/>
      <c r="G472" s="1"/>
      <c r="H472" s="1"/>
      <c r="I472" s="1"/>
      <c r="J472" s="1"/>
      <c r="K472" s="1"/>
      <c r="L472" s="1"/>
      <c r="M472" s="1"/>
      <c r="N472" s="1"/>
      <c r="O472" s="1"/>
      <c r="P472" s="1"/>
      <c r="Q472" s="1"/>
      <c r="R472" s="1"/>
      <c r="S472" s="1"/>
      <c r="T472" s="1"/>
      <c r="U472" s="2"/>
      <c r="V472" s="1"/>
      <c r="W472" s="1"/>
      <c r="X472" s="1"/>
      <c r="Y472" s="1"/>
      <c r="Z472" s="1"/>
    </row>
    <row r="473" spans="1:26" ht="24.75" customHeight="1">
      <c r="A473" s="1"/>
      <c r="B473" s="1"/>
      <c r="C473" s="1"/>
      <c r="D473" s="1"/>
      <c r="E473" s="1"/>
      <c r="F473" s="1"/>
      <c r="G473" s="1"/>
      <c r="H473" s="1"/>
      <c r="I473" s="1"/>
      <c r="J473" s="1"/>
      <c r="K473" s="1"/>
      <c r="L473" s="1"/>
      <c r="M473" s="1"/>
      <c r="N473" s="1"/>
      <c r="O473" s="1"/>
      <c r="P473" s="1"/>
      <c r="Q473" s="1"/>
      <c r="R473" s="1"/>
      <c r="S473" s="1"/>
      <c r="T473" s="1"/>
      <c r="U473" s="2"/>
      <c r="V473" s="1"/>
      <c r="W473" s="1"/>
      <c r="X473" s="1"/>
      <c r="Y473" s="1"/>
      <c r="Z473" s="1"/>
    </row>
    <row r="474" spans="1:26" ht="24.75" customHeight="1">
      <c r="A474" s="1"/>
      <c r="B474" s="1"/>
      <c r="C474" s="1"/>
      <c r="D474" s="1"/>
      <c r="E474" s="1"/>
      <c r="F474" s="1"/>
      <c r="G474" s="1"/>
      <c r="H474" s="1"/>
      <c r="I474" s="1"/>
      <c r="J474" s="1"/>
      <c r="K474" s="1"/>
      <c r="L474" s="1"/>
      <c r="M474" s="1"/>
      <c r="N474" s="1"/>
      <c r="O474" s="1"/>
      <c r="P474" s="1"/>
      <c r="Q474" s="1"/>
      <c r="R474" s="1"/>
      <c r="S474" s="1"/>
      <c r="T474" s="1"/>
      <c r="U474" s="2"/>
      <c r="V474" s="1"/>
      <c r="W474" s="1"/>
      <c r="X474" s="1"/>
      <c r="Y474" s="1"/>
      <c r="Z474" s="1"/>
    </row>
    <row r="475" spans="1:26" ht="24.75" customHeight="1">
      <c r="A475" s="1"/>
      <c r="B475" s="1"/>
      <c r="C475" s="1"/>
      <c r="D475" s="1"/>
      <c r="E475" s="1"/>
      <c r="F475" s="1"/>
      <c r="G475" s="1"/>
      <c r="H475" s="1"/>
      <c r="I475" s="1"/>
      <c r="J475" s="1"/>
      <c r="K475" s="1"/>
      <c r="L475" s="1"/>
      <c r="M475" s="1"/>
      <c r="N475" s="1"/>
      <c r="O475" s="1"/>
      <c r="P475" s="1"/>
      <c r="Q475" s="1"/>
      <c r="R475" s="1"/>
      <c r="S475" s="1"/>
      <c r="T475" s="1"/>
      <c r="U475" s="2"/>
      <c r="V475" s="1"/>
      <c r="W475" s="1"/>
      <c r="X475" s="1"/>
      <c r="Y475" s="1"/>
      <c r="Z475" s="1"/>
    </row>
    <row r="476" spans="1:26" ht="24.75" customHeight="1">
      <c r="A476" s="1"/>
      <c r="B476" s="1"/>
      <c r="C476" s="1"/>
      <c r="D476" s="1"/>
      <c r="E476" s="1"/>
      <c r="F476" s="1"/>
      <c r="G476" s="1"/>
      <c r="H476" s="1"/>
      <c r="I476" s="1"/>
      <c r="J476" s="1"/>
      <c r="K476" s="1"/>
      <c r="L476" s="1"/>
      <c r="M476" s="1"/>
      <c r="N476" s="1"/>
      <c r="O476" s="1"/>
      <c r="P476" s="1"/>
      <c r="Q476" s="1"/>
      <c r="R476" s="1"/>
      <c r="S476" s="1"/>
      <c r="T476" s="1"/>
      <c r="U476" s="2"/>
      <c r="V476" s="1"/>
      <c r="W476" s="1"/>
      <c r="X476" s="1"/>
      <c r="Y476" s="1"/>
      <c r="Z476" s="1"/>
    </row>
    <row r="477" spans="1:26" ht="24.75" customHeight="1">
      <c r="A477" s="1"/>
      <c r="B477" s="1"/>
      <c r="C477" s="1"/>
      <c r="D477" s="1"/>
      <c r="E477" s="1"/>
      <c r="F477" s="1"/>
      <c r="G477" s="1"/>
      <c r="H477" s="1"/>
      <c r="I477" s="1"/>
      <c r="J477" s="1"/>
      <c r="K477" s="1"/>
      <c r="L477" s="1"/>
      <c r="M477" s="1"/>
      <c r="N477" s="1"/>
      <c r="O477" s="1"/>
      <c r="P477" s="1"/>
      <c r="Q477" s="1"/>
      <c r="R477" s="1"/>
      <c r="S477" s="1"/>
      <c r="T477" s="1"/>
      <c r="U477" s="2"/>
      <c r="V477" s="1"/>
      <c r="W477" s="1"/>
      <c r="X477" s="1"/>
      <c r="Y477" s="1"/>
      <c r="Z477" s="1"/>
    </row>
    <row r="478" spans="1:26" ht="24.75" customHeight="1">
      <c r="A478" s="1"/>
      <c r="B478" s="1"/>
      <c r="C478" s="1"/>
      <c r="D478" s="1"/>
      <c r="E478" s="1"/>
      <c r="F478" s="1"/>
      <c r="G478" s="1"/>
      <c r="H478" s="1"/>
      <c r="I478" s="1"/>
      <c r="J478" s="1"/>
      <c r="K478" s="1"/>
      <c r="L478" s="1"/>
      <c r="M478" s="1"/>
      <c r="N478" s="1"/>
      <c r="O478" s="1"/>
      <c r="P478" s="1"/>
      <c r="Q478" s="1"/>
      <c r="R478" s="1"/>
      <c r="S478" s="1"/>
      <c r="T478" s="1"/>
      <c r="U478" s="2"/>
      <c r="V478" s="1"/>
      <c r="W478" s="1"/>
      <c r="X478" s="1"/>
      <c r="Y478" s="1"/>
      <c r="Z478" s="1"/>
    </row>
    <row r="479" spans="1:26" ht="24.75" customHeight="1">
      <c r="A479" s="1"/>
      <c r="B479" s="1"/>
      <c r="C479" s="1"/>
      <c r="D479" s="1"/>
      <c r="E479" s="1"/>
      <c r="F479" s="1"/>
      <c r="G479" s="1"/>
      <c r="H479" s="1"/>
      <c r="I479" s="1"/>
      <c r="J479" s="1"/>
      <c r="K479" s="1"/>
      <c r="L479" s="1"/>
      <c r="M479" s="1"/>
      <c r="N479" s="1"/>
      <c r="O479" s="1"/>
      <c r="P479" s="1"/>
      <c r="Q479" s="1"/>
      <c r="R479" s="1"/>
      <c r="S479" s="1"/>
      <c r="T479" s="1"/>
      <c r="U479" s="2"/>
      <c r="V479" s="1"/>
      <c r="W479" s="1"/>
      <c r="X479" s="1"/>
      <c r="Y479" s="1"/>
      <c r="Z479" s="1"/>
    </row>
    <row r="480" spans="1:26" ht="24.75" customHeight="1">
      <c r="A480" s="1"/>
      <c r="B480" s="1"/>
      <c r="C480" s="1"/>
      <c r="D480" s="1"/>
      <c r="E480" s="1"/>
      <c r="F480" s="1"/>
      <c r="G480" s="1"/>
      <c r="H480" s="1"/>
      <c r="I480" s="1"/>
      <c r="J480" s="1"/>
      <c r="K480" s="1"/>
      <c r="L480" s="1"/>
      <c r="M480" s="1"/>
      <c r="N480" s="1"/>
      <c r="O480" s="1"/>
      <c r="P480" s="1"/>
      <c r="Q480" s="1"/>
      <c r="R480" s="1"/>
      <c r="S480" s="1"/>
      <c r="T480" s="1"/>
      <c r="U480" s="2"/>
      <c r="V480" s="1"/>
      <c r="W480" s="1"/>
      <c r="X480" s="1"/>
      <c r="Y480" s="1"/>
      <c r="Z480" s="1"/>
    </row>
    <row r="481" spans="1:26" ht="24.75" customHeight="1">
      <c r="A481" s="1"/>
      <c r="B481" s="1"/>
      <c r="C481" s="1"/>
      <c r="D481" s="1"/>
      <c r="E481" s="1"/>
      <c r="F481" s="1"/>
      <c r="G481" s="1"/>
      <c r="H481" s="1"/>
      <c r="I481" s="1"/>
      <c r="J481" s="1"/>
      <c r="K481" s="1"/>
      <c r="L481" s="1"/>
      <c r="M481" s="1"/>
      <c r="N481" s="1"/>
      <c r="O481" s="1"/>
      <c r="P481" s="1"/>
      <c r="Q481" s="1"/>
      <c r="R481" s="1"/>
      <c r="S481" s="1"/>
      <c r="T481" s="1"/>
      <c r="U481" s="2"/>
      <c r="V481" s="1"/>
      <c r="W481" s="1"/>
      <c r="X481" s="1"/>
      <c r="Y481" s="1"/>
      <c r="Z481" s="1"/>
    </row>
    <row r="482" spans="1:26" ht="24.75" customHeight="1">
      <c r="A482" s="1"/>
      <c r="B482" s="1"/>
      <c r="C482" s="1"/>
      <c r="D482" s="1"/>
      <c r="E482" s="1"/>
      <c r="F482" s="1"/>
      <c r="G482" s="1"/>
      <c r="H482" s="1"/>
      <c r="I482" s="1"/>
      <c r="J482" s="1"/>
      <c r="K482" s="1"/>
      <c r="L482" s="1"/>
      <c r="M482" s="1"/>
      <c r="N482" s="1"/>
      <c r="O482" s="1"/>
      <c r="P482" s="1"/>
      <c r="Q482" s="1"/>
      <c r="R482" s="1"/>
      <c r="S482" s="1"/>
      <c r="T482" s="1"/>
      <c r="U482" s="2"/>
      <c r="V482" s="1"/>
      <c r="W482" s="1"/>
      <c r="X482" s="1"/>
      <c r="Y482" s="1"/>
      <c r="Z482" s="1"/>
    </row>
    <row r="483" spans="1:26" ht="24.75" customHeight="1">
      <c r="A483" s="1"/>
      <c r="B483" s="1"/>
      <c r="C483" s="1"/>
      <c r="D483" s="1"/>
      <c r="E483" s="1"/>
      <c r="F483" s="1"/>
      <c r="G483" s="1"/>
      <c r="H483" s="1"/>
      <c r="I483" s="1"/>
      <c r="J483" s="1"/>
      <c r="K483" s="1"/>
      <c r="L483" s="1"/>
      <c r="M483" s="1"/>
      <c r="N483" s="1"/>
      <c r="O483" s="1"/>
      <c r="P483" s="1"/>
      <c r="Q483" s="1"/>
      <c r="R483" s="1"/>
      <c r="S483" s="1"/>
      <c r="T483" s="1"/>
      <c r="U483" s="2"/>
      <c r="V483" s="1"/>
      <c r="W483" s="1"/>
      <c r="X483" s="1"/>
      <c r="Y483" s="1"/>
      <c r="Z483" s="1"/>
    </row>
    <row r="484" spans="1:26" ht="24.75" customHeight="1">
      <c r="A484" s="1"/>
      <c r="B484" s="1"/>
      <c r="C484" s="1"/>
      <c r="D484" s="1"/>
      <c r="E484" s="1"/>
      <c r="F484" s="1"/>
      <c r="G484" s="1"/>
      <c r="H484" s="1"/>
      <c r="I484" s="1"/>
      <c r="J484" s="1"/>
      <c r="K484" s="1"/>
      <c r="L484" s="1"/>
      <c r="M484" s="1"/>
      <c r="N484" s="1"/>
      <c r="O484" s="1"/>
      <c r="P484" s="1"/>
      <c r="Q484" s="1"/>
      <c r="R484" s="1"/>
      <c r="S484" s="1"/>
      <c r="T484" s="1"/>
      <c r="U484" s="2"/>
      <c r="V484" s="1"/>
      <c r="W484" s="1"/>
      <c r="X484" s="1"/>
      <c r="Y484" s="1"/>
      <c r="Z484" s="1"/>
    </row>
    <row r="485" spans="1:26" ht="24.75" customHeight="1">
      <c r="A485" s="1"/>
      <c r="B485" s="1"/>
      <c r="C485" s="1"/>
      <c r="D485" s="1"/>
      <c r="E485" s="1"/>
      <c r="F485" s="1"/>
      <c r="G485" s="1"/>
      <c r="H485" s="1"/>
      <c r="I485" s="1"/>
      <c r="J485" s="1"/>
      <c r="K485" s="1"/>
      <c r="L485" s="1"/>
      <c r="M485" s="1"/>
      <c r="N485" s="1"/>
      <c r="O485" s="1"/>
      <c r="P485" s="1"/>
      <c r="Q485" s="1"/>
      <c r="R485" s="1"/>
      <c r="S485" s="1"/>
      <c r="T485" s="1"/>
      <c r="U485" s="2"/>
      <c r="V485" s="1"/>
      <c r="W485" s="1"/>
      <c r="X485" s="1"/>
      <c r="Y485" s="1"/>
      <c r="Z485" s="1"/>
    </row>
    <row r="486" spans="1:26" ht="24.75" customHeight="1">
      <c r="A486" s="1"/>
      <c r="B486" s="1"/>
      <c r="C486" s="1"/>
      <c r="D486" s="1"/>
      <c r="E486" s="1"/>
      <c r="F486" s="1"/>
      <c r="G486" s="1"/>
      <c r="H486" s="1"/>
      <c r="I486" s="1"/>
      <c r="J486" s="1"/>
      <c r="K486" s="1"/>
      <c r="L486" s="1"/>
      <c r="M486" s="1"/>
      <c r="N486" s="1"/>
      <c r="O486" s="1"/>
      <c r="P486" s="1"/>
      <c r="Q486" s="1"/>
      <c r="R486" s="1"/>
      <c r="S486" s="1"/>
      <c r="T486" s="1"/>
      <c r="U486" s="2"/>
      <c r="V486" s="1"/>
      <c r="W486" s="1"/>
      <c r="X486" s="1"/>
      <c r="Y486" s="1"/>
      <c r="Z486" s="1"/>
    </row>
    <row r="487" spans="1:26" ht="24.75" customHeight="1">
      <c r="A487" s="1"/>
      <c r="B487" s="1"/>
      <c r="C487" s="1"/>
      <c r="D487" s="1"/>
      <c r="E487" s="1"/>
      <c r="F487" s="1"/>
      <c r="G487" s="1"/>
      <c r="H487" s="1"/>
      <c r="I487" s="1"/>
      <c r="J487" s="1"/>
      <c r="K487" s="1"/>
      <c r="L487" s="1"/>
      <c r="M487" s="1"/>
      <c r="N487" s="1"/>
      <c r="O487" s="1"/>
      <c r="P487" s="1"/>
      <c r="Q487" s="1"/>
      <c r="R487" s="1"/>
      <c r="S487" s="1"/>
      <c r="T487" s="1"/>
      <c r="U487" s="2"/>
      <c r="V487" s="1"/>
      <c r="W487" s="1"/>
      <c r="X487" s="1"/>
      <c r="Y487" s="1"/>
      <c r="Z487" s="1"/>
    </row>
    <row r="488" spans="1:26" ht="24.75" customHeight="1">
      <c r="A488" s="1"/>
      <c r="B488" s="1"/>
      <c r="C488" s="1"/>
      <c r="D488" s="1"/>
      <c r="E488" s="1"/>
      <c r="F488" s="1"/>
      <c r="G488" s="1"/>
      <c r="H488" s="1"/>
      <c r="I488" s="1"/>
      <c r="J488" s="1"/>
      <c r="K488" s="1"/>
      <c r="L488" s="1"/>
      <c r="M488" s="1"/>
      <c r="N488" s="1"/>
      <c r="O488" s="1"/>
      <c r="P488" s="1"/>
      <c r="Q488" s="1"/>
      <c r="R488" s="1"/>
      <c r="S488" s="1"/>
      <c r="T488" s="1"/>
      <c r="U488" s="2"/>
      <c r="V488" s="1"/>
      <c r="W488" s="1"/>
      <c r="X488" s="1"/>
      <c r="Y488" s="1"/>
      <c r="Z488" s="1"/>
    </row>
    <row r="489" spans="1:26" ht="24.75" customHeight="1">
      <c r="A489" s="1"/>
      <c r="B489" s="1"/>
      <c r="C489" s="1"/>
      <c r="D489" s="1"/>
      <c r="E489" s="1"/>
      <c r="F489" s="1"/>
      <c r="G489" s="1"/>
      <c r="H489" s="1"/>
      <c r="I489" s="1"/>
      <c r="J489" s="1"/>
      <c r="K489" s="1"/>
      <c r="L489" s="1"/>
      <c r="M489" s="1"/>
      <c r="N489" s="1"/>
      <c r="O489" s="1"/>
      <c r="P489" s="1"/>
      <c r="Q489" s="1"/>
      <c r="R489" s="1"/>
      <c r="S489" s="1"/>
      <c r="T489" s="1"/>
      <c r="U489" s="2"/>
      <c r="V489" s="1"/>
      <c r="W489" s="1"/>
      <c r="X489" s="1"/>
      <c r="Y489" s="1"/>
      <c r="Z489" s="1"/>
    </row>
    <row r="490" spans="1:26" ht="24.75" customHeight="1">
      <c r="A490" s="1"/>
      <c r="B490" s="1"/>
      <c r="C490" s="1"/>
      <c r="D490" s="1"/>
      <c r="E490" s="1"/>
      <c r="F490" s="1"/>
      <c r="G490" s="1"/>
      <c r="H490" s="1"/>
      <c r="I490" s="1"/>
      <c r="J490" s="1"/>
      <c r="K490" s="1"/>
      <c r="L490" s="1"/>
      <c r="M490" s="1"/>
      <c r="N490" s="1"/>
      <c r="O490" s="1"/>
      <c r="P490" s="1"/>
      <c r="Q490" s="1"/>
      <c r="R490" s="1"/>
      <c r="S490" s="1"/>
      <c r="T490" s="1"/>
      <c r="U490" s="2"/>
      <c r="V490" s="1"/>
      <c r="W490" s="1"/>
      <c r="X490" s="1"/>
      <c r="Y490" s="1"/>
      <c r="Z490" s="1"/>
    </row>
    <row r="491" spans="1:26" ht="24.75" customHeight="1">
      <c r="A491" s="1"/>
      <c r="B491" s="1"/>
      <c r="C491" s="1"/>
      <c r="D491" s="1"/>
      <c r="E491" s="1"/>
      <c r="F491" s="1"/>
      <c r="G491" s="1"/>
      <c r="H491" s="1"/>
      <c r="I491" s="1"/>
      <c r="J491" s="1"/>
      <c r="K491" s="1"/>
      <c r="L491" s="1"/>
      <c r="M491" s="1"/>
      <c r="N491" s="1"/>
      <c r="O491" s="1"/>
      <c r="P491" s="1"/>
      <c r="Q491" s="1"/>
      <c r="R491" s="1"/>
      <c r="S491" s="1"/>
      <c r="T491" s="1"/>
      <c r="U491" s="2"/>
      <c r="V491" s="1"/>
      <c r="W491" s="1"/>
      <c r="X491" s="1"/>
      <c r="Y491" s="1"/>
      <c r="Z491" s="1"/>
    </row>
    <row r="492" spans="1:26" ht="24.75" customHeight="1">
      <c r="A492" s="1"/>
      <c r="B492" s="1"/>
      <c r="C492" s="1"/>
      <c r="D492" s="1"/>
      <c r="E492" s="1"/>
      <c r="F492" s="1"/>
      <c r="G492" s="1"/>
      <c r="H492" s="1"/>
      <c r="I492" s="1"/>
      <c r="J492" s="1"/>
      <c r="K492" s="1"/>
      <c r="L492" s="1"/>
      <c r="M492" s="1"/>
      <c r="N492" s="1"/>
      <c r="O492" s="1"/>
      <c r="P492" s="1"/>
      <c r="Q492" s="1"/>
      <c r="R492" s="1"/>
      <c r="S492" s="1"/>
      <c r="T492" s="1"/>
      <c r="U492" s="2"/>
      <c r="V492" s="1"/>
      <c r="W492" s="1"/>
      <c r="X492" s="1"/>
      <c r="Y492" s="1"/>
      <c r="Z492" s="1"/>
    </row>
    <row r="493" spans="1:26" ht="24.75" customHeight="1">
      <c r="A493" s="1"/>
      <c r="B493" s="1"/>
      <c r="C493" s="1"/>
      <c r="D493" s="1"/>
      <c r="E493" s="1"/>
      <c r="F493" s="1"/>
      <c r="G493" s="1"/>
      <c r="H493" s="1"/>
      <c r="I493" s="1"/>
      <c r="J493" s="1"/>
      <c r="K493" s="1"/>
      <c r="L493" s="1"/>
      <c r="M493" s="1"/>
      <c r="N493" s="1"/>
      <c r="O493" s="1"/>
      <c r="P493" s="1"/>
      <c r="Q493" s="1"/>
      <c r="R493" s="1"/>
      <c r="S493" s="1"/>
      <c r="T493" s="1"/>
      <c r="U493" s="2"/>
      <c r="V493" s="1"/>
      <c r="W493" s="1"/>
      <c r="X493" s="1"/>
      <c r="Y493" s="1"/>
      <c r="Z493" s="1"/>
    </row>
    <row r="494" spans="1:26" ht="24.75" customHeight="1">
      <c r="A494" s="1"/>
      <c r="B494" s="1"/>
      <c r="C494" s="1"/>
      <c r="D494" s="1"/>
      <c r="E494" s="1"/>
      <c r="F494" s="1"/>
      <c r="G494" s="1"/>
      <c r="H494" s="1"/>
      <c r="I494" s="1"/>
      <c r="J494" s="1"/>
      <c r="K494" s="1"/>
      <c r="L494" s="1"/>
      <c r="M494" s="1"/>
      <c r="N494" s="1"/>
      <c r="O494" s="1"/>
      <c r="P494" s="1"/>
      <c r="Q494" s="1"/>
      <c r="R494" s="1"/>
      <c r="S494" s="1"/>
      <c r="T494" s="1"/>
      <c r="U494" s="2"/>
      <c r="V494" s="1"/>
      <c r="W494" s="1"/>
      <c r="X494" s="1"/>
      <c r="Y494" s="1"/>
      <c r="Z494" s="1"/>
    </row>
    <row r="495" spans="1:26" ht="24.75" customHeight="1">
      <c r="A495" s="1"/>
      <c r="B495" s="1"/>
      <c r="C495" s="1"/>
      <c r="D495" s="1"/>
      <c r="E495" s="1"/>
      <c r="F495" s="1"/>
      <c r="G495" s="1"/>
      <c r="H495" s="1"/>
      <c r="I495" s="1"/>
      <c r="J495" s="1"/>
      <c r="K495" s="1"/>
      <c r="L495" s="1"/>
      <c r="M495" s="1"/>
      <c r="N495" s="1"/>
      <c r="O495" s="1"/>
      <c r="P495" s="1"/>
      <c r="Q495" s="1"/>
      <c r="R495" s="1"/>
      <c r="S495" s="1"/>
      <c r="T495" s="1"/>
      <c r="U495" s="2"/>
      <c r="V495" s="1"/>
      <c r="W495" s="1"/>
      <c r="X495" s="1"/>
      <c r="Y495" s="1"/>
      <c r="Z495" s="1"/>
    </row>
    <row r="496" spans="1:26" ht="24.75" customHeight="1">
      <c r="A496" s="1"/>
      <c r="B496" s="1"/>
      <c r="C496" s="1"/>
      <c r="D496" s="1"/>
      <c r="E496" s="1"/>
      <c r="F496" s="1"/>
      <c r="G496" s="1"/>
      <c r="H496" s="1"/>
      <c r="I496" s="1"/>
      <c r="J496" s="1"/>
      <c r="K496" s="1"/>
      <c r="L496" s="1"/>
      <c r="M496" s="1"/>
      <c r="N496" s="1"/>
      <c r="O496" s="1"/>
      <c r="P496" s="1"/>
      <c r="Q496" s="1"/>
      <c r="R496" s="1"/>
      <c r="S496" s="1"/>
      <c r="T496" s="1"/>
      <c r="U496" s="2"/>
      <c r="V496" s="1"/>
      <c r="W496" s="1"/>
      <c r="X496" s="1"/>
      <c r="Y496" s="1"/>
      <c r="Z496" s="1"/>
    </row>
    <row r="497" spans="1:26" ht="24.75" customHeight="1">
      <c r="A497" s="1"/>
      <c r="B497" s="1"/>
      <c r="C497" s="1"/>
      <c r="D497" s="1"/>
      <c r="E497" s="1"/>
      <c r="F497" s="1"/>
      <c r="G497" s="1"/>
      <c r="H497" s="1"/>
      <c r="I497" s="1"/>
      <c r="J497" s="1"/>
      <c r="K497" s="1"/>
      <c r="L497" s="1"/>
      <c r="M497" s="1"/>
      <c r="N497" s="1"/>
      <c r="O497" s="1"/>
      <c r="P497" s="1"/>
      <c r="Q497" s="1"/>
      <c r="R497" s="1"/>
      <c r="S497" s="1"/>
      <c r="T497" s="1"/>
      <c r="U497" s="2"/>
      <c r="V497" s="1"/>
      <c r="W497" s="1"/>
      <c r="X497" s="1"/>
      <c r="Y497" s="1"/>
      <c r="Z497" s="1"/>
    </row>
    <row r="498" spans="1:26" ht="24.75" customHeight="1">
      <c r="A498" s="1"/>
      <c r="B498" s="1"/>
      <c r="C498" s="1"/>
      <c r="D498" s="1"/>
      <c r="E498" s="1"/>
      <c r="F498" s="1"/>
      <c r="G498" s="1"/>
      <c r="H498" s="1"/>
      <c r="I498" s="1"/>
      <c r="J498" s="1"/>
      <c r="K498" s="1"/>
      <c r="L498" s="1"/>
      <c r="M498" s="1"/>
      <c r="N498" s="1"/>
      <c r="O498" s="1"/>
      <c r="P498" s="1"/>
      <c r="Q498" s="1"/>
      <c r="R498" s="1"/>
      <c r="S498" s="1"/>
      <c r="T498" s="1"/>
      <c r="U498" s="2"/>
      <c r="V498" s="1"/>
      <c r="W498" s="1"/>
      <c r="X498" s="1"/>
      <c r="Y498" s="1"/>
      <c r="Z498" s="1"/>
    </row>
    <row r="499" spans="1:26" ht="24.75" customHeight="1">
      <c r="A499" s="1"/>
      <c r="B499" s="1"/>
      <c r="C499" s="1"/>
      <c r="D499" s="1"/>
      <c r="E499" s="1"/>
      <c r="F499" s="1"/>
      <c r="G499" s="1"/>
      <c r="H499" s="1"/>
      <c r="I499" s="1"/>
      <c r="J499" s="1"/>
      <c r="K499" s="1"/>
      <c r="L499" s="1"/>
      <c r="M499" s="1"/>
      <c r="N499" s="1"/>
      <c r="O499" s="1"/>
      <c r="P499" s="1"/>
      <c r="Q499" s="1"/>
      <c r="R499" s="1"/>
      <c r="S499" s="1"/>
      <c r="T499" s="1"/>
      <c r="U499" s="2"/>
      <c r="V499" s="1"/>
      <c r="W499" s="1"/>
      <c r="X499" s="1"/>
      <c r="Y499" s="1"/>
      <c r="Z499" s="1"/>
    </row>
    <row r="500" spans="1:26" ht="24.75" customHeight="1">
      <c r="A500" s="1"/>
      <c r="B500" s="1"/>
      <c r="C500" s="1"/>
      <c r="D500" s="1"/>
      <c r="E500" s="1"/>
      <c r="F500" s="1"/>
      <c r="G500" s="1"/>
      <c r="H500" s="1"/>
      <c r="I500" s="1"/>
      <c r="J500" s="1"/>
      <c r="K500" s="1"/>
      <c r="L500" s="1"/>
      <c r="M500" s="1"/>
      <c r="N500" s="1"/>
      <c r="O500" s="1"/>
      <c r="P500" s="1"/>
      <c r="Q500" s="1"/>
      <c r="R500" s="1"/>
      <c r="S500" s="1"/>
      <c r="T500" s="1"/>
      <c r="U500" s="2"/>
      <c r="V500" s="1"/>
      <c r="W500" s="1"/>
      <c r="X500" s="1"/>
      <c r="Y500" s="1"/>
      <c r="Z500" s="1"/>
    </row>
    <row r="501" spans="1:26" ht="24.75" customHeight="1">
      <c r="A501" s="1"/>
      <c r="B501" s="1"/>
      <c r="C501" s="1"/>
      <c r="D501" s="1"/>
      <c r="E501" s="1"/>
      <c r="F501" s="1"/>
      <c r="G501" s="1"/>
      <c r="H501" s="1"/>
      <c r="I501" s="1"/>
      <c r="J501" s="1"/>
      <c r="K501" s="1"/>
      <c r="L501" s="1"/>
      <c r="M501" s="1"/>
      <c r="N501" s="1"/>
      <c r="O501" s="1"/>
      <c r="P501" s="1"/>
      <c r="Q501" s="1"/>
      <c r="R501" s="1"/>
      <c r="S501" s="1"/>
      <c r="T501" s="1"/>
      <c r="U501" s="2"/>
      <c r="V501" s="1"/>
      <c r="W501" s="1"/>
      <c r="X501" s="1"/>
      <c r="Y501" s="1"/>
      <c r="Z501" s="1"/>
    </row>
    <row r="502" spans="1:26" ht="24.75" customHeight="1">
      <c r="A502" s="1"/>
      <c r="B502" s="1"/>
      <c r="C502" s="1"/>
      <c r="D502" s="1"/>
      <c r="E502" s="1"/>
      <c r="F502" s="1"/>
      <c r="G502" s="1"/>
      <c r="H502" s="1"/>
      <c r="I502" s="1"/>
      <c r="J502" s="1"/>
      <c r="K502" s="1"/>
      <c r="L502" s="1"/>
      <c r="M502" s="1"/>
      <c r="N502" s="1"/>
      <c r="O502" s="1"/>
      <c r="P502" s="1"/>
      <c r="Q502" s="1"/>
      <c r="R502" s="1"/>
      <c r="S502" s="1"/>
      <c r="T502" s="1"/>
      <c r="U502" s="2"/>
      <c r="V502" s="1"/>
      <c r="W502" s="1"/>
      <c r="X502" s="1"/>
      <c r="Y502" s="1"/>
      <c r="Z502" s="1"/>
    </row>
    <row r="503" spans="1:26" ht="24.75" customHeight="1">
      <c r="A503" s="1"/>
      <c r="B503" s="1"/>
      <c r="C503" s="1"/>
      <c r="D503" s="1"/>
      <c r="E503" s="1"/>
      <c r="F503" s="1"/>
      <c r="G503" s="1"/>
      <c r="H503" s="1"/>
      <c r="I503" s="1"/>
      <c r="J503" s="1"/>
      <c r="K503" s="1"/>
      <c r="L503" s="1"/>
      <c r="M503" s="1"/>
      <c r="N503" s="1"/>
      <c r="O503" s="1"/>
      <c r="P503" s="1"/>
      <c r="Q503" s="1"/>
      <c r="R503" s="1"/>
      <c r="S503" s="1"/>
      <c r="T503" s="1"/>
      <c r="U503" s="2"/>
      <c r="V503" s="1"/>
      <c r="W503" s="1"/>
      <c r="X503" s="1"/>
      <c r="Y503" s="1"/>
      <c r="Z503" s="1"/>
    </row>
    <row r="504" spans="1:26" ht="24.75" customHeight="1">
      <c r="A504" s="1"/>
      <c r="B504" s="1"/>
      <c r="C504" s="1"/>
      <c r="D504" s="1"/>
      <c r="E504" s="1"/>
      <c r="F504" s="1"/>
      <c r="G504" s="1"/>
      <c r="H504" s="1"/>
      <c r="I504" s="1"/>
      <c r="J504" s="1"/>
      <c r="K504" s="1"/>
      <c r="L504" s="1"/>
      <c r="M504" s="1"/>
      <c r="N504" s="1"/>
      <c r="O504" s="1"/>
      <c r="P504" s="1"/>
      <c r="Q504" s="1"/>
      <c r="R504" s="1"/>
      <c r="S504" s="1"/>
      <c r="T504" s="1"/>
      <c r="U504" s="2"/>
      <c r="V504" s="1"/>
      <c r="W504" s="1"/>
      <c r="X504" s="1"/>
      <c r="Y504" s="1"/>
      <c r="Z504" s="1"/>
    </row>
    <row r="505" spans="1:26" ht="24.75" customHeight="1">
      <c r="A505" s="1"/>
      <c r="B505" s="1"/>
      <c r="C505" s="1"/>
      <c r="D505" s="1"/>
      <c r="E505" s="1"/>
      <c r="F505" s="1"/>
      <c r="G505" s="1"/>
      <c r="H505" s="1"/>
      <c r="I505" s="1"/>
      <c r="J505" s="1"/>
      <c r="K505" s="1"/>
      <c r="L505" s="1"/>
      <c r="M505" s="1"/>
      <c r="N505" s="1"/>
      <c r="O505" s="1"/>
      <c r="P505" s="1"/>
      <c r="Q505" s="1"/>
      <c r="R505" s="1"/>
      <c r="S505" s="1"/>
      <c r="T505" s="1"/>
      <c r="U505" s="2"/>
      <c r="V505" s="1"/>
      <c r="W505" s="1"/>
      <c r="X505" s="1"/>
      <c r="Y505" s="1"/>
      <c r="Z505" s="1"/>
    </row>
    <row r="506" spans="1:26" ht="24.75" customHeight="1">
      <c r="A506" s="1"/>
      <c r="B506" s="1"/>
      <c r="C506" s="1"/>
      <c r="D506" s="1"/>
      <c r="E506" s="1"/>
      <c r="F506" s="1"/>
      <c r="G506" s="1"/>
      <c r="H506" s="1"/>
      <c r="I506" s="1"/>
      <c r="J506" s="1"/>
      <c r="K506" s="1"/>
      <c r="L506" s="1"/>
      <c r="M506" s="1"/>
      <c r="N506" s="1"/>
      <c r="O506" s="1"/>
      <c r="P506" s="1"/>
      <c r="Q506" s="1"/>
      <c r="R506" s="1"/>
      <c r="S506" s="1"/>
      <c r="T506" s="1"/>
      <c r="U506" s="2"/>
      <c r="V506" s="1"/>
      <c r="W506" s="1"/>
      <c r="X506" s="1"/>
      <c r="Y506" s="1"/>
      <c r="Z506" s="1"/>
    </row>
    <row r="507" spans="1:26" ht="24.75" customHeight="1">
      <c r="A507" s="1"/>
      <c r="B507" s="1"/>
      <c r="C507" s="1"/>
      <c r="D507" s="1"/>
      <c r="E507" s="1"/>
      <c r="F507" s="1"/>
      <c r="G507" s="1"/>
      <c r="H507" s="1"/>
      <c r="I507" s="1"/>
      <c r="J507" s="1"/>
      <c r="K507" s="1"/>
      <c r="L507" s="1"/>
      <c r="M507" s="1"/>
      <c r="N507" s="1"/>
      <c r="O507" s="1"/>
      <c r="P507" s="1"/>
      <c r="Q507" s="1"/>
      <c r="R507" s="1"/>
      <c r="S507" s="1"/>
      <c r="T507" s="1"/>
      <c r="U507" s="2"/>
      <c r="V507" s="1"/>
      <c r="W507" s="1"/>
      <c r="X507" s="1"/>
      <c r="Y507" s="1"/>
      <c r="Z507" s="1"/>
    </row>
    <row r="508" spans="1:26" ht="24.75" customHeight="1">
      <c r="A508" s="1"/>
      <c r="B508" s="1"/>
      <c r="C508" s="1"/>
      <c r="D508" s="1"/>
      <c r="E508" s="1"/>
      <c r="F508" s="1"/>
      <c r="G508" s="1"/>
      <c r="H508" s="1"/>
      <c r="I508" s="1"/>
      <c r="J508" s="1"/>
      <c r="K508" s="1"/>
      <c r="L508" s="1"/>
      <c r="M508" s="1"/>
      <c r="N508" s="1"/>
      <c r="O508" s="1"/>
      <c r="P508" s="1"/>
      <c r="Q508" s="1"/>
      <c r="R508" s="1"/>
      <c r="S508" s="1"/>
      <c r="T508" s="1"/>
      <c r="U508" s="2"/>
      <c r="V508" s="1"/>
      <c r="W508" s="1"/>
      <c r="X508" s="1"/>
      <c r="Y508" s="1"/>
      <c r="Z508" s="1"/>
    </row>
    <row r="509" spans="1:26" ht="24.75" customHeight="1">
      <c r="A509" s="1"/>
      <c r="B509" s="1"/>
      <c r="C509" s="1"/>
      <c r="D509" s="1"/>
      <c r="E509" s="1"/>
      <c r="F509" s="1"/>
      <c r="G509" s="1"/>
      <c r="H509" s="1"/>
      <c r="I509" s="1"/>
      <c r="J509" s="1"/>
      <c r="K509" s="1"/>
      <c r="L509" s="1"/>
      <c r="M509" s="1"/>
      <c r="N509" s="1"/>
      <c r="O509" s="1"/>
      <c r="P509" s="1"/>
      <c r="Q509" s="1"/>
      <c r="R509" s="1"/>
      <c r="S509" s="1"/>
      <c r="T509" s="1"/>
      <c r="U509" s="2"/>
      <c r="V509" s="1"/>
      <c r="W509" s="1"/>
      <c r="X509" s="1"/>
      <c r="Y509" s="1"/>
      <c r="Z509" s="1"/>
    </row>
    <row r="510" spans="1:26" ht="24.75" customHeight="1">
      <c r="A510" s="1"/>
      <c r="B510" s="1"/>
      <c r="C510" s="1"/>
      <c r="D510" s="1"/>
      <c r="E510" s="1"/>
      <c r="F510" s="1"/>
      <c r="G510" s="1"/>
      <c r="H510" s="1"/>
      <c r="I510" s="1"/>
      <c r="J510" s="1"/>
      <c r="K510" s="1"/>
      <c r="L510" s="1"/>
      <c r="M510" s="1"/>
      <c r="N510" s="1"/>
      <c r="O510" s="1"/>
      <c r="P510" s="1"/>
      <c r="Q510" s="1"/>
      <c r="R510" s="1"/>
      <c r="S510" s="1"/>
      <c r="T510" s="1"/>
      <c r="U510" s="2"/>
      <c r="V510" s="1"/>
      <c r="W510" s="1"/>
      <c r="X510" s="1"/>
      <c r="Y510" s="1"/>
      <c r="Z510" s="1"/>
    </row>
    <row r="511" spans="1:26" ht="24.75" customHeight="1">
      <c r="A511" s="1"/>
      <c r="B511" s="1"/>
      <c r="C511" s="1"/>
      <c r="D511" s="1"/>
      <c r="E511" s="1"/>
      <c r="F511" s="1"/>
      <c r="G511" s="1"/>
      <c r="H511" s="1"/>
      <c r="I511" s="1"/>
      <c r="J511" s="1"/>
      <c r="K511" s="1"/>
      <c r="L511" s="1"/>
      <c r="M511" s="1"/>
      <c r="N511" s="1"/>
      <c r="O511" s="1"/>
      <c r="P511" s="1"/>
      <c r="Q511" s="1"/>
      <c r="R511" s="1"/>
      <c r="S511" s="1"/>
      <c r="T511" s="1"/>
      <c r="U511" s="2"/>
      <c r="V511" s="1"/>
      <c r="W511" s="1"/>
      <c r="X511" s="1"/>
      <c r="Y511" s="1"/>
      <c r="Z511" s="1"/>
    </row>
    <row r="512" spans="1:26" ht="24.75" customHeight="1">
      <c r="A512" s="1"/>
      <c r="B512" s="1"/>
      <c r="C512" s="1"/>
      <c r="D512" s="1"/>
      <c r="E512" s="1"/>
      <c r="F512" s="1"/>
      <c r="G512" s="1"/>
      <c r="H512" s="1"/>
      <c r="I512" s="1"/>
      <c r="J512" s="1"/>
      <c r="K512" s="1"/>
      <c r="L512" s="1"/>
      <c r="M512" s="1"/>
      <c r="N512" s="1"/>
      <c r="O512" s="1"/>
      <c r="P512" s="1"/>
      <c r="Q512" s="1"/>
      <c r="R512" s="1"/>
      <c r="S512" s="1"/>
      <c r="T512" s="1"/>
      <c r="U512" s="2"/>
      <c r="V512" s="1"/>
      <c r="W512" s="1"/>
      <c r="X512" s="1"/>
      <c r="Y512" s="1"/>
      <c r="Z512" s="1"/>
    </row>
    <row r="513" spans="1:26" ht="24.75" customHeight="1">
      <c r="A513" s="1"/>
      <c r="B513" s="1"/>
      <c r="C513" s="1"/>
      <c r="D513" s="1"/>
      <c r="E513" s="1"/>
      <c r="F513" s="1"/>
      <c r="G513" s="1"/>
      <c r="H513" s="1"/>
      <c r="I513" s="1"/>
      <c r="J513" s="1"/>
      <c r="K513" s="1"/>
      <c r="L513" s="1"/>
      <c r="M513" s="1"/>
      <c r="N513" s="1"/>
      <c r="O513" s="1"/>
      <c r="P513" s="1"/>
      <c r="Q513" s="1"/>
      <c r="R513" s="1"/>
      <c r="S513" s="1"/>
      <c r="T513" s="1"/>
      <c r="U513" s="2"/>
      <c r="V513" s="1"/>
      <c r="W513" s="1"/>
      <c r="X513" s="1"/>
      <c r="Y513" s="1"/>
      <c r="Z513" s="1"/>
    </row>
    <row r="514" spans="1:26" ht="24.75" customHeight="1">
      <c r="A514" s="1"/>
      <c r="B514" s="1"/>
      <c r="C514" s="1"/>
      <c r="D514" s="1"/>
      <c r="E514" s="1"/>
      <c r="F514" s="1"/>
      <c r="G514" s="1"/>
      <c r="H514" s="1"/>
      <c r="I514" s="1"/>
      <c r="J514" s="1"/>
      <c r="K514" s="1"/>
      <c r="L514" s="1"/>
      <c r="M514" s="1"/>
      <c r="N514" s="1"/>
      <c r="O514" s="1"/>
      <c r="P514" s="1"/>
      <c r="Q514" s="1"/>
      <c r="R514" s="1"/>
      <c r="S514" s="1"/>
      <c r="T514" s="1"/>
      <c r="U514" s="2"/>
      <c r="V514" s="1"/>
      <c r="W514" s="1"/>
      <c r="X514" s="1"/>
      <c r="Y514" s="1"/>
      <c r="Z514" s="1"/>
    </row>
    <row r="515" spans="1:26" ht="24.75" customHeight="1">
      <c r="A515" s="1"/>
      <c r="B515" s="1"/>
      <c r="C515" s="1"/>
      <c r="D515" s="1"/>
      <c r="E515" s="1"/>
      <c r="F515" s="1"/>
      <c r="G515" s="1"/>
      <c r="H515" s="1"/>
      <c r="I515" s="1"/>
      <c r="J515" s="1"/>
      <c r="K515" s="1"/>
      <c r="L515" s="1"/>
      <c r="M515" s="1"/>
      <c r="N515" s="1"/>
      <c r="O515" s="1"/>
      <c r="P515" s="1"/>
      <c r="Q515" s="1"/>
      <c r="R515" s="1"/>
      <c r="S515" s="1"/>
      <c r="T515" s="1"/>
      <c r="U515" s="2"/>
      <c r="V515" s="1"/>
      <c r="W515" s="1"/>
      <c r="X515" s="1"/>
      <c r="Y515" s="1"/>
      <c r="Z515" s="1"/>
    </row>
    <row r="516" spans="1:26" ht="24.75" customHeight="1">
      <c r="A516" s="1"/>
      <c r="B516" s="1"/>
      <c r="C516" s="1"/>
      <c r="D516" s="1"/>
      <c r="E516" s="1"/>
      <c r="F516" s="1"/>
      <c r="G516" s="1"/>
      <c r="H516" s="1"/>
      <c r="I516" s="1"/>
      <c r="J516" s="1"/>
      <c r="K516" s="1"/>
      <c r="L516" s="1"/>
      <c r="M516" s="1"/>
      <c r="N516" s="1"/>
      <c r="O516" s="1"/>
      <c r="P516" s="1"/>
      <c r="Q516" s="1"/>
      <c r="R516" s="1"/>
      <c r="S516" s="1"/>
      <c r="T516" s="1"/>
      <c r="U516" s="2"/>
      <c r="V516" s="1"/>
      <c r="W516" s="1"/>
      <c r="X516" s="1"/>
      <c r="Y516" s="1"/>
      <c r="Z516" s="1"/>
    </row>
    <row r="517" spans="1:26" ht="24.75" customHeight="1">
      <c r="A517" s="1"/>
      <c r="B517" s="1"/>
      <c r="C517" s="1"/>
      <c r="D517" s="1"/>
      <c r="E517" s="1"/>
      <c r="F517" s="1"/>
      <c r="G517" s="1"/>
      <c r="H517" s="1"/>
      <c r="I517" s="1"/>
      <c r="J517" s="1"/>
      <c r="K517" s="1"/>
      <c r="L517" s="1"/>
      <c r="M517" s="1"/>
      <c r="N517" s="1"/>
      <c r="O517" s="1"/>
      <c r="P517" s="1"/>
      <c r="Q517" s="1"/>
      <c r="R517" s="1"/>
      <c r="S517" s="1"/>
      <c r="T517" s="1"/>
      <c r="U517" s="2"/>
      <c r="V517" s="1"/>
      <c r="W517" s="1"/>
      <c r="X517" s="1"/>
      <c r="Y517" s="1"/>
      <c r="Z517" s="1"/>
    </row>
    <row r="518" spans="1:26" ht="24.75" customHeight="1">
      <c r="A518" s="1"/>
      <c r="B518" s="1"/>
      <c r="C518" s="1"/>
      <c r="D518" s="1"/>
      <c r="E518" s="1"/>
      <c r="F518" s="1"/>
      <c r="G518" s="1"/>
      <c r="H518" s="1"/>
      <c r="I518" s="1"/>
      <c r="J518" s="1"/>
      <c r="K518" s="1"/>
      <c r="L518" s="1"/>
      <c r="M518" s="1"/>
      <c r="N518" s="1"/>
      <c r="O518" s="1"/>
      <c r="P518" s="1"/>
      <c r="Q518" s="1"/>
      <c r="R518" s="1"/>
      <c r="S518" s="1"/>
      <c r="T518" s="1"/>
      <c r="U518" s="2"/>
      <c r="V518" s="1"/>
      <c r="W518" s="1"/>
      <c r="X518" s="1"/>
      <c r="Y518" s="1"/>
      <c r="Z518" s="1"/>
    </row>
    <row r="519" spans="1:26" ht="24.75" customHeight="1">
      <c r="A519" s="1"/>
      <c r="B519" s="1"/>
      <c r="C519" s="1"/>
      <c r="D519" s="1"/>
      <c r="E519" s="1"/>
      <c r="F519" s="1"/>
      <c r="G519" s="1"/>
      <c r="H519" s="1"/>
      <c r="I519" s="1"/>
      <c r="J519" s="1"/>
      <c r="K519" s="1"/>
      <c r="L519" s="1"/>
      <c r="M519" s="1"/>
      <c r="N519" s="1"/>
      <c r="O519" s="1"/>
      <c r="P519" s="1"/>
      <c r="Q519" s="1"/>
      <c r="R519" s="1"/>
      <c r="S519" s="1"/>
      <c r="T519" s="1"/>
      <c r="U519" s="2"/>
      <c r="V519" s="1"/>
      <c r="W519" s="1"/>
      <c r="X519" s="1"/>
      <c r="Y519" s="1"/>
      <c r="Z519" s="1"/>
    </row>
    <row r="520" spans="1:26" ht="24.75" customHeight="1">
      <c r="A520" s="1"/>
      <c r="B520" s="1"/>
      <c r="C520" s="1"/>
      <c r="D520" s="1"/>
      <c r="E520" s="1"/>
      <c r="F520" s="1"/>
      <c r="G520" s="1"/>
      <c r="H520" s="1"/>
      <c r="I520" s="1"/>
      <c r="J520" s="1"/>
      <c r="K520" s="1"/>
      <c r="L520" s="1"/>
      <c r="M520" s="1"/>
      <c r="N520" s="1"/>
      <c r="O520" s="1"/>
      <c r="P520" s="1"/>
      <c r="Q520" s="1"/>
      <c r="R520" s="1"/>
      <c r="S520" s="1"/>
      <c r="T520" s="1"/>
      <c r="U520" s="2"/>
      <c r="V520" s="1"/>
      <c r="W520" s="1"/>
      <c r="X520" s="1"/>
      <c r="Y520" s="1"/>
      <c r="Z520" s="1"/>
    </row>
    <row r="521" spans="1:26" ht="24.75" customHeight="1">
      <c r="A521" s="1"/>
      <c r="B521" s="1"/>
      <c r="C521" s="1"/>
      <c r="D521" s="1"/>
      <c r="E521" s="1"/>
      <c r="F521" s="1"/>
      <c r="G521" s="1"/>
      <c r="H521" s="1"/>
      <c r="I521" s="1"/>
      <c r="J521" s="1"/>
      <c r="K521" s="1"/>
      <c r="L521" s="1"/>
      <c r="M521" s="1"/>
      <c r="N521" s="1"/>
      <c r="O521" s="1"/>
      <c r="P521" s="1"/>
      <c r="Q521" s="1"/>
      <c r="R521" s="1"/>
      <c r="S521" s="1"/>
      <c r="T521" s="1"/>
      <c r="U521" s="2"/>
      <c r="V521" s="1"/>
      <c r="W521" s="1"/>
      <c r="X521" s="1"/>
      <c r="Y521" s="1"/>
      <c r="Z521" s="1"/>
    </row>
    <row r="522" spans="1:26" ht="24.75" customHeight="1">
      <c r="A522" s="1"/>
      <c r="B522" s="1"/>
      <c r="C522" s="1"/>
      <c r="D522" s="1"/>
      <c r="E522" s="1"/>
      <c r="F522" s="1"/>
      <c r="G522" s="1"/>
      <c r="H522" s="1"/>
      <c r="I522" s="1"/>
      <c r="J522" s="1"/>
      <c r="K522" s="1"/>
      <c r="L522" s="1"/>
      <c r="M522" s="1"/>
      <c r="N522" s="1"/>
      <c r="O522" s="1"/>
      <c r="P522" s="1"/>
      <c r="Q522" s="1"/>
      <c r="R522" s="1"/>
      <c r="S522" s="1"/>
      <c r="T522" s="1"/>
      <c r="U522" s="2"/>
      <c r="V522" s="1"/>
      <c r="W522" s="1"/>
      <c r="X522" s="1"/>
      <c r="Y522" s="1"/>
      <c r="Z522" s="1"/>
    </row>
    <row r="523" spans="1:26" ht="24.75" customHeight="1">
      <c r="A523" s="1"/>
      <c r="B523" s="1"/>
      <c r="C523" s="1"/>
      <c r="D523" s="1"/>
      <c r="E523" s="1"/>
      <c r="F523" s="1"/>
      <c r="G523" s="1"/>
      <c r="H523" s="1"/>
      <c r="I523" s="1"/>
      <c r="J523" s="1"/>
      <c r="K523" s="1"/>
      <c r="L523" s="1"/>
      <c r="M523" s="1"/>
      <c r="N523" s="1"/>
      <c r="O523" s="1"/>
      <c r="P523" s="1"/>
      <c r="Q523" s="1"/>
      <c r="R523" s="1"/>
      <c r="S523" s="1"/>
      <c r="T523" s="1"/>
      <c r="U523" s="2"/>
      <c r="V523" s="1"/>
      <c r="W523" s="1"/>
      <c r="X523" s="1"/>
      <c r="Y523" s="1"/>
      <c r="Z523" s="1"/>
    </row>
    <row r="524" spans="1:26" ht="24.75" customHeight="1">
      <c r="A524" s="1"/>
      <c r="B524" s="1"/>
      <c r="C524" s="1"/>
      <c r="D524" s="1"/>
      <c r="E524" s="1"/>
      <c r="F524" s="1"/>
      <c r="G524" s="1"/>
      <c r="H524" s="1"/>
      <c r="I524" s="1"/>
      <c r="J524" s="1"/>
      <c r="K524" s="1"/>
      <c r="L524" s="1"/>
      <c r="M524" s="1"/>
      <c r="N524" s="1"/>
      <c r="O524" s="1"/>
      <c r="P524" s="1"/>
      <c r="Q524" s="1"/>
      <c r="R524" s="1"/>
      <c r="S524" s="1"/>
      <c r="T524" s="1"/>
      <c r="U524" s="2"/>
      <c r="V524" s="1"/>
      <c r="W524" s="1"/>
      <c r="X524" s="1"/>
      <c r="Y524" s="1"/>
      <c r="Z524" s="1"/>
    </row>
    <row r="525" spans="1:26" ht="24.75" customHeight="1">
      <c r="A525" s="1"/>
      <c r="B525" s="1"/>
      <c r="C525" s="1"/>
      <c r="D525" s="1"/>
      <c r="E525" s="1"/>
      <c r="F525" s="1"/>
      <c r="G525" s="1"/>
      <c r="H525" s="1"/>
      <c r="I525" s="1"/>
      <c r="J525" s="1"/>
      <c r="K525" s="1"/>
      <c r="L525" s="1"/>
      <c r="M525" s="1"/>
      <c r="N525" s="1"/>
      <c r="O525" s="1"/>
      <c r="P525" s="1"/>
      <c r="Q525" s="1"/>
      <c r="R525" s="1"/>
      <c r="S525" s="1"/>
      <c r="T525" s="1"/>
      <c r="U525" s="2"/>
      <c r="V525" s="1"/>
      <c r="W525" s="1"/>
      <c r="X525" s="1"/>
      <c r="Y525" s="1"/>
      <c r="Z525" s="1"/>
    </row>
    <row r="526" spans="1:26" ht="24.75" customHeight="1">
      <c r="A526" s="1"/>
      <c r="B526" s="1"/>
      <c r="C526" s="1"/>
      <c r="D526" s="1"/>
      <c r="E526" s="1"/>
      <c r="F526" s="1"/>
      <c r="G526" s="1"/>
      <c r="H526" s="1"/>
      <c r="I526" s="1"/>
      <c r="J526" s="1"/>
      <c r="K526" s="1"/>
      <c r="L526" s="1"/>
      <c r="M526" s="1"/>
      <c r="N526" s="1"/>
      <c r="O526" s="1"/>
      <c r="P526" s="1"/>
      <c r="Q526" s="1"/>
      <c r="R526" s="1"/>
      <c r="S526" s="1"/>
      <c r="T526" s="1"/>
      <c r="U526" s="2"/>
      <c r="V526" s="1"/>
      <c r="W526" s="1"/>
      <c r="X526" s="1"/>
      <c r="Y526" s="1"/>
      <c r="Z526" s="1"/>
    </row>
    <row r="527" spans="1:26" ht="24.75" customHeight="1">
      <c r="A527" s="1"/>
      <c r="B527" s="1"/>
      <c r="C527" s="1"/>
      <c r="D527" s="1"/>
      <c r="E527" s="1"/>
      <c r="F527" s="1"/>
      <c r="G527" s="1"/>
      <c r="H527" s="1"/>
      <c r="I527" s="1"/>
      <c r="J527" s="1"/>
      <c r="K527" s="1"/>
      <c r="L527" s="1"/>
      <c r="M527" s="1"/>
      <c r="N527" s="1"/>
      <c r="O527" s="1"/>
      <c r="P527" s="1"/>
      <c r="Q527" s="1"/>
      <c r="R527" s="1"/>
      <c r="S527" s="1"/>
      <c r="T527" s="1"/>
      <c r="U527" s="2"/>
      <c r="V527" s="1"/>
      <c r="W527" s="1"/>
      <c r="X527" s="1"/>
      <c r="Y527" s="1"/>
      <c r="Z527" s="1"/>
    </row>
    <row r="528" spans="1:26" ht="24.75" customHeight="1">
      <c r="A528" s="1"/>
      <c r="B528" s="1"/>
      <c r="C528" s="1"/>
      <c r="D528" s="1"/>
      <c r="E528" s="1"/>
      <c r="F528" s="1"/>
      <c r="G528" s="1"/>
      <c r="H528" s="1"/>
      <c r="I528" s="1"/>
      <c r="J528" s="1"/>
      <c r="K528" s="1"/>
      <c r="L528" s="1"/>
      <c r="M528" s="1"/>
      <c r="N528" s="1"/>
      <c r="O528" s="1"/>
      <c r="P528" s="1"/>
      <c r="Q528" s="1"/>
      <c r="R528" s="1"/>
      <c r="S528" s="1"/>
      <c r="T528" s="1"/>
      <c r="U528" s="2"/>
      <c r="V528" s="1"/>
      <c r="W528" s="1"/>
      <c r="X528" s="1"/>
      <c r="Y528" s="1"/>
      <c r="Z528" s="1"/>
    </row>
    <row r="529" spans="1:26" ht="24.75" customHeight="1">
      <c r="A529" s="1"/>
      <c r="B529" s="1"/>
      <c r="C529" s="1"/>
      <c r="D529" s="1"/>
      <c r="E529" s="1"/>
      <c r="F529" s="1"/>
      <c r="G529" s="1"/>
      <c r="H529" s="1"/>
      <c r="I529" s="1"/>
      <c r="J529" s="1"/>
      <c r="K529" s="1"/>
      <c r="L529" s="1"/>
      <c r="M529" s="1"/>
      <c r="N529" s="1"/>
      <c r="O529" s="1"/>
      <c r="P529" s="1"/>
      <c r="Q529" s="1"/>
      <c r="R529" s="1"/>
      <c r="S529" s="1"/>
      <c r="T529" s="1"/>
      <c r="U529" s="2"/>
      <c r="V529" s="1"/>
      <c r="W529" s="1"/>
      <c r="X529" s="1"/>
      <c r="Y529" s="1"/>
      <c r="Z529" s="1"/>
    </row>
    <row r="530" spans="1:26" ht="24.75" customHeight="1">
      <c r="A530" s="1"/>
      <c r="B530" s="1"/>
      <c r="C530" s="1"/>
      <c r="D530" s="1"/>
      <c r="E530" s="1"/>
      <c r="F530" s="1"/>
      <c r="G530" s="1"/>
      <c r="H530" s="1"/>
      <c r="I530" s="1"/>
      <c r="J530" s="1"/>
      <c r="K530" s="1"/>
      <c r="L530" s="1"/>
      <c r="M530" s="1"/>
      <c r="N530" s="1"/>
      <c r="O530" s="1"/>
      <c r="P530" s="1"/>
      <c r="Q530" s="1"/>
      <c r="R530" s="1"/>
      <c r="S530" s="1"/>
      <c r="T530" s="1"/>
      <c r="U530" s="2"/>
      <c r="V530" s="1"/>
      <c r="W530" s="1"/>
      <c r="X530" s="1"/>
      <c r="Y530" s="1"/>
      <c r="Z530" s="1"/>
    </row>
    <row r="531" spans="1:26" ht="24.75" customHeight="1">
      <c r="A531" s="1"/>
      <c r="B531" s="1"/>
      <c r="C531" s="1"/>
      <c r="D531" s="1"/>
      <c r="E531" s="1"/>
      <c r="F531" s="1"/>
      <c r="G531" s="1"/>
      <c r="H531" s="1"/>
      <c r="I531" s="1"/>
      <c r="J531" s="1"/>
      <c r="K531" s="1"/>
      <c r="L531" s="1"/>
      <c r="M531" s="1"/>
      <c r="N531" s="1"/>
      <c r="O531" s="1"/>
      <c r="P531" s="1"/>
      <c r="Q531" s="1"/>
      <c r="R531" s="1"/>
      <c r="S531" s="1"/>
      <c r="T531" s="1"/>
      <c r="U531" s="2"/>
      <c r="V531" s="1"/>
      <c r="W531" s="1"/>
      <c r="X531" s="1"/>
      <c r="Y531" s="1"/>
      <c r="Z531" s="1"/>
    </row>
    <row r="532" spans="1:26" ht="24.75" customHeight="1">
      <c r="A532" s="1"/>
      <c r="B532" s="1"/>
      <c r="C532" s="1"/>
      <c r="D532" s="1"/>
      <c r="E532" s="1"/>
      <c r="F532" s="1"/>
      <c r="G532" s="1"/>
      <c r="H532" s="1"/>
      <c r="I532" s="1"/>
      <c r="J532" s="1"/>
      <c r="K532" s="1"/>
      <c r="L532" s="1"/>
      <c r="M532" s="1"/>
      <c r="N532" s="1"/>
      <c r="O532" s="1"/>
      <c r="P532" s="1"/>
      <c r="Q532" s="1"/>
      <c r="R532" s="1"/>
      <c r="S532" s="1"/>
      <c r="T532" s="1"/>
      <c r="U532" s="2"/>
      <c r="V532" s="1"/>
      <c r="W532" s="1"/>
      <c r="X532" s="1"/>
      <c r="Y532" s="1"/>
      <c r="Z532" s="1"/>
    </row>
    <row r="533" spans="1:26" ht="24.75" customHeight="1">
      <c r="A533" s="1"/>
      <c r="B533" s="1"/>
      <c r="C533" s="1"/>
      <c r="D533" s="1"/>
      <c r="E533" s="1"/>
      <c r="F533" s="1"/>
      <c r="G533" s="1"/>
      <c r="H533" s="1"/>
      <c r="I533" s="1"/>
      <c r="J533" s="1"/>
      <c r="K533" s="1"/>
      <c r="L533" s="1"/>
      <c r="M533" s="1"/>
      <c r="N533" s="1"/>
      <c r="O533" s="1"/>
      <c r="P533" s="1"/>
      <c r="Q533" s="1"/>
      <c r="R533" s="1"/>
      <c r="S533" s="1"/>
      <c r="T533" s="1"/>
      <c r="U533" s="2"/>
      <c r="V533" s="1"/>
      <c r="W533" s="1"/>
      <c r="X533" s="1"/>
      <c r="Y533" s="1"/>
      <c r="Z533" s="1"/>
    </row>
    <row r="534" spans="1:26" ht="24.75" customHeight="1">
      <c r="A534" s="1"/>
      <c r="B534" s="1"/>
      <c r="C534" s="1"/>
      <c r="D534" s="1"/>
      <c r="E534" s="1"/>
      <c r="F534" s="1"/>
      <c r="G534" s="1"/>
      <c r="H534" s="1"/>
      <c r="I534" s="1"/>
      <c r="J534" s="1"/>
      <c r="K534" s="1"/>
      <c r="L534" s="1"/>
      <c r="M534" s="1"/>
      <c r="N534" s="1"/>
      <c r="O534" s="1"/>
      <c r="P534" s="1"/>
      <c r="Q534" s="1"/>
      <c r="R534" s="1"/>
      <c r="S534" s="1"/>
      <c r="T534" s="1"/>
      <c r="U534" s="2"/>
      <c r="V534" s="1"/>
      <c r="W534" s="1"/>
      <c r="X534" s="1"/>
      <c r="Y534" s="1"/>
      <c r="Z534" s="1"/>
    </row>
    <row r="535" spans="1:26" ht="24.75" customHeight="1">
      <c r="A535" s="1"/>
      <c r="B535" s="1"/>
      <c r="C535" s="1"/>
      <c r="D535" s="1"/>
      <c r="E535" s="1"/>
      <c r="F535" s="1"/>
      <c r="G535" s="1"/>
      <c r="H535" s="1"/>
      <c r="I535" s="1"/>
      <c r="J535" s="1"/>
      <c r="K535" s="1"/>
      <c r="L535" s="1"/>
      <c r="M535" s="1"/>
      <c r="N535" s="1"/>
      <c r="O535" s="1"/>
      <c r="P535" s="1"/>
      <c r="Q535" s="1"/>
      <c r="R535" s="1"/>
      <c r="S535" s="1"/>
      <c r="T535" s="1"/>
      <c r="U535" s="2"/>
      <c r="V535" s="1"/>
      <c r="W535" s="1"/>
      <c r="X535" s="1"/>
      <c r="Y535" s="1"/>
      <c r="Z535" s="1"/>
    </row>
    <row r="536" spans="1:26" ht="24.75" customHeight="1">
      <c r="A536" s="1"/>
      <c r="B536" s="1"/>
      <c r="C536" s="1"/>
      <c r="D536" s="1"/>
      <c r="E536" s="1"/>
      <c r="F536" s="1"/>
      <c r="G536" s="1"/>
      <c r="H536" s="1"/>
      <c r="I536" s="1"/>
      <c r="J536" s="1"/>
      <c r="K536" s="1"/>
      <c r="L536" s="1"/>
      <c r="M536" s="1"/>
      <c r="N536" s="1"/>
      <c r="O536" s="1"/>
      <c r="P536" s="1"/>
      <c r="Q536" s="1"/>
      <c r="R536" s="1"/>
      <c r="S536" s="1"/>
      <c r="T536" s="1"/>
      <c r="U536" s="2"/>
      <c r="V536" s="1"/>
      <c r="W536" s="1"/>
      <c r="X536" s="1"/>
      <c r="Y536" s="1"/>
      <c r="Z536" s="1"/>
    </row>
    <row r="537" spans="1:26" ht="24.75" customHeight="1">
      <c r="A537" s="1"/>
      <c r="B537" s="1"/>
      <c r="C537" s="1"/>
      <c r="D537" s="1"/>
      <c r="E537" s="1"/>
      <c r="F537" s="1"/>
      <c r="G537" s="1"/>
      <c r="H537" s="1"/>
      <c r="I537" s="1"/>
      <c r="J537" s="1"/>
      <c r="K537" s="1"/>
      <c r="L537" s="1"/>
      <c r="M537" s="1"/>
      <c r="N537" s="1"/>
      <c r="O537" s="1"/>
      <c r="P537" s="1"/>
      <c r="Q537" s="1"/>
      <c r="R537" s="1"/>
      <c r="S537" s="1"/>
      <c r="T537" s="1"/>
      <c r="U537" s="2"/>
      <c r="V537" s="1"/>
      <c r="W537" s="1"/>
      <c r="X537" s="1"/>
      <c r="Y537" s="1"/>
      <c r="Z537" s="1"/>
    </row>
    <row r="538" spans="1:26" ht="24.75" customHeight="1">
      <c r="A538" s="1"/>
      <c r="B538" s="1"/>
      <c r="C538" s="1"/>
      <c r="D538" s="1"/>
      <c r="E538" s="1"/>
      <c r="F538" s="1"/>
      <c r="G538" s="1"/>
      <c r="H538" s="1"/>
      <c r="I538" s="1"/>
      <c r="J538" s="1"/>
      <c r="K538" s="1"/>
      <c r="L538" s="1"/>
      <c r="M538" s="1"/>
      <c r="N538" s="1"/>
      <c r="O538" s="1"/>
      <c r="P538" s="1"/>
      <c r="Q538" s="1"/>
      <c r="R538" s="1"/>
      <c r="S538" s="1"/>
      <c r="T538" s="1"/>
      <c r="U538" s="2"/>
      <c r="V538" s="1"/>
      <c r="W538" s="1"/>
      <c r="X538" s="1"/>
      <c r="Y538" s="1"/>
      <c r="Z538" s="1"/>
    </row>
    <row r="539" spans="1:26" ht="24.75" customHeight="1">
      <c r="A539" s="1"/>
      <c r="B539" s="1"/>
      <c r="C539" s="1"/>
      <c r="D539" s="1"/>
      <c r="E539" s="1"/>
      <c r="F539" s="1"/>
      <c r="G539" s="1"/>
      <c r="H539" s="1"/>
      <c r="I539" s="1"/>
      <c r="J539" s="1"/>
      <c r="K539" s="1"/>
      <c r="L539" s="1"/>
      <c r="M539" s="1"/>
      <c r="N539" s="1"/>
      <c r="O539" s="1"/>
      <c r="P539" s="1"/>
      <c r="Q539" s="1"/>
      <c r="R539" s="1"/>
      <c r="S539" s="1"/>
      <c r="T539" s="1"/>
      <c r="U539" s="2"/>
      <c r="V539" s="1"/>
      <c r="W539" s="1"/>
      <c r="X539" s="1"/>
      <c r="Y539" s="1"/>
      <c r="Z539" s="1"/>
    </row>
    <row r="540" spans="1:26" ht="24.75" customHeight="1">
      <c r="A540" s="1"/>
      <c r="B540" s="1"/>
      <c r="C540" s="1"/>
      <c r="D540" s="1"/>
      <c r="E540" s="1"/>
      <c r="F540" s="1"/>
      <c r="G540" s="1"/>
      <c r="H540" s="1"/>
      <c r="I540" s="1"/>
      <c r="J540" s="1"/>
      <c r="K540" s="1"/>
      <c r="L540" s="1"/>
      <c r="M540" s="1"/>
      <c r="N540" s="1"/>
      <c r="O540" s="1"/>
      <c r="P540" s="1"/>
      <c r="Q540" s="1"/>
      <c r="R540" s="1"/>
      <c r="S540" s="1"/>
      <c r="T540" s="1"/>
      <c r="U540" s="2"/>
      <c r="V540" s="1"/>
      <c r="W540" s="1"/>
      <c r="X540" s="1"/>
      <c r="Y540" s="1"/>
      <c r="Z540" s="1"/>
    </row>
    <row r="541" spans="1:26" ht="24.75" customHeight="1">
      <c r="A541" s="1"/>
      <c r="B541" s="1"/>
      <c r="C541" s="1"/>
      <c r="D541" s="1"/>
      <c r="E541" s="1"/>
      <c r="F541" s="1"/>
      <c r="G541" s="1"/>
      <c r="H541" s="1"/>
      <c r="I541" s="1"/>
      <c r="J541" s="1"/>
      <c r="K541" s="1"/>
      <c r="L541" s="1"/>
      <c r="M541" s="1"/>
      <c r="N541" s="1"/>
      <c r="O541" s="1"/>
      <c r="P541" s="1"/>
      <c r="Q541" s="1"/>
      <c r="R541" s="1"/>
      <c r="S541" s="1"/>
      <c r="T541" s="1"/>
      <c r="U541" s="2"/>
      <c r="V541" s="1"/>
      <c r="W541" s="1"/>
      <c r="X541" s="1"/>
      <c r="Y541" s="1"/>
      <c r="Z541" s="1"/>
    </row>
    <row r="542" spans="1:26" ht="24.75" customHeight="1">
      <c r="A542" s="1"/>
      <c r="B542" s="1"/>
      <c r="C542" s="1"/>
      <c r="D542" s="1"/>
      <c r="E542" s="1"/>
      <c r="F542" s="1"/>
      <c r="G542" s="1"/>
      <c r="H542" s="1"/>
      <c r="I542" s="1"/>
      <c r="J542" s="1"/>
      <c r="K542" s="1"/>
      <c r="L542" s="1"/>
      <c r="M542" s="1"/>
      <c r="N542" s="1"/>
      <c r="O542" s="1"/>
      <c r="P542" s="1"/>
      <c r="Q542" s="1"/>
      <c r="R542" s="1"/>
      <c r="S542" s="1"/>
      <c r="T542" s="1"/>
      <c r="U542" s="2"/>
      <c r="V542" s="1"/>
      <c r="W542" s="1"/>
      <c r="X542" s="1"/>
      <c r="Y542" s="1"/>
      <c r="Z542" s="1"/>
    </row>
    <row r="543" spans="1:26" ht="24.75" customHeight="1">
      <c r="A543" s="1"/>
      <c r="B543" s="1"/>
      <c r="C543" s="1"/>
      <c r="D543" s="1"/>
      <c r="E543" s="1"/>
      <c r="F543" s="1"/>
      <c r="G543" s="1"/>
      <c r="H543" s="1"/>
      <c r="I543" s="1"/>
      <c r="J543" s="1"/>
      <c r="K543" s="1"/>
      <c r="L543" s="1"/>
      <c r="M543" s="1"/>
      <c r="N543" s="1"/>
      <c r="O543" s="1"/>
      <c r="P543" s="1"/>
      <c r="Q543" s="1"/>
      <c r="R543" s="1"/>
      <c r="S543" s="1"/>
      <c r="T543" s="1"/>
      <c r="U543" s="2"/>
      <c r="V543" s="1"/>
      <c r="W543" s="1"/>
      <c r="X543" s="1"/>
      <c r="Y543" s="1"/>
      <c r="Z543" s="1"/>
    </row>
    <row r="544" spans="1:26" ht="24.75" customHeight="1">
      <c r="A544" s="1"/>
      <c r="B544" s="1"/>
      <c r="C544" s="1"/>
      <c r="D544" s="1"/>
      <c r="E544" s="1"/>
      <c r="F544" s="1"/>
      <c r="G544" s="1"/>
      <c r="H544" s="1"/>
      <c r="I544" s="1"/>
      <c r="J544" s="1"/>
      <c r="K544" s="1"/>
      <c r="L544" s="1"/>
      <c r="M544" s="1"/>
      <c r="N544" s="1"/>
      <c r="O544" s="1"/>
      <c r="P544" s="1"/>
      <c r="Q544" s="1"/>
      <c r="R544" s="1"/>
      <c r="S544" s="1"/>
      <c r="T544" s="1"/>
      <c r="U544" s="2"/>
      <c r="V544" s="1"/>
      <c r="W544" s="1"/>
      <c r="X544" s="1"/>
      <c r="Y544" s="1"/>
      <c r="Z544" s="1"/>
    </row>
    <row r="545" spans="1:26" ht="24.75" customHeight="1">
      <c r="A545" s="1"/>
      <c r="B545" s="1"/>
      <c r="C545" s="1"/>
      <c r="D545" s="1"/>
      <c r="E545" s="1"/>
      <c r="F545" s="1"/>
      <c r="G545" s="1"/>
      <c r="H545" s="1"/>
      <c r="I545" s="1"/>
      <c r="J545" s="1"/>
      <c r="K545" s="1"/>
      <c r="L545" s="1"/>
      <c r="M545" s="1"/>
      <c r="N545" s="1"/>
      <c r="O545" s="1"/>
      <c r="P545" s="1"/>
      <c r="Q545" s="1"/>
      <c r="R545" s="1"/>
      <c r="S545" s="1"/>
      <c r="T545" s="1"/>
      <c r="U545" s="2"/>
      <c r="V545" s="1"/>
      <c r="W545" s="1"/>
      <c r="X545" s="1"/>
      <c r="Y545" s="1"/>
      <c r="Z545" s="1"/>
    </row>
    <row r="546" spans="1:26" ht="24.75" customHeight="1">
      <c r="A546" s="1"/>
      <c r="B546" s="1"/>
      <c r="C546" s="1"/>
      <c r="D546" s="1"/>
      <c r="E546" s="1"/>
      <c r="F546" s="1"/>
      <c r="G546" s="1"/>
      <c r="H546" s="1"/>
      <c r="I546" s="1"/>
      <c r="J546" s="1"/>
      <c r="K546" s="1"/>
      <c r="L546" s="1"/>
      <c r="M546" s="1"/>
      <c r="N546" s="1"/>
      <c r="O546" s="1"/>
      <c r="P546" s="1"/>
      <c r="Q546" s="1"/>
      <c r="R546" s="1"/>
      <c r="S546" s="1"/>
      <c r="T546" s="1"/>
      <c r="U546" s="2"/>
      <c r="V546" s="1"/>
      <c r="W546" s="1"/>
      <c r="X546" s="1"/>
      <c r="Y546" s="1"/>
      <c r="Z546" s="1"/>
    </row>
    <row r="547" spans="1:26" ht="24.75" customHeight="1">
      <c r="A547" s="1"/>
      <c r="B547" s="1"/>
      <c r="C547" s="1"/>
      <c r="D547" s="1"/>
      <c r="E547" s="1"/>
      <c r="F547" s="1"/>
      <c r="G547" s="1"/>
      <c r="H547" s="1"/>
      <c r="I547" s="1"/>
      <c r="J547" s="1"/>
      <c r="K547" s="1"/>
      <c r="L547" s="1"/>
      <c r="M547" s="1"/>
      <c r="N547" s="1"/>
      <c r="O547" s="1"/>
      <c r="P547" s="1"/>
      <c r="Q547" s="1"/>
      <c r="R547" s="1"/>
      <c r="S547" s="1"/>
      <c r="T547" s="1"/>
      <c r="U547" s="2"/>
      <c r="V547" s="1"/>
      <c r="W547" s="1"/>
      <c r="X547" s="1"/>
      <c r="Y547" s="1"/>
      <c r="Z547" s="1"/>
    </row>
    <row r="548" spans="1:26" ht="24.75" customHeight="1">
      <c r="A548" s="1"/>
      <c r="B548" s="1"/>
      <c r="C548" s="1"/>
      <c r="D548" s="1"/>
      <c r="E548" s="1"/>
      <c r="F548" s="1"/>
      <c r="G548" s="1"/>
      <c r="H548" s="1"/>
      <c r="I548" s="1"/>
      <c r="J548" s="1"/>
      <c r="K548" s="1"/>
      <c r="L548" s="1"/>
      <c r="M548" s="1"/>
      <c r="N548" s="1"/>
      <c r="O548" s="1"/>
      <c r="P548" s="1"/>
      <c r="Q548" s="1"/>
      <c r="R548" s="1"/>
      <c r="S548" s="1"/>
      <c r="T548" s="1"/>
      <c r="U548" s="2"/>
      <c r="V548" s="1"/>
      <c r="W548" s="1"/>
      <c r="X548" s="1"/>
      <c r="Y548" s="1"/>
      <c r="Z548" s="1"/>
    </row>
    <row r="549" spans="1:26" ht="24.75" customHeight="1">
      <c r="A549" s="1"/>
      <c r="B549" s="1"/>
      <c r="C549" s="1"/>
      <c r="D549" s="1"/>
      <c r="E549" s="1"/>
      <c r="F549" s="1"/>
      <c r="G549" s="1"/>
      <c r="H549" s="1"/>
      <c r="I549" s="1"/>
      <c r="J549" s="1"/>
      <c r="K549" s="1"/>
      <c r="L549" s="1"/>
      <c r="M549" s="1"/>
      <c r="N549" s="1"/>
      <c r="O549" s="1"/>
      <c r="P549" s="1"/>
      <c r="Q549" s="1"/>
      <c r="R549" s="1"/>
      <c r="S549" s="1"/>
      <c r="T549" s="1"/>
      <c r="U549" s="2"/>
      <c r="V549" s="1"/>
      <c r="W549" s="1"/>
      <c r="X549" s="1"/>
      <c r="Y549" s="1"/>
      <c r="Z549" s="1"/>
    </row>
    <row r="550" spans="1:26" ht="24.75" customHeight="1">
      <c r="A550" s="1"/>
      <c r="B550" s="1"/>
      <c r="C550" s="1"/>
      <c r="D550" s="1"/>
      <c r="E550" s="1"/>
      <c r="F550" s="1"/>
      <c r="G550" s="1"/>
      <c r="H550" s="1"/>
      <c r="I550" s="1"/>
      <c r="J550" s="1"/>
      <c r="K550" s="1"/>
      <c r="L550" s="1"/>
      <c r="M550" s="1"/>
      <c r="N550" s="1"/>
      <c r="O550" s="1"/>
      <c r="P550" s="1"/>
      <c r="Q550" s="1"/>
      <c r="R550" s="1"/>
      <c r="S550" s="1"/>
      <c r="T550" s="1"/>
      <c r="U550" s="2"/>
      <c r="V550" s="1"/>
      <c r="W550" s="1"/>
      <c r="X550" s="1"/>
      <c r="Y550" s="1"/>
      <c r="Z550" s="1"/>
    </row>
    <row r="551" spans="1:26" ht="24.75" customHeight="1">
      <c r="A551" s="1"/>
      <c r="B551" s="1"/>
      <c r="C551" s="1"/>
      <c r="D551" s="1"/>
      <c r="E551" s="1"/>
      <c r="F551" s="1"/>
      <c r="G551" s="1"/>
      <c r="H551" s="1"/>
      <c r="I551" s="1"/>
      <c r="J551" s="1"/>
      <c r="K551" s="1"/>
      <c r="L551" s="1"/>
      <c r="M551" s="1"/>
      <c r="N551" s="1"/>
      <c r="O551" s="1"/>
      <c r="P551" s="1"/>
      <c r="Q551" s="1"/>
      <c r="R551" s="1"/>
      <c r="S551" s="1"/>
      <c r="T551" s="1"/>
      <c r="U551" s="2"/>
      <c r="V551" s="1"/>
      <c r="W551" s="1"/>
      <c r="X551" s="1"/>
      <c r="Y551" s="1"/>
      <c r="Z551" s="1"/>
    </row>
    <row r="552" spans="1:26" ht="24.75" customHeight="1">
      <c r="A552" s="1"/>
      <c r="B552" s="1"/>
      <c r="C552" s="1"/>
      <c r="D552" s="1"/>
      <c r="E552" s="1"/>
      <c r="F552" s="1"/>
      <c r="G552" s="1"/>
      <c r="H552" s="1"/>
      <c r="I552" s="1"/>
      <c r="J552" s="1"/>
      <c r="K552" s="1"/>
      <c r="L552" s="1"/>
      <c r="M552" s="1"/>
      <c r="N552" s="1"/>
      <c r="O552" s="1"/>
      <c r="P552" s="1"/>
      <c r="Q552" s="1"/>
      <c r="R552" s="1"/>
      <c r="S552" s="1"/>
      <c r="T552" s="1"/>
      <c r="U552" s="2"/>
      <c r="V552" s="1"/>
      <c r="W552" s="1"/>
      <c r="X552" s="1"/>
      <c r="Y552" s="1"/>
      <c r="Z552" s="1"/>
    </row>
    <row r="553" spans="1:26" ht="24.75" customHeight="1">
      <c r="A553" s="1"/>
      <c r="B553" s="1"/>
      <c r="C553" s="1"/>
      <c r="D553" s="1"/>
      <c r="E553" s="1"/>
      <c r="F553" s="1"/>
      <c r="G553" s="1"/>
      <c r="H553" s="1"/>
      <c r="I553" s="1"/>
      <c r="J553" s="1"/>
      <c r="K553" s="1"/>
      <c r="L553" s="1"/>
      <c r="M553" s="1"/>
      <c r="N553" s="1"/>
      <c r="O553" s="1"/>
      <c r="P553" s="1"/>
      <c r="Q553" s="1"/>
      <c r="R553" s="1"/>
      <c r="S553" s="1"/>
      <c r="T553" s="1"/>
      <c r="U553" s="2"/>
      <c r="V553" s="1"/>
      <c r="W553" s="1"/>
      <c r="X553" s="1"/>
      <c r="Y553" s="1"/>
      <c r="Z553" s="1"/>
    </row>
    <row r="554" spans="1:26" ht="24.75" customHeight="1">
      <c r="A554" s="1"/>
      <c r="B554" s="1"/>
      <c r="C554" s="1"/>
      <c r="D554" s="1"/>
      <c r="E554" s="1"/>
      <c r="F554" s="1"/>
      <c r="G554" s="1"/>
      <c r="H554" s="1"/>
      <c r="I554" s="1"/>
      <c r="J554" s="1"/>
      <c r="K554" s="1"/>
      <c r="L554" s="1"/>
      <c r="M554" s="1"/>
      <c r="N554" s="1"/>
      <c r="O554" s="1"/>
      <c r="P554" s="1"/>
      <c r="Q554" s="1"/>
      <c r="R554" s="1"/>
      <c r="S554" s="1"/>
      <c r="T554" s="1"/>
      <c r="U554" s="2"/>
      <c r="V554" s="1"/>
      <c r="W554" s="1"/>
      <c r="X554" s="1"/>
      <c r="Y554" s="1"/>
      <c r="Z554" s="1"/>
    </row>
    <row r="555" spans="1:26" ht="24.75" customHeight="1">
      <c r="A555" s="1"/>
      <c r="B555" s="1"/>
      <c r="C555" s="1"/>
      <c r="D555" s="1"/>
      <c r="E555" s="1"/>
      <c r="F555" s="1"/>
      <c r="G555" s="1"/>
      <c r="H555" s="1"/>
      <c r="I555" s="1"/>
      <c r="J555" s="1"/>
      <c r="K555" s="1"/>
      <c r="L555" s="1"/>
      <c r="M555" s="1"/>
      <c r="N555" s="1"/>
      <c r="O555" s="1"/>
      <c r="P555" s="1"/>
      <c r="Q555" s="1"/>
      <c r="R555" s="1"/>
      <c r="S555" s="1"/>
      <c r="T555" s="1"/>
      <c r="U555" s="2"/>
      <c r="V555" s="1"/>
      <c r="W555" s="1"/>
      <c r="X555" s="1"/>
      <c r="Y555" s="1"/>
      <c r="Z555" s="1"/>
    </row>
    <row r="556" spans="1:26" ht="24.75" customHeight="1">
      <c r="A556" s="1"/>
      <c r="B556" s="1"/>
      <c r="C556" s="1"/>
      <c r="D556" s="1"/>
      <c r="E556" s="1"/>
      <c r="F556" s="1"/>
      <c r="G556" s="1"/>
      <c r="H556" s="1"/>
      <c r="I556" s="1"/>
      <c r="J556" s="1"/>
      <c r="K556" s="1"/>
      <c r="L556" s="1"/>
      <c r="M556" s="1"/>
      <c r="N556" s="1"/>
      <c r="O556" s="1"/>
      <c r="P556" s="1"/>
      <c r="Q556" s="1"/>
      <c r="R556" s="1"/>
      <c r="S556" s="1"/>
      <c r="T556" s="1"/>
      <c r="U556" s="2"/>
      <c r="V556" s="1"/>
      <c r="W556" s="1"/>
      <c r="X556" s="1"/>
      <c r="Y556" s="1"/>
      <c r="Z556" s="1"/>
    </row>
    <row r="557" spans="1:26" ht="24.75" customHeight="1">
      <c r="A557" s="1"/>
      <c r="B557" s="1"/>
      <c r="C557" s="1"/>
      <c r="D557" s="1"/>
      <c r="E557" s="1"/>
      <c r="F557" s="1"/>
      <c r="G557" s="1"/>
      <c r="H557" s="1"/>
      <c r="I557" s="1"/>
      <c r="J557" s="1"/>
      <c r="K557" s="1"/>
      <c r="L557" s="1"/>
      <c r="M557" s="1"/>
      <c r="N557" s="1"/>
      <c r="O557" s="1"/>
      <c r="P557" s="1"/>
      <c r="Q557" s="1"/>
      <c r="R557" s="1"/>
      <c r="S557" s="1"/>
      <c r="T557" s="1"/>
      <c r="U557" s="2"/>
      <c r="V557" s="1"/>
      <c r="W557" s="1"/>
      <c r="X557" s="1"/>
      <c r="Y557" s="1"/>
      <c r="Z557" s="1"/>
    </row>
    <row r="558" spans="1:26" ht="24.75" customHeight="1">
      <c r="A558" s="1"/>
      <c r="B558" s="1"/>
      <c r="C558" s="1"/>
      <c r="D558" s="1"/>
      <c r="E558" s="1"/>
      <c r="F558" s="1"/>
      <c r="G558" s="1"/>
      <c r="H558" s="1"/>
      <c r="I558" s="1"/>
      <c r="J558" s="1"/>
      <c r="K558" s="1"/>
      <c r="L558" s="1"/>
      <c r="M558" s="1"/>
      <c r="N558" s="1"/>
      <c r="O558" s="1"/>
      <c r="P558" s="1"/>
      <c r="Q558" s="1"/>
      <c r="R558" s="1"/>
      <c r="S558" s="1"/>
      <c r="T558" s="1"/>
      <c r="U558" s="2"/>
      <c r="V558" s="1"/>
      <c r="W558" s="1"/>
      <c r="X558" s="1"/>
      <c r="Y558" s="1"/>
      <c r="Z558" s="1"/>
    </row>
    <row r="559" spans="1:26" ht="24.75" customHeight="1">
      <c r="A559" s="1"/>
      <c r="B559" s="1"/>
      <c r="C559" s="1"/>
      <c r="D559" s="1"/>
      <c r="E559" s="1"/>
      <c r="F559" s="1"/>
      <c r="G559" s="1"/>
      <c r="H559" s="1"/>
      <c r="I559" s="1"/>
      <c r="J559" s="1"/>
      <c r="K559" s="1"/>
      <c r="L559" s="1"/>
      <c r="M559" s="1"/>
      <c r="N559" s="1"/>
      <c r="O559" s="1"/>
      <c r="P559" s="1"/>
      <c r="Q559" s="1"/>
      <c r="R559" s="1"/>
      <c r="S559" s="1"/>
      <c r="T559" s="1"/>
      <c r="U559" s="2"/>
      <c r="V559" s="1"/>
      <c r="W559" s="1"/>
      <c r="X559" s="1"/>
      <c r="Y559" s="1"/>
      <c r="Z559" s="1"/>
    </row>
    <row r="560" spans="1:26" ht="24.75" customHeight="1">
      <c r="A560" s="1"/>
      <c r="B560" s="1"/>
      <c r="C560" s="1"/>
      <c r="D560" s="1"/>
      <c r="E560" s="1"/>
      <c r="F560" s="1"/>
      <c r="G560" s="1"/>
      <c r="H560" s="1"/>
      <c r="I560" s="1"/>
      <c r="J560" s="1"/>
      <c r="K560" s="1"/>
      <c r="L560" s="1"/>
      <c r="M560" s="1"/>
      <c r="N560" s="1"/>
      <c r="O560" s="1"/>
      <c r="P560" s="1"/>
      <c r="Q560" s="1"/>
      <c r="R560" s="1"/>
      <c r="S560" s="1"/>
      <c r="T560" s="1"/>
      <c r="U560" s="2"/>
      <c r="V560" s="1"/>
      <c r="W560" s="1"/>
      <c r="X560" s="1"/>
      <c r="Y560" s="1"/>
      <c r="Z560" s="1"/>
    </row>
    <row r="561" spans="1:26" ht="24.75" customHeight="1">
      <c r="A561" s="1"/>
      <c r="B561" s="1"/>
      <c r="C561" s="1"/>
      <c r="D561" s="1"/>
      <c r="E561" s="1"/>
      <c r="F561" s="1"/>
      <c r="G561" s="1"/>
      <c r="H561" s="1"/>
      <c r="I561" s="1"/>
      <c r="J561" s="1"/>
      <c r="K561" s="1"/>
      <c r="L561" s="1"/>
      <c r="M561" s="1"/>
      <c r="N561" s="1"/>
      <c r="O561" s="1"/>
      <c r="P561" s="1"/>
      <c r="Q561" s="1"/>
      <c r="R561" s="1"/>
      <c r="S561" s="1"/>
      <c r="T561" s="1"/>
      <c r="U561" s="2"/>
      <c r="V561" s="1"/>
      <c r="W561" s="1"/>
      <c r="X561" s="1"/>
      <c r="Y561" s="1"/>
      <c r="Z561" s="1"/>
    </row>
    <row r="562" spans="1:26" ht="24.75" customHeight="1">
      <c r="A562" s="1"/>
      <c r="B562" s="1"/>
      <c r="C562" s="1"/>
      <c r="D562" s="1"/>
      <c r="E562" s="1"/>
      <c r="F562" s="1"/>
      <c r="G562" s="1"/>
      <c r="H562" s="1"/>
      <c r="I562" s="1"/>
      <c r="J562" s="1"/>
      <c r="K562" s="1"/>
      <c r="L562" s="1"/>
      <c r="M562" s="1"/>
      <c r="N562" s="1"/>
      <c r="O562" s="1"/>
      <c r="P562" s="1"/>
      <c r="Q562" s="1"/>
      <c r="R562" s="1"/>
      <c r="S562" s="1"/>
      <c r="T562" s="1"/>
      <c r="U562" s="2"/>
      <c r="V562" s="1"/>
      <c r="W562" s="1"/>
      <c r="X562" s="1"/>
      <c r="Y562" s="1"/>
      <c r="Z562" s="1"/>
    </row>
    <row r="563" spans="1:26" ht="24.75" customHeight="1">
      <c r="A563" s="1"/>
      <c r="B563" s="1"/>
      <c r="C563" s="1"/>
      <c r="D563" s="1"/>
      <c r="E563" s="1"/>
      <c r="F563" s="1"/>
      <c r="G563" s="1"/>
      <c r="H563" s="1"/>
      <c r="I563" s="1"/>
      <c r="J563" s="1"/>
      <c r="K563" s="1"/>
      <c r="L563" s="1"/>
      <c r="M563" s="1"/>
      <c r="N563" s="1"/>
      <c r="O563" s="1"/>
      <c r="P563" s="1"/>
      <c r="Q563" s="1"/>
      <c r="R563" s="1"/>
      <c r="S563" s="1"/>
      <c r="T563" s="1"/>
      <c r="U563" s="2"/>
      <c r="V563" s="1"/>
      <c r="W563" s="1"/>
      <c r="X563" s="1"/>
      <c r="Y563" s="1"/>
      <c r="Z563" s="1"/>
    </row>
    <row r="564" spans="1:26" ht="24.75" customHeight="1">
      <c r="A564" s="1"/>
      <c r="B564" s="1"/>
      <c r="C564" s="1"/>
      <c r="D564" s="1"/>
      <c r="E564" s="1"/>
      <c r="F564" s="1"/>
      <c r="G564" s="1"/>
      <c r="H564" s="1"/>
      <c r="I564" s="1"/>
      <c r="J564" s="1"/>
      <c r="K564" s="1"/>
      <c r="L564" s="1"/>
      <c r="M564" s="1"/>
      <c r="N564" s="1"/>
      <c r="O564" s="1"/>
      <c r="P564" s="1"/>
      <c r="Q564" s="1"/>
      <c r="R564" s="1"/>
      <c r="S564" s="1"/>
      <c r="T564" s="1"/>
      <c r="U564" s="2"/>
      <c r="V564" s="1"/>
      <c r="W564" s="1"/>
      <c r="X564" s="1"/>
      <c r="Y564" s="1"/>
      <c r="Z564" s="1"/>
    </row>
    <row r="565" spans="1:26" ht="24.75" customHeight="1">
      <c r="A565" s="1"/>
      <c r="B565" s="1"/>
      <c r="C565" s="1"/>
      <c r="D565" s="1"/>
      <c r="E565" s="1"/>
      <c r="F565" s="1"/>
      <c r="G565" s="1"/>
      <c r="H565" s="1"/>
      <c r="I565" s="1"/>
      <c r="J565" s="1"/>
      <c r="K565" s="1"/>
      <c r="L565" s="1"/>
      <c r="M565" s="1"/>
      <c r="N565" s="1"/>
      <c r="O565" s="1"/>
      <c r="P565" s="1"/>
      <c r="Q565" s="1"/>
      <c r="R565" s="1"/>
      <c r="S565" s="1"/>
      <c r="T565" s="1"/>
      <c r="U565" s="2"/>
      <c r="V565" s="1"/>
      <c r="W565" s="1"/>
      <c r="X565" s="1"/>
      <c r="Y565" s="1"/>
      <c r="Z565" s="1"/>
    </row>
    <row r="566" spans="1:26" ht="24.75" customHeight="1">
      <c r="A566" s="1"/>
      <c r="B566" s="1"/>
      <c r="C566" s="1"/>
      <c r="D566" s="1"/>
      <c r="E566" s="1"/>
      <c r="F566" s="1"/>
      <c r="G566" s="1"/>
      <c r="H566" s="1"/>
      <c r="I566" s="1"/>
      <c r="J566" s="1"/>
      <c r="K566" s="1"/>
      <c r="L566" s="1"/>
      <c r="M566" s="1"/>
      <c r="N566" s="1"/>
      <c r="O566" s="1"/>
      <c r="P566" s="1"/>
      <c r="Q566" s="1"/>
      <c r="R566" s="1"/>
      <c r="S566" s="1"/>
      <c r="T566" s="1"/>
      <c r="U566" s="2"/>
      <c r="V566" s="1"/>
      <c r="W566" s="1"/>
      <c r="X566" s="1"/>
      <c r="Y566" s="1"/>
      <c r="Z566" s="1"/>
    </row>
    <row r="567" spans="1:26" ht="24.75" customHeight="1">
      <c r="A567" s="1"/>
      <c r="B567" s="1"/>
      <c r="C567" s="1"/>
      <c r="D567" s="1"/>
      <c r="E567" s="1"/>
      <c r="F567" s="1"/>
      <c r="G567" s="1"/>
      <c r="H567" s="1"/>
      <c r="I567" s="1"/>
      <c r="J567" s="1"/>
      <c r="K567" s="1"/>
      <c r="L567" s="1"/>
      <c r="M567" s="1"/>
      <c r="N567" s="1"/>
      <c r="O567" s="1"/>
      <c r="P567" s="1"/>
      <c r="Q567" s="1"/>
      <c r="R567" s="1"/>
      <c r="S567" s="1"/>
      <c r="T567" s="1"/>
      <c r="U567" s="2"/>
      <c r="V567" s="1"/>
      <c r="W567" s="1"/>
      <c r="X567" s="1"/>
      <c r="Y567" s="1"/>
      <c r="Z567" s="1"/>
    </row>
    <row r="568" spans="1:26" ht="24.75" customHeight="1">
      <c r="A568" s="1"/>
      <c r="B568" s="1"/>
      <c r="C568" s="1"/>
      <c r="D568" s="1"/>
      <c r="E568" s="1"/>
      <c r="F568" s="1"/>
      <c r="G568" s="1"/>
      <c r="H568" s="1"/>
      <c r="I568" s="1"/>
      <c r="J568" s="1"/>
      <c r="K568" s="1"/>
      <c r="L568" s="1"/>
      <c r="M568" s="1"/>
      <c r="N568" s="1"/>
      <c r="O568" s="1"/>
      <c r="P568" s="1"/>
      <c r="Q568" s="1"/>
      <c r="R568" s="1"/>
      <c r="S568" s="1"/>
      <c r="T568" s="1"/>
      <c r="U568" s="2"/>
      <c r="V568" s="1"/>
      <c r="W568" s="1"/>
      <c r="X568" s="1"/>
      <c r="Y568" s="1"/>
      <c r="Z568" s="1"/>
    </row>
    <row r="569" spans="1:26" ht="24.75" customHeight="1">
      <c r="A569" s="1"/>
      <c r="B569" s="1"/>
      <c r="C569" s="1"/>
      <c r="D569" s="1"/>
      <c r="E569" s="1"/>
      <c r="F569" s="1"/>
      <c r="G569" s="1"/>
      <c r="H569" s="1"/>
      <c r="I569" s="1"/>
      <c r="J569" s="1"/>
      <c r="K569" s="1"/>
      <c r="L569" s="1"/>
      <c r="M569" s="1"/>
      <c r="N569" s="1"/>
      <c r="O569" s="1"/>
      <c r="P569" s="1"/>
      <c r="Q569" s="1"/>
      <c r="R569" s="1"/>
      <c r="S569" s="1"/>
      <c r="T569" s="1"/>
      <c r="U569" s="2"/>
      <c r="V569" s="1"/>
      <c r="W569" s="1"/>
      <c r="X569" s="1"/>
      <c r="Y569" s="1"/>
      <c r="Z569" s="1"/>
    </row>
    <row r="570" spans="1:26" ht="24.75" customHeight="1">
      <c r="A570" s="1"/>
      <c r="B570" s="1"/>
      <c r="C570" s="1"/>
      <c r="D570" s="1"/>
      <c r="E570" s="1"/>
      <c r="F570" s="1"/>
      <c r="G570" s="1"/>
      <c r="H570" s="1"/>
      <c r="I570" s="1"/>
      <c r="J570" s="1"/>
      <c r="K570" s="1"/>
      <c r="L570" s="1"/>
      <c r="M570" s="1"/>
      <c r="N570" s="1"/>
      <c r="O570" s="1"/>
      <c r="P570" s="1"/>
      <c r="Q570" s="1"/>
      <c r="R570" s="1"/>
      <c r="S570" s="1"/>
      <c r="T570" s="1"/>
      <c r="U570" s="2"/>
      <c r="V570" s="1"/>
      <c r="W570" s="1"/>
      <c r="X570" s="1"/>
      <c r="Y570" s="1"/>
      <c r="Z570" s="1"/>
    </row>
    <row r="571" spans="1:26" ht="24.75" customHeight="1">
      <c r="A571" s="1"/>
      <c r="B571" s="1"/>
      <c r="C571" s="1"/>
      <c r="D571" s="1"/>
      <c r="E571" s="1"/>
      <c r="F571" s="1"/>
      <c r="G571" s="1"/>
      <c r="H571" s="1"/>
      <c r="I571" s="1"/>
      <c r="J571" s="1"/>
      <c r="K571" s="1"/>
      <c r="L571" s="1"/>
      <c r="M571" s="1"/>
      <c r="N571" s="1"/>
      <c r="O571" s="1"/>
      <c r="P571" s="1"/>
      <c r="Q571" s="1"/>
      <c r="R571" s="1"/>
      <c r="S571" s="1"/>
      <c r="T571" s="1"/>
      <c r="U571" s="2"/>
      <c r="V571" s="1"/>
      <c r="W571" s="1"/>
      <c r="X571" s="1"/>
      <c r="Y571" s="1"/>
      <c r="Z571" s="1"/>
    </row>
    <row r="572" spans="1:26" ht="24.75" customHeight="1">
      <c r="A572" s="1"/>
      <c r="B572" s="1"/>
      <c r="C572" s="1"/>
      <c r="D572" s="1"/>
      <c r="E572" s="1"/>
      <c r="F572" s="1"/>
      <c r="G572" s="1"/>
      <c r="H572" s="1"/>
      <c r="I572" s="1"/>
      <c r="J572" s="1"/>
      <c r="K572" s="1"/>
      <c r="L572" s="1"/>
      <c r="M572" s="1"/>
      <c r="N572" s="1"/>
      <c r="O572" s="1"/>
      <c r="P572" s="1"/>
      <c r="Q572" s="1"/>
      <c r="R572" s="1"/>
      <c r="S572" s="1"/>
      <c r="T572" s="1"/>
      <c r="U572" s="2"/>
      <c r="V572" s="1"/>
      <c r="W572" s="1"/>
      <c r="X572" s="1"/>
      <c r="Y572" s="1"/>
      <c r="Z572" s="1"/>
    </row>
    <row r="573" spans="1:26" ht="24.75" customHeight="1">
      <c r="A573" s="1"/>
      <c r="B573" s="1"/>
      <c r="C573" s="1"/>
      <c r="D573" s="1"/>
      <c r="E573" s="1"/>
      <c r="F573" s="1"/>
      <c r="G573" s="1"/>
      <c r="H573" s="1"/>
      <c r="I573" s="1"/>
      <c r="J573" s="1"/>
      <c r="K573" s="1"/>
      <c r="L573" s="1"/>
      <c r="M573" s="1"/>
      <c r="N573" s="1"/>
      <c r="O573" s="1"/>
      <c r="P573" s="1"/>
      <c r="Q573" s="1"/>
      <c r="R573" s="1"/>
      <c r="S573" s="1"/>
      <c r="T573" s="1"/>
      <c r="U573" s="2"/>
      <c r="V573" s="1"/>
      <c r="W573" s="1"/>
      <c r="X573" s="1"/>
      <c r="Y573" s="1"/>
      <c r="Z573" s="1"/>
    </row>
    <row r="574" spans="1:26" ht="24.75" customHeight="1">
      <c r="A574" s="1"/>
      <c r="B574" s="1"/>
      <c r="C574" s="1"/>
      <c r="D574" s="1"/>
      <c r="E574" s="1"/>
      <c r="F574" s="1"/>
      <c r="G574" s="1"/>
      <c r="H574" s="1"/>
      <c r="I574" s="1"/>
      <c r="J574" s="1"/>
      <c r="K574" s="1"/>
      <c r="L574" s="1"/>
      <c r="M574" s="1"/>
      <c r="N574" s="1"/>
      <c r="O574" s="1"/>
      <c r="P574" s="1"/>
      <c r="Q574" s="1"/>
      <c r="R574" s="1"/>
      <c r="S574" s="1"/>
      <c r="T574" s="1"/>
      <c r="U574" s="2"/>
      <c r="V574" s="1"/>
      <c r="W574" s="1"/>
      <c r="X574" s="1"/>
      <c r="Y574" s="1"/>
      <c r="Z574" s="1"/>
    </row>
    <row r="575" spans="1:26" ht="24.75" customHeight="1">
      <c r="A575" s="1"/>
      <c r="B575" s="1"/>
      <c r="C575" s="1"/>
      <c r="D575" s="1"/>
      <c r="E575" s="1"/>
      <c r="F575" s="1"/>
      <c r="G575" s="1"/>
      <c r="H575" s="1"/>
      <c r="I575" s="1"/>
      <c r="J575" s="1"/>
      <c r="K575" s="1"/>
      <c r="L575" s="1"/>
      <c r="M575" s="1"/>
      <c r="N575" s="1"/>
      <c r="O575" s="1"/>
      <c r="P575" s="1"/>
      <c r="Q575" s="1"/>
      <c r="R575" s="1"/>
      <c r="S575" s="1"/>
      <c r="T575" s="1"/>
      <c r="U575" s="2"/>
      <c r="V575" s="1"/>
      <c r="W575" s="1"/>
      <c r="X575" s="1"/>
      <c r="Y575" s="1"/>
      <c r="Z575" s="1"/>
    </row>
    <row r="576" spans="1:26" ht="24.75" customHeight="1">
      <c r="A576" s="1"/>
      <c r="B576" s="1"/>
      <c r="C576" s="1"/>
      <c r="D576" s="1"/>
      <c r="E576" s="1"/>
      <c r="F576" s="1"/>
      <c r="G576" s="1"/>
      <c r="H576" s="1"/>
      <c r="I576" s="1"/>
      <c r="J576" s="1"/>
      <c r="K576" s="1"/>
      <c r="L576" s="1"/>
      <c r="M576" s="1"/>
      <c r="N576" s="1"/>
      <c r="O576" s="1"/>
      <c r="P576" s="1"/>
      <c r="Q576" s="1"/>
      <c r="R576" s="1"/>
      <c r="S576" s="1"/>
      <c r="T576" s="1"/>
      <c r="U576" s="2"/>
      <c r="V576" s="1"/>
      <c r="W576" s="1"/>
      <c r="X576" s="1"/>
      <c r="Y576" s="1"/>
      <c r="Z576" s="1"/>
    </row>
    <row r="577" spans="1:26" ht="24.75" customHeight="1">
      <c r="A577" s="1"/>
      <c r="B577" s="1"/>
      <c r="C577" s="1"/>
      <c r="D577" s="1"/>
      <c r="E577" s="1"/>
      <c r="F577" s="1"/>
      <c r="G577" s="1"/>
      <c r="H577" s="1"/>
      <c r="I577" s="1"/>
      <c r="J577" s="1"/>
      <c r="K577" s="1"/>
      <c r="L577" s="1"/>
      <c r="M577" s="1"/>
      <c r="N577" s="1"/>
      <c r="O577" s="1"/>
      <c r="P577" s="1"/>
      <c r="Q577" s="1"/>
      <c r="R577" s="1"/>
      <c r="S577" s="1"/>
      <c r="T577" s="1"/>
      <c r="U577" s="2"/>
      <c r="V577" s="1"/>
      <c r="W577" s="1"/>
      <c r="X577" s="1"/>
      <c r="Y577" s="1"/>
      <c r="Z577" s="1"/>
    </row>
    <row r="578" spans="1:26" ht="24.75" customHeight="1">
      <c r="A578" s="1"/>
      <c r="B578" s="1"/>
      <c r="C578" s="1"/>
      <c r="D578" s="1"/>
      <c r="E578" s="1"/>
      <c r="F578" s="1"/>
      <c r="G578" s="1"/>
      <c r="H578" s="1"/>
      <c r="I578" s="1"/>
      <c r="J578" s="1"/>
      <c r="K578" s="1"/>
      <c r="L578" s="1"/>
      <c r="M578" s="1"/>
      <c r="N578" s="1"/>
      <c r="O578" s="1"/>
      <c r="P578" s="1"/>
      <c r="Q578" s="1"/>
      <c r="R578" s="1"/>
      <c r="S578" s="1"/>
      <c r="T578" s="1"/>
      <c r="U578" s="2"/>
      <c r="V578" s="1"/>
      <c r="W578" s="1"/>
      <c r="X578" s="1"/>
      <c r="Y578" s="1"/>
      <c r="Z578" s="1"/>
    </row>
    <row r="579" spans="1:26" ht="24.75" customHeight="1">
      <c r="A579" s="1"/>
      <c r="B579" s="1"/>
      <c r="C579" s="1"/>
      <c r="D579" s="1"/>
      <c r="E579" s="1"/>
      <c r="F579" s="1"/>
      <c r="G579" s="1"/>
      <c r="H579" s="1"/>
      <c r="I579" s="1"/>
      <c r="J579" s="1"/>
      <c r="K579" s="1"/>
      <c r="L579" s="1"/>
      <c r="M579" s="1"/>
      <c r="N579" s="1"/>
      <c r="O579" s="1"/>
      <c r="P579" s="1"/>
      <c r="Q579" s="1"/>
      <c r="R579" s="1"/>
      <c r="S579" s="1"/>
      <c r="T579" s="1"/>
      <c r="U579" s="2"/>
      <c r="V579" s="1"/>
      <c r="W579" s="1"/>
      <c r="X579" s="1"/>
      <c r="Y579" s="1"/>
      <c r="Z579" s="1"/>
    </row>
    <row r="580" spans="1:26" ht="24.75" customHeight="1">
      <c r="A580" s="1"/>
      <c r="B580" s="1"/>
      <c r="C580" s="1"/>
      <c r="D580" s="1"/>
      <c r="E580" s="1"/>
      <c r="F580" s="1"/>
      <c r="G580" s="1"/>
      <c r="H580" s="1"/>
      <c r="I580" s="1"/>
      <c r="J580" s="1"/>
      <c r="K580" s="1"/>
      <c r="L580" s="1"/>
      <c r="M580" s="1"/>
      <c r="N580" s="1"/>
      <c r="O580" s="1"/>
      <c r="P580" s="1"/>
      <c r="Q580" s="1"/>
      <c r="R580" s="1"/>
      <c r="S580" s="1"/>
      <c r="T580" s="1"/>
      <c r="U580" s="2"/>
      <c r="V580" s="1"/>
      <c r="W580" s="1"/>
      <c r="X580" s="1"/>
      <c r="Y580" s="1"/>
      <c r="Z580" s="1"/>
    </row>
    <row r="581" spans="1:26" ht="24.75" customHeight="1">
      <c r="A581" s="1"/>
      <c r="B581" s="1"/>
      <c r="C581" s="1"/>
      <c r="D581" s="1"/>
      <c r="E581" s="1"/>
      <c r="F581" s="1"/>
      <c r="G581" s="1"/>
      <c r="H581" s="1"/>
      <c r="I581" s="1"/>
      <c r="J581" s="1"/>
      <c r="K581" s="1"/>
      <c r="L581" s="1"/>
      <c r="M581" s="1"/>
      <c r="N581" s="1"/>
      <c r="O581" s="1"/>
      <c r="P581" s="1"/>
      <c r="Q581" s="1"/>
      <c r="R581" s="1"/>
      <c r="S581" s="1"/>
      <c r="T581" s="1"/>
      <c r="U581" s="2"/>
      <c r="V581" s="1"/>
      <c r="W581" s="1"/>
      <c r="X581" s="1"/>
      <c r="Y581" s="1"/>
      <c r="Z581" s="1"/>
    </row>
    <row r="582" spans="1:26" ht="24.75" customHeight="1">
      <c r="A582" s="1"/>
      <c r="B582" s="1"/>
      <c r="C582" s="1"/>
      <c r="D582" s="1"/>
      <c r="E582" s="1"/>
      <c r="F582" s="1"/>
      <c r="G582" s="1"/>
      <c r="H582" s="1"/>
      <c r="I582" s="1"/>
      <c r="J582" s="1"/>
      <c r="K582" s="1"/>
      <c r="L582" s="1"/>
      <c r="M582" s="1"/>
      <c r="N582" s="1"/>
      <c r="O582" s="1"/>
      <c r="P582" s="1"/>
      <c r="Q582" s="1"/>
      <c r="R582" s="1"/>
      <c r="S582" s="1"/>
      <c r="T582" s="1"/>
      <c r="U582" s="2"/>
      <c r="V582" s="1"/>
      <c r="W582" s="1"/>
      <c r="X582" s="1"/>
      <c r="Y582" s="1"/>
      <c r="Z582" s="1"/>
    </row>
    <row r="583" spans="1:26" ht="24.75" customHeight="1">
      <c r="A583" s="1"/>
      <c r="B583" s="1"/>
      <c r="C583" s="1"/>
      <c r="D583" s="1"/>
      <c r="E583" s="1"/>
      <c r="F583" s="1"/>
      <c r="G583" s="1"/>
      <c r="H583" s="1"/>
      <c r="I583" s="1"/>
      <c r="J583" s="1"/>
      <c r="K583" s="1"/>
      <c r="L583" s="1"/>
      <c r="M583" s="1"/>
      <c r="N583" s="1"/>
      <c r="O583" s="1"/>
      <c r="P583" s="1"/>
      <c r="Q583" s="1"/>
      <c r="R583" s="1"/>
      <c r="S583" s="1"/>
      <c r="T583" s="1"/>
      <c r="U583" s="2"/>
      <c r="V583" s="1"/>
      <c r="W583" s="1"/>
      <c r="X583" s="1"/>
      <c r="Y583" s="1"/>
      <c r="Z583" s="1"/>
    </row>
    <row r="584" spans="1:26" ht="24.75" customHeight="1">
      <c r="A584" s="1"/>
      <c r="B584" s="1"/>
      <c r="C584" s="1"/>
      <c r="D584" s="1"/>
      <c r="E584" s="1"/>
      <c r="F584" s="1"/>
      <c r="G584" s="1"/>
      <c r="H584" s="1"/>
      <c r="I584" s="1"/>
      <c r="J584" s="1"/>
      <c r="K584" s="1"/>
      <c r="L584" s="1"/>
      <c r="M584" s="1"/>
      <c r="N584" s="1"/>
      <c r="O584" s="1"/>
      <c r="P584" s="1"/>
      <c r="Q584" s="1"/>
      <c r="R584" s="1"/>
      <c r="S584" s="1"/>
      <c r="T584" s="1"/>
      <c r="U584" s="2"/>
      <c r="V584" s="1"/>
      <c r="W584" s="1"/>
      <c r="X584" s="1"/>
      <c r="Y584" s="1"/>
      <c r="Z584" s="1"/>
    </row>
    <row r="585" spans="1:26" ht="24.75" customHeight="1">
      <c r="A585" s="1"/>
      <c r="B585" s="1"/>
      <c r="C585" s="1"/>
      <c r="D585" s="1"/>
      <c r="E585" s="1"/>
      <c r="F585" s="1"/>
      <c r="G585" s="1"/>
      <c r="H585" s="1"/>
      <c r="I585" s="1"/>
      <c r="J585" s="1"/>
      <c r="K585" s="1"/>
      <c r="L585" s="1"/>
      <c r="M585" s="1"/>
      <c r="N585" s="1"/>
      <c r="O585" s="1"/>
      <c r="P585" s="1"/>
      <c r="Q585" s="1"/>
      <c r="R585" s="1"/>
      <c r="S585" s="1"/>
      <c r="T585" s="1"/>
      <c r="U585" s="2"/>
      <c r="V585" s="1"/>
      <c r="W585" s="1"/>
      <c r="X585" s="1"/>
      <c r="Y585" s="1"/>
      <c r="Z585" s="1"/>
    </row>
    <row r="586" spans="1:26" ht="24.75" customHeight="1">
      <c r="A586" s="1"/>
      <c r="B586" s="1"/>
      <c r="C586" s="1"/>
      <c r="D586" s="1"/>
      <c r="E586" s="1"/>
      <c r="F586" s="1"/>
      <c r="G586" s="1"/>
      <c r="H586" s="1"/>
      <c r="I586" s="1"/>
      <c r="J586" s="1"/>
      <c r="K586" s="1"/>
      <c r="L586" s="1"/>
      <c r="M586" s="1"/>
      <c r="N586" s="1"/>
      <c r="O586" s="1"/>
      <c r="P586" s="1"/>
      <c r="Q586" s="1"/>
      <c r="R586" s="1"/>
      <c r="S586" s="1"/>
      <c r="T586" s="1"/>
      <c r="U586" s="2"/>
      <c r="V586" s="1"/>
      <c r="W586" s="1"/>
      <c r="X586" s="1"/>
      <c r="Y586" s="1"/>
      <c r="Z586" s="1"/>
    </row>
    <row r="587" spans="1:26" ht="24.75" customHeight="1">
      <c r="A587" s="1"/>
      <c r="B587" s="1"/>
      <c r="C587" s="1"/>
      <c r="D587" s="1"/>
      <c r="E587" s="1"/>
      <c r="F587" s="1"/>
      <c r="G587" s="1"/>
      <c r="H587" s="1"/>
      <c r="I587" s="1"/>
      <c r="J587" s="1"/>
      <c r="K587" s="1"/>
      <c r="L587" s="1"/>
      <c r="M587" s="1"/>
      <c r="N587" s="1"/>
      <c r="O587" s="1"/>
      <c r="P587" s="1"/>
      <c r="Q587" s="1"/>
      <c r="R587" s="1"/>
      <c r="S587" s="1"/>
      <c r="T587" s="1"/>
      <c r="U587" s="2"/>
      <c r="V587" s="1"/>
      <c r="W587" s="1"/>
      <c r="X587" s="1"/>
      <c r="Y587" s="1"/>
      <c r="Z587" s="1"/>
    </row>
    <row r="588" spans="1:26" ht="24.75" customHeight="1">
      <c r="A588" s="1"/>
      <c r="B588" s="1"/>
      <c r="C588" s="1"/>
      <c r="D588" s="1"/>
      <c r="E588" s="1"/>
      <c r="F588" s="1"/>
      <c r="G588" s="1"/>
      <c r="H588" s="1"/>
      <c r="I588" s="1"/>
      <c r="J588" s="1"/>
      <c r="K588" s="1"/>
      <c r="L588" s="1"/>
      <c r="M588" s="1"/>
      <c r="N588" s="1"/>
      <c r="O588" s="1"/>
      <c r="P588" s="1"/>
      <c r="Q588" s="1"/>
      <c r="R588" s="1"/>
      <c r="S588" s="1"/>
      <c r="T588" s="1"/>
      <c r="U588" s="2"/>
      <c r="V588" s="1"/>
      <c r="W588" s="1"/>
      <c r="X588" s="1"/>
      <c r="Y588" s="1"/>
      <c r="Z588" s="1"/>
    </row>
    <row r="589" spans="1:26" ht="24.75" customHeight="1">
      <c r="A589" s="1"/>
      <c r="B589" s="1"/>
      <c r="C589" s="1"/>
      <c r="D589" s="1"/>
      <c r="E589" s="1"/>
      <c r="F589" s="1"/>
      <c r="G589" s="1"/>
      <c r="H589" s="1"/>
      <c r="I589" s="1"/>
      <c r="J589" s="1"/>
      <c r="K589" s="1"/>
      <c r="L589" s="1"/>
      <c r="M589" s="1"/>
      <c r="N589" s="1"/>
      <c r="O589" s="1"/>
      <c r="P589" s="1"/>
      <c r="Q589" s="1"/>
      <c r="R589" s="1"/>
      <c r="S589" s="1"/>
      <c r="T589" s="1"/>
      <c r="U589" s="2"/>
      <c r="V589" s="1"/>
      <c r="W589" s="1"/>
      <c r="X589" s="1"/>
      <c r="Y589" s="1"/>
      <c r="Z589" s="1"/>
    </row>
    <row r="590" spans="1:26" ht="24.75" customHeight="1">
      <c r="A590" s="1"/>
      <c r="B590" s="1"/>
      <c r="C590" s="1"/>
      <c r="D590" s="1"/>
      <c r="E590" s="1"/>
      <c r="F590" s="1"/>
      <c r="G590" s="1"/>
      <c r="H590" s="1"/>
      <c r="I590" s="1"/>
      <c r="J590" s="1"/>
      <c r="K590" s="1"/>
      <c r="L590" s="1"/>
      <c r="M590" s="1"/>
      <c r="N590" s="1"/>
      <c r="O590" s="1"/>
      <c r="P590" s="1"/>
      <c r="Q590" s="1"/>
      <c r="R590" s="1"/>
      <c r="S590" s="1"/>
      <c r="T590" s="1"/>
      <c r="U590" s="2"/>
      <c r="V590" s="1"/>
      <c r="W590" s="1"/>
      <c r="X590" s="1"/>
      <c r="Y590" s="1"/>
      <c r="Z590" s="1"/>
    </row>
    <row r="591" spans="1:26" ht="24.75" customHeight="1">
      <c r="A591" s="1"/>
      <c r="B591" s="1"/>
      <c r="C591" s="1"/>
      <c r="D591" s="1"/>
      <c r="E591" s="1"/>
      <c r="F591" s="1"/>
      <c r="G591" s="1"/>
      <c r="H591" s="1"/>
      <c r="I591" s="1"/>
      <c r="J591" s="1"/>
      <c r="K591" s="1"/>
      <c r="L591" s="1"/>
      <c r="M591" s="1"/>
      <c r="N591" s="1"/>
      <c r="O591" s="1"/>
      <c r="P591" s="1"/>
      <c r="Q591" s="1"/>
      <c r="R591" s="1"/>
      <c r="S591" s="1"/>
      <c r="T591" s="1"/>
      <c r="U591" s="2"/>
      <c r="V591" s="1"/>
      <c r="W591" s="1"/>
      <c r="X591" s="1"/>
      <c r="Y591" s="1"/>
      <c r="Z591" s="1"/>
    </row>
    <row r="592" spans="1:26" ht="24.75" customHeight="1">
      <c r="A592" s="1"/>
      <c r="B592" s="1"/>
      <c r="C592" s="1"/>
      <c r="D592" s="1"/>
      <c r="E592" s="1"/>
      <c r="F592" s="1"/>
      <c r="G592" s="1"/>
      <c r="H592" s="1"/>
      <c r="I592" s="1"/>
      <c r="J592" s="1"/>
      <c r="K592" s="1"/>
      <c r="L592" s="1"/>
      <c r="M592" s="1"/>
      <c r="N592" s="1"/>
      <c r="O592" s="1"/>
      <c r="P592" s="1"/>
      <c r="Q592" s="1"/>
      <c r="R592" s="1"/>
      <c r="S592" s="1"/>
      <c r="T592" s="1"/>
      <c r="U592" s="2"/>
      <c r="V592" s="1"/>
      <c r="W592" s="1"/>
      <c r="X592" s="1"/>
      <c r="Y592" s="1"/>
      <c r="Z592" s="1"/>
    </row>
    <row r="593" spans="1:26" ht="24.75" customHeight="1">
      <c r="A593" s="1"/>
      <c r="B593" s="1"/>
      <c r="C593" s="1"/>
      <c r="D593" s="1"/>
      <c r="E593" s="1"/>
      <c r="F593" s="1"/>
      <c r="G593" s="1"/>
      <c r="H593" s="1"/>
      <c r="I593" s="1"/>
      <c r="J593" s="1"/>
      <c r="K593" s="1"/>
      <c r="L593" s="1"/>
      <c r="M593" s="1"/>
      <c r="N593" s="1"/>
      <c r="O593" s="1"/>
      <c r="P593" s="1"/>
      <c r="Q593" s="1"/>
      <c r="R593" s="1"/>
      <c r="S593" s="1"/>
      <c r="T593" s="1"/>
      <c r="U593" s="2"/>
      <c r="V593" s="1"/>
      <c r="W593" s="1"/>
      <c r="X593" s="1"/>
      <c r="Y593" s="1"/>
      <c r="Z593" s="1"/>
    </row>
    <row r="594" spans="1:26" ht="24.75" customHeight="1">
      <c r="A594" s="1"/>
      <c r="B594" s="1"/>
      <c r="C594" s="1"/>
      <c r="D594" s="1"/>
      <c r="E594" s="1"/>
      <c r="F594" s="1"/>
      <c r="G594" s="1"/>
      <c r="H594" s="1"/>
      <c r="I594" s="1"/>
      <c r="J594" s="1"/>
      <c r="K594" s="1"/>
      <c r="L594" s="1"/>
      <c r="M594" s="1"/>
      <c r="N594" s="1"/>
      <c r="O594" s="1"/>
      <c r="P594" s="1"/>
      <c r="Q594" s="1"/>
      <c r="R594" s="1"/>
      <c r="S594" s="1"/>
      <c r="T594" s="1"/>
      <c r="U594" s="2"/>
      <c r="V594" s="1"/>
      <c r="W594" s="1"/>
      <c r="X594" s="1"/>
      <c r="Y594" s="1"/>
      <c r="Z594" s="1"/>
    </row>
    <row r="595" spans="1:26" ht="24.75" customHeight="1">
      <c r="A595" s="1"/>
      <c r="B595" s="1"/>
      <c r="C595" s="1"/>
      <c r="D595" s="1"/>
      <c r="E595" s="1"/>
      <c r="F595" s="1"/>
      <c r="G595" s="1"/>
      <c r="H595" s="1"/>
      <c r="I595" s="1"/>
      <c r="J595" s="1"/>
      <c r="K595" s="1"/>
      <c r="L595" s="1"/>
      <c r="M595" s="1"/>
      <c r="N595" s="1"/>
      <c r="O595" s="1"/>
      <c r="P595" s="1"/>
      <c r="Q595" s="1"/>
      <c r="R595" s="1"/>
      <c r="S595" s="1"/>
      <c r="T595" s="1"/>
      <c r="U595" s="2"/>
      <c r="V595" s="1"/>
      <c r="W595" s="1"/>
      <c r="X595" s="1"/>
      <c r="Y595" s="1"/>
      <c r="Z595" s="1"/>
    </row>
    <row r="596" spans="1:26" ht="24.75" customHeight="1">
      <c r="A596" s="1"/>
      <c r="B596" s="1"/>
      <c r="C596" s="1"/>
      <c r="D596" s="1"/>
      <c r="E596" s="1"/>
      <c r="F596" s="1"/>
      <c r="G596" s="1"/>
      <c r="H596" s="1"/>
      <c r="I596" s="1"/>
      <c r="J596" s="1"/>
      <c r="K596" s="1"/>
      <c r="L596" s="1"/>
      <c r="M596" s="1"/>
      <c r="N596" s="1"/>
      <c r="O596" s="1"/>
      <c r="P596" s="1"/>
      <c r="Q596" s="1"/>
      <c r="R596" s="1"/>
      <c r="S596" s="1"/>
      <c r="T596" s="1"/>
      <c r="U596" s="2"/>
      <c r="V596" s="1"/>
      <c r="W596" s="1"/>
      <c r="X596" s="1"/>
      <c r="Y596" s="1"/>
      <c r="Z596" s="1"/>
    </row>
    <row r="597" spans="1:26" ht="24.75" customHeight="1">
      <c r="A597" s="1"/>
      <c r="B597" s="1"/>
      <c r="C597" s="1"/>
      <c r="D597" s="1"/>
      <c r="E597" s="1"/>
      <c r="F597" s="1"/>
      <c r="G597" s="1"/>
      <c r="H597" s="1"/>
      <c r="I597" s="1"/>
      <c r="J597" s="1"/>
      <c r="K597" s="1"/>
      <c r="L597" s="1"/>
      <c r="M597" s="1"/>
      <c r="N597" s="1"/>
      <c r="O597" s="1"/>
      <c r="P597" s="1"/>
      <c r="Q597" s="1"/>
      <c r="R597" s="1"/>
      <c r="S597" s="1"/>
      <c r="T597" s="1"/>
      <c r="U597" s="2"/>
      <c r="V597" s="1"/>
      <c r="W597" s="1"/>
      <c r="X597" s="1"/>
      <c r="Y597" s="1"/>
      <c r="Z597" s="1"/>
    </row>
    <row r="598" spans="1:26" ht="24.75" customHeight="1">
      <c r="A598" s="1"/>
      <c r="B598" s="1"/>
      <c r="C598" s="1"/>
      <c r="D598" s="1"/>
      <c r="E598" s="1"/>
      <c r="F598" s="1"/>
      <c r="G598" s="1"/>
      <c r="H598" s="1"/>
      <c r="I598" s="1"/>
      <c r="J598" s="1"/>
      <c r="K598" s="1"/>
      <c r="L598" s="1"/>
      <c r="M598" s="1"/>
      <c r="N598" s="1"/>
      <c r="O598" s="1"/>
      <c r="P598" s="1"/>
      <c r="Q598" s="1"/>
      <c r="R598" s="1"/>
      <c r="S598" s="1"/>
      <c r="T598" s="1"/>
      <c r="U598" s="2"/>
      <c r="V598" s="1"/>
      <c r="W598" s="1"/>
      <c r="X598" s="1"/>
      <c r="Y598" s="1"/>
      <c r="Z598" s="1"/>
    </row>
    <row r="599" spans="1:26" ht="24.75" customHeight="1">
      <c r="A599" s="1"/>
      <c r="B599" s="1"/>
      <c r="C599" s="1"/>
      <c r="D599" s="1"/>
      <c r="E599" s="1"/>
      <c r="F599" s="1"/>
      <c r="G599" s="1"/>
      <c r="H599" s="1"/>
      <c r="I599" s="1"/>
      <c r="J599" s="1"/>
      <c r="K599" s="1"/>
      <c r="L599" s="1"/>
      <c r="M599" s="1"/>
      <c r="N599" s="1"/>
      <c r="O599" s="1"/>
      <c r="P599" s="1"/>
      <c r="Q599" s="1"/>
      <c r="R599" s="1"/>
      <c r="S599" s="1"/>
      <c r="T599" s="1"/>
      <c r="U599" s="2"/>
      <c r="V599" s="1"/>
      <c r="W599" s="1"/>
      <c r="X599" s="1"/>
      <c r="Y599" s="1"/>
      <c r="Z599" s="1"/>
    </row>
    <row r="600" spans="1:26" ht="24.75" customHeight="1">
      <c r="A600" s="1"/>
      <c r="B600" s="1"/>
      <c r="C600" s="1"/>
      <c r="D600" s="1"/>
      <c r="E600" s="1"/>
      <c r="F600" s="1"/>
      <c r="G600" s="1"/>
      <c r="H600" s="1"/>
      <c r="I600" s="1"/>
      <c r="J600" s="1"/>
      <c r="K600" s="1"/>
      <c r="L600" s="1"/>
      <c r="M600" s="1"/>
      <c r="N600" s="1"/>
      <c r="O600" s="1"/>
      <c r="P600" s="1"/>
      <c r="Q600" s="1"/>
      <c r="R600" s="1"/>
      <c r="S600" s="1"/>
      <c r="T600" s="1"/>
      <c r="U600" s="2"/>
      <c r="V600" s="1"/>
      <c r="W600" s="1"/>
      <c r="X600" s="1"/>
      <c r="Y600" s="1"/>
      <c r="Z600" s="1"/>
    </row>
    <row r="601" spans="1:26" ht="24.75" customHeight="1">
      <c r="A601" s="1"/>
      <c r="B601" s="1"/>
      <c r="C601" s="1"/>
      <c r="D601" s="1"/>
      <c r="E601" s="1"/>
      <c r="F601" s="1"/>
      <c r="G601" s="1"/>
      <c r="H601" s="1"/>
      <c r="I601" s="1"/>
      <c r="J601" s="1"/>
      <c r="K601" s="1"/>
      <c r="L601" s="1"/>
      <c r="M601" s="1"/>
      <c r="N601" s="1"/>
      <c r="O601" s="1"/>
      <c r="P601" s="1"/>
      <c r="Q601" s="1"/>
      <c r="R601" s="1"/>
      <c r="S601" s="1"/>
      <c r="T601" s="1"/>
      <c r="U601" s="2"/>
      <c r="V601" s="1"/>
      <c r="W601" s="1"/>
      <c r="X601" s="1"/>
      <c r="Y601" s="1"/>
      <c r="Z601" s="1"/>
    </row>
    <row r="602" spans="1:26" ht="24.75" customHeight="1">
      <c r="A602" s="1"/>
      <c r="B602" s="1"/>
      <c r="C602" s="1"/>
      <c r="D602" s="1"/>
      <c r="E602" s="1"/>
      <c r="F602" s="1"/>
      <c r="G602" s="1"/>
      <c r="H602" s="1"/>
      <c r="I602" s="1"/>
      <c r="J602" s="1"/>
      <c r="K602" s="1"/>
      <c r="L602" s="1"/>
      <c r="M602" s="1"/>
      <c r="N602" s="1"/>
      <c r="O602" s="1"/>
      <c r="P602" s="1"/>
      <c r="Q602" s="1"/>
      <c r="R602" s="1"/>
      <c r="S602" s="1"/>
      <c r="T602" s="1"/>
      <c r="U602" s="2"/>
      <c r="V602" s="1"/>
      <c r="W602" s="1"/>
      <c r="X602" s="1"/>
      <c r="Y602" s="1"/>
      <c r="Z602" s="1"/>
    </row>
    <row r="603" spans="1:26" ht="24.75" customHeight="1">
      <c r="A603" s="1"/>
      <c r="B603" s="1"/>
      <c r="C603" s="1"/>
      <c r="D603" s="1"/>
      <c r="E603" s="1"/>
      <c r="F603" s="1"/>
      <c r="G603" s="1"/>
      <c r="H603" s="1"/>
      <c r="I603" s="1"/>
      <c r="J603" s="1"/>
      <c r="K603" s="1"/>
      <c r="L603" s="1"/>
      <c r="M603" s="1"/>
      <c r="N603" s="1"/>
      <c r="O603" s="1"/>
      <c r="P603" s="1"/>
      <c r="Q603" s="1"/>
      <c r="R603" s="1"/>
      <c r="S603" s="1"/>
      <c r="T603" s="1"/>
      <c r="U603" s="2"/>
      <c r="V603" s="1"/>
      <c r="W603" s="1"/>
      <c r="X603" s="1"/>
      <c r="Y603" s="1"/>
      <c r="Z603" s="1"/>
    </row>
    <row r="604" spans="1:26" ht="24.75" customHeight="1">
      <c r="A604" s="1"/>
      <c r="B604" s="1"/>
      <c r="C604" s="1"/>
      <c r="D604" s="1"/>
      <c r="E604" s="1"/>
      <c r="F604" s="1"/>
      <c r="G604" s="1"/>
      <c r="H604" s="1"/>
      <c r="I604" s="1"/>
      <c r="J604" s="1"/>
      <c r="K604" s="1"/>
      <c r="L604" s="1"/>
      <c r="M604" s="1"/>
      <c r="N604" s="1"/>
      <c r="O604" s="1"/>
      <c r="P604" s="1"/>
      <c r="Q604" s="1"/>
      <c r="R604" s="1"/>
      <c r="S604" s="1"/>
      <c r="T604" s="1"/>
      <c r="U604" s="2"/>
      <c r="V604" s="1"/>
      <c r="W604" s="1"/>
      <c r="X604" s="1"/>
      <c r="Y604" s="1"/>
      <c r="Z604" s="1"/>
    </row>
    <row r="605" spans="1:26" ht="24.75" customHeight="1">
      <c r="A605" s="1"/>
      <c r="B605" s="1"/>
      <c r="C605" s="1"/>
      <c r="D605" s="1"/>
      <c r="E605" s="1"/>
      <c r="F605" s="1"/>
      <c r="G605" s="1"/>
      <c r="H605" s="1"/>
      <c r="I605" s="1"/>
      <c r="J605" s="1"/>
      <c r="K605" s="1"/>
      <c r="L605" s="1"/>
      <c r="M605" s="1"/>
      <c r="N605" s="1"/>
      <c r="O605" s="1"/>
      <c r="P605" s="1"/>
      <c r="Q605" s="1"/>
      <c r="R605" s="1"/>
      <c r="S605" s="1"/>
      <c r="T605" s="1"/>
      <c r="U605" s="2"/>
      <c r="V605" s="1"/>
      <c r="W605" s="1"/>
      <c r="X605" s="1"/>
      <c r="Y605" s="1"/>
      <c r="Z605" s="1"/>
    </row>
    <row r="606" spans="1:26" ht="24.75" customHeight="1">
      <c r="A606" s="1"/>
      <c r="B606" s="1"/>
      <c r="C606" s="1"/>
      <c r="D606" s="1"/>
      <c r="E606" s="1"/>
      <c r="F606" s="1"/>
      <c r="G606" s="1"/>
      <c r="H606" s="1"/>
      <c r="I606" s="1"/>
      <c r="J606" s="1"/>
      <c r="K606" s="1"/>
      <c r="L606" s="1"/>
      <c r="M606" s="1"/>
      <c r="N606" s="1"/>
      <c r="O606" s="1"/>
      <c r="P606" s="1"/>
      <c r="Q606" s="1"/>
      <c r="R606" s="1"/>
      <c r="S606" s="1"/>
      <c r="T606" s="1"/>
      <c r="U606" s="2"/>
      <c r="V606" s="1"/>
      <c r="W606" s="1"/>
      <c r="X606" s="1"/>
      <c r="Y606" s="1"/>
      <c r="Z606" s="1"/>
    </row>
    <row r="607" spans="1:26" ht="24.75" customHeight="1">
      <c r="A607" s="1"/>
      <c r="B607" s="1"/>
      <c r="C607" s="1"/>
      <c r="D607" s="1"/>
      <c r="E607" s="1"/>
      <c r="F607" s="1"/>
      <c r="G607" s="1"/>
      <c r="H607" s="1"/>
      <c r="I607" s="1"/>
      <c r="J607" s="1"/>
      <c r="K607" s="1"/>
      <c r="L607" s="1"/>
      <c r="M607" s="1"/>
      <c r="N607" s="1"/>
      <c r="O607" s="1"/>
      <c r="P607" s="1"/>
      <c r="Q607" s="1"/>
      <c r="R607" s="1"/>
      <c r="S607" s="1"/>
      <c r="T607" s="1"/>
      <c r="U607" s="2"/>
      <c r="V607" s="1"/>
      <c r="W607" s="1"/>
      <c r="X607" s="1"/>
      <c r="Y607" s="1"/>
      <c r="Z607" s="1"/>
    </row>
    <row r="608" spans="1:26" ht="24.75" customHeight="1">
      <c r="A608" s="1"/>
      <c r="B608" s="1"/>
      <c r="C608" s="1"/>
      <c r="D608" s="1"/>
      <c r="E608" s="1"/>
      <c r="F608" s="1"/>
      <c r="G608" s="1"/>
      <c r="H608" s="1"/>
      <c r="I608" s="1"/>
      <c r="J608" s="1"/>
      <c r="K608" s="1"/>
      <c r="L608" s="1"/>
      <c r="M608" s="1"/>
      <c r="N608" s="1"/>
      <c r="O608" s="1"/>
      <c r="P608" s="1"/>
      <c r="Q608" s="1"/>
      <c r="R608" s="1"/>
      <c r="S608" s="1"/>
      <c r="T608" s="1"/>
      <c r="U608" s="2"/>
      <c r="V608" s="1"/>
      <c r="W608" s="1"/>
      <c r="X608" s="1"/>
      <c r="Y608" s="1"/>
      <c r="Z608" s="1"/>
    </row>
    <row r="609" spans="1:26" ht="24.75" customHeight="1">
      <c r="A609" s="1"/>
      <c r="B609" s="1"/>
      <c r="C609" s="1"/>
      <c r="D609" s="1"/>
      <c r="E609" s="1"/>
      <c r="F609" s="1"/>
      <c r="G609" s="1"/>
      <c r="H609" s="1"/>
      <c r="I609" s="1"/>
      <c r="J609" s="1"/>
      <c r="K609" s="1"/>
      <c r="L609" s="1"/>
      <c r="M609" s="1"/>
      <c r="N609" s="1"/>
      <c r="O609" s="1"/>
      <c r="P609" s="1"/>
      <c r="Q609" s="1"/>
      <c r="R609" s="1"/>
      <c r="S609" s="1"/>
      <c r="T609" s="1"/>
      <c r="U609" s="2"/>
      <c r="V609" s="1"/>
      <c r="W609" s="1"/>
      <c r="X609" s="1"/>
      <c r="Y609" s="1"/>
      <c r="Z609" s="1"/>
    </row>
    <row r="610" spans="1:26" ht="24.75" customHeight="1">
      <c r="A610" s="1"/>
      <c r="B610" s="1"/>
      <c r="C610" s="1"/>
      <c r="D610" s="1"/>
      <c r="E610" s="1"/>
      <c r="F610" s="1"/>
      <c r="G610" s="1"/>
      <c r="H610" s="1"/>
      <c r="I610" s="1"/>
      <c r="J610" s="1"/>
      <c r="K610" s="1"/>
      <c r="L610" s="1"/>
      <c r="M610" s="1"/>
      <c r="N610" s="1"/>
      <c r="O610" s="1"/>
      <c r="P610" s="1"/>
      <c r="Q610" s="1"/>
      <c r="R610" s="1"/>
      <c r="S610" s="1"/>
      <c r="T610" s="1"/>
      <c r="U610" s="2"/>
      <c r="V610" s="1"/>
      <c r="W610" s="1"/>
      <c r="X610" s="1"/>
      <c r="Y610" s="1"/>
      <c r="Z610" s="1"/>
    </row>
    <row r="611" spans="1:26" ht="24.75" customHeight="1">
      <c r="A611" s="1"/>
      <c r="B611" s="1"/>
      <c r="C611" s="1"/>
      <c r="D611" s="1"/>
      <c r="E611" s="1"/>
      <c r="F611" s="1"/>
      <c r="G611" s="1"/>
      <c r="H611" s="1"/>
      <c r="I611" s="1"/>
      <c r="J611" s="1"/>
      <c r="K611" s="1"/>
      <c r="L611" s="1"/>
      <c r="M611" s="1"/>
      <c r="N611" s="1"/>
      <c r="O611" s="1"/>
      <c r="P611" s="1"/>
      <c r="Q611" s="1"/>
      <c r="R611" s="1"/>
      <c r="S611" s="1"/>
      <c r="T611" s="1"/>
      <c r="U611" s="2"/>
      <c r="V611" s="1"/>
      <c r="W611" s="1"/>
      <c r="X611" s="1"/>
      <c r="Y611" s="1"/>
      <c r="Z611" s="1"/>
    </row>
    <row r="612" spans="1:26" ht="24.75" customHeight="1">
      <c r="A612" s="1"/>
      <c r="B612" s="1"/>
      <c r="C612" s="1"/>
      <c r="D612" s="1"/>
      <c r="E612" s="1"/>
      <c r="F612" s="1"/>
      <c r="G612" s="1"/>
      <c r="H612" s="1"/>
      <c r="I612" s="1"/>
      <c r="J612" s="1"/>
      <c r="K612" s="1"/>
      <c r="L612" s="1"/>
      <c r="M612" s="1"/>
      <c r="N612" s="1"/>
      <c r="O612" s="1"/>
      <c r="P612" s="1"/>
      <c r="Q612" s="1"/>
      <c r="R612" s="1"/>
      <c r="S612" s="1"/>
      <c r="T612" s="1"/>
      <c r="U612" s="2"/>
      <c r="V612" s="1"/>
      <c r="W612" s="1"/>
      <c r="X612" s="1"/>
      <c r="Y612" s="1"/>
      <c r="Z612" s="1"/>
    </row>
    <row r="613" spans="1:26" ht="24.75" customHeight="1">
      <c r="A613" s="1"/>
      <c r="B613" s="1"/>
      <c r="C613" s="1"/>
      <c r="D613" s="1"/>
      <c r="E613" s="1"/>
      <c r="F613" s="1"/>
      <c r="G613" s="1"/>
      <c r="H613" s="1"/>
      <c r="I613" s="1"/>
      <c r="J613" s="1"/>
      <c r="K613" s="1"/>
      <c r="L613" s="1"/>
      <c r="M613" s="1"/>
      <c r="N613" s="1"/>
      <c r="O613" s="1"/>
      <c r="P613" s="1"/>
      <c r="Q613" s="1"/>
      <c r="R613" s="1"/>
      <c r="S613" s="1"/>
      <c r="T613" s="1"/>
      <c r="U613" s="2"/>
      <c r="V613" s="1"/>
      <c r="W613" s="1"/>
      <c r="X613" s="1"/>
      <c r="Y613" s="1"/>
      <c r="Z613" s="1"/>
    </row>
    <row r="614" spans="1:26" ht="24.75" customHeight="1">
      <c r="A614" s="1"/>
      <c r="B614" s="1"/>
      <c r="C614" s="1"/>
      <c r="D614" s="1"/>
      <c r="E614" s="1"/>
      <c r="F614" s="1"/>
      <c r="G614" s="1"/>
      <c r="H614" s="1"/>
      <c r="I614" s="1"/>
      <c r="J614" s="1"/>
      <c r="K614" s="1"/>
      <c r="L614" s="1"/>
      <c r="M614" s="1"/>
      <c r="N614" s="1"/>
      <c r="O614" s="1"/>
      <c r="P614" s="1"/>
      <c r="Q614" s="1"/>
      <c r="R614" s="1"/>
      <c r="S614" s="1"/>
      <c r="T614" s="1"/>
      <c r="U614" s="2"/>
      <c r="V614" s="1"/>
      <c r="W614" s="1"/>
      <c r="X614" s="1"/>
      <c r="Y614" s="1"/>
      <c r="Z614" s="1"/>
    </row>
    <row r="615" spans="1:26" ht="24.75" customHeight="1">
      <c r="A615" s="1"/>
      <c r="B615" s="1"/>
      <c r="C615" s="1"/>
      <c r="D615" s="1"/>
      <c r="E615" s="1"/>
      <c r="F615" s="1"/>
      <c r="G615" s="1"/>
      <c r="H615" s="1"/>
      <c r="I615" s="1"/>
      <c r="J615" s="1"/>
      <c r="K615" s="1"/>
      <c r="L615" s="1"/>
      <c r="M615" s="1"/>
      <c r="N615" s="1"/>
      <c r="O615" s="1"/>
      <c r="P615" s="1"/>
      <c r="Q615" s="1"/>
      <c r="R615" s="1"/>
      <c r="S615" s="1"/>
      <c r="T615" s="1"/>
      <c r="U615" s="2"/>
      <c r="V615" s="1"/>
      <c r="W615" s="1"/>
      <c r="X615" s="1"/>
      <c r="Y615" s="1"/>
      <c r="Z615" s="1"/>
    </row>
    <row r="616" spans="1:26" ht="24.75" customHeight="1">
      <c r="A616" s="1"/>
      <c r="B616" s="1"/>
      <c r="C616" s="1"/>
      <c r="D616" s="1"/>
      <c r="E616" s="1"/>
      <c r="F616" s="1"/>
      <c r="G616" s="1"/>
      <c r="H616" s="1"/>
      <c r="I616" s="1"/>
      <c r="J616" s="1"/>
      <c r="K616" s="1"/>
      <c r="L616" s="1"/>
      <c r="M616" s="1"/>
      <c r="N616" s="1"/>
      <c r="O616" s="1"/>
      <c r="P616" s="1"/>
      <c r="Q616" s="1"/>
      <c r="R616" s="1"/>
      <c r="S616" s="1"/>
      <c r="T616" s="1"/>
      <c r="U616" s="2"/>
      <c r="V616" s="1"/>
      <c r="W616" s="1"/>
      <c r="X616" s="1"/>
      <c r="Y616" s="1"/>
      <c r="Z616" s="1"/>
    </row>
    <row r="617" spans="1:26" ht="24.75" customHeight="1">
      <c r="A617" s="1"/>
      <c r="B617" s="1"/>
      <c r="C617" s="1"/>
      <c r="D617" s="1"/>
      <c r="E617" s="1"/>
      <c r="F617" s="1"/>
      <c r="G617" s="1"/>
      <c r="H617" s="1"/>
      <c r="I617" s="1"/>
      <c r="J617" s="1"/>
      <c r="K617" s="1"/>
      <c r="L617" s="1"/>
      <c r="M617" s="1"/>
      <c r="N617" s="1"/>
      <c r="O617" s="1"/>
      <c r="P617" s="1"/>
      <c r="Q617" s="1"/>
      <c r="R617" s="1"/>
      <c r="S617" s="1"/>
      <c r="T617" s="1"/>
      <c r="U617" s="2"/>
      <c r="V617" s="1"/>
      <c r="W617" s="1"/>
      <c r="X617" s="1"/>
      <c r="Y617" s="1"/>
      <c r="Z617" s="1"/>
    </row>
    <row r="618" spans="1:26" ht="24.75" customHeight="1">
      <c r="A618" s="1"/>
      <c r="B618" s="1"/>
      <c r="C618" s="1"/>
      <c r="D618" s="1"/>
      <c r="E618" s="1"/>
      <c r="F618" s="1"/>
      <c r="G618" s="1"/>
      <c r="H618" s="1"/>
      <c r="I618" s="1"/>
      <c r="J618" s="1"/>
      <c r="K618" s="1"/>
      <c r="L618" s="1"/>
      <c r="M618" s="1"/>
      <c r="N618" s="1"/>
      <c r="O618" s="1"/>
      <c r="P618" s="1"/>
      <c r="Q618" s="1"/>
      <c r="R618" s="1"/>
      <c r="S618" s="1"/>
      <c r="T618" s="1"/>
      <c r="U618" s="2"/>
      <c r="V618" s="1"/>
      <c r="W618" s="1"/>
      <c r="X618" s="1"/>
      <c r="Y618" s="1"/>
      <c r="Z618" s="1"/>
    </row>
    <row r="619" spans="1:26" ht="24.75" customHeight="1">
      <c r="A619" s="1"/>
      <c r="B619" s="1"/>
      <c r="C619" s="1"/>
      <c r="D619" s="1"/>
      <c r="E619" s="1"/>
      <c r="F619" s="1"/>
      <c r="G619" s="1"/>
      <c r="H619" s="1"/>
      <c r="I619" s="1"/>
      <c r="J619" s="1"/>
      <c r="K619" s="1"/>
      <c r="L619" s="1"/>
      <c r="M619" s="1"/>
      <c r="N619" s="1"/>
      <c r="O619" s="1"/>
      <c r="P619" s="1"/>
      <c r="Q619" s="1"/>
      <c r="R619" s="1"/>
      <c r="S619" s="1"/>
      <c r="T619" s="1"/>
      <c r="U619" s="2"/>
      <c r="V619" s="1"/>
      <c r="W619" s="1"/>
      <c r="X619" s="1"/>
      <c r="Y619" s="1"/>
      <c r="Z619" s="1"/>
    </row>
    <row r="620" spans="1:26" ht="24.75" customHeight="1">
      <c r="A620" s="1"/>
      <c r="B620" s="1"/>
      <c r="C620" s="1"/>
      <c r="D620" s="1"/>
      <c r="E620" s="1"/>
      <c r="F620" s="1"/>
      <c r="G620" s="1"/>
      <c r="H620" s="1"/>
      <c r="I620" s="1"/>
      <c r="J620" s="1"/>
      <c r="K620" s="1"/>
      <c r="L620" s="1"/>
      <c r="M620" s="1"/>
      <c r="N620" s="1"/>
      <c r="O620" s="1"/>
      <c r="P620" s="1"/>
      <c r="Q620" s="1"/>
      <c r="R620" s="1"/>
      <c r="S620" s="1"/>
      <c r="T620" s="1"/>
      <c r="U620" s="2"/>
      <c r="V620" s="1"/>
      <c r="W620" s="1"/>
      <c r="X620" s="1"/>
      <c r="Y620" s="1"/>
      <c r="Z620" s="1"/>
    </row>
    <row r="621" spans="1:26" ht="24.75" customHeight="1">
      <c r="A621" s="1"/>
      <c r="B621" s="1"/>
      <c r="C621" s="1"/>
      <c r="D621" s="1"/>
      <c r="E621" s="1"/>
      <c r="F621" s="1"/>
      <c r="G621" s="1"/>
      <c r="H621" s="1"/>
      <c r="I621" s="1"/>
      <c r="J621" s="1"/>
      <c r="K621" s="1"/>
      <c r="L621" s="1"/>
      <c r="M621" s="1"/>
      <c r="N621" s="1"/>
      <c r="O621" s="1"/>
      <c r="P621" s="1"/>
      <c r="Q621" s="1"/>
      <c r="R621" s="1"/>
      <c r="S621" s="1"/>
      <c r="T621" s="1"/>
      <c r="U621" s="2"/>
      <c r="V621" s="1"/>
      <c r="W621" s="1"/>
      <c r="X621" s="1"/>
      <c r="Y621" s="1"/>
      <c r="Z621" s="1"/>
    </row>
    <row r="622" spans="1:26" ht="24.75" customHeight="1">
      <c r="A622" s="1"/>
      <c r="B622" s="1"/>
      <c r="C622" s="1"/>
      <c r="D622" s="1"/>
      <c r="E622" s="1"/>
      <c r="F622" s="1"/>
      <c r="G622" s="1"/>
      <c r="H622" s="1"/>
      <c r="I622" s="1"/>
      <c r="J622" s="1"/>
      <c r="K622" s="1"/>
      <c r="L622" s="1"/>
      <c r="M622" s="1"/>
      <c r="N622" s="1"/>
      <c r="O622" s="1"/>
      <c r="P622" s="1"/>
      <c r="Q622" s="1"/>
      <c r="R622" s="1"/>
      <c r="S622" s="1"/>
      <c r="T622" s="1"/>
      <c r="U622" s="2"/>
      <c r="V622" s="1"/>
      <c r="W622" s="1"/>
      <c r="X622" s="1"/>
      <c r="Y622" s="1"/>
      <c r="Z622" s="1"/>
    </row>
    <row r="623" spans="1:26" ht="24.75" customHeight="1">
      <c r="A623" s="1"/>
      <c r="B623" s="1"/>
      <c r="C623" s="1"/>
      <c r="D623" s="1"/>
      <c r="E623" s="1"/>
      <c r="F623" s="1"/>
      <c r="G623" s="1"/>
      <c r="H623" s="1"/>
      <c r="I623" s="1"/>
      <c r="J623" s="1"/>
      <c r="K623" s="1"/>
      <c r="L623" s="1"/>
      <c r="M623" s="1"/>
      <c r="N623" s="1"/>
      <c r="O623" s="1"/>
      <c r="P623" s="1"/>
      <c r="Q623" s="1"/>
      <c r="R623" s="1"/>
      <c r="S623" s="1"/>
      <c r="T623" s="1"/>
      <c r="U623" s="2"/>
      <c r="V623" s="1"/>
      <c r="W623" s="1"/>
      <c r="X623" s="1"/>
      <c r="Y623" s="1"/>
      <c r="Z623" s="1"/>
    </row>
    <row r="624" spans="1:26" ht="24.75" customHeight="1">
      <c r="A624" s="1"/>
      <c r="B624" s="1"/>
      <c r="C624" s="1"/>
      <c r="D624" s="1"/>
      <c r="E624" s="1"/>
      <c r="F624" s="1"/>
      <c r="G624" s="1"/>
      <c r="H624" s="1"/>
      <c r="I624" s="1"/>
      <c r="J624" s="1"/>
      <c r="K624" s="1"/>
      <c r="L624" s="1"/>
      <c r="M624" s="1"/>
      <c r="N624" s="1"/>
      <c r="O624" s="1"/>
      <c r="P624" s="1"/>
      <c r="Q624" s="1"/>
      <c r="R624" s="1"/>
      <c r="S624" s="1"/>
      <c r="T624" s="1"/>
      <c r="U624" s="2"/>
      <c r="V624" s="1"/>
      <c r="W624" s="1"/>
      <c r="X624" s="1"/>
      <c r="Y624" s="1"/>
      <c r="Z624" s="1"/>
    </row>
    <row r="625" spans="1:26" ht="24.75" customHeight="1">
      <c r="A625" s="1"/>
      <c r="B625" s="1"/>
      <c r="C625" s="1"/>
      <c r="D625" s="1"/>
      <c r="E625" s="1"/>
      <c r="F625" s="1"/>
      <c r="G625" s="1"/>
      <c r="H625" s="1"/>
      <c r="I625" s="1"/>
      <c r="J625" s="1"/>
      <c r="K625" s="1"/>
      <c r="L625" s="1"/>
      <c r="M625" s="1"/>
      <c r="N625" s="1"/>
      <c r="O625" s="1"/>
      <c r="P625" s="1"/>
      <c r="Q625" s="1"/>
      <c r="R625" s="1"/>
      <c r="S625" s="1"/>
      <c r="T625" s="1"/>
      <c r="U625" s="2"/>
      <c r="V625" s="1"/>
      <c r="W625" s="1"/>
      <c r="X625" s="1"/>
      <c r="Y625" s="1"/>
      <c r="Z625" s="1"/>
    </row>
    <row r="626" spans="1:26" ht="24.75" customHeight="1">
      <c r="A626" s="1"/>
      <c r="B626" s="1"/>
      <c r="C626" s="1"/>
      <c r="D626" s="1"/>
      <c r="E626" s="1"/>
      <c r="F626" s="1"/>
      <c r="G626" s="1"/>
      <c r="H626" s="1"/>
      <c r="I626" s="1"/>
      <c r="J626" s="1"/>
      <c r="K626" s="1"/>
      <c r="L626" s="1"/>
      <c r="M626" s="1"/>
      <c r="N626" s="1"/>
      <c r="O626" s="1"/>
      <c r="P626" s="1"/>
      <c r="Q626" s="1"/>
      <c r="R626" s="1"/>
      <c r="S626" s="1"/>
      <c r="T626" s="1"/>
      <c r="U626" s="2"/>
      <c r="V626" s="1"/>
      <c r="W626" s="1"/>
      <c r="X626" s="1"/>
      <c r="Y626" s="1"/>
      <c r="Z626" s="1"/>
    </row>
    <row r="627" spans="1:26" ht="24.75" customHeight="1">
      <c r="A627" s="1"/>
      <c r="B627" s="1"/>
      <c r="C627" s="1"/>
      <c r="D627" s="1"/>
      <c r="E627" s="1"/>
      <c r="F627" s="1"/>
      <c r="G627" s="1"/>
      <c r="H627" s="1"/>
      <c r="I627" s="1"/>
      <c r="J627" s="1"/>
      <c r="K627" s="1"/>
      <c r="L627" s="1"/>
      <c r="M627" s="1"/>
      <c r="N627" s="1"/>
      <c r="O627" s="1"/>
      <c r="P627" s="1"/>
      <c r="Q627" s="1"/>
      <c r="R627" s="1"/>
      <c r="S627" s="1"/>
      <c r="T627" s="1"/>
      <c r="U627" s="2"/>
      <c r="V627" s="1"/>
      <c r="W627" s="1"/>
      <c r="X627" s="1"/>
      <c r="Y627" s="1"/>
      <c r="Z627" s="1"/>
    </row>
    <row r="628" spans="1:26" ht="24.75" customHeight="1">
      <c r="A628" s="1"/>
      <c r="B628" s="1"/>
      <c r="C628" s="1"/>
      <c r="D628" s="1"/>
      <c r="E628" s="1"/>
      <c r="F628" s="1"/>
      <c r="G628" s="1"/>
      <c r="H628" s="1"/>
      <c r="I628" s="1"/>
      <c r="J628" s="1"/>
      <c r="K628" s="1"/>
      <c r="L628" s="1"/>
      <c r="M628" s="1"/>
      <c r="N628" s="1"/>
      <c r="O628" s="1"/>
      <c r="P628" s="1"/>
      <c r="Q628" s="1"/>
      <c r="R628" s="1"/>
      <c r="S628" s="1"/>
      <c r="T628" s="1"/>
      <c r="U628" s="2"/>
      <c r="V628" s="1"/>
      <c r="W628" s="1"/>
      <c r="X628" s="1"/>
      <c r="Y628" s="1"/>
      <c r="Z628" s="1"/>
    </row>
    <row r="629" spans="1:26" ht="24.75" customHeight="1">
      <c r="A629" s="1"/>
      <c r="B629" s="1"/>
      <c r="C629" s="1"/>
      <c r="D629" s="1"/>
      <c r="E629" s="1"/>
      <c r="F629" s="1"/>
      <c r="G629" s="1"/>
      <c r="H629" s="1"/>
      <c r="I629" s="1"/>
      <c r="J629" s="1"/>
      <c r="K629" s="1"/>
      <c r="L629" s="1"/>
      <c r="M629" s="1"/>
      <c r="N629" s="1"/>
      <c r="O629" s="1"/>
      <c r="P629" s="1"/>
      <c r="Q629" s="1"/>
      <c r="R629" s="1"/>
      <c r="S629" s="1"/>
      <c r="T629" s="1"/>
      <c r="U629" s="2"/>
      <c r="V629" s="1"/>
      <c r="W629" s="1"/>
      <c r="X629" s="1"/>
      <c r="Y629" s="1"/>
      <c r="Z629" s="1"/>
    </row>
    <row r="630" spans="1:26" ht="24.75" customHeight="1">
      <c r="A630" s="1"/>
      <c r="B630" s="1"/>
      <c r="C630" s="1"/>
      <c r="D630" s="1"/>
      <c r="E630" s="1"/>
      <c r="F630" s="1"/>
      <c r="G630" s="1"/>
      <c r="H630" s="1"/>
      <c r="I630" s="1"/>
      <c r="J630" s="1"/>
      <c r="K630" s="1"/>
      <c r="L630" s="1"/>
      <c r="M630" s="1"/>
      <c r="N630" s="1"/>
      <c r="O630" s="1"/>
      <c r="P630" s="1"/>
      <c r="Q630" s="1"/>
      <c r="R630" s="1"/>
      <c r="S630" s="1"/>
      <c r="T630" s="1"/>
      <c r="U630" s="2"/>
      <c r="V630" s="1"/>
      <c r="W630" s="1"/>
      <c r="X630" s="1"/>
      <c r="Y630" s="1"/>
      <c r="Z630" s="1"/>
    </row>
    <row r="631" spans="1:26" ht="24.75" customHeight="1">
      <c r="A631" s="1"/>
      <c r="B631" s="1"/>
      <c r="C631" s="1"/>
      <c r="D631" s="1"/>
      <c r="E631" s="1"/>
      <c r="F631" s="1"/>
      <c r="G631" s="1"/>
      <c r="H631" s="1"/>
      <c r="I631" s="1"/>
      <c r="J631" s="1"/>
      <c r="K631" s="1"/>
      <c r="L631" s="1"/>
      <c r="M631" s="1"/>
      <c r="N631" s="1"/>
      <c r="O631" s="1"/>
      <c r="P631" s="1"/>
      <c r="Q631" s="1"/>
      <c r="R631" s="1"/>
      <c r="S631" s="1"/>
      <c r="T631" s="1"/>
      <c r="U631" s="2"/>
      <c r="V631" s="1"/>
      <c r="W631" s="1"/>
      <c r="X631" s="1"/>
      <c r="Y631" s="1"/>
      <c r="Z631" s="1"/>
    </row>
    <row r="632" spans="1:26" ht="24.75" customHeight="1">
      <c r="A632" s="1"/>
      <c r="B632" s="1"/>
      <c r="C632" s="1"/>
      <c r="D632" s="1"/>
      <c r="E632" s="1"/>
      <c r="F632" s="1"/>
      <c r="G632" s="1"/>
      <c r="H632" s="1"/>
      <c r="I632" s="1"/>
      <c r="J632" s="1"/>
      <c r="K632" s="1"/>
      <c r="L632" s="1"/>
      <c r="M632" s="1"/>
      <c r="N632" s="1"/>
      <c r="O632" s="1"/>
      <c r="P632" s="1"/>
      <c r="Q632" s="1"/>
      <c r="R632" s="1"/>
      <c r="S632" s="1"/>
      <c r="T632" s="1"/>
      <c r="U632" s="2"/>
      <c r="V632" s="1"/>
      <c r="W632" s="1"/>
      <c r="X632" s="1"/>
      <c r="Y632" s="1"/>
      <c r="Z632" s="1"/>
    </row>
    <row r="633" spans="1:26" ht="24.75" customHeight="1">
      <c r="A633" s="1"/>
      <c r="B633" s="1"/>
      <c r="C633" s="1"/>
      <c r="D633" s="1"/>
      <c r="E633" s="1"/>
      <c r="F633" s="1"/>
      <c r="G633" s="1"/>
      <c r="H633" s="1"/>
      <c r="I633" s="1"/>
      <c r="J633" s="1"/>
      <c r="K633" s="1"/>
      <c r="L633" s="1"/>
      <c r="M633" s="1"/>
      <c r="N633" s="1"/>
      <c r="O633" s="1"/>
      <c r="P633" s="1"/>
      <c r="Q633" s="1"/>
      <c r="R633" s="1"/>
      <c r="S633" s="1"/>
      <c r="T633" s="1"/>
      <c r="U633" s="2"/>
      <c r="V633" s="1"/>
      <c r="W633" s="1"/>
      <c r="X633" s="1"/>
      <c r="Y633" s="1"/>
      <c r="Z633" s="1"/>
    </row>
    <row r="634" spans="1:26" ht="24.75" customHeight="1">
      <c r="A634" s="1"/>
      <c r="B634" s="1"/>
      <c r="C634" s="1"/>
      <c r="D634" s="1"/>
      <c r="E634" s="1"/>
      <c r="F634" s="1"/>
      <c r="G634" s="1"/>
      <c r="H634" s="1"/>
      <c r="I634" s="1"/>
      <c r="J634" s="1"/>
      <c r="K634" s="1"/>
      <c r="L634" s="1"/>
      <c r="M634" s="1"/>
      <c r="N634" s="1"/>
      <c r="O634" s="1"/>
      <c r="P634" s="1"/>
      <c r="Q634" s="1"/>
      <c r="R634" s="1"/>
      <c r="S634" s="1"/>
      <c r="T634" s="1"/>
      <c r="U634" s="2"/>
      <c r="V634" s="1"/>
      <c r="W634" s="1"/>
      <c r="X634" s="1"/>
      <c r="Y634" s="1"/>
      <c r="Z634" s="1"/>
    </row>
    <row r="635" spans="1:26" ht="24.75" customHeight="1">
      <c r="A635" s="1"/>
      <c r="B635" s="1"/>
      <c r="C635" s="1"/>
      <c r="D635" s="1"/>
      <c r="E635" s="1"/>
      <c r="F635" s="1"/>
      <c r="G635" s="1"/>
      <c r="H635" s="1"/>
      <c r="I635" s="1"/>
      <c r="J635" s="1"/>
      <c r="K635" s="1"/>
      <c r="L635" s="1"/>
      <c r="M635" s="1"/>
      <c r="N635" s="1"/>
      <c r="O635" s="1"/>
      <c r="P635" s="1"/>
      <c r="Q635" s="1"/>
      <c r="R635" s="1"/>
      <c r="S635" s="1"/>
      <c r="T635" s="1"/>
      <c r="U635" s="2"/>
      <c r="V635" s="1"/>
      <c r="W635" s="1"/>
      <c r="X635" s="1"/>
      <c r="Y635" s="1"/>
      <c r="Z635" s="1"/>
    </row>
    <row r="636" spans="1:26" ht="24.75" customHeight="1">
      <c r="A636" s="1"/>
      <c r="B636" s="1"/>
      <c r="C636" s="1"/>
      <c r="D636" s="1"/>
      <c r="E636" s="1"/>
      <c r="F636" s="1"/>
      <c r="G636" s="1"/>
      <c r="H636" s="1"/>
      <c r="I636" s="1"/>
      <c r="J636" s="1"/>
      <c r="K636" s="1"/>
      <c r="L636" s="1"/>
      <c r="M636" s="1"/>
      <c r="N636" s="1"/>
      <c r="O636" s="1"/>
      <c r="P636" s="1"/>
      <c r="Q636" s="1"/>
      <c r="R636" s="1"/>
      <c r="S636" s="1"/>
      <c r="T636" s="1"/>
      <c r="U636" s="2"/>
      <c r="V636" s="1"/>
      <c r="W636" s="1"/>
      <c r="X636" s="1"/>
      <c r="Y636" s="1"/>
      <c r="Z636" s="1"/>
    </row>
    <row r="637" spans="1:26" ht="24.75" customHeight="1">
      <c r="A637" s="1"/>
      <c r="B637" s="1"/>
      <c r="C637" s="1"/>
      <c r="D637" s="1"/>
      <c r="E637" s="1"/>
      <c r="F637" s="1"/>
      <c r="G637" s="1"/>
      <c r="H637" s="1"/>
      <c r="I637" s="1"/>
      <c r="J637" s="1"/>
      <c r="K637" s="1"/>
      <c r="L637" s="1"/>
      <c r="M637" s="1"/>
      <c r="N637" s="1"/>
      <c r="O637" s="1"/>
      <c r="P637" s="1"/>
      <c r="Q637" s="1"/>
      <c r="R637" s="1"/>
      <c r="S637" s="1"/>
      <c r="T637" s="1"/>
      <c r="U637" s="2"/>
      <c r="V637" s="1"/>
      <c r="W637" s="1"/>
      <c r="X637" s="1"/>
      <c r="Y637" s="1"/>
      <c r="Z637" s="1"/>
    </row>
    <row r="638" spans="1:26" ht="24.75" customHeight="1">
      <c r="A638" s="1"/>
      <c r="B638" s="1"/>
      <c r="C638" s="1"/>
      <c r="D638" s="1"/>
      <c r="E638" s="1"/>
      <c r="F638" s="1"/>
      <c r="G638" s="1"/>
      <c r="H638" s="1"/>
      <c r="I638" s="1"/>
      <c r="J638" s="1"/>
      <c r="K638" s="1"/>
      <c r="L638" s="1"/>
      <c r="M638" s="1"/>
      <c r="N638" s="1"/>
      <c r="O638" s="1"/>
      <c r="P638" s="1"/>
      <c r="Q638" s="1"/>
      <c r="R638" s="1"/>
      <c r="S638" s="1"/>
      <c r="T638" s="1"/>
      <c r="U638" s="2"/>
      <c r="V638" s="1"/>
      <c r="W638" s="1"/>
      <c r="X638" s="1"/>
      <c r="Y638" s="1"/>
      <c r="Z638" s="1"/>
    </row>
    <row r="639" spans="1:26" ht="24.75" customHeight="1">
      <c r="A639" s="1"/>
      <c r="B639" s="1"/>
      <c r="C639" s="1"/>
      <c r="D639" s="1"/>
      <c r="E639" s="1"/>
      <c r="F639" s="1"/>
      <c r="G639" s="1"/>
      <c r="H639" s="1"/>
      <c r="I639" s="1"/>
      <c r="J639" s="1"/>
      <c r="K639" s="1"/>
      <c r="L639" s="1"/>
      <c r="M639" s="1"/>
      <c r="N639" s="1"/>
      <c r="O639" s="1"/>
      <c r="P639" s="1"/>
      <c r="Q639" s="1"/>
      <c r="R639" s="1"/>
      <c r="S639" s="1"/>
      <c r="T639" s="1"/>
      <c r="U639" s="2"/>
      <c r="V639" s="1"/>
      <c r="W639" s="1"/>
      <c r="X639" s="1"/>
      <c r="Y639" s="1"/>
      <c r="Z639" s="1"/>
    </row>
    <row r="640" spans="1:26" ht="24.75" customHeight="1">
      <c r="A640" s="1"/>
      <c r="B640" s="1"/>
      <c r="C640" s="1"/>
      <c r="D640" s="1"/>
      <c r="E640" s="1"/>
      <c r="F640" s="1"/>
      <c r="G640" s="1"/>
      <c r="H640" s="1"/>
      <c r="I640" s="1"/>
      <c r="J640" s="1"/>
      <c r="K640" s="1"/>
      <c r="L640" s="1"/>
      <c r="M640" s="1"/>
      <c r="N640" s="1"/>
      <c r="O640" s="1"/>
      <c r="P640" s="1"/>
      <c r="Q640" s="1"/>
      <c r="R640" s="1"/>
      <c r="S640" s="1"/>
      <c r="T640" s="1"/>
      <c r="U640" s="2"/>
      <c r="V640" s="1"/>
      <c r="W640" s="1"/>
      <c r="X640" s="1"/>
      <c r="Y640" s="1"/>
      <c r="Z640" s="1"/>
    </row>
    <row r="641" spans="1:26" ht="24.75" customHeight="1">
      <c r="A641" s="1"/>
      <c r="B641" s="1"/>
      <c r="C641" s="1"/>
      <c r="D641" s="1"/>
      <c r="E641" s="1"/>
      <c r="F641" s="1"/>
      <c r="G641" s="1"/>
      <c r="H641" s="1"/>
      <c r="I641" s="1"/>
      <c r="J641" s="1"/>
      <c r="K641" s="1"/>
      <c r="L641" s="1"/>
      <c r="M641" s="1"/>
      <c r="N641" s="1"/>
      <c r="O641" s="1"/>
      <c r="P641" s="1"/>
      <c r="Q641" s="1"/>
      <c r="R641" s="1"/>
      <c r="S641" s="1"/>
      <c r="T641" s="1"/>
      <c r="U641" s="2"/>
      <c r="V641" s="1"/>
      <c r="W641" s="1"/>
      <c r="X641" s="1"/>
      <c r="Y641" s="1"/>
      <c r="Z641" s="1"/>
    </row>
    <row r="642" spans="1:26" ht="24.75" customHeight="1">
      <c r="A642" s="1"/>
      <c r="B642" s="1"/>
      <c r="C642" s="1"/>
      <c r="D642" s="1"/>
      <c r="E642" s="1"/>
      <c r="F642" s="1"/>
      <c r="G642" s="1"/>
      <c r="H642" s="1"/>
      <c r="I642" s="1"/>
      <c r="J642" s="1"/>
      <c r="K642" s="1"/>
      <c r="L642" s="1"/>
      <c r="M642" s="1"/>
      <c r="N642" s="1"/>
      <c r="O642" s="1"/>
      <c r="P642" s="1"/>
      <c r="Q642" s="1"/>
      <c r="R642" s="1"/>
      <c r="S642" s="1"/>
      <c r="T642" s="1"/>
      <c r="U642" s="2"/>
      <c r="V642" s="1"/>
      <c r="W642" s="1"/>
      <c r="X642" s="1"/>
      <c r="Y642" s="1"/>
      <c r="Z642" s="1"/>
    </row>
    <row r="643" spans="1:26" ht="24.75" customHeight="1">
      <c r="A643" s="1"/>
      <c r="B643" s="1"/>
      <c r="C643" s="1"/>
      <c r="D643" s="1"/>
      <c r="E643" s="1"/>
      <c r="F643" s="1"/>
      <c r="G643" s="1"/>
      <c r="H643" s="1"/>
      <c r="I643" s="1"/>
      <c r="J643" s="1"/>
      <c r="K643" s="1"/>
      <c r="L643" s="1"/>
      <c r="M643" s="1"/>
      <c r="N643" s="1"/>
      <c r="O643" s="1"/>
      <c r="P643" s="1"/>
      <c r="Q643" s="1"/>
      <c r="R643" s="1"/>
      <c r="S643" s="1"/>
      <c r="T643" s="1"/>
      <c r="U643" s="2"/>
      <c r="V643" s="1"/>
      <c r="W643" s="1"/>
      <c r="X643" s="1"/>
      <c r="Y643" s="1"/>
      <c r="Z643" s="1"/>
    </row>
    <row r="644" spans="1:26" ht="24.75" customHeight="1">
      <c r="A644" s="1"/>
      <c r="B644" s="1"/>
      <c r="C644" s="1"/>
      <c r="D644" s="1"/>
      <c r="E644" s="1"/>
      <c r="F644" s="1"/>
      <c r="G644" s="1"/>
      <c r="H644" s="1"/>
      <c r="I644" s="1"/>
      <c r="J644" s="1"/>
      <c r="K644" s="1"/>
      <c r="L644" s="1"/>
      <c r="M644" s="1"/>
      <c r="N644" s="1"/>
      <c r="O644" s="1"/>
      <c r="P644" s="1"/>
      <c r="Q644" s="1"/>
      <c r="R644" s="1"/>
      <c r="S644" s="1"/>
      <c r="T644" s="1"/>
      <c r="U644" s="2"/>
      <c r="V644" s="1"/>
      <c r="W644" s="1"/>
      <c r="X644" s="1"/>
      <c r="Y644" s="1"/>
      <c r="Z644" s="1"/>
    </row>
    <row r="645" spans="1:26" ht="24.75" customHeight="1">
      <c r="A645" s="1"/>
      <c r="B645" s="1"/>
      <c r="C645" s="1"/>
      <c r="D645" s="1"/>
      <c r="E645" s="1"/>
      <c r="F645" s="1"/>
      <c r="G645" s="1"/>
      <c r="H645" s="1"/>
      <c r="I645" s="1"/>
      <c r="J645" s="1"/>
      <c r="K645" s="1"/>
      <c r="L645" s="1"/>
      <c r="M645" s="1"/>
      <c r="N645" s="1"/>
      <c r="O645" s="1"/>
      <c r="P645" s="1"/>
      <c r="Q645" s="1"/>
      <c r="R645" s="1"/>
      <c r="S645" s="1"/>
      <c r="T645" s="1"/>
      <c r="U645" s="2"/>
      <c r="V645" s="1"/>
      <c r="W645" s="1"/>
      <c r="X645" s="1"/>
      <c r="Y645" s="1"/>
      <c r="Z645" s="1"/>
    </row>
    <row r="646" spans="1:26" ht="24.75" customHeight="1">
      <c r="A646" s="1"/>
      <c r="B646" s="1"/>
      <c r="C646" s="1"/>
      <c r="D646" s="1"/>
      <c r="E646" s="1"/>
      <c r="F646" s="1"/>
      <c r="G646" s="1"/>
      <c r="H646" s="1"/>
      <c r="I646" s="1"/>
      <c r="J646" s="1"/>
      <c r="K646" s="1"/>
      <c r="L646" s="1"/>
      <c r="M646" s="1"/>
      <c r="N646" s="1"/>
      <c r="O646" s="1"/>
      <c r="P646" s="1"/>
      <c r="Q646" s="1"/>
      <c r="R646" s="1"/>
      <c r="S646" s="1"/>
      <c r="T646" s="1"/>
      <c r="U646" s="2"/>
      <c r="V646" s="1"/>
      <c r="W646" s="1"/>
      <c r="X646" s="1"/>
      <c r="Y646" s="1"/>
      <c r="Z646" s="1"/>
    </row>
    <row r="647" spans="1:26" ht="24.75" customHeight="1">
      <c r="A647" s="1"/>
      <c r="B647" s="1"/>
      <c r="C647" s="1"/>
      <c r="D647" s="1"/>
      <c r="E647" s="1"/>
      <c r="F647" s="1"/>
      <c r="G647" s="1"/>
      <c r="H647" s="1"/>
      <c r="I647" s="1"/>
      <c r="J647" s="1"/>
      <c r="K647" s="1"/>
      <c r="L647" s="1"/>
      <c r="M647" s="1"/>
      <c r="N647" s="1"/>
      <c r="O647" s="1"/>
      <c r="P647" s="1"/>
      <c r="Q647" s="1"/>
      <c r="R647" s="1"/>
      <c r="S647" s="1"/>
      <c r="T647" s="1"/>
      <c r="U647" s="2"/>
      <c r="V647" s="1"/>
      <c r="W647" s="1"/>
      <c r="X647" s="1"/>
      <c r="Y647" s="1"/>
      <c r="Z647" s="1"/>
    </row>
    <row r="648" spans="1:26" ht="24.75" customHeight="1">
      <c r="A648" s="1"/>
      <c r="B648" s="1"/>
      <c r="C648" s="1"/>
      <c r="D648" s="1"/>
      <c r="E648" s="1"/>
      <c r="F648" s="1"/>
      <c r="G648" s="1"/>
      <c r="H648" s="1"/>
      <c r="I648" s="1"/>
      <c r="J648" s="1"/>
      <c r="K648" s="1"/>
      <c r="L648" s="1"/>
      <c r="M648" s="1"/>
      <c r="N648" s="1"/>
      <c r="O648" s="1"/>
      <c r="P648" s="1"/>
      <c r="Q648" s="1"/>
      <c r="R648" s="1"/>
      <c r="S648" s="1"/>
      <c r="T648" s="1"/>
      <c r="U648" s="2"/>
      <c r="V648" s="1"/>
      <c r="W648" s="1"/>
      <c r="X648" s="1"/>
      <c r="Y648" s="1"/>
      <c r="Z648" s="1"/>
    </row>
    <row r="649" spans="1:26" ht="24.75" customHeight="1">
      <c r="A649" s="1"/>
      <c r="B649" s="1"/>
      <c r="C649" s="1"/>
      <c r="D649" s="1"/>
      <c r="E649" s="1"/>
      <c r="F649" s="1"/>
      <c r="G649" s="1"/>
      <c r="H649" s="1"/>
      <c r="I649" s="1"/>
      <c r="J649" s="1"/>
      <c r="K649" s="1"/>
      <c r="L649" s="1"/>
      <c r="M649" s="1"/>
      <c r="N649" s="1"/>
      <c r="O649" s="1"/>
      <c r="P649" s="1"/>
      <c r="Q649" s="1"/>
      <c r="R649" s="1"/>
      <c r="S649" s="1"/>
      <c r="T649" s="1"/>
      <c r="U649" s="2"/>
      <c r="V649" s="1"/>
      <c r="W649" s="1"/>
      <c r="X649" s="1"/>
      <c r="Y649" s="1"/>
      <c r="Z649" s="1"/>
    </row>
    <row r="650" spans="1:26" ht="24.75" customHeight="1">
      <c r="A650" s="1"/>
      <c r="B650" s="1"/>
      <c r="C650" s="1"/>
      <c r="D650" s="1"/>
      <c r="E650" s="1"/>
      <c r="F650" s="1"/>
      <c r="G650" s="1"/>
      <c r="H650" s="1"/>
      <c r="I650" s="1"/>
      <c r="J650" s="1"/>
      <c r="K650" s="1"/>
      <c r="L650" s="1"/>
      <c r="M650" s="1"/>
      <c r="N650" s="1"/>
      <c r="O650" s="1"/>
      <c r="P650" s="1"/>
      <c r="Q650" s="1"/>
      <c r="R650" s="1"/>
      <c r="S650" s="1"/>
      <c r="T650" s="1"/>
      <c r="U650" s="2"/>
      <c r="V650" s="1"/>
      <c r="W650" s="1"/>
      <c r="X650" s="1"/>
      <c r="Y650" s="1"/>
      <c r="Z650" s="1"/>
    </row>
    <row r="651" spans="1:26" ht="24.75" customHeight="1">
      <c r="A651" s="1"/>
      <c r="B651" s="1"/>
      <c r="C651" s="1"/>
      <c r="D651" s="1"/>
      <c r="E651" s="1"/>
      <c r="F651" s="1"/>
      <c r="G651" s="1"/>
      <c r="H651" s="1"/>
      <c r="I651" s="1"/>
      <c r="J651" s="1"/>
      <c r="K651" s="1"/>
      <c r="L651" s="1"/>
      <c r="M651" s="1"/>
      <c r="N651" s="1"/>
      <c r="O651" s="1"/>
      <c r="P651" s="1"/>
      <c r="Q651" s="1"/>
      <c r="R651" s="1"/>
      <c r="S651" s="1"/>
      <c r="T651" s="1"/>
      <c r="U651" s="2"/>
      <c r="V651" s="1"/>
      <c r="W651" s="1"/>
      <c r="X651" s="1"/>
      <c r="Y651" s="1"/>
      <c r="Z651" s="1"/>
    </row>
    <row r="652" spans="1:26" ht="24.75" customHeight="1">
      <c r="A652" s="1"/>
      <c r="B652" s="1"/>
      <c r="C652" s="1"/>
      <c r="D652" s="1"/>
      <c r="E652" s="1"/>
      <c r="F652" s="1"/>
      <c r="G652" s="1"/>
      <c r="H652" s="1"/>
      <c r="I652" s="1"/>
      <c r="J652" s="1"/>
      <c r="K652" s="1"/>
      <c r="L652" s="1"/>
      <c r="M652" s="1"/>
      <c r="N652" s="1"/>
      <c r="O652" s="1"/>
      <c r="P652" s="1"/>
      <c r="Q652" s="1"/>
      <c r="R652" s="1"/>
      <c r="S652" s="1"/>
      <c r="T652" s="1"/>
      <c r="U652" s="2"/>
      <c r="V652" s="1"/>
      <c r="W652" s="1"/>
      <c r="X652" s="1"/>
      <c r="Y652" s="1"/>
      <c r="Z652" s="1"/>
    </row>
    <row r="653" spans="1:26" ht="24.75" customHeight="1">
      <c r="A653" s="1"/>
      <c r="B653" s="1"/>
      <c r="C653" s="1"/>
      <c r="D653" s="1"/>
      <c r="E653" s="1"/>
      <c r="F653" s="1"/>
      <c r="G653" s="1"/>
      <c r="H653" s="1"/>
      <c r="I653" s="1"/>
      <c r="J653" s="1"/>
      <c r="K653" s="1"/>
      <c r="L653" s="1"/>
      <c r="M653" s="1"/>
      <c r="N653" s="1"/>
      <c r="O653" s="1"/>
      <c r="P653" s="1"/>
      <c r="Q653" s="1"/>
      <c r="R653" s="1"/>
      <c r="S653" s="1"/>
      <c r="T653" s="1"/>
      <c r="U653" s="2"/>
      <c r="V653" s="1"/>
      <c r="W653" s="1"/>
      <c r="X653" s="1"/>
      <c r="Y653" s="1"/>
      <c r="Z653" s="1"/>
    </row>
    <row r="654" spans="1:26" ht="24.75" customHeight="1">
      <c r="A654" s="1"/>
      <c r="B654" s="1"/>
      <c r="C654" s="1"/>
      <c r="D654" s="1"/>
      <c r="E654" s="1"/>
      <c r="F654" s="1"/>
      <c r="G654" s="1"/>
      <c r="H654" s="1"/>
      <c r="I654" s="1"/>
      <c r="J654" s="1"/>
      <c r="K654" s="1"/>
      <c r="L654" s="1"/>
      <c r="M654" s="1"/>
      <c r="N654" s="1"/>
      <c r="O654" s="1"/>
      <c r="P654" s="1"/>
      <c r="Q654" s="1"/>
      <c r="R654" s="1"/>
      <c r="S654" s="1"/>
      <c r="T654" s="1"/>
      <c r="U654" s="2"/>
      <c r="V654" s="1"/>
      <c r="W654" s="1"/>
      <c r="X654" s="1"/>
      <c r="Y654" s="1"/>
      <c r="Z654" s="1"/>
    </row>
    <row r="655" spans="1:26" ht="24.75" customHeight="1">
      <c r="A655" s="1"/>
      <c r="B655" s="1"/>
      <c r="C655" s="1"/>
      <c r="D655" s="1"/>
      <c r="E655" s="1"/>
      <c r="F655" s="1"/>
      <c r="G655" s="1"/>
      <c r="H655" s="1"/>
      <c r="I655" s="1"/>
      <c r="J655" s="1"/>
      <c r="K655" s="1"/>
      <c r="L655" s="1"/>
      <c r="M655" s="1"/>
      <c r="N655" s="1"/>
      <c r="O655" s="1"/>
      <c r="P655" s="1"/>
      <c r="Q655" s="1"/>
      <c r="R655" s="1"/>
      <c r="S655" s="1"/>
      <c r="T655" s="1"/>
      <c r="U655" s="2"/>
      <c r="V655" s="1"/>
      <c r="W655" s="1"/>
      <c r="X655" s="1"/>
      <c r="Y655" s="1"/>
      <c r="Z655" s="1"/>
    </row>
    <row r="656" spans="1:26" ht="24.75" customHeight="1">
      <c r="A656" s="1"/>
      <c r="B656" s="1"/>
      <c r="C656" s="1"/>
      <c r="D656" s="1"/>
      <c r="E656" s="1"/>
      <c r="F656" s="1"/>
      <c r="G656" s="1"/>
      <c r="H656" s="1"/>
      <c r="I656" s="1"/>
      <c r="J656" s="1"/>
      <c r="K656" s="1"/>
      <c r="L656" s="1"/>
      <c r="M656" s="1"/>
      <c r="N656" s="1"/>
      <c r="O656" s="1"/>
      <c r="P656" s="1"/>
      <c r="Q656" s="1"/>
      <c r="R656" s="1"/>
      <c r="S656" s="1"/>
      <c r="T656" s="1"/>
      <c r="U656" s="2"/>
      <c r="V656" s="1"/>
      <c r="W656" s="1"/>
      <c r="X656" s="1"/>
      <c r="Y656" s="1"/>
      <c r="Z656" s="1"/>
    </row>
    <row r="657" spans="1:26" ht="24.75" customHeight="1">
      <c r="A657" s="1"/>
      <c r="B657" s="1"/>
      <c r="C657" s="1"/>
      <c r="D657" s="1"/>
      <c r="E657" s="1"/>
      <c r="F657" s="1"/>
      <c r="G657" s="1"/>
      <c r="H657" s="1"/>
      <c r="I657" s="1"/>
      <c r="J657" s="1"/>
      <c r="K657" s="1"/>
      <c r="L657" s="1"/>
      <c r="M657" s="1"/>
      <c r="N657" s="1"/>
      <c r="O657" s="1"/>
      <c r="P657" s="1"/>
      <c r="Q657" s="1"/>
      <c r="R657" s="1"/>
      <c r="S657" s="1"/>
      <c r="T657" s="1"/>
      <c r="U657" s="2"/>
      <c r="V657" s="1"/>
      <c r="W657" s="1"/>
      <c r="X657" s="1"/>
      <c r="Y657" s="1"/>
      <c r="Z657" s="1"/>
    </row>
    <row r="658" spans="1:26" ht="24.75" customHeight="1">
      <c r="A658" s="1"/>
      <c r="B658" s="1"/>
      <c r="C658" s="1"/>
      <c r="D658" s="1"/>
      <c r="E658" s="1"/>
      <c r="F658" s="1"/>
      <c r="G658" s="1"/>
      <c r="H658" s="1"/>
      <c r="I658" s="1"/>
      <c r="J658" s="1"/>
      <c r="K658" s="1"/>
      <c r="L658" s="1"/>
      <c r="M658" s="1"/>
      <c r="N658" s="1"/>
      <c r="O658" s="1"/>
      <c r="P658" s="1"/>
      <c r="Q658" s="1"/>
      <c r="R658" s="1"/>
      <c r="S658" s="1"/>
      <c r="T658" s="1"/>
      <c r="U658" s="2"/>
      <c r="V658" s="1"/>
      <c r="W658" s="1"/>
      <c r="X658" s="1"/>
      <c r="Y658" s="1"/>
      <c r="Z658" s="1"/>
    </row>
    <row r="659" spans="1:26" ht="24.75" customHeight="1">
      <c r="A659" s="1"/>
      <c r="B659" s="1"/>
      <c r="C659" s="1"/>
      <c r="D659" s="1"/>
      <c r="E659" s="1"/>
      <c r="F659" s="1"/>
      <c r="G659" s="1"/>
      <c r="H659" s="1"/>
      <c r="I659" s="1"/>
      <c r="J659" s="1"/>
      <c r="K659" s="1"/>
      <c r="L659" s="1"/>
      <c r="M659" s="1"/>
      <c r="N659" s="1"/>
      <c r="O659" s="1"/>
      <c r="P659" s="1"/>
      <c r="Q659" s="1"/>
      <c r="R659" s="1"/>
      <c r="S659" s="1"/>
      <c r="T659" s="1"/>
      <c r="U659" s="2"/>
      <c r="V659" s="1"/>
      <c r="W659" s="1"/>
      <c r="X659" s="1"/>
      <c r="Y659" s="1"/>
      <c r="Z659" s="1"/>
    </row>
    <row r="660" spans="1:26" ht="24.75" customHeight="1">
      <c r="A660" s="1"/>
      <c r="B660" s="1"/>
      <c r="C660" s="1"/>
      <c r="D660" s="1"/>
      <c r="E660" s="1"/>
      <c r="F660" s="1"/>
      <c r="G660" s="1"/>
      <c r="H660" s="1"/>
      <c r="I660" s="1"/>
      <c r="J660" s="1"/>
      <c r="K660" s="1"/>
      <c r="L660" s="1"/>
      <c r="M660" s="1"/>
      <c r="N660" s="1"/>
      <c r="O660" s="1"/>
      <c r="P660" s="1"/>
      <c r="Q660" s="1"/>
      <c r="R660" s="1"/>
      <c r="S660" s="1"/>
      <c r="T660" s="1"/>
      <c r="U660" s="2"/>
      <c r="V660" s="1"/>
      <c r="W660" s="1"/>
      <c r="X660" s="1"/>
      <c r="Y660" s="1"/>
      <c r="Z660" s="1"/>
    </row>
    <row r="661" spans="1:26" ht="24.75" customHeight="1">
      <c r="A661" s="1"/>
      <c r="B661" s="1"/>
      <c r="C661" s="1"/>
      <c r="D661" s="1"/>
      <c r="E661" s="1"/>
      <c r="F661" s="1"/>
      <c r="G661" s="1"/>
      <c r="H661" s="1"/>
      <c r="I661" s="1"/>
      <c r="J661" s="1"/>
      <c r="K661" s="1"/>
      <c r="L661" s="1"/>
      <c r="M661" s="1"/>
      <c r="N661" s="1"/>
      <c r="O661" s="1"/>
      <c r="P661" s="1"/>
      <c r="Q661" s="1"/>
      <c r="R661" s="1"/>
      <c r="S661" s="1"/>
      <c r="T661" s="1"/>
      <c r="U661" s="2"/>
      <c r="V661" s="1"/>
      <c r="W661" s="1"/>
      <c r="X661" s="1"/>
      <c r="Y661" s="1"/>
      <c r="Z661" s="1"/>
    </row>
    <row r="662" spans="1:26" ht="24.75" customHeight="1">
      <c r="A662" s="1"/>
      <c r="B662" s="1"/>
      <c r="C662" s="1"/>
      <c r="D662" s="1"/>
      <c r="E662" s="1"/>
      <c r="F662" s="1"/>
      <c r="G662" s="1"/>
      <c r="H662" s="1"/>
      <c r="I662" s="1"/>
      <c r="J662" s="1"/>
      <c r="K662" s="1"/>
      <c r="L662" s="1"/>
      <c r="M662" s="1"/>
      <c r="N662" s="1"/>
      <c r="O662" s="1"/>
      <c r="P662" s="1"/>
      <c r="Q662" s="1"/>
      <c r="R662" s="1"/>
      <c r="S662" s="1"/>
      <c r="T662" s="1"/>
      <c r="U662" s="2"/>
      <c r="V662" s="1"/>
      <c r="W662" s="1"/>
      <c r="X662" s="1"/>
      <c r="Y662" s="1"/>
      <c r="Z662" s="1"/>
    </row>
    <row r="663" spans="1:26" ht="24.75" customHeight="1">
      <c r="A663" s="1"/>
      <c r="B663" s="1"/>
      <c r="C663" s="1"/>
      <c r="D663" s="1"/>
      <c r="E663" s="1"/>
      <c r="F663" s="1"/>
      <c r="G663" s="1"/>
      <c r="H663" s="1"/>
      <c r="I663" s="1"/>
      <c r="J663" s="1"/>
      <c r="K663" s="1"/>
      <c r="L663" s="1"/>
      <c r="M663" s="1"/>
      <c r="N663" s="1"/>
      <c r="O663" s="1"/>
      <c r="P663" s="1"/>
      <c r="Q663" s="1"/>
      <c r="R663" s="1"/>
      <c r="S663" s="1"/>
      <c r="T663" s="1"/>
      <c r="U663" s="2"/>
      <c r="V663" s="1"/>
      <c r="W663" s="1"/>
      <c r="X663" s="1"/>
      <c r="Y663" s="1"/>
      <c r="Z663" s="1"/>
    </row>
    <row r="664" spans="1:26" ht="24.75" customHeight="1">
      <c r="A664" s="1"/>
      <c r="B664" s="1"/>
      <c r="C664" s="1"/>
      <c r="D664" s="1"/>
      <c r="E664" s="1"/>
      <c r="F664" s="1"/>
      <c r="G664" s="1"/>
      <c r="H664" s="1"/>
      <c r="I664" s="1"/>
      <c r="J664" s="1"/>
      <c r="K664" s="1"/>
      <c r="L664" s="1"/>
      <c r="M664" s="1"/>
      <c r="N664" s="1"/>
      <c r="O664" s="1"/>
      <c r="P664" s="1"/>
      <c r="Q664" s="1"/>
      <c r="R664" s="1"/>
      <c r="S664" s="1"/>
      <c r="T664" s="1"/>
      <c r="U664" s="2"/>
      <c r="V664" s="1"/>
      <c r="W664" s="1"/>
      <c r="X664" s="1"/>
      <c r="Y664" s="1"/>
      <c r="Z664" s="1"/>
    </row>
    <row r="665" spans="1:26" ht="24.75" customHeight="1">
      <c r="A665" s="1"/>
      <c r="B665" s="1"/>
      <c r="C665" s="1"/>
      <c r="D665" s="1"/>
      <c r="E665" s="1"/>
      <c r="F665" s="1"/>
      <c r="G665" s="1"/>
      <c r="H665" s="1"/>
      <c r="I665" s="1"/>
      <c r="J665" s="1"/>
      <c r="K665" s="1"/>
      <c r="L665" s="1"/>
      <c r="M665" s="1"/>
      <c r="N665" s="1"/>
      <c r="O665" s="1"/>
      <c r="P665" s="1"/>
      <c r="Q665" s="1"/>
      <c r="R665" s="1"/>
      <c r="S665" s="1"/>
      <c r="T665" s="1"/>
      <c r="U665" s="2"/>
      <c r="V665" s="1"/>
      <c r="W665" s="1"/>
      <c r="X665" s="1"/>
      <c r="Y665" s="1"/>
      <c r="Z665" s="1"/>
    </row>
    <row r="666" spans="1:26" ht="24.75" customHeight="1">
      <c r="A666" s="1"/>
      <c r="B666" s="1"/>
      <c r="C666" s="1"/>
      <c r="D666" s="1"/>
      <c r="E666" s="1"/>
      <c r="F666" s="1"/>
      <c r="G666" s="1"/>
      <c r="H666" s="1"/>
      <c r="I666" s="1"/>
      <c r="J666" s="1"/>
      <c r="K666" s="1"/>
      <c r="L666" s="1"/>
      <c r="M666" s="1"/>
      <c r="N666" s="1"/>
      <c r="O666" s="1"/>
      <c r="P666" s="1"/>
      <c r="Q666" s="1"/>
      <c r="R666" s="1"/>
      <c r="S666" s="1"/>
      <c r="T666" s="1"/>
      <c r="U666" s="2"/>
      <c r="V666" s="1"/>
      <c r="W666" s="1"/>
      <c r="X666" s="1"/>
      <c r="Y666" s="1"/>
      <c r="Z666" s="1"/>
    </row>
    <row r="667" spans="1:26" ht="24.75" customHeight="1">
      <c r="A667" s="1"/>
      <c r="B667" s="1"/>
      <c r="C667" s="1"/>
      <c r="D667" s="1"/>
      <c r="E667" s="1"/>
      <c r="F667" s="1"/>
      <c r="G667" s="1"/>
      <c r="H667" s="1"/>
      <c r="I667" s="1"/>
      <c r="J667" s="1"/>
      <c r="K667" s="1"/>
      <c r="L667" s="1"/>
      <c r="M667" s="1"/>
      <c r="N667" s="1"/>
      <c r="O667" s="1"/>
      <c r="P667" s="1"/>
      <c r="Q667" s="1"/>
      <c r="R667" s="1"/>
      <c r="S667" s="1"/>
      <c r="T667" s="1"/>
      <c r="U667" s="2"/>
      <c r="V667" s="1"/>
      <c r="W667" s="1"/>
      <c r="X667" s="1"/>
      <c r="Y667" s="1"/>
      <c r="Z667" s="1"/>
    </row>
    <row r="668" spans="1:26" ht="24.75" customHeight="1">
      <c r="A668" s="1"/>
      <c r="B668" s="1"/>
      <c r="C668" s="1"/>
      <c r="D668" s="1"/>
      <c r="E668" s="1"/>
      <c r="F668" s="1"/>
      <c r="G668" s="1"/>
      <c r="H668" s="1"/>
      <c r="I668" s="1"/>
      <c r="J668" s="1"/>
      <c r="K668" s="1"/>
      <c r="L668" s="1"/>
      <c r="M668" s="1"/>
      <c r="N668" s="1"/>
      <c r="O668" s="1"/>
      <c r="P668" s="1"/>
      <c r="Q668" s="1"/>
      <c r="R668" s="1"/>
      <c r="S668" s="1"/>
      <c r="T668" s="1"/>
      <c r="U668" s="2"/>
      <c r="V668" s="1"/>
      <c r="W668" s="1"/>
      <c r="X668" s="1"/>
      <c r="Y668" s="1"/>
      <c r="Z668" s="1"/>
    </row>
    <row r="669" spans="1:26" ht="24.75" customHeight="1">
      <c r="A669" s="1"/>
      <c r="B669" s="1"/>
      <c r="C669" s="1"/>
      <c r="D669" s="1"/>
      <c r="E669" s="1"/>
      <c r="F669" s="1"/>
      <c r="G669" s="1"/>
      <c r="H669" s="1"/>
      <c r="I669" s="1"/>
      <c r="J669" s="1"/>
      <c r="K669" s="1"/>
      <c r="L669" s="1"/>
      <c r="M669" s="1"/>
      <c r="N669" s="1"/>
      <c r="O669" s="1"/>
      <c r="P669" s="1"/>
      <c r="Q669" s="1"/>
      <c r="R669" s="1"/>
      <c r="S669" s="1"/>
      <c r="T669" s="1"/>
      <c r="U669" s="2"/>
      <c r="V669" s="1"/>
      <c r="W669" s="1"/>
      <c r="X669" s="1"/>
      <c r="Y669" s="1"/>
      <c r="Z669" s="1"/>
    </row>
    <row r="670" spans="1:26" ht="24.75" customHeight="1">
      <c r="A670" s="1"/>
      <c r="B670" s="1"/>
      <c r="C670" s="1"/>
      <c r="D670" s="1"/>
      <c r="E670" s="1"/>
      <c r="F670" s="1"/>
      <c r="G670" s="1"/>
      <c r="H670" s="1"/>
      <c r="I670" s="1"/>
      <c r="J670" s="1"/>
      <c r="K670" s="1"/>
      <c r="L670" s="1"/>
      <c r="M670" s="1"/>
      <c r="N670" s="1"/>
      <c r="O670" s="1"/>
      <c r="P670" s="1"/>
      <c r="Q670" s="1"/>
      <c r="R670" s="1"/>
      <c r="S670" s="1"/>
      <c r="T670" s="1"/>
      <c r="U670" s="2"/>
      <c r="V670" s="1"/>
      <c r="W670" s="1"/>
      <c r="X670" s="1"/>
      <c r="Y670" s="1"/>
      <c r="Z670" s="1"/>
    </row>
    <row r="671" spans="1:26" ht="24.75" customHeight="1">
      <c r="A671" s="1"/>
      <c r="B671" s="1"/>
      <c r="C671" s="1"/>
      <c r="D671" s="1"/>
      <c r="E671" s="1"/>
      <c r="F671" s="1"/>
      <c r="G671" s="1"/>
      <c r="H671" s="1"/>
      <c r="I671" s="1"/>
      <c r="J671" s="1"/>
      <c r="K671" s="1"/>
      <c r="L671" s="1"/>
      <c r="M671" s="1"/>
      <c r="N671" s="1"/>
      <c r="O671" s="1"/>
      <c r="P671" s="1"/>
      <c r="Q671" s="1"/>
      <c r="R671" s="1"/>
      <c r="S671" s="1"/>
      <c r="T671" s="1"/>
      <c r="U671" s="2"/>
      <c r="V671" s="1"/>
      <c r="W671" s="1"/>
      <c r="X671" s="1"/>
      <c r="Y671" s="1"/>
      <c r="Z671" s="1"/>
    </row>
    <row r="672" spans="1:26" ht="24.75" customHeight="1">
      <c r="A672" s="1"/>
      <c r="B672" s="1"/>
      <c r="C672" s="1"/>
      <c r="D672" s="1"/>
      <c r="E672" s="1"/>
      <c r="F672" s="1"/>
      <c r="G672" s="1"/>
      <c r="H672" s="1"/>
      <c r="I672" s="1"/>
      <c r="J672" s="1"/>
      <c r="K672" s="1"/>
      <c r="L672" s="1"/>
      <c r="M672" s="1"/>
      <c r="N672" s="1"/>
      <c r="O672" s="1"/>
      <c r="P672" s="1"/>
      <c r="Q672" s="1"/>
      <c r="R672" s="1"/>
      <c r="S672" s="1"/>
      <c r="T672" s="1"/>
      <c r="U672" s="2"/>
      <c r="V672" s="1"/>
      <c r="W672" s="1"/>
      <c r="X672" s="1"/>
      <c r="Y672" s="1"/>
      <c r="Z672" s="1"/>
    </row>
    <row r="673" spans="1:26" ht="24.75" customHeight="1">
      <c r="A673" s="1"/>
      <c r="B673" s="1"/>
      <c r="C673" s="1"/>
      <c r="D673" s="1"/>
      <c r="E673" s="1"/>
      <c r="F673" s="1"/>
      <c r="G673" s="1"/>
      <c r="H673" s="1"/>
      <c r="I673" s="1"/>
      <c r="J673" s="1"/>
      <c r="K673" s="1"/>
      <c r="L673" s="1"/>
      <c r="M673" s="1"/>
      <c r="N673" s="1"/>
      <c r="O673" s="1"/>
      <c r="P673" s="1"/>
      <c r="Q673" s="1"/>
      <c r="R673" s="1"/>
      <c r="S673" s="1"/>
      <c r="T673" s="1"/>
      <c r="U673" s="2"/>
      <c r="V673" s="1"/>
      <c r="W673" s="1"/>
      <c r="X673" s="1"/>
      <c r="Y673" s="1"/>
      <c r="Z673" s="1"/>
    </row>
    <row r="674" spans="1:26" ht="24.75" customHeight="1">
      <c r="A674" s="1"/>
      <c r="B674" s="1"/>
      <c r="C674" s="1"/>
      <c r="D674" s="1"/>
      <c r="E674" s="1"/>
      <c r="F674" s="1"/>
      <c r="G674" s="1"/>
      <c r="H674" s="1"/>
      <c r="I674" s="1"/>
      <c r="J674" s="1"/>
      <c r="K674" s="1"/>
      <c r="L674" s="1"/>
      <c r="M674" s="1"/>
      <c r="N674" s="1"/>
      <c r="O674" s="1"/>
      <c r="P674" s="1"/>
      <c r="Q674" s="1"/>
      <c r="R674" s="1"/>
      <c r="S674" s="1"/>
      <c r="T674" s="1"/>
      <c r="U674" s="2"/>
      <c r="V674" s="1"/>
      <c r="W674" s="1"/>
      <c r="X674" s="1"/>
      <c r="Y674" s="1"/>
      <c r="Z674" s="1"/>
    </row>
    <row r="675" spans="1:26" ht="24.75" customHeight="1">
      <c r="A675" s="1"/>
      <c r="B675" s="1"/>
      <c r="C675" s="1"/>
      <c r="D675" s="1"/>
      <c r="E675" s="1"/>
      <c r="F675" s="1"/>
      <c r="G675" s="1"/>
      <c r="H675" s="1"/>
      <c r="I675" s="1"/>
      <c r="J675" s="1"/>
      <c r="K675" s="1"/>
      <c r="L675" s="1"/>
      <c r="M675" s="1"/>
      <c r="N675" s="1"/>
      <c r="O675" s="1"/>
      <c r="P675" s="1"/>
      <c r="Q675" s="1"/>
      <c r="R675" s="1"/>
      <c r="S675" s="1"/>
      <c r="T675" s="1"/>
      <c r="U675" s="2"/>
      <c r="V675" s="1"/>
      <c r="W675" s="1"/>
      <c r="X675" s="1"/>
      <c r="Y675" s="1"/>
      <c r="Z675" s="1"/>
    </row>
    <row r="676" spans="1:26" ht="24.75" customHeight="1">
      <c r="A676" s="1"/>
      <c r="B676" s="1"/>
      <c r="C676" s="1"/>
      <c r="D676" s="1"/>
      <c r="E676" s="1"/>
      <c r="F676" s="1"/>
      <c r="G676" s="1"/>
      <c r="H676" s="1"/>
      <c r="I676" s="1"/>
      <c r="J676" s="1"/>
      <c r="K676" s="1"/>
      <c r="L676" s="1"/>
      <c r="M676" s="1"/>
      <c r="N676" s="1"/>
      <c r="O676" s="1"/>
      <c r="P676" s="1"/>
      <c r="Q676" s="1"/>
      <c r="R676" s="1"/>
      <c r="S676" s="1"/>
      <c r="T676" s="1"/>
      <c r="U676" s="2"/>
      <c r="V676" s="1"/>
      <c r="W676" s="1"/>
      <c r="X676" s="1"/>
      <c r="Y676" s="1"/>
      <c r="Z676" s="1"/>
    </row>
    <row r="677" spans="1:26" ht="24.75" customHeight="1">
      <c r="A677" s="1"/>
      <c r="B677" s="1"/>
      <c r="C677" s="1"/>
      <c r="D677" s="1"/>
      <c r="E677" s="1"/>
      <c r="F677" s="1"/>
      <c r="G677" s="1"/>
      <c r="H677" s="1"/>
      <c r="I677" s="1"/>
      <c r="J677" s="1"/>
      <c r="K677" s="1"/>
      <c r="L677" s="1"/>
      <c r="M677" s="1"/>
      <c r="N677" s="1"/>
      <c r="O677" s="1"/>
      <c r="P677" s="1"/>
      <c r="Q677" s="1"/>
      <c r="R677" s="1"/>
      <c r="S677" s="1"/>
      <c r="T677" s="1"/>
      <c r="U677" s="2"/>
      <c r="V677" s="1"/>
      <c r="W677" s="1"/>
      <c r="X677" s="1"/>
      <c r="Y677" s="1"/>
      <c r="Z677" s="1"/>
    </row>
    <row r="678" spans="1:26" ht="24.75" customHeight="1">
      <c r="A678" s="1"/>
      <c r="B678" s="1"/>
      <c r="C678" s="1"/>
      <c r="D678" s="1"/>
      <c r="E678" s="1"/>
      <c r="F678" s="1"/>
      <c r="G678" s="1"/>
      <c r="H678" s="1"/>
      <c r="I678" s="1"/>
      <c r="J678" s="1"/>
      <c r="K678" s="1"/>
      <c r="L678" s="1"/>
      <c r="M678" s="1"/>
      <c r="N678" s="1"/>
      <c r="O678" s="1"/>
      <c r="P678" s="1"/>
      <c r="Q678" s="1"/>
      <c r="R678" s="1"/>
      <c r="S678" s="1"/>
      <c r="T678" s="1"/>
      <c r="U678" s="2"/>
      <c r="V678" s="1"/>
      <c r="W678" s="1"/>
      <c r="X678" s="1"/>
      <c r="Y678" s="1"/>
      <c r="Z678" s="1"/>
    </row>
    <row r="679" spans="1:26" ht="24.75" customHeight="1">
      <c r="A679" s="1"/>
      <c r="B679" s="1"/>
      <c r="C679" s="1"/>
      <c r="D679" s="1"/>
      <c r="E679" s="1"/>
      <c r="F679" s="1"/>
      <c r="G679" s="1"/>
      <c r="H679" s="1"/>
      <c r="I679" s="1"/>
      <c r="J679" s="1"/>
      <c r="K679" s="1"/>
      <c r="L679" s="1"/>
      <c r="M679" s="1"/>
      <c r="N679" s="1"/>
      <c r="O679" s="1"/>
      <c r="P679" s="1"/>
      <c r="Q679" s="1"/>
      <c r="R679" s="1"/>
      <c r="S679" s="1"/>
      <c r="T679" s="1"/>
      <c r="U679" s="2"/>
      <c r="V679" s="1"/>
      <c r="W679" s="1"/>
      <c r="X679" s="1"/>
      <c r="Y679" s="1"/>
      <c r="Z679" s="1"/>
    </row>
    <row r="680" spans="1:26" ht="24.75" customHeight="1">
      <c r="A680" s="1"/>
      <c r="B680" s="1"/>
      <c r="C680" s="1"/>
      <c r="D680" s="1"/>
      <c r="E680" s="1"/>
      <c r="F680" s="1"/>
      <c r="G680" s="1"/>
      <c r="H680" s="1"/>
      <c r="I680" s="1"/>
      <c r="J680" s="1"/>
      <c r="K680" s="1"/>
      <c r="L680" s="1"/>
      <c r="M680" s="1"/>
      <c r="N680" s="1"/>
      <c r="O680" s="1"/>
      <c r="P680" s="1"/>
      <c r="Q680" s="1"/>
      <c r="R680" s="1"/>
      <c r="S680" s="1"/>
      <c r="T680" s="1"/>
      <c r="U680" s="2"/>
      <c r="V680" s="1"/>
      <c r="W680" s="1"/>
      <c r="X680" s="1"/>
      <c r="Y680" s="1"/>
      <c r="Z680" s="1"/>
    </row>
    <row r="681" spans="1:26" ht="24.75" customHeight="1">
      <c r="A681" s="1"/>
      <c r="B681" s="1"/>
      <c r="C681" s="1"/>
      <c r="D681" s="1"/>
      <c r="E681" s="1"/>
      <c r="F681" s="1"/>
      <c r="G681" s="1"/>
      <c r="H681" s="1"/>
      <c r="I681" s="1"/>
      <c r="J681" s="1"/>
      <c r="K681" s="1"/>
      <c r="L681" s="1"/>
      <c r="M681" s="1"/>
      <c r="N681" s="1"/>
      <c r="O681" s="1"/>
      <c r="P681" s="1"/>
      <c r="Q681" s="1"/>
      <c r="R681" s="1"/>
      <c r="S681" s="1"/>
      <c r="T681" s="1"/>
      <c r="U681" s="2"/>
      <c r="V681" s="1"/>
      <c r="W681" s="1"/>
      <c r="X681" s="1"/>
      <c r="Y681" s="1"/>
      <c r="Z681" s="1"/>
    </row>
    <row r="682" spans="1:26" ht="24.75" customHeight="1">
      <c r="A682" s="1"/>
      <c r="B682" s="1"/>
      <c r="C682" s="1"/>
      <c r="D682" s="1"/>
      <c r="E682" s="1"/>
      <c r="F682" s="1"/>
      <c r="G682" s="1"/>
      <c r="H682" s="1"/>
      <c r="I682" s="1"/>
      <c r="J682" s="1"/>
      <c r="K682" s="1"/>
      <c r="L682" s="1"/>
      <c r="M682" s="1"/>
      <c r="N682" s="1"/>
      <c r="O682" s="1"/>
      <c r="P682" s="1"/>
      <c r="Q682" s="1"/>
      <c r="R682" s="1"/>
      <c r="S682" s="1"/>
      <c r="T682" s="1"/>
      <c r="U682" s="2"/>
      <c r="V682" s="1"/>
      <c r="W682" s="1"/>
      <c r="X682" s="1"/>
      <c r="Y682" s="1"/>
      <c r="Z682" s="1"/>
    </row>
    <row r="683" spans="1:26" ht="24.75" customHeight="1">
      <c r="A683" s="1"/>
      <c r="B683" s="1"/>
      <c r="C683" s="1"/>
      <c r="D683" s="1"/>
      <c r="E683" s="1"/>
      <c r="F683" s="1"/>
      <c r="G683" s="1"/>
      <c r="H683" s="1"/>
      <c r="I683" s="1"/>
      <c r="J683" s="1"/>
      <c r="K683" s="1"/>
      <c r="L683" s="1"/>
      <c r="M683" s="1"/>
      <c r="N683" s="1"/>
      <c r="O683" s="1"/>
      <c r="P683" s="1"/>
      <c r="Q683" s="1"/>
      <c r="R683" s="1"/>
      <c r="S683" s="1"/>
      <c r="T683" s="1"/>
      <c r="U683" s="2"/>
      <c r="V683" s="1"/>
      <c r="W683" s="1"/>
      <c r="X683" s="1"/>
      <c r="Y683" s="1"/>
      <c r="Z683" s="1"/>
    </row>
    <row r="684" spans="1:26" ht="24.75" customHeight="1">
      <c r="A684" s="1"/>
      <c r="B684" s="1"/>
      <c r="C684" s="1"/>
      <c r="D684" s="1"/>
      <c r="E684" s="1"/>
      <c r="F684" s="1"/>
      <c r="G684" s="1"/>
      <c r="H684" s="1"/>
      <c r="I684" s="1"/>
      <c r="J684" s="1"/>
      <c r="K684" s="1"/>
      <c r="L684" s="1"/>
      <c r="M684" s="1"/>
      <c r="N684" s="1"/>
      <c r="O684" s="1"/>
      <c r="P684" s="1"/>
      <c r="Q684" s="1"/>
      <c r="R684" s="1"/>
      <c r="S684" s="1"/>
      <c r="T684" s="1"/>
      <c r="U684" s="2"/>
      <c r="V684" s="1"/>
      <c r="W684" s="1"/>
      <c r="X684" s="1"/>
      <c r="Y684" s="1"/>
      <c r="Z684" s="1"/>
    </row>
    <row r="685" spans="1:26" ht="24.75" customHeight="1">
      <c r="A685" s="1"/>
      <c r="B685" s="1"/>
      <c r="C685" s="1"/>
      <c r="D685" s="1"/>
      <c r="E685" s="1"/>
      <c r="F685" s="1"/>
      <c r="G685" s="1"/>
      <c r="H685" s="1"/>
      <c r="I685" s="1"/>
      <c r="J685" s="1"/>
      <c r="K685" s="1"/>
      <c r="L685" s="1"/>
      <c r="M685" s="1"/>
      <c r="N685" s="1"/>
      <c r="O685" s="1"/>
      <c r="P685" s="1"/>
      <c r="Q685" s="1"/>
      <c r="R685" s="1"/>
      <c r="S685" s="1"/>
      <c r="T685" s="1"/>
      <c r="U685" s="2"/>
      <c r="V685" s="1"/>
      <c r="W685" s="1"/>
      <c r="X685" s="1"/>
      <c r="Y685" s="1"/>
      <c r="Z685" s="1"/>
    </row>
    <row r="686" spans="1:26" ht="24.75" customHeight="1">
      <c r="A686" s="1"/>
      <c r="B686" s="1"/>
      <c r="C686" s="1"/>
      <c r="D686" s="1"/>
      <c r="E686" s="1"/>
      <c r="F686" s="1"/>
      <c r="G686" s="1"/>
      <c r="H686" s="1"/>
      <c r="I686" s="1"/>
      <c r="J686" s="1"/>
      <c r="K686" s="1"/>
      <c r="L686" s="1"/>
      <c r="M686" s="1"/>
      <c r="N686" s="1"/>
      <c r="O686" s="1"/>
      <c r="P686" s="1"/>
      <c r="Q686" s="1"/>
      <c r="R686" s="1"/>
      <c r="S686" s="1"/>
      <c r="T686" s="1"/>
      <c r="U686" s="2"/>
      <c r="V686" s="1"/>
      <c r="W686" s="1"/>
      <c r="X686" s="1"/>
      <c r="Y686" s="1"/>
      <c r="Z686" s="1"/>
    </row>
    <row r="687" spans="1:26" ht="24.75" customHeight="1">
      <c r="A687" s="1"/>
      <c r="B687" s="1"/>
      <c r="C687" s="1"/>
      <c r="D687" s="1"/>
      <c r="E687" s="1"/>
      <c r="F687" s="1"/>
      <c r="G687" s="1"/>
      <c r="H687" s="1"/>
      <c r="I687" s="1"/>
      <c r="J687" s="1"/>
      <c r="K687" s="1"/>
      <c r="L687" s="1"/>
      <c r="M687" s="1"/>
      <c r="N687" s="1"/>
      <c r="O687" s="1"/>
      <c r="P687" s="1"/>
      <c r="Q687" s="1"/>
      <c r="R687" s="1"/>
      <c r="S687" s="1"/>
      <c r="T687" s="1"/>
      <c r="U687" s="2"/>
      <c r="V687" s="1"/>
      <c r="W687" s="1"/>
      <c r="X687" s="1"/>
      <c r="Y687" s="1"/>
      <c r="Z687" s="1"/>
    </row>
    <row r="688" spans="1:26" ht="24.75" customHeight="1">
      <c r="A688" s="1"/>
      <c r="B688" s="1"/>
      <c r="C688" s="1"/>
      <c r="D688" s="1"/>
      <c r="E688" s="1"/>
      <c r="F688" s="1"/>
      <c r="G688" s="1"/>
      <c r="H688" s="1"/>
      <c r="I688" s="1"/>
      <c r="J688" s="1"/>
      <c r="K688" s="1"/>
      <c r="L688" s="1"/>
      <c r="M688" s="1"/>
      <c r="N688" s="1"/>
      <c r="O688" s="1"/>
      <c r="P688" s="1"/>
      <c r="Q688" s="1"/>
      <c r="R688" s="1"/>
      <c r="S688" s="1"/>
      <c r="T688" s="1"/>
      <c r="U688" s="2"/>
      <c r="V688" s="1"/>
      <c r="W688" s="1"/>
      <c r="X688" s="1"/>
      <c r="Y688" s="1"/>
      <c r="Z688" s="1"/>
    </row>
    <row r="689" spans="1:26" ht="24.75" customHeight="1">
      <c r="A689" s="1"/>
      <c r="B689" s="1"/>
      <c r="C689" s="1"/>
      <c r="D689" s="1"/>
      <c r="E689" s="1"/>
      <c r="F689" s="1"/>
      <c r="G689" s="1"/>
      <c r="H689" s="1"/>
      <c r="I689" s="1"/>
      <c r="J689" s="1"/>
      <c r="K689" s="1"/>
      <c r="L689" s="1"/>
      <c r="M689" s="1"/>
      <c r="N689" s="1"/>
      <c r="O689" s="1"/>
      <c r="P689" s="1"/>
      <c r="Q689" s="1"/>
      <c r="R689" s="1"/>
      <c r="S689" s="1"/>
      <c r="T689" s="1"/>
      <c r="U689" s="2"/>
      <c r="V689" s="1"/>
      <c r="W689" s="1"/>
      <c r="X689" s="1"/>
      <c r="Y689" s="1"/>
      <c r="Z689" s="1"/>
    </row>
    <row r="690" spans="1:26" ht="24.75" customHeight="1">
      <c r="A690" s="1"/>
      <c r="B690" s="1"/>
      <c r="C690" s="1"/>
      <c r="D690" s="1"/>
      <c r="E690" s="1"/>
      <c r="F690" s="1"/>
      <c r="G690" s="1"/>
      <c r="H690" s="1"/>
      <c r="I690" s="1"/>
      <c r="J690" s="1"/>
      <c r="K690" s="1"/>
      <c r="L690" s="1"/>
      <c r="M690" s="1"/>
      <c r="N690" s="1"/>
      <c r="O690" s="1"/>
      <c r="P690" s="1"/>
      <c r="Q690" s="1"/>
      <c r="R690" s="1"/>
      <c r="S690" s="1"/>
      <c r="T690" s="1"/>
      <c r="U690" s="2"/>
      <c r="V690" s="1"/>
      <c r="W690" s="1"/>
      <c r="X690" s="1"/>
      <c r="Y690" s="1"/>
      <c r="Z690" s="1"/>
    </row>
    <row r="691" spans="1:26" ht="24.75" customHeight="1">
      <c r="A691" s="1"/>
      <c r="B691" s="1"/>
      <c r="C691" s="1"/>
      <c r="D691" s="1"/>
      <c r="E691" s="1"/>
      <c r="F691" s="1"/>
      <c r="G691" s="1"/>
      <c r="H691" s="1"/>
      <c r="I691" s="1"/>
      <c r="J691" s="1"/>
      <c r="K691" s="1"/>
      <c r="L691" s="1"/>
      <c r="M691" s="1"/>
      <c r="N691" s="1"/>
      <c r="O691" s="1"/>
      <c r="P691" s="1"/>
      <c r="Q691" s="1"/>
      <c r="R691" s="1"/>
      <c r="S691" s="1"/>
      <c r="T691" s="1"/>
      <c r="U691" s="2"/>
      <c r="V691" s="1"/>
      <c r="W691" s="1"/>
      <c r="X691" s="1"/>
      <c r="Y691" s="1"/>
      <c r="Z691" s="1"/>
    </row>
    <row r="692" spans="1:26" ht="24.75" customHeight="1">
      <c r="A692" s="1"/>
      <c r="B692" s="1"/>
      <c r="C692" s="1"/>
      <c r="D692" s="1"/>
      <c r="E692" s="1"/>
      <c r="F692" s="1"/>
      <c r="G692" s="1"/>
      <c r="H692" s="1"/>
      <c r="I692" s="1"/>
      <c r="J692" s="1"/>
      <c r="K692" s="1"/>
      <c r="L692" s="1"/>
      <c r="M692" s="1"/>
      <c r="N692" s="1"/>
      <c r="O692" s="1"/>
      <c r="P692" s="1"/>
      <c r="Q692" s="1"/>
      <c r="R692" s="1"/>
      <c r="S692" s="1"/>
      <c r="T692" s="1"/>
      <c r="U692" s="2"/>
      <c r="V692" s="1"/>
      <c r="W692" s="1"/>
      <c r="X692" s="1"/>
      <c r="Y692" s="1"/>
      <c r="Z692" s="1"/>
    </row>
    <row r="693" spans="1:26" ht="24.75" customHeight="1">
      <c r="A693" s="1"/>
      <c r="B693" s="1"/>
      <c r="C693" s="1"/>
      <c r="D693" s="1"/>
      <c r="E693" s="1"/>
      <c r="F693" s="1"/>
      <c r="G693" s="1"/>
      <c r="H693" s="1"/>
      <c r="I693" s="1"/>
      <c r="J693" s="1"/>
      <c r="K693" s="1"/>
      <c r="L693" s="1"/>
      <c r="M693" s="1"/>
      <c r="N693" s="1"/>
      <c r="O693" s="1"/>
      <c r="P693" s="1"/>
      <c r="Q693" s="1"/>
      <c r="R693" s="1"/>
      <c r="S693" s="1"/>
      <c r="T693" s="1"/>
      <c r="U693" s="2"/>
      <c r="V693" s="1"/>
      <c r="W693" s="1"/>
      <c r="X693" s="1"/>
      <c r="Y693" s="1"/>
      <c r="Z693" s="1"/>
    </row>
    <row r="694" spans="1:26" ht="24.75" customHeight="1">
      <c r="A694" s="1"/>
      <c r="B694" s="1"/>
      <c r="C694" s="1"/>
      <c r="D694" s="1"/>
      <c r="E694" s="1"/>
      <c r="F694" s="1"/>
      <c r="G694" s="1"/>
      <c r="H694" s="1"/>
      <c r="I694" s="1"/>
      <c r="J694" s="1"/>
      <c r="K694" s="1"/>
      <c r="L694" s="1"/>
      <c r="M694" s="1"/>
      <c r="N694" s="1"/>
      <c r="O694" s="1"/>
      <c r="P694" s="1"/>
      <c r="Q694" s="1"/>
      <c r="R694" s="1"/>
      <c r="S694" s="1"/>
      <c r="T694" s="1"/>
      <c r="U694" s="2"/>
      <c r="V694" s="1"/>
      <c r="W694" s="1"/>
      <c r="X694" s="1"/>
      <c r="Y694" s="1"/>
      <c r="Z694" s="1"/>
    </row>
    <row r="695" spans="1:26" ht="24.75" customHeight="1">
      <c r="A695" s="1"/>
      <c r="B695" s="1"/>
      <c r="C695" s="1"/>
      <c r="D695" s="1"/>
      <c r="E695" s="1"/>
      <c r="F695" s="1"/>
      <c r="G695" s="1"/>
      <c r="H695" s="1"/>
      <c r="I695" s="1"/>
      <c r="J695" s="1"/>
      <c r="K695" s="1"/>
      <c r="L695" s="1"/>
      <c r="M695" s="1"/>
      <c r="N695" s="1"/>
      <c r="O695" s="1"/>
      <c r="P695" s="1"/>
      <c r="Q695" s="1"/>
      <c r="R695" s="1"/>
      <c r="S695" s="1"/>
      <c r="T695" s="1"/>
      <c r="U695" s="2"/>
      <c r="V695" s="1"/>
      <c r="W695" s="1"/>
      <c r="X695" s="1"/>
      <c r="Y695" s="1"/>
      <c r="Z695" s="1"/>
    </row>
    <row r="696" spans="1:26" ht="24.75" customHeight="1">
      <c r="A696" s="1"/>
      <c r="B696" s="1"/>
      <c r="C696" s="1"/>
      <c r="D696" s="1"/>
      <c r="E696" s="1"/>
      <c r="F696" s="1"/>
      <c r="G696" s="1"/>
      <c r="H696" s="1"/>
      <c r="I696" s="1"/>
      <c r="J696" s="1"/>
      <c r="K696" s="1"/>
      <c r="L696" s="1"/>
      <c r="M696" s="1"/>
      <c r="N696" s="1"/>
      <c r="O696" s="1"/>
      <c r="P696" s="1"/>
      <c r="Q696" s="1"/>
      <c r="R696" s="1"/>
      <c r="S696" s="1"/>
      <c r="T696" s="1"/>
      <c r="U696" s="2"/>
      <c r="V696" s="1"/>
      <c r="W696" s="1"/>
      <c r="X696" s="1"/>
      <c r="Y696" s="1"/>
      <c r="Z696" s="1"/>
    </row>
    <row r="697" spans="1:26" ht="24.75" customHeight="1">
      <c r="A697" s="1"/>
      <c r="B697" s="1"/>
      <c r="C697" s="1"/>
      <c r="D697" s="1"/>
      <c r="E697" s="1"/>
      <c r="F697" s="1"/>
      <c r="G697" s="1"/>
      <c r="H697" s="1"/>
      <c r="I697" s="1"/>
      <c r="J697" s="1"/>
      <c r="K697" s="1"/>
      <c r="L697" s="1"/>
      <c r="M697" s="1"/>
      <c r="N697" s="1"/>
      <c r="O697" s="1"/>
      <c r="P697" s="1"/>
      <c r="Q697" s="1"/>
      <c r="R697" s="1"/>
      <c r="S697" s="1"/>
      <c r="T697" s="1"/>
      <c r="U697" s="2"/>
      <c r="V697" s="1"/>
      <c r="W697" s="1"/>
      <c r="X697" s="1"/>
      <c r="Y697" s="1"/>
      <c r="Z697" s="1"/>
    </row>
    <row r="698" spans="1:26" ht="24.75" customHeight="1">
      <c r="A698" s="1"/>
      <c r="B698" s="1"/>
      <c r="C698" s="1"/>
      <c r="D698" s="1"/>
      <c r="E698" s="1"/>
      <c r="F698" s="1"/>
      <c r="G698" s="1"/>
      <c r="H698" s="1"/>
      <c r="I698" s="1"/>
      <c r="J698" s="1"/>
      <c r="K698" s="1"/>
      <c r="L698" s="1"/>
      <c r="M698" s="1"/>
      <c r="N698" s="1"/>
      <c r="O698" s="1"/>
      <c r="P698" s="1"/>
      <c r="Q698" s="1"/>
      <c r="R698" s="1"/>
      <c r="S698" s="1"/>
      <c r="T698" s="1"/>
      <c r="U698" s="2"/>
      <c r="V698" s="1"/>
      <c r="W698" s="1"/>
      <c r="X698" s="1"/>
      <c r="Y698" s="1"/>
      <c r="Z698" s="1"/>
    </row>
    <row r="699" spans="1:26" ht="24.75" customHeight="1">
      <c r="A699" s="1"/>
      <c r="B699" s="1"/>
      <c r="C699" s="1"/>
      <c r="D699" s="1"/>
      <c r="E699" s="1"/>
      <c r="F699" s="1"/>
      <c r="G699" s="1"/>
      <c r="H699" s="1"/>
      <c r="I699" s="1"/>
      <c r="J699" s="1"/>
      <c r="K699" s="1"/>
      <c r="L699" s="1"/>
      <c r="M699" s="1"/>
      <c r="N699" s="1"/>
      <c r="O699" s="1"/>
      <c r="P699" s="1"/>
      <c r="Q699" s="1"/>
      <c r="R699" s="1"/>
      <c r="S699" s="1"/>
      <c r="T699" s="1"/>
      <c r="U699" s="2"/>
      <c r="V699" s="1"/>
      <c r="W699" s="1"/>
      <c r="X699" s="1"/>
      <c r="Y699" s="1"/>
      <c r="Z699" s="1"/>
    </row>
    <row r="700" spans="1:26" ht="24.75" customHeight="1">
      <c r="A700" s="1"/>
      <c r="B700" s="1"/>
      <c r="C700" s="1"/>
      <c r="D700" s="1"/>
      <c r="E700" s="1"/>
      <c r="F700" s="1"/>
      <c r="G700" s="1"/>
      <c r="H700" s="1"/>
      <c r="I700" s="1"/>
      <c r="J700" s="1"/>
      <c r="K700" s="1"/>
      <c r="L700" s="1"/>
      <c r="M700" s="1"/>
      <c r="N700" s="1"/>
      <c r="O700" s="1"/>
      <c r="P700" s="1"/>
      <c r="Q700" s="1"/>
      <c r="R700" s="1"/>
      <c r="S700" s="1"/>
      <c r="T700" s="1"/>
      <c r="U700" s="2"/>
      <c r="V700" s="1"/>
      <c r="W700" s="1"/>
      <c r="X700" s="1"/>
      <c r="Y700" s="1"/>
      <c r="Z700" s="1"/>
    </row>
    <row r="701" spans="1:26" ht="24.75" customHeight="1">
      <c r="A701" s="1"/>
      <c r="B701" s="1"/>
      <c r="C701" s="1"/>
      <c r="D701" s="1"/>
      <c r="E701" s="1"/>
      <c r="F701" s="1"/>
      <c r="G701" s="1"/>
      <c r="H701" s="1"/>
      <c r="I701" s="1"/>
      <c r="J701" s="1"/>
      <c r="K701" s="1"/>
      <c r="L701" s="1"/>
      <c r="M701" s="1"/>
      <c r="N701" s="1"/>
      <c r="O701" s="1"/>
      <c r="P701" s="1"/>
      <c r="Q701" s="1"/>
      <c r="R701" s="1"/>
      <c r="S701" s="1"/>
      <c r="T701" s="1"/>
      <c r="U701" s="2"/>
      <c r="V701" s="1"/>
      <c r="W701" s="1"/>
      <c r="X701" s="1"/>
      <c r="Y701" s="1"/>
      <c r="Z701" s="1"/>
    </row>
    <row r="702" spans="1:26" ht="24.75" customHeight="1">
      <c r="A702" s="1"/>
      <c r="B702" s="1"/>
      <c r="C702" s="1"/>
      <c r="D702" s="1"/>
      <c r="E702" s="1"/>
      <c r="F702" s="1"/>
      <c r="G702" s="1"/>
      <c r="H702" s="1"/>
      <c r="I702" s="1"/>
      <c r="J702" s="1"/>
      <c r="K702" s="1"/>
      <c r="L702" s="1"/>
      <c r="M702" s="1"/>
      <c r="N702" s="1"/>
      <c r="O702" s="1"/>
      <c r="P702" s="1"/>
      <c r="Q702" s="1"/>
      <c r="R702" s="1"/>
      <c r="S702" s="1"/>
      <c r="T702" s="1"/>
      <c r="U702" s="2"/>
      <c r="V702" s="1"/>
      <c r="W702" s="1"/>
      <c r="X702" s="1"/>
      <c r="Y702" s="1"/>
      <c r="Z702" s="1"/>
    </row>
    <row r="703" spans="1:26" ht="24.75" customHeight="1">
      <c r="A703" s="1"/>
      <c r="B703" s="1"/>
      <c r="C703" s="1"/>
      <c r="D703" s="1"/>
      <c r="E703" s="1"/>
      <c r="F703" s="1"/>
      <c r="G703" s="1"/>
      <c r="H703" s="1"/>
      <c r="I703" s="1"/>
      <c r="J703" s="1"/>
      <c r="K703" s="1"/>
      <c r="L703" s="1"/>
      <c r="M703" s="1"/>
      <c r="N703" s="1"/>
      <c r="O703" s="1"/>
      <c r="P703" s="1"/>
      <c r="Q703" s="1"/>
      <c r="R703" s="1"/>
      <c r="S703" s="1"/>
      <c r="T703" s="1"/>
      <c r="U703" s="2"/>
      <c r="V703" s="1"/>
      <c r="W703" s="1"/>
      <c r="X703" s="1"/>
      <c r="Y703" s="1"/>
      <c r="Z703" s="1"/>
    </row>
    <row r="704" spans="1:26" ht="24.75" customHeight="1">
      <c r="A704" s="1"/>
      <c r="B704" s="1"/>
      <c r="C704" s="1"/>
      <c r="D704" s="1"/>
      <c r="E704" s="1"/>
      <c r="F704" s="1"/>
      <c r="G704" s="1"/>
      <c r="H704" s="1"/>
      <c r="I704" s="1"/>
      <c r="J704" s="1"/>
      <c r="K704" s="1"/>
      <c r="L704" s="1"/>
      <c r="M704" s="1"/>
      <c r="N704" s="1"/>
      <c r="O704" s="1"/>
      <c r="P704" s="1"/>
      <c r="Q704" s="1"/>
      <c r="R704" s="1"/>
      <c r="S704" s="1"/>
      <c r="T704" s="1"/>
      <c r="U704" s="2"/>
      <c r="V704" s="1"/>
      <c r="W704" s="1"/>
      <c r="X704" s="1"/>
      <c r="Y704" s="1"/>
      <c r="Z704" s="1"/>
    </row>
    <row r="705" spans="1:26" ht="24.75" customHeight="1">
      <c r="A705" s="1"/>
      <c r="B705" s="1"/>
      <c r="C705" s="1"/>
      <c r="D705" s="1"/>
      <c r="E705" s="1"/>
      <c r="F705" s="1"/>
      <c r="G705" s="1"/>
      <c r="H705" s="1"/>
      <c r="I705" s="1"/>
      <c r="J705" s="1"/>
      <c r="K705" s="1"/>
      <c r="L705" s="1"/>
      <c r="M705" s="1"/>
      <c r="N705" s="1"/>
      <c r="O705" s="1"/>
      <c r="P705" s="1"/>
      <c r="Q705" s="1"/>
      <c r="R705" s="1"/>
      <c r="S705" s="1"/>
      <c r="T705" s="1"/>
      <c r="U705" s="2"/>
      <c r="V705" s="1"/>
      <c r="W705" s="1"/>
      <c r="X705" s="1"/>
      <c r="Y705" s="1"/>
      <c r="Z705" s="1"/>
    </row>
    <row r="706" spans="1:26" ht="24.75" customHeight="1">
      <c r="A706" s="1"/>
      <c r="B706" s="1"/>
      <c r="C706" s="1"/>
      <c r="D706" s="1"/>
      <c r="E706" s="1"/>
      <c r="F706" s="1"/>
      <c r="G706" s="1"/>
      <c r="H706" s="1"/>
      <c r="I706" s="1"/>
      <c r="J706" s="1"/>
      <c r="K706" s="1"/>
      <c r="L706" s="1"/>
      <c r="M706" s="1"/>
      <c r="N706" s="1"/>
      <c r="O706" s="1"/>
      <c r="P706" s="1"/>
      <c r="Q706" s="1"/>
      <c r="R706" s="1"/>
      <c r="S706" s="1"/>
      <c r="T706" s="1"/>
      <c r="U706" s="2"/>
      <c r="V706" s="1"/>
      <c r="W706" s="1"/>
      <c r="X706" s="1"/>
      <c r="Y706" s="1"/>
      <c r="Z706" s="1"/>
    </row>
    <row r="707" spans="1:26" ht="24.75" customHeight="1">
      <c r="A707" s="1"/>
      <c r="B707" s="1"/>
      <c r="C707" s="1"/>
      <c r="D707" s="1"/>
      <c r="E707" s="1"/>
      <c r="F707" s="1"/>
      <c r="G707" s="1"/>
      <c r="H707" s="1"/>
      <c r="I707" s="1"/>
      <c r="J707" s="1"/>
      <c r="K707" s="1"/>
      <c r="L707" s="1"/>
      <c r="M707" s="1"/>
      <c r="N707" s="1"/>
      <c r="O707" s="1"/>
      <c r="P707" s="1"/>
      <c r="Q707" s="1"/>
      <c r="R707" s="1"/>
      <c r="S707" s="1"/>
      <c r="T707" s="1"/>
      <c r="U707" s="2"/>
      <c r="V707" s="1"/>
      <c r="W707" s="1"/>
      <c r="X707" s="1"/>
      <c r="Y707" s="1"/>
      <c r="Z707" s="1"/>
    </row>
    <row r="708" spans="1:26" ht="24.75" customHeight="1">
      <c r="A708" s="1"/>
      <c r="B708" s="1"/>
      <c r="C708" s="1"/>
      <c r="D708" s="1"/>
      <c r="E708" s="1"/>
      <c r="F708" s="1"/>
      <c r="G708" s="1"/>
      <c r="H708" s="1"/>
      <c r="I708" s="1"/>
      <c r="J708" s="1"/>
      <c r="K708" s="1"/>
      <c r="L708" s="1"/>
      <c r="M708" s="1"/>
      <c r="N708" s="1"/>
      <c r="O708" s="1"/>
      <c r="P708" s="1"/>
      <c r="Q708" s="1"/>
      <c r="R708" s="1"/>
      <c r="S708" s="1"/>
      <c r="T708" s="1"/>
      <c r="U708" s="2"/>
      <c r="V708" s="1"/>
      <c r="W708" s="1"/>
      <c r="X708" s="1"/>
      <c r="Y708" s="1"/>
      <c r="Z708" s="1"/>
    </row>
    <row r="709" spans="1:26" ht="24.75" customHeight="1">
      <c r="A709" s="1"/>
      <c r="B709" s="1"/>
      <c r="C709" s="1"/>
      <c r="D709" s="1"/>
      <c r="E709" s="1"/>
      <c r="F709" s="1"/>
      <c r="G709" s="1"/>
      <c r="H709" s="1"/>
      <c r="I709" s="1"/>
      <c r="J709" s="1"/>
      <c r="K709" s="1"/>
      <c r="L709" s="1"/>
      <c r="M709" s="1"/>
      <c r="N709" s="1"/>
      <c r="O709" s="1"/>
      <c r="P709" s="1"/>
      <c r="Q709" s="1"/>
      <c r="R709" s="1"/>
      <c r="S709" s="1"/>
      <c r="T709" s="1"/>
      <c r="U709" s="2"/>
      <c r="V709" s="1"/>
      <c r="W709" s="1"/>
      <c r="X709" s="1"/>
      <c r="Y709" s="1"/>
      <c r="Z709" s="1"/>
    </row>
    <row r="710" spans="1:26" ht="24.75" customHeight="1">
      <c r="A710" s="1"/>
      <c r="B710" s="1"/>
      <c r="C710" s="1"/>
      <c r="D710" s="1"/>
      <c r="E710" s="1"/>
      <c r="F710" s="1"/>
      <c r="G710" s="1"/>
      <c r="H710" s="1"/>
      <c r="I710" s="1"/>
      <c r="J710" s="1"/>
      <c r="K710" s="1"/>
      <c r="L710" s="1"/>
      <c r="M710" s="1"/>
      <c r="N710" s="1"/>
      <c r="O710" s="1"/>
      <c r="P710" s="1"/>
      <c r="Q710" s="1"/>
      <c r="R710" s="1"/>
      <c r="S710" s="1"/>
      <c r="T710" s="1"/>
      <c r="U710" s="2"/>
      <c r="V710" s="1"/>
      <c r="W710" s="1"/>
      <c r="X710" s="1"/>
      <c r="Y710" s="1"/>
      <c r="Z710" s="1"/>
    </row>
    <row r="711" spans="1:26" ht="24.75" customHeight="1">
      <c r="A711" s="1"/>
      <c r="B711" s="1"/>
      <c r="C711" s="1"/>
      <c r="D711" s="1"/>
      <c r="E711" s="1"/>
      <c r="F711" s="1"/>
      <c r="G711" s="1"/>
      <c r="H711" s="1"/>
      <c r="I711" s="1"/>
      <c r="J711" s="1"/>
      <c r="K711" s="1"/>
      <c r="L711" s="1"/>
      <c r="M711" s="1"/>
      <c r="N711" s="1"/>
      <c r="O711" s="1"/>
      <c r="P711" s="1"/>
      <c r="Q711" s="1"/>
      <c r="R711" s="1"/>
      <c r="S711" s="1"/>
      <c r="T711" s="1"/>
      <c r="U711" s="2"/>
      <c r="V711" s="1"/>
      <c r="W711" s="1"/>
      <c r="X711" s="1"/>
      <c r="Y711" s="1"/>
      <c r="Z711" s="1"/>
    </row>
    <row r="712" spans="1:26" ht="24.75" customHeight="1">
      <c r="A712" s="1"/>
      <c r="B712" s="1"/>
      <c r="C712" s="1"/>
      <c r="D712" s="1"/>
      <c r="E712" s="1"/>
      <c r="F712" s="1"/>
      <c r="G712" s="1"/>
      <c r="H712" s="1"/>
      <c r="I712" s="1"/>
      <c r="J712" s="1"/>
      <c r="K712" s="1"/>
      <c r="L712" s="1"/>
      <c r="M712" s="1"/>
      <c r="N712" s="1"/>
      <c r="O712" s="1"/>
      <c r="P712" s="1"/>
      <c r="Q712" s="1"/>
      <c r="R712" s="1"/>
      <c r="S712" s="1"/>
      <c r="T712" s="1"/>
      <c r="U712" s="2"/>
      <c r="V712" s="1"/>
      <c r="W712" s="1"/>
      <c r="X712" s="1"/>
      <c r="Y712" s="1"/>
      <c r="Z712" s="1"/>
    </row>
    <row r="713" spans="1:26" ht="24.75" customHeight="1">
      <c r="A713" s="1"/>
      <c r="B713" s="1"/>
      <c r="C713" s="1"/>
      <c r="D713" s="1"/>
      <c r="E713" s="1"/>
      <c r="F713" s="1"/>
      <c r="G713" s="1"/>
      <c r="H713" s="1"/>
      <c r="I713" s="1"/>
      <c r="J713" s="1"/>
      <c r="K713" s="1"/>
      <c r="L713" s="1"/>
      <c r="M713" s="1"/>
      <c r="N713" s="1"/>
      <c r="O713" s="1"/>
      <c r="P713" s="1"/>
      <c r="Q713" s="1"/>
      <c r="R713" s="1"/>
      <c r="S713" s="1"/>
      <c r="T713" s="1"/>
      <c r="U713" s="2"/>
      <c r="V713" s="1"/>
      <c r="W713" s="1"/>
      <c r="X713" s="1"/>
      <c r="Y713" s="1"/>
      <c r="Z713" s="1"/>
    </row>
    <row r="714" spans="1:26" ht="24.75" customHeight="1">
      <c r="A714" s="1"/>
      <c r="B714" s="1"/>
      <c r="C714" s="1"/>
      <c r="D714" s="1"/>
      <c r="E714" s="1"/>
      <c r="F714" s="1"/>
      <c r="G714" s="1"/>
      <c r="H714" s="1"/>
      <c r="I714" s="1"/>
      <c r="J714" s="1"/>
      <c r="K714" s="1"/>
      <c r="L714" s="1"/>
      <c r="M714" s="1"/>
      <c r="N714" s="1"/>
      <c r="O714" s="1"/>
      <c r="P714" s="1"/>
      <c r="Q714" s="1"/>
      <c r="R714" s="1"/>
      <c r="S714" s="1"/>
      <c r="T714" s="1"/>
      <c r="U714" s="2"/>
      <c r="V714" s="1"/>
      <c r="W714" s="1"/>
      <c r="X714" s="1"/>
      <c r="Y714" s="1"/>
      <c r="Z714" s="1"/>
    </row>
    <row r="715" spans="1:26" ht="24.75" customHeight="1">
      <c r="A715" s="1"/>
      <c r="B715" s="1"/>
      <c r="C715" s="1"/>
      <c r="D715" s="1"/>
      <c r="E715" s="1"/>
      <c r="F715" s="1"/>
      <c r="G715" s="1"/>
      <c r="H715" s="1"/>
      <c r="I715" s="1"/>
      <c r="J715" s="1"/>
      <c r="K715" s="1"/>
      <c r="L715" s="1"/>
      <c r="M715" s="1"/>
      <c r="N715" s="1"/>
      <c r="O715" s="1"/>
      <c r="P715" s="1"/>
      <c r="Q715" s="1"/>
      <c r="R715" s="1"/>
      <c r="S715" s="1"/>
      <c r="T715" s="1"/>
      <c r="U715" s="2"/>
      <c r="V715" s="1"/>
      <c r="W715" s="1"/>
      <c r="X715" s="1"/>
      <c r="Y715" s="1"/>
      <c r="Z715" s="1"/>
    </row>
    <row r="716" spans="1:26" ht="24.75" customHeight="1">
      <c r="A716" s="1"/>
      <c r="B716" s="1"/>
      <c r="C716" s="1"/>
      <c r="D716" s="1"/>
      <c r="E716" s="1"/>
      <c r="F716" s="1"/>
      <c r="G716" s="1"/>
      <c r="H716" s="1"/>
      <c r="I716" s="1"/>
      <c r="J716" s="1"/>
      <c r="K716" s="1"/>
      <c r="L716" s="1"/>
      <c r="M716" s="1"/>
      <c r="N716" s="1"/>
      <c r="O716" s="1"/>
      <c r="P716" s="1"/>
      <c r="Q716" s="1"/>
      <c r="R716" s="1"/>
      <c r="S716" s="1"/>
      <c r="T716" s="1"/>
      <c r="U716" s="2"/>
      <c r="V716" s="1"/>
      <c r="W716" s="1"/>
      <c r="X716" s="1"/>
      <c r="Y716" s="1"/>
      <c r="Z716" s="1"/>
    </row>
    <row r="717" spans="1:26" ht="24.75" customHeight="1">
      <c r="A717" s="1"/>
      <c r="B717" s="1"/>
      <c r="C717" s="1"/>
      <c r="D717" s="1"/>
      <c r="E717" s="1"/>
      <c r="F717" s="1"/>
      <c r="G717" s="1"/>
      <c r="H717" s="1"/>
      <c r="I717" s="1"/>
      <c r="J717" s="1"/>
      <c r="K717" s="1"/>
      <c r="L717" s="1"/>
      <c r="M717" s="1"/>
      <c r="N717" s="1"/>
      <c r="O717" s="1"/>
      <c r="P717" s="1"/>
      <c r="Q717" s="1"/>
      <c r="R717" s="1"/>
      <c r="S717" s="1"/>
      <c r="T717" s="1"/>
      <c r="U717" s="2"/>
      <c r="V717" s="1"/>
      <c r="W717" s="1"/>
      <c r="X717" s="1"/>
      <c r="Y717" s="1"/>
      <c r="Z717" s="1"/>
    </row>
    <row r="718" spans="1:26" ht="24.75" customHeight="1">
      <c r="A718" s="1"/>
      <c r="B718" s="1"/>
      <c r="C718" s="1"/>
      <c r="D718" s="1"/>
      <c r="E718" s="1"/>
      <c r="F718" s="1"/>
      <c r="G718" s="1"/>
      <c r="H718" s="1"/>
      <c r="I718" s="1"/>
      <c r="J718" s="1"/>
      <c r="K718" s="1"/>
      <c r="L718" s="1"/>
      <c r="M718" s="1"/>
      <c r="N718" s="1"/>
      <c r="O718" s="1"/>
      <c r="P718" s="1"/>
      <c r="Q718" s="1"/>
      <c r="R718" s="1"/>
      <c r="S718" s="1"/>
      <c r="T718" s="1"/>
      <c r="U718" s="2"/>
      <c r="V718" s="1"/>
      <c r="W718" s="1"/>
      <c r="X718" s="1"/>
      <c r="Y718" s="1"/>
      <c r="Z718" s="1"/>
    </row>
    <row r="719" spans="1:26" ht="24.75" customHeight="1">
      <c r="A719" s="1"/>
      <c r="B719" s="1"/>
      <c r="C719" s="1"/>
      <c r="D719" s="1"/>
      <c r="E719" s="1"/>
      <c r="F719" s="1"/>
      <c r="G719" s="1"/>
      <c r="H719" s="1"/>
      <c r="I719" s="1"/>
      <c r="J719" s="1"/>
      <c r="K719" s="1"/>
      <c r="L719" s="1"/>
      <c r="M719" s="1"/>
      <c r="N719" s="1"/>
      <c r="O719" s="1"/>
      <c r="P719" s="1"/>
      <c r="Q719" s="1"/>
      <c r="R719" s="1"/>
      <c r="S719" s="1"/>
      <c r="T719" s="1"/>
      <c r="U719" s="2"/>
      <c r="V719" s="1"/>
      <c r="W719" s="1"/>
      <c r="X719" s="1"/>
      <c r="Y719" s="1"/>
      <c r="Z719" s="1"/>
    </row>
    <row r="720" spans="1:26" ht="24.75" customHeight="1">
      <c r="A720" s="1"/>
      <c r="B720" s="1"/>
      <c r="C720" s="1"/>
      <c r="D720" s="1"/>
      <c r="E720" s="1"/>
      <c r="F720" s="1"/>
      <c r="G720" s="1"/>
      <c r="H720" s="1"/>
      <c r="I720" s="1"/>
      <c r="J720" s="1"/>
      <c r="K720" s="1"/>
      <c r="L720" s="1"/>
      <c r="M720" s="1"/>
      <c r="N720" s="1"/>
      <c r="O720" s="1"/>
      <c r="P720" s="1"/>
      <c r="Q720" s="1"/>
      <c r="R720" s="1"/>
      <c r="S720" s="1"/>
      <c r="T720" s="1"/>
      <c r="U720" s="2"/>
      <c r="V720" s="1"/>
      <c r="W720" s="1"/>
      <c r="X720" s="1"/>
      <c r="Y720" s="1"/>
      <c r="Z720" s="1"/>
    </row>
    <row r="721" spans="1:26" ht="24.75" customHeight="1">
      <c r="A721" s="1"/>
      <c r="B721" s="1"/>
      <c r="C721" s="1"/>
      <c r="D721" s="1"/>
      <c r="E721" s="1"/>
      <c r="F721" s="1"/>
      <c r="G721" s="1"/>
      <c r="H721" s="1"/>
      <c r="I721" s="1"/>
      <c r="J721" s="1"/>
      <c r="K721" s="1"/>
      <c r="L721" s="1"/>
      <c r="M721" s="1"/>
      <c r="N721" s="1"/>
      <c r="O721" s="1"/>
      <c r="P721" s="1"/>
      <c r="Q721" s="1"/>
      <c r="R721" s="1"/>
      <c r="S721" s="1"/>
      <c r="T721" s="1"/>
      <c r="U721" s="2"/>
      <c r="V721" s="1"/>
      <c r="W721" s="1"/>
      <c r="X721" s="1"/>
      <c r="Y721" s="1"/>
      <c r="Z721" s="1"/>
    </row>
    <row r="722" spans="1:26" ht="24.75" customHeight="1">
      <c r="A722" s="1"/>
      <c r="B722" s="1"/>
      <c r="C722" s="1"/>
      <c r="D722" s="1"/>
      <c r="E722" s="1"/>
      <c r="F722" s="1"/>
      <c r="G722" s="1"/>
      <c r="H722" s="1"/>
      <c r="I722" s="1"/>
      <c r="J722" s="1"/>
      <c r="K722" s="1"/>
      <c r="L722" s="1"/>
      <c r="M722" s="1"/>
      <c r="N722" s="1"/>
      <c r="O722" s="1"/>
      <c r="P722" s="1"/>
      <c r="Q722" s="1"/>
      <c r="R722" s="1"/>
      <c r="S722" s="1"/>
      <c r="T722" s="1"/>
      <c r="U722" s="2"/>
      <c r="V722" s="1"/>
      <c r="W722" s="1"/>
      <c r="X722" s="1"/>
      <c r="Y722" s="1"/>
      <c r="Z722" s="1"/>
    </row>
    <row r="723" spans="1:26" ht="24.75" customHeight="1">
      <c r="A723" s="1"/>
      <c r="B723" s="1"/>
      <c r="C723" s="1"/>
      <c r="D723" s="1"/>
      <c r="E723" s="1"/>
      <c r="F723" s="1"/>
      <c r="G723" s="1"/>
      <c r="H723" s="1"/>
      <c r="I723" s="1"/>
      <c r="J723" s="1"/>
      <c r="K723" s="1"/>
      <c r="L723" s="1"/>
      <c r="M723" s="1"/>
      <c r="N723" s="1"/>
      <c r="O723" s="1"/>
      <c r="P723" s="1"/>
      <c r="Q723" s="1"/>
      <c r="R723" s="1"/>
      <c r="S723" s="1"/>
      <c r="T723" s="1"/>
      <c r="U723" s="2"/>
      <c r="V723" s="1"/>
      <c r="W723" s="1"/>
      <c r="X723" s="1"/>
      <c r="Y723" s="1"/>
      <c r="Z723" s="1"/>
    </row>
    <row r="724" spans="1:26" ht="24.75" customHeight="1">
      <c r="A724" s="1"/>
      <c r="B724" s="1"/>
      <c r="C724" s="1"/>
      <c r="D724" s="1"/>
      <c r="E724" s="1"/>
      <c r="F724" s="1"/>
      <c r="G724" s="1"/>
      <c r="H724" s="1"/>
      <c r="I724" s="1"/>
      <c r="J724" s="1"/>
      <c r="K724" s="1"/>
      <c r="L724" s="1"/>
      <c r="M724" s="1"/>
      <c r="N724" s="1"/>
      <c r="O724" s="1"/>
      <c r="P724" s="1"/>
      <c r="Q724" s="1"/>
      <c r="R724" s="1"/>
      <c r="S724" s="1"/>
      <c r="T724" s="1"/>
      <c r="U724" s="2"/>
      <c r="V724" s="1"/>
      <c r="W724" s="1"/>
      <c r="X724" s="1"/>
      <c r="Y724" s="1"/>
      <c r="Z724" s="1"/>
    </row>
    <row r="725" spans="1:26" ht="24.75" customHeight="1">
      <c r="A725" s="1"/>
      <c r="B725" s="1"/>
      <c r="C725" s="1"/>
      <c r="D725" s="1"/>
      <c r="E725" s="1"/>
      <c r="F725" s="1"/>
      <c r="G725" s="1"/>
      <c r="H725" s="1"/>
      <c r="I725" s="1"/>
      <c r="J725" s="1"/>
      <c r="K725" s="1"/>
      <c r="L725" s="1"/>
      <c r="M725" s="1"/>
      <c r="N725" s="1"/>
      <c r="O725" s="1"/>
      <c r="P725" s="1"/>
      <c r="Q725" s="1"/>
      <c r="R725" s="1"/>
      <c r="S725" s="1"/>
      <c r="T725" s="1"/>
      <c r="U725" s="2"/>
      <c r="V725" s="1"/>
      <c r="W725" s="1"/>
      <c r="X725" s="1"/>
      <c r="Y725" s="1"/>
      <c r="Z725" s="1"/>
    </row>
    <row r="726" spans="1:26" ht="24.75" customHeight="1">
      <c r="A726" s="1"/>
      <c r="B726" s="1"/>
      <c r="C726" s="1"/>
      <c r="D726" s="1"/>
      <c r="E726" s="1"/>
      <c r="F726" s="1"/>
      <c r="G726" s="1"/>
      <c r="H726" s="1"/>
      <c r="I726" s="1"/>
      <c r="J726" s="1"/>
      <c r="K726" s="1"/>
      <c r="L726" s="1"/>
      <c r="M726" s="1"/>
      <c r="N726" s="1"/>
      <c r="O726" s="1"/>
      <c r="P726" s="1"/>
      <c r="Q726" s="1"/>
      <c r="R726" s="1"/>
      <c r="S726" s="1"/>
      <c r="T726" s="1"/>
      <c r="U726" s="2"/>
      <c r="V726" s="1"/>
      <c r="W726" s="1"/>
      <c r="X726" s="1"/>
      <c r="Y726" s="1"/>
      <c r="Z726" s="1"/>
    </row>
    <row r="727" spans="1:26" ht="24.75" customHeight="1">
      <c r="A727" s="1"/>
      <c r="B727" s="1"/>
      <c r="C727" s="1"/>
      <c r="D727" s="1"/>
      <c r="E727" s="1"/>
      <c r="F727" s="1"/>
      <c r="G727" s="1"/>
      <c r="H727" s="1"/>
      <c r="I727" s="1"/>
      <c r="J727" s="1"/>
      <c r="K727" s="1"/>
      <c r="L727" s="1"/>
      <c r="M727" s="1"/>
      <c r="N727" s="1"/>
      <c r="O727" s="1"/>
      <c r="P727" s="1"/>
      <c r="Q727" s="1"/>
      <c r="R727" s="1"/>
      <c r="S727" s="1"/>
      <c r="T727" s="1"/>
      <c r="U727" s="2"/>
      <c r="V727" s="1"/>
      <c r="W727" s="1"/>
      <c r="X727" s="1"/>
      <c r="Y727" s="1"/>
      <c r="Z727" s="1"/>
    </row>
    <row r="728" spans="1:26" ht="24.75" customHeight="1">
      <c r="A728" s="1"/>
      <c r="B728" s="1"/>
      <c r="C728" s="1"/>
      <c r="D728" s="1"/>
      <c r="E728" s="1"/>
      <c r="F728" s="1"/>
      <c r="G728" s="1"/>
      <c r="H728" s="1"/>
      <c r="I728" s="1"/>
      <c r="J728" s="1"/>
      <c r="K728" s="1"/>
      <c r="L728" s="1"/>
      <c r="M728" s="1"/>
      <c r="N728" s="1"/>
      <c r="O728" s="1"/>
      <c r="P728" s="1"/>
      <c r="Q728" s="1"/>
      <c r="R728" s="1"/>
      <c r="S728" s="1"/>
      <c r="T728" s="1"/>
      <c r="U728" s="2"/>
      <c r="V728" s="1"/>
      <c r="W728" s="1"/>
      <c r="X728" s="1"/>
      <c r="Y728" s="1"/>
      <c r="Z728" s="1"/>
    </row>
    <row r="729" spans="1:26" ht="24.75" customHeight="1">
      <c r="A729" s="1"/>
      <c r="B729" s="1"/>
      <c r="C729" s="1"/>
      <c r="D729" s="1"/>
      <c r="E729" s="1"/>
      <c r="F729" s="1"/>
      <c r="G729" s="1"/>
      <c r="H729" s="1"/>
      <c r="I729" s="1"/>
      <c r="J729" s="1"/>
      <c r="K729" s="1"/>
      <c r="L729" s="1"/>
      <c r="M729" s="1"/>
      <c r="N729" s="1"/>
      <c r="O729" s="1"/>
      <c r="P729" s="1"/>
      <c r="Q729" s="1"/>
      <c r="R729" s="1"/>
      <c r="S729" s="1"/>
      <c r="T729" s="1"/>
      <c r="U729" s="2"/>
      <c r="V729" s="1"/>
      <c r="W729" s="1"/>
      <c r="X729" s="1"/>
      <c r="Y729" s="1"/>
      <c r="Z729" s="1"/>
    </row>
    <row r="730" spans="1:26" ht="24.75" customHeight="1">
      <c r="A730" s="1"/>
      <c r="B730" s="1"/>
      <c r="C730" s="1"/>
      <c r="D730" s="1"/>
      <c r="E730" s="1"/>
      <c r="F730" s="1"/>
      <c r="G730" s="1"/>
      <c r="H730" s="1"/>
      <c r="I730" s="1"/>
      <c r="J730" s="1"/>
      <c r="K730" s="1"/>
      <c r="L730" s="1"/>
      <c r="M730" s="1"/>
      <c r="N730" s="1"/>
      <c r="O730" s="1"/>
      <c r="P730" s="1"/>
      <c r="Q730" s="1"/>
      <c r="R730" s="1"/>
      <c r="S730" s="1"/>
      <c r="T730" s="1"/>
      <c r="U730" s="2"/>
      <c r="V730" s="1"/>
      <c r="W730" s="1"/>
      <c r="X730" s="1"/>
      <c r="Y730" s="1"/>
      <c r="Z730" s="1"/>
    </row>
    <row r="731" spans="1:26" ht="24.75" customHeight="1">
      <c r="A731" s="1"/>
      <c r="B731" s="1"/>
      <c r="C731" s="1"/>
      <c r="D731" s="1"/>
      <c r="E731" s="1"/>
      <c r="F731" s="1"/>
      <c r="G731" s="1"/>
      <c r="H731" s="1"/>
      <c r="I731" s="1"/>
      <c r="J731" s="1"/>
      <c r="K731" s="1"/>
      <c r="L731" s="1"/>
      <c r="M731" s="1"/>
      <c r="N731" s="1"/>
      <c r="O731" s="1"/>
      <c r="P731" s="1"/>
      <c r="Q731" s="1"/>
      <c r="R731" s="1"/>
      <c r="S731" s="1"/>
      <c r="T731" s="1"/>
      <c r="U731" s="2"/>
      <c r="V731" s="1"/>
      <c r="W731" s="1"/>
      <c r="X731" s="1"/>
      <c r="Y731" s="1"/>
      <c r="Z731" s="1"/>
    </row>
    <row r="732" spans="1:26" ht="24.75" customHeight="1">
      <c r="A732" s="1"/>
      <c r="B732" s="1"/>
      <c r="C732" s="1"/>
      <c r="D732" s="1"/>
      <c r="E732" s="1"/>
      <c r="F732" s="1"/>
      <c r="G732" s="1"/>
      <c r="H732" s="1"/>
      <c r="I732" s="1"/>
      <c r="J732" s="1"/>
      <c r="K732" s="1"/>
      <c r="L732" s="1"/>
      <c r="M732" s="1"/>
      <c r="N732" s="1"/>
      <c r="O732" s="1"/>
      <c r="P732" s="1"/>
      <c r="Q732" s="1"/>
      <c r="R732" s="1"/>
      <c r="S732" s="1"/>
      <c r="T732" s="1"/>
      <c r="U732" s="2"/>
      <c r="V732" s="1"/>
      <c r="W732" s="1"/>
      <c r="X732" s="1"/>
      <c r="Y732" s="1"/>
      <c r="Z732" s="1"/>
    </row>
    <row r="733" spans="1:26" ht="24.75" customHeight="1">
      <c r="A733" s="1"/>
      <c r="B733" s="1"/>
      <c r="C733" s="1"/>
      <c r="D733" s="1"/>
      <c r="E733" s="1"/>
      <c r="F733" s="1"/>
      <c r="G733" s="1"/>
      <c r="H733" s="1"/>
      <c r="I733" s="1"/>
      <c r="J733" s="1"/>
      <c r="K733" s="1"/>
      <c r="L733" s="1"/>
      <c r="M733" s="1"/>
      <c r="N733" s="1"/>
      <c r="O733" s="1"/>
      <c r="P733" s="1"/>
      <c r="Q733" s="1"/>
      <c r="R733" s="1"/>
      <c r="S733" s="1"/>
      <c r="T733" s="1"/>
      <c r="U733" s="2"/>
      <c r="V733" s="1"/>
      <c r="W733" s="1"/>
      <c r="X733" s="1"/>
      <c r="Y733" s="1"/>
      <c r="Z733" s="1"/>
    </row>
    <row r="734" spans="1:26" ht="24.75" customHeight="1">
      <c r="A734" s="1"/>
      <c r="B734" s="1"/>
      <c r="C734" s="1"/>
      <c r="D734" s="1"/>
      <c r="E734" s="1"/>
      <c r="F734" s="1"/>
      <c r="G734" s="1"/>
      <c r="H734" s="1"/>
      <c r="I734" s="1"/>
      <c r="J734" s="1"/>
      <c r="K734" s="1"/>
      <c r="L734" s="1"/>
      <c r="M734" s="1"/>
      <c r="N734" s="1"/>
      <c r="O734" s="1"/>
      <c r="P734" s="1"/>
      <c r="Q734" s="1"/>
      <c r="R734" s="1"/>
      <c r="S734" s="1"/>
      <c r="T734" s="1"/>
      <c r="U734" s="2"/>
      <c r="V734" s="1"/>
      <c r="W734" s="1"/>
      <c r="X734" s="1"/>
      <c r="Y734" s="1"/>
      <c r="Z734" s="1"/>
    </row>
    <row r="735" spans="1:26" ht="24.75" customHeight="1">
      <c r="A735" s="1"/>
      <c r="B735" s="1"/>
      <c r="C735" s="1"/>
      <c r="D735" s="1"/>
      <c r="E735" s="1"/>
      <c r="F735" s="1"/>
      <c r="G735" s="1"/>
      <c r="H735" s="1"/>
      <c r="I735" s="1"/>
      <c r="J735" s="1"/>
      <c r="K735" s="1"/>
      <c r="L735" s="1"/>
      <c r="M735" s="1"/>
      <c r="N735" s="1"/>
      <c r="O735" s="1"/>
      <c r="P735" s="1"/>
      <c r="Q735" s="1"/>
      <c r="R735" s="1"/>
      <c r="S735" s="1"/>
      <c r="T735" s="1"/>
      <c r="U735" s="2"/>
      <c r="V735" s="1"/>
      <c r="W735" s="1"/>
      <c r="X735" s="1"/>
      <c r="Y735" s="1"/>
      <c r="Z735" s="1"/>
    </row>
    <row r="736" spans="1:26" ht="24.75" customHeight="1">
      <c r="A736" s="1"/>
      <c r="B736" s="1"/>
      <c r="C736" s="1"/>
      <c r="D736" s="1"/>
      <c r="E736" s="1"/>
      <c r="F736" s="1"/>
      <c r="G736" s="1"/>
      <c r="H736" s="1"/>
      <c r="I736" s="1"/>
      <c r="J736" s="1"/>
      <c r="K736" s="1"/>
      <c r="L736" s="1"/>
      <c r="M736" s="1"/>
      <c r="N736" s="1"/>
      <c r="O736" s="1"/>
      <c r="P736" s="1"/>
      <c r="Q736" s="1"/>
      <c r="R736" s="1"/>
      <c r="S736" s="1"/>
      <c r="T736" s="1"/>
      <c r="U736" s="2"/>
      <c r="V736" s="1"/>
      <c r="W736" s="1"/>
      <c r="X736" s="1"/>
      <c r="Y736" s="1"/>
      <c r="Z736" s="1"/>
    </row>
    <row r="737" spans="1:26" ht="24.75" customHeight="1">
      <c r="A737" s="1"/>
      <c r="B737" s="1"/>
      <c r="C737" s="1"/>
      <c r="D737" s="1"/>
      <c r="E737" s="1"/>
      <c r="F737" s="1"/>
      <c r="G737" s="1"/>
      <c r="H737" s="1"/>
      <c r="I737" s="1"/>
      <c r="J737" s="1"/>
      <c r="K737" s="1"/>
      <c r="L737" s="1"/>
      <c r="M737" s="1"/>
      <c r="N737" s="1"/>
      <c r="O737" s="1"/>
      <c r="P737" s="1"/>
      <c r="Q737" s="1"/>
      <c r="R737" s="1"/>
      <c r="S737" s="1"/>
      <c r="T737" s="1"/>
      <c r="U737" s="2"/>
      <c r="V737" s="1"/>
      <c r="W737" s="1"/>
      <c r="X737" s="1"/>
      <c r="Y737" s="1"/>
      <c r="Z737" s="1"/>
    </row>
    <row r="738" spans="1:26" ht="24.75" customHeight="1">
      <c r="A738" s="1"/>
      <c r="B738" s="1"/>
      <c r="C738" s="1"/>
      <c r="D738" s="1"/>
      <c r="E738" s="1"/>
      <c r="F738" s="1"/>
      <c r="G738" s="1"/>
      <c r="H738" s="1"/>
      <c r="I738" s="1"/>
      <c r="J738" s="1"/>
      <c r="K738" s="1"/>
      <c r="L738" s="1"/>
      <c r="M738" s="1"/>
      <c r="N738" s="1"/>
      <c r="O738" s="1"/>
      <c r="P738" s="1"/>
      <c r="Q738" s="1"/>
      <c r="R738" s="1"/>
      <c r="S738" s="1"/>
      <c r="T738" s="1"/>
      <c r="U738" s="2"/>
      <c r="V738" s="1"/>
      <c r="W738" s="1"/>
      <c r="X738" s="1"/>
      <c r="Y738" s="1"/>
      <c r="Z738" s="1"/>
    </row>
    <row r="739" spans="1:26" ht="24.75" customHeight="1">
      <c r="A739" s="1"/>
      <c r="B739" s="1"/>
      <c r="C739" s="1"/>
      <c r="D739" s="1"/>
      <c r="E739" s="1"/>
      <c r="F739" s="1"/>
      <c r="G739" s="1"/>
      <c r="H739" s="1"/>
      <c r="I739" s="1"/>
      <c r="J739" s="1"/>
      <c r="K739" s="1"/>
      <c r="L739" s="1"/>
      <c r="M739" s="1"/>
      <c r="N739" s="1"/>
      <c r="O739" s="1"/>
      <c r="P739" s="1"/>
      <c r="Q739" s="1"/>
      <c r="R739" s="1"/>
      <c r="S739" s="1"/>
      <c r="T739" s="1"/>
      <c r="U739" s="2"/>
      <c r="V739" s="1"/>
      <c r="W739" s="1"/>
      <c r="X739" s="1"/>
      <c r="Y739" s="1"/>
      <c r="Z739" s="1"/>
    </row>
    <row r="740" spans="1:26" ht="24.75" customHeight="1">
      <c r="A740" s="1"/>
      <c r="B740" s="1"/>
      <c r="C740" s="1"/>
      <c r="D740" s="1"/>
      <c r="E740" s="1"/>
      <c r="F740" s="1"/>
      <c r="G740" s="1"/>
      <c r="H740" s="1"/>
      <c r="I740" s="1"/>
      <c r="J740" s="1"/>
      <c r="K740" s="1"/>
      <c r="L740" s="1"/>
      <c r="M740" s="1"/>
      <c r="N740" s="1"/>
      <c r="O740" s="1"/>
      <c r="P740" s="1"/>
      <c r="Q740" s="1"/>
      <c r="R740" s="1"/>
      <c r="S740" s="1"/>
      <c r="T740" s="1"/>
      <c r="U740" s="2"/>
      <c r="V740" s="1"/>
      <c r="W740" s="1"/>
      <c r="X740" s="1"/>
      <c r="Y740" s="1"/>
      <c r="Z740" s="1"/>
    </row>
    <row r="741" spans="1:26" ht="24.75" customHeight="1">
      <c r="A741" s="1"/>
      <c r="B741" s="1"/>
      <c r="C741" s="1"/>
      <c r="D741" s="1"/>
      <c r="E741" s="1"/>
      <c r="F741" s="1"/>
      <c r="G741" s="1"/>
      <c r="H741" s="1"/>
      <c r="I741" s="1"/>
      <c r="J741" s="1"/>
      <c r="K741" s="1"/>
      <c r="L741" s="1"/>
      <c r="M741" s="1"/>
      <c r="N741" s="1"/>
      <c r="O741" s="1"/>
      <c r="P741" s="1"/>
      <c r="Q741" s="1"/>
      <c r="R741" s="1"/>
      <c r="S741" s="1"/>
      <c r="T741" s="1"/>
      <c r="U741" s="2"/>
      <c r="V741" s="1"/>
      <c r="W741" s="1"/>
      <c r="X741" s="1"/>
      <c r="Y741" s="1"/>
      <c r="Z741" s="1"/>
    </row>
    <row r="742" spans="1:26" ht="24.75" customHeight="1">
      <c r="A742" s="1"/>
      <c r="B742" s="1"/>
      <c r="C742" s="1"/>
      <c r="D742" s="1"/>
      <c r="E742" s="1"/>
      <c r="F742" s="1"/>
      <c r="G742" s="1"/>
      <c r="H742" s="1"/>
      <c r="I742" s="1"/>
      <c r="J742" s="1"/>
      <c r="K742" s="1"/>
      <c r="L742" s="1"/>
      <c r="M742" s="1"/>
      <c r="N742" s="1"/>
      <c r="O742" s="1"/>
      <c r="P742" s="1"/>
      <c r="Q742" s="1"/>
      <c r="R742" s="1"/>
      <c r="S742" s="1"/>
      <c r="T742" s="1"/>
      <c r="U742" s="2"/>
      <c r="V742" s="1"/>
      <c r="W742" s="1"/>
      <c r="X742" s="1"/>
      <c r="Y742" s="1"/>
      <c r="Z742" s="1"/>
    </row>
    <row r="743" spans="1:26" ht="24.75" customHeight="1">
      <c r="A743" s="1"/>
      <c r="B743" s="1"/>
      <c r="C743" s="1"/>
      <c r="D743" s="1"/>
      <c r="E743" s="1"/>
      <c r="F743" s="1"/>
      <c r="G743" s="1"/>
      <c r="H743" s="1"/>
      <c r="I743" s="1"/>
      <c r="J743" s="1"/>
      <c r="K743" s="1"/>
      <c r="L743" s="1"/>
      <c r="M743" s="1"/>
      <c r="N743" s="1"/>
      <c r="O743" s="1"/>
      <c r="P743" s="1"/>
      <c r="Q743" s="1"/>
      <c r="R743" s="1"/>
      <c r="S743" s="1"/>
      <c r="T743" s="1"/>
      <c r="U743" s="2"/>
      <c r="V743" s="1"/>
      <c r="W743" s="1"/>
      <c r="X743" s="1"/>
      <c r="Y743" s="1"/>
      <c r="Z743" s="1"/>
    </row>
    <row r="744" spans="1:26" ht="24.75" customHeight="1">
      <c r="A744" s="1"/>
      <c r="B744" s="1"/>
      <c r="C744" s="1"/>
      <c r="D744" s="1"/>
      <c r="E744" s="1"/>
      <c r="F744" s="1"/>
      <c r="G744" s="1"/>
      <c r="H744" s="1"/>
      <c r="I744" s="1"/>
      <c r="J744" s="1"/>
      <c r="K744" s="1"/>
      <c r="L744" s="1"/>
      <c r="M744" s="1"/>
      <c r="N744" s="1"/>
      <c r="O744" s="1"/>
      <c r="P744" s="1"/>
      <c r="Q744" s="1"/>
      <c r="R744" s="1"/>
      <c r="S744" s="1"/>
      <c r="T744" s="1"/>
      <c r="U744" s="2"/>
      <c r="V744" s="1"/>
      <c r="W744" s="1"/>
      <c r="X744" s="1"/>
      <c r="Y744" s="1"/>
      <c r="Z744" s="1"/>
    </row>
    <row r="745" spans="1:26" ht="24.75" customHeight="1">
      <c r="A745" s="1"/>
      <c r="B745" s="1"/>
      <c r="C745" s="1"/>
      <c r="D745" s="1"/>
      <c r="E745" s="1"/>
      <c r="F745" s="1"/>
      <c r="G745" s="1"/>
      <c r="H745" s="1"/>
      <c r="I745" s="1"/>
      <c r="J745" s="1"/>
      <c r="K745" s="1"/>
      <c r="L745" s="1"/>
      <c r="M745" s="1"/>
      <c r="N745" s="1"/>
      <c r="O745" s="1"/>
      <c r="P745" s="1"/>
      <c r="Q745" s="1"/>
      <c r="R745" s="1"/>
      <c r="S745" s="1"/>
      <c r="T745" s="1"/>
      <c r="U745" s="2"/>
      <c r="V745" s="1"/>
      <c r="W745" s="1"/>
      <c r="X745" s="1"/>
      <c r="Y745" s="1"/>
      <c r="Z745" s="1"/>
    </row>
    <row r="746" spans="1:26" ht="24.75" customHeight="1">
      <c r="A746" s="1"/>
      <c r="B746" s="1"/>
      <c r="C746" s="1"/>
      <c r="D746" s="1"/>
      <c r="E746" s="1"/>
      <c r="F746" s="1"/>
      <c r="G746" s="1"/>
      <c r="H746" s="1"/>
      <c r="I746" s="1"/>
      <c r="J746" s="1"/>
      <c r="K746" s="1"/>
      <c r="L746" s="1"/>
      <c r="M746" s="1"/>
      <c r="N746" s="1"/>
      <c r="O746" s="1"/>
      <c r="P746" s="1"/>
      <c r="Q746" s="1"/>
      <c r="R746" s="1"/>
      <c r="S746" s="1"/>
      <c r="T746" s="1"/>
      <c r="U746" s="2"/>
      <c r="V746" s="1"/>
      <c r="W746" s="1"/>
      <c r="X746" s="1"/>
      <c r="Y746" s="1"/>
      <c r="Z746" s="1"/>
    </row>
    <row r="747" spans="1:26" ht="24.75" customHeight="1">
      <c r="A747" s="1"/>
      <c r="B747" s="1"/>
      <c r="C747" s="1"/>
      <c r="D747" s="1"/>
      <c r="E747" s="1"/>
      <c r="F747" s="1"/>
      <c r="G747" s="1"/>
      <c r="H747" s="1"/>
      <c r="I747" s="1"/>
      <c r="J747" s="1"/>
      <c r="K747" s="1"/>
      <c r="L747" s="1"/>
      <c r="M747" s="1"/>
      <c r="N747" s="1"/>
      <c r="O747" s="1"/>
      <c r="P747" s="1"/>
      <c r="Q747" s="1"/>
      <c r="R747" s="1"/>
      <c r="S747" s="1"/>
      <c r="T747" s="1"/>
      <c r="U747" s="2"/>
      <c r="V747" s="1"/>
      <c r="W747" s="1"/>
      <c r="X747" s="1"/>
      <c r="Y747" s="1"/>
      <c r="Z747" s="1"/>
    </row>
    <row r="748" spans="1:26" ht="24.75" customHeight="1">
      <c r="A748" s="1"/>
      <c r="B748" s="1"/>
      <c r="C748" s="1"/>
      <c r="D748" s="1"/>
      <c r="E748" s="1"/>
      <c r="F748" s="1"/>
      <c r="G748" s="1"/>
      <c r="H748" s="1"/>
      <c r="I748" s="1"/>
      <c r="J748" s="1"/>
      <c r="K748" s="1"/>
      <c r="L748" s="1"/>
      <c r="M748" s="1"/>
      <c r="N748" s="1"/>
      <c r="O748" s="1"/>
      <c r="P748" s="1"/>
      <c r="Q748" s="1"/>
      <c r="R748" s="1"/>
      <c r="S748" s="1"/>
      <c r="T748" s="1"/>
      <c r="U748" s="2"/>
      <c r="V748" s="1"/>
      <c r="W748" s="1"/>
      <c r="X748" s="1"/>
      <c r="Y748" s="1"/>
      <c r="Z748" s="1"/>
    </row>
    <row r="749" spans="1:26" ht="24.75" customHeight="1">
      <c r="A749" s="1"/>
      <c r="B749" s="1"/>
      <c r="C749" s="1"/>
      <c r="D749" s="1"/>
      <c r="E749" s="1"/>
      <c r="F749" s="1"/>
      <c r="G749" s="1"/>
      <c r="H749" s="1"/>
      <c r="I749" s="1"/>
      <c r="J749" s="1"/>
      <c r="K749" s="1"/>
      <c r="L749" s="1"/>
      <c r="M749" s="1"/>
      <c r="N749" s="1"/>
      <c r="O749" s="1"/>
      <c r="P749" s="1"/>
      <c r="Q749" s="1"/>
      <c r="R749" s="1"/>
      <c r="S749" s="1"/>
      <c r="T749" s="1"/>
      <c r="U749" s="2"/>
      <c r="V749" s="1"/>
      <c r="W749" s="1"/>
      <c r="X749" s="1"/>
      <c r="Y749" s="1"/>
      <c r="Z749" s="1"/>
    </row>
    <row r="750" spans="1:26" ht="24.75" customHeight="1">
      <c r="A750" s="1"/>
      <c r="B750" s="1"/>
      <c r="C750" s="1"/>
      <c r="D750" s="1"/>
      <c r="E750" s="1"/>
      <c r="F750" s="1"/>
      <c r="G750" s="1"/>
      <c r="H750" s="1"/>
      <c r="I750" s="1"/>
      <c r="J750" s="1"/>
      <c r="K750" s="1"/>
      <c r="L750" s="1"/>
      <c r="M750" s="1"/>
      <c r="N750" s="1"/>
      <c r="O750" s="1"/>
      <c r="P750" s="1"/>
      <c r="Q750" s="1"/>
      <c r="R750" s="1"/>
      <c r="S750" s="1"/>
      <c r="T750" s="1"/>
      <c r="U750" s="2"/>
      <c r="V750" s="1"/>
      <c r="W750" s="1"/>
      <c r="X750" s="1"/>
      <c r="Y750" s="1"/>
      <c r="Z750" s="1"/>
    </row>
    <row r="751" spans="1:26" ht="24.75" customHeight="1">
      <c r="A751" s="1"/>
      <c r="B751" s="1"/>
      <c r="C751" s="1"/>
      <c r="D751" s="1"/>
      <c r="E751" s="1"/>
      <c r="F751" s="1"/>
      <c r="G751" s="1"/>
      <c r="H751" s="1"/>
      <c r="I751" s="1"/>
      <c r="J751" s="1"/>
      <c r="K751" s="1"/>
      <c r="L751" s="1"/>
      <c r="M751" s="1"/>
      <c r="N751" s="1"/>
      <c r="O751" s="1"/>
      <c r="P751" s="1"/>
      <c r="Q751" s="1"/>
      <c r="R751" s="1"/>
      <c r="S751" s="1"/>
      <c r="T751" s="1"/>
      <c r="U751" s="2"/>
      <c r="V751" s="1"/>
      <c r="W751" s="1"/>
      <c r="X751" s="1"/>
      <c r="Y751" s="1"/>
      <c r="Z751" s="1"/>
    </row>
    <row r="752" spans="1:26" ht="24.75" customHeight="1">
      <c r="A752" s="1"/>
      <c r="B752" s="1"/>
      <c r="C752" s="1"/>
      <c r="D752" s="1"/>
      <c r="E752" s="1"/>
      <c r="F752" s="1"/>
      <c r="G752" s="1"/>
      <c r="H752" s="1"/>
      <c r="I752" s="1"/>
      <c r="J752" s="1"/>
      <c r="K752" s="1"/>
      <c r="L752" s="1"/>
      <c r="M752" s="1"/>
      <c r="N752" s="1"/>
      <c r="O752" s="1"/>
      <c r="P752" s="1"/>
      <c r="Q752" s="1"/>
      <c r="R752" s="1"/>
      <c r="S752" s="1"/>
      <c r="T752" s="1"/>
      <c r="U752" s="2"/>
      <c r="V752" s="1"/>
      <c r="W752" s="1"/>
      <c r="X752" s="1"/>
      <c r="Y752" s="1"/>
      <c r="Z752" s="1"/>
    </row>
    <row r="753" spans="1:26" ht="24.75" customHeight="1">
      <c r="A753" s="1"/>
      <c r="B753" s="1"/>
      <c r="C753" s="1"/>
      <c r="D753" s="1"/>
      <c r="E753" s="1"/>
      <c r="F753" s="1"/>
      <c r="G753" s="1"/>
      <c r="H753" s="1"/>
      <c r="I753" s="1"/>
      <c r="J753" s="1"/>
      <c r="K753" s="1"/>
      <c r="L753" s="1"/>
      <c r="M753" s="1"/>
      <c r="N753" s="1"/>
      <c r="O753" s="1"/>
      <c r="P753" s="1"/>
      <c r="Q753" s="1"/>
      <c r="R753" s="1"/>
      <c r="S753" s="1"/>
      <c r="T753" s="1"/>
      <c r="U753" s="2"/>
      <c r="V753" s="1"/>
      <c r="W753" s="1"/>
      <c r="X753" s="1"/>
      <c r="Y753" s="1"/>
      <c r="Z753" s="1"/>
    </row>
    <row r="754" spans="1:26" ht="24.75" customHeight="1">
      <c r="A754" s="1"/>
      <c r="B754" s="1"/>
      <c r="C754" s="1"/>
      <c r="D754" s="1"/>
      <c r="E754" s="1"/>
      <c r="F754" s="1"/>
      <c r="G754" s="1"/>
      <c r="H754" s="1"/>
      <c r="I754" s="1"/>
      <c r="J754" s="1"/>
      <c r="K754" s="1"/>
      <c r="L754" s="1"/>
      <c r="M754" s="1"/>
      <c r="N754" s="1"/>
      <c r="O754" s="1"/>
      <c r="P754" s="1"/>
      <c r="Q754" s="1"/>
      <c r="R754" s="1"/>
      <c r="S754" s="1"/>
      <c r="T754" s="1"/>
      <c r="U754" s="2"/>
      <c r="V754" s="1"/>
      <c r="W754" s="1"/>
      <c r="X754" s="1"/>
      <c r="Y754" s="1"/>
      <c r="Z754" s="1"/>
    </row>
    <row r="755" spans="1:26" ht="24.75" customHeight="1">
      <c r="A755" s="1"/>
      <c r="B755" s="1"/>
      <c r="C755" s="1"/>
      <c r="D755" s="1"/>
      <c r="E755" s="1"/>
      <c r="F755" s="1"/>
      <c r="G755" s="1"/>
      <c r="H755" s="1"/>
      <c r="I755" s="1"/>
      <c r="J755" s="1"/>
      <c r="K755" s="1"/>
      <c r="L755" s="1"/>
      <c r="M755" s="1"/>
      <c r="N755" s="1"/>
      <c r="O755" s="1"/>
      <c r="P755" s="1"/>
      <c r="Q755" s="1"/>
      <c r="R755" s="1"/>
      <c r="S755" s="1"/>
      <c r="T755" s="1"/>
      <c r="U755" s="2"/>
      <c r="V755" s="1"/>
      <c r="W755" s="1"/>
      <c r="X755" s="1"/>
      <c r="Y755" s="1"/>
      <c r="Z755" s="1"/>
    </row>
    <row r="756" spans="1:26" ht="24.75" customHeight="1">
      <c r="A756" s="1"/>
      <c r="B756" s="1"/>
      <c r="C756" s="1"/>
      <c r="D756" s="1"/>
      <c r="E756" s="1"/>
      <c r="F756" s="1"/>
      <c r="G756" s="1"/>
      <c r="H756" s="1"/>
      <c r="I756" s="1"/>
      <c r="J756" s="1"/>
      <c r="K756" s="1"/>
      <c r="L756" s="1"/>
      <c r="M756" s="1"/>
      <c r="N756" s="1"/>
      <c r="O756" s="1"/>
      <c r="P756" s="1"/>
      <c r="Q756" s="1"/>
      <c r="R756" s="1"/>
      <c r="S756" s="1"/>
      <c r="T756" s="1"/>
      <c r="U756" s="2"/>
      <c r="V756" s="1"/>
      <c r="W756" s="1"/>
      <c r="X756" s="1"/>
      <c r="Y756" s="1"/>
      <c r="Z756" s="1"/>
    </row>
    <row r="757" spans="1:26" ht="24.75" customHeight="1">
      <c r="A757" s="1"/>
      <c r="B757" s="1"/>
      <c r="C757" s="1"/>
      <c r="D757" s="1"/>
      <c r="E757" s="1"/>
      <c r="F757" s="1"/>
      <c r="G757" s="1"/>
      <c r="H757" s="1"/>
      <c r="I757" s="1"/>
      <c r="J757" s="1"/>
      <c r="K757" s="1"/>
      <c r="L757" s="1"/>
      <c r="M757" s="1"/>
      <c r="N757" s="1"/>
      <c r="O757" s="1"/>
      <c r="P757" s="1"/>
      <c r="Q757" s="1"/>
      <c r="R757" s="1"/>
      <c r="S757" s="1"/>
      <c r="T757" s="1"/>
      <c r="U757" s="2"/>
      <c r="V757" s="1"/>
      <c r="W757" s="1"/>
      <c r="X757" s="1"/>
      <c r="Y757" s="1"/>
      <c r="Z757" s="1"/>
    </row>
    <row r="758" spans="1:26" ht="24.75" customHeight="1">
      <c r="A758" s="1"/>
      <c r="B758" s="1"/>
      <c r="C758" s="1"/>
      <c r="D758" s="1"/>
      <c r="E758" s="1"/>
      <c r="F758" s="1"/>
      <c r="G758" s="1"/>
      <c r="H758" s="1"/>
      <c r="I758" s="1"/>
      <c r="J758" s="1"/>
      <c r="K758" s="1"/>
      <c r="L758" s="1"/>
      <c r="M758" s="1"/>
      <c r="N758" s="1"/>
      <c r="O758" s="1"/>
      <c r="P758" s="1"/>
      <c r="Q758" s="1"/>
      <c r="R758" s="1"/>
      <c r="S758" s="1"/>
      <c r="T758" s="1"/>
      <c r="U758" s="2"/>
      <c r="V758" s="1"/>
      <c r="W758" s="1"/>
      <c r="X758" s="1"/>
      <c r="Y758" s="1"/>
      <c r="Z758" s="1"/>
    </row>
    <row r="759" spans="1:26" ht="24.75" customHeight="1">
      <c r="A759" s="1"/>
      <c r="B759" s="1"/>
      <c r="C759" s="1"/>
      <c r="D759" s="1"/>
      <c r="E759" s="1"/>
      <c r="F759" s="1"/>
      <c r="G759" s="1"/>
      <c r="H759" s="1"/>
      <c r="I759" s="1"/>
      <c r="J759" s="1"/>
      <c r="K759" s="1"/>
      <c r="L759" s="1"/>
      <c r="M759" s="1"/>
      <c r="N759" s="1"/>
      <c r="O759" s="1"/>
      <c r="P759" s="1"/>
      <c r="Q759" s="1"/>
      <c r="R759" s="1"/>
      <c r="S759" s="1"/>
      <c r="T759" s="1"/>
      <c r="U759" s="2"/>
      <c r="V759" s="1"/>
      <c r="W759" s="1"/>
      <c r="X759" s="1"/>
      <c r="Y759" s="1"/>
      <c r="Z759" s="1"/>
    </row>
    <row r="760" spans="1:26" ht="24.75" customHeight="1">
      <c r="A760" s="1"/>
      <c r="B760" s="1"/>
      <c r="C760" s="1"/>
      <c r="D760" s="1"/>
      <c r="E760" s="1"/>
      <c r="F760" s="1"/>
      <c r="G760" s="1"/>
      <c r="H760" s="1"/>
      <c r="I760" s="1"/>
      <c r="J760" s="1"/>
      <c r="K760" s="1"/>
      <c r="L760" s="1"/>
      <c r="M760" s="1"/>
      <c r="N760" s="1"/>
      <c r="O760" s="1"/>
      <c r="P760" s="1"/>
      <c r="Q760" s="1"/>
      <c r="R760" s="1"/>
      <c r="S760" s="1"/>
      <c r="T760" s="1"/>
      <c r="U760" s="2"/>
      <c r="V760" s="1"/>
      <c r="W760" s="1"/>
      <c r="X760" s="1"/>
      <c r="Y760" s="1"/>
      <c r="Z760" s="1"/>
    </row>
    <row r="761" spans="1:26" ht="24.75" customHeight="1">
      <c r="A761" s="1"/>
      <c r="B761" s="1"/>
      <c r="C761" s="1"/>
      <c r="D761" s="1"/>
      <c r="E761" s="1"/>
      <c r="F761" s="1"/>
      <c r="G761" s="1"/>
      <c r="H761" s="1"/>
      <c r="I761" s="1"/>
      <c r="J761" s="1"/>
      <c r="K761" s="1"/>
      <c r="L761" s="1"/>
      <c r="M761" s="1"/>
      <c r="N761" s="1"/>
      <c r="O761" s="1"/>
      <c r="P761" s="1"/>
      <c r="Q761" s="1"/>
      <c r="R761" s="1"/>
      <c r="S761" s="1"/>
      <c r="T761" s="1"/>
      <c r="U761" s="2"/>
      <c r="V761" s="1"/>
      <c r="W761" s="1"/>
      <c r="X761" s="1"/>
      <c r="Y761" s="1"/>
      <c r="Z761" s="1"/>
    </row>
    <row r="762" spans="1:26" ht="24.75" customHeight="1">
      <c r="A762" s="1"/>
      <c r="B762" s="1"/>
      <c r="C762" s="1"/>
      <c r="D762" s="1"/>
      <c r="E762" s="1"/>
      <c r="F762" s="1"/>
      <c r="G762" s="1"/>
      <c r="H762" s="1"/>
      <c r="I762" s="1"/>
      <c r="J762" s="1"/>
      <c r="K762" s="1"/>
      <c r="L762" s="1"/>
      <c r="M762" s="1"/>
      <c r="N762" s="1"/>
      <c r="O762" s="1"/>
      <c r="P762" s="1"/>
      <c r="Q762" s="1"/>
      <c r="R762" s="1"/>
      <c r="S762" s="1"/>
      <c r="T762" s="1"/>
      <c r="U762" s="2"/>
      <c r="V762" s="1"/>
      <c r="W762" s="1"/>
      <c r="X762" s="1"/>
      <c r="Y762" s="1"/>
      <c r="Z762" s="1"/>
    </row>
    <row r="763" spans="1:26" ht="24.75" customHeight="1">
      <c r="A763" s="1"/>
      <c r="B763" s="1"/>
      <c r="C763" s="1"/>
      <c r="D763" s="1"/>
      <c r="E763" s="1"/>
      <c r="F763" s="1"/>
      <c r="G763" s="1"/>
      <c r="H763" s="1"/>
      <c r="I763" s="1"/>
      <c r="J763" s="1"/>
      <c r="K763" s="1"/>
      <c r="L763" s="1"/>
      <c r="M763" s="1"/>
      <c r="N763" s="1"/>
      <c r="O763" s="1"/>
      <c r="P763" s="1"/>
      <c r="Q763" s="1"/>
      <c r="R763" s="1"/>
      <c r="S763" s="1"/>
      <c r="T763" s="1"/>
      <c r="U763" s="2"/>
      <c r="V763" s="1"/>
      <c r="W763" s="1"/>
      <c r="X763" s="1"/>
      <c r="Y763" s="1"/>
      <c r="Z763" s="1"/>
    </row>
    <row r="764" spans="1:26" ht="24.75" customHeight="1">
      <c r="A764" s="1"/>
      <c r="B764" s="1"/>
      <c r="C764" s="1"/>
      <c r="D764" s="1"/>
      <c r="E764" s="1"/>
      <c r="F764" s="1"/>
      <c r="G764" s="1"/>
      <c r="H764" s="1"/>
      <c r="I764" s="1"/>
      <c r="J764" s="1"/>
      <c r="K764" s="1"/>
      <c r="L764" s="1"/>
      <c r="M764" s="1"/>
      <c r="N764" s="1"/>
      <c r="O764" s="1"/>
      <c r="P764" s="1"/>
      <c r="Q764" s="1"/>
      <c r="R764" s="1"/>
      <c r="S764" s="1"/>
      <c r="T764" s="1"/>
      <c r="U764" s="2"/>
      <c r="V764" s="1"/>
      <c r="W764" s="1"/>
      <c r="X764" s="1"/>
      <c r="Y764" s="1"/>
      <c r="Z764" s="1"/>
    </row>
    <row r="765" spans="1:26" ht="24.75" customHeight="1">
      <c r="A765" s="1"/>
      <c r="B765" s="1"/>
      <c r="C765" s="1"/>
      <c r="D765" s="1"/>
      <c r="E765" s="1"/>
      <c r="F765" s="1"/>
      <c r="G765" s="1"/>
      <c r="H765" s="1"/>
      <c r="I765" s="1"/>
      <c r="J765" s="1"/>
      <c r="K765" s="1"/>
      <c r="L765" s="1"/>
      <c r="M765" s="1"/>
      <c r="N765" s="1"/>
      <c r="O765" s="1"/>
      <c r="P765" s="1"/>
      <c r="Q765" s="1"/>
      <c r="R765" s="1"/>
      <c r="S765" s="1"/>
      <c r="T765" s="1"/>
      <c r="U765" s="2"/>
      <c r="V765" s="1"/>
      <c r="W765" s="1"/>
      <c r="X765" s="1"/>
      <c r="Y765" s="1"/>
      <c r="Z765" s="1"/>
    </row>
    <row r="766" spans="1:26" ht="24.75" customHeight="1">
      <c r="A766" s="1"/>
      <c r="B766" s="1"/>
      <c r="C766" s="1"/>
      <c r="D766" s="1"/>
      <c r="E766" s="1"/>
      <c r="F766" s="1"/>
      <c r="G766" s="1"/>
      <c r="H766" s="1"/>
      <c r="I766" s="1"/>
      <c r="J766" s="1"/>
      <c r="K766" s="1"/>
      <c r="L766" s="1"/>
      <c r="M766" s="1"/>
      <c r="N766" s="1"/>
      <c r="O766" s="1"/>
      <c r="P766" s="1"/>
      <c r="Q766" s="1"/>
      <c r="R766" s="1"/>
      <c r="S766" s="1"/>
      <c r="T766" s="1"/>
      <c r="U766" s="2"/>
      <c r="V766" s="1"/>
      <c r="W766" s="1"/>
      <c r="X766" s="1"/>
      <c r="Y766" s="1"/>
      <c r="Z766" s="1"/>
    </row>
    <row r="767" spans="1:26" ht="24.75" customHeight="1">
      <c r="A767" s="1"/>
      <c r="B767" s="1"/>
      <c r="C767" s="1"/>
      <c r="D767" s="1"/>
      <c r="E767" s="1"/>
      <c r="F767" s="1"/>
      <c r="G767" s="1"/>
      <c r="H767" s="1"/>
      <c r="I767" s="1"/>
      <c r="J767" s="1"/>
      <c r="K767" s="1"/>
      <c r="L767" s="1"/>
      <c r="M767" s="1"/>
      <c r="N767" s="1"/>
      <c r="O767" s="1"/>
      <c r="P767" s="1"/>
      <c r="Q767" s="1"/>
      <c r="R767" s="1"/>
      <c r="S767" s="1"/>
      <c r="T767" s="1"/>
      <c r="U767" s="2"/>
      <c r="V767" s="1"/>
      <c r="W767" s="1"/>
      <c r="X767" s="1"/>
      <c r="Y767" s="1"/>
      <c r="Z767" s="1"/>
    </row>
    <row r="768" spans="1:26" ht="24.75" customHeight="1">
      <c r="A768" s="1"/>
      <c r="B768" s="1"/>
      <c r="C768" s="1"/>
      <c r="D768" s="1"/>
      <c r="E768" s="1"/>
      <c r="F768" s="1"/>
      <c r="G768" s="1"/>
      <c r="H768" s="1"/>
      <c r="I768" s="1"/>
      <c r="J768" s="1"/>
      <c r="K768" s="1"/>
      <c r="L768" s="1"/>
      <c r="M768" s="1"/>
      <c r="N768" s="1"/>
      <c r="O768" s="1"/>
      <c r="P768" s="1"/>
      <c r="Q768" s="1"/>
      <c r="R768" s="1"/>
      <c r="S768" s="1"/>
      <c r="T768" s="1"/>
      <c r="U768" s="2"/>
      <c r="V768" s="1"/>
      <c r="W768" s="1"/>
      <c r="X768" s="1"/>
      <c r="Y768" s="1"/>
      <c r="Z768" s="1"/>
    </row>
    <row r="769" spans="1:26" ht="24.75" customHeight="1">
      <c r="A769" s="1"/>
      <c r="B769" s="1"/>
      <c r="C769" s="1"/>
      <c r="D769" s="1"/>
      <c r="E769" s="1"/>
      <c r="F769" s="1"/>
      <c r="G769" s="1"/>
      <c r="H769" s="1"/>
      <c r="I769" s="1"/>
      <c r="J769" s="1"/>
      <c r="K769" s="1"/>
      <c r="L769" s="1"/>
      <c r="M769" s="1"/>
      <c r="N769" s="1"/>
      <c r="O769" s="1"/>
      <c r="P769" s="1"/>
      <c r="Q769" s="1"/>
      <c r="R769" s="1"/>
      <c r="S769" s="1"/>
      <c r="T769" s="1"/>
      <c r="U769" s="2"/>
      <c r="V769" s="1"/>
      <c r="W769" s="1"/>
      <c r="X769" s="1"/>
      <c r="Y769" s="1"/>
      <c r="Z769" s="1"/>
    </row>
    <row r="770" spans="1:26" ht="24.75" customHeight="1">
      <c r="A770" s="1"/>
      <c r="B770" s="1"/>
      <c r="C770" s="1"/>
      <c r="D770" s="1"/>
      <c r="E770" s="1"/>
      <c r="F770" s="1"/>
      <c r="G770" s="1"/>
      <c r="H770" s="1"/>
      <c r="I770" s="1"/>
      <c r="J770" s="1"/>
      <c r="K770" s="1"/>
      <c r="L770" s="1"/>
      <c r="M770" s="1"/>
      <c r="N770" s="1"/>
      <c r="O770" s="1"/>
      <c r="P770" s="1"/>
      <c r="Q770" s="1"/>
      <c r="R770" s="1"/>
      <c r="S770" s="1"/>
      <c r="T770" s="1"/>
      <c r="U770" s="2"/>
      <c r="V770" s="1"/>
      <c r="W770" s="1"/>
      <c r="X770" s="1"/>
      <c r="Y770" s="1"/>
      <c r="Z770" s="1"/>
    </row>
    <row r="771" spans="1:26" ht="24.75" customHeight="1">
      <c r="A771" s="1"/>
      <c r="B771" s="1"/>
      <c r="C771" s="1"/>
      <c r="D771" s="1"/>
      <c r="E771" s="1"/>
      <c r="F771" s="1"/>
      <c r="G771" s="1"/>
      <c r="H771" s="1"/>
      <c r="I771" s="1"/>
      <c r="J771" s="1"/>
      <c r="K771" s="1"/>
      <c r="L771" s="1"/>
      <c r="M771" s="1"/>
      <c r="N771" s="1"/>
      <c r="O771" s="1"/>
      <c r="P771" s="1"/>
      <c r="Q771" s="1"/>
      <c r="R771" s="1"/>
      <c r="S771" s="1"/>
      <c r="T771" s="1"/>
      <c r="U771" s="2"/>
      <c r="V771" s="1"/>
      <c r="W771" s="1"/>
      <c r="X771" s="1"/>
      <c r="Y771" s="1"/>
      <c r="Z771" s="1"/>
    </row>
    <row r="772" spans="1:26" ht="24.75" customHeight="1">
      <c r="A772" s="1"/>
      <c r="B772" s="1"/>
      <c r="C772" s="1"/>
      <c r="D772" s="1"/>
      <c r="E772" s="1"/>
      <c r="F772" s="1"/>
      <c r="G772" s="1"/>
      <c r="H772" s="1"/>
      <c r="I772" s="1"/>
      <c r="J772" s="1"/>
      <c r="K772" s="1"/>
      <c r="L772" s="1"/>
      <c r="M772" s="1"/>
      <c r="N772" s="1"/>
      <c r="O772" s="1"/>
      <c r="P772" s="1"/>
      <c r="Q772" s="1"/>
      <c r="R772" s="1"/>
      <c r="S772" s="1"/>
      <c r="T772" s="1"/>
      <c r="U772" s="2"/>
      <c r="V772" s="1"/>
      <c r="W772" s="1"/>
      <c r="X772" s="1"/>
      <c r="Y772" s="1"/>
      <c r="Z772" s="1"/>
    </row>
    <row r="773" spans="1:26" ht="24.75" customHeight="1">
      <c r="A773" s="1"/>
      <c r="B773" s="1"/>
      <c r="C773" s="1"/>
      <c r="D773" s="1"/>
      <c r="E773" s="1"/>
      <c r="F773" s="1"/>
      <c r="G773" s="1"/>
      <c r="H773" s="1"/>
      <c r="I773" s="1"/>
      <c r="J773" s="1"/>
      <c r="K773" s="1"/>
      <c r="L773" s="1"/>
      <c r="M773" s="1"/>
      <c r="N773" s="1"/>
      <c r="O773" s="1"/>
      <c r="P773" s="1"/>
      <c r="Q773" s="1"/>
      <c r="R773" s="1"/>
      <c r="S773" s="1"/>
      <c r="T773" s="1"/>
      <c r="U773" s="2"/>
      <c r="V773" s="1"/>
      <c r="W773" s="1"/>
      <c r="X773" s="1"/>
      <c r="Y773" s="1"/>
      <c r="Z773" s="1"/>
    </row>
    <row r="774" spans="1:26" ht="24.75" customHeight="1">
      <c r="A774" s="1"/>
      <c r="B774" s="1"/>
      <c r="C774" s="1"/>
      <c r="D774" s="1"/>
      <c r="E774" s="1"/>
      <c r="F774" s="1"/>
      <c r="G774" s="1"/>
      <c r="H774" s="1"/>
      <c r="I774" s="1"/>
      <c r="J774" s="1"/>
      <c r="K774" s="1"/>
      <c r="L774" s="1"/>
      <c r="M774" s="1"/>
      <c r="N774" s="1"/>
      <c r="O774" s="1"/>
      <c r="P774" s="1"/>
      <c r="Q774" s="1"/>
      <c r="R774" s="1"/>
      <c r="S774" s="1"/>
      <c r="T774" s="1"/>
      <c r="U774" s="2"/>
      <c r="V774" s="1"/>
      <c r="W774" s="1"/>
      <c r="X774" s="1"/>
      <c r="Y774" s="1"/>
      <c r="Z774" s="1"/>
    </row>
    <row r="775" spans="1:26" ht="24.75" customHeight="1">
      <c r="A775" s="1"/>
      <c r="B775" s="1"/>
      <c r="C775" s="1"/>
      <c r="D775" s="1"/>
      <c r="E775" s="1"/>
      <c r="F775" s="1"/>
      <c r="G775" s="1"/>
      <c r="H775" s="1"/>
      <c r="I775" s="1"/>
      <c r="J775" s="1"/>
      <c r="K775" s="1"/>
      <c r="L775" s="1"/>
      <c r="M775" s="1"/>
      <c r="N775" s="1"/>
      <c r="O775" s="1"/>
      <c r="P775" s="1"/>
      <c r="Q775" s="1"/>
      <c r="R775" s="1"/>
      <c r="S775" s="1"/>
      <c r="T775" s="1"/>
      <c r="U775" s="2"/>
      <c r="V775" s="1"/>
      <c r="W775" s="1"/>
      <c r="X775" s="1"/>
      <c r="Y775" s="1"/>
      <c r="Z775" s="1"/>
    </row>
    <row r="776" spans="1:26" ht="24.75" customHeight="1">
      <c r="A776" s="1"/>
      <c r="B776" s="1"/>
      <c r="C776" s="1"/>
      <c r="D776" s="1"/>
      <c r="E776" s="1"/>
      <c r="F776" s="1"/>
      <c r="G776" s="1"/>
      <c r="H776" s="1"/>
      <c r="I776" s="1"/>
      <c r="J776" s="1"/>
      <c r="K776" s="1"/>
      <c r="L776" s="1"/>
      <c r="M776" s="1"/>
      <c r="N776" s="1"/>
      <c r="O776" s="1"/>
      <c r="P776" s="1"/>
      <c r="Q776" s="1"/>
      <c r="R776" s="1"/>
      <c r="S776" s="1"/>
      <c r="T776" s="1"/>
      <c r="U776" s="2"/>
      <c r="V776" s="1"/>
      <c r="W776" s="1"/>
      <c r="X776" s="1"/>
      <c r="Y776" s="1"/>
      <c r="Z776" s="1"/>
    </row>
    <row r="777" spans="1:26" ht="24.75" customHeight="1">
      <c r="A777" s="1"/>
      <c r="B777" s="1"/>
      <c r="C777" s="1"/>
      <c r="D777" s="1"/>
      <c r="E777" s="1"/>
      <c r="F777" s="1"/>
      <c r="G777" s="1"/>
      <c r="H777" s="1"/>
      <c r="I777" s="1"/>
      <c r="J777" s="1"/>
      <c r="K777" s="1"/>
      <c r="L777" s="1"/>
      <c r="M777" s="1"/>
      <c r="N777" s="1"/>
      <c r="O777" s="1"/>
      <c r="P777" s="1"/>
      <c r="Q777" s="1"/>
      <c r="R777" s="1"/>
      <c r="S777" s="1"/>
      <c r="T777" s="1"/>
      <c r="U777" s="2"/>
      <c r="V777" s="1"/>
      <c r="W777" s="1"/>
      <c r="X777" s="1"/>
      <c r="Y777" s="1"/>
      <c r="Z777" s="1"/>
    </row>
    <row r="778" spans="1:26" ht="24.75" customHeight="1">
      <c r="A778" s="1"/>
      <c r="B778" s="1"/>
      <c r="C778" s="1"/>
      <c r="D778" s="1"/>
      <c r="E778" s="1"/>
      <c r="F778" s="1"/>
      <c r="G778" s="1"/>
      <c r="H778" s="1"/>
      <c r="I778" s="1"/>
      <c r="J778" s="1"/>
      <c r="K778" s="1"/>
      <c r="L778" s="1"/>
      <c r="M778" s="1"/>
      <c r="N778" s="1"/>
      <c r="O778" s="1"/>
      <c r="P778" s="1"/>
      <c r="Q778" s="1"/>
      <c r="R778" s="1"/>
      <c r="S778" s="1"/>
      <c r="T778" s="1"/>
      <c r="U778" s="2"/>
      <c r="V778" s="1"/>
      <c r="W778" s="1"/>
      <c r="X778" s="1"/>
      <c r="Y778" s="1"/>
      <c r="Z778" s="1"/>
    </row>
    <row r="779" spans="1:26" ht="24.75" customHeight="1">
      <c r="A779" s="1"/>
      <c r="B779" s="1"/>
      <c r="C779" s="1"/>
      <c r="D779" s="1"/>
      <c r="E779" s="1"/>
      <c r="F779" s="1"/>
      <c r="G779" s="1"/>
      <c r="H779" s="1"/>
      <c r="I779" s="1"/>
      <c r="J779" s="1"/>
      <c r="K779" s="1"/>
      <c r="L779" s="1"/>
      <c r="M779" s="1"/>
      <c r="N779" s="1"/>
      <c r="O779" s="1"/>
      <c r="P779" s="1"/>
      <c r="Q779" s="1"/>
      <c r="R779" s="1"/>
      <c r="S779" s="1"/>
      <c r="T779" s="1"/>
      <c r="U779" s="2"/>
      <c r="V779" s="1"/>
      <c r="W779" s="1"/>
      <c r="X779" s="1"/>
      <c r="Y779" s="1"/>
      <c r="Z779" s="1"/>
    </row>
    <row r="780" spans="1:26" ht="24.75" customHeight="1">
      <c r="A780" s="1"/>
      <c r="B780" s="1"/>
      <c r="C780" s="1"/>
      <c r="D780" s="1"/>
      <c r="E780" s="1"/>
      <c r="F780" s="1"/>
      <c r="G780" s="1"/>
      <c r="H780" s="1"/>
      <c r="I780" s="1"/>
      <c r="J780" s="1"/>
      <c r="K780" s="1"/>
      <c r="L780" s="1"/>
      <c r="M780" s="1"/>
      <c r="N780" s="1"/>
      <c r="O780" s="1"/>
      <c r="P780" s="1"/>
      <c r="Q780" s="1"/>
      <c r="R780" s="1"/>
      <c r="S780" s="1"/>
      <c r="T780" s="1"/>
      <c r="U780" s="2"/>
      <c r="V780" s="1"/>
      <c r="W780" s="1"/>
      <c r="X780" s="1"/>
      <c r="Y780" s="1"/>
      <c r="Z780" s="1"/>
    </row>
    <row r="781" spans="1:26" ht="24.75" customHeight="1">
      <c r="A781" s="1"/>
      <c r="B781" s="1"/>
      <c r="C781" s="1"/>
      <c r="D781" s="1"/>
      <c r="E781" s="1"/>
      <c r="F781" s="1"/>
      <c r="G781" s="1"/>
      <c r="H781" s="1"/>
      <c r="I781" s="1"/>
      <c r="J781" s="1"/>
      <c r="K781" s="1"/>
      <c r="L781" s="1"/>
      <c r="M781" s="1"/>
      <c r="N781" s="1"/>
      <c r="O781" s="1"/>
      <c r="P781" s="1"/>
      <c r="Q781" s="1"/>
      <c r="R781" s="1"/>
      <c r="S781" s="1"/>
      <c r="T781" s="1"/>
      <c r="U781" s="2"/>
      <c r="V781" s="1"/>
      <c r="W781" s="1"/>
      <c r="X781" s="1"/>
      <c r="Y781" s="1"/>
      <c r="Z781" s="1"/>
    </row>
    <row r="782" spans="1:26" ht="24.75" customHeight="1">
      <c r="A782" s="1"/>
      <c r="B782" s="1"/>
      <c r="C782" s="1"/>
      <c r="D782" s="1"/>
      <c r="E782" s="1"/>
      <c r="F782" s="1"/>
      <c r="G782" s="1"/>
      <c r="H782" s="1"/>
      <c r="I782" s="1"/>
      <c r="J782" s="1"/>
      <c r="K782" s="1"/>
      <c r="L782" s="1"/>
      <c r="M782" s="1"/>
      <c r="N782" s="1"/>
      <c r="O782" s="1"/>
      <c r="P782" s="1"/>
      <c r="Q782" s="1"/>
      <c r="R782" s="1"/>
      <c r="S782" s="1"/>
      <c r="T782" s="1"/>
      <c r="U782" s="2"/>
      <c r="V782" s="1"/>
      <c r="W782" s="1"/>
      <c r="X782" s="1"/>
      <c r="Y782" s="1"/>
      <c r="Z782" s="1"/>
    </row>
    <row r="783" spans="1:26" ht="24.75" customHeight="1">
      <c r="A783" s="1"/>
      <c r="B783" s="1"/>
      <c r="C783" s="1"/>
      <c r="D783" s="1"/>
      <c r="E783" s="1"/>
      <c r="F783" s="1"/>
      <c r="G783" s="1"/>
      <c r="H783" s="1"/>
      <c r="I783" s="1"/>
      <c r="J783" s="1"/>
      <c r="K783" s="1"/>
      <c r="L783" s="1"/>
      <c r="M783" s="1"/>
      <c r="N783" s="1"/>
      <c r="O783" s="1"/>
      <c r="P783" s="1"/>
      <c r="Q783" s="1"/>
      <c r="R783" s="1"/>
      <c r="S783" s="1"/>
      <c r="T783" s="1"/>
      <c r="U783" s="2"/>
      <c r="V783" s="1"/>
      <c r="W783" s="1"/>
      <c r="X783" s="1"/>
      <c r="Y783" s="1"/>
      <c r="Z783" s="1"/>
    </row>
    <row r="784" spans="1:26" ht="24.75" customHeight="1">
      <c r="A784" s="1"/>
      <c r="B784" s="1"/>
      <c r="C784" s="1"/>
      <c r="D784" s="1"/>
      <c r="E784" s="1"/>
      <c r="F784" s="1"/>
      <c r="G784" s="1"/>
      <c r="H784" s="1"/>
      <c r="I784" s="1"/>
      <c r="J784" s="1"/>
      <c r="K784" s="1"/>
      <c r="L784" s="1"/>
      <c r="M784" s="1"/>
      <c r="N784" s="1"/>
      <c r="O784" s="1"/>
      <c r="P784" s="1"/>
      <c r="Q784" s="1"/>
      <c r="R784" s="1"/>
      <c r="S784" s="1"/>
      <c r="T784" s="1"/>
      <c r="U784" s="2"/>
      <c r="V784" s="1"/>
      <c r="W784" s="1"/>
      <c r="X784" s="1"/>
      <c r="Y784" s="1"/>
      <c r="Z784" s="1"/>
    </row>
    <row r="785" spans="1:26" ht="24.75" customHeight="1">
      <c r="A785" s="1"/>
      <c r="B785" s="1"/>
      <c r="C785" s="1"/>
      <c r="D785" s="1"/>
      <c r="E785" s="1"/>
      <c r="F785" s="1"/>
      <c r="G785" s="1"/>
      <c r="H785" s="1"/>
      <c r="I785" s="1"/>
      <c r="J785" s="1"/>
      <c r="K785" s="1"/>
      <c r="L785" s="1"/>
      <c r="M785" s="1"/>
      <c r="N785" s="1"/>
      <c r="O785" s="1"/>
      <c r="P785" s="1"/>
      <c r="Q785" s="1"/>
      <c r="R785" s="1"/>
      <c r="S785" s="1"/>
      <c r="T785" s="1"/>
      <c r="U785" s="2"/>
      <c r="V785" s="1"/>
      <c r="W785" s="1"/>
      <c r="X785" s="1"/>
      <c r="Y785" s="1"/>
      <c r="Z785" s="1"/>
    </row>
    <row r="786" spans="1:26" ht="24.75" customHeight="1">
      <c r="A786" s="1"/>
      <c r="B786" s="1"/>
      <c r="C786" s="1"/>
      <c r="D786" s="1"/>
      <c r="E786" s="1"/>
      <c r="F786" s="1"/>
      <c r="G786" s="1"/>
      <c r="H786" s="1"/>
      <c r="I786" s="1"/>
      <c r="J786" s="1"/>
      <c r="K786" s="1"/>
      <c r="L786" s="1"/>
      <c r="M786" s="1"/>
      <c r="N786" s="1"/>
      <c r="O786" s="1"/>
      <c r="P786" s="1"/>
      <c r="Q786" s="1"/>
      <c r="R786" s="1"/>
      <c r="S786" s="1"/>
      <c r="T786" s="1"/>
      <c r="U786" s="2"/>
      <c r="V786" s="1"/>
      <c r="W786" s="1"/>
      <c r="X786" s="1"/>
      <c r="Y786" s="1"/>
      <c r="Z786" s="1"/>
    </row>
    <row r="787" spans="1:26" ht="24.75" customHeight="1">
      <c r="A787" s="1"/>
      <c r="B787" s="1"/>
      <c r="C787" s="1"/>
      <c r="D787" s="1"/>
      <c r="E787" s="1"/>
      <c r="F787" s="1"/>
      <c r="G787" s="1"/>
      <c r="H787" s="1"/>
      <c r="I787" s="1"/>
      <c r="J787" s="1"/>
      <c r="K787" s="1"/>
      <c r="L787" s="1"/>
      <c r="M787" s="1"/>
      <c r="N787" s="1"/>
      <c r="O787" s="1"/>
      <c r="P787" s="1"/>
      <c r="Q787" s="1"/>
      <c r="R787" s="1"/>
      <c r="S787" s="1"/>
      <c r="T787" s="1"/>
      <c r="U787" s="2"/>
      <c r="V787" s="1"/>
      <c r="W787" s="1"/>
      <c r="X787" s="1"/>
      <c r="Y787" s="1"/>
      <c r="Z787" s="1"/>
    </row>
    <row r="788" spans="1:26" ht="24.75" customHeight="1">
      <c r="A788" s="1"/>
      <c r="B788" s="1"/>
      <c r="C788" s="1"/>
      <c r="D788" s="1"/>
      <c r="E788" s="1"/>
      <c r="F788" s="1"/>
      <c r="G788" s="1"/>
      <c r="H788" s="1"/>
      <c r="I788" s="1"/>
      <c r="J788" s="1"/>
      <c r="K788" s="1"/>
      <c r="L788" s="1"/>
      <c r="M788" s="1"/>
      <c r="N788" s="1"/>
      <c r="O788" s="1"/>
      <c r="P788" s="1"/>
      <c r="Q788" s="1"/>
      <c r="R788" s="1"/>
      <c r="S788" s="1"/>
      <c r="T788" s="1"/>
      <c r="U788" s="2"/>
      <c r="V788" s="1"/>
      <c r="W788" s="1"/>
      <c r="X788" s="1"/>
      <c r="Y788" s="1"/>
      <c r="Z788" s="1"/>
    </row>
    <row r="789" spans="1:26" ht="24.75" customHeight="1">
      <c r="A789" s="1"/>
      <c r="B789" s="1"/>
      <c r="C789" s="1"/>
      <c r="D789" s="1"/>
      <c r="E789" s="1"/>
      <c r="F789" s="1"/>
      <c r="G789" s="1"/>
      <c r="H789" s="1"/>
      <c r="I789" s="1"/>
      <c r="J789" s="1"/>
      <c r="K789" s="1"/>
      <c r="L789" s="1"/>
      <c r="M789" s="1"/>
      <c r="N789" s="1"/>
      <c r="O789" s="1"/>
      <c r="P789" s="1"/>
      <c r="Q789" s="1"/>
      <c r="R789" s="1"/>
      <c r="S789" s="1"/>
      <c r="T789" s="1"/>
      <c r="U789" s="2"/>
      <c r="V789" s="1"/>
      <c r="W789" s="1"/>
      <c r="X789" s="1"/>
      <c r="Y789" s="1"/>
      <c r="Z789" s="1"/>
    </row>
    <row r="790" spans="1:26" ht="24.75" customHeight="1">
      <c r="A790" s="1"/>
      <c r="B790" s="1"/>
      <c r="C790" s="1"/>
      <c r="D790" s="1"/>
      <c r="E790" s="1"/>
      <c r="F790" s="1"/>
      <c r="G790" s="1"/>
      <c r="H790" s="1"/>
      <c r="I790" s="1"/>
      <c r="J790" s="1"/>
      <c r="K790" s="1"/>
      <c r="L790" s="1"/>
      <c r="M790" s="1"/>
      <c r="N790" s="1"/>
      <c r="O790" s="1"/>
      <c r="P790" s="1"/>
      <c r="Q790" s="1"/>
      <c r="R790" s="1"/>
      <c r="S790" s="1"/>
      <c r="T790" s="1"/>
      <c r="U790" s="2"/>
      <c r="V790" s="1"/>
      <c r="W790" s="1"/>
      <c r="X790" s="1"/>
      <c r="Y790" s="1"/>
      <c r="Z790" s="1"/>
    </row>
    <row r="791" spans="1:26" ht="24.75" customHeight="1">
      <c r="A791" s="1"/>
      <c r="B791" s="1"/>
      <c r="C791" s="1"/>
      <c r="D791" s="1"/>
      <c r="E791" s="1"/>
      <c r="F791" s="1"/>
      <c r="G791" s="1"/>
      <c r="H791" s="1"/>
      <c r="I791" s="1"/>
      <c r="J791" s="1"/>
      <c r="K791" s="1"/>
      <c r="L791" s="1"/>
      <c r="M791" s="1"/>
      <c r="N791" s="1"/>
      <c r="O791" s="1"/>
      <c r="P791" s="1"/>
      <c r="Q791" s="1"/>
      <c r="R791" s="1"/>
      <c r="S791" s="1"/>
      <c r="T791" s="1"/>
      <c r="U791" s="2"/>
      <c r="V791" s="1"/>
      <c r="W791" s="1"/>
      <c r="X791" s="1"/>
      <c r="Y791" s="1"/>
      <c r="Z791" s="1"/>
    </row>
    <row r="792" spans="1:26" ht="24.75" customHeight="1">
      <c r="A792" s="1"/>
      <c r="B792" s="1"/>
      <c r="C792" s="1"/>
      <c r="D792" s="1"/>
      <c r="E792" s="1"/>
      <c r="F792" s="1"/>
      <c r="G792" s="1"/>
      <c r="H792" s="1"/>
      <c r="I792" s="1"/>
      <c r="J792" s="1"/>
      <c r="K792" s="1"/>
      <c r="L792" s="1"/>
      <c r="M792" s="1"/>
      <c r="N792" s="1"/>
      <c r="O792" s="1"/>
      <c r="P792" s="1"/>
      <c r="Q792" s="1"/>
      <c r="R792" s="1"/>
      <c r="S792" s="1"/>
      <c r="T792" s="1"/>
      <c r="U792" s="2"/>
      <c r="V792" s="1"/>
      <c r="W792" s="1"/>
      <c r="X792" s="1"/>
      <c r="Y792" s="1"/>
      <c r="Z792" s="1"/>
    </row>
    <row r="793" spans="1:26" ht="24.75" customHeight="1">
      <c r="A793" s="1"/>
      <c r="B793" s="1"/>
      <c r="C793" s="1"/>
      <c r="D793" s="1"/>
      <c r="E793" s="1"/>
      <c r="F793" s="1"/>
      <c r="G793" s="1"/>
      <c r="H793" s="1"/>
      <c r="I793" s="1"/>
      <c r="J793" s="1"/>
      <c r="K793" s="1"/>
      <c r="L793" s="1"/>
      <c r="M793" s="1"/>
      <c r="N793" s="1"/>
      <c r="O793" s="1"/>
      <c r="P793" s="1"/>
      <c r="Q793" s="1"/>
      <c r="R793" s="1"/>
      <c r="S793" s="1"/>
      <c r="T793" s="1"/>
      <c r="U793" s="2"/>
      <c r="V793" s="1"/>
      <c r="W793" s="1"/>
      <c r="X793" s="1"/>
      <c r="Y793" s="1"/>
      <c r="Z793" s="1"/>
    </row>
    <row r="794" spans="1:26" ht="24.75" customHeight="1">
      <c r="A794" s="1"/>
      <c r="B794" s="1"/>
      <c r="C794" s="1"/>
      <c r="D794" s="1"/>
      <c r="E794" s="1"/>
      <c r="F794" s="1"/>
      <c r="G794" s="1"/>
      <c r="H794" s="1"/>
      <c r="I794" s="1"/>
      <c r="J794" s="1"/>
      <c r="K794" s="1"/>
      <c r="L794" s="1"/>
      <c r="M794" s="1"/>
      <c r="N794" s="1"/>
      <c r="O794" s="1"/>
      <c r="P794" s="1"/>
      <c r="Q794" s="1"/>
      <c r="R794" s="1"/>
      <c r="S794" s="1"/>
      <c r="T794" s="1"/>
      <c r="U794" s="2"/>
      <c r="V794" s="1"/>
      <c r="W794" s="1"/>
      <c r="X794" s="1"/>
      <c r="Y794" s="1"/>
      <c r="Z794" s="1"/>
    </row>
    <row r="795" spans="1:26" ht="24.75" customHeight="1">
      <c r="A795" s="1"/>
      <c r="B795" s="1"/>
      <c r="C795" s="1"/>
      <c r="D795" s="1"/>
      <c r="E795" s="1"/>
      <c r="F795" s="1"/>
      <c r="G795" s="1"/>
      <c r="H795" s="1"/>
      <c r="I795" s="1"/>
      <c r="J795" s="1"/>
      <c r="K795" s="1"/>
      <c r="L795" s="1"/>
      <c r="M795" s="1"/>
      <c r="N795" s="1"/>
      <c r="O795" s="1"/>
      <c r="P795" s="1"/>
      <c r="Q795" s="1"/>
      <c r="R795" s="1"/>
      <c r="S795" s="1"/>
      <c r="T795" s="1"/>
      <c r="U795" s="2"/>
      <c r="V795" s="1"/>
      <c r="W795" s="1"/>
      <c r="X795" s="1"/>
      <c r="Y795" s="1"/>
      <c r="Z795" s="1"/>
    </row>
    <row r="796" spans="1:26" ht="24.75" customHeight="1">
      <c r="A796" s="1"/>
      <c r="B796" s="1"/>
      <c r="C796" s="1"/>
      <c r="D796" s="1"/>
      <c r="E796" s="1"/>
      <c r="F796" s="1"/>
      <c r="G796" s="1"/>
      <c r="H796" s="1"/>
      <c r="I796" s="1"/>
      <c r="J796" s="1"/>
      <c r="K796" s="1"/>
      <c r="L796" s="1"/>
      <c r="M796" s="1"/>
      <c r="N796" s="1"/>
      <c r="O796" s="1"/>
      <c r="P796" s="1"/>
      <c r="Q796" s="1"/>
      <c r="R796" s="1"/>
      <c r="S796" s="1"/>
      <c r="T796" s="1"/>
      <c r="U796" s="2"/>
      <c r="V796" s="1"/>
      <c r="W796" s="1"/>
      <c r="X796" s="1"/>
      <c r="Y796" s="1"/>
      <c r="Z796" s="1"/>
    </row>
    <row r="797" spans="1:26" ht="24.75" customHeight="1">
      <c r="A797" s="1"/>
      <c r="B797" s="1"/>
      <c r="C797" s="1"/>
      <c r="D797" s="1"/>
      <c r="E797" s="1"/>
      <c r="F797" s="1"/>
      <c r="G797" s="1"/>
      <c r="H797" s="1"/>
      <c r="I797" s="1"/>
      <c r="J797" s="1"/>
      <c r="K797" s="1"/>
      <c r="L797" s="1"/>
      <c r="M797" s="1"/>
      <c r="N797" s="1"/>
      <c r="O797" s="1"/>
      <c r="P797" s="1"/>
      <c r="Q797" s="1"/>
      <c r="R797" s="1"/>
      <c r="S797" s="1"/>
      <c r="T797" s="1"/>
      <c r="U797" s="2"/>
      <c r="V797" s="1"/>
      <c r="W797" s="1"/>
      <c r="X797" s="1"/>
      <c r="Y797" s="1"/>
      <c r="Z797" s="1"/>
    </row>
    <row r="798" spans="1:26" ht="24.75" customHeight="1">
      <c r="A798" s="1"/>
      <c r="B798" s="1"/>
      <c r="C798" s="1"/>
      <c r="D798" s="1"/>
      <c r="E798" s="1"/>
      <c r="F798" s="1"/>
      <c r="G798" s="1"/>
      <c r="H798" s="1"/>
      <c r="I798" s="1"/>
      <c r="J798" s="1"/>
      <c r="K798" s="1"/>
      <c r="L798" s="1"/>
      <c r="M798" s="1"/>
      <c r="N798" s="1"/>
      <c r="O798" s="1"/>
      <c r="P798" s="1"/>
      <c r="Q798" s="1"/>
      <c r="R798" s="1"/>
      <c r="S798" s="1"/>
      <c r="T798" s="1"/>
      <c r="U798" s="2"/>
      <c r="V798" s="1"/>
      <c r="W798" s="1"/>
      <c r="X798" s="1"/>
      <c r="Y798" s="1"/>
      <c r="Z798" s="1"/>
    </row>
    <row r="799" spans="1:26" ht="24.75" customHeight="1">
      <c r="A799" s="1"/>
      <c r="B799" s="1"/>
      <c r="C799" s="1"/>
      <c r="D799" s="1"/>
      <c r="E799" s="1"/>
      <c r="F799" s="1"/>
      <c r="G799" s="1"/>
      <c r="H799" s="1"/>
      <c r="I799" s="1"/>
      <c r="J799" s="1"/>
      <c r="K799" s="1"/>
      <c r="L799" s="1"/>
      <c r="M799" s="1"/>
      <c r="N799" s="1"/>
      <c r="O799" s="1"/>
      <c r="P799" s="1"/>
      <c r="Q799" s="1"/>
      <c r="R799" s="1"/>
      <c r="S799" s="1"/>
      <c r="T799" s="1"/>
      <c r="U799" s="2"/>
      <c r="V799" s="1"/>
      <c r="W799" s="1"/>
      <c r="X799" s="1"/>
      <c r="Y799" s="1"/>
      <c r="Z799" s="1"/>
    </row>
    <row r="800" spans="1:26" ht="24.75" customHeight="1">
      <c r="A800" s="1"/>
      <c r="B800" s="1"/>
      <c r="C800" s="1"/>
      <c r="D800" s="1"/>
      <c r="E800" s="1"/>
      <c r="F800" s="1"/>
      <c r="G800" s="1"/>
      <c r="H800" s="1"/>
      <c r="I800" s="1"/>
      <c r="J800" s="1"/>
      <c r="K800" s="1"/>
      <c r="L800" s="1"/>
      <c r="M800" s="1"/>
      <c r="N800" s="1"/>
      <c r="O800" s="1"/>
      <c r="P800" s="1"/>
      <c r="Q800" s="1"/>
      <c r="R800" s="1"/>
      <c r="S800" s="1"/>
      <c r="T800" s="1"/>
      <c r="U800" s="2"/>
      <c r="V800" s="1"/>
      <c r="W800" s="1"/>
      <c r="X800" s="1"/>
      <c r="Y800" s="1"/>
      <c r="Z800" s="1"/>
    </row>
    <row r="801" spans="1:26" ht="24.75" customHeight="1">
      <c r="A801" s="1"/>
      <c r="B801" s="1"/>
      <c r="C801" s="1"/>
      <c r="D801" s="1"/>
      <c r="E801" s="1"/>
      <c r="F801" s="1"/>
      <c r="G801" s="1"/>
      <c r="H801" s="1"/>
      <c r="I801" s="1"/>
      <c r="J801" s="1"/>
      <c r="K801" s="1"/>
      <c r="L801" s="1"/>
      <c r="M801" s="1"/>
      <c r="N801" s="1"/>
      <c r="O801" s="1"/>
      <c r="P801" s="1"/>
      <c r="Q801" s="1"/>
      <c r="R801" s="1"/>
      <c r="S801" s="1"/>
      <c r="T801" s="1"/>
      <c r="U801" s="2"/>
      <c r="V801" s="1"/>
      <c r="W801" s="1"/>
      <c r="X801" s="1"/>
      <c r="Y801" s="1"/>
      <c r="Z801" s="1"/>
    </row>
    <row r="802" spans="1:26" ht="24.75" customHeight="1">
      <c r="A802" s="1"/>
      <c r="B802" s="1"/>
      <c r="C802" s="1"/>
      <c r="D802" s="1"/>
      <c r="E802" s="1"/>
      <c r="F802" s="1"/>
      <c r="G802" s="1"/>
      <c r="H802" s="1"/>
      <c r="I802" s="1"/>
      <c r="J802" s="1"/>
      <c r="K802" s="1"/>
      <c r="L802" s="1"/>
      <c r="M802" s="1"/>
      <c r="N802" s="1"/>
      <c r="O802" s="1"/>
      <c r="P802" s="1"/>
      <c r="Q802" s="1"/>
      <c r="R802" s="1"/>
      <c r="S802" s="1"/>
      <c r="T802" s="1"/>
      <c r="U802" s="2"/>
      <c r="V802" s="1"/>
      <c r="W802" s="1"/>
      <c r="X802" s="1"/>
      <c r="Y802" s="1"/>
      <c r="Z802" s="1"/>
    </row>
    <row r="803" spans="1:26" ht="24.75" customHeight="1">
      <c r="A803" s="1"/>
      <c r="B803" s="1"/>
      <c r="C803" s="1"/>
      <c r="D803" s="1"/>
      <c r="E803" s="1"/>
      <c r="F803" s="1"/>
      <c r="G803" s="1"/>
      <c r="H803" s="1"/>
      <c r="I803" s="1"/>
      <c r="J803" s="1"/>
      <c r="K803" s="1"/>
      <c r="L803" s="1"/>
      <c r="M803" s="1"/>
      <c r="N803" s="1"/>
      <c r="O803" s="1"/>
      <c r="P803" s="1"/>
      <c r="Q803" s="1"/>
      <c r="R803" s="1"/>
      <c r="S803" s="1"/>
      <c r="T803" s="1"/>
      <c r="U803" s="2"/>
      <c r="V803" s="1"/>
      <c r="W803" s="1"/>
      <c r="X803" s="1"/>
      <c r="Y803" s="1"/>
      <c r="Z803" s="1"/>
    </row>
    <row r="804" spans="1:26" ht="24.75" customHeight="1">
      <c r="A804" s="1"/>
      <c r="B804" s="1"/>
      <c r="C804" s="1"/>
      <c r="D804" s="1"/>
      <c r="E804" s="1"/>
      <c r="F804" s="1"/>
      <c r="G804" s="1"/>
      <c r="H804" s="1"/>
      <c r="I804" s="1"/>
      <c r="J804" s="1"/>
      <c r="K804" s="1"/>
      <c r="L804" s="1"/>
      <c r="M804" s="1"/>
      <c r="N804" s="1"/>
      <c r="O804" s="1"/>
      <c r="P804" s="1"/>
      <c r="Q804" s="1"/>
      <c r="R804" s="1"/>
      <c r="S804" s="1"/>
      <c r="T804" s="1"/>
      <c r="U804" s="2"/>
      <c r="V804" s="1"/>
      <c r="W804" s="1"/>
      <c r="X804" s="1"/>
      <c r="Y804" s="1"/>
      <c r="Z804" s="1"/>
    </row>
    <row r="805" spans="1:26" ht="24.75" customHeight="1">
      <c r="A805" s="1"/>
      <c r="B805" s="1"/>
      <c r="C805" s="1"/>
      <c r="D805" s="1"/>
      <c r="E805" s="1"/>
      <c r="F805" s="1"/>
      <c r="G805" s="1"/>
      <c r="H805" s="1"/>
      <c r="I805" s="1"/>
      <c r="J805" s="1"/>
      <c r="K805" s="1"/>
      <c r="L805" s="1"/>
      <c r="M805" s="1"/>
      <c r="N805" s="1"/>
      <c r="O805" s="1"/>
      <c r="P805" s="1"/>
      <c r="Q805" s="1"/>
      <c r="R805" s="1"/>
      <c r="S805" s="1"/>
      <c r="T805" s="1"/>
      <c r="U805" s="2"/>
      <c r="V805" s="1"/>
      <c r="W805" s="1"/>
      <c r="X805" s="1"/>
      <c r="Y805" s="1"/>
      <c r="Z805" s="1"/>
    </row>
    <row r="806" spans="1:26" ht="24.75" customHeight="1">
      <c r="A806" s="1"/>
      <c r="B806" s="1"/>
      <c r="C806" s="1"/>
      <c r="D806" s="1"/>
      <c r="E806" s="1"/>
      <c r="F806" s="1"/>
      <c r="G806" s="1"/>
      <c r="H806" s="1"/>
      <c r="I806" s="1"/>
      <c r="J806" s="1"/>
      <c r="K806" s="1"/>
      <c r="L806" s="1"/>
      <c r="M806" s="1"/>
      <c r="N806" s="1"/>
      <c r="O806" s="1"/>
      <c r="P806" s="1"/>
      <c r="Q806" s="1"/>
      <c r="R806" s="1"/>
      <c r="S806" s="1"/>
      <c r="T806" s="1"/>
      <c r="U806" s="2"/>
      <c r="V806" s="1"/>
      <c r="W806" s="1"/>
      <c r="X806" s="1"/>
      <c r="Y806" s="1"/>
      <c r="Z806" s="1"/>
    </row>
    <row r="807" spans="1:26" ht="24.75" customHeight="1">
      <c r="A807" s="1"/>
      <c r="B807" s="1"/>
      <c r="C807" s="1"/>
      <c r="D807" s="1"/>
      <c r="E807" s="1"/>
      <c r="F807" s="1"/>
      <c r="G807" s="1"/>
      <c r="H807" s="1"/>
      <c r="I807" s="1"/>
      <c r="J807" s="1"/>
      <c r="K807" s="1"/>
      <c r="L807" s="1"/>
      <c r="M807" s="1"/>
      <c r="N807" s="1"/>
      <c r="O807" s="1"/>
      <c r="P807" s="1"/>
      <c r="Q807" s="1"/>
      <c r="R807" s="1"/>
      <c r="S807" s="1"/>
      <c r="T807" s="1"/>
      <c r="U807" s="2"/>
      <c r="V807" s="1"/>
      <c r="W807" s="1"/>
      <c r="X807" s="1"/>
      <c r="Y807" s="1"/>
      <c r="Z807" s="1"/>
    </row>
    <row r="808" spans="1:26" ht="24.75" customHeight="1">
      <c r="A808" s="1"/>
      <c r="B808" s="1"/>
      <c r="C808" s="1"/>
      <c r="D808" s="1"/>
      <c r="E808" s="1"/>
      <c r="F808" s="1"/>
      <c r="G808" s="1"/>
      <c r="H808" s="1"/>
      <c r="I808" s="1"/>
      <c r="J808" s="1"/>
      <c r="K808" s="1"/>
      <c r="L808" s="1"/>
      <c r="M808" s="1"/>
      <c r="N808" s="1"/>
      <c r="O808" s="1"/>
      <c r="P808" s="1"/>
      <c r="Q808" s="1"/>
      <c r="R808" s="1"/>
      <c r="S808" s="1"/>
      <c r="T808" s="1"/>
      <c r="U808" s="2"/>
      <c r="V808" s="1"/>
      <c r="W808" s="1"/>
      <c r="X808" s="1"/>
      <c r="Y808" s="1"/>
      <c r="Z808" s="1"/>
    </row>
    <row r="809" spans="1:26" ht="24.75" customHeight="1">
      <c r="A809" s="1"/>
      <c r="B809" s="1"/>
      <c r="C809" s="1"/>
      <c r="D809" s="1"/>
      <c r="E809" s="1"/>
      <c r="F809" s="1"/>
      <c r="G809" s="1"/>
      <c r="H809" s="1"/>
      <c r="I809" s="1"/>
      <c r="J809" s="1"/>
      <c r="K809" s="1"/>
      <c r="L809" s="1"/>
      <c r="M809" s="1"/>
      <c r="N809" s="1"/>
      <c r="O809" s="1"/>
      <c r="P809" s="1"/>
      <c r="Q809" s="1"/>
      <c r="R809" s="1"/>
      <c r="S809" s="1"/>
      <c r="T809" s="1"/>
      <c r="U809" s="2"/>
      <c r="V809" s="1"/>
      <c r="W809" s="1"/>
      <c r="X809" s="1"/>
      <c r="Y809" s="1"/>
      <c r="Z809" s="1"/>
    </row>
    <row r="810" spans="1:26" ht="24.75" customHeight="1">
      <c r="A810" s="1"/>
      <c r="B810" s="1"/>
      <c r="C810" s="1"/>
      <c r="D810" s="1"/>
      <c r="E810" s="1"/>
      <c r="F810" s="1"/>
      <c r="G810" s="1"/>
      <c r="H810" s="1"/>
      <c r="I810" s="1"/>
      <c r="J810" s="1"/>
      <c r="K810" s="1"/>
      <c r="L810" s="1"/>
      <c r="M810" s="1"/>
      <c r="N810" s="1"/>
      <c r="O810" s="1"/>
      <c r="P810" s="1"/>
      <c r="Q810" s="1"/>
      <c r="R810" s="1"/>
      <c r="S810" s="1"/>
      <c r="T810" s="1"/>
      <c r="U810" s="2"/>
      <c r="V810" s="1"/>
      <c r="W810" s="1"/>
      <c r="X810" s="1"/>
      <c r="Y810" s="1"/>
      <c r="Z810" s="1"/>
    </row>
    <row r="811" spans="1:26" ht="24.75" customHeight="1">
      <c r="A811" s="1"/>
      <c r="B811" s="1"/>
      <c r="C811" s="1"/>
      <c r="D811" s="1"/>
      <c r="E811" s="1"/>
      <c r="F811" s="1"/>
      <c r="G811" s="1"/>
      <c r="H811" s="1"/>
      <c r="I811" s="1"/>
      <c r="J811" s="1"/>
      <c r="K811" s="1"/>
      <c r="L811" s="1"/>
      <c r="M811" s="1"/>
      <c r="N811" s="1"/>
      <c r="O811" s="1"/>
      <c r="P811" s="1"/>
      <c r="Q811" s="1"/>
      <c r="R811" s="1"/>
      <c r="S811" s="1"/>
      <c r="T811" s="1"/>
      <c r="U811" s="2"/>
      <c r="V811" s="1"/>
      <c r="W811" s="1"/>
      <c r="X811" s="1"/>
      <c r="Y811" s="1"/>
      <c r="Z811" s="1"/>
    </row>
    <row r="812" spans="1:26" ht="24.75" customHeight="1">
      <c r="A812" s="1"/>
      <c r="B812" s="1"/>
      <c r="C812" s="1"/>
      <c r="D812" s="1"/>
      <c r="E812" s="1"/>
      <c r="F812" s="1"/>
      <c r="G812" s="1"/>
      <c r="H812" s="1"/>
      <c r="I812" s="1"/>
      <c r="J812" s="1"/>
      <c r="K812" s="1"/>
      <c r="L812" s="1"/>
      <c r="M812" s="1"/>
      <c r="N812" s="1"/>
      <c r="O812" s="1"/>
      <c r="P812" s="1"/>
      <c r="Q812" s="1"/>
      <c r="R812" s="1"/>
      <c r="S812" s="1"/>
      <c r="T812" s="1"/>
      <c r="U812" s="2"/>
      <c r="V812" s="1"/>
      <c r="W812" s="1"/>
      <c r="X812" s="1"/>
      <c r="Y812" s="1"/>
      <c r="Z812" s="1"/>
    </row>
    <row r="813" spans="1:26" ht="24.75" customHeight="1">
      <c r="A813" s="1"/>
      <c r="B813" s="1"/>
      <c r="C813" s="1"/>
      <c r="D813" s="1"/>
      <c r="E813" s="1"/>
      <c r="F813" s="1"/>
      <c r="G813" s="1"/>
      <c r="H813" s="1"/>
      <c r="I813" s="1"/>
      <c r="J813" s="1"/>
      <c r="K813" s="1"/>
      <c r="L813" s="1"/>
      <c r="M813" s="1"/>
      <c r="N813" s="1"/>
      <c r="O813" s="1"/>
      <c r="P813" s="1"/>
      <c r="Q813" s="1"/>
      <c r="R813" s="1"/>
      <c r="S813" s="1"/>
      <c r="T813" s="1"/>
      <c r="U813" s="2"/>
      <c r="V813" s="1"/>
      <c r="W813" s="1"/>
      <c r="X813" s="1"/>
      <c r="Y813" s="1"/>
      <c r="Z813" s="1"/>
    </row>
    <row r="814" spans="1:26" ht="24.75" customHeight="1">
      <c r="A814" s="1"/>
      <c r="B814" s="1"/>
      <c r="C814" s="1"/>
      <c r="D814" s="1"/>
      <c r="E814" s="1"/>
      <c r="F814" s="1"/>
      <c r="G814" s="1"/>
      <c r="H814" s="1"/>
      <c r="I814" s="1"/>
      <c r="J814" s="1"/>
      <c r="K814" s="1"/>
      <c r="L814" s="1"/>
      <c r="M814" s="1"/>
      <c r="N814" s="1"/>
      <c r="O814" s="1"/>
      <c r="P814" s="1"/>
      <c r="Q814" s="1"/>
      <c r="R814" s="1"/>
      <c r="S814" s="1"/>
      <c r="T814" s="1"/>
      <c r="U814" s="2"/>
      <c r="V814" s="1"/>
      <c r="W814" s="1"/>
      <c r="X814" s="1"/>
      <c r="Y814" s="1"/>
      <c r="Z814" s="1"/>
    </row>
    <row r="815" spans="1:26" ht="24.75" customHeight="1">
      <c r="A815" s="1"/>
      <c r="B815" s="1"/>
      <c r="C815" s="1"/>
      <c r="D815" s="1"/>
      <c r="E815" s="1"/>
      <c r="F815" s="1"/>
      <c r="G815" s="1"/>
      <c r="H815" s="1"/>
      <c r="I815" s="1"/>
      <c r="J815" s="1"/>
      <c r="K815" s="1"/>
      <c r="L815" s="1"/>
      <c r="M815" s="1"/>
      <c r="N815" s="1"/>
      <c r="O815" s="1"/>
      <c r="P815" s="1"/>
      <c r="Q815" s="1"/>
      <c r="R815" s="1"/>
      <c r="S815" s="1"/>
      <c r="T815" s="1"/>
      <c r="U815" s="2"/>
      <c r="V815" s="1"/>
      <c r="W815" s="1"/>
      <c r="X815" s="1"/>
      <c r="Y815" s="1"/>
      <c r="Z815" s="1"/>
    </row>
    <row r="816" spans="1:26" ht="24.75" customHeight="1">
      <c r="A816" s="1"/>
      <c r="B816" s="1"/>
      <c r="C816" s="1"/>
      <c r="D816" s="1"/>
      <c r="E816" s="1"/>
      <c r="F816" s="1"/>
      <c r="G816" s="1"/>
      <c r="H816" s="1"/>
      <c r="I816" s="1"/>
      <c r="J816" s="1"/>
      <c r="K816" s="1"/>
      <c r="L816" s="1"/>
      <c r="M816" s="1"/>
      <c r="N816" s="1"/>
      <c r="O816" s="1"/>
      <c r="P816" s="1"/>
      <c r="Q816" s="1"/>
      <c r="R816" s="1"/>
      <c r="S816" s="1"/>
      <c r="T816" s="1"/>
      <c r="U816" s="2"/>
      <c r="V816" s="1"/>
      <c r="W816" s="1"/>
      <c r="X816" s="1"/>
      <c r="Y816" s="1"/>
      <c r="Z816" s="1"/>
    </row>
    <row r="817" spans="1:26" ht="24.75" customHeight="1">
      <c r="A817" s="1"/>
      <c r="B817" s="1"/>
      <c r="C817" s="1"/>
      <c r="D817" s="1"/>
      <c r="E817" s="1"/>
      <c r="F817" s="1"/>
      <c r="G817" s="1"/>
      <c r="H817" s="1"/>
      <c r="I817" s="1"/>
      <c r="J817" s="1"/>
      <c r="K817" s="1"/>
      <c r="L817" s="1"/>
      <c r="M817" s="1"/>
      <c r="N817" s="1"/>
      <c r="O817" s="1"/>
      <c r="P817" s="1"/>
      <c r="Q817" s="1"/>
      <c r="R817" s="1"/>
      <c r="S817" s="1"/>
      <c r="T817" s="1"/>
      <c r="U817" s="2"/>
      <c r="V817" s="1"/>
      <c r="W817" s="1"/>
      <c r="X817" s="1"/>
      <c r="Y817" s="1"/>
      <c r="Z817" s="1"/>
    </row>
    <row r="818" spans="1:26" ht="24.75" customHeight="1">
      <c r="A818" s="1"/>
      <c r="B818" s="1"/>
      <c r="C818" s="1"/>
      <c r="D818" s="1"/>
      <c r="E818" s="1"/>
      <c r="F818" s="1"/>
      <c r="G818" s="1"/>
      <c r="H818" s="1"/>
      <c r="I818" s="1"/>
      <c r="J818" s="1"/>
      <c r="K818" s="1"/>
      <c r="L818" s="1"/>
      <c r="M818" s="1"/>
      <c r="N818" s="1"/>
      <c r="O818" s="1"/>
      <c r="P818" s="1"/>
      <c r="Q818" s="1"/>
      <c r="R818" s="1"/>
      <c r="S818" s="1"/>
      <c r="T818" s="1"/>
      <c r="U818" s="2"/>
      <c r="V818" s="1"/>
      <c r="W818" s="1"/>
      <c r="X818" s="1"/>
      <c r="Y818" s="1"/>
      <c r="Z818" s="1"/>
    </row>
    <row r="819" spans="1:26" ht="24.75" customHeight="1">
      <c r="A819" s="1"/>
      <c r="B819" s="1"/>
      <c r="C819" s="1"/>
      <c r="D819" s="1"/>
      <c r="E819" s="1"/>
      <c r="F819" s="1"/>
      <c r="G819" s="1"/>
      <c r="H819" s="1"/>
      <c r="I819" s="1"/>
      <c r="J819" s="1"/>
      <c r="K819" s="1"/>
      <c r="L819" s="1"/>
      <c r="M819" s="1"/>
      <c r="N819" s="1"/>
      <c r="O819" s="1"/>
      <c r="P819" s="1"/>
      <c r="Q819" s="1"/>
      <c r="R819" s="1"/>
      <c r="S819" s="1"/>
      <c r="T819" s="1"/>
      <c r="U819" s="2"/>
      <c r="V819" s="1"/>
      <c r="W819" s="1"/>
      <c r="X819" s="1"/>
      <c r="Y819" s="1"/>
      <c r="Z819" s="1"/>
    </row>
    <row r="820" spans="1:26" ht="24.75" customHeight="1">
      <c r="A820" s="1"/>
      <c r="B820" s="1"/>
      <c r="C820" s="1"/>
      <c r="D820" s="1"/>
      <c r="E820" s="1"/>
      <c r="F820" s="1"/>
      <c r="G820" s="1"/>
      <c r="H820" s="1"/>
      <c r="I820" s="1"/>
      <c r="J820" s="1"/>
      <c r="K820" s="1"/>
      <c r="L820" s="1"/>
      <c r="M820" s="1"/>
      <c r="N820" s="1"/>
      <c r="O820" s="1"/>
      <c r="P820" s="1"/>
      <c r="Q820" s="1"/>
      <c r="R820" s="1"/>
      <c r="S820" s="1"/>
      <c r="T820" s="1"/>
      <c r="U820" s="2"/>
      <c r="V820" s="1"/>
      <c r="W820" s="1"/>
      <c r="X820" s="1"/>
      <c r="Y820" s="1"/>
      <c r="Z820" s="1"/>
    </row>
    <row r="821" spans="1:26" ht="24.75" customHeight="1">
      <c r="A821" s="1"/>
      <c r="B821" s="1"/>
      <c r="C821" s="1"/>
      <c r="D821" s="1"/>
      <c r="E821" s="1"/>
      <c r="F821" s="1"/>
      <c r="G821" s="1"/>
      <c r="H821" s="1"/>
      <c r="I821" s="1"/>
      <c r="J821" s="1"/>
      <c r="K821" s="1"/>
      <c r="L821" s="1"/>
      <c r="M821" s="1"/>
      <c r="N821" s="1"/>
      <c r="O821" s="1"/>
      <c r="P821" s="1"/>
      <c r="Q821" s="1"/>
      <c r="R821" s="1"/>
      <c r="S821" s="1"/>
      <c r="T821" s="1"/>
      <c r="U821" s="2"/>
      <c r="V821" s="1"/>
      <c r="W821" s="1"/>
      <c r="X821" s="1"/>
      <c r="Y821" s="1"/>
      <c r="Z821" s="1"/>
    </row>
    <row r="822" spans="1:26" ht="24.75" customHeight="1">
      <c r="A822" s="1"/>
      <c r="B822" s="1"/>
      <c r="C822" s="1"/>
      <c r="D822" s="1"/>
      <c r="E822" s="1"/>
      <c r="F822" s="1"/>
      <c r="G822" s="1"/>
      <c r="H822" s="1"/>
      <c r="I822" s="1"/>
      <c r="J822" s="1"/>
      <c r="K822" s="1"/>
      <c r="L822" s="1"/>
      <c r="M822" s="1"/>
      <c r="N822" s="1"/>
      <c r="O822" s="1"/>
      <c r="P822" s="1"/>
      <c r="Q822" s="1"/>
      <c r="R822" s="1"/>
      <c r="S822" s="1"/>
      <c r="T822" s="1"/>
      <c r="U822" s="2"/>
      <c r="V822" s="1"/>
      <c r="W822" s="1"/>
      <c r="X822" s="1"/>
      <c r="Y822" s="1"/>
      <c r="Z822" s="1"/>
    </row>
    <row r="823" spans="1:26" ht="24.75" customHeight="1">
      <c r="A823" s="1"/>
      <c r="B823" s="1"/>
      <c r="C823" s="1"/>
      <c r="D823" s="1"/>
      <c r="E823" s="1"/>
      <c r="F823" s="1"/>
      <c r="G823" s="1"/>
      <c r="H823" s="1"/>
      <c r="I823" s="1"/>
      <c r="J823" s="1"/>
      <c r="K823" s="1"/>
      <c r="L823" s="1"/>
      <c r="M823" s="1"/>
      <c r="N823" s="1"/>
      <c r="O823" s="1"/>
      <c r="P823" s="1"/>
      <c r="Q823" s="1"/>
      <c r="R823" s="1"/>
      <c r="S823" s="1"/>
      <c r="T823" s="1"/>
      <c r="U823" s="2"/>
      <c r="V823" s="1"/>
      <c r="W823" s="1"/>
      <c r="X823" s="1"/>
      <c r="Y823" s="1"/>
      <c r="Z823" s="1"/>
    </row>
    <row r="824" spans="1:26" ht="24.75" customHeight="1">
      <c r="A824" s="1"/>
      <c r="B824" s="1"/>
      <c r="C824" s="1"/>
      <c r="D824" s="1"/>
      <c r="E824" s="1"/>
      <c r="F824" s="1"/>
      <c r="G824" s="1"/>
      <c r="H824" s="1"/>
      <c r="I824" s="1"/>
      <c r="J824" s="1"/>
      <c r="K824" s="1"/>
      <c r="L824" s="1"/>
      <c r="M824" s="1"/>
      <c r="N824" s="1"/>
      <c r="O824" s="1"/>
      <c r="P824" s="1"/>
      <c r="Q824" s="1"/>
      <c r="R824" s="1"/>
      <c r="S824" s="1"/>
      <c r="T824" s="1"/>
      <c r="U824" s="2"/>
      <c r="V824" s="1"/>
      <c r="W824" s="1"/>
      <c r="X824" s="1"/>
      <c r="Y824" s="1"/>
      <c r="Z824" s="1"/>
    </row>
    <row r="825" spans="1:26" ht="24.75" customHeight="1">
      <c r="A825" s="1"/>
      <c r="B825" s="1"/>
      <c r="C825" s="1"/>
      <c r="D825" s="1"/>
      <c r="E825" s="1"/>
      <c r="F825" s="1"/>
      <c r="G825" s="1"/>
      <c r="H825" s="1"/>
      <c r="I825" s="1"/>
      <c r="J825" s="1"/>
      <c r="K825" s="1"/>
      <c r="L825" s="1"/>
      <c r="M825" s="1"/>
      <c r="N825" s="1"/>
      <c r="O825" s="1"/>
      <c r="P825" s="1"/>
      <c r="Q825" s="1"/>
      <c r="R825" s="1"/>
      <c r="S825" s="1"/>
      <c r="T825" s="1"/>
      <c r="U825" s="2"/>
      <c r="V825" s="1"/>
      <c r="W825" s="1"/>
      <c r="X825" s="1"/>
      <c r="Y825" s="1"/>
      <c r="Z825" s="1"/>
    </row>
    <row r="826" spans="1:26" ht="24.75" customHeight="1">
      <c r="A826" s="1"/>
      <c r="B826" s="1"/>
      <c r="C826" s="1"/>
      <c r="D826" s="1"/>
      <c r="E826" s="1"/>
      <c r="F826" s="1"/>
      <c r="G826" s="1"/>
      <c r="H826" s="1"/>
      <c r="I826" s="1"/>
      <c r="J826" s="1"/>
      <c r="K826" s="1"/>
      <c r="L826" s="1"/>
      <c r="M826" s="1"/>
      <c r="N826" s="1"/>
      <c r="O826" s="1"/>
      <c r="P826" s="1"/>
      <c r="Q826" s="1"/>
      <c r="R826" s="1"/>
      <c r="S826" s="1"/>
      <c r="T826" s="1"/>
      <c r="U826" s="2"/>
      <c r="V826" s="1"/>
      <c r="W826" s="1"/>
      <c r="X826" s="1"/>
      <c r="Y826" s="1"/>
      <c r="Z826" s="1"/>
    </row>
    <row r="827" spans="1:26" ht="24.75" customHeight="1">
      <c r="A827" s="1"/>
      <c r="B827" s="1"/>
      <c r="C827" s="1"/>
      <c r="D827" s="1"/>
      <c r="E827" s="1"/>
      <c r="F827" s="1"/>
      <c r="G827" s="1"/>
      <c r="H827" s="1"/>
      <c r="I827" s="1"/>
      <c r="J827" s="1"/>
      <c r="K827" s="1"/>
      <c r="L827" s="1"/>
      <c r="M827" s="1"/>
      <c r="N827" s="1"/>
      <c r="O827" s="1"/>
      <c r="P827" s="1"/>
      <c r="Q827" s="1"/>
      <c r="R827" s="1"/>
      <c r="S827" s="1"/>
      <c r="T827" s="1"/>
      <c r="U827" s="2"/>
      <c r="V827" s="1"/>
      <c r="W827" s="1"/>
      <c r="X827" s="1"/>
      <c r="Y827" s="1"/>
      <c r="Z827" s="1"/>
    </row>
    <row r="828" spans="1:26" ht="24.75" customHeight="1">
      <c r="A828" s="1"/>
      <c r="B828" s="1"/>
      <c r="C828" s="1"/>
      <c r="D828" s="1"/>
      <c r="E828" s="1"/>
      <c r="F828" s="1"/>
      <c r="G828" s="1"/>
      <c r="H828" s="1"/>
      <c r="I828" s="1"/>
      <c r="J828" s="1"/>
      <c r="K828" s="1"/>
      <c r="L828" s="1"/>
      <c r="M828" s="1"/>
      <c r="N828" s="1"/>
      <c r="O828" s="1"/>
      <c r="P828" s="1"/>
      <c r="Q828" s="1"/>
      <c r="R828" s="1"/>
      <c r="S828" s="1"/>
      <c r="T828" s="1"/>
      <c r="U828" s="2"/>
      <c r="V828" s="1"/>
      <c r="W828" s="1"/>
      <c r="X828" s="1"/>
      <c r="Y828" s="1"/>
      <c r="Z828" s="1"/>
    </row>
    <row r="829" spans="1:26" ht="24.75" customHeight="1">
      <c r="A829" s="1"/>
      <c r="B829" s="1"/>
      <c r="C829" s="1"/>
      <c r="D829" s="1"/>
      <c r="E829" s="1"/>
      <c r="F829" s="1"/>
      <c r="G829" s="1"/>
      <c r="H829" s="1"/>
      <c r="I829" s="1"/>
      <c r="J829" s="1"/>
      <c r="K829" s="1"/>
      <c r="L829" s="1"/>
      <c r="M829" s="1"/>
      <c r="N829" s="1"/>
      <c r="O829" s="1"/>
      <c r="P829" s="1"/>
      <c r="Q829" s="1"/>
      <c r="R829" s="1"/>
      <c r="S829" s="1"/>
      <c r="T829" s="1"/>
      <c r="U829" s="2"/>
      <c r="V829" s="1"/>
      <c r="W829" s="1"/>
      <c r="X829" s="1"/>
      <c r="Y829" s="1"/>
      <c r="Z829" s="1"/>
    </row>
    <row r="830" spans="1:26" ht="24.75" customHeight="1">
      <c r="A830" s="1"/>
      <c r="B830" s="1"/>
      <c r="C830" s="1"/>
      <c r="D830" s="1"/>
      <c r="E830" s="1"/>
      <c r="F830" s="1"/>
      <c r="G830" s="1"/>
      <c r="H830" s="1"/>
      <c r="I830" s="1"/>
      <c r="J830" s="1"/>
      <c r="K830" s="1"/>
      <c r="L830" s="1"/>
      <c r="M830" s="1"/>
      <c r="N830" s="1"/>
      <c r="O830" s="1"/>
      <c r="P830" s="1"/>
      <c r="Q830" s="1"/>
      <c r="R830" s="1"/>
      <c r="S830" s="1"/>
      <c r="T830" s="1"/>
      <c r="U830" s="2"/>
      <c r="V830" s="1"/>
      <c r="W830" s="1"/>
      <c r="X830" s="1"/>
      <c r="Y830" s="1"/>
      <c r="Z830" s="1"/>
    </row>
    <row r="831" spans="1:26" ht="24.75" customHeight="1">
      <c r="A831" s="1"/>
      <c r="B831" s="1"/>
      <c r="C831" s="1"/>
      <c r="D831" s="1"/>
      <c r="E831" s="1"/>
      <c r="F831" s="1"/>
      <c r="G831" s="1"/>
      <c r="H831" s="1"/>
      <c r="I831" s="1"/>
      <c r="J831" s="1"/>
      <c r="K831" s="1"/>
      <c r="L831" s="1"/>
      <c r="M831" s="1"/>
      <c r="N831" s="1"/>
      <c r="O831" s="1"/>
      <c r="P831" s="1"/>
      <c r="Q831" s="1"/>
      <c r="R831" s="1"/>
      <c r="S831" s="1"/>
      <c r="T831" s="1"/>
      <c r="U831" s="2"/>
      <c r="V831" s="1"/>
      <c r="W831" s="1"/>
      <c r="X831" s="1"/>
      <c r="Y831" s="1"/>
      <c r="Z831" s="1"/>
    </row>
    <row r="832" spans="1:26" ht="24.75" customHeight="1">
      <c r="A832" s="1"/>
      <c r="B832" s="1"/>
      <c r="C832" s="1"/>
      <c r="D832" s="1"/>
      <c r="E832" s="1"/>
      <c r="F832" s="1"/>
      <c r="G832" s="1"/>
      <c r="H832" s="1"/>
      <c r="I832" s="1"/>
      <c r="J832" s="1"/>
      <c r="K832" s="1"/>
      <c r="L832" s="1"/>
      <c r="M832" s="1"/>
      <c r="N832" s="1"/>
      <c r="O832" s="1"/>
      <c r="P832" s="1"/>
      <c r="Q832" s="1"/>
      <c r="R832" s="1"/>
      <c r="S832" s="1"/>
      <c r="T832" s="1"/>
      <c r="U832" s="2"/>
      <c r="V832" s="1"/>
      <c r="W832" s="1"/>
      <c r="X832" s="1"/>
      <c r="Y832" s="1"/>
      <c r="Z832" s="1"/>
    </row>
    <row r="833" spans="1:26" ht="24.75" customHeight="1">
      <c r="A833" s="1"/>
      <c r="B833" s="1"/>
      <c r="C833" s="1"/>
      <c r="D833" s="1"/>
      <c r="E833" s="1"/>
      <c r="F833" s="1"/>
      <c r="G833" s="1"/>
      <c r="H833" s="1"/>
      <c r="I833" s="1"/>
      <c r="J833" s="1"/>
      <c r="K833" s="1"/>
      <c r="L833" s="1"/>
      <c r="M833" s="1"/>
      <c r="N833" s="1"/>
      <c r="O833" s="1"/>
      <c r="P833" s="1"/>
      <c r="Q833" s="1"/>
      <c r="R833" s="1"/>
      <c r="S833" s="1"/>
      <c r="T833" s="1"/>
      <c r="U833" s="2"/>
      <c r="V833" s="1"/>
      <c r="W833" s="1"/>
      <c r="X833" s="1"/>
      <c r="Y833" s="1"/>
      <c r="Z833" s="1"/>
    </row>
    <row r="834" spans="1:26" ht="24.75" customHeight="1">
      <c r="A834" s="1"/>
      <c r="B834" s="1"/>
      <c r="C834" s="1"/>
      <c r="D834" s="1"/>
      <c r="E834" s="1"/>
      <c r="F834" s="1"/>
      <c r="G834" s="1"/>
      <c r="H834" s="1"/>
      <c r="I834" s="1"/>
      <c r="J834" s="1"/>
      <c r="K834" s="1"/>
      <c r="L834" s="1"/>
      <c r="M834" s="1"/>
      <c r="N834" s="1"/>
      <c r="O834" s="1"/>
      <c r="P834" s="1"/>
      <c r="Q834" s="1"/>
      <c r="R834" s="1"/>
      <c r="S834" s="1"/>
      <c r="T834" s="1"/>
      <c r="U834" s="2"/>
      <c r="V834" s="1"/>
      <c r="W834" s="1"/>
      <c r="X834" s="1"/>
      <c r="Y834" s="1"/>
      <c r="Z834" s="1"/>
    </row>
    <row r="835" spans="1:26" ht="24.75" customHeight="1">
      <c r="A835" s="1"/>
      <c r="B835" s="1"/>
      <c r="C835" s="1"/>
      <c r="D835" s="1"/>
      <c r="E835" s="1"/>
      <c r="F835" s="1"/>
      <c r="G835" s="1"/>
      <c r="H835" s="1"/>
      <c r="I835" s="1"/>
      <c r="J835" s="1"/>
      <c r="K835" s="1"/>
      <c r="L835" s="1"/>
      <c r="M835" s="1"/>
      <c r="N835" s="1"/>
      <c r="O835" s="1"/>
      <c r="P835" s="1"/>
      <c r="Q835" s="1"/>
      <c r="R835" s="1"/>
      <c r="S835" s="1"/>
      <c r="T835" s="1"/>
      <c r="U835" s="2"/>
      <c r="V835" s="1"/>
      <c r="W835" s="1"/>
      <c r="X835" s="1"/>
      <c r="Y835" s="1"/>
      <c r="Z835" s="1"/>
    </row>
    <row r="836" spans="1:26" ht="24.75" customHeight="1">
      <c r="A836" s="1"/>
      <c r="B836" s="1"/>
      <c r="C836" s="1"/>
      <c r="D836" s="1"/>
      <c r="E836" s="1"/>
      <c r="F836" s="1"/>
      <c r="G836" s="1"/>
      <c r="H836" s="1"/>
      <c r="I836" s="1"/>
      <c r="J836" s="1"/>
      <c r="K836" s="1"/>
      <c r="L836" s="1"/>
      <c r="M836" s="1"/>
      <c r="N836" s="1"/>
      <c r="O836" s="1"/>
      <c r="P836" s="1"/>
      <c r="Q836" s="1"/>
      <c r="R836" s="1"/>
      <c r="S836" s="1"/>
      <c r="T836" s="1"/>
      <c r="U836" s="2"/>
      <c r="V836" s="1"/>
      <c r="W836" s="1"/>
      <c r="X836" s="1"/>
      <c r="Y836" s="1"/>
      <c r="Z836" s="1"/>
    </row>
    <row r="837" spans="1:26" ht="24.75" customHeight="1">
      <c r="A837" s="1"/>
      <c r="B837" s="1"/>
      <c r="C837" s="1"/>
      <c r="D837" s="1"/>
      <c r="E837" s="1"/>
      <c r="F837" s="1"/>
      <c r="G837" s="1"/>
      <c r="H837" s="1"/>
      <c r="I837" s="1"/>
      <c r="J837" s="1"/>
      <c r="K837" s="1"/>
      <c r="L837" s="1"/>
      <c r="M837" s="1"/>
      <c r="N837" s="1"/>
      <c r="O837" s="1"/>
      <c r="P837" s="1"/>
      <c r="Q837" s="1"/>
      <c r="R837" s="1"/>
      <c r="S837" s="1"/>
      <c r="T837" s="1"/>
      <c r="U837" s="2"/>
      <c r="V837" s="1"/>
      <c r="W837" s="1"/>
      <c r="X837" s="1"/>
      <c r="Y837" s="1"/>
      <c r="Z837" s="1"/>
    </row>
    <row r="838" spans="1:26" ht="24.75" customHeight="1">
      <c r="A838" s="1"/>
      <c r="B838" s="1"/>
      <c r="C838" s="1"/>
      <c r="D838" s="1"/>
      <c r="E838" s="1"/>
      <c r="F838" s="1"/>
      <c r="G838" s="1"/>
      <c r="H838" s="1"/>
      <c r="I838" s="1"/>
      <c r="J838" s="1"/>
      <c r="K838" s="1"/>
      <c r="L838" s="1"/>
      <c r="M838" s="1"/>
      <c r="N838" s="1"/>
      <c r="O838" s="1"/>
      <c r="P838" s="1"/>
      <c r="Q838" s="1"/>
      <c r="R838" s="1"/>
      <c r="S838" s="1"/>
      <c r="T838" s="1"/>
      <c r="U838" s="2"/>
      <c r="V838" s="1"/>
      <c r="W838" s="1"/>
      <c r="X838" s="1"/>
      <c r="Y838" s="1"/>
      <c r="Z838" s="1"/>
    </row>
    <row r="839" spans="1:26" ht="24.75" customHeight="1">
      <c r="A839" s="1"/>
      <c r="B839" s="1"/>
      <c r="C839" s="1"/>
      <c r="D839" s="1"/>
      <c r="E839" s="1"/>
      <c r="F839" s="1"/>
      <c r="G839" s="1"/>
      <c r="H839" s="1"/>
      <c r="I839" s="1"/>
      <c r="J839" s="1"/>
      <c r="K839" s="1"/>
      <c r="L839" s="1"/>
      <c r="M839" s="1"/>
      <c r="N839" s="1"/>
      <c r="O839" s="1"/>
      <c r="P839" s="1"/>
      <c r="Q839" s="1"/>
      <c r="R839" s="1"/>
      <c r="S839" s="1"/>
      <c r="T839" s="1"/>
      <c r="U839" s="2"/>
      <c r="V839" s="1"/>
      <c r="W839" s="1"/>
      <c r="X839" s="1"/>
      <c r="Y839" s="1"/>
      <c r="Z839" s="1"/>
    </row>
    <row r="840" spans="1:26" ht="24.75" customHeight="1">
      <c r="A840" s="1"/>
      <c r="B840" s="1"/>
      <c r="C840" s="1"/>
      <c r="D840" s="1"/>
      <c r="E840" s="1"/>
      <c r="F840" s="1"/>
      <c r="G840" s="1"/>
      <c r="H840" s="1"/>
      <c r="I840" s="1"/>
      <c r="J840" s="1"/>
      <c r="K840" s="1"/>
      <c r="L840" s="1"/>
      <c r="M840" s="1"/>
      <c r="N840" s="1"/>
      <c r="O840" s="1"/>
      <c r="P840" s="1"/>
      <c r="Q840" s="1"/>
      <c r="R840" s="1"/>
      <c r="S840" s="1"/>
      <c r="T840" s="1"/>
      <c r="U840" s="2"/>
      <c r="V840" s="1"/>
      <c r="W840" s="1"/>
      <c r="X840" s="1"/>
      <c r="Y840" s="1"/>
      <c r="Z840" s="1"/>
    </row>
    <row r="841" spans="1:26" ht="24.75" customHeight="1">
      <c r="A841" s="1"/>
      <c r="B841" s="1"/>
      <c r="C841" s="1"/>
      <c r="D841" s="1"/>
      <c r="E841" s="1"/>
      <c r="F841" s="1"/>
      <c r="G841" s="1"/>
      <c r="H841" s="1"/>
      <c r="I841" s="1"/>
      <c r="J841" s="1"/>
      <c r="K841" s="1"/>
      <c r="L841" s="1"/>
      <c r="M841" s="1"/>
      <c r="N841" s="1"/>
      <c r="O841" s="1"/>
      <c r="P841" s="1"/>
      <c r="Q841" s="1"/>
      <c r="R841" s="1"/>
      <c r="S841" s="1"/>
      <c r="T841" s="1"/>
      <c r="U841" s="2"/>
      <c r="V841" s="1"/>
      <c r="W841" s="1"/>
      <c r="X841" s="1"/>
      <c r="Y841" s="1"/>
      <c r="Z841" s="1"/>
    </row>
    <row r="842" spans="1:26" ht="24.75" customHeight="1">
      <c r="A842" s="1"/>
      <c r="B842" s="1"/>
      <c r="C842" s="1"/>
      <c r="D842" s="1"/>
      <c r="E842" s="1"/>
      <c r="F842" s="1"/>
      <c r="G842" s="1"/>
      <c r="H842" s="1"/>
      <c r="I842" s="1"/>
      <c r="J842" s="1"/>
      <c r="K842" s="1"/>
      <c r="L842" s="1"/>
      <c r="M842" s="1"/>
      <c r="N842" s="1"/>
      <c r="O842" s="1"/>
      <c r="P842" s="1"/>
      <c r="Q842" s="1"/>
      <c r="R842" s="1"/>
      <c r="S842" s="1"/>
      <c r="T842" s="1"/>
      <c r="U842" s="2"/>
      <c r="V842" s="1"/>
      <c r="W842" s="1"/>
      <c r="X842" s="1"/>
      <c r="Y842" s="1"/>
      <c r="Z842" s="1"/>
    </row>
    <row r="843" spans="1:26" ht="24.75" customHeight="1">
      <c r="A843" s="1"/>
      <c r="B843" s="1"/>
      <c r="C843" s="1"/>
      <c r="D843" s="1"/>
      <c r="E843" s="1"/>
      <c r="F843" s="1"/>
      <c r="G843" s="1"/>
      <c r="H843" s="1"/>
      <c r="I843" s="1"/>
      <c r="J843" s="1"/>
      <c r="K843" s="1"/>
      <c r="L843" s="1"/>
      <c r="M843" s="1"/>
      <c r="N843" s="1"/>
      <c r="O843" s="1"/>
      <c r="P843" s="1"/>
      <c r="Q843" s="1"/>
      <c r="R843" s="1"/>
      <c r="S843" s="1"/>
      <c r="T843" s="1"/>
      <c r="U843" s="2"/>
      <c r="V843" s="1"/>
      <c r="W843" s="1"/>
      <c r="X843" s="1"/>
      <c r="Y843" s="1"/>
      <c r="Z843" s="1"/>
    </row>
    <row r="844" spans="1:26" ht="24.75" customHeight="1">
      <c r="A844" s="1"/>
      <c r="B844" s="1"/>
      <c r="C844" s="1"/>
      <c r="D844" s="1"/>
      <c r="E844" s="1"/>
      <c r="F844" s="1"/>
      <c r="G844" s="1"/>
      <c r="H844" s="1"/>
      <c r="I844" s="1"/>
      <c r="J844" s="1"/>
      <c r="K844" s="1"/>
      <c r="L844" s="1"/>
      <c r="M844" s="1"/>
      <c r="N844" s="1"/>
      <c r="O844" s="1"/>
      <c r="P844" s="1"/>
      <c r="Q844" s="1"/>
      <c r="R844" s="1"/>
      <c r="S844" s="1"/>
      <c r="T844" s="1"/>
      <c r="U844" s="2"/>
      <c r="V844" s="1"/>
      <c r="W844" s="1"/>
      <c r="X844" s="1"/>
      <c r="Y844" s="1"/>
      <c r="Z844" s="1"/>
    </row>
    <row r="845" spans="1:26" ht="24.75" customHeight="1">
      <c r="A845" s="1"/>
      <c r="B845" s="1"/>
      <c r="C845" s="1"/>
      <c r="D845" s="1"/>
      <c r="E845" s="1"/>
      <c r="F845" s="1"/>
      <c r="G845" s="1"/>
      <c r="H845" s="1"/>
      <c r="I845" s="1"/>
      <c r="J845" s="1"/>
      <c r="K845" s="1"/>
      <c r="L845" s="1"/>
      <c r="M845" s="1"/>
      <c r="N845" s="1"/>
      <c r="O845" s="1"/>
      <c r="P845" s="1"/>
      <c r="Q845" s="1"/>
      <c r="R845" s="1"/>
      <c r="S845" s="1"/>
      <c r="T845" s="1"/>
      <c r="U845" s="2"/>
      <c r="V845" s="1"/>
      <c r="W845" s="1"/>
      <c r="X845" s="1"/>
      <c r="Y845" s="1"/>
      <c r="Z845" s="1"/>
    </row>
    <row r="846" spans="1:26" ht="24.75" customHeight="1">
      <c r="A846" s="1"/>
      <c r="B846" s="1"/>
      <c r="C846" s="1"/>
      <c r="D846" s="1"/>
      <c r="E846" s="1"/>
      <c r="F846" s="1"/>
      <c r="G846" s="1"/>
      <c r="H846" s="1"/>
      <c r="I846" s="1"/>
      <c r="J846" s="1"/>
      <c r="K846" s="1"/>
      <c r="L846" s="1"/>
      <c r="M846" s="1"/>
      <c r="N846" s="1"/>
      <c r="O846" s="1"/>
      <c r="P846" s="1"/>
      <c r="Q846" s="1"/>
      <c r="R846" s="1"/>
      <c r="S846" s="1"/>
      <c r="T846" s="1"/>
      <c r="U846" s="2"/>
      <c r="V846" s="1"/>
      <c r="W846" s="1"/>
      <c r="X846" s="1"/>
      <c r="Y846" s="1"/>
      <c r="Z846" s="1"/>
    </row>
    <row r="847" spans="1:26" ht="24.75" customHeight="1">
      <c r="A847" s="1"/>
      <c r="B847" s="1"/>
      <c r="C847" s="1"/>
      <c r="D847" s="1"/>
      <c r="E847" s="1"/>
      <c r="F847" s="1"/>
      <c r="G847" s="1"/>
      <c r="H847" s="1"/>
      <c r="I847" s="1"/>
      <c r="J847" s="1"/>
      <c r="K847" s="1"/>
      <c r="L847" s="1"/>
      <c r="M847" s="1"/>
      <c r="N847" s="1"/>
      <c r="O847" s="1"/>
      <c r="P847" s="1"/>
      <c r="Q847" s="1"/>
      <c r="R847" s="1"/>
      <c r="S847" s="1"/>
      <c r="T847" s="1"/>
      <c r="U847" s="2"/>
      <c r="V847" s="1"/>
      <c r="W847" s="1"/>
      <c r="X847" s="1"/>
      <c r="Y847" s="1"/>
      <c r="Z847" s="1"/>
    </row>
    <row r="848" spans="1:26" ht="24.75" customHeight="1">
      <c r="A848" s="1"/>
      <c r="B848" s="1"/>
      <c r="C848" s="1"/>
      <c r="D848" s="1"/>
      <c r="E848" s="1"/>
      <c r="F848" s="1"/>
      <c r="G848" s="1"/>
      <c r="H848" s="1"/>
      <c r="I848" s="1"/>
      <c r="J848" s="1"/>
      <c r="K848" s="1"/>
      <c r="L848" s="1"/>
      <c r="M848" s="1"/>
      <c r="N848" s="1"/>
      <c r="O848" s="1"/>
      <c r="P848" s="1"/>
      <c r="Q848" s="1"/>
      <c r="R848" s="1"/>
      <c r="S848" s="1"/>
      <c r="T848" s="1"/>
      <c r="U848" s="2"/>
      <c r="V848" s="1"/>
      <c r="W848" s="1"/>
      <c r="X848" s="1"/>
      <c r="Y848" s="1"/>
      <c r="Z848" s="1"/>
    </row>
    <row r="849" spans="1:26" ht="24.75" customHeight="1">
      <c r="A849" s="1"/>
      <c r="B849" s="1"/>
      <c r="C849" s="1"/>
      <c r="D849" s="1"/>
      <c r="E849" s="1"/>
      <c r="F849" s="1"/>
      <c r="G849" s="1"/>
      <c r="H849" s="1"/>
      <c r="I849" s="1"/>
      <c r="J849" s="1"/>
      <c r="K849" s="1"/>
      <c r="L849" s="1"/>
      <c r="M849" s="1"/>
      <c r="N849" s="1"/>
      <c r="O849" s="1"/>
      <c r="P849" s="1"/>
      <c r="Q849" s="1"/>
      <c r="R849" s="1"/>
      <c r="S849" s="1"/>
      <c r="T849" s="1"/>
      <c r="U849" s="2"/>
      <c r="V849" s="1"/>
      <c r="W849" s="1"/>
      <c r="X849" s="1"/>
      <c r="Y849" s="1"/>
      <c r="Z849" s="1"/>
    </row>
    <row r="850" spans="1:26" ht="24.75" customHeight="1">
      <c r="A850" s="1"/>
      <c r="B850" s="1"/>
      <c r="C850" s="1"/>
      <c r="D850" s="1"/>
      <c r="E850" s="1"/>
      <c r="F850" s="1"/>
      <c r="G850" s="1"/>
      <c r="H850" s="1"/>
      <c r="I850" s="1"/>
      <c r="J850" s="1"/>
      <c r="K850" s="1"/>
      <c r="L850" s="1"/>
      <c r="M850" s="1"/>
      <c r="N850" s="1"/>
      <c r="O850" s="1"/>
      <c r="P850" s="1"/>
      <c r="Q850" s="1"/>
      <c r="R850" s="1"/>
      <c r="S850" s="1"/>
      <c r="T850" s="1"/>
      <c r="U850" s="2"/>
      <c r="V850" s="1"/>
      <c r="W850" s="1"/>
      <c r="X850" s="1"/>
      <c r="Y850" s="1"/>
      <c r="Z850" s="1"/>
    </row>
    <row r="851" spans="1:26" ht="24.75" customHeight="1">
      <c r="A851" s="1"/>
      <c r="B851" s="1"/>
      <c r="C851" s="1"/>
      <c r="D851" s="1"/>
      <c r="E851" s="1"/>
      <c r="F851" s="1"/>
      <c r="G851" s="1"/>
      <c r="H851" s="1"/>
      <c r="I851" s="1"/>
      <c r="J851" s="1"/>
      <c r="K851" s="1"/>
      <c r="L851" s="1"/>
      <c r="M851" s="1"/>
      <c r="N851" s="1"/>
      <c r="O851" s="1"/>
      <c r="P851" s="1"/>
      <c r="Q851" s="1"/>
      <c r="R851" s="1"/>
      <c r="S851" s="1"/>
      <c r="T851" s="1"/>
      <c r="U851" s="2"/>
      <c r="V851" s="1"/>
      <c r="W851" s="1"/>
      <c r="X851" s="1"/>
      <c r="Y851" s="1"/>
      <c r="Z851" s="1"/>
    </row>
    <row r="852" spans="1:26" ht="24.75" customHeight="1">
      <c r="A852" s="1"/>
      <c r="B852" s="1"/>
      <c r="C852" s="1"/>
      <c r="D852" s="1"/>
      <c r="E852" s="1"/>
      <c r="F852" s="1"/>
      <c r="G852" s="1"/>
      <c r="H852" s="1"/>
      <c r="I852" s="1"/>
      <c r="J852" s="1"/>
      <c r="K852" s="1"/>
      <c r="L852" s="1"/>
      <c r="M852" s="1"/>
      <c r="N852" s="1"/>
      <c r="O852" s="1"/>
      <c r="P852" s="1"/>
      <c r="Q852" s="1"/>
      <c r="R852" s="1"/>
      <c r="S852" s="1"/>
      <c r="T852" s="1"/>
      <c r="U852" s="2"/>
      <c r="V852" s="1"/>
      <c r="W852" s="1"/>
      <c r="X852" s="1"/>
      <c r="Y852" s="1"/>
      <c r="Z852" s="1"/>
    </row>
    <row r="853" spans="1:26" ht="24.75" customHeight="1">
      <c r="A853" s="1"/>
      <c r="B853" s="1"/>
      <c r="C853" s="1"/>
      <c r="D853" s="1"/>
      <c r="E853" s="1"/>
      <c r="F853" s="1"/>
      <c r="G853" s="1"/>
      <c r="H853" s="1"/>
      <c r="I853" s="1"/>
      <c r="J853" s="1"/>
      <c r="K853" s="1"/>
      <c r="L853" s="1"/>
      <c r="M853" s="1"/>
      <c r="N853" s="1"/>
      <c r="O853" s="1"/>
      <c r="P853" s="1"/>
      <c r="Q853" s="1"/>
      <c r="R853" s="1"/>
      <c r="S853" s="1"/>
      <c r="T853" s="1"/>
      <c r="U853" s="2"/>
      <c r="V853" s="1"/>
      <c r="W853" s="1"/>
      <c r="X853" s="1"/>
      <c r="Y853" s="1"/>
      <c r="Z853" s="1"/>
    </row>
    <row r="854" spans="1:26" ht="24.75" customHeight="1">
      <c r="A854" s="1"/>
      <c r="B854" s="1"/>
      <c r="C854" s="1"/>
      <c r="D854" s="1"/>
      <c r="E854" s="1"/>
      <c r="F854" s="1"/>
      <c r="G854" s="1"/>
      <c r="H854" s="1"/>
      <c r="I854" s="1"/>
      <c r="J854" s="1"/>
      <c r="K854" s="1"/>
      <c r="L854" s="1"/>
      <c r="M854" s="1"/>
      <c r="N854" s="1"/>
      <c r="O854" s="1"/>
      <c r="P854" s="1"/>
      <c r="Q854" s="1"/>
      <c r="R854" s="1"/>
      <c r="S854" s="1"/>
      <c r="T854" s="1"/>
      <c r="U854" s="2"/>
      <c r="V854" s="1"/>
      <c r="W854" s="1"/>
      <c r="X854" s="1"/>
      <c r="Y854" s="1"/>
      <c r="Z854" s="1"/>
    </row>
    <row r="855" spans="1:26" ht="24.75" customHeight="1">
      <c r="A855" s="1"/>
      <c r="B855" s="1"/>
      <c r="C855" s="1"/>
      <c r="D855" s="1"/>
      <c r="E855" s="1"/>
      <c r="F855" s="1"/>
      <c r="G855" s="1"/>
      <c r="H855" s="1"/>
      <c r="I855" s="1"/>
      <c r="J855" s="1"/>
      <c r="K855" s="1"/>
      <c r="L855" s="1"/>
      <c r="M855" s="1"/>
      <c r="N855" s="1"/>
      <c r="O855" s="1"/>
      <c r="P855" s="1"/>
      <c r="Q855" s="1"/>
      <c r="R855" s="1"/>
      <c r="S855" s="1"/>
      <c r="T855" s="1"/>
      <c r="U855" s="2"/>
      <c r="V855" s="1"/>
      <c r="W855" s="1"/>
      <c r="X855" s="1"/>
      <c r="Y855" s="1"/>
      <c r="Z855" s="1"/>
    </row>
    <row r="856" spans="1:26" ht="24.75" customHeight="1">
      <c r="A856" s="1"/>
      <c r="B856" s="1"/>
      <c r="C856" s="1"/>
      <c r="D856" s="1"/>
      <c r="E856" s="1"/>
      <c r="F856" s="1"/>
      <c r="G856" s="1"/>
      <c r="H856" s="1"/>
      <c r="I856" s="1"/>
      <c r="J856" s="1"/>
      <c r="K856" s="1"/>
      <c r="L856" s="1"/>
      <c r="M856" s="1"/>
      <c r="N856" s="1"/>
      <c r="O856" s="1"/>
      <c r="P856" s="1"/>
      <c r="Q856" s="1"/>
      <c r="R856" s="1"/>
      <c r="S856" s="1"/>
      <c r="T856" s="1"/>
      <c r="U856" s="2"/>
      <c r="V856" s="1"/>
      <c r="W856" s="1"/>
      <c r="X856" s="1"/>
      <c r="Y856" s="1"/>
      <c r="Z856" s="1"/>
    </row>
    <row r="857" spans="1:26" ht="24.75" customHeight="1">
      <c r="A857" s="1"/>
      <c r="B857" s="1"/>
      <c r="C857" s="1"/>
      <c r="D857" s="1"/>
      <c r="E857" s="1"/>
      <c r="F857" s="1"/>
      <c r="G857" s="1"/>
      <c r="H857" s="1"/>
      <c r="I857" s="1"/>
      <c r="J857" s="1"/>
      <c r="K857" s="1"/>
      <c r="L857" s="1"/>
      <c r="M857" s="1"/>
      <c r="N857" s="1"/>
      <c r="O857" s="1"/>
      <c r="P857" s="1"/>
      <c r="Q857" s="1"/>
      <c r="R857" s="1"/>
      <c r="S857" s="1"/>
      <c r="T857" s="1"/>
      <c r="U857" s="2"/>
      <c r="V857" s="1"/>
      <c r="W857" s="1"/>
      <c r="X857" s="1"/>
      <c r="Y857" s="1"/>
      <c r="Z857" s="1"/>
    </row>
    <row r="858" spans="1:26" ht="24.75" customHeight="1">
      <c r="A858" s="1"/>
      <c r="B858" s="1"/>
      <c r="C858" s="1"/>
      <c r="D858" s="1"/>
      <c r="E858" s="1"/>
      <c r="F858" s="1"/>
      <c r="G858" s="1"/>
      <c r="H858" s="1"/>
      <c r="I858" s="1"/>
      <c r="J858" s="1"/>
      <c r="K858" s="1"/>
      <c r="L858" s="1"/>
      <c r="M858" s="1"/>
      <c r="N858" s="1"/>
      <c r="O858" s="1"/>
      <c r="P858" s="1"/>
      <c r="Q858" s="1"/>
      <c r="R858" s="1"/>
      <c r="S858" s="1"/>
      <c r="T858" s="1"/>
      <c r="U858" s="2"/>
      <c r="V858" s="1"/>
      <c r="W858" s="1"/>
      <c r="X858" s="1"/>
      <c r="Y858" s="1"/>
      <c r="Z858" s="1"/>
    </row>
    <row r="859" spans="1:26" ht="24.75" customHeight="1">
      <c r="A859" s="1"/>
      <c r="B859" s="1"/>
      <c r="C859" s="1"/>
      <c r="D859" s="1"/>
      <c r="E859" s="1"/>
      <c r="F859" s="1"/>
      <c r="G859" s="1"/>
      <c r="H859" s="1"/>
      <c r="I859" s="1"/>
      <c r="J859" s="1"/>
      <c r="K859" s="1"/>
      <c r="L859" s="1"/>
      <c r="M859" s="1"/>
      <c r="N859" s="1"/>
      <c r="O859" s="1"/>
      <c r="P859" s="1"/>
      <c r="Q859" s="1"/>
      <c r="R859" s="1"/>
      <c r="S859" s="1"/>
      <c r="T859" s="1"/>
      <c r="U859" s="2"/>
      <c r="V859" s="1"/>
      <c r="W859" s="1"/>
      <c r="X859" s="1"/>
      <c r="Y859" s="1"/>
      <c r="Z859" s="1"/>
    </row>
    <row r="860" spans="1:26" ht="24.75" customHeight="1">
      <c r="A860" s="1"/>
      <c r="B860" s="1"/>
      <c r="C860" s="1"/>
      <c r="D860" s="1"/>
      <c r="E860" s="1"/>
      <c r="F860" s="1"/>
      <c r="G860" s="1"/>
      <c r="H860" s="1"/>
      <c r="I860" s="1"/>
      <c r="J860" s="1"/>
      <c r="K860" s="1"/>
      <c r="L860" s="1"/>
      <c r="M860" s="1"/>
      <c r="N860" s="1"/>
      <c r="O860" s="1"/>
      <c r="P860" s="1"/>
      <c r="Q860" s="1"/>
      <c r="R860" s="1"/>
      <c r="S860" s="1"/>
      <c r="T860" s="1"/>
      <c r="U860" s="2"/>
      <c r="V860" s="1"/>
      <c r="W860" s="1"/>
      <c r="X860" s="1"/>
      <c r="Y860" s="1"/>
      <c r="Z860" s="1"/>
    </row>
    <row r="861" spans="1:26" ht="24.75" customHeight="1">
      <c r="A861" s="1"/>
      <c r="B861" s="1"/>
      <c r="C861" s="1"/>
      <c r="D861" s="1"/>
      <c r="E861" s="1"/>
      <c r="F861" s="1"/>
      <c r="G861" s="1"/>
      <c r="H861" s="1"/>
      <c r="I861" s="1"/>
      <c r="J861" s="1"/>
      <c r="K861" s="1"/>
      <c r="L861" s="1"/>
      <c r="M861" s="1"/>
      <c r="N861" s="1"/>
      <c r="O861" s="1"/>
      <c r="P861" s="1"/>
      <c r="Q861" s="1"/>
      <c r="R861" s="1"/>
      <c r="S861" s="1"/>
      <c r="T861" s="1"/>
      <c r="U861" s="2"/>
      <c r="V861" s="1"/>
      <c r="W861" s="1"/>
      <c r="X861" s="1"/>
      <c r="Y861" s="1"/>
      <c r="Z861" s="1"/>
    </row>
    <row r="862" spans="1:26" ht="24.75" customHeight="1">
      <c r="A862" s="1"/>
      <c r="B862" s="1"/>
      <c r="C862" s="1"/>
      <c r="D862" s="1"/>
      <c r="E862" s="1"/>
      <c r="F862" s="1"/>
      <c r="G862" s="1"/>
      <c r="H862" s="1"/>
      <c r="I862" s="1"/>
      <c r="J862" s="1"/>
      <c r="K862" s="1"/>
      <c r="L862" s="1"/>
      <c r="M862" s="1"/>
      <c r="N862" s="1"/>
      <c r="O862" s="1"/>
      <c r="P862" s="1"/>
      <c r="Q862" s="1"/>
      <c r="R862" s="1"/>
      <c r="S862" s="1"/>
      <c r="T862" s="1"/>
      <c r="U862" s="2"/>
      <c r="V862" s="1"/>
      <c r="W862" s="1"/>
      <c r="X862" s="1"/>
      <c r="Y862" s="1"/>
      <c r="Z862" s="1"/>
    </row>
    <row r="863" spans="1:26" ht="24.75" customHeight="1">
      <c r="A863" s="1"/>
      <c r="B863" s="1"/>
      <c r="C863" s="1"/>
      <c r="D863" s="1"/>
      <c r="E863" s="1"/>
      <c r="F863" s="1"/>
      <c r="G863" s="1"/>
      <c r="H863" s="1"/>
      <c r="I863" s="1"/>
      <c r="J863" s="1"/>
      <c r="K863" s="1"/>
      <c r="L863" s="1"/>
      <c r="M863" s="1"/>
      <c r="N863" s="1"/>
      <c r="O863" s="1"/>
      <c r="P863" s="1"/>
      <c r="Q863" s="1"/>
      <c r="R863" s="1"/>
      <c r="S863" s="1"/>
      <c r="T863" s="1"/>
      <c r="U863" s="2"/>
      <c r="V863" s="1"/>
      <c r="W863" s="1"/>
      <c r="X863" s="1"/>
      <c r="Y863" s="1"/>
      <c r="Z863" s="1"/>
    </row>
    <row r="864" spans="1:26" ht="24.75" customHeight="1">
      <c r="A864" s="1"/>
      <c r="B864" s="1"/>
      <c r="C864" s="1"/>
      <c r="D864" s="1"/>
      <c r="E864" s="1"/>
      <c r="F864" s="1"/>
      <c r="G864" s="1"/>
      <c r="H864" s="1"/>
      <c r="I864" s="1"/>
      <c r="J864" s="1"/>
      <c r="K864" s="1"/>
      <c r="L864" s="1"/>
      <c r="M864" s="1"/>
      <c r="N864" s="1"/>
      <c r="O864" s="1"/>
      <c r="P864" s="1"/>
      <c r="Q864" s="1"/>
      <c r="R864" s="1"/>
      <c r="S864" s="1"/>
      <c r="T864" s="1"/>
      <c r="U864" s="2"/>
      <c r="V864" s="1"/>
      <c r="W864" s="1"/>
      <c r="X864" s="1"/>
      <c r="Y864" s="1"/>
      <c r="Z864" s="1"/>
    </row>
    <row r="865" spans="1:26" ht="24.75" customHeight="1">
      <c r="A865" s="1"/>
      <c r="B865" s="1"/>
      <c r="C865" s="1"/>
      <c r="D865" s="1"/>
      <c r="E865" s="1"/>
      <c r="F865" s="1"/>
      <c r="G865" s="1"/>
      <c r="H865" s="1"/>
      <c r="I865" s="1"/>
      <c r="J865" s="1"/>
      <c r="K865" s="1"/>
      <c r="L865" s="1"/>
      <c r="M865" s="1"/>
      <c r="N865" s="1"/>
      <c r="O865" s="1"/>
      <c r="P865" s="1"/>
      <c r="Q865" s="1"/>
      <c r="R865" s="1"/>
      <c r="S865" s="1"/>
      <c r="T865" s="1"/>
      <c r="U865" s="2"/>
      <c r="V865" s="1"/>
      <c r="W865" s="1"/>
      <c r="X865" s="1"/>
      <c r="Y865" s="1"/>
      <c r="Z865" s="1"/>
    </row>
    <row r="866" spans="1:26" ht="24.75" customHeight="1">
      <c r="A866" s="1"/>
      <c r="B866" s="1"/>
      <c r="C866" s="1"/>
      <c r="D866" s="1"/>
      <c r="E866" s="1"/>
      <c r="F866" s="1"/>
      <c r="G866" s="1"/>
      <c r="H866" s="1"/>
      <c r="I866" s="1"/>
      <c r="J866" s="1"/>
      <c r="K866" s="1"/>
      <c r="L866" s="1"/>
      <c r="M866" s="1"/>
      <c r="N866" s="1"/>
      <c r="O866" s="1"/>
      <c r="P866" s="1"/>
      <c r="Q866" s="1"/>
      <c r="R866" s="1"/>
      <c r="S866" s="1"/>
      <c r="T866" s="1"/>
      <c r="U866" s="2"/>
      <c r="V866" s="1"/>
      <c r="W866" s="1"/>
      <c r="X866" s="1"/>
      <c r="Y866" s="1"/>
      <c r="Z866" s="1"/>
    </row>
    <row r="867" spans="1:26" ht="24.75" customHeight="1">
      <c r="A867" s="1"/>
      <c r="B867" s="1"/>
      <c r="C867" s="1"/>
      <c r="D867" s="1"/>
      <c r="E867" s="1"/>
      <c r="F867" s="1"/>
      <c r="G867" s="1"/>
      <c r="H867" s="1"/>
      <c r="I867" s="1"/>
      <c r="J867" s="1"/>
      <c r="K867" s="1"/>
      <c r="L867" s="1"/>
      <c r="M867" s="1"/>
      <c r="N867" s="1"/>
      <c r="O867" s="1"/>
      <c r="P867" s="1"/>
      <c r="Q867" s="1"/>
      <c r="R867" s="1"/>
      <c r="S867" s="1"/>
      <c r="T867" s="1"/>
      <c r="U867" s="2"/>
      <c r="V867" s="1"/>
      <c r="W867" s="1"/>
      <c r="X867" s="1"/>
      <c r="Y867" s="1"/>
      <c r="Z867" s="1"/>
    </row>
    <row r="868" spans="1:26" ht="24.75" customHeight="1">
      <c r="A868" s="1"/>
      <c r="B868" s="1"/>
      <c r="C868" s="1"/>
      <c r="D868" s="1"/>
      <c r="E868" s="1"/>
      <c r="F868" s="1"/>
      <c r="G868" s="1"/>
      <c r="H868" s="1"/>
      <c r="I868" s="1"/>
      <c r="J868" s="1"/>
      <c r="K868" s="1"/>
      <c r="L868" s="1"/>
      <c r="M868" s="1"/>
      <c r="N868" s="1"/>
      <c r="O868" s="1"/>
      <c r="P868" s="1"/>
      <c r="Q868" s="1"/>
      <c r="R868" s="1"/>
      <c r="S868" s="1"/>
      <c r="T868" s="1"/>
      <c r="U868" s="2"/>
      <c r="V868" s="1"/>
      <c r="W868" s="1"/>
      <c r="X868" s="1"/>
      <c r="Y868" s="1"/>
      <c r="Z868" s="1"/>
    </row>
    <row r="869" spans="1:26" ht="24.75" customHeight="1">
      <c r="A869" s="1"/>
      <c r="B869" s="1"/>
      <c r="C869" s="1"/>
      <c r="D869" s="1"/>
      <c r="E869" s="1"/>
      <c r="F869" s="1"/>
      <c r="G869" s="1"/>
      <c r="H869" s="1"/>
      <c r="I869" s="1"/>
      <c r="J869" s="1"/>
      <c r="K869" s="1"/>
      <c r="L869" s="1"/>
      <c r="M869" s="1"/>
      <c r="N869" s="1"/>
      <c r="O869" s="1"/>
      <c r="P869" s="1"/>
      <c r="Q869" s="1"/>
      <c r="R869" s="1"/>
      <c r="S869" s="1"/>
      <c r="T869" s="1"/>
      <c r="U869" s="2"/>
      <c r="V869" s="1"/>
      <c r="W869" s="1"/>
      <c r="X869" s="1"/>
      <c r="Y869" s="1"/>
      <c r="Z869" s="1"/>
    </row>
    <row r="870" spans="1:26" ht="24.75" customHeight="1">
      <c r="A870" s="1"/>
      <c r="B870" s="1"/>
      <c r="C870" s="1"/>
      <c r="D870" s="1"/>
      <c r="E870" s="1"/>
      <c r="F870" s="1"/>
      <c r="G870" s="1"/>
      <c r="H870" s="1"/>
      <c r="I870" s="1"/>
      <c r="J870" s="1"/>
      <c r="K870" s="1"/>
      <c r="L870" s="1"/>
      <c r="M870" s="1"/>
      <c r="N870" s="1"/>
      <c r="O870" s="1"/>
      <c r="P870" s="1"/>
      <c r="Q870" s="1"/>
      <c r="R870" s="1"/>
      <c r="S870" s="1"/>
      <c r="T870" s="1"/>
      <c r="U870" s="2"/>
      <c r="V870" s="1"/>
      <c r="W870" s="1"/>
      <c r="X870" s="1"/>
      <c r="Y870" s="1"/>
      <c r="Z870" s="1"/>
    </row>
    <row r="871" spans="1:26" ht="24.75" customHeight="1">
      <c r="A871" s="1"/>
      <c r="B871" s="1"/>
      <c r="C871" s="1"/>
      <c r="D871" s="1"/>
      <c r="E871" s="1"/>
      <c r="F871" s="1"/>
      <c r="G871" s="1"/>
      <c r="H871" s="1"/>
      <c r="I871" s="1"/>
      <c r="J871" s="1"/>
      <c r="K871" s="1"/>
      <c r="L871" s="1"/>
      <c r="M871" s="1"/>
      <c r="N871" s="1"/>
      <c r="O871" s="1"/>
      <c r="P871" s="1"/>
      <c r="Q871" s="1"/>
      <c r="R871" s="1"/>
      <c r="S871" s="1"/>
      <c r="T871" s="1"/>
      <c r="U871" s="2"/>
      <c r="V871" s="1"/>
      <c r="W871" s="1"/>
      <c r="X871" s="1"/>
      <c r="Y871" s="1"/>
      <c r="Z871" s="1"/>
    </row>
    <row r="872" spans="1:26" ht="24.75" customHeight="1">
      <c r="A872" s="1"/>
      <c r="B872" s="1"/>
      <c r="C872" s="1"/>
      <c r="D872" s="1"/>
      <c r="E872" s="1"/>
      <c r="F872" s="1"/>
      <c r="G872" s="1"/>
      <c r="H872" s="1"/>
      <c r="I872" s="1"/>
      <c r="J872" s="1"/>
      <c r="K872" s="1"/>
      <c r="L872" s="1"/>
      <c r="M872" s="1"/>
      <c r="N872" s="1"/>
      <c r="O872" s="1"/>
      <c r="P872" s="1"/>
      <c r="Q872" s="1"/>
      <c r="R872" s="1"/>
      <c r="S872" s="1"/>
      <c r="T872" s="1"/>
      <c r="U872" s="2"/>
      <c r="V872" s="1"/>
      <c r="W872" s="1"/>
      <c r="X872" s="1"/>
      <c r="Y872" s="1"/>
      <c r="Z872" s="1"/>
    </row>
    <row r="873" spans="1:26" ht="24.75" customHeight="1">
      <c r="A873" s="1"/>
      <c r="B873" s="1"/>
      <c r="C873" s="1"/>
      <c r="D873" s="1"/>
      <c r="E873" s="1"/>
      <c r="F873" s="1"/>
      <c r="G873" s="1"/>
      <c r="H873" s="1"/>
      <c r="I873" s="1"/>
      <c r="J873" s="1"/>
      <c r="K873" s="1"/>
      <c r="L873" s="1"/>
      <c r="M873" s="1"/>
      <c r="N873" s="1"/>
      <c r="O873" s="1"/>
      <c r="P873" s="1"/>
      <c r="Q873" s="1"/>
      <c r="R873" s="1"/>
      <c r="S873" s="1"/>
      <c r="T873" s="1"/>
      <c r="U873" s="2"/>
      <c r="V873" s="1"/>
      <c r="W873" s="1"/>
      <c r="X873" s="1"/>
      <c r="Y873" s="1"/>
      <c r="Z873" s="1"/>
    </row>
    <row r="874" spans="1:26" ht="24.75" customHeight="1">
      <c r="A874" s="1"/>
      <c r="B874" s="1"/>
      <c r="C874" s="1"/>
      <c r="D874" s="1"/>
      <c r="E874" s="1"/>
      <c r="F874" s="1"/>
      <c r="G874" s="1"/>
      <c r="H874" s="1"/>
      <c r="I874" s="1"/>
      <c r="J874" s="1"/>
      <c r="K874" s="1"/>
      <c r="L874" s="1"/>
      <c r="M874" s="1"/>
      <c r="N874" s="1"/>
      <c r="O874" s="1"/>
      <c r="P874" s="1"/>
      <c r="Q874" s="1"/>
      <c r="R874" s="1"/>
      <c r="S874" s="1"/>
      <c r="T874" s="1"/>
      <c r="U874" s="2"/>
      <c r="V874" s="1"/>
      <c r="W874" s="1"/>
      <c r="X874" s="1"/>
      <c r="Y874" s="1"/>
      <c r="Z874" s="1"/>
    </row>
    <row r="875" spans="1:26" ht="24.75" customHeight="1">
      <c r="A875" s="1"/>
      <c r="B875" s="1"/>
      <c r="C875" s="1"/>
      <c r="D875" s="1"/>
      <c r="E875" s="1"/>
      <c r="F875" s="1"/>
      <c r="G875" s="1"/>
      <c r="H875" s="1"/>
      <c r="I875" s="1"/>
      <c r="J875" s="1"/>
      <c r="K875" s="1"/>
      <c r="L875" s="1"/>
      <c r="M875" s="1"/>
      <c r="N875" s="1"/>
      <c r="O875" s="1"/>
      <c r="P875" s="1"/>
      <c r="Q875" s="1"/>
      <c r="R875" s="1"/>
      <c r="S875" s="1"/>
      <c r="T875" s="1"/>
      <c r="U875" s="2"/>
      <c r="V875" s="1"/>
      <c r="W875" s="1"/>
      <c r="X875" s="1"/>
      <c r="Y875" s="1"/>
      <c r="Z875" s="1"/>
    </row>
    <row r="876" spans="1:26" ht="24.75" customHeight="1">
      <c r="A876" s="1"/>
      <c r="B876" s="1"/>
      <c r="C876" s="1"/>
      <c r="D876" s="1"/>
      <c r="E876" s="1"/>
      <c r="F876" s="1"/>
      <c r="G876" s="1"/>
      <c r="H876" s="1"/>
      <c r="I876" s="1"/>
      <c r="J876" s="1"/>
      <c r="K876" s="1"/>
      <c r="L876" s="1"/>
      <c r="M876" s="1"/>
      <c r="N876" s="1"/>
      <c r="O876" s="1"/>
      <c r="P876" s="1"/>
      <c r="Q876" s="1"/>
      <c r="R876" s="1"/>
      <c r="S876" s="1"/>
      <c r="T876" s="1"/>
      <c r="U876" s="2"/>
      <c r="V876" s="1"/>
      <c r="W876" s="1"/>
      <c r="X876" s="1"/>
      <c r="Y876" s="1"/>
      <c r="Z876" s="1"/>
    </row>
    <row r="877" spans="1:26" ht="24.75" customHeight="1">
      <c r="A877" s="1"/>
      <c r="B877" s="1"/>
      <c r="C877" s="1"/>
      <c r="D877" s="1"/>
      <c r="E877" s="1"/>
      <c r="F877" s="1"/>
      <c r="G877" s="1"/>
      <c r="H877" s="1"/>
      <c r="I877" s="1"/>
      <c r="J877" s="1"/>
      <c r="K877" s="1"/>
      <c r="L877" s="1"/>
      <c r="M877" s="1"/>
      <c r="N877" s="1"/>
      <c r="O877" s="1"/>
      <c r="P877" s="1"/>
      <c r="Q877" s="1"/>
      <c r="R877" s="1"/>
      <c r="S877" s="1"/>
      <c r="T877" s="1"/>
      <c r="U877" s="2"/>
      <c r="V877" s="1"/>
      <c r="W877" s="1"/>
      <c r="X877" s="1"/>
      <c r="Y877" s="1"/>
      <c r="Z877" s="1"/>
    </row>
    <row r="878" spans="1:26" ht="24.75" customHeight="1">
      <c r="A878" s="1"/>
      <c r="B878" s="1"/>
      <c r="C878" s="1"/>
      <c r="D878" s="1"/>
      <c r="E878" s="1"/>
      <c r="F878" s="1"/>
      <c r="G878" s="1"/>
      <c r="H878" s="1"/>
      <c r="I878" s="1"/>
      <c r="J878" s="1"/>
      <c r="K878" s="1"/>
      <c r="L878" s="1"/>
      <c r="M878" s="1"/>
      <c r="N878" s="1"/>
      <c r="O878" s="1"/>
      <c r="P878" s="1"/>
      <c r="Q878" s="1"/>
      <c r="R878" s="1"/>
      <c r="S878" s="1"/>
      <c r="T878" s="1"/>
      <c r="U878" s="2"/>
      <c r="V878" s="1"/>
      <c r="W878" s="1"/>
      <c r="X878" s="1"/>
      <c r="Y878" s="1"/>
      <c r="Z878" s="1"/>
    </row>
    <row r="879" spans="1:26" ht="24.75" customHeight="1">
      <c r="A879" s="1"/>
      <c r="B879" s="1"/>
      <c r="C879" s="1"/>
      <c r="D879" s="1"/>
      <c r="E879" s="1"/>
      <c r="F879" s="1"/>
      <c r="G879" s="1"/>
      <c r="H879" s="1"/>
      <c r="I879" s="1"/>
      <c r="J879" s="1"/>
      <c r="K879" s="1"/>
      <c r="L879" s="1"/>
      <c r="M879" s="1"/>
      <c r="N879" s="1"/>
      <c r="O879" s="1"/>
      <c r="P879" s="1"/>
      <c r="Q879" s="1"/>
      <c r="R879" s="1"/>
      <c r="S879" s="1"/>
      <c r="T879" s="1"/>
      <c r="U879" s="2"/>
      <c r="V879" s="1"/>
      <c r="W879" s="1"/>
      <c r="X879" s="1"/>
      <c r="Y879" s="1"/>
      <c r="Z879" s="1"/>
    </row>
    <row r="880" spans="1:26" ht="24.75" customHeight="1">
      <c r="A880" s="1"/>
      <c r="B880" s="1"/>
      <c r="C880" s="1"/>
      <c r="D880" s="1"/>
      <c r="E880" s="1"/>
      <c r="F880" s="1"/>
      <c r="G880" s="1"/>
      <c r="H880" s="1"/>
      <c r="I880" s="1"/>
      <c r="J880" s="1"/>
      <c r="K880" s="1"/>
      <c r="L880" s="1"/>
      <c r="M880" s="1"/>
      <c r="N880" s="1"/>
      <c r="O880" s="1"/>
      <c r="P880" s="1"/>
      <c r="Q880" s="1"/>
      <c r="R880" s="1"/>
      <c r="S880" s="1"/>
      <c r="T880" s="1"/>
      <c r="U880" s="2"/>
      <c r="V880" s="1"/>
      <c r="W880" s="1"/>
      <c r="X880" s="1"/>
      <c r="Y880" s="1"/>
      <c r="Z880" s="1"/>
    </row>
    <row r="881" spans="1:26" ht="24.75" customHeight="1">
      <c r="A881" s="1"/>
      <c r="B881" s="1"/>
      <c r="C881" s="1"/>
      <c r="D881" s="1"/>
      <c r="E881" s="1"/>
      <c r="F881" s="1"/>
      <c r="G881" s="1"/>
      <c r="H881" s="1"/>
      <c r="I881" s="1"/>
      <c r="J881" s="1"/>
      <c r="K881" s="1"/>
      <c r="L881" s="1"/>
      <c r="M881" s="1"/>
      <c r="N881" s="1"/>
      <c r="O881" s="1"/>
      <c r="P881" s="1"/>
      <c r="Q881" s="1"/>
      <c r="R881" s="1"/>
      <c r="S881" s="1"/>
      <c r="T881" s="1"/>
      <c r="U881" s="2"/>
      <c r="V881" s="1"/>
      <c r="W881" s="1"/>
      <c r="X881" s="1"/>
      <c r="Y881" s="1"/>
      <c r="Z881" s="1"/>
    </row>
    <row r="882" spans="1:26" ht="24.75" customHeight="1">
      <c r="A882" s="1"/>
      <c r="B882" s="1"/>
      <c r="C882" s="1"/>
      <c r="D882" s="1"/>
      <c r="E882" s="1"/>
      <c r="F882" s="1"/>
      <c r="G882" s="1"/>
      <c r="H882" s="1"/>
      <c r="I882" s="1"/>
      <c r="J882" s="1"/>
      <c r="K882" s="1"/>
      <c r="L882" s="1"/>
      <c r="M882" s="1"/>
      <c r="N882" s="1"/>
      <c r="O882" s="1"/>
      <c r="P882" s="1"/>
      <c r="Q882" s="1"/>
      <c r="R882" s="1"/>
      <c r="S882" s="1"/>
      <c r="T882" s="1"/>
      <c r="U882" s="2"/>
      <c r="V882" s="1"/>
      <c r="W882" s="1"/>
      <c r="X882" s="1"/>
      <c r="Y882" s="1"/>
      <c r="Z882" s="1"/>
    </row>
    <row r="883" spans="1:26" ht="24.75" customHeight="1">
      <c r="A883" s="1"/>
      <c r="B883" s="1"/>
      <c r="C883" s="1"/>
      <c r="D883" s="1"/>
      <c r="E883" s="1"/>
      <c r="F883" s="1"/>
      <c r="G883" s="1"/>
      <c r="H883" s="1"/>
      <c r="I883" s="1"/>
      <c r="J883" s="1"/>
      <c r="K883" s="1"/>
      <c r="L883" s="1"/>
      <c r="M883" s="1"/>
      <c r="N883" s="1"/>
      <c r="O883" s="1"/>
      <c r="P883" s="1"/>
      <c r="Q883" s="1"/>
      <c r="R883" s="1"/>
      <c r="S883" s="1"/>
      <c r="T883" s="1"/>
      <c r="U883" s="2"/>
      <c r="V883" s="1"/>
      <c r="W883" s="1"/>
      <c r="X883" s="1"/>
      <c r="Y883" s="1"/>
      <c r="Z883" s="1"/>
    </row>
    <row r="884" spans="1:26" ht="24.75" customHeight="1">
      <c r="A884" s="1"/>
      <c r="B884" s="1"/>
      <c r="C884" s="1"/>
      <c r="D884" s="1"/>
      <c r="E884" s="1"/>
      <c r="F884" s="1"/>
      <c r="G884" s="1"/>
      <c r="H884" s="1"/>
      <c r="I884" s="1"/>
      <c r="J884" s="1"/>
      <c r="K884" s="1"/>
      <c r="L884" s="1"/>
      <c r="M884" s="1"/>
      <c r="N884" s="1"/>
      <c r="O884" s="1"/>
      <c r="P884" s="1"/>
      <c r="Q884" s="1"/>
      <c r="R884" s="1"/>
      <c r="S884" s="1"/>
      <c r="T884" s="1"/>
      <c r="U884" s="2"/>
      <c r="V884" s="1"/>
      <c r="W884" s="1"/>
      <c r="X884" s="1"/>
      <c r="Y884" s="1"/>
      <c r="Z884" s="1"/>
    </row>
    <row r="885" spans="1:26" ht="24.75" customHeight="1">
      <c r="A885" s="1"/>
      <c r="B885" s="1"/>
      <c r="C885" s="1"/>
      <c r="D885" s="1"/>
      <c r="E885" s="1"/>
      <c r="F885" s="1"/>
      <c r="G885" s="1"/>
      <c r="H885" s="1"/>
      <c r="I885" s="1"/>
      <c r="J885" s="1"/>
      <c r="K885" s="1"/>
      <c r="L885" s="1"/>
      <c r="M885" s="1"/>
      <c r="N885" s="1"/>
      <c r="O885" s="1"/>
      <c r="P885" s="1"/>
      <c r="Q885" s="1"/>
      <c r="R885" s="1"/>
      <c r="S885" s="1"/>
      <c r="T885" s="1"/>
      <c r="U885" s="2"/>
      <c r="V885" s="1"/>
      <c r="W885" s="1"/>
      <c r="X885" s="1"/>
      <c r="Y885" s="1"/>
      <c r="Z885" s="1"/>
    </row>
    <row r="886" spans="1:26" ht="24.75" customHeight="1">
      <c r="A886" s="1"/>
      <c r="B886" s="1"/>
      <c r="C886" s="1"/>
      <c r="D886" s="1"/>
      <c r="E886" s="1"/>
      <c r="F886" s="1"/>
      <c r="G886" s="1"/>
      <c r="H886" s="1"/>
      <c r="I886" s="1"/>
      <c r="J886" s="1"/>
      <c r="K886" s="1"/>
      <c r="L886" s="1"/>
      <c r="M886" s="1"/>
      <c r="N886" s="1"/>
      <c r="O886" s="1"/>
      <c r="P886" s="1"/>
      <c r="Q886" s="1"/>
      <c r="R886" s="1"/>
      <c r="S886" s="1"/>
      <c r="T886" s="1"/>
      <c r="U886" s="2"/>
      <c r="V886" s="1"/>
      <c r="W886" s="1"/>
      <c r="X886" s="1"/>
      <c r="Y886" s="1"/>
      <c r="Z886" s="1"/>
    </row>
    <row r="887" spans="1:26" ht="24.75" customHeight="1">
      <c r="A887" s="1"/>
      <c r="B887" s="1"/>
      <c r="C887" s="1"/>
      <c r="D887" s="1"/>
      <c r="E887" s="1"/>
      <c r="F887" s="1"/>
      <c r="G887" s="1"/>
      <c r="H887" s="1"/>
      <c r="I887" s="1"/>
      <c r="J887" s="1"/>
      <c r="K887" s="1"/>
      <c r="L887" s="1"/>
      <c r="M887" s="1"/>
      <c r="N887" s="1"/>
      <c r="O887" s="1"/>
      <c r="P887" s="1"/>
      <c r="Q887" s="1"/>
      <c r="R887" s="1"/>
      <c r="S887" s="1"/>
      <c r="T887" s="1"/>
      <c r="U887" s="2"/>
      <c r="V887" s="1"/>
      <c r="W887" s="1"/>
      <c r="X887" s="1"/>
      <c r="Y887" s="1"/>
      <c r="Z887" s="1"/>
    </row>
    <row r="888" spans="1:26" ht="24.75" customHeight="1">
      <c r="A888" s="1"/>
      <c r="B888" s="1"/>
      <c r="C888" s="1"/>
      <c r="D888" s="1"/>
      <c r="E888" s="1"/>
      <c r="F888" s="1"/>
      <c r="G888" s="1"/>
      <c r="H888" s="1"/>
      <c r="I888" s="1"/>
      <c r="J888" s="1"/>
      <c r="K888" s="1"/>
      <c r="L888" s="1"/>
      <c r="M888" s="1"/>
      <c r="N888" s="1"/>
      <c r="O888" s="1"/>
      <c r="P888" s="1"/>
      <c r="Q888" s="1"/>
      <c r="R888" s="1"/>
      <c r="S888" s="1"/>
      <c r="T888" s="1"/>
      <c r="U888" s="2"/>
      <c r="V888" s="1"/>
      <c r="W888" s="1"/>
      <c r="X888" s="1"/>
      <c r="Y888" s="1"/>
      <c r="Z888" s="1"/>
    </row>
    <row r="889" spans="1:26" ht="24.75" customHeight="1">
      <c r="A889" s="1"/>
      <c r="B889" s="1"/>
      <c r="C889" s="1"/>
      <c r="D889" s="1"/>
      <c r="E889" s="1"/>
      <c r="F889" s="1"/>
      <c r="G889" s="1"/>
      <c r="H889" s="1"/>
      <c r="I889" s="1"/>
      <c r="J889" s="1"/>
      <c r="K889" s="1"/>
      <c r="L889" s="1"/>
      <c r="M889" s="1"/>
      <c r="N889" s="1"/>
      <c r="O889" s="1"/>
      <c r="P889" s="1"/>
      <c r="Q889" s="1"/>
      <c r="R889" s="1"/>
      <c r="S889" s="1"/>
      <c r="T889" s="1"/>
      <c r="U889" s="2"/>
      <c r="V889" s="1"/>
      <c r="W889" s="1"/>
      <c r="X889" s="1"/>
      <c r="Y889" s="1"/>
      <c r="Z889" s="1"/>
    </row>
    <row r="890" spans="1:26" ht="24.75" customHeight="1">
      <c r="A890" s="1"/>
      <c r="B890" s="1"/>
      <c r="C890" s="1"/>
      <c r="D890" s="1"/>
      <c r="E890" s="1"/>
      <c r="F890" s="1"/>
      <c r="G890" s="1"/>
      <c r="H890" s="1"/>
      <c r="I890" s="1"/>
      <c r="J890" s="1"/>
      <c r="K890" s="1"/>
      <c r="L890" s="1"/>
      <c r="M890" s="1"/>
      <c r="N890" s="1"/>
      <c r="O890" s="1"/>
      <c r="P890" s="1"/>
      <c r="Q890" s="1"/>
      <c r="R890" s="1"/>
      <c r="S890" s="1"/>
      <c r="T890" s="1"/>
      <c r="U890" s="2"/>
      <c r="V890" s="1"/>
      <c r="W890" s="1"/>
      <c r="X890" s="1"/>
      <c r="Y890" s="1"/>
      <c r="Z890" s="1"/>
    </row>
    <row r="891" spans="1:26" ht="24.75" customHeight="1">
      <c r="A891" s="1"/>
      <c r="B891" s="1"/>
      <c r="C891" s="1"/>
      <c r="D891" s="1"/>
      <c r="E891" s="1"/>
      <c r="F891" s="1"/>
      <c r="G891" s="1"/>
      <c r="H891" s="1"/>
      <c r="I891" s="1"/>
      <c r="J891" s="1"/>
      <c r="K891" s="1"/>
      <c r="L891" s="1"/>
      <c r="M891" s="1"/>
      <c r="N891" s="1"/>
      <c r="O891" s="1"/>
      <c r="P891" s="1"/>
      <c r="Q891" s="1"/>
      <c r="R891" s="1"/>
      <c r="S891" s="1"/>
      <c r="T891" s="1"/>
      <c r="U891" s="2"/>
      <c r="V891" s="1"/>
      <c r="W891" s="1"/>
      <c r="X891" s="1"/>
      <c r="Y891" s="1"/>
      <c r="Z891" s="1"/>
    </row>
    <row r="892" spans="1:26" ht="24.75" customHeight="1">
      <c r="A892" s="1"/>
      <c r="B892" s="1"/>
      <c r="C892" s="1"/>
      <c r="D892" s="1"/>
      <c r="E892" s="1"/>
      <c r="F892" s="1"/>
      <c r="G892" s="1"/>
      <c r="H892" s="1"/>
      <c r="I892" s="1"/>
      <c r="J892" s="1"/>
      <c r="K892" s="1"/>
      <c r="L892" s="1"/>
      <c r="M892" s="1"/>
      <c r="N892" s="1"/>
      <c r="O892" s="1"/>
      <c r="P892" s="1"/>
      <c r="Q892" s="1"/>
      <c r="R892" s="1"/>
      <c r="S892" s="1"/>
      <c r="T892" s="1"/>
      <c r="U892" s="2"/>
      <c r="V892" s="1"/>
      <c r="W892" s="1"/>
      <c r="X892" s="1"/>
      <c r="Y892" s="1"/>
      <c r="Z892" s="1"/>
    </row>
    <row r="893" spans="1:26" ht="24.75" customHeight="1">
      <c r="A893" s="1"/>
      <c r="B893" s="1"/>
      <c r="C893" s="1"/>
      <c r="D893" s="1"/>
      <c r="E893" s="1"/>
      <c r="F893" s="1"/>
      <c r="G893" s="1"/>
      <c r="H893" s="1"/>
      <c r="I893" s="1"/>
      <c r="J893" s="1"/>
      <c r="K893" s="1"/>
      <c r="L893" s="1"/>
      <c r="M893" s="1"/>
      <c r="N893" s="1"/>
      <c r="O893" s="1"/>
      <c r="P893" s="1"/>
      <c r="Q893" s="1"/>
      <c r="R893" s="1"/>
      <c r="S893" s="1"/>
      <c r="T893" s="1"/>
      <c r="U893" s="2"/>
      <c r="V893" s="1"/>
      <c r="W893" s="1"/>
      <c r="X893" s="1"/>
      <c r="Y893" s="1"/>
      <c r="Z893" s="1"/>
    </row>
    <row r="894" spans="1:26" ht="24.75" customHeight="1">
      <c r="A894" s="1"/>
      <c r="B894" s="1"/>
      <c r="C894" s="1"/>
      <c r="D894" s="1"/>
      <c r="E894" s="1"/>
      <c r="F894" s="1"/>
      <c r="G894" s="1"/>
      <c r="H894" s="1"/>
      <c r="I894" s="1"/>
      <c r="J894" s="1"/>
      <c r="K894" s="1"/>
      <c r="L894" s="1"/>
      <c r="M894" s="1"/>
      <c r="N894" s="1"/>
      <c r="O894" s="1"/>
      <c r="P894" s="1"/>
      <c r="Q894" s="1"/>
      <c r="R894" s="1"/>
      <c r="S894" s="1"/>
      <c r="T894" s="1"/>
      <c r="U894" s="2"/>
      <c r="V894" s="1"/>
      <c r="W894" s="1"/>
      <c r="X894" s="1"/>
      <c r="Y894" s="1"/>
      <c r="Z894" s="1"/>
    </row>
    <row r="895" spans="1:26" ht="24.75" customHeight="1">
      <c r="A895" s="1"/>
      <c r="B895" s="1"/>
      <c r="C895" s="1"/>
      <c r="D895" s="1"/>
      <c r="E895" s="1"/>
      <c r="F895" s="1"/>
      <c r="G895" s="1"/>
      <c r="H895" s="1"/>
      <c r="I895" s="1"/>
      <c r="J895" s="1"/>
      <c r="K895" s="1"/>
      <c r="L895" s="1"/>
      <c r="M895" s="1"/>
      <c r="N895" s="1"/>
      <c r="O895" s="1"/>
      <c r="P895" s="1"/>
      <c r="Q895" s="1"/>
      <c r="R895" s="1"/>
      <c r="S895" s="1"/>
      <c r="T895" s="1"/>
      <c r="U895" s="2"/>
      <c r="V895" s="1"/>
      <c r="W895" s="1"/>
      <c r="X895" s="1"/>
      <c r="Y895" s="1"/>
      <c r="Z895" s="1"/>
    </row>
    <row r="896" spans="1:26" ht="24.75" customHeight="1">
      <c r="A896" s="1"/>
      <c r="B896" s="1"/>
      <c r="C896" s="1"/>
      <c r="D896" s="1"/>
      <c r="E896" s="1"/>
      <c r="F896" s="1"/>
      <c r="G896" s="1"/>
      <c r="H896" s="1"/>
      <c r="I896" s="1"/>
      <c r="J896" s="1"/>
      <c r="K896" s="1"/>
      <c r="L896" s="1"/>
      <c r="M896" s="1"/>
      <c r="N896" s="1"/>
      <c r="O896" s="1"/>
      <c r="P896" s="1"/>
      <c r="Q896" s="1"/>
      <c r="R896" s="1"/>
      <c r="S896" s="1"/>
      <c r="T896" s="1"/>
      <c r="U896" s="2"/>
      <c r="V896" s="1"/>
      <c r="W896" s="1"/>
      <c r="X896" s="1"/>
      <c r="Y896" s="1"/>
      <c r="Z896" s="1"/>
    </row>
    <row r="897" spans="1:26" ht="24.75" customHeight="1">
      <c r="A897" s="1"/>
      <c r="B897" s="1"/>
      <c r="C897" s="1"/>
      <c r="D897" s="1"/>
      <c r="E897" s="1"/>
      <c r="F897" s="1"/>
      <c r="G897" s="1"/>
      <c r="H897" s="1"/>
      <c r="I897" s="1"/>
      <c r="J897" s="1"/>
      <c r="K897" s="1"/>
      <c r="L897" s="1"/>
      <c r="M897" s="1"/>
      <c r="N897" s="1"/>
      <c r="O897" s="1"/>
      <c r="P897" s="1"/>
      <c r="Q897" s="1"/>
      <c r="R897" s="1"/>
      <c r="S897" s="1"/>
      <c r="T897" s="1"/>
      <c r="U897" s="2"/>
      <c r="V897" s="1"/>
      <c r="W897" s="1"/>
      <c r="X897" s="1"/>
      <c r="Y897" s="1"/>
      <c r="Z897" s="1"/>
    </row>
    <row r="898" spans="1:26" ht="24.75" customHeight="1">
      <c r="A898" s="1"/>
      <c r="B898" s="1"/>
      <c r="C898" s="1"/>
      <c r="D898" s="1"/>
      <c r="E898" s="1"/>
      <c r="F898" s="1"/>
      <c r="G898" s="1"/>
      <c r="H898" s="1"/>
      <c r="I898" s="1"/>
      <c r="J898" s="1"/>
      <c r="K898" s="1"/>
      <c r="L898" s="1"/>
      <c r="M898" s="1"/>
      <c r="N898" s="1"/>
      <c r="O898" s="1"/>
      <c r="P898" s="1"/>
      <c r="Q898" s="1"/>
      <c r="R898" s="1"/>
      <c r="S898" s="1"/>
      <c r="T898" s="1"/>
      <c r="U898" s="2"/>
      <c r="V898" s="1"/>
      <c r="W898" s="1"/>
      <c r="X898" s="1"/>
      <c r="Y898" s="1"/>
      <c r="Z898" s="1"/>
    </row>
    <row r="899" spans="1:26" ht="24.75" customHeight="1">
      <c r="A899" s="1"/>
      <c r="B899" s="1"/>
      <c r="C899" s="1"/>
      <c r="D899" s="1"/>
      <c r="E899" s="1"/>
      <c r="F899" s="1"/>
      <c r="G899" s="1"/>
      <c r="H899" s="1"/>
      <c r="I899" s="1"/>
      <c r="J899" s="1"/>
      <c r="K899" s="1"/>
      <c r="L899" s="1"/>
      <c r="M899" s="1"/>
      <c r="N899" s="1"/>
      <c r="O899" s="1"/>
      <c r="P899" s="1"/>
      <c r="Q899" s="1"/>
      <c r="R899" s="1"/>
      <c r="S899" s="1"/>
      <c r="T899" s="1"/>
      <c r="U899" s="2"/>
      <c r="V899" s="1"/>
      <c r="W899" s="1"/>
      <c r="X899" s="1"/>
      <c r="Y899" s="1"/>
      <c r="Z899" s="1"/>
    </row>
    <row r="900" spans="1:26" ht="24.75" customHeight="1">
      <c r="A900" s="1"/>
      <c r="B900" s="1"/>
      <c r="C900" s="1"/>
      <c r="D900" s="1"/>
      <c r="E900" s="1"/>
      <c r="F900" s="1"/>
      <c r="G900" s="1"/>
      <c r="H900" s="1"/>
      <c r="I900" s="1"/>
      <c r="J900" s="1"/>
      <c r="K900" s="1"/>
      <c r="L900" s="1"/>
      <c r="M900" s="1"/>
      <c r="N900" s="1"/>
      <c r="O900" s="1"/>
      <c r="P900" s="1"/>
      <c r="Q900" s="1"/>
      <c r="R900" s="1"/>
      <c r="S900" s="1"/>
      <c r="T900" s="1"/>
      <c r="U900" s="2"/>
      <c r="V900" s="1"/>
      <c r="W900" s="1"/>
      <c r="X900" s="1"/>
      <c r="Y900" s="1"/>
      <c r="Z900" s="1"/>
    </row>
    <row r="901" spans="1:26" ht="24.75" customHeight="1">
      <c r="A901" s="1"/>
      <c r="B901" s="1"/>
      <c r="C901" s="1"/>
      <c r="D901" s="1"/>
      <c r="E901" s="1"/>
      <c r="F901" s="1"/>
      <c r="G901" s="1"/>
      <c r="H901" s="1"/>
      <c r="I901" s="1"/>
      <c r="J901" s="1"/>
      <c r="K901" s="1"/>
      <c r="L901" s="1"/>
      <c r="M901" s="1"/>
      <c r="N901" s="1"/>
      <c r="O901" s="1"/>
      <c r="P901" s="1"/>
      <c r="Q901" s="1"/>
      <c r="R901" s="1"/>
      <c r="S901" s="1"/>
      <c r="T901" s="1"/>
      <c r="U901" s="2"/>
      <c r="V901" s="1"/>
      <c r="W901" s="1"/>
      <c r="X901" s="1"/>
      <c r="Y901" s="1"/>
      <c r="Z901" s="1"/>
    </row>
    <row r="902" spans="1:26" ht="24.75" customHeight="1">
      <c r="A902" s="1"/>
      <c r="B902" s="1"/>
      <c r="C902" s="1"/>
      <c r="D902" s="1"/>
      <c r="E902" s="1"/>
      <c r="F902" s="1"/>
      <c r="G902" s="1"/>
      <c r="H902" s="1"/>
      <c r="I902" s="1"/>
      <c r="J902" s="1"/>
      <c r="K902" s="1"/>
      <c r="L902" s="1"/>
      <c r="M902" s="1"/>
      <c r="N902" s="1"/>
      <c r="O902" s="1"/>
      <c r="P902" s="1"/>
      <c r="Q902" s="1"/>
      <c r="R902" s="1"/>
      <c r="S902" s="1"/>
      <c r="T902" s="1"/>
      <c r="U902" s="2"/>
      <c r="V902" s="1"/>
      <c r="W902" s="1"/>
      <c r="X902" s="1"/>
      <c r="Y902" s="1"/>
      <c r="Z902" s="1"/>
    </row>
    <row r="903" spans="1:26" ht="24.75" customHeight="1">
      <c r="A903" s="1"/>
      <c r="B903" s="1"/>
      <c r="C903" s="1"/>
      <c r="D903" s="1"/>
      <c r="E903" s="1"/>
      <c r="F903" s="1"/>
      <c r="G903" s="1"/>
      <c r="H903" s="1"/>
      <c r="I903" s="1"/>
      <c r="J903" s="1"/>
      <c r="K903" s="1"/>
      <c r="L903" s="1"/>
      <c r="M903" s="1"/>
      <c r="N903" s="1"/>
      <c r="O903" s="1"/>
      <c r="P903" s="1"/>
      <c r="Q903" s="1"/>
      <c r="R903" s="1"/>
      <c r="S903" s="1"/>
      <c r="T903" s="1"/>
      <c r="U903" s="2"/>
      <c r="V903" s="1"/>
      <c r="W903" s="1"/>
      <c r="X903" s="1"/>
      <c r="Y903" s="1"/>
      <c r="Z903" s="1"/>
    </row>
    <row r="904" spans="1:26" ht="24.75" customHeight="1">
      <c r="A904" s="1"/>
      <c r="B904" s="1"/>
      <c r="C904" s="1"/>
      <c r="D904" s="1"/>
      <c r="E904" s="1"/>
      <c r="F904" s="1"/>
      <c r="G904" s="1"/>
      <c r="H904" s="1"/>
      <c r="I904" s="1"/>
      <c r="J904" s="1"/>
      <c r="K904" s="1"/>
      <c r="L904" s="1"/>
      <c r="M904" s="1"/>
      <c r="N904" s="1"/>
      <c r="O904" s="1"/>
      <c r="P904" s="1"/>
      <c r="Q904" s="1"/>
      <c r="R904" s="1"/>
      <c r="S904" s="1"/>
      <c r="T904" s="1"/>
      <c r="U904" s="2"/>
      <c r="V904" s="1"/>
      <c r="W904" s="1"/>
      <c r="X904" s="1"/>
      <c r="Y904" s="1"/>
      <c r="Z904" s="1"/>
    </row>
    <row r="905" spans="1:26" ht="24.75" customHeight="1">
      <c r="A905" s="1"/>
      <c r="B905" s="1"/>
      <c r="C905" s="1"/>
      <c r="D905" s="1"/>
      <c r="E905" s="1"/>
      <c r="F905" s="1"/>
      <c r="G905" s="1"/>
      <c r="H905" s="1"/>
      <c r="I905" s="1"/>
      <c r="J905" s="1"/>
      <c r="K905" s="1"/>
      <c r="L905" s="1"/>
      <c r="M905" s="1"/>
      <c r="N905" s="1"/>
      <c r="O905" s="1"/>
      <c r="P905" s="1"/>
      <c r="Q905" s="1"/>
      <c r="R905" s="1"/>
      <c r="S905" s="1"/>
      <c r="T905" s="1"/>
      <c r="U905" s="2"/>
      <c r="V905" s="1"/>
      <c r="W905" s="1"/>
      <c r="X905" s="1"/>
      <c r="Y905" s="1"/>
      <c r="Z905" s="1"/>
    </row>
    <row r="906" spans="1:26" ht="24.75" customHeight="1">
      <c r="A906" s="1"/>
      <c r="B906" s="1"/>
      <c r="C906" s="1"/>
      <c r="D906" s="1"/>
      <c r="E906" s="1"/>
      <c r="F906" s="1"/>
      <c r="G906" s="1"/>
      <c r="H906" s="1"/>
      <c r="I906" s="1"/>
      <c r="J906" s="1"/>
      <c r="K906" s="1"/>
      <c r="L906" s="1"/>
      <c r="M906" s="1"/>
      <c r="N906" s="1"/>
      <c r="O906" s="1"/>
      <c r="P906" s="1"/>
      <c r="Q906" s="1"/>
      <c r="R906" s="1"/>
      <c r="S906" s="1"/>
      <c r="T906" s="1"/>
      <c r="U906" s="2"/>
      <c r="V906" s="1"/>
      <c r="W906" s="1"/>
      <c r="X906" s="1"/>
      <c r="Y906" s="1"/>
      <c r="Z906" s="1"/>
    </row>
    <row r="907" spans="1:26" ht="24.75" customHeight="1">
      <c r="A907" s="1"/>
      <c r="B907" s="1"/>
      <c r="C907" s="1"/>
      <c r="D907" s="1"/>
      <c r="E907" s="1"/>
      <c r="F907" s="1"/>
      <c r="G907" s="1"/>
      <c r="H907" s="1"/>
      <c r="I907" s="1"/>
      <c r="J907" s="1"/>
      <c r="K907" s="1"/>
      <c r="L907" s="1"/>
      <c r="M907" s="1"/>
      <c r="N907" s="1"/>
      <c r="O907" s="1"/>
      <c r="P907" s="1"/>
      <c r="Q907" s="1"/>
      <c r="R907" s="1"/>
      <c r="S907" s="1"/>
      <c r="T907" s="1"/>
      <c r="U907" s="2"/>
      <c r="V907" s="1"/>
      <c r="W907" s="1"/>
      <c r="X907" s="1"/>
      <c r="Y907" s="1"/>
      <c r="Z907" s="1"/>
    </row>
    <row r="908" spans="1:26" ht="24.75" customHeight="1">
      <c r="A908" s="1"/>
      <c r="B908" s="1"/>
      <c r="C908" s="1"/>
      <c r="D908" s="1"/>
      <c r="E908" s="1"/>
      <c r="F908" s="1"/>
      <c r="G908" s="1"/>
      <c r="H908" s="1"/>
      <c r="I908" s="1"/>
      <c r="J908" s="1"/>
      <c r="K908" s="1"/>
      <c r="L908" s="1"/>
      <c r="M908" s="1"/>
      <c r="N908" s="1"/>
      <c r="O908" s="1"/>
      <c r="P908" s="1"/>
      <c r="Q908" s="1"/>
      <c r="R908" s="1"/>
      <c r="S908" s="1"/>
      <c r="T908" s="1"/>
      <c r="U908" s="2"/>
      <c r="V908" s="1"/>
      <c r="W908" s="1"/>
      <c r="X908" s="1"/>
      <c r="Y908" s="1"/>
      <c r="Z908" s="1"/>
    </row>
    <row r="909" spans="1:26" ht="24.75" customHeight="1">
      <c r="A909" s="1"/>
      <c r="B909" s="1"/>
      <c r="C909" s="1"/>
      <c r="D909" s="1"/>
      <c r="E909" s="1"/>
      <c r="F909" s="1"/>
      <c r="G909" s="1"/>
      <c r="H909" s="1"/>
      <c r="I909" s="1"/>
      <c r="J909" s="1"/>
      <c r="K909" s="1"/>
      <c r="L909" s="1"/>
      <c r="M909" s="1"/>
      <c r="N909" s="1"/>
      <c r="O909" s="1"/>
      <c r="P909" s="1"/>
      <c r="Q909" s="1"/>
      <c r="R909" s="1"/>
      <c r="S909" s="1"/>
      <c r="T909" s="1"/>
      <c r="U909" s="2"/>
      <c r="V909" s="1"/>
      <c r="W909" s="1"/>
      <c r="X909" s="1"/>
      <c r="Y909" s="1"/>
      <c r="Z909" s="1"/>
    </row>
    <row r="910" spans="1:26" ht="24.75" customHeight="1">
      <c r="A910" s="1"/>
      <c r="B910" s="1"/>
      <c r="C910" s="1"/>
      <c r="D910" s="1"/>
      <c r="E910" s="1"/>
      <c r="F910" s="1"/>
      <c r="G910" s="1"/>
      <c r="H910" s="1"/>
      <c r="I910" s="1"/>
      <c r="J910" s="1"/>
      <c r="K910" s="1"/>
      <c r="L910" s="1"/>
      <c r="M910" s="1"/>
      <c r="N910" s="1"/>
      <c r="O910" s="1"/>
      <c r="P910" s="1"/>
      <c r="Q910" s="1"/>
      <c r="R910" s="1"/>
      <c r="S910" s="1"/>
      <c r="T910" s="1"/>
      <c r="U910" s="2"/>
      <c r="V910" s="1"/>
      <c r="W910" s="1"/>
      <c r="X910" s="1"/>
      <c r="Y910" s="1"/>
      <c r="Z910" s="1"/>
    </row>
    <row r="911" spans="1:26" ht="24.75" customHeight="1">
      <c r="A911" s="1"/>
      <c r="B911" s="1"/>
      <c r="C911" s="1"/>
      <c r="D911" s="1"/>
      <c r="E911" s="1"/>
      <c r="F911" s="1"/>
      <c r="G911" s="1"/>
      <c r="H911" s="1"/>
      <c r="I911" s="1"/>
      <c r="J911" s="1"/>
      <c r="K911" s="1"/>
      <c r="L911" s="1"/>
      <c r="M911" s="1"/>
      <c r="N911" s="1"/>
      <c r="O911" s="1"/>
      <c r="P911" s="1"/>
      <c r="Q911" s="1"/>
      <c r="R911" s="1"/>
      <c r="S911" s="1"/>
      <c r="T911" s="1"/>
      <c r="U911" s="2"/>
      <c r="V911" s="1"/>
      <c r="W911" s="1"/>
      <c r="X911" s="1"/>
      <c r="Y911" s="1"/>
      <c r="Z911" s="1"/>
    </row>
    <row r="912" spans="1:26" ht="24.75" customHeight="1">
      <c r="A912" s="1"/>
      <c r="B912" s="1"/>
      <c r="C912" s="1"/>
      <c r="D912" s="1"/>
      <c r="E912" s="1"/>
      <c r="F912" s="1"/>
      <c r="G912" s="1"/>
      <c r="H912" s="1"/>
      <c r="I912" s="1"/>
      <c r="J912" s="1"/>
      <c r="K912" s="1"/>
      <c r="L912" s="1"/>
      <c r="M912" s="1"/>
      <c r="N912" s="1"/>
      <c r="O912" s="1"/>
      <c r="P912" s="1"/>
      <c r="Q912" s="1"/>
      <c r="R912" s="1"/>
      <c r="S912" s="1"/>
      <c r="T912" s="1"/>
      <c r="U912" s="2"/>
      <c r="V912" s="1"/>
      <c r="W912" s="1"/>
      <c r="X912" s="1"/>
      <c r="Y912" s="1"/>
      <c r="Z912" s="1"/>
    </row>
    <row r="913" spans="1:26" ht="24.75" customHeight="1">
      <c r="A913" s="1"/>
      <c r="B913" s="1"/>
      <c r="C913" s="1"/>
      <c r="D913" s="1"/>
      <c r="E913" s="1"/>
      <c r="F913" s="1"/>
      <c r="G913" s="1"/>
      <c r="H913" s="1"/>
      <c r="I913" s="1"/>
      <c r="J913" s="1"/>
      <c r="K913" s="1"/>
      <c r="L913" s="1"/>
      <c r="M913" s="1"/>
      <c r="N913" s="1"/>
      <c r="O913" s="1"/>
      <c r="P913" s="1"/>
      <c r="Q913" s="1"/>
      <c r="R913" s="1"/>
      <c r="S913" s="1"/>
      <c r="T913" s="1"/>
      <c r="U913" s="2"/>
      <c r="V913" s="1"/>
      <c r="W913" s="1"/>
      <c r="X913" s="1"/>
      <c r="Y913" s="1"/>
      <c r="Z913" s="1"/>
    </row>
    <row r="914" spans="1:26" ht="24.75" customHeight="1">
      <c r="A914" s="1"/>
      <c r="B914" s="1"/>
      <c r="C914" s="1"/>
      <c r="D914" s="1"/>
      <c r="E914" s="1"/>
      <c r="F914" s="1"/>
      <c r="G914" s="1"/>
      <c r="H914" s="1"/>
      <c r="I914" s="1"/>
      <c r="J914" s="1"/>
      <c r="K914" s="1"/>
      <c r="L914" s="1"/>
      <c r="M914" s="1"/>
      <c r="N914" s="1"/>
      <c r="O914" s="1"/>
      <c r="P914" s="1"/>
      <c r="Q914" s="1"/>
      <c r="R914" s="1"/>
      <c r="S914" s="1"/>
      <c r="T914" s="1"/>
      <c r="U914" s="2"/>
      <c r="V914" s="1"/>
      <c r="W914" s="1"/>
      <c r="X914" s="1"/>
      <c r="Y914" s="1"/>
      <c r="Z914" s="1"/>
    </row>
    <row r="915" spans="1:26" ht="24.75" customHeight="1">
      <c r="A915" s="1"/>
      <c r="B915" s="1"/>
      <c r="C915" s="1"/>
      <c r="D915" s="1"/>
      <c r="E915" s="1"/>
      <c r="F915" s="1"/>
      <c r="G915" s="1"/>
      <c r="H915" s="1"/>
      <c r="I915" s="1"/>
      <c r="J915" s="1"/>
      <c r="K915" s="1"/>
      <c r="L915" s="1"/>
      <c r="M915" s="1"/>
      <c r="N915" s="1"/>
      <c r="O915" s="1"/>
      <c r="P915" s="1"/>
      <c r="Q915" s="1"/>
      <c r="R915" s="1"/>
      <c r="S915" s="1"/>
      <c r="T915" s="1"/>
      <c r="U915" s="2"/>
      <c r="V915" s="1"/>
      <c r="W915" s="1"/>
      <c r="X915" s="1"/>
      <c r="Y915" s="1"/>
      <c r="Z915" s="1"/>
    </row>
    <row r="916" spans="1:26" ht="24.75" customHeight="1">
      <c r="A916" s="1"/>
      <c r="B916" s="1"/>
      <c r="C916" s="1"/>
      <c r="D916" s="1"/>
      <c r="E916" s="1"/>
      <c r="F916" s="1"/>
      <c r="G916" s="1"/>
      <c r="H916" s="1"/>
      <c r="I916" s="1"/>
      <c r="J916" s="1"/>
      <c r="K916" s="1"/>
      <c r="L916" s="1"/>
      <c r="M916" s="1"/>
      <c r="N916" s="1"/>
      <c r="O916" s="1"/>
      <c r="P916" s="1"/>
      <c r="Q916" s="1"/>
      <c r="R916" s="1"/>
      <c r="S916" s="1"/>
      <c r="T916" s="1"/>
      <c r="U916" s="2"/>
      <c r="V916" s="1"/>
      <c r="W916" s="1"/>
      <c r="X916" s="1"/>
      <c r="Y916" s="1"/>
      <c r="Z916" s="1"/>
    </row>
    <row r="917" spans="1:26" ht="24.75" customHeight="1">
      <c r="A917" s="1"/>
      <c r="B917" s="1"/>
      <c r="C917" s="1"/>
      <c r="D917" s="1"/>
      <c r="E917" s="1"/>
      <c r="F917" s="1"/>
      <c r="G917" s="1"/>
      <c r="H917" s="1"/>
      <c r="I917" s="1"/>
      <c r="J917" s="1"/>
      <c r="K917" s="1"/>
      <c r="L917" s="1"/>
      <c r="M917" s="1"/>
      <c r="N917" s="1"/>
      <c r="O917" s="1"/>
      <c r="P917" s="1"/>
      <c r="Q917" s="1"/>
      <c r="R917" s="1"/>
      <c r="S917" s="1"/>
      <c r="T917" s="1"/>
      <c r="U917" s="2"/>
      <c r="V917" s="1"/>
      <c r="W917" s="1"/>
      <c r="X917" s="1"/>
      <c r="Y917" s="1"/>
      <c r="Z917" s="1"/>
    </row>
    <row r="918" spans="1:26" ht="24.75" customHeight="1">
      <c r="A918" s="1"/>
      <c r="B918" s="1"/>
      <c r="C918" s="1"/>
      <c r="D918" s="1"/>
      <c r="E918" s="1"/>
      <c r="F918" s="1"/>
      <c r="G918" s="1"/>
      <c r="H918" s="1"/>
      <c r="I918" s="1"/>
      <c r="J918" s="1"/>
      <c r="K918" s="1"/>
      <c r="L918" s="1"/>
      <c r="M918" s="1"/>
      <c r="N918" s="1"/>
      <c r="O918" s="1"/>
      <c r="P918" s="1"/>
      <c r="Q918" s="1"/>
      <c r="R918" s="1"/>
      <c r="S918" s="1"/>
      <c r="T918" s="1"/>
      <c r="U918" s="2"/>
      <c r="V918" s="1"/>
      <c r="W918" s="1"/>
      <c r="X918" s="1"/>
      <c r="Y918" s="1"/>
      <c r="Z918" s="1"/>
    </row>
    <row r="919" spans="1:26" ht="24.75" customHeight="1">
      <c r="A919" s="1"/>
      <c r="B919" s="1"/>
      <c r="C919" s="1"/>
      <c r="D919" s="1"/>
      <c r="E919" s="1"/>
      <c r="F919" s="1"/>
      <c r="G919" s="1"/>
      <c r="H919" s="1"/>
      <c r="I919" s="1"/>
      <c r="J919" s="1"/>
      <c r="K919" s="1"/>
      <c r="L919" s="1"/>
      <c r="M919" s="1"/>
      <c r="N919" s="1"/>
      <c r="O919" s="1"/>
      <c r="P919" s="1"/>
      <c r="Q919" s="1"/>
      <c r="R919" s="1"/>
      <c r="S919" s="1"/>
      <c r="T919" s="1"/>
      <c r="U919" s="2"/>
      <c r="V919" s="1"/>
      <c r="W919" s="1"/>
      <c r="X919" s="1"/>
      <c r="Y919" s="1"/>
      <c r="Z919" s="1"/>
    </row>
    <row r="920" spans="1:26" ht="24.75" customHeight="1">
      <c r="A920" s="1"/>
      <c r="B920" s="1"/>
      <c r="C920" s="1"/>
      <c r="D920" s="1"/>
      <c r="E920" s="1"/>
      <c r="F920" s="1"/>
      <c r="G920" s="1"/>
      <c r="H920" s="1"/>
      <c r="I920" s="1"/>
      <c r="J920" s="1"/>
      <c r="K920" s="1"/>
      <c r="L920" s="1"/>
      <c r="M920" s="1"/>
      <c r="N920" s="1"/>
      <c r="O920" s="1"/>
      <c r="P920" s="1"/>
      <c r="Q920" s="1"/>
      <c r="R920" s="1"/>
      <c r="S920" s="1"/>
      <c r="T920" s="1"/>
      <c r="U920" s="2"/>
      <c r="V920" s="1"/>
      <c r="W920" s="1"/>
      <c r="X920" s="1"/>
      <c r="Y920" s="1"/>
      <c r="Z920" s="1"/>
    </row>
    <row r="921" spans="1:26" ht="24.75" customHeight="1">
      <c r="A921" s="1"/>
      <c r="B921" s="1"/>
      <c r="C921" s="1"/>
      <c r="D921" s="1"/>
      <c r="E921" s="1"/>
      <c r="F921" s="1"/>
      <c r="G921" s="1"/>
      <c r="H921" s="1"/>
      <c r="I921" s="1"/>
      <c r="J921" s="1"/>
      <c r="K921" s="1"/>
      <c r="L921" s="1"/>
      <c r="M921" s="1"/>
      <c r="N921" s="1"/>
      <c r="O921" s="1"/>
      <c r="P921" s="1"/>
      <c r="Q921" s="1"/>
      <c r="R921" s="1"/>
      <c r="S921" s="1"/>
      <c r="T921" s="1"/>
      <c r="U921" s="2"/>
      <c r="V921" s="1"/>
      <c r="W921" s="1"/>
      <c r="X921" s="1"/>
      <c r="Y921" s="1"/>
      <c r="Z921" s="1"/>
    </row>
    <row r="922" spans="1:26" ht="24.75" customHeight="1">
      <c r="A922" s="1"/>
      <c r="B922" s="1"/>
      <c r="C922" s="1"/>
      <c r="D922" s="1"/>
      <c r="E922" s="1"/>
      <c r="F922" s="1"/>
      <c r="G922" s="1"/>
      <c r="H922" s="1"/>
      <c r="I922" s="1"/>
      <c r="J922" s="1"/>
      <c r="K922" s="1"/>
      <c r="L922" s="1"/>
      <c r="M922" s="1"/>
      <c r="N922" s="1"/>
      <c r="O922" s="1"/>
      <c r="P922" s="1"/>
      <c r="Q922" s="1"/>
      <c r="R922" s="1"/>
      <c r="S922" s="1"/>
      <c r="T922" s="1"/>
      <c r="U922" s="2"/>
      <c r="V922" s="1"/>
      <c r="W922" s="1"/>
      <c r="X922" s="1"/>
      <c r="Y922" s="1"/>
      <c r="Z922" s="1"/>
    </row>
    <row r="923" spans="1:26" ht="24.75" customHeight="1">
      <c r="A923" s="1"/>
      <c r="B923" s="1"/>
      <c r="C923" s="1"/>
      <c r="D923" s="1"/>
      <c r="E923" s="1"/>
      <c r="F923" s="1"/>
      <c r="G923" s="1"/>
      <c r="H923" s="1"/>
      <c r="I923" s="1"/>
      <c r="J923" s="1"/>
      <c r="K923" s="1"/>
      <c r="L923" s="1"/>
      <c r="M923" s="1"/>
      <c r="N923" s="1"/>
      <c r="O923" s="1"/>
      <c r="P923" s="1"/>
      <c r="Q923" s="1"/>
      <c r="R923" s="1"/>
      <c r="S923" s="1"/>
      <c r="T923" s="1"/>
      <c r="U923" s="2"/>
      <c r="V923" s="1"/>
      <c r="W923" s="1"/>
      <c r="X923" s="1"/>
      <c r="Y923" s="1"/>
      <c r="Z923" s="1"/>
    </row>
    <row r="924" spans="1:26" ht="24.75" customHeight="1">
      <c r="A924" s="1"/>
      <c r="B924" s="1"/>
      <c r="C924" s="1"/>
      <c r="D924" s="1"/>
      <c r="E924" s="1"/>
      <c r="F924" s="1"/>
      <c r="G924" s="1"/>
      <c r="H924" s="1"/>
      <c r="I924" s="1"/>
      <c r="J924" s="1"/>
      <c r="K924" s="1"/>
      <c r="L924" s="1"/>
      <c r="M924" s="1"/>
      <c r="N924" s="1"/>
      <c r="O924" s="1"/>
      <c r="P924" s="1"/>
      <c r="Q924" s="1"/>
      <c r="R924" s="1"/>
      <c r="S924" s="1"/>
      <c r="T924" s="1"/>
      <c r="U924" s="2"/>
      <c r="V924" s="1"/>
      <c r="W924" s="1"/>
      <c r="X924" s="1"/>
      <c r="Y924" s="1"/>
      <c r="Z924" s="1"/>
    </row>
    <row r="925" spans="1:26" ht="24.75" customHeight="1">
      <c r="A925" s="1"/>
      <c r="B925" s="1"/>
      <c r="C925" s="1"/>
      <c r="D925" s="1"/>
      <c r="E925" s="1"/>
      <c r="F925" s="1"/>
      <c r="G925" s="1"/>
      <c r="H925" s="1"/>
      <c r="I925" s="1"/>
      <c r="J925" s="1"/>
      <c r="K925" s="1"/>
      <c r="L925" s="1"/>
      <c r="M925" s="1"/>
      <c r="N925" s="1"/>
      <c r="O925" s="1"/>
      <c r="P925" s="1"/>
      <c r="Q925" s="1"/>
      <c r="R925" s="1"/>
      <c r="S925" s="1"/>
      <c r="T925" s="1"/>
      <c r="U925" s="2"/>
      <c r="V925" s="1"/>
      <c r="W925" s="1"/>
      <c r="X925" s="1"/>
      <c r="Y925" s="1"/>
      <c r="Z925" s="1"/>
    </row>
    <row r="926" spans="1:26" ht="24.75" customHeight="1">
      <c r="A926" s="1"/>
      <c r="B926" s="1"/>
      <c r="C926" s="1"/>
      <c r="D926" s="1"/>
      <c r="E926" s="1"/>
      <c r="F926" s="1"/>
      <c r="G926" s="1"/>
      <c r="H926" s="1"/>
      <c r="I926" s="1"/>
      <c r="J926" s="1"/>
      <c r="K926" s="1"/>
      <c r="L926" s="1"/>
      <c r="M926" s="1"/>
      <c r="N926" s="1"/>
      <c r="O926" s="1"/>
      <c r="P926" s="1"/>
      <c r="Q926" s="1"/>
      <c r="R926" s="1"/>
      <c r="S926" s="1"/>
      <c r="T926" s="1"/>
      <c r="U926" s="2"/>
      <c r="V926" s="1"/>
      <c r="W926" s="1"/>
      <c r="X926" s="1"/>
      <c r="Y926" s="1"/>
      <c r="Z926" s="1"/>
    </row>
    <row r="927" spans="1:26" ht="24.75" customHeight="1">
      <c r="A927" s="1"/>
      <c r="B927" s="1"/>
      <c r="C927" s="1"/>
      <c r="D927" s="1"/>
      <c r="E927" s="1"/>
      <c r="F927" s="1"/>
      <c r="G927" s="1"/>
      <c r="H927" s="1"/>
      <c r="I927" s="1"/>
      <c r="J927" s="1"/>
      <c r="K927" s="1"/>
      <c r="L927" s="1"/>
      <c r="M927" s="1"/>
      <c r="N927" s="1"/>
      <c r="O927" s="1"/>
      <c r="P927" s="1"/>
      <c r="Q927" s="1"/>
      <c r="R927" s="1"/>
      <c r="S927" s="1"/>
      <c r="T927" s="1"/>
      <c r="U927" s="2"/>
      <c r="V927" s="1"/>
      <c r="W927" s="1"/>
      <c r="X927" s="1"/>
      <c r="Y927" s="1"/>
      <c r="Z927" s="1"/>
    </row>
    <row r="928" spans="1:26" ht="24.75" customHeight="1">
      <c r="A928" s="1"/>
      <c r="B928" s="1"/>
      <c r="C928" s="1"/>
      <c r="D928" s="1"/>
      <c r="E928" s="1"/>
      <c r="F928" s="1"/>
      <c r="G928" s="1"/>
      <c r="H928" s="1"/>
      <c r="I928" s="1"/>
      <c r="J928" s="1"/>
      <c r="K928" s="1"/>
      <c r="L928" s="1"/>
      <c r="M928" s="1"/>
      <c r="N928" s="1"/>
      <c r="O928" s="1"/>
      <c r="P928" s="1"/>
      <c r="Q928" s="1"/>
      <c r="R928" s="1"/>
      <c r="S928" s="1"/>
      <c r="T928" s="1"/>
      <c r="U928" s="2"/>
      <c r="V928" s="1"/>
      <c r="W928" s="1"/>
      <c r="X928" s="1"/>
      <c r="Y928" s="1"/>
      <c r="Z928" s="1"/>
    </row>
    <row r="929" spans="1:26" ht="24.75" customHeight="1">
      <c r="A929" s="1"/>
      <c r="B929" s="1"/>
      <c r="C929" s="1"/>
      <c r="D929" s="1"/>
      <c r="E929" s="1"/>
      <c r="F929" s="1"/>
      <c r="G929" s="1"/>
      <c r="H929" s="1"/>
      <c r="I929" s="1"/>
      <c r="J929" s="1"/>
      <c r="K929" s="1"/>
      <c r="L929" s="1"/>
      <c r="M929" s="1"/>
      <c r="N929" s="1"/>
      <c r="O929" s="1"/>
      <c r="P929" s="1"/>
      <c r="Q929" s="1"/>
      <c r="R929" s="1"/>
      <c r="S929" s="1"/>
      <c r="T929" s="1"/>
      <c r="U929" s="2"/>
      <c r="V929" s="1"/>
      <c r="W929" s="1"/>
      <c r="X929" s="1"/>
      <c r="Y929" s="1"/>
      <c r="Z929" s="1"/>
    </row>
    <row r="930" spans="1:26" ht="24.75" customHeight="1">
      <c r="A930" s="1"/>
      <c r="B930" s="1"/>
      <c r="C930" s="1"/>
      <c r="D930" s="1"/>
      <c r="E930" s="1"/>
      <c r="F930" s="1"/>
      <c r="G930" s="1"/>
      <c r="H930" s="1"/>
      <c r="I930" s="1"/>
      <c r="J930" s="1"/>
      <c r="K930" s="1"/>
      <c r="L930" s="1"/>
      <c r="M930" s="1"/>
      <c r="N930" s="1"/>
      <c r="O930" s="1"/>
      <c r="P930" s="1"/>
      <c r="Q930" s="1"/>
      <c r="R930" s="1"/>
      <c r="S930" s="1"/>
      <c r="T930" s="1"/>
      <c r="U930" s="2"/>
      <c r="V930" s="1"/>
      <c r="W930" s="1"/>
      <c r="X930" s="1"/>
      <c r="Y930" s="1"/>
      <c r="Z930" s="1"/>
    </row>
    <row r="931" spans="1:26" ht="24.75" customHeight="1">
      <c r="A931" s="1"/>
      <c r="B931" s="1"/>
      <c r="C931" s="1"/>
      <c r="D931" s="1"/>
      <c r="E931" s="1"/>
      <c r="F931" s="1"/>
      <c r="G931" s="1"/>
      <c r="H931" s="1"/>
      <c r="I931" s="1"/>
      <c r="J931" s="1"/>
      <c r="K931" s="1"/>
      <c r="L931" s="1"/>
      <c r="M931" s="1"/>
      <c r="N931" s="1"/>
      <c r="O931" s="1"/>
      <c r="P931" s="1"/>
      <c r="Q931" s="1"/>
      <c r="R931" s="1"/>
      <c r="S931" s="1"/>
      <c r="T931" s="1"/>
      <c r="U931" s="2"/>
      <c r="V931" s="1"/>
      <c r="W931" s="1"/>
      <c r="X931" s="1"/>
      <c r="Y931" s="1"/>
      <c r="Z931" s="1"/>
    </row>
    <row r="932" spans="1:26" ht="24.75" customHeight="1">
      <c r="A932" s="1"/>
      <c r="B932" s="1"/>
      <c r="C932" s="1"/>
      <c r="D932" s="1"/>
      <c r="E932" s="1"/>
      <c r="F932" s="1"/>
      <c r="G932" s="1"/>
      <c r="H932" s="1"/>
      <c r="I932" s="1"/>
      <c r="J932" s="1"/>
      <c r="K932" s="1"/>
      <c r="L932" s="1"/>
      <c r="M932" s="1"/>
      <c r="N932" s="1"/>
      <c r="O932" s="1"/>
      <c r="P932" s="1"/>
      <c r="Q932" s="1"/>
      <c r="R932" s="1"/>
      <c r="S932" s="1"/>
      <c r="T932" s="1"/>
      <c r="U932" s="2"/>
      <c r="V932" s="1"/>
      <c r="W932" s="1"/>
      <c r="X932" s="1"/>
      <c r="Y932" s="1"/>
      <c r="Z932" s="1"/>
    </row>
    <row r="933" spans="1:26" ht="24.75" customHeight="1">
      <c r="A933" s="1"/>
      <c r="B933" s="1"/>
      <c r="C933" s="1"/>
      <c r="D933" s="1"/>
      <c r="E933" s="1"/>
      <c r="F933" s="1"/>
      <c r="G933" s="1"/>
      <c r="H933" s="1"/>
      <c r="I933" s="1"/>
      <c r="J933" s="1"/>
      <c r="K933" s="1"/>
      <c r="L933" s="1"/>
      <c r="M933" s="1"/>
      <c r="N933" s="1"/>
      <c r="O933" s="1"/>
      <c r="P933" s="1"/>
      <c r="Q933" s="1"/>
      <c r="R933" s="1"/>
      <c r="S933" s="1"/>
      <c r="T933" s="1"/>
      <c r="U933" s="2"/>
      <c r="V933" s="1"/>
      <c r="W933" s="1"/>
      <c r="X933" s="1"/>
      <c r="Y933" s="1"/>
      <c r="Z933" s="1"/>
    </row>
    <row r="934" spans="1:26" ht="24.75" customHeight="1">
      <c r="A934" s="1"/>
      <c r="B934" s="1"/>
      <c r="C934" s="1"/>
      <c r="D934" s="1"/>
      <c r="E934" s="1"/>
      <c r="F934" s="1"/>
      <c r="G934" s="1"/>
      <c r="H934" s="1"/>
      <c r="I934" s="1"/>
      <c r="J934" s="1"/>
      <c r="K934" s="1"/>
      <c r="L934" s="1"/>
      <c r="M934" s="1"/>
      <c r="N934" s="1"/>
      <c r="O934" s="1"/>
      <c r="P934" s="1"/>
      <c r="Q934" s="1"/>
      <c r="R934" s="1"/>
      <c r="S934" s="1"/>
      <c r="T934" s="1"/>
      <c r="U934" s="2"/>
      <c r="V934" s="1"/>
      <c r="W934" s="1"/>
      <c r="X934" s="1"/>
      <c r="Y934" s="1"/>
      <c r="Z934" s="1"/>
    </row>
    <row r="935" spans="1:26" ht="24.75" customHeight="1">
      <c r="A935" s="1"/>
      <c r="B935" s="1"/>
      <c r="C935" s="1"/>
      <c r="D935" s="1"/>
      <c r="E935" s="1"/>
      <c r="F935" s="1"/>
      <c r="G935" s="1"/>
      <c r="H935" s="1"/>
      <c r="I935" s="1"/>
      <c r="J935" s="1"/>
      <c r="K935" s="1"/>
      <c r="L935" s="1"/>
      <c r="M935" s="1"/>
      <c r="N935" s="1"/>
      <c r="O935" s="1"/>
      <c r="P935" s="1"/>
      <c r="Q935" s="1"/>
      <c r="R935" s="1"/>
      <c r="S935" s="1"/>
      <c r="T935" s="1"/>
      <c r="U935" s="2"/>
      <c r="V935" s="1"/>
      <c r="W935" s="1"/>
      <c r="X935" s="1"/>
      <c r="Y935" s="1"/>
      <c r="Z935" s="1"/>
    </row>
    <row r="936" spans="1:26" ht="24.75" customHeight="1">
      <c r="A936" s="1"/>
      <c r="B936" s="1"/>
      <c r="C936" s="1"/>
      <c r="D936" s="1"/>
      <c r="E936" s="1"/>
      <c r="F936" s="1"/>
      <c r="G936" s="1"/>
      <c r="H936" s="1"/>
      <c r="I936" s="1"/>
      <c r="J936" s="1"/>
      <c r="K936" s="1"/>
      <c r="L936" s="1"/>
      <c r="M936" s="1"/>
      <c r="N936" s="1"/>
      <c r="O936" s="1"/>
      <c r="P936" s="1"/>
      <c r="Q936" s="1"/>
      <c r="R936" s="1"/>
      <c r="S936" s="1"/>
      <c r="T936" s="1"/>
      <c r="U936" s="2"/>
      <c r="V936" s="1"/>
      <c r="W936" s="1"/>
      <c r="X936" s="1"/>
      <c r="Y936" s="1"/>
      <c r="Z936" s="1"/>
    </row>
    <row r="937" spans="1:26" ht="24.75" customHeight="1">
      <c r="A937" s="1"/>
      <c r="B937" s="1"/>
      <c r="C937" s="1"/>
      <c r="D937" s="1"/>
      <c r="E937" s="1"/>
      <c r="F937" s="1"/>
      <c r="G937" s="1"/>
      <c r="H937" s="1"/>
      <c r="I937" s="1"/>
      <c r="J937" s="1"/>
      <c r="K937" s="1"/>
      <c r="L937" s="1"/>
      <c r="M937" s="1"/>
      <c r="N937" s="1"/>
      <c r="O937" s="1"/>
      <c r="P937" s="1"/>
      <c r="Q937" s="1"/>
      <c r="R937" s="1"/>
      <c r="S937" s="1"/>
      <c r="T937" s="1"/>
      <c r="U937" s="2"/>
      <c r="V937" s="1"/>
      <c r="W937" s="1"/>
      <c r="X937" s="1"/>
      <c r="Y937" s="1"/>
      <c r="Z937" s="1"/>
    </row>
    <row r="938" spans="1:26" ht="24.75" customHeight="1">
      <c r="A938" s="1"/>
      <c r="B938" s="1"/>
      <c r="C938" s="1"/>
      <c r="D938" s="1"/>
      <c r="E938" s="1"/>
      <c r="F938" s="1"/>
      <c r="G938" s="1"/>
      <c r="H938" s="1"/>
      <c r="I938" s="1"/>
      <c r="J938" s="1"/>
      <c r="K938" s="1"/>
      <c r="L938" s="1"/>
      <c r="M938" s="1"/>
      <c r="N938" s="1"/>
      <c r="O938" s="1"/>
      <c r="P938" s="1"/>
      <c r="Q938" s="1"/>
      <c r="R938" s="1"/>
      <c r="S938" s="1"/>
      <c r="T938" s="1"/>
      <c r="U938" s="2"/>
      <c r="V938" s="1"/>
      <c r="W938" s="1"/>
      <c r="X938" s="1"/>
      <c r="Y938" s="1"/>
      <c r="Z938" s="1"/>
    </row>
    <row r="939" spans="1:26" ht="24.75" customHeight="1">
      <c r="A939" s="1"/>
      <c r="B939" s="1"/>
      <c r="C939" s="1"/>
      <c r="D939" s="1"/>
      <c r="E939" s="1"/>
      <c r="F939" s="1"/>
      <c r="G939" s="1"/>
      <c r="H939" s="1"/>
      <c r="I939" s="1"/>
      <c r="J939" s="1"/>
      <c r="K939" s="1"/>
      <c r="L939" s="1"/>
      <c r="M939" s="1"/>
      <c r="N939" s="1"/>
      <c r="O939" s="1"/>
      <c r="P939" s="1"/>
      <c r="Q939" s="1"/>
      <c r="R939" s="1"/>
      <c r="S939" s="1"/>
      <c r="T939" s="1"/>
      <c r="U939" s="2"/>
      <c r="V939" s="1"/>
      <c r="W939" s="1"/>
      <c r="X939" s="1"/>
      <c r="Y939" s="1"/>
      <c r="Z939" s="1"/>
    </row>
    <row r="940" spans="1:26" ht="24.75" customHeight="1">
      <c r="A940" s="1"/>
      <c r="B940" s="1"/>
      <c r="C940" s="1"/>
      <c r="D940" s="1"/>
      <c r="E940" s="1"/>
      <c r="F940" s="1"/>
      <c r="G940" s="1"/>
      <c r="H940" s="1"/>
      <c r="I940" s="1"/>
      <c r="J940" s="1"/>
      <c r="K940" s="1"/>
      <c r="L940" s="1"/>
      <c r="M940" s="1"/>
      <c r="N940" s="1"/>
      <c r="O940" s="1"/>
      <c r="P940" s="1"/>
      <c r="Q940" s="1"/>
      <c r="R940" s="1"/>
      <c r="S940" s="1"/>
      <c r="T940" s="1"/>
      <c r="U940" s="2"/>
      <c r="V940" s="1"/>
      <c r="W940" s="1"/>
      <c r="X940" s="1"/>
      <c r="Y940" s="1"/>
      <c r="Z940" s="1"/>
    </row>
    <row r="941" spans="1:26" ht="24.75" customHeight="1">
      <c r="A941" s="1"/>
      <c r="B941" s="1"/>
      <c r="C941" s="1"/>
      <c r="D941" s="1"/>
      <c r="E941" s="1"/>
      <c r="F941" s="1"/>
      <c r="G941" s="1"/>
      <c r="H941" s="1"/>
      <c r="I941" s="1"/>
      <c r="J941" s="1"/>
      <c r="K941" s="1"/>
      <c r="L941" s="1"/>
      <c r="M941" s="1"/>
      <c r="N941" s="1"/>
      <c r="O941" s="1"/>
      <c r="P941" s="1"/>
      <c r="Q941" s="1"/>
      <c r="R941" s="1"/>
      <c r="S941" s="1"/>
      <c r="T941" s="1"/>
      <c r="U941" s="2"/>
      <c r="V941" s="1"/>
      <c r="W941" s="1"/>
      <c r="X941" s="1"/>
      <c r="Y941" s="1"/>
      <c r="Z941" s="1"/>
    </row>
    <row r="942" spans="1:26" ht="24.75" customHeight="1">
      <c r="A942" s="1"/>
      <c r="B942" s="1"/>
      <c r="C942" s="1"/>
      <c r="D942" s="1"/>
      <c r="E942" s="1"/>
      <c r="F942" s="1"/>
      <c r="G942" s="1"/>
      <c r="H942" s="1"/>
      <c r="I942" s="1"/>
      <c r="J942" s="1"/>
      <c r="K942" s="1"/>
      <c r="L942" s="1"/>
      <c r="M942" s="1"/>
      <c r="N942" s="1"/>
      <c r="O942" s="1"/>
      <c r="P942" s="1"/>
      <c r="Q942" s="1"/>
      <c r="R942" s="1"/>
      <c r="S942" s="1"/>
      <c r="T942" s="1"/>
      <c r="U942" s="2"/>
      <c r="V942" s="1"/>
      <c r="W942" s="1"/>
      <c r="X942" s="1"/>
      <c r="Y942" s="1"/>
      <c r="Z942" s="1"/>
    </row>
    <row r="943" spans="1:26" ht="24.75" customHeight="1">
      <c r="A943" s="1"/>
      <c r="B943" s="1"/>
      <c r="C943" s="1"/>
      <c r="D943" s="1"/>
      <c r="E943" s="1"/>
      <c r="F943" s="1"/>
      <c r="G943" s="1"/>
      <c r="H943" s="1"/>
      <c r="I943" s="1"/>
      <c r="J943" s="1"/>
      <c r="K943" s="1"/>
      <c r="L943" s="1"/>
      <c r="M943" s="1"/>
      <c r="N943" s="1"/>
      <c r="O943" s="1"/>
      <c r="P943" s="1"/>
      <c r="Q943" s="1"/>
      <c r="R943" s="1"/>
      <c r="S943" s="1"/>
      <c r="T943" s="1"/>
      <c r="U943" s="2"/>
      <c r="V943" s="1"/>
      <c r="W943" s="1"/>
      <c r="X943" s="1"/>
      <c r="Y943" s="1"/>
      <c r="Z943" s="1"/>
    </row>
    <row r="944" spans="1:26" ht="24.75" customHeight="1">
      <c r="A944" s="1"/>
      <c r="B944" s="1"/>
      <c r="C944" s="1"/>
      <c r="D944" s="1"/>
      <c r="E944" s="1"/>
      <c r="F944" s="1"/>
      <c r="G944" s="1"/>
      <c r="H944" s="1"/>
      <c r="I944" s="1"/>
      <c r="J944" s="1"/>
      <c r="K944" s="1"/>
      <c r="L944" s="1"/>
      <c r="M944" s="1"/>
      <c r="N944" s="1"/>
      <c r="O944" s="1"/>
      <c r="P944" s="1"/>
      <c r="Q944" s="1"/>
      <c r="R944" s="1"/>
      <c r="S944" s="1"/>
      <c r="T944" s="1"/>
      <c r="U944" s="2"/>
      <c r="V944" s="1"/>
      <c r="W944" s="1"/>
      <c r="X944" s="1"/>
      <c r="Y944" s="1"/>
      <c r="Z944" s="1"/>
    </row>
    <row r="945" spans="1:26" ht="24.75" customHeight="1">
      <c r="A945" s="1"/>
      <c r="B945" s="1"/>
      <c r="C945" s="1"/>
      <c r="D945" s="1"/>
      <c r="E945" s="1"/>
      <c r="F945" s="1"/>
      <c r="G945" s="1"/>
      <c r="H945" s="1"/>
      <c r="I945" s="1"/>
      <c r="J945" s="1"/>
      <c r="K945" s="1"/>
      <c r="L945" s="1"/>
      <c r="M945" s="1"/>
      <c r="N945" s="1"/>
      <c r="O945" s="1"/>
      <c r="P945" s="1"/>
      <c r="Q945" s="1"/>
      <c r="R945" s="1"/>
      <c r="S945" s="1"/>
      <c r="T945" s="1"/>
      <c r="U945" s="2"/>
      <c r="V945" s="1"/>
      <c r="W945" s="1"/>
      <c r="X945" s="1"/>
      <c r="Y945" s="1"/>
      <c r="Z945" s="1"/>
    </row>
    <row r="946" spans="1:26" ht="24.75" customHeight="1">
      <c r="A946" s="1"/>
      <c r="B946" s="1"/>
      <c r="C946" s="1"/>
      <c r="D946" s="1"/>
      <c r="E946" s="1"/>
      <c r="F946" s="1"/>
      <c r="G946" s="1"/>
      <c r="H946" s="1"/>
      <c r="I946" s="1"/>
      <c r="J946" s="1"/>
      <c r="K946" s="1"/>
      <c r="L946" s="1"/>
      <c r="M946" s="1"/>
      <c r="N946" s="1"/>
      <c r="O946" s="1"/>
      <c r="P946" s="1"/>
      <c r="Q946" s="1"/>
      <c r="R946" s="1"/>
      <c r="S946" s="1"/>
      <c r="T946" s="1"/>
      <c r="U946" s="2"/>
      <c r="V946" s="1"/>
      <c r="W946" s="1"/>
      <c r="X946" s="1"/>
      <c r="Y946" s="1"/>
      <c r="Z946" s="1"/>
    </row>
    <row r="947" spans="1:26" ht="24.75" customHeight="1">
      <c r="A947" s="1"/>
      <c r="B947" s="1"/>
      <c r="C947" s="1"/>
      <c r="D947" s="1"/>
      <c r="E947" s="1"/>
      <c r="F947" s="1"/>
      <c r="G947" s="1"/>
      <c r="H947" s="1"/>
      <c r="I947" s="1"/>
      <c r="J947" s="1"/>
      <c r="K947" s="1"/>
      <c r="L947" s="1"/>
      <c r="M947" s="1"/>
      <c r="N947" s="1"/>
      <c r="O947" s="1"/>
      <c r="P947" s="1"/>
      <c r="Q947" s="1"/>
      <c r="R947" s="1"/>
      <c r="S947" s="1"/>
      <c r="T947" s="1"/>
      <c r="U947" s="2"/>
      <c r="V947" s="1"/>
      <c r="W947" s="1"/>
      <c r="X947" s="1"/>
      <c r="Y947" s="1"/>
      <c r="Z947" s="1"/>
    </row>
    <row r="948" spans="1:26" ht="24.75" customHeight="1">
      <c r="A948" s="1"/>
      <c r="B948" s="1"/>
      <c r="C948" s="1"/>
      <c r="D948" s="1"/>
      <c r="E948" s="1"/>
      <c r="F948" s="1"/>
      <c r="G948" s="1"/>
      <c r="H948" s="1"/>
      <c r="I948" s="1"/>
      <c r="J948" s="1"/>
      <c r="K948" s="1"/>
      <c r="L948" s="1"/>
      <c r="M948" s="1"/>
      <c r="N948" s="1"/>
      <c r="O948" s="1"/>
      <c r="P948" s="1"/>
      <c r="Q948" s="1"/>
      <c r="R948" s="1"/>
      <c r="S948" s="1"/>
      <c r="T948" s="1"/>
      <c r="U948" s="2"/>
      <c r="V948" s="1"/>
      <c r="W948" s="1"/>
      <c r="X948" s="1"/>
      <c r="Y948" s="1"/>
      <c r="Z948" s="1"/>
    </row>
    <row r="949" spans="1:26" ht="24.75" customHeight="1">
      <c r="A949" s="1"/>
      <c r="B949" s="1"/>
      <c r="C949" s="1"/>
      <c r="D949" s="1"/>
      <c r="E949" s="1"/>
      <c r="F949" s="1"/>
      <c r="G949" s="1"/>
      <c r="H949" s="1"/>
      <c r="I949" s="1"/>
      <c r="J949" s="1"/>
      <c r="K949" s="1"/>
      <c r="L949" s="1"/>
      <c r="M949" s="1"/>
      <c r="N949" s="1"/>
      <c r="O949" s="1"/>
      <c r="P949" s="1"/>
      <c r="Q949" s="1"/>
      <c r="R949" s="1"/>
      <c r="S949" s="1"/>
      <c r="T949" s="1"/>
      <c r="U949" s="2"/>
      <c r="V949" s="1"/>
      <c r="W949" s="1"/>
      <c r="X949" s="1"/>
      <c r="Y949" s="1"/>
      <c r="Z949" s="1"/>
    </row>
    <row r="950" spans="1:26" ht="24.75" customHeight="1">
      <c r="A950" s="1"/>
      <c r="B950" s="1"/>
      <c r="C950" s="1"/>
      <c r="D950" s="1"/>
      <c r="E950" s="1"/>
      <c r="F950" s="1"/>
      <c r="G950" s="1"/>
      <c r="H950" s="1"/>
      <c r="I950" s="1"/>
      <c r="J950" s="1"/>
      <c r="K950" s="1"/>
      <c r="L950" s="1"/>
      <c r="M950" s="1"/>
      <c r="N950" s="1"/>
      <c r="O950" s="1"/>
      <c r="P950" s="1"/>
      <c r="Q950" s="1"/>
      <c r="R950" s="1"/>
      <c r="S950" s="1"/>
      <c r="T950" s="1"/>
      <c r="U950" s="2"/>
      <c r="V950" s="1"/>
      <c r="W950" s="1"/>
      <c r="X950" s="1"/>
      <c r="Y950" s="1"/>
      <c r="Z950" s="1"/>
    </row>
    <row r="951" spans="1:26" ht="24.75" customHeight="1">
      <c r="A951" s="1"/>
      <c r="B951" s="1"/>
      <c r="C951" s="1"/>
      <c r="D951" s="1"/>
      <c r="E951" s="1"/>
      <c r="F951" s="1"/>
      <c r="G951" s="1"/>
      <c r="H951" s="1"/>
      <c r="I951" s="1"/>
      <c r="J951" s="1"/>
      <c r="K951" s="1"/>
      <c r="L951" s="1"/>
      <c r="M951" s="1"/>
      <c r="N951" s="1"/>
      <c r="O951" s="1"/>
      <c r="P951" s="1"/>
      <c r="Q951" s="1"/>
      <c r="R951" s="1"/>
      <c r="S951" s="1"/>
      <c r="T951" s="1"/>
      <c r="U951" s="2"/>
      <c r="V951" s="1"/>
      <c r="W951" s="1"/>
      <c r="X951" s="1"/>
      <c r="Y951" s="1"/>
      <c r="Z951" s="1"/>
    </row>
    <row r="952" spans="1:26" ht="24.75" customHeight="1">
      <c r="A952" s="1"/>
      <c r="B952" s="1"/>
      <c r="C952" s="1"/>
      <c r="D952" s="1"/>
      <c r="E952" s="1"/>
      <c r="F952" s="1"/>
      <c r="G952" s="1"/>
      <c r="H952" s="1"/>
      <c r="I952" s="1"/>
      <c r="J952" s="1"/>
      <c r="K952" s="1"/>
      <c r="L952" s="1"/>
      <c r="M952" s="1"/>
      <c r="N952" s="1"/>
      <c r="O952" s="1"/>
      <c r="P952" s="1"/>
      <c r="Q952" s="1"/>
      <c r="R952" s="1"/>
      <c r="S952" s="1"/>
      <c r="T952" s="1"/>
      <c r="U952" s="2"/>
      <c r="V952" s="1"/>
      <c r="W952" s="1"/>
      <c r="X952" s="1"/>
      <c r="Y952" s="1"/>
      <c r="Z952" s="1"/>
    </row>
    <row r="953" spans="1:26" ht="24.75" customHeight="1">
      <c r="A953" s="1"/>
      <c r="B953" s="1"/>
      <c r="C953" s="1"/>
      <c r="D953" s="1"/>
      <c r="E953" s="1"/>
      <c r="F953" s="1"/>
      <c r="G953" s="1"/>
      <c r="H953" s="1"/>
      <c r="I953" s="1"/>
      <c r="J953" s="1"/>
      <c r="K953" s="1"/>
      <c r="L953" s="1"/>
      <c r="M953" s="1"/>
      <c r="N953" s="1"/>
      <c r="O953" s="1"/>
      <c r="P953" s="1"/>
      <c r="Q953" s="1"/>
      <c r="R953" s="1"/>
      <c r="S953" s="1"/>
      <c r="T953" s="1"/>
      <c r="U953" s="2"/>
      <c r="V953" s="1"/>
      <c r="W953" s="1"/>
      <c r="X953" s="1"/>
      <c r="Y953" s="1"/>
      <c r="Z953" s="1"/>
    </row>
    <row r="954" spans="1:26" ht="24.75" customHeight="1">
      <c r="A954" s="1"/>
      <c r="B954" s="1"/>
      <c r="C954" s="1"/>
      <c r="D954" s="1"/>
      <c r="E954" s="1"/>
      <c r="F954" s="1"/>
      <c r="G954" s="1"/>
      <c r="H954" s="1"/>
      <c r="I954" s="1"/>
      <c r="J954" s="1"/>
      <c r="K954" s="1"/>
      <c r="L954" s="1"/>
      <c r="M954" s="1"/>
      <c r="N954" s="1"/>
      <c r="O954" s="1"/>
      <c r="P954" s="1"/>
      <c r="Q954" s="1"/>
      <c r="R954" s="1"/>
      <c r="S954" s="1"/>
      <c r="T954" s="1"/>
      <c r="U954" s="2"/>
      <c r="V954" s="1"/>
      <c r="W954" s="1"/>
      <c r="X954" s="1"/>
      <c r="Y954" s="1"/>
      <c r="Z954" s="1"/>
    </row>
    <row r="955" spans="1:26" ht="24.75" customHeight="1">
      <c r="A955" s="1"/>
      <c r="B955" s="1"/>
      <c r="C955" s="1"/>
      <c r="D955" s="1"/>
      <c r="E955" s="1"/>
      <c r="F955" s="1"/>
      <c r="G955" s="1"/>
      <c r="H955" s="1"/>
      <c r="I955" s="1"/>
      <c r="J955" s="1"/>
      <c r="K955" s="1"/>
      <c r="L955" s="1"/>
      <c r="M955" s="1"/>
      <c r="N955" s="1"/>
      <c r="O955" s="1"/>
      <c r="P955" s="1"/>
      <c r="Q955" s="1"/>
      <c r="R955" s="1"/>
      <c r="S955" s="1"/>
      <c r="T955" s="1"/>
      <c r="U955" s="2"/>
      <c r="V955" s="1"/>
      <c r="W955" s="1"/>
      <c r="X955" s="1"/>
      <c r="Y955" s="1"/>
      <c r="Z955" s="1"/>
    </row>
    <row r="956" spans="1:26" ht="24.75" customHeight="1">
      <c r="A956" s="1"/>
      <c r="B956" s="1"/>
      <c r="C956" s="1"/>
      <c r="D956" s="1"/>
      <c r="E956" s="1"/>
      <c r="F956" s="1"/>
      <c r="G956" s="1"/>
      <c r="H956" s="1"/>
      <c r="I956" s="1"/>
      <c r="J956" s="1"/>
      <c r="K956" s="1"/>
      <c r="L956" s="1"/>
      <c r="M956" s="1"/>
      <c r="N956" s="1"/>
      <c r="O956" s="1"/>
      <c r="P956" s="1"/>
      <c r="Q956" s="1"/>
      <c r="R956" s="1"/>
      <c r="S956" s="1"/>
      <c r="T956" s="1"/>
      <c r="U956" s="2"/>
      <c r="V956" s="1"/>
      <c r="W956" s="1"/>
      <c r="X956" s="1"/>
      <c r="Y956" s="1"/>
      <c r="Z956" s="1"/>
    </row>
    <row r="957" spans="1:26" ht="24.75" customHeight="1">
      <c r="A957" s="1"/>
      <c r="B957" s="1"/>
      <c r="C957" s="1"/>
      <c r="D957" s="1"/>
      <c r="E957" s="1"/>
      <c r="F957" s="1"/>
      <c r="G957" s="1"/>
      <c r="H957" s="1"/>
      <c r="I957" s="1"/>
      <c r="J957" s="1"/>
      <c r="K957" s="1"/>
      <c r="L957" s="1"/>
      <c r="M957" s="1"/>
      <c r="N957" s="1"/>
      <c r="O957" s="1"/>
      <c r="P957" s="1"/>
      <c r="Q957" s="1"/>
      <c r="R957" s="1"/>
      <c r="S957" s="1"/>
      <c r="T957" s="1"/>
      <c r="U957" s="2"/>
      <c r="V957" s="1"/>
      <c r="W957" s="1"/>
      <c r="X957" s="1"/>
      <c r="Y957" s="1"/>
      <c r="Z957" s="1"/>
    </row>
    <row r="958" spans="1:26" ht="24.75" customHeight="1">
      <c r="A958" s="1"/>
      <c r="B958" s="1"/>
      <c r="C958" s="1"/>
      <c r="D958" s="1"/>
      <c r="E958" s="1"/>
      <c r="F958" s="1"/>
      <c r="G958" s="1"/>
      <c r="H958" s="1"/>
      <c r="I958" s="1"/>
      <c r="J958" s="1"/>
      <c r="K958" s="1"/>
      <c r="L958" s="1"/>
      <c r="M958" s="1"/>
      <c r="N958" s="1"/>
      <c r="O958" s="1"/>
      <c r="P958" s="1"/>
      <c r="Q958" s="1"/>
      <c r="R958" s="1"/>
      <c r="S958" s="1"/>
      <c r="T958" s="1"/>
      <c r="U958" s="2"/>
      <c r="V958" s="1"/>
      <c r="W958" s="1"/>
      <c r="X958" s="1"/>
      <c r="Y958" s="1"/>
      <c r="Z958" s="1"/>
    </row>
    <row r="959" spans="1:26" ht="24.75" customHeight="1">
      <c r="A959" s="1"/>
      <c r="B959" s="1"/>
      <c r="C959" s="1"/>
      <c r="D959" s="1"/>
      <c r="E959" s="1"/>
      <c r="F959" s="1"/>
      <c r="G959" s="1"/>
      <c r="H959" s="1"/>
      <c r="I959" s="1"/>
      <c r="J959" s="1"/>
      <c r="K959" s="1"/>
      <c r="L959" s="1"/>
      <c r="M959" s="1"/>
      <c r="N959" s="1"/>
      <c r="O959" s="1"/>
      <c r="P959" s="1"/>
      <c r="Q959" s="1"/>
      <c r="R959" s="1"/>
      <c r="S959" s="1"/>
      <c r="T959" s="1"/>
      <c r="U959" s="2"/>
      <c r="V959" s="1"/>
      <c r="W959" s="1"/>
      <c r="X959" s="1"/>
      <c r="Y959" s="1"/>
      <c r="Z959" s="1"/>
    </row>
    <row r="960" spans="1:26" ht="24.75" customHeight="1">
      <c r="A960" s="1"/>
      <c r="B960" s="1"/>
      <c r="C960" s="1"/>
      <c r="D960" s="1"/>
      <c r="E960" s="1"/>
      <c r="F960" s="1"/>
      <c r="G960" s="1"/>
      <c r="H960" s="1"/>
      <c r="I960" s="1"/>
      <c r="J960" s="1"/>
      <c r="K960" s="1"/>
      <c r="L960" s="1"/>
      <c r="M960" s="1"/>
      <c r="N960" s="1"/>
      <c r="O960" s="1"/>
      <c r="P960" s="1"/>
      <c r="Q960" s="1"/>
      <c r="R960" s="1"/>
      <c r="S960" s="1"/>
      <c r="T960" s="1"/>
      <c r="U960" s="2"/>
      <c r="V960" s="1"/>
      <c r="W960" s="1"/>
      <c r="X960" s="1"/>
      <c r="Y960" s="1"/>
      <c r="Z960" s="1"/>
    </row>
    <row r="961" spans="1:26" ht="24.75" customHeight="1">
      <c r="A961" s="1"/>
      <c r="B961" s="1"/>
      <c r="C961" s="1"/>
      <c r="D961" s="1"/>
      <c r="E961" s="1"/>
      <c r="F961" s="1"/>
      <c r="G961" s="1"/>
      <c r="H961" s="1"/>
      <c r="I961" s="1"/>
      <c r="J961" s="1"/>
      <c r="K961" s="1"/>
      <c r="L961" s="1"/>
      <c r="M961" s="1"/>
      <c r="N961" s="1"/>
      <c r="O961" s="1"/>
      <c r="P961" s="1"/>
      <c r="Q961" s="1"/>
      <c r="R961" s="1"/>
      <c r="S961" s="1"/>
      <c r="T961" s="1"/>
      <c r="U961" s="2"/>
      <c r="V961" s="1"/>
      <c r="W961" s="1"/>
      <c r="X961" s="1"/>
      <c r="Y961" s="1"/>
      <c r="Z961" s="1"/>
    </row>
    <row r="962" spans="1:26" ht="24.75" customHeight="1">
      <c r="A962" s="1"/>
      <c r="B962" s="1"/>
      <c r="C962" s="1"/>
      <c r="D962" s="1"/>
      <c r="E962" s="1"/>
      <c r="F962" s="1"/>
      <c r="G962" s="1"/>
      <c r="H962" s="1"/>
      <c r="I962" s="1"/>
      <c r="J962" s="1"/>
      <c r="K962" s="1"/>
      <c r="L962" s="1"/>
      <c r="M962" s="1"/>
      <c r="N962" s="1"/>
      <c r="O962" s="1"/>
      <c r="P962" s="1"/>
      <c r="Q962" s="1"/>
      <c r="R962" s="1"/>
      <c r="S962" s="1"/>
      <c r="T962" s="1"/>
      <c r="U962" s="2"/>
      <c r="V962" s="1"/>
      <c r="W962" s="1"/>
      <c r="X962" s="1"/>
      <c r="Y962" s="1"/>
      <c r="Z962" s="1"/>
    </row>
    <row r="963" spans="1:26" ht="24.75" customHeight="1">
      <c r="A963" s="1"/>
      <c r="B963" s="1"/>
      <c r="C963" s="1"/>
      <c r="D963" s="1"/>
      <c r="E963" s="1"/>
      <c r="F963" s="1"/>
      <c r="G963" s="1"/>
      <c r="H963" s="1"/>
      <c r="I963" s="1"/>
      <c r="J963" s="1"/>
      <c r="K963" s="1"/>
      <c r="L963" s="1"/>
      <c r="M963" s="1"/>
      <c r="N963" s="1"/>
      <c r="O963" s="1"/>
      <c r="P963" s="1"/>
      <c r="Q963" s="1"/>
      <c r="R963" s="1"/>
      <c r="S963" s="1"/>
      <c r="T963" s="1"/>
      <c r="U963" s="2"/>
      <c r="V963" s="1"/>
      <c r="W963" s="1"/>
      <c r="X963" s="1"/>
      <c r="Y963" s="1"/>
      <c r="Z963" s="1"/>
    </row>
    <row r="964" spans="1:26" ht="24.75" customHeight="1">
      <c r="A964" s="1"/>
      <c r="B964" s="1"/>
      <c r="C964" s="1"/>
      <c r="D964" s="1"/>
      <c r="E964" s="1"/>
      <c r="F964" s="1"/>
      <c r="G964" s="1"/>
      <c r="H964" s="1"/>
      <c r="I964" s="1"/>
      <c r="J964" s="1"/>
      <c r="K964" s="1"/>
      <c r="L964" s="1"/>
      <c r="M964" s="1"/>
      <c r="N964" s="1"/>
      <c r="O964" s="1"/>
      <c r="P964" s="1"/>
      <c r="Q964" s="1"/>
      <c r="R964" s="1"/>
      <c r="S964" s="1"/>
      <c r="T964" s="1"/>
      <c r="U964" s="2"/>
      <c r="V964" s="1"/>
      <c r="W964" s="1"/>
      <c r="X964" s="1"/>
      <c r="Y964" s="1"/>
      <c r="Z964" s="1"/>
    </row>
    <row r="965" spans="1:26" ht="24.75" customHeight="1">
      <c r="A965" s="1"/>
      <c r="B965" s="1"/>
      <c r="C965" s="1"/>
      <c r="D965" s="1"/>
      <c r="E965" s="1"/>
      <c r="F965" s="1"/>
      <c r="G965" s="1"/>
      <c r="H965" s="1"/>
      <c r="I965" s="1"/>
      <c r="J965" s="1"/>
      <c r="K965" s="1"/>
      <c r="L965" s="1"/>
      <c r="M965" s="1"/>
      <c r="N965" s="1"/>
      <c r="O965" s="1"/>
      <c r="P965" s="1"/>
      <c r="Q965" s="1"/>
      <c r="R965" s="1"/>
      <c r="S965" s="1"/>
      <c r="T965" s="1"/>
      <c r="U965" s="2"/>
      <c r="V965" s="1"/>
      <c r="W965" s="1"/>
      <c r="X965" s="1"/>
      <c r="Y965" s="1"/>
      <c r="Z965" s="1"/>
    </row>
    <row r="966" spans="1:26" ht="24.75" customHeight="1">
      <c r="A966" s="1"/>
      <c r="B966" s="1"/>
      <c r="C966" s="1"/>
      <c r="D966" s="1"/>
      <c r="E966" s="1"/>
      <c r="F966" s="1"/>
      <c r="G966" s="1"/>
      <c r="H966" s="1"/>
      <c r="I966" s="1"/>
      <c r="J966" s="1"/>
      <c r="K966" s="1"/>
      <c r="L966" s="1"/>
      <c r="M966" s="1"/>
      <c r="N966" s="1"/>
      <c r="O966" s="1"/>
      <c r="P966" s="1"/>
      <c r="Q966" s="1"/>
      <c r="R966" s="1"/>
      <c r="S966" s="1"/>
      <c r="T966" s="1"/>
      <c r="U966" s="2"/>
      <c r="V966" s="1"/>
      <c r="W966" s="1"/>
      <c r="X966" s="1"/>
      <c r="Y966" s="1"/>
      <c r="Z966" s="1"/>
    </row>
    <row r="967" spans="1:26" ht="24.75" customHeight="1">
      <c r="A967" s="1"/>
      <c r="B967" s="1"/>
      <c r="C967" s="1"/>
      <c r="D967" s="1"/>
      <c r="E967" s="1"/>
      <c r="F967" s="1"/>
      <c r="G967" s="1"/>
      <c r="H967" s="1"/>
      <c r="I967" s="1"/>
      <c r="J967" s="1"/>
      <c r="K967" s="1"/>
      <c r="L967" s="1"/>
      <c r="M967" s="1"/>
      <c r="N967" s="1"/>
      <c r="O967" s="1"/>
      <c r="P967" s="1"/>
      <c r="Q967" s="1"/>
      <c r="R967" s="1"/>
      <c r="S967" s="1"/>
      <c r="T967" s="1"/>
      <c r="U967" s="2"/>
      <c r="V967" s="1"/>
      <c r="W967" s="1"/>
      <c r="X967" s="1"/>
      <c r="Y967" s="1"/>
      <c r="Z967" s="1"/>
    </row>
    <row r="968" spans="1:26" ht="24.75" customHeight="1">
      <c r="A968" s="1"/>
      <c r="B968" s="1"/>
      <c r="C968" s="1"/>
      <c r="D968" s="1"/>
      <c r="E968" s="1"/>
      <c r="F968" s="1"/>
      <c r="G968" s="1"/>
      <c r="H968" s="1"/>
      <c r="I968" s="1"/>
      <c r="J968" s="1"/>
      <c r="K968" s="1"/>
      <c r="L968" s="1"/>
      <c r="M968" s="1"/>
      <c r="N968" s="1"/>
      <c r="O968" s="1"/>
      <c r="P968" s="1"/>
      <c r="Q968" s="1"/>
      <c r="R968" s="1"/>
      <c r="S968" s="1"/>
      <c r="T968" s="1"/>
      <c r="U968" s="2"/>
      <c r="V968" s="1"/>
      <c r="W968" s="1"/>
      <c r="X968" s="1"/>
      <c r="Y968" s="1"/>
      <c r="Z968" s="1"/>
    </row>
    <row r="969" spans="1:26" ht="24.75" customHeight="1">
      <c r="A969" s="1"/>
      <c r="B969" s="1"/>
      <c r="C969" s="1"/>
      <c r="D969" s="1"/>
      <c r="E969" s="1"/>
      <c r="F969" s="1"/>
      <c r="G969" s="1"/>
      <c r="H969" s="1"/>
      <c r="I969" s="1"/>
      <c r="J969" s="1"/>
      <c r="K969" s="1"/>
      <c r="L969" s="1"/>
      <c r="M969" s="1"/>
      <c r="N969" s="1"/>
      <c r="O969" s="1"/>
      <c r="P969" s="1"/>
      <c r="Q969" s="1"/>
      <c r="R969" s="1"/>
      <c r="S969" s="1"/>
      <c r="T969" s="1"/>
      <c r="U969" s="2"/>
      <c r="V969" s="1"/>
      <c r="W969" s="1"/>
      <c r="X969" s="1"/>
      <c r="Y969" s="1"/>
      <c r="Z969" s="1"/>
    </row>
    <row r="970" spans="1:26" ht="24.75" customHeight="1">
      <c r="A970" s="1"/>
      <c r="B970" s="1"/>
      <c r="C970" s="1"/>
      <c r="D970" s="1"/>
      <c r="E970" s="1"/>
      <c r="F970" s="1"/>
      <c r="G970" s="1"/>
      <c r="H970" s="1"/>
      <c r="I970" s="1"/>
      <c r="J970" s="1"/>
      <c r="K970" s="1"/>
      <c r="L970" s="1"/>
      <c r="M970" s="1"/>
      <c r="N970" s="1"/>
      <c r="O970" s="1"/>
      <c r="P970" s="1"/>
      <c r="Q970" s="1"/>
      <c r="R970" s="1"/>
      <c r="S970" s="1"/>
      <c r="T970" s="1"/>
      <c r="U970" s="2"/>
      <c r="V970" s="1"/>
      <c r="W970" s="1"/>
      <c r="X970" s="1"/>
      <c r="Y970" s="1"/>
      <c r="Z970" s="1"/>
    </row>
    <row r="971" spans="1:26" ht="24.75" customHeight="1">
      <c r="A971" s="1"/>
      <c r="B971" s="1"/>
      <c r="C971" s="1"/>
      <c r="D971" s="1"/>
      <c r="E971" s="1"/>
      <c r="F971" s="1"/>
      <c r="G971" s="1"/>
      <c r="H971" s="1"/>
      <c r="I971" s="1"/>
      <c r="J971" s="1"/>
      <c r="K971" s="1"/>
      <c r="L971" s="1"/>
      <c r="M971" s="1"/>
      <c r="N971" s="1"/>
      <c r="O971" s="1"/>
      <c r="P971" s="1"/>
      <c r="Q971" s="1"/>
      <c r="R971" s="1"/>
      <c r="S971" s="1"/>
      <c r="T971" s="1"/>
      <c r="U971" s="2"/>
      <c r="V971" s="1"/>
      <c r="W971" s="1"/>
      <c r="X971" s="1"/>
      <c r="Y971" s="1"/>
      <c r="Z971" s="1"/>
    </row>
    <row r="972" spans="1:26" ht="24.75" customHeight="1">
      <c r="A972" s="1"/>
      <c r="B972" s="1"/>
      <c r="C972" s="1"/>
      <c r="D972" s="1"/>
      <c r="E972" s="1"/>
      <c r="F972" s="1"/>
      <c r="G972" s="1"/>
      <c r="H972" s="1"/>
      <c r="I972" s="1"/>
      <c r="J972" s="1"/>
      <c r="K972" s="1"/>
      <c r="L972" s="1"/>
      <c r="M972" s="1"/>
      <c r="N972" s="1"/>
      <c r="O972" s="1"/>
      <c r="P972" s="1"/>
      <c r="Q972" s="1"/>
      <c r="R972" s="1"/>
      <c r="S972" s="1"/>
      <c r="T972" s="1"/>
      <c r="U972" s="2"/>
      <c r="V972" s="1"/>
      <c r="W972" s="1"/>
      <c r="X972" s="1"/>
      <c r="Y972" s="1"/>
      <c r="Z972" s="1"/>
    </row>
    <row r="973" spans="1:26" ht="24.75" customHeight="1">
      <c r="A973" s="1"/>
      <c r="B973" s="1"/>
      <c r="C973" s="1"/>
      <c r="D973" s="1"/>
      <c r="E973" s="1"/>
      <c r="F973" s="1"/>
      <c r="G973" s="1"/>
      <c r="H973" s="1"/>
      <c r="I973" s="1"/>
      <c r="J973" s="1"/>
      <c r="K973" s="1"/>
      <c r="L973" s="1"/>
      <c r="M973" s="1"/>
      <c r="N973" s="1"/>
      <c r="O973" s="1"/>
      <c r="P973" s="1"/>
      <c r="Q973" s="1"/>
      <c r="R973" s="1"/>
      <c r="S973" s="1"/>
      <c r="T973" s="1"/>
      <c r="U973" s="2"/>
      <c r="V973" s="1"/>
      <c r="W973" s="1"/>
      <c r="X973" s="1"/>
      <c r="Y973" s="1"/>
      <c r="Z973" s="1"/>
    </row>
    <row r="974" spans="1:26" ht="24.75" customHeight="1">
      <c r="A974" s="1"/>
      <c r="B974" s="1"/>
      <c r="C974" s="1"/>
      <c r="D974" s="1"/>
      <c r="E974" s="1"/>
      <c r="F974" s="1"/>
      <c r="G974" s="1"/>
      <c r="H974" s="1"/>
      <c r="I974" s="1"/>
      <c r="J974" s="1"/>
      <c r="K974" s="1"/>
      <c r="L974" s="1"/>
      <c r="M974" s="1"/>
      <c r="N974" s="1"/>
      <c r="O974" s="1"/>
      <c r="P974" s="1"/>
      <c r="Q974" s="1"/>
      <c r="R974" s="1"/>
      <c r="S974" s="1"/>
      <c r="T974" s="1"/>
      <c r="U974" s="2"/>
      <c r="V974" s="1"/>
      <c r="W974" s="1"/>
      <c r="X974" s="1"/>
      <c r="Y974" s="1"/>
      <c r="Z974" s="1"/>
    </row>
    <row r="975" spans="1:26" ht="24.75" customHeight="1">
      <c r="A975" s="1"/>
      <c r="B975" s="1"/>
      <c r="C975" s="1"/>
      <c r="D975" s="1"/>
      <c r="E975" s="1"/>
      <c r="F975" s="1"/>
      <c r="G975" s="1"/>
      <c r="H975" s="1"/>
      <c r="I975" s="1"/>
      <c r="J975" s="1"/>
      <c r="K975" s="1"/>
      <c r="L975" s="1"/>
      <c r="M975" s="1"/>
      <c r="N975" s="1"/>
      <c r="O975" s="1"/>
      <c r="P975" s="1"/>
      <c r="Q975" s="1"/>
      <c r="R975" s="1"/>
      <c r="S975" s="1"/>
      <c r="T975" s="1"/>
      <c r="U975" s="2"/>
      <c r="V975" s="1"/>
      <c r="W975" s="1"/>
      <c r="X975" s="1"/>
      <c r="Y975" s="1"/>
      <c r="Z975" s="1"/>
    </row>
    <row r="976" spans="1:26" ht="24.75" customHeight="1">
      <c r="A976" s="1"/>
      <c r="B976" s="1"/>
      <c r="C976" s="1"/>
      <c r="D976" s="1"/>
      <c r="E976" s="1"/>
      <c r="F976" s="1"/>
      <c r="G976" s="1"/>
      <c r="H976" s="1"/>
      <c r="I976" s="1"/>
      <c r="J976" s="1"/>
      <c r="K976" s="1"/>
      <c r="L976" s="1"/>
      <c r="M976" s="1"/>
      <c r="N976" s="1"/>
      <c r="O976" s="1"/>
      <c r="P976" s="1"/>
      <c r="Q976" s="1"/>
      <c r="R976" s="1"/>
      <c r="S976" s="1"/>
      <c r="T976" s="1"/>
      <c r="U976" s="2"/>
      <c r="V976" s="1"/>
      <c r="W976" s="1"/>
      <c r="X976" s="1"/>
      <c r="Y976" s="1"/>
      <c r="Z976" s="1"/>
    </row>
    <row r="977" spans="1:26" ht="24.75" customHeight="1">
      <c r="A977" s="1"/>
      <c r="B977" s="1"/>
      <c r="C977" s="1"/>
      <c r="D977" s="1"/>
      <c r="E977" s="1"/>
      <c r="F977" s="1"/>
      <c r="G977" s="1"/>
      <c r="H977" s="1"/>
      <c r="I977" s="1"/>
      <c r="J977" s="1"/>
      <c r="K977" s="1"/>
      <c r="L977" s="1"/>
      <c r="M977" s="1"/>
      <c r="N977" s="1"/>
      <c r="O977" s="1"/>
      <c r="P977" s="1"/>
      <c r="Q977" s="1"/>
      <c r="R977" s="1"/>
      <c r="S977" s="1"/>
      <c r="T977" s="1"/>
      <c r="U977" s="2"/>
      <c r="V977" s="1"/>
      <c r="W977" s="1"/>
      <c r="X977" s="1"/>
      <c r="Y977" s="1"/>
      <c r="Z977" s="1"/>
    </row>
    <row r="978" spans="1:26" ht="24.75" customHeight="1">
      <c r="A978" s="1"/>
      <c r="B978" s="1"/>
      <c r="C978" s="1"/>
      <c r="D978" s="1"/>
      <c r="E978" s="1"/>
      <c r="F978" s="1"/>
      <c r="G978" s="1"/>
      <c r="H978" s="1"/>
      <c r="I978" s="1"/>
      <c r="J978" s="1"/>
      <c r="K978" s="1"/>
      <c r="L978" s="1"/>
      <c r="M978" s="1"/>
      <c r="N978" s="1"/>
      <c r="O978" s="1"/>
      <c r="P978" s="1"/>
      <c r="Q978" s="1"/>
      <c r="R978" s="1"/>
      <c r="S978" s="1"/>
      <c r="T978" s="1"/>
      <c r="U978" s="2"/>
      <c r="V978" s="1"/>
      <c r="W978" s="1"/>
      <c r="X978" s="1"/>
      <c r="Y978" s="1"/>
      <c r="Z978" s="1"/>
    </row>
    <row r="979" spans="1:26" ht="24.75" customHeight="1">
      <c r="A979" s="1"/>
      <c r="B979" s="1"/>
      <c r="C979" s="1"/>
      <c r="D979" s="1"/>
      <c r="E979" s="1"/>
      <c r="F979" s="1"/>
      <c r="G979" s="1"/>
      <c r="H979" s="1"/>
      <c r="I979" s="1"/>
      <c r="J979" s="1"/>
      <c r="K979" s="1"/>
      <c r="L979" s="1"/>
      <c r="M979" s="1"/>
      <c r="N979" s="1"/>
      <c r="O979" s="1"/>
      <c r="P979" s="1"/>
      <c r="Q979" s="1"/>
      <c r="R979" s="1"/>
      <c r="S979" s="1"/>
      <c r="T979" s="1"/>
      <c r="U979" s="2"/>
      <c r="V979" s="1"/>
      <c r="W979" s="1"/>
      <c r="X979" s="1"/>
      <c r="Y979" s="1"/>
      <c r="Z979" s="1"/>
    </row>
    <row r="980" spans="1:26" ht="24.75" customHeight="1">
      <c r="A980" s="1"/>
      <c r="B980" s="1"/>
      <c r="C980" s="1"/>
      <c r="D980" s="1"/>
      <c r="E980" s="1"/>
      <c r="F980" s="1"/>
      <c r="G980" s="1"/>
      <c r="H980" s="1"/>
      <c r="I980" s="1"/>
      <c r="J980" s="1"/>
      <c r="K980" s="1"/>
      <c r="L980" s="1"/>
      <c r="M980" s="1"/>
      <c r="N980" s="1"/>
      <c r="O980" s="1"/>
      <c r="P980" s="1"/>
      <c r="Q980" s="1"/>
      <c r="R980" s="1"/>
      <c r="S980" s="1"/>
      <c r="T980" s="1"/>
      <c r="U980" s="2"/>
      <c r="V980" s="1"/>
      <c r="W980" s="1"/>
      <c r="X980" s="1"/>
      <c r="Y980" s="1"/>
      <c r="Z980" s="1"/>
    </row>
    <row r="981" spans="1:26" ht="24.75" customHeight="1">
      <c r="A981" s="1"/>
      <c r="B981" s="1"/>
      <c r="C981" s="1"/>
      <c r="D981" s="1"/>
      <c r="E981" s="1"/>
      <c r="F981" s="1"/>
      <c r="G981" s="1"/>
      <c r="H981" s="1"/>
      <c r="I981" s="1"/>
      <c r="J981" s="1"/>
      <c r="K981" s="1"/>
      <c r="L981" s="1"/>
      <c r="M981" s="1"/>
      <c r="N981" s="1"/>
      <c r="O981" s="1"/>
      <c r="P981" s="1"/>
      <c r="Q981" s="1"/>
      <c r="R981" s="1"/>
      <c r="S981" s="1"/>
      <c r="T981" s="1"/>
      <c r="U981" s="2"/>
      <c r="V981" s="1"/>
      <c r="W981" s="1"/>
      <c r="X981" s="1"/>
      <c r="Y981" s="1"/>
      <c r="Z981" s="1"/>
    </row>
    <row r="982" spans="1:26" ht="24.75" customHeight="1">
      <c r="A982" s="1"/>
      <c r="B982" s="1"/>
      <c r="C982" s="1"/>
      <c r="D982" s="1"/>
      <c r="E982" s="1"/>
      <c r="F982" s="1"/>
      <c r="G982" s="1"/>
      <c r="H982" s="1"/>
      <c r="I982" s="1"/>
      <c r="J982" s="1"/>
      <c r="K982" s="1"/>
      <c r="L982" s="1"/>
      <c r="M982" s="1"/>
      <c r="N982" s="1"/>
      <c r="O982" s="1"/>
      <c r="P982" s="1"/>
      <c r="Q982" s="1"/>
      <c r="R982" s="1"/>
      <c r="S982" s="1"/>
      <c r="T982" s="1"/>
      <c r="U982" s="2"/>
      <c r="V982" s="1"/>
      <c r="W982" s="1"/>
      <c r="X982" s="1"/>
      <c r="Y982" s="1"/>
      <c r="Z982" s="1"/>
    </row>
    <row r="983" spans="1:26" ht="24.75" customHeight="1">
      <c r="A983" s="1"/>
      <c r="B983" s="1"/>
      <c r="C983" s="1"/>
      <c r="D983" s="1"/>
      <c r="E983" s="1"/>
      <c r="F983" s="1"/>
      <c r="G983" s="1"/>
      <c r="H983" s="1"/>
      <c r="I983" s="1"/>
      <c r="J983" s="1"/>
      <c r="K983" s="1"/>
      <c r="L983" s="1"/>
      <c r="M983" s="1"/>
      <c r="N983" s="1"/>
      <c r="O983" s="1"/>
      <c r="P983" s="1"/>
      <c r="Q983" s="1"/>
      <c r="R983" s="1"/>
      <c r="S983" s="1"/>
      <c r="T983" s="1"/>
      <c r="U983" s="2"/>
      <c r="V983" s="1"/>
      <c r="W983" s="1"/>
      <c r="X983" s="1"/>
      <c r="Y983" s="1"/>
      <c r="Z983" s="1"/>
    </row>
    <row r="984" spans="1:26" ht="24.75" customHeight="1">
      <c r="A984" s="1"/>
      <c r="B984" s="1"/>
      <c r="C984" s="1"/>
      <c r="D984" s="1"/>
      <c r="E984" s="1"/>
      <c r="F984" s="1"/>
      <c r="G984" s="1"/>
      <c r="H984" s="1"/>
      <c r="I984" s="1"/>
      <c r="J984" s="1"/>
      <c r="K984" s="1"/>
      <c r="L984" s="1"/>
      <c r="M984" s="1"/>
      <c r="N984" s="1"/>
      <c r="O984" s="1"/>
      <c r="P984" s="1"/>
      <c r="Q984" s="1"/>
      <c r="R984" s="1"/>
      <c r="S984" s="1"/>
      <c r="T984" s="1"/>
      <c r="U984" s="2"/>
      <c r="V984" s="1"/>
      <c r="W984" s="1"/>
      <c r="X984" s="1"/>
      <c r="Y984" s="1"/>
      <c r="Z984" s="1"/>
    </row>
    <row r="985" spans="1:26" ht="24.75" customHeight="1">
      <c r="A985" s="1"/>
      <c r="B985" s="1"/>
      <c r="C985" s="1"/>
      <c r="D985" s="1"/>
      <c r="E985" s="1"/>
      <c r="F985" s="1"/>
      <c r="G985" s="1"/>
      <c r="H985" s="1"/>
      <c r="I985" s="1"/>
      <c r="J985" s="1"/>
      <c r="K985" s="1"/>
      <c r="L985" s="1"/>
      <c r="M985" s="1"/>
      <c r="N985" s="1"/>
      <c r="O985" s="1"/>
      <c r="P985" s="1"/>
      <c r="Q985" s="1"/>
      <c r="R985" s="1"/>
      <c r="S985" s="1"/>
      <c r="T985" s="1"/>
      <c r="U985" s="2"/>
      <c r="V985" s="1"/>
      <c r="W985" s="1"/>
      <c r="X985" s="1"/>
      <c r="Y985" s="1"/>
      <c r="Z985" s="1"/>
    </row>
    <row r="986" spans="1:26" ht="24.75" customHeight="1">
      <c r="A986" s="1"/>
      <c r="B986" s="1"/>
      <c r="C986" s="1"/>
      <c r="D986" s="1"/>
      <c r="E986" s="1"/>
      <c r="F986" s="1"/>
      <c r="G986" s="1"/>
      <c r="H986" s="1"/>
      <c r="I986" s="1"/>
      <c r="J986" s="1"/>
      <c r="K986" s="1"/>
      <c r="L986" s="1"/>
      <c r="M986" s="1"/>
      <c r="N986" s="1"/>
      <c r="O986" s="1"/>
      <c r="P986" s="1"/>
      <c r="Q986" s="1"/>
      <c r="R986" s="1"/>
      <c r="S986" s="1"/>
      <c r="T986" s="1"/>
      <c r="U986" s="2"/>
      <c r="V986" s="1"/>
      <c r="W986" s="1"/>
      <c r="X986" s="1"/>
      <c r="Y986" s="1"/>
      <c r="Z986" s="1"/>
    </row>
    <row r="987" spans="1:26" ht="24.75" customHeight="1">
      <c r="A987" s="1"/>
      <c r="B987" s="1"/>
      <c r="C987" s="1"/>
      <c r="D987" s="1"/>
      <c r="E987" s="1"/>
      <c r="F987" s="1"/>
      <c r="G987" s="1"/>
      <c r="H987" s="1"/>
      <c r="I987" s="1"/>
      <c r="J987" s="1"/>
      <c r="K987" s="1"/>
      <c r="L987" s="1"/>
      <c r="M987" s="1"/>
      <c r="N987" s="1"/>
      <c r="O987" s="1"/>
      <c r="P987" s="1"/>
      <c r="Q987" s="1"/>
      <c r="R987" s="1"/>
      <c r="S987" s="1"/>
      <c r="T987" s="1"/>
      <c r="U987" s="2"/>
      <c r="V987" s="1"/>
      <c r="W987" s="1"/>
      <c r="X987" s="1"/>
      <c r="Y987" s="1"/>
      <c r="Z987" s="1"/>
    </row>
    <row r="988" spans="1:26" ht="24.75" customHeight="1">
      <c r="A988" s="1"/>
      <c r="B988" s="1"/>
      <c r="C988" s="1"/>
      <c r="D988" s="1"/>
      <c r="E988" s="1"/>
      <c r="F988" s="1"/>
      <c r="G988" s="1"/>
      <c r="H988" s="1"/>
      <c r="I988" s="1"/>
      <c r="J988" s="1"/>
      <c r="K988" s="1"/>
      <c r="L988" s="1"/>
      <c r="M988" s="1"/>
      <c r="N988" s="1"/>
      <c r="O988" s="1"/>
      <c r="P988" s="1"/>
      <c r="Q988" s="1"/>
      <c r="R988" s="1"/>
      <c r="S988" s="1"/>
      <c r="T988" s="1"/>
      <c r="U988" s="2"/>
      <c r="V988" s="1"/>
      <c r="W988" s="1"/>
      <c r="X988" s="1"/>
      <c r="Y988" s="1"/>
      <c r="Z988" s="1"/>
    </row>
    <row r="989" spans="1:26" ht="24.75" customHeight="1">
      <c r="A989" s="1"/>
      <c r="B989" s="1"/>
      <c r="C989" s="1"/>
      <c r="D989" s="1"/>
      <c r="E989" s="1"/>
      <c r="F989" s="1"/>
      <c r="G989" s="1"/>
      <c r="H989" s="1"/>
      <c r="I989" s="1"/>
      <c r="J989" s="1"/>
      <c r="K989" s="1"/>
      <c r="L989" s="1"/>
      <c r="M989" s="1"/>
      <c r="N989" s="1"/>
      <c r="O989" s="1"/>
      <c r="P989" s="1"/>
      <c r="Q989" s="1"/>
      <c r="R989" s="1"/>
      <c r="S989" s="1"/>
      <c r="T989" s="1"/>
      <c r="U989" s="2"/>
      <c r="V989" s="1"/>
      <c r="W989" s="1"/>
      <c r="X989" s="1"/>
      <c r="Y989" s="1"/>
      <c r="Z989" s="1"/>
    </row>
    <row r="990" spans="1:26" ht="24.75" customHeight="1">
      <c r="A990" s="1"/>
      <c r="B990" s="1"/>
      <c r="C990" s="1"/>
      <c r="D990" s="1"/>
      <c r="E990" s="1"/>
      <c r="F990" s="1"/>
      <c r="G990" s="1"/>
      <c r="H990" s="1"/>
      <c r="I990" s="1"/>
      <c r="J990" s="1"/>
      <c r="K990" s="1"/>
      <c r="L990" s="1"/>
      <c r="M990" s="1"/>
      <c r="N990" s="1"/>
      <c r="O990" s="1"/>
      <c r="P990" s="1"/>
      <c r="Q990" s="1"/>
      <c r="R990" s="1"/>
      <c r="S990" s="1"/>
      <c r="T990" s="1"/>
      <c r="U990" s="2"/>
      <c r="V990" s="1"/>
      <c r="W990" s="1"/>
      <c r="X990" s="1"/>
      <c r="Y990" s="1"/>
      <c r="Z990" s="1"/>
    </row>
    <row r="991" spans="1:26" ht="24.75" customHeight="1">
      <c r="A991" s="1"/>
      <c r="B991" s="1"/>
      <c r="C991" s="1"/>
      <c r="D991" s="1"/>
      <c r="E991" s="1"/>
      <c r="F991" s="1"/>
      <c r="G991" s="1"/>
      <c r="H991" s="1"/>
      <c r="I991" s="1"/>
      <c r="J991" s="1"/>
      <c r="K991" s="1"/>
      <c r="L991" s="1"/>
      <c r="M991" s="1"/>
      <c r="N991" s="1"/>
      <c r="O991" s="1"/>
      <c r="P991" s="1"/>
      <c r="Q991" s="1"/>
      <c r="R991" s="1"/>
      <c r="S991" s="1"/>
      <c r="T991" s="1"/>
      <c r="U991" s="2"/>
      <c r="V991" s="1"/>
      <c r="W991" s="1"/>
      <c r="X991" s="1"/>
      <c r="Y991" s="1"/>
      <c r="Z991" s="1"/>
    </row>
    <row r="992" spans="1:26" ht="24.75" customHeight="1">
      <c r="A992" s="1"/>
      <c r="B992" s="1"/>
      <c r="C992" s="1"/>
      <c r="D992" s="1"/>
      <c r="E992" s="1"/>
      <c r="F992" s="1"/>
      <c r="G992" s="1"/>
      <c r="H992" s="1"/>
      <c r="I992" s="1"/>
      <c r="J992" s="1"/>
      <c r="K992" s="1"/>
      <c r="L992" s="1"/>
      <c r="M992" s="1"/>
      <c r="N992" s="1"/>
      <c r="O992" s="1"/>
      <c r="P992" s="1"/>
      <c r="Q992" s="1"/>
      <c r="R992" s="1"/>
      <c r="S992" s="1"/>
      <c r="T992" s="1"/>
      <c r="U992" s="2"/>
      <c r="V992" s="1"/>
      <c r="W992" s="1"/>
      <c r="X992" s="1"/>
      <c r="Y992" s="1"/>
      <c r="Z992" s="1"/>
    </row>
    <row r="993" spans="1:26" ht="24.75" customHeight="1">
      <c r="A993" s="1"/>
      <c r="B993" s="1"/>
      <c r="C993" s="1"/>
      <c r="D993" s="1"/>
      <c r="E993" s="1"/>
      <c r="F993" s="1"/>
      <c r="G993" s="1"/>
      <c r="H993" s="1"/>
      <c r="I993" s="1"/>
      <c r="J993" s="1"/>
      <c r="K993" s="1"/>
      <c r="L993" s="1"/>
      <c r="M993" s="1"/>
      <c r="N993" s="1"/>
      <c r="O993" s="1"/>
      <c r="P993" s="1"/>
      <c r="Q993" s="1"/>
      <c r="R993" s="1"/>
      <c r="S993" s="1"/>
      <c r="T993" s="1"/>
      <c r="U993" s="2"/>
      <c r="V993" s="1"/>
      <c r="W993" s="1"/>
      <c r="X993" s="1"/>
      <c r="Y993" s="1"/>
      <c r="Z993" s="1"/>
    </row>
    <row r="994" spans="1:26" ht="24.75" customHeight="1">
      <c r="A994" s="1"/>
      <c r="B994" s="1"/>
      <c r="C994" s="1"/>
      <c r="D994" s="1"/>
      <c r="E994" s="1"/>
      <c r="F994" s="1"/>
      <c r="G994" s="1"/>
      <c r="H994" s="1"/>
      <c r="I994" s="1"/>
      <c r="J994" s="1"/>
      <c r="K994" s="1"/>
      <c r="L994" s="1"/>
      <c r="M994" s="1"/>
      <c r="N994" s="1"/>
      <c r="O994" s="1"/>
      <c r="P994" s="1"/>
      <c r="Q994" s="1"/>
      <c r="R994" s="1"/>
      <c r="S994" s="1"/>
      <c r="T994" s="1"/>
      <c r="U994" s="2"/>
      <c r="V994" s="1"/>
      <c r="W994" s="1"/>
      <c r="X994" s="1"/>
      <c r="Y994" s="1"/>
      <c r="Z994" s="1"/>
    </row>
    <row r="995" spans="1:26" ht="24.75" customHeight="1">
      <c r="A995" s="1"/>
      <c r="B995" s="1"/>
      <c r="C995" s="1"/>
      <c r="D995" s="1"/>
      <c r="E995" s="1"/>
      <c r="F995" s="1"/>
      <c r="G995" s="1"/>
      <c r="H995" s="1"/>
      <c r="I995" s="1"/>
      <c r="J995" s="1"/>
      <c r="K995" s="1"/>
      <c r="L995" s="1"/>
      <c r="M995" s="1"/>
      <c r="N995" s="1"/>
      <c r="O995" s="1"/>
      <c r="P995" s="1"/>
      <c r="Q995" s="1"/>
      <c r="R995" s="1"/>
      <c r="S995" s="1"/>
      <c r="T995" s="1"/>
      <c r="U995" s="2"/>
      <c r="V995" s="1"/>
      <c r="W995" s="1"/>
      <c r="X995" s="1"/>
      <c r="Y995" s="1"/>
      <c r="Z995" s="1"/>
    </row>
    <row r="996" spans="1:26" ht="24.75" customHeight="1">
      <c r="A996" s="1"/>
      <c r="B996" s="1"/>
      <c r="C996" s="1"/>
      <c r="D996" s="1"/>
      <c r="E996" s="1"/>
      <c r="F996" s="1"/>
      <c r="G996" s="1"/>
      <c r="H996" s="1"/>
      <c r="I996" s="1"/>
      <c r="J996" s="1"/>
      <c r="K996" s="1"/>
      <c r="L996" s="1"/>
      <c r="M996" s="1"/>
      <c r="N996" s="1"/>
      <c r="O996" s="1"/>
      <c r="P996" s="1"/>
      <c r="Q996" s="1"/>
      <c r="R996" s="1"/>
      <c r="S996" s="1"/>
      <c r="T996" s="1"/>
      <c r="U996" s="2"/>
      <c r="V996" s="1"/>
      <c r="W996" s="1"/>
      <c r="X996" s="1"/>
      <c r="Y996" s="1"/>
      <c r="Z996" s="1"/>
    </row>
    <row r="997" spans="1:26" ht="24.75" customHeight="1">
      <c r="A997" s="1"/>
      <c r="B997" s="1"/>
      <c r="C997" s="1"/>
      <c r="D997" s="1"/>
      <c r="E997" s="1"/>
      <c r="F997" s="1"/>
      <c r="G997" s="1"/>
      <c r="H997" s="1"/>
      <c r="I997" s="1"/>
      <c r="J997" s="1"/>
      <c r="K997" s="1"/>
      <c r="L997" s="1"/>
      <c r="M997" s="1"/>
      <c r="N997" s="1"/>
      <c r="O997" s="1"/>
      <c r="P997" s="1"/>
      <c r="Q997" s="1"/>
      <c r="R997" s="1"/>
      <c r="S997" s="1"/>
      <c r="T997" s="1"/>
      <c r="U997" s="2"/>
      <c r="V997" s="1"/>
      <c r="W997" s="1"/>
      <c r="X997" s="1"/>
      <c r="Y997" s="1"/>
      <c r="Z997" s="1"/>
    </row>
    <row r="998" spans="1:26" ht="24.75" customHeight="1">
      <c r="A998" s="1"/>
      <c r="B998" s="1"/>
      <c r="C998" s="1"/>
      <c r="D998" s="1"/>
      <c r="E998" s="1"/>
      <c r="F998" s="1"/>
      <c r="G998" s="1"/>
      <c r="H998" s="1"/>
      <c r="I998" s="1"/>
      <c r="J998" s="1"/>
      <c r="K998" s="1"/>
      <c r="L998" s="1"/>
      <c r="M998" s="1"/>
      <c r="N998" s="1"/>
      <c r="O998" s="1"/>
      <c r="P998" s="1"/>
      <c r="Q998" s="1"/>
      <c r="R998" s="1"/>
      <c r="S998" s="1"/>
      <c r="T998" s="1"/>
      <c r="U998" s="2"/>
      <c r="V998" s="1"/>
      <c r="W998" s="1"/>
      <c r="X998" s="1"/>
      <c r="Y998" s="1"/>
      <c r="Z998" s="1"/>
    </row>
    <row r="999" spans="1:26" ht="24.75" customHeight="1">
      <c r="A999" s="1"/>
      <c r="B999" s="1"/>
      <c r="C999" s="1"/>
      <c r="D999" s="1"/>
      <c r="E999" s="1"/>
      <c r="F999" s="1"/>
      <c r="G999" s="1"/>
      <c r="H999" s="1"/>
      <c r="I999" s="1"/>
      <c r="J999" s="1"/>
      <c r="K999" s="1"/>
      <c r="L999" s="1"/>
      <c r="M999" s="1"/>
      <c r="N999" s="1"/>
      <c r="O999" s="1"/>
      <c r="P999" s="1"/>
      <c r="Q999" s="1"/>
      <c r="R999" s="1"/>
      <c r="S999" s="1"/>
      <c r="T999" s="1"/>
      <c r="U999" s="2"/>
      <c r="V999" s="1"/>
      <c r="W999" s="1"/>
      <c r="X999" s="1"/>
      <c r="Y999" s="1"/>
      <c r="Z999" s="1"/>
    </row>
    <row r="1000" spans="1:26" ht="24.75" customHeight="1">
      <c r="A1000" s="1"/>
      <c r="B1000" s="1"/>
      <c r="C1000" s="1"/>
      <c r="D1000" s="1"/>
      <c r="E1000" s="1"/>
      <c r="F1000" s="1"/>
      <c r="G1000" s="1"/>
      <c r="H1000" s="1"/>
      <c r="I1000" s="1"/>
      <c r="J1000" s="1"/>
      <c r="K1000" s="1"/>
      <c r="L1000" s="1"/>
      <c r="M1000" s="1"/>
      <c r="N1000" s="1"/>
      <c r="O1000" s="1"/>
      <c r="P1000" s="1"/>
      <c r="Q1000" s="1"/>
      <c r="R1000" s="1"/>
      <c r="S1000" s="1"/>
      <c r="T1000" s="1"/>
      <c r="U1000" s="2"/>
      <c r="V1000" s="1"/>
      <c r="W1000" s="1"/>
      <c r="X1000" s="1"/>
      <c r="Y1000" s="1"/>
      <c r="Z1000" s="1"/>
    </row>
  </sheetData>
  <mergeCells count="101">
    <mergeCell ref="B204:B206"/>
    <mergeCell ref="C204:C206"/>
    <mergeCell ref="B209:D209"/>
    <mergeCell ref="A210:D210"/>
    <mergeCell ref="A135:A158"/>
    <mergeCell ref="B135:B136"/>
    <mergeCell ref="B138:B144"/>
    <mergeCell ref="B145:B146"/>
    <mergeCell ref="B147:B149"/>
    <mergeCell ref="B158:D158"/>
    <mergeCell ref="A159:A209"/>
    <mergeCell ref="C135:C136"/>
    <mergeCell ref="C138:C144"/>
    <mergeCell ref="C145:C146"/>
    <mergeCell ref="C147:C149"/>
    <mergeCell ref="C150:C153"/>
    <mergeCell ref="B173:B179"/>
    <mergeCell ref="C173:C179"/>
    <mergeCell ref="B180:B183"/>
    <mergeCell ref="C180:C183"/>
    <mergeCell ref="B184:B186"/>
    <mergeCell ref="C184:C186"/>
    <mergeCell ref="B187:B192"/>
    <mergeCell ref="C187:C192"/>
    <mergeCell ref="B150:B153"/>
    <mergeCell ref="B159:B162"/>
    <mergeCell ref="C159:C162"/>
    <mergeCell ref="B163:B167"/>
    <mergeCell ref="C163:C167"/>
    <mergeCell ref="B168:B172"/>
    <mergeCell ref="C168:C172"/>
    <mergeCell ref="B202:B203"/>
    <mergeCell ref="C202:C203"/>
    <mergeCell ref="B194:B199"/>
    <mergeCell ref="C194:C199"/>
    <mergeCell ref="B200:B201"/>
    <mergeCell ref="C200:C201"/>
    <mergeCell ref="C94:C103"/>
    <mergeCell ref="B104:B105"/>
    <mergeCell ref="C104:C105"/>
    <mergeCell ref="B106:B110"/>
    <mergeCell ref="C106:C110"/>
    <mergeCell ref="B111:B113"/>
    <mergeCell ref="C111:C113"/>
    <mergeCell ref="B94:B103"/>
    <mergeCell ref="A94:A134"/>
    <mergeCell ref="B114:B118"/>
    <mergeCell ref="C114:C118"/>
    <mergeCell ref="B119:B120"/>
    <mergeCell ref="C119:C120"/>
    <mergeCell ref="B122:B125"/>
    <mergeCell ref="C122:C125"/>
    <mergeCell ref="B128:B130"/>
    <mergeCell ref="C128:C130"/>
    <mergeCell ref="B131:B132"/>
    <mergeCell ref="C131:C132"/>
    <mergeCell ref="B134:D134"/>
    <mergeCell ref="B79:B85"/>
    <mergeCell ref="C79:C85"/>
    <mergeCell ref="B75:B78"/>
    <mergeCell ref="B57:B66"/>
    <mergeCell ref="C57:C66"/>
    <mergeCell ref="A69:A93"/>
    <mergeCell ref="B70:B74"/>
    <mergeCell ref="C70:C74"/>
    <mergeCell ref="C75:C78"/>
    <mergeCell ref="B86:B89"/>
    <mergeCell ref="C86:C89"/>
    <mergeCell ref="B93:D93"/>
    <mergeCell ref="B47:B56"/>
    <mergeCell ref="C47:C56"/>
    <mergeCell ref="C6:C23"/>
    <mergeCell ref="B24:B25"/>
    <mergeCell ref="C24:C25"/>
    <mergeCell ref="Q4:Q5"/>
    <mergeCell ref="R4:R5"/>
    <mergeCell ref="S4:S5"/>
    <mergeCell ref="A1:E1"/>
    <mergeCell ref="A4:A5"/>
    <mergeCell ref="C4:C5"/>
    <mergeCell ref="D4:D5"/>
    <mergeCell ref="E4:E5"/>
    <mergeCell ref="F4:F5"/>
    <mergeCell ref="A6:A68"/>
    <mergeCell ref="B68:D68"/>
    <mergeCell ref="B4:B5"/>
    <mergeCell ref="B6:B23"/>
    <mergeCell ref="B26:B36"/>
    <mergeCell ref="C26:C36"/>
    <mergeCell ref="B37:B39"/>
    <mergeCell ref="C37:C39"/>
    <mergeCell ref="B40:B46"/>
    <mergeCell ref="U4:U5"/>
    <mergeCell ref="G4:H4"/>
    <mergeCell ref="I4:I5"/>
    <mergeCell ref="J4:L4"/>
    <mergeCell ref="M4:M5"/>
    <mergeCell ref="N4:N5"/>
    <mergeCell ref="O4:O5"/>
    <mergeCell ref="P4:P5"/>
    <mergeCell ref="C40:C46"/>
  </mergeCell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dimension ref="A1:Z1000"/>
  <sheetViews>
    <sheetView workbookViewId="0">
      <pane xSplit="3" ySplit="5" topLeftCell="D79" activePane="bottomRight" state="frozen"/>
      <selection pane="topRight" activeCell="D1" sqref="D1"/>
      <selection pane="bottomLeft" activeCell="A6" sqref="A6"/>
      <selection pane="bottomRight" activeCell="N69" sqref="N69"/>
    </sheetView>
  </sheetViews>
  <sheetFormatPr defaultColWidth="14.42578125" defaultRowHeight="15" customHeight="1"/>
  <cols>
    <col min="1" max="1" width="6.7109375" style="3" customWidth="1"/>
    <col min="2" max="2" width="7.28515625" style="3" customWidth="1"/>
    <col min="3" max="3" width="11.28515625" style="3" customWidth="1"/>
    <col min="4" max="4" width="5.85546875" style="3" customWidth="1"/>
    <col min="5" max="5" width="35.85546875" style="3" customWidth="1"/>
    <col min="6" max="6" width="7.42578125" style="3" customWidth="1"/>
    <col min="7" max="7" width="10.7109375" style="3" customWidth="1"/>
    <col min="8" max="8" width="8.28515625" style="3" customWidth="1"/>
    <col min="9" max="9" width="10.5703125" style="3" customWidth="1"/>
    <col min="10" max="10" width="11.85546875" style="3" customWidth="1"/>
    <col min="11" max="11" width="9.28515625" style="3" customWidth="1"/>
    <col min="12" max="12" width="6.7109375" style="3" customWidth="1"/>
    <col min="13" max="13" width="9" style="3" customWidth="1"/>
    <col min="14" max="14" width="9.7109375" style="3" customWidth="1"/>
    <col min="15" max="15" width="8.28515625" style="3" customWidth="1"/>
    <col min="16" max="16" width="9.5703125" style="3" customWidth="1"/>
    <col min="17" max="17" width="8.28515625" style="3" customWidth="1"/>
    <col min="18" max="18" width="9.140625" style="3" customWidth="1"/>
    <col min="19" max="19" width="10.42578125" style="3" customWidth="1"/>
    <col min="20" max="20" width="15.7109375" style="3" customWidth="1"/>
    <col min="21" max="21" width="49.28515625" style="61" customWidth="1"/>
    <col min="22" max="16384" width="14.42578125" style="3"/>
  </cols>
  <sheetData>
    <row r="1" spans="1:26" ht="24.75" customHeight="1">
      <c r="A1" s="172" t="s">
        <v>379</v>
      </c>
      <c r="B1" s="173"/>
      <c r="C1" s="173"/>
      <c r="D1" s="173"/>
      <c r="E1" s="174"/>
      <c r="F1" s="1"/>
      <c r="G1" s="1"/>
      <c r="H1" s="1"/>
      <c r="I1" s="1"/>
      <c r="J1" s="1"/>
      <c r="K1" s="1"/>
      <c r="L1" s="1"/>
      <c r="M1" s="1"/>
      <c r="N1" s="1"/>
      <c r="O1" s="1"/>
      <c r="P1" s="1"/>
      <c r="Q1" s="1"/>
      <c r="R1" s="1"/>
      <c r="S1" s="1"/>
      <c r="T1" s="1"/>
      <c r="U1" s="2"/>
      <c r="V1" s="1"/>
      <c r="W1" s="1"/>
      <c r="X1" s="1"/>
      <c r="Y1" s="1"/>
      <c r="Z1" s="1"/>
    </row>
    <row r="2" spans="1:26" ht="24.75" hidden="1" customHeight="1">
      <c r="A2" s="1"/>
      <c r="B2" s="1"/>
      <c r="C2" s="1"/>
      <c r="D2" s="1"/>
      <c r="E2" s="1"/>
      <c r="F2" s="1"/>
      <c r="G2" s="1"/>
      <c r="H2" s="1"/>
      <c r="I2" s="1"/>
      <c r="J2" s="1"/>
      <c r="K2" s="1"/>
      <c r="L2" s="1"/>
      <c r="M2" s="1"/>
      <c r="N2" s="1"/>
      <c r="O2" s="1"/>
      <c r="P2" s="1"/>
      <c r="Q2" s="1"/>
      <c r="R2" s="1"/>
      <c r="S2" s="1"/>
      <c r="T2" s="1"/>
      <c r="U2" s="2"/>
      <c r="V2" s="1"/>
      <c r="W2" s="1"/>
      <c r="X2" s="1"/>
      <c r="Y2" s="1"/>
      <c r="Z2" s="1"/>
    </row>
    <row r="3" spans="1:26" ht="24.75" hidden="1" customHeight="1">
      <c r="A3" s="1"/>
      <c r="B3" s="4"/>
      <c r="C3" s="4"/>
      <c r="D3" s="4"/>
      <c r="E3" s="4"/>
      <c r="F3" s="4"/>
      <c r="G3" s="4"/>
      <c r="H3" s="4"/>
      <c r="I3" s="4"/>
      <c r="J3" s="4"/>
      <c r="K3" s="4"/>
      <c r="L3" s="4"/>
      <c r="M3" s="4"/>
      <c r="N3" s="4"/>
      <c r="O3" s="4"/>
      <c r="P3" s="4"/>
      <c r="Q3" s="4"/>
      <c r="R3" s="4"/>
      <c r="S3" s="4"/>
      <c r="T3" s="4"/>
      <c r="U3" s="60" t="s">
        <v>1</v>
      </c>
      <c r="V3" s="1"/>
      <c r="W3" s="1"/>
      <c r="X3" s="1"/>
      <c r="Y3" s="1"/>
      <c r="Z3" s="1"/>
    </row>
    <row r="4" spans="1:26" ht="24.75" customHeight="1">
      <c r="A4" s="168" t="s">
        <v>2</v>
      </c>
      <c r="B4" s="168" t="s">
        <v>3</v>
      </c>
      <c r="C4" s="168" t="s">
        <v>4</v>
      </c>
      <c r="D4" s="168" t="s">
        <v>5</v>
      </c>
      <c r="E4" s="168" t="s">
        <v>6</v>
      </c>
      <c r="F4" s="168" t="s">
        <v>7</v>
      </c>
      <c r="G4" s="166" t="s">
        <v>8</v>
      </c>
      <c r="H4" s="167"/>
      <c r="I4" s="168" t="s">
        <v>9</v>
      </c>
      <c r="J4" s="166" t="s">
        <v>10</v>
      </c>
      <c r="K4" s="170"/>
      <c r="L4" s="167"/>
      <c r="M4" s="168" t="s">
        <v>570</v>
      </c>
      <c r="N4" s="168" t="s">
        <v>11</v>
      </c>
      <c r="O4" s="168" t="s">
        <v>12</v>
      </c>
      <c r="P4" s="168" t="s">
        <v>380</v>
      </c>
      <c r="Q4" s="168" t="s">
        <v>14</v>
      </c>
      <c r="R4" s="168" t="s">
        <v>15</v>
      </c>
      <c r="S4" s="168" t="s">
        <v>16</v>
      </c>
      <c r="T4" s="5" t="s">
        <v>597</v>
      </c>
      <c r="U4" s="164" t="s">
        <v>17</v>
      </c>
      <c r="V4" s="1"/>
      <c r="W4" s="1"/>
      <c r="X4" s="1"/>
      <c r="Y4" s="1"/>
      <c r="Z4" s="1"/>
    </row>
    <row r="5" spans="1:26" ht="24.75" customHeight="1">
      <c r="A5" s="169"/>
      <c r="B5" s="169"/>
      <c r="C5" s="169"/>
      <c r="D5" s="169"/>
      <c r="E5" s="169"/>
      <c r="F5" s="169"/>
      <c r="G5" s="5" t="s">
        <v>18</v>
      </c>
      <c r="H5" s="5" t="s">
        <v>19</v>
      </c>
      <c r="I5" s="169"/>
      <c r="J5" s="5" t="s">
        <v>571</v>
      </c>
      <c r="K5" s="5" t="s">
        <v>20</v>
      </c>
      <c r="L5" s="5" t="s">
        <v>21</v>
      </c>
      <c r="M5" s="169"/>
      <c r="N5" s="169"/>
      <c r="O5" s="169"/>
      <c r="P5" s="169"/>
      <c r="Q5" s="169"/>
      <c r="R5" s="169"/>
      <c r="S5" s="169"/>
      <c r="T5" s="5" t="s">
        <v>22</v>
      </c>
      <c r="U5" s="165"/>
      <c r="V5" s="1"/>
      <c r="W5" s="1"/>
      <c r="X5" s="1"/>
      <c r="Y5" s="1"/>
      <c r="Z5" s="1"/>
    </row>
    <row r="6" spans="1:26" ht="24.75" customHeight="1">
      <c r="A6" s="175" t="s">
        <v>23</v>
      </c>
      <c r="B6" s="168" t="s">
        <v>24</v>
      </c>
      <c r="C6" s="168" t="s">
        <v>25</v>
      </c>
      <c r="D6" s="5">
        <v>1</v>
      </c>
      <c r="E6" s="5" t="s">
        <v>26</v>
      </c>
      <c r="F6" s="5"/>
      <c r="G6" s="5"/>
      <c r="H6" s="5"/>
      <c r="I6" s="5"/>
      <c r="J6" s="5"/>
      <c r="K6" s="5"/>
      <c r="L6" s="5"/>
      <c r="M6" s="5"/>
      <c r="N6" s="5"/>
      <c r="O6" s="5"/>
      <c r="P6" s="5"/>
      <c r="Q6" s="5"/>
      <c r="R6" s="5"/>
      <c r="S6" s="5"/>
      <c r="T6" s="6">
        <f t="shared" ref="T6:T69" si="0">SUM(F6:S6)</f>
        <v>0</v>
      </c>
      <c r="U6" s="9"/>
      <c r="V6" s="1"/>
      <c r="W6" s="1"/>
      <c r="X6" s="1"/>
      <c r="Y6" s="1"/>
      <c r="Z6" s="1"/>
    </row>
    <row r="7" spans="1:26" ht="24.75" customHeight="1">
      <c r="A7" s="171"/>
      <c r="B7" s="171"/>
      <c r="C7" s="171"/>
      <c r="D7" s="5">
        <v>2</v>
      </c>
      <c r="E7" s="5" t="s">
        <v>27</v>
      </c>
      <c r="F7" s="5"/>
      <c r="G7" s="5"/>
      <c r="H7" s="5"/>
      <c r="I7" s="5"/>
      <c r="J7" s="5"/>
      <c r="K7" s="6">
        <v>44.09</v>
      </c>
      <c r="L7" s="5"/>
      <c r="M7" s="5"/>
      <c r="N7" s="5"/>
      <c r="O7" s="5"/>
      <c r="P7" s="8">
        <v>1.7</v>
      </c>
      <c r="Q7" s="5"/>
      <c r="R7" s="5"/>
      <c r="S7" s="5"/>
      <c r="T7" s="6">
        <f t="shared" si="0"/>
        <v>45.790000000000006</v>
      </c>
      <c r="U7" s="9" t="s">
        <v>28</v>
      </c>
      <c r="V7" s="1"/>
      <c r="W7" s="1"/>
      <c r="X7" s="1"/>
      <c r="Y7" s="1"/>
      <c r="Z7" s="1"/>
    </row>
    <row r="8" spans="1:26" ht="24.75" customHeight="1">
      <c r="A8" s="171"/>
      <c r="B8" s="171"/>
      <c r="C8" s="171"/>
      <c r="D8" s="5">
        <v>3</v>
      </c>
      <c r="E8" s="5" t="s">
        <v>29</v>
      </c>
      <c r="F8" s="8">
        <v>31.4</v>
      </c>
      <c r="G8" s="5"/>
      <c r="H8" s="5"/>
      <c r="I8" s="5"/>
      <c r="J8" s="5"/>
      <c r="K8" s="5"/>
      <c r="L8" s="5"/>
      <c r="M8" s="5"/>
      <c r="N8" s="5"/>
      <c r="O8" s="8">
        <v>23.92</v>
      </c>
      <c r="P8" s="5"/>
      <c r="Q8" s="5"/>
      <c r="R8" s="8">
        <v>1.44</v>
      </c>
      <c r="S8" s="5"/>
      <c r="T8" s="6">
        <f t="shared" si="0"/>
        <v>56.76</v>
      </c>
      <c r="U8" s="9" t="s">
        <v>30</v>
      </c>
      <c r="V8" s="1"/>
      <c r="W8" s="1"/>
      <c r="X8" s="1"/>
      <c r="Y8" s="1"/>
      <c r="Z8" s="1"/>
    </row>
    <row r="9" spans="1:26" ht="24.75" customHeight="1">
      <c r="A9" s="171"/>
      <c r="B9" s="171"/>
      <c r="C9" s="171"/>
      <c r="D9" s="5">
        <v>4</v>
      </c>
      <c r="E9" s="5" t="s">
        <v>31</v>
      </c>
      <c r="F9" s="5"/>
      <c r="G9" s="5"/>
      <c r="H9" s="5"/>
      <c r="I9" s="5"/>
      <c r="J9" s="5"/>
      <c r="K9" s="5"/>
      <c r="L9" s="5"/>
      <c r="M9" s="6">
        <v>15.03</v>
      </c>
      <c r="N9" s="5"/>
      <c r="O9" s="5"/>
      <c r="P9" s="8">
        <f>22.8+0.75</f>
        <v>23.55</v>
      </c>
      <c r="Q9" s="5"/>
      <c r="R9" s="5"/>
      <c r="S9" s="5"/>
      <c r="T9" s="6">
        <f t="shared" si="0"/>
        <v>38.58</v>
      </c>
      <c r="U9" s="9" t="s">
        <v>32</v>
      </c>
      <c r="V9" s="1"/>
      <c r="W9" s="1"/>
      <c r="X9" s="1"/>
      <c r="Y9" s="1"/>
      <c r="Z9" s="1"/>
    </row>
    <row r="10" spans="1:26" ht="24.75" customHeight="1">
      <c r="A10" s="171"/>
      <c r="B10" s="171"/>
      <c r="C10" s="171"/>
      <c r="D10" s="5">
        <v>5</v>
      </c>
      <c r="E10" s="5" t="s">
        <v>33</v>
      </c>
      <c r="F10" s="5"/>
      <c r="G10" s="5"/>
      <c r="H10" s="5"/>
      <c r="I10" s="5"/>
      <c r="J10" s="5"/>
      <c r="K10" s="5"/>
      <c r="L10" s="5"/>
      <c r="M10" s="5"/>
      <c r="N10" s="5"/>
      <c r="O10" s="5"/>
      <c r="P10" s="6">
        <v>25.05</v>
      </c>
      <c r="Q10" s="5"/>
      <c r="R10" s="5"/>
      <c r="S10" s="5"/>
      <c r="T10" s="6">
        <f t="shared" si="0"/>
        <v>25.05</v>
      </c>
      <c r="U10" s="9" t="s">
        <v>34</v>
      </c>
      <c r="V10" s="1"/>
      <c r="W10" s="1"/>
      <c r="X10" s="1"/>
      <c r="Y10" s="1"/>
      <c r="Z10" s="1"/>
    </row>
    <row r="11" spans="1:26" ht="24.75" customHeight="1">
      <c r="A11" s="171"/>
      <c r="B11" s="171"/>
      <c r="C11" s="171"/>
      <c r="D11" s="5">
        <v>6</v>
      </c>
      <c r="E11" s="5" t="s">
        <v>35</v>
      </c>
      <c r="F11" s="5"/>
      <c r="G11" s="5"/>
      <c r="H11" s="5"/>
      <c r="I11" s="5"/>
      <c r="J11" s="5"/>
      <c r="K11" s="5"/>
      <c r="L11" s="5"/>
      <c r="M11" s="5"/>
      <c r="N11" s="8"/>
      <c r="O11" s="5"/>
      <c r="P11" s="8">
        <v>0.5</v>
      </c>
      <c r="Q11" s="5"/>
      <c r="R11" s="5"/>
      <c r="S11" s="5"/>
      <c r="T11" s="6">
        <f t="shared" si="0"/>
        <v>0.5</v>
      </c>
      <c r="U11" s="9" t="s">
        <v>36</v>
      </c>
      <c r="V11" s="1"/>
      <c r="W11" s="1"/>
      <c r="X11" s="1"/>
      <c r="Y11" s="1"/>
      <c r="Z11" s="1"/>
    </row>
    <row r="12" spans="1:26" ht="24.75" customHeight="1">
      <c r="A12" s="171"/>
      <c r="B12" s="171"/>
      <c r="C12" s="171"/>
      <c r="D12" s="5">
        <v>7</v>
      </c>
      <c r="E12" s="5" t="s">
        <v>37</v>
      </c>
      <c r="F12" s="5"/>
      <c r="G12" s="5"/>
      <c r="H12" s="5"/>
      <c r="I12" s="5"/>
      <c r="J12" s="5"/>
      <c r="K12" s="5"/>
      <c r="L12" s="5"/>
      <c r="M12" s="5"/>
      <c r="N12" s="5"/>
      <c r="O12" s="5"/>
      <c r="P12" s="8">
        <v>0.06</v>
      </c>
      <c r="Q12" s="8"/>
      <c r="R12" s="5"/>
      <c r="S12" s="5"/>
      <c r="T12" s="6">
        <f t="shared" si="0"/>
        <v>0.06</v>
      </c>
      <c r="U12" s="9" t="s">
        <v>38</v>
      </c>
      <c r="V12" s="1"/>
      <c r="W12" s="1"/>
      <c r="X12" s="1"/>
      <c r="Y12" s="1"/>
      <c r="Z12" s="1"/>
    </row>
    <row r="13" spans="1:26" ht="24.75" customHeight="1">
      <c r="A13" s="171"/>
      <c r="B13" s="171"/>
      <c r="C13" s="171"/>
      <c r="D13" s="5">
        <v>8</v>
      </c>
      <c r="E13" s="5" t="s">
        <v>39</v>
      </c>
      <c r="F13" s="5"/>
      <c r="G13" s="5"/>
      <c r="H13" s="5"/>
      <c r="I13" s="5"/>
      <c r="J13" s="5"/>
      <c r="K13" s="5"/>
      <c r="L13" s="5"/>
      <c r="M13" s="5"/>
      <c r="N13" s="6"/>
      <c r="O13" s="5"/>
      <c r="P13" s="5"/>
      <c r="Q13" s="5"/>
      <c r="R13" s="5"/>
      <c r="S13" s="5"/>
      <c r="T13" s="6">
        <f t="shared" si="0"/>
        <v>0</v>
      </c>
      <c r="U13" s="9"/>
      <c r="V13" s="1"/>
      <c r="W13" s="1"/>
      <c r="X13" s="1"/>
      <c r="Y13" s="1"/>
      <c r="Z13" s="1"/>
    </row>
    <row r="14" spans="1:26" ht="24.75" customHeight="1">
      <c r="A14" s="171"/>
      <c r="B14" s="171"/>
      <c r="C14" s="171"/>
      <c r="D14" s="5">
        <v>9</v>
      </c>
      <c r="E14" s="5" t="s">
        <v>40</v>
      </c>
      <c r="F14" s="5"/>
      <c r="G14" s="5"/>
      <c r="H14" s="5"/>
      <c r="I14" s="5"/>
      <c r="J14" s="5"/>
      <c r="K14" s="5"/>
      <c r="L14" s="5"/>
      <c r="M14" s="5"/>
      <c r="N14" s="6">
        <v>0.18</v>
      </c>
      <c r="O14" s="5"/>
      <c r="P14" s="5"/>
      <c r="Q14" s="8"/>
      <c r="R14" s="5"/>
      <c r="S14" s="8">
        <v>0.3</v>
      </c>
      <c r="T14" s="6">
        <f t="shared" si="0"/>
        <v>0.48</v>
      </c>
      <c r="U14" s="9" t="s">
        <v>41</v>
      </c>
      <c r="V14" s="1"/>
      <c r="W14" s="1"/>
      <c r="X14" s="1"/>
      <c r="Y14" s="1"/>
      <c r="Z14" s="1"/>
    </row>
    <row r="15" spans="1:26" ht="24.75" customHeight="1">
      <c r="A15" s="171"/>
      <c r="B15" s="171"/>
      <c r="C15" s="171"/>
      <c r="D15" s="5">
        <v>10</v>
      </c>
      <c r="E15" s="5" t="s">
        <v>42</v>
      </c>
      <c r="F15" s="5"/>
      <c r="G15" s="5"/>
      <c r="H15" s="5"/>
      <c r="I15" s="6"/>
      <c r="J15" s="5"/>
      <c r="K15" s="5"/>
      <c r="L15" s="5"/>
      <c r="M15" s="5"/>
      <c r="N15" s="6">
        <v>0.45750000000000002</v>
      </c>
      <c r="O15" s="5"/>
      <c r="P15" s="5"/>
      <c r="Q15" s="5"/>
      <c r="R15" s="5"/>
      <c r="S15" s="5"/>
      <c r="T15" s="6">
        <f t="shared" si="0"/>
        <v>0.45750000000000002</v>
      </c>
      <c r="U15" s="10" t="s">
        <v>43</v>
      </c>
      <c r="V15" s="1"/>
      <c r="W15" s="1"/>
      <c r="X15" s="1"/>
      <c r="Y15" s="1"/>
      <c r="Z15" s="1"/>
    </row>
    <row r="16" spans="1:26" ht="24.75" customHeight="1">
      <c r="A16" s="171"/>
      <c r="B16" s="171"/>
      <c r="C16" s="171"/>
      <c r="D16" s="5">
        <v>11</v>
      </c>
      <c r="E16" s="5" t="s">
        <v>44</v>
      </c>
      <c r="F16" s="5"/>
      <c r="G16" s="8"/>
      <c r="H16" s="8"/>
      <c r="I16" s="5"/>
      <c r="J16" s="5"/>
      <c r="K16" s="5"/>
      <c r="L16" s="5"/>
      <c r="M16" s="5"/>
      <c r="N16" s="5"/>
      <c r="O16" s="5"/>
      <c r="P16" s="5"/>
      <c r="Q16" s="5"/>
      <c r="R16" s="5"/>
      <c r="S16" s="5"/>
      <c r="T16" s="6">
        <f t="shared" si="0"/>
        <v>0</v>
      </c>
      <c r="U16" s="9"/>
      <c r="V16" s="1"/>
      <c r="W16" s="1"/>
      <c r="X16" s="1"/>
      <c r="Y16" s="1"/>
      <c r="Z16" s="1"/>
    </row>
    <row r="17" spans="1:26" ht="24.75" customHeight="1">
      <c r="A17" s="171"/>
      <c r="B17" s="171"/>
      <c r="C17" s="171"/>
      <c r="D17" s="5">
        <v>12</v>
      </c>
      <c r="E17" s="5" t="s">
        <v>45</v>
      </c>
      <c r="F17" s="5"/>
      <c r="G17" s="5"/>
      <c r="H17" s="5"/>
      <c r="I17" s="5"/>
      <c r="J17" s="5"/>
      <c r="K17" s="5"/>
      <c r="L17" s="5"/>
      <c r="M17" s="5"/>
      <c r="N17" s="6">
        <v>3.4950000000000001</v>
      </c>
      <c r="O17" s="5"/>
      <c r="P17" s="5"/>
      <c r="Q17" s="5"/>
      <c r="R17" s="5"/>
      <c r="S17" s="5"/>
      <c r="T17" s="6">
        <f t="shared" si="0"/>
        <v>3.4950000000000001</v>
      </c>
      <c r="U17" s="9" t="s">
        <v>46</v>
      </c>
      <c r="V17" s="1"/>
      <c r="W17" s="1"/>
      <c r="X17" s="1"/>
      <c r="Y17" s="1"/>
      <c r="Z17" s="1"/>
    </row>
    <row r="18" spans="1:26" ht="24.75" customHeight="1">
      <c r="A18" s="171"/>
      <c r="B18" s="171"/>
      <c r="C18" s="171"/>
      <c r="D18" s="5">
        <v>13</v>
      </c>
      <c r="E18" s="5" t="s">
        <v>47</v>
      </c>
      <c r="F18" s="5"/>
      <c r="G18" s="5"/>
      <c r="H18" s="5"/>
      <c r="I18" s="5"/>
      <c r="J18" s="5"/>
      <c r="K18" s="5"/>
      <c r="L18" s="5"/>
      <c r="M18" s="5"/>
      <c r="N18" s="5"/>
      <c r="O18" s="5"/>
      <c r="P18" s="8"/>
      <c r="Q18" s="5"/>
      <c r="R18" s="5"/>
      <c r="S18" s="5"/>
      <c r="T18" s="6">
        <f t="shared" si="0"/>
        <v>0</v>
      </c>
      <c r="U18" s="9"/>
      <c r="V18" s="1"/>
      <c r="W18" s="1"/>
      <c r="X18" s="1"/>
      <c r="Y18" s="1"/>
      <c r="Z18" s="1"/>
    </row>
    <row r="19" spans="1:26" ht="24.75" customHeight="1">
      <c r="A19" s="171"/>
      <c r="B19" s="171"/>
      <c r="C19" s="171"/>
      <c r="D19" s="5">
        <v>14</v>
      </c>
      <c r="E19" s="5" t="s">
        <v>48</v>
      </c>
      <c r="F19" s="5"/>
      <c r="G19" s="5"/>
      <c r="H19" s="5"/>
      <c r="I19" s="5"/>
      <c r="J19" s="5"/>
      <c r="K19" s="5"/>
      <c r="L19" s="5"/>
      <c r="M19" s="5"/>
      <c r="N19" s="5"/>
      <c r="O19" s="5"/>
      <c r="P19" s="5"/>
      <c r="Q19" s="5"/>
      <c r="R19" s="5"/>
      <c r="S19" s="5"/>
      <c r="T19" s="6">
        <f t="shared" si="0"/>
        <v>0</v>
      </c>
      <c r="U19" s="9"/>
      <c r="V19" s="1"/>
      <c r="W19" s="1"/>
      <c r="X19" s="1"/>
      <c r="Y19" s="1"/>
      <c r="Z19" s="1"/>
    </row>
    <row r="20" spans="1:26" ht="24.75" customHeight="1">
      <c r="A20" s="171"/>
      <c r="B20" s="171"/>
      <c r="C20" s="171"/>
      <c r="D20" s="5">
        <v>15</v>
      </c>
      <c r="E20" s="5" t="s">
        <v>49</v>
      </c>
      <c r="F20" s="5"/>
      <c r="G20" s="5"/>
      <c r="H20" s="5"/>
      <c r="I20" s="8">
        <v>6</v>
      </c>
      <c r="J20" s="5"/>
      <c r="K20" s="5"/>
      <c r="L20" s="5"/>
      <c r="M20" s="5"/>
      <c r="N20" s="6">
        <v>0.74785000000000001</v>
      </c>
      <c r="O20" s="5"/>
      <c r="P20" s="8"/>
      <c r="Q20" s="8"/>
      <c r="R20" s="5"/>
      <c r="S20" s="5"/>
      <c r="T20" s="6">
        <f t="shared" si="0"/>
        <v>6.7478499999999997</v>
      </c>
      <c r="U20" s="9" t="s">
        <v>50</v>
      </c>
      <c r="V20" s="1"/>
      <c r="W20" s="1"/>
      <c r="X20" s="1"/>
      <c r="Y20" s="1"/>
      <c r="Z20" s="1"/>
    </row>
    <row r="21" spans="1:26" ht="24.75" customHeight="1">
      <c r="A21" s="171"/>
      <c r="B21" s="171"/>
      <c r="C21" s="171"/>
      <c r="D21" s="5">
        <v>16</v>
      </c>
      <c r="E21" s="5" t="s">
        <v>51</v>
      </c>
      <c r="F21" s="5"/>
      <c r="G21" s="5"/>
      <c r="H21" s="5"/>
      <c r="I21" s="5"/>
      <c r="J21" s="5"/>
      <c r="K21" s="5"/>
      <c r="L21" s="5"/>
      <c r="M21" s="5"/>
      <c r="N21" s="5"/>
      <c r="O21" s="5"/>
      <c r="P21" s="5"/>
      <c r="Q21" s="5"/>
      <c r="R21" s="5"/>
      <c r="S21" s="5"/>
      <c r="T21" s="6">
        <f t="shared" si="0"/>
        <v>0</v>
      </c>
      <c r="U21" s="9"/>
      <c r="V21" s="1"/>
      <c r="W21" s="1"/>
      <c r="X21" s="1"/>
      <c r="Y21" s="1"/>
      <c r="Z21" s="1"/>
    </row>
    <row r="22" spans="1:26" ht="24.75" customHeight="1">
      <c r="A22" s="171"/>
      <c r="B22" s="171"/>
      <c r="C22" s="171"/>
      <c r="D22" s="5">
        <v>17</v>
      </c>
      <c r="E22" s="5" t="s">
        <v>52</v>
      </c>
      <c r="F22" s="5"/>
      <c r="G22" s="5"/>
      <c r="H22" s="5"/>
      <c r="I22" s="6"/>
      <c r="J22" s="5"/>
      <c r="K22" s="5"/>
      <c r="L22" s="5"/>
      <c r="M22" s="5"/>
      <c r="N22" s="6">
        <v>0.66300000000000003</v>
      </c>
      <c r="O22" s="5"/>
      <c r="P22" s="8">
        <v>0.15</v>
      </c>
      <c r="Q22" s="6">
        <v>3</v>
      </c>
      <c r="R22" s="5"/>
      <c r="S22" s="8"/>
      <c r="T22" s="6">
        <f t="shared" si="0"/>
        <v>3.8130000000000002</v>
      </c>
      <c r="U22" s="9" t="s">
        <v>481</v>
      </c>
      <c r="V22" s="1"/>
      <c r="W22" s="1"/>
      <c r="X22" s="1"/>
      <c r="Y22" s="1"/>
      <c r="Z22" s="1"/>
    </row>
    <row r="23" spans="1:26" ht="24.75" customHeight="1">
      <c r="A23" s="171"/>
      <c r="B23" s="169"/>
      <c r="C23" s="169"/>
      <c r="D23" s="5">
        <v>18</v>
      </c>
      <c r="E23" s="5" t="s">
        <v>54</v>
      </c>
      <c r="F23" s="5"/>
      <c r="G23" s="5"/>
      <c r="H23" s="5"/>
      <c r="I23" s="5"/>
      <c r="J23" s="5"/>
      <c r="K23" s="5"/>
      <c r="L23" s="5"/>
      <c r="M23" s="5"/>
      <c r="N23" s="5"/>
      <c r="O23" s="5"/>
      <c r="P23" s="8">
        <f>3.24+0.15</f>
        <v>3.39</v>
      </c>
      <c r="Q23" s="8"/>
      <c r="R23" s="5"/>
      <c r="S23" s="8"/>
      <c r="T23" s="6">
        <f t="shared" si="0"/>
        <v>3.39</v>
      </c>
      <c r="U23" s="9" t="s">
        <v>55</v>
      </c>
      <c r="V23" s="1"/>
      <c r="W23" s="1"/>
      <c r="X23" s="1"/>
      <c r="Y23" s="1"/>
      <c r="Z23" s="1"/>
    </row>
    <row r="24" spans="1:26" ht="24.75" customHeight="1">
      <c r="A24" s="171"/>
      <c r="B24" s="168" t="s">
        <v>56</v>
      </c>
      <c r="C24" s="168" t="s">
        <v>57</v>
      </c>
      <c r="D24" s="5">
        <v>19</v>
      </c>
      <c r="E24" s="5" t="s">
        <v>57</v>
      </c>
      <c r="F24" s="5"/>
      <c r="G24" s="5"/>
      <c r="H24" s="5"/>
      <c r="I24" s="5"/>
      <c r="J24" s="5"/>
      <c r="K24" s="5"/>
      <c r="L24" s="5"/>
      <c r="M24" s="5"/>
      <c r="N24" s="5"/>
      <c r="O24" s="5"/>
      <c r="P24" s="5"/>
      <c r="Q24" s="5"/>
      <c r="R24" s="5"/>
      <c r="S24" s="5"/>
      <c r="T24" s="6">
        <f t="shared" si="0"/>
        <v>0</v>
      </c>
      <c r="U24" s="9"/>
      <c r="V24" s="1"/>
      <c r="W24" s="1"/>
      <c r="X24" s="1"/>
      <c r="Y24" s="1"/>
      <c r="Z24" s="1"/>
    </row>
    <row r="25" spans="1:26" ht="24.75" customHeight="1">
      <c r="A25" s="171"/>
      <c r="B25" s="169"/>
      <c r="C25" s="169"/>
      <c r="D25" s="5">
        <v>20</v>
      </c>
      <c r="E25" s="5" t="s">
        <v>58</v>
      </c>
      <c r="F25" s="5"/>
      <c r="G25" s="5"/>
      <c r="H25" s="5"/>
      <c r="I25" s="5"/>
      <c r="J25" s="5"/>
      <c r="K25" s="5"/>
      <c r="L25" s="5"/>
      <c r="M25" s="5"/>
      <c r="N25" s="5"/>
      <c r="O25" s="5"/>
      <c r="P25" s="5"/>
      <c r="Q25" s="6">
        <v>0.1</v>
      </c>
      <c r="R25" s="5"/>
      <c r="S25" s="5"/>
      <c r="T25" s="6">
        <f t="shared" si="0"/>
        <v>0.1</v>
      </c>
      <c r="U25" s="9" t="s">
        <v>359</v>
      </c>
      <c r="V25" s="1"/>
      <c r="W25" s="1"/>
      <c r="X25" s="1"/>
      <c r="Y25" s="1"/>
      <c r="Z25" s="1"/>
    </row>
    <row r="26" spans="1:26" ht="24.75" customHeight="1">
      <c r="A26" s="171"/>
      <c r="B26" s="168" t="s">
        <v>60</v>
      </c>
      <c r="C26" s="168" t="s">
        <v>61</v>
      </c>
      <c r="D26" s="5">
        <v>21</v>
      </c>
      <c r="E26" s="5" t="s">
        <v>62</v>
      </c>
      <c r="F26" s="123"/>
      <c r="G26" s="123"/>
      <c r="H26" s="124"/>
      <c r="I26" s="125">
        <v>1.855</v>
      </c>
      <c r="J26" s="123"/>
      <c r="K26" s="125"/>
      <c r="L26" s="123"/>
      <c r="M26" s="123"/>
      <c r="N26" s="125">
        <f>0.992+0.4565+0.15+1</f>
        <v>2.5985</v>
      </c>
      <c r="O26" s="123"/>
      <c r="P26" s="124">
        <f>11.52+2.052</f>
        <v>13.571999999999999</v>
      </c>
      <c r="Q26" s="124">
        <f>0.1325</f>
        <v>0.13250000000000001</v>
      </c>
      <c r="R26" s="125">
        <f>0.5+0.1855</f>
        <v>0.6855</v>
      </c>
      <c r="S26" s="123"/>
      <c r="T26" s="125">
        <f t="shared" ref="T26:T36" si="1">SUM(F26:S26)</f>
        <v>18.843500000000002</v>
      </c>
      <c r="U26" s="9" t="s">
        <v>65</v>
      </c>
      <c r="V26" s="1"/>
      <c r="W26" s="1"/>
      <c r="X26" s="1"/>
      <c r="Y26" s="1"/>
      <c r="Z26" s="1"/>
    </row>
    <row r="27" spans="1:26" ht="24.75" customHeight="1">
      <c r="A27" s="171"/>
      <c r="B27" s="171"/>
      <c r="C27" s="171"/>
      <c r="D27" s="5">
        <v>22</v>
      </c>
      <c r="E27" s="5" t="s">
        <v>64</v>
      </c>
      <c r="F27" s="124"/>
      <c r="G27" s="123"/>
      <c r="H27" s="124"/>
      <c r="I27" s="125"/>
      <c r="J27" s="123"/>
      <c r="K27" s="123"/>
      <c r="L27" s="123"/>
      <c r="M27" s="124">
        <v>0.75</v>
      </c>
      <c r="N27" s="123"/>
      <c r="O27" s="123"/>
      <c r="P27" s="124">
        <v>151.19999999999999</v>
      </c>
      <c r="Q27" s="124"/>
      <c r="R27" s="125"/>
      <c r="S27" s="123"/>
      <c r="T27" s="125">
        <f t="shared" si="1"/>
        <v>151.94999999999999</v>
      </c>
      <c r="U27" s="9" t="s">
        <v>65</v>
      </c>
      <c r="V27" s="1"/>
      <c r="W27" s="1"/>
      <c r="X27" s="1"/>
      <c r="Y27" s="1"/>
      <c r="Z27" s="1"/>
    </row>
    <row r="28" spans="1:26" ht="24.75" customHeight="1">
      <c r="A28" s="171"/>
      <c r="B28" s="171"/>
      <c r="C28" s="171"/>
      <c r="D28" s="5">
        <v>23</v>
      </c>
      <c r="E28" s="5" t="s">
        <v>66</v>
      </c>
      <c r="F28" s="123"/>
      <c r="G28" s="123"/>
      <c r="H28" s="123"/>
      <c r="I28" s="123"/>
      <c r="J28" s="123"/>
      <c r="K28" s="125"/>
      <c r="L28" s="123"/>
      <c r="M28" s="123"/>
      <c r="N28" s="123"/>
      <c r="O28" s="124">
        <f>16.22225+0.628</f>
        <v>16.850249999999999</v>
      </c>
      <c r="P28" s="123"/>
      <c r="Q28" s="124"/>
      <c r="R28" s="123"/>
      <c r="S28" s="123"/>
      <c r="T28" s="125">
        <f t="shared" si="1"/>
        <v>16.850249999999999</v>
      </c>
      <c r="U28" s="9" t="s">
        <v>65</v>
      </c>
      <c r="V28" s="1"/>
      <c r="W28" s="1"/>
      <c r="X28" s="1"/>
      <c r="Y28" s="1"/>
      <c r="Z28" s="1"/>
    </row>
    <row r="29" spans="1:26" ht="24.75" customHeight="1">
      <c r="A29" s="171"/>
      <c r="B29" s="171"/>
      <c r="C29" s="171"/>
      <c r="D29" s="5">
        <v>24</v>
      </c>
      <c r="E29" s="5" t="s">
        <v>67</v>
      </c>
      <c r="F29" s="123"/>
      <c r="G29" s="123"/>
      <c r="H29" s="124"/>
      <c r="I29" s="123"/>
      <c r="J29" s="123"/>
      <c r="K29" s="123"/>
      <c r="L29" s="123"/>
      <c r="M29" s="123"/>
      <c r="N29" s="125">
        <f>1.72+1.72+1+1</f>
        <v>5.4399999999999995</v>
      </c>
      <c r="O29" s="124"/>
      <c r="P29" s="123">
        <f>1+5+0.5+7</f>
        <v>13.5</v>
      </c>
      <c r="Q29" s="125"/>
      <c r="R29" s="123"/>
      <c r="S29" s="123"/>
      <c r="T29" s="125">
        <f t="shared" si="1"/>
        <v>18.939999999999998</v>
      </c>
      <c r="U29" s="9" t="s">
        <v>360</v>
      </c>
      <c r="V29" s="1"/>
      <c r="W29" s="1"/>
      <c r="X29" s="1"/>
      <c r="Y29" s="1"/>
      <c r="Z29" s="1"/>
    </row>
    <row r="30" spans="1:26" ht="24.75" customHeight="1">
      <c r="A30" s="171"/>
      <c r="B30" s="171"/>
      <c r="C30" s="171"/>
      <c r="D30" s="5">
        <v>25</v>
      </c>
      <c r="E30" s="5" t="s">
        <v>69</v>
      </c>
      <c r="F30" s="123"/>
      <c r="G30" s="123"/>
      <c r="H30" s="123"/>
      <c r="I30" s="123"/>
      <c r="J30" s="123"/>
      <c r="K30" s="123"/>
      <c r="L30" s="123"/>
      <c r="M30" s="123"/>
      <c r="N30" s="125">
        <v>0.5</v>
      </c>
      <c r="O30" s="123"/>
      <c r="P30" s="123"/>
      <c r="Q30" s="123"/>
      <c r="R30" s="123"/>
      <c r="S30" s="123"/>
      <c r="T30" s="125">
        <f t="shared" si="1"/>
        <v>0.5</v>
      </c>
      <c r="U30" s="9" t="s">
        <v>65</v>
      </c>
      <c r="V30" s="1"/>
      <c r="W30" s="1"/>
      <c r="X30" s="1"/>
      <c r="Y30" s="1"/>
      <c r="Z30" s="1"/>
    </row>
    <row r="31" spans="1:26" ht="24.75" customHeight="1">
      <c r="A31" s="171"/>
      <c r="B31" s="171"/>
      <c r="C31" s="171"/>
      <c r="D31" s="5">
        <v>26</v>
      </c>
      <c r="E31" s="5" t="s">
        <v>70</v>
      </c>
      <c r="F31" s="123"/>
      <c r="G31" s="123"/>
      <c r="H31" s="123"/>
      <c r="I31" s="125"/>
      <c r="J31" s="123"/>
      <c r="K31" s="123"/>
      <c r="L31" s="123"/>
      <c r="M31" s="123"/>
      <c r="N31" s="125">
        <v>2.37</v>
      </c>
      <c r="O31" s="123"/>
      <c r="P31" s="123"/>
      <c r="Q31" s="125">
        <v>5</v>
      </c>
      <c r="R31" s="124"/>
      <c r="S31" s="123"/>
      <c r="T31" s="125">
        <f t="shared" si="1"/>
        <v>7.37</v>
      </c>
      <c r="U31" s="9" t="s">
        <v>360</v>
      </c>
      <c r="V31" s="1"/>
      <c r="W31" s="1"/>
      <c r="X31" s="1"/>
      <c r="Y31" s="1"/>
      <c r="Z31" s="1"/>
    </row>
    <row r="32" spans="1:26" ht="24.75" customHeight="1">
      <c r="A32" s="171"/>
      <c r="B32" s="171"/>
      <c r="C32" s="171"/>
      <c r="D32" s="5">
        <v>27</v>
      </c>
      <c r="E32" s="5" t="s">
        <v>72</v>
      </c>
      <c r="F32" s="123"/>
      <c r="G32" s="123"/>
      <c r="H32" s="124"/>
      <c r="I32" s="125"/>
      <c r="J32" s="123"/>
      <c r="K32" s="123"/>
      <c r="L32" s="123"/>
      <c r="M32" s="123"/>
      <c r="N32" s="125"/>
      <c r="O32" s="124"/>
      <c r="P32" s="124"/>
      <c r="Q32" s="123"/>
      <c r="R32" s="123"/>
      <c r="S32" s="123"/>
      <c r="T32" s="125">
        <f t="shared" si="1"/>
        <v>0</v>
      </c>
      <c r="U32" s="9"/>
      <c r="V32" s="1"/>
      <c r="W32" s="1"/>
      <c r="X32" s="1"/>
      <c r="Y32" s="1"/>
      <c r="Z32" s="1"/>
    </row>
    <row r="33" spans="1:26" ht="24.75" customHeight="1">
      <c r="A33" s="171"/>
      <c r="B33" s="171"/>
      <c r="C33" s="171"/>
      <c r="D33" s="5">
        <v>28</v>
      </c>
      <c r="E33" s="5" t="s">
        <v>31</v>
      </c>
      <c r="F33" s="123"/>
      <c r="G33" s="123"/>
      <c r="H33" s="123"/>
      <c r="I33" s="123"/>
      <c r="J33" s="123"/>
      <c r="K33" s="125">
        <v>1.504</v>
      </c>
      <c r="L33" s="123"/>
      <c r="M33" s="125">
        <v>1.504</v>
      </c>
      <c r="N33" s="123"/>
      <c r="O33" s="123"/>
      <c r="P33" s="123"/>
      <c r="Q33" s="123"/>
      <c r="R33" s="123"/>
      <c r="S33" s="123"/>
      <c r="T33" s="125">
        <f t="shared" si="1"/>
        <v>3.008</v>
      </c>
      <c r="U33" s="9" t="s">
        <v>65</v>
      </c>
      <c r="V33" s="1"/>
      <c r="W33" s="1"/>
      <c r="X33" s="1"/>
      <c r="Y33" s="1"/>
      <c r="Z33" s="1"/>
    </row>
    <row r="34" spans="1:26" ht="24.75" customHeight="1">
      <c r="A34" s="171"/>
      <c r="B34" s="171"/>
      <c r="C34" s="171"/>
      <c r="D34" s="5">
        <v>29</v>
      </c>
      <c r="E34" s="5" t="s">
        <v>33</v>
      </c>
      <c r="F34" s="123"/>
      <c r="G34" s="123"/>
      <c r="H34" s="123"/>
      <c r="I34" s="123"/>
      <c r="J34" s="123"/>
      <c r="K34" s="123"/>
      <c r="L34" s="123"/>
      <c r="M34" s="123"/>
      <c r="N34" s="123"/>
      <c r="O34" s="123"/>
      <c r="P34" s="125">
        <v>3.76</v>
      </c>
      <c r="Q34" s="123"/>
      <c r="R34" s="123"/>
      <c r="S34" s="123"/>
      <c r="T34" s="125">
        <f t="shared" si="1"/>
        <v>3.76</v>
      </c>
      <c r="U34" s="9" t="s">
        <v>65</v>
      </c>
      <c r="V34" s="1"/>
      <c r="W34" s="1"/>
      <c r="X34" s="1"/>
      <c r="Y34" s="1"/>
      <c r="Z34" s="1"/>
    </row>
    <row r="35" spans="1:26" ht="24.75" customHeight="1">
      <c r="A35" s="171"/>
      <c r="B35" s="171"/>
      <c r="C35" s="171"/>
      <c r="D35" s="5">
        <v>30</v>
      </c>
      <c r="E35" s="5" t="s">
        <v>73</v>
      </c>
      <c r="F35" s="123"/>
      <c r="G35" s="123"/>
      <c r="H35" s="123"/>
      <c r="I35" s="125"/>
      <c r="J35" s="123"/>
      <c r="K35" s="123"/>
      <c r="L35" s="123"/>
      <c r="M35" s="123"/>
      <c r="N35" s="123"/>
      <c r="O35" s="123"/>
      <c r="P35" s="123"/>
      <c r="Q35" s="125">
        <v>3.4</v>
      </c>
      <c r="R35" s="124">
        <v>1.3779999999999999</v>
      </c>
      <c r="S35" s="123"/>
      <c r="T35" s="125">
        <f t="shared" si="1"/>
        <v>4.7779999999999996</v>
      </c>
      <c r="U35" s="9" t="s">
        <v>360</v>
      </c>
      <c r="V35" s="1"/>
      <c r="W35" s="1"/>
      <c r="X35" s="1"/>
      <c r="Y35" s="1"/>
      <c r="Z35" s="1"/>
    </row>
    <row r="36" spans="1:26" ht="24.75" customHeight="1">
      <c r="A36" s="171"/>
      <c r="B36" s="169"/>
      <c r="C36" s="169"/>
      <c r="D36" s="5">
        <v>31</v>
      </c>
      <c r="E36" s="5" t="s">
        <v>54</v>
      </c>
      <c r="F36" s="123"/>
      <c r="G36" s="123"/>
      <c r="H36" s="123"/>
      <c r="I36" s="123"/>
      <c r="J36" s="123"/>
      <c r="K36" s="123"/>
      <c r="L36" s="123"/>
      <c r="M36" s="123"/>
      <c r="N36" s="123"/>
      <c r="O36" s="123"/>
      <c r="P36" s="123"/>
      <c r="Q36" s="123"/>
      <c r="R36" s="123"/>
      <c r="S36" s="123"/>
      <c r="T36" s="125">
        <f t="shared" si="1"/>
        <v>0</v>
      </c>
      <c r="U36" s="9"/>
      <c r="V36" s="1"/>
      <c r="W36" s="1"/>
      <c r="X36" s="1"/>
      <c r="Y36" s="1"/>
      <c r="Z36" s="1"/>
    </row>
    <row r="37" spans="1:26" ht="24.75" customHeight="1">
      <c r="A37" s="171"/>
      <c r="B37" s="168" t="s">
        <v>75</v>
      </c>
      <c r="C37" s="168" t="s">
        <v>76</v>
      </c>
      <c r="D37" s="5">
        <v>32</v>
      </c>
      <c r="E37" s="5" t="s">
        <v>77</v>
      </c>
      <c r="F37" s="5"/>
      <c r="G37" s="5"/>
      <c r="H37" s="5"/>
      <c r="I37" s="6"/>
      <c r="J37" s="5"/>
      <c r="K37" s="5"/>
      <c r="L37" s="5"/>
      <c r="M37" s="6"/>
      <c r="N37" s="6">
        <v>1.87</v>
      </c>
      <c r="O37" s="8">
        <v>39.130000000000003</v>
      </c>
      <c r="P37" s="8">
        <v>9.9</v>
      </c>
      <c r="Q37" s="6">
        <v>3</v>
      </c>
      <c r="R37" s="8">
        <v>4.12</v>
      </c>
      <c r="S37" s="5"/>
      <c r="T37" s="6">
        <f t="shared" si="0"/>
        <v>58.019999999999996</v>
      </c>
      <c r="U37" s="9" t="s">
        <v>361</v>
      </c>
      <c r="V37" s="1"/>
      <c r="W37" s="1"/>
      <c r="X37" s="1"/>
      <c r="Y37" s="1"/>
      <c r="Z37" s="1"/>
    </row>
    <row r="38" spans="1:26" ht="24.75" customHeight="1">
      <c r="A38" s="171"/>
      <c r="B38" s="171"/>
      <c r="C38" s="171"/>
      <c r="D38" s="5">
        <v>33</v>
      </c>
      <c r="E38" s="5" t="s">
        <v>79</v>
      </c>
      <c r="F38" s="5"/>
      <c r="G38" s="5"/>
      <c r="H38" s="5"/>
      <c r="I38" s="5"/>
      <c r="J38" s="5"/>
      <c r="K38" s="5"/>
      <c r="L38" s="5"/>
      <c r="M38" s="5"/>
      <c r="N38" s="5"/>
      <c r="O38" s="5"/>
      <c r="P38" s="5"/>
      <c r="Q38" s="5"/>
      <c r="R38" s="5"/>
      <c r="S38" s="5"/>
      <c r="T38" s="6">
        <f t="shared" si="0"/>
        <v>0</v>
      </c>
      <c r="U38" s="9"/>
      <c r="V38" s="1"/>
      <c r="W38" s="1"/>
      <c r="X38" s="1"/>
      <c r="Y38" s="1"/>
      <c r="Z38" s="1"/>
    </row>
    <row r="39" spans="1:26" ht="24.75" customHeight="1">
      <c r="A39" s="171"/>
      <c r="B39" s="169"/>
      <c r="C39" s="169"/>
      <c r="D39" s="5">
        <v>34</v>
      </c>
      <c r="E39" s="5" t="s">
        <v>80</v>
      </c>
      <c r="F39" s="5"/>
      <c r="G39" s="5"/>
      <c r="H39" s="5"/>
      <c r="I39" s="5"/>
      <c r="J39" s="5"/>
      <c r="K39" s="5"/>
      <c r="L39" s="5"/>
      <c r="M39" s="5"/>
      <c r="N39" s="6"/>
      <c r="O39" s="5"/>
      <c r="P39" s="8"/>
      <c r="Q39" s="5"/>
      <c r="R39" s="5"/>
      <c r="S39" s="5"/>
      <c r="T39" s="6">
        <f t="shared" si="0"/>
        <v>0</v>
      </c>
      <c r="U39" s="9"/>
      <c r="V39" s="1"/>
      <c r="W39" s="1"/>
      <c r="X39" s="1"/>
      <c r="Y39" s="1"/>
      <c r="Z39" s="1"/>
    </row>
    <row r="40" spans="1:26" ht="24.75" customHeight="1">
      <c r="A40" s="171"/>
      <c r="B40" s="168" t="s">
        <v>81</v>
      </c>
      <c r="C40" s="168" t="s">
        <v>82</v>
      </c>
      <c r="D40" s="5">
        <v>35</v>
      </c>
      <c r="E40" s="5" t="s">
        <v>83</v>
      </c>
      <c r="F40" s="5"/>
      <c r="G40" s="5"/>
      <c r="H40" s="5"/>
      <c r="I40" s="6"/>
      <c r="J40" s="5"/>
      <c r="K40" s="5"/>
      <c r="L40" s="5"/>
      <c r="M40" s="5"/>
      <c r="N40" s="6">
        <v>2.75</v>
      </c>
      <c r="O40" s="5"/>
      <c r="P40" s="8">
        <v>2.04</v>
      </c>
      <c r="Q40" s="8"/>
      <c r="R40" s="5">
        <v>0.1</v>
      </c>
      <c r="S40" s="5"/>
      <c r="T40" s="6">
        <f t="shared" si="0"/>
        <v>4.8899999999999997</v>
      </c>
      <c r="U40" s="9" t="s">
        <v>614</v>
      </c>
      <c r="V40" s="1"/>
      <c r="W40" s="1"/>
      <c r="X40" s="1"/>
      <c r="Y40" s="1"/>
      <c r="Z40" s="1"/>
    </row>
    <row r="41" spans="1:26" ht="24.75" customHeight="1">
      <c r="A41" s="171"/>
      <c r="B41" s="171"/>
      <c r="C41" s="171"/>
      <c r="D41" s="5">
        <v>36</v>
      </c>
      <c r="E41" s="5" t="s">
        <v>84</v>
      </c>
      <c r="F41" s="5"/>
      <c r="G41" s="5"/>
      <c r="H41" s="5"/>
      <c r="I41" s="5"/>
      <c r="J41" s="5"/>
      <c r="K41" s="6"/>
      <c r="L41" s="5"/>
      <c r="M41" s="5"/>
      <c r="N41" s="6">
        <v>0.25</v>
      </c>
      <c r="O41" s="5"/>
      <c r="P41" s="5"/>
      <c r="Q41" s="5"/>
      <c r="R41" s="5"/>
      <c r="S41" s="5"/>
      <c r="T41" s="6">
        <f t="shared" si="0"/>
        <v>0.25</v>
      </c>
      <c r="U41" s="9" t="s">
        <v>482</v>
      </c>
      <c r="V41" s="1"/>
      <c r="W41" s="1"/>
      <c r="X41" s="1"/>
      <c r="Y41" s="1"/>
      <c r="Z41" s="1"/>
    </row>
    <row r="42" spans="1:26" ht="24.75" customHeight="1">
      <c r="A42" s="171"/>
      <c r="B42" s="171"/>
      <c r="C42" s="171"/>
      <c r="D42" s="5">
        <v>37</v>
      </c>
      <c r="E42" s="5" t="s">
        <v>86</v>
      </c>
      <c r="F42" s="5"/>
      <c r="G42" s="5"/>
      <c r="H42" s="5"/>
      <c r="I42" s="5"/>
      <c r="J42" s="5"/>
      <c r="K42" s="6"/>
      <c r="L42" s="5"/>
      <c r="M42" s="5"/>
      <c r="N42" s="5"/>
      <c r="O42" s="5"/>
      <c r="P42" s="5"/>
      <c r="Q42" s="5"/>
      <c r="R42" s="5"/>
      <c r="S42" s="5"/>
      <c r="T42" s="6">
        <f t="shared" si="0"/>
        <v>0</v>
      </c>
      <c r="U42" s="9"/>
      <c r="V42" s="1"/>
      <c r="W42" s="1"/>
      <c r="X42" s="1"/>
      <c r="Y42" s="1"/>
      <c r="Z42" s="1"/>
    </row>
    <row r="43" spans="1:26" ht="24.75" customHeight="1">
      <c r="A43" s="171"/>
      <c r="B43" s="171"/>
      <c r="C43" s="171"/>
      <c r="D43" s="5">
        <v>38</v>
      </c>
      <c r="E43" s="5" t="s">
        <v>87</v>
      </c>
      <c r="F43" s="5"/>
      <c r="G43" s="5"/>
      <c r="H43" s="5"/>
      <c r="I43" s="5"/>
      <c r="J43" s="5"/>
      <c r="K43" s="5"/>
      <c r="L43" s="5"/>
      <c r="M43" s="5"/>
      <c r="N43" s="6">
        <v>11.77</v>
      </c>
      <c r="O43" s="8">
        <v>0.16</v>
      </c>
      <c r="P43" s="8">
        <v>11.6</v>
      </c>
      <c r="Q43" s="8">
        <v>2.1</v>
      </c>
      <c r="R43" s="5">
        <v>1</v>
      </c>
      <c r="S43" s="5"/>
      <c r="T43" s="6">
        <f t="shared" si="0"/>
        <v>26.630000000000003</v>
      </c>
      <c r="U43" s="9" t="s">
        <v>615</v>
      </c>
      <c r="V43" s="1"/>
      <c r="W43" s="1"/>
      <c r="X43" s="1"/>
      <c r="Y43" s="1"/>
      <c r="Z43" s="1"/>
    </row>
    <row r="44" spans="1:26" ht="24.75" customHeight="1">
      <c r="A44" s="171"/>
      <c r="B44" s="171"/>
      <c r="C44" s="171"/>
      <c r="D44" s="5">
        <v>39</v>
      </c>
      <c r="E44" s="5" t="s">
        <v>88</v>
      </c>
      <c r="F44" s="5"/>
      <c r="G44" s="5"/>
      <c r="H44" s="5"/>
      <c r="I44" s="5"/>
      <c r="J44" s="5"/>
      <c r="K44" s="5"/>
      <c r="L44" s="5"/>
      <c r="M44" s="5"/>
      <c r="N44" s="5"/>
      <c r="O44" s="5"/>
      <c r="P44" s="8">
        <v>0.87</v>
      </c>
      <c r="Q44" s="8">
        <v>15.5</v>
      </c>
      <c r="R44" s="5"/>
      <c r="S44" s="5"/>
      <c r="T44" s="6">
        <f t="shared" si="0"/>
        <v>16.37</v>
      </c>
      <c r="U44" s="9" t="s">
        <v>616</v>
      </c>
      <c r="V44" s="1"/>
      <c r="W44" s="1"/>
      <c r="X44" s="1"/>
      <c r="Y44" s="1"/>
      <c r="Z44" s="1"/>
    </row>
    <row r="45" spans="1:26" ht="24.75" customHeight="1">
      <c r="A45" s="171"/>
      <c r="B45" s="171"/>
      <c r="C45" s="171"/>
      <c r="D45" s="5">
        <v>40</v>
      </c>
      <c r="E45" s="5" t="s">
        <v>89</v>
      </c>
      <c r="F45" s="5"/>
      <c r="G45" s="5"/>
      <c r="H45" s="5"/>
      <c r="I45" s="5"/>
      <c r="J45" s="5"/>
      <c r="K45" s="5"/>
      <c r="L45" s="5"/>
      <c r="M45" s="5"/>
      <c r="N45" s="6">
        <v>0.10920000000000001</v>
      </c>
      <c r="O45" s="5"/>
      <c r="P45" s="8">
        <v>0.15</v>
      </c>
      <c r="Q45" s="6">
        <v>0.56999999999999995</v>
      </c>
      <c r="R45" s="8">
        <v>2</v>
      </c>
      <c r="S45" s="5"/>
      <c r="T45" s="6">
        <f t="shared" si="0"/>
        <v>2.8292000000000002</v>
      </c>
      <c r="U45" s="9" t="s">
        <v>833</v>
      </c>
      <c r="V45" s="1"/>
      <c r="W45" s="1"/>
      <c r="X45" s="1"/>
      <c r="Y45" s="1"/>
      <c r="Z45" s="1"/>
    </row>
    <row r="46" spans="1:26" ht="24.75" customHeight="1">
      <c r="A46" s="171"/>
      <c r="B46" s="169"/>
      <c r="C46" s="169"/>
      <c r="D46" s="5">
        <v>41</v>
      </c>
      <c r="E46" s="5" t="s">
        <v>54</v>
      </c>
      <c r="F46" s="5"/>
      <c r="G46" s="5"/>
      <c r="H46" s="5"/>
      <c r="I46" s="5"/>
      <c r="J46" s="5"/>
      <c r="K46" s="5"/>
      <c r="L46" s="5"/>
      <c r="M46" s="5"/>
      <c r="N46" s="5"/>
      <c r="O46" s="5"/>
      <c r="P46" s="5"/>
      <c r="Q46" s="5"/>
      <c r="R46" s="5"/>
      <c r="S46" s="5"/>
      <c r="T46" s="6">
        <f t="shared" si="0"/>
        <v>0</v>
      </c>
      <c r="U46" s="9"/>
      <c r="V46" s="1"/>
      <c r="W46" s="1"/>
      <c r="X46" s="1"/>
      <c r="Y46" s="1"/>
      <c r="Z46" s="1"/>
    </row>
    <row r="47" spans="1:26" ht="24.75" customHeight="1">
      <c r="A47" s="171"/>
      <c r="B47" s="168" t="s">
        <v>90</v>
      </c>
      <c r="C47" s="168" t="s">
        <v>91</v>
      </c>
      <c r="D47" s="5">
        <v>42</v>
      </c>
      <c r="E47" s="5" t="s">
        <v>92</v>
      </c>
      <c r="F47" s="8">
        <v>4.97</v>
      </c>
      <c r="G47" s="5"/>
      <c r="H47" s="5"/>
      <c r="I47" s="6"/>
      <c r="J47" s="5"/>
      <c r="K47" s="5"/>
      <c r="L47" s="5"/>
      <c r="M47" s="5"/>
      <c r="N47" s="6">
        <v>1.37</v>
      </c>
      <c r="O47" s="5"/>
      <c r="P47" s="8">
        <v>0.5</v>
      </c>
      <c r="Q47" s="5"/>
      <c r="R47" s="5"/>
      <c r="S47" s="5"/>
      <c r="T47" s="6">
        <f t="shared" si="0"/>
        <v>6.84</v>
      </c>
      <c r="U47" s="9"/>
      <c r="V47" s="1"/>
      <c r="W47" s="1"/>
      <c r="X47" s="1"/>
      <c r="Y47" s="1"/>
      <c r="Z47" s="1"/>
    </row>
    <row r="48" spans="1:26" ht="24.75" customHeight="1">
      <c r="A48" s="171"/>
      <c r="B48" s="171"/>
      <c r="C48" s="171"/>
      <c r="D48" s="5">
        <v>43</v>
      </c>
      <c r="E48" s="5" t="s">
        <v>93</v>
      </c>
      <c r="F48" s="8">
        <v>1.5</v>
      </c>
      <c r="G48" s="5"/>
      <c r="H48" s="5"/>
      <c r="I48" s="6"/>
      <c r="J48" s="5"/>
      <c r="K48" s="5"/>
      <c r="L48" s="5"/>
      <c r="M48" s="5"/>
      <c r="N48" s="6">
        <v>0.45750000000000002</v>
      </c>
      <c r="O48" s="5"/>
      <c r="P48" s="8">
        <v>0.4</v>
      </c>
      <c r="Q48" s="5"/>
      <c r="R48" s="5"/>
      <c r="S48" s="5"/>
      <c r="T48" s="6">
        <f t="shared" si="0"/>
        <v>2.3574999999999999</v>
      </c>
      <c r="U48" s="9"/>
      <c r="V48" s="1"/>
      <c r="W48" s="1"/>
      <c r="X48" s="1"/>
      <c r="Y48" s="1"/>
      <c r="Z48" s="1"/>
    </row>
    <row r="49" spans="1:26" ht="24.75" customHeight="1">
      <c r="A49" s="171"/>
      <c r="B49" s="171"/>
      <c r="C49" s="171"/>
      <c r="D49" s="5">
        <v>44</v>
      </c>
      <c r="E49" s="5" t="s">
        <v>94</v>
      </c>
      <c r="F49" s="8">
        <v>0.9</v>
      </c>
      <c r="G49" s="5"/>
      <c r="H49" s="5"/>
      <c r="I49" s="6"/>
      <c r="J49" s="5"/>
      <c r="K49" s="5"/>
      <c r="L49" s="5"/>
      <c r="M49" s="5"/>
      <c r="N49" s="6">
        <v>2.44</v>
      </c>
      <c r="O49" s="8">
        <v>0.42</v>
      </c>
      <c r="P49" s="8">
        <v>0.3</v>
      </c>
      <c r="Q49" s="5"/>
      <c r="R49" s="5"/>
      <c r="S49" s="5"/>
      <c r="T49" s="6">
        <f t="shared" si="0"/>
        <v>4.0599999999999996</v>
      </c>
      <c r="U49" s="9" t="s">
        <v>483</v>
      </c>
      <c r="V49" s="1"/>
      <c r="W49" s="1"/>
      <c r="X49" s="1"/>
      <c r="Y49" s="1"/>
      <c r="Z49" s="1"/>
    </row>
    <row r="50" spans="1:26" ht="24.75" customHeight="1">
      <c r="A50" s="171"/>
      <c r="B50" s="171"/>
      <c r="C50" s="171"/>
      <c r="D50" s="5">
        <v>45</v>
      </c>
      <c r="E50" s="5" t="s">
        <v>96</v>
      </c>
      <c r="F50" s="8">
        <v>0.1</v>
      </c>
      <c r="G50" s="5"/>
      <c r="H50" s="5"/>
      <c r="I50" s="5"/>
      <c r="J50" s="5"/>
      <c r="K50" s="5"/>
      <c r="L50" s="5"/>
      <c r="M50" s="5"/>
      <c r="N50" s="6">
        <v>1</v>
      </c>
      <c r="O50" s="8">
        <v>0.1</v>
      </c>
      <c r="P50" s="5"/>
      <c r="Q50" s="5"/>
      <c r="R50" s="5"/>
      <c r="S50" s="5"/>
      <c r="T50" s="6">
        <f t="shared" si="0"/>
        <v>1.2000000000000002</v>
      </c>
      <c r="U50" s="9"/>
      <c r="V50" s="1"/>
      <c r="W50" s="1"/>
      <c r="X50" s="1"/>
      <c r="Y50" s="1"/>
      <c r="Z50" s="1"/>
    </row>
    <row r="51" spans="1:26" ht="24.75" customHeight="1">
      <c r="A51" s="171"/>
      <c r="B51" s="171"/>
      <c r="C51" s="171"/>
      <c r="D51" s="5">
        <v>46</v>
      </c>
      <c r="E51" s="5" t="s">
        <v>97</v>
      </c>
      <c r="F51" s="5"/>
      <c r="G51" s="5"/>
      <c r="H51" s="5"/>
      <c r="I51" s="5"/>
      <c r="J51" s="5"/>
      <c r="K51" s="5"/>
      <c r="L51" s="5"/>
      <c r="M51" s="5"/>
      <c r="N51" s="5"/>
      <c r="O51" s="5"/>
      <c r="P51" s="5"/>
      <c r="Q51" s="5"/>
      <c r="R51" s="5"/>
      <c r="S51" s="5"/>
      <c r="T51" s="6">
        <f t="shared" si="0"/>
        <v>0</v>
      </c>
      <c r="U51" s="9"/>
      <c r="V51" s="1"/>
      <c r="W51" s="1"/>
      <c r="X51" s="1"/>
      <c r="Y51" s="1"/>
      <c r="Z51" s="1"/>
    </row>
    <row r="52" spans="1:26" ht="24.75" customHeight="1">
      <c r="A52" s="171"/>
      <c r="B52" s="171"/>
      <c r="C52" s="171"/>
      <c r="D52" s="5">
        <v>47</v>
      </c>
      <c r="E52" s="5" t="s">
        <v>98</v>
      </c>
      <c r="F52" s="8">
        <v>0.95</v>
      </c>
      <c r="G52" s="5"/>
      <c r="H52" s="5"/>
      <c r="I52" s="5"/>
      <c r="J52" s="5"/>
      <c r="K52" s="5"/>
      <c r="L52" s="5"/>
      <c r="M52" s="5"/>
      <c r="N52" s="5"/>
      <c r="O52" s="5"/>
      <c r="P52" s="5"/>
      <c r="Q52" s="5"/>
      <c r="R52" s="5"/>
      <c r="S52" s="5"/>
      <c r="T52" s="6">
        <f t="shared" si="0"/>
        <v>0.95</v>
      </c>
      <c r="U52" s="9"/>
      <c r="V52" s="1"/>
      <c r="W52" s="1"/>
      <c r="X52" s="1"/>
      <c r="Y52" s="1"/>
      <c r="Z52" s="1"/>
    </row>
    <row r="53" spans="1:26" ht="24.75" customHeight="1">
      <c r="A53" s="171"/>
      <c r="B53" s="171"/>
      <c r="C53" s="171"/>
      <c r="D53" s="5">
        <v>48</v>
      </c>
      <c r="E53" s="5" t="s">
        <v>99</v>
      </c>
      <c r="F53" s="5"/>
      <c r="G53" s="5"/>
      <c r="H53" s="5"/>
      <c r="I53" s="5"/>
      <c r="J53" s="5"/>
      <c r="K53" s="5"/>
      <c r="L53" s="5"/>
      <c r="M53" s="5"/>
      <c r="N53" s="6">
        <v>0.1</v>
      </c>
      <c r="O53" s="5"/>
      <c r="P53" s="8"/>
      <c r="Q53" s="5">
        <v>0</v>
      </c>
      <c r="R53" s="5"/>
      <c r="S53" s="5"/>
      <c r="T53" s="6">
        <f t="shared" si="0"/>
        <v>0.1</v>
      </c>
      <c r="U53" s="9"/>
      <c r="V53" s="1"/>
      <c r="W53" s="1"/>
      <c r="X53" s="1"/>
      <c r="Y53" s="1"/>
      <c r="Z53" s="1"/>
    </row>
    <row r="54" spans="1:26" ht="24.75" customHeight="1">
      <c r="A54" s="171"/>
      <c r="B54" s="171"/>
      <c r="C54" s="171"/>
      <c r="D54" s="5">
        <v>49</v>
      </c>
      <c r="E54" s="5" t="s">
        <v>100</v>
      </c>
      <c r="F54" s="5"/>
      <c r="G54" s="5"/>
      <c r="H54" s="5"/>
      <c r="I54" s="5"/>
      <c r="J54" s="5"/>
      <c r="K54" s="5"/>
      <c r="L54" s="5"/>
      <c r="M54" s="5"/>
      <c r="N54" s="5"/>
      <c r="O54" s="5"/>
      <c r="P54" s="5"/>
      <c r="Q54" s="6">
        <v>0</v>
      </c>
      <c r="R54" s="8">
        <v>0.53</v>
      </c>
      <c r="S54" s="5"/>
      <c r="T54" s="6">
        <f t="shared" si="0"/>
        <v>0.53</v>
      </c>
      <c r="U54" s="9"/>
      <c r="V54" s="1"/>
      <c r="W54" s="1"/>
      <c r="X54" s="1"/>
      <c r="Y54" s="1"/>
      <c r="Z54" s="1"/>
    </row>
    <row r="55" spans="1:26" ht="24.75" customHeight="1">
      <c r="A55" s="171"/>
      <c r="B55" s="171"/>
      <c r="C55" s="171"/>
      <c r="D55" s="5">
        <v>50</v>
      </c>
      <c r="E55" s="5" t="s">
        <v>102</v>
      </c>
      <c r="F55" s="5"/>
      <c r="G55" s="5"/>
      <c r="H55" s="5"/>
      <c r="I55" s="6"/>
      <c r="J55" s="5"/>
      <c r="K55" s="5"/>
      <c r="L55" s="5"/>
      <c r="M55" s="5"/>
      <c r="N55" s="6">
        <v>0.73</v>
      </c>
      <c r="O55" s="5"/>
      <c r="P55" s="8">
        <v>0.27</v>
      </c>
      <c r="Q55" s="6">
        <v>1.3</v>
      </c>
      <c r="R55" s="8">
        <v>0.113</v>
      </c>
      <c r="S55" s="5"/>
      <c r="T55" s="6">
        <f t="shared" si="0"/>
        <v>2.4129999999999998</v>
      </c>
      <c r="U55" s="9" t="s">
        <v>310</v>
      </c>
      <c r="V55" s="1"/>
      <c r="W55" s="1"/>
      <c r="X55" s="1"/>
      <c r="Y55" s="1"/>
      <c r="Z55" s="1"/>
    </row>
    <row r="56" spans="1:26" ht="24.75" customHeight="1">
      <c r="A56" s="171"/>
      <c r="B56" s="169"/>
      <c r="C56" s="169"/>
      <c r="D56" s="5">
        <v>51</v>
      </c>
      <c r="E56" s="5" t="s">
        <v>54</v>
      </c>
      <c r="F56" s="5"/>
      <c r="G56" s="5"/>
      <c r="H56" s="5"/>
      <c r="I56" s="5"/>
      <c r="J56" s="5"/>
      <c r="K56" s="5"/>
      <c r="L56" s="5"/>
      <c r="M56" s="5"/>
      <c r="N56" s="8"/>
      <c r="O56" s="5"/>
      <c r="P56" s="5">
        <v>1</v>
      </c>
      <c r="Q56" s="5"/>
      <c r="R56" s="5"/>
      <c r="S56" s="5"/>
      <c r="T56" s="6">
        <f t="shared" si="0"/>
        <v>1</v>
      </c>
      <c r="U56" s="9"/>
      <c r="V56" s="1"/>
      <c r="W56" s="1"/>
      <c r="X56" s="1"/>
      <c r="Y56" s="1"/>
      <c r="Z56" s="1"/>
    </row>
    <row r="57" spans="1:26" ht="24.75" customHeight="1">
      <c r="A57" s="171"/>
      <c r="B57" s="168" t="s">
        <v>103</v>
      </c>
      <c r="C57" s="168" t="s">
        <v>104</v>
      </c>
      <c r="D57" s="5">
        <v>52</v>
      </c>
      <c r="E57" s="5" t="s">
        <v>105</v>
      </c>
      <c r="F57" s="123"/>
      <c r="G57" s="123"/>
      <c r="H57" s="123"/>
      <c r="I57" s="125"/>
      <c r="J57" s="123"/>
      <c r="K57" s="125"/>
      <c r="L57" s="123"/>
      <c r="M57" s="123"/>
      <c r="N57" s="125">
        <v>2</v>
      </c>
      <c r="O57" s="124">
        <v>15.696</v>
      </c>
      <c r="P57" s="123"/>
      <c r="Q57" s="123"/>
      <c r="R57" s="123"/>
      <c r="S57" s="123"/>
      <c r="T57" s="125">
        <f t="shared" ref="T57:T66" si="2">SUM(F57:S57)</f>
        <v>17.695999999999998</v>
      </c>
      <c r="U57" s="9" t="s">
        <v>65</v>
      </c>
      <c r="V57" s="1"/>
      <c r="W57" s="1"/>
      <c r="X57" s="1"/>
      <c r="Y57" s="1"/>
      <c r="Z57" s="1"/>
    </row>
    <row r="58" spans="1:26" ht="24.75" customHeight="1">
      <c r="A58" s="171"/>
      <c r="B58" s="171"/>
      <c r="C58" s="171"/>
      <c r="D58" s="5">
        <v>53</v>
      </c>
      <c r="E58" s="5" t="s">
        <v>106</v>
      </c>
      <c r="F58" s="123"/>
      <c r="G58" s="123"/>
      <c r="H58" s="123"/>
      <c r="I58" s="123"/>
      <c r="J58" s="123"/>
      <c r="K58" s="125"/>
      <c r="L58" s="123"/>
      <c r="M58" s="123"/>
      <c r="N58" s="125"/>
      <c r="O58" s="124">
        <v>1.74</v>
      </c>
      <c r="P58" s="123"/>
      <c r="Q58" s="124">
        <v>3</v>
      </c>
      <c r="R58" s="123"/>
      <c r="S58" s="123"/>
      <c r="T58" s="125">
        <f t="shared" si="2"/>
        <v>4.74</v>
      </c>
      <c r="U58" s="9" t="s">
        <v>65</v>
      </c>
      <c r="V58" s="1"/>
      <c r="W58" s="1"/>
      <c r="X58" s="1"/>
      <c r="Y58" s="1"/>
      <c r="Z58" s="1"/>
    </row>
    <row r="59" spans="1:26" ht="24.75" customHeight="1">
      <c r="A59" s="171"/>
      <c r="B59" s="171"/>
      <c r="C59" s="171"/>
      <c r="D59" s="5">
        <v>54</v>
      </c>
      <c r="E59" s="5" t="s">
        <v>107</v>
      </c>
      <c r="F59" s="123"/>
      <c r="G59" s="123"/>
      <c r="H59" s="124"/>
      <c r="I59" s="123"/>
      <c r="J59" s="123"/>
      <c r="K59" s="123"/>
      <c r="L59" s="123"/>
      <c r="M59" s="123"/>
      <c r="N59" s="123"/>
      <c r="O59" s="124">
        <v>0.105</v>
      </c>
      <c r="P59" s="124">
        <v>4</v>
      </c>
      <c r="Q59" s="123"/>
      <c r="R59" s="123"/>
      <c r="S59" s="123"/>
      <c r="T59" s="125">
        <f t="shared" si="2"/>
        <v>4.1050000000000004</v>
      </c>
      <c r="U59" s="9"/>
      <c r="V59" s="1"/>
      <c r="W59" s="1"/>
      <c r="X59" s="1"/>
      <c r="Y59" s="1"/>
      <c r="Z59" s="1"/>
    </row>
    <row r="60" spans="1:26" ht="24.75" customHeight="1">
      <c r="A60" s="171"/>
      <c r="B60" s="171"/>
      <c r="C60" s="171"/>
      <c r="D60" s="5">
        <v>55</v>
      </c>
      <c r="E60" s="5" t="s">
        <v>108</v>
      </c>
      <c r="F60" s="123"/>
      <c r="G60" s="123"/>
      <c r="H60" s="123"/>
      <c r="I60" s="123"/>
      <c r="J60" s="123"/>
      <c r="K60" s="125"/>
      <c r="L60" s="123"/>
      <c r="M60" s="123"/>
      <c r="N60" s="123"/>
      <c r="O60" s="123"/>
      <c r="P60" s="123"/>
      <c r="Q60" s="123"/>
      <c r="R60" s="123"/>
      <c r="S60" s="123"/>
      <c r="T60" s="125">
        <f t="shared" si="2"/>
        <v>0</v>
      </c>
      <c r="U60" s="9"/>
      <c r="V60" s="1"/>
      <c r="W60" s="1"/>
      <c r="X60" s="1"/>
      <c r="Y60" s="1"/>
      <c r="Z60" s="1"/>
    </row>
    <row r="61" spans="1:26" ht="24.75" customHeight="1">
      <c r="A61" s="171"/>
      <c r="B61" s="171"/>
      <c r="C61" s="171"/>
      <c r="D61" s="5">
        <v>56</v>
      </c>
      <c r="E61" s="5" t="s">
        <v>109</v>
      </c>
      <c r="F61" s="123"/>
      <c r="G61" s="123"/>
      <c r="H61" s="123"/>
      <c r="I61" s="123"/>
      <c r="J61" s="123"/>
      <c r="K61" s="123"/>
      <c r="L61" s="123"/>
      <c r="M61" s="123"/>
      <c r="N61" s="123"/>
      <c r="O61" s="124">
        <v>3.49</v>
      </c>
      <c r="P61" s="123"/>
      <c r="Q61" s="123"/>
      <c r="R61" s="123"/>
      <c r="S61" s="123"/>
      <c r="T61" s="125">
        <f t="shared" si="2"/>
        <v>3.49</v>
      </c>
      <c r="U61" s="9" t="s">
        <v>65</v>
      </c>
      <c r="V61" s="1"/>
      <c r="W61" s="1"/>
      <c r="X61" s="1"/>
      <c r="Y61" s="1"/>
      <c r="Z61" s="1"/>
    </row>
    <row r="62" spans="1:26" ht="24.75" customHeight="1">
      <c r="A62" s="171"/>
      <c r="B62" s="171"/>
      <c r="C62" s="171"/>
      <c r="D62" s="5">
        <v>57</v>
      </c>
      <c r="E62" s="5" t="s">
        <v>110</v>
      </c>
      <c r="F62" s="123"/>
      <c r="G62" s="123"/>
      <c r="H62" s="124"/>
      <c r="I62" s="123"/>
      <c r="J62" s="123"/>
      <c r="K62" s="123"/>
      <c r="L62" s="123"/>
      <c r="M62" s="125">
        <v>1.05</v>
      </c>
      <c r="N62" s="123"/>
      <c r="O62" s="123"/>
      <c r="P62" s="123"/>
      <c r="Q62" s="123"/>
      <c r="R62" s="123"/>
      <c r="S62" s="123"/>
      <c r="T62" s="125">
        <f t="shared" si="2"/>
        <v>1.05</v>
      </c>
      <c r="U62" s="9" t="s">
        <v>65</v>
      </c>
      <c r="V62" s="1"/>
      <c r="W62" s="1"/>
      <c r="X62" s="1"/>
      <c r="Y62" s="1"/>
      <c r="Z62" s="1"/>
    </row>
    <row r="63" spans="1:26" ht="24.75" customHeight="1">
      <c r="A63" s="171"/>
      <c r="B63" s="171"/>
      <c r="C63" s="171"/>
      <c r="D63" s="5">
        <v>58</v>
      </c>
      <c r="E63" s="5" t="s">
        <v>111</v>
      </c>
      <c r="F63" s="123"/>
      <c r="G63" s="123"/>
      <c r="H63" s="123"/>
      <c r="I63" s="123"/>
      <c r="J63" s="123"/>
      <c r="K63" s="125"/>
      <c r="L63" s="123"/>
      <c r="M63" s="123"/>
      <c r="N63" s="123"/>
      <c r="O63" s="124">
        <v>0.87</v>
      </c>
      <c r="P63" s="123"/>
      <c r="Q63" s="124">
        <v>0.75</v>
      </c>
      <c r="R63" s="123"/>
      <c r="S63" s="123"/>
      <c r="T63" s="125">
        <f t="shared" si="2"/>
        <v>1.62</v>
      </c>
      <c r="U63" s="9" t="s">
        <v>65</v>
      </c>
      <c r="V63" s="1"/>
      <c r="W63" s="1"/>
      <c r="X63" s="1"/>
      <c r="Y63" s="1"/>
      <c r="Z63" s="1"/>
    </row>
    <row r="64" spans="1:26" ht="24.75" customHeight="1">
      <c r="A64" s="171"/>
      <c r="B64" s="171"/>
      <c r="C64" s="171"/>
      <c r="D64" s="5">
        <v>59</v>
      </c>
      <c r="E64" s="5" t="s">
        <v>112</v>
      </c>
      <c r="F64" s="123"/>
      <c r="G64" s="123"/>
      <c r="H64" s="123"/>
      <c r="I64" s="123"/>
      <c r="J64" s="123"/>
      <c r="K64" s="123"/>
      <c r="L64" s="123"/>
      <c r="M64" s="123"/>
      <c r="N64" s="123"/>
      <c r="O64" s="123"/>
      <c r="P64" s="123"/>
      <c r="Q64" s="123"/>
      <c r="R64" s="123"/>
      <c r="S64" s="123"/>
      <c r="T64" s="125">
        <f t="shared" si="2"/>
        <v>0</v>
      </c>
      <c r="U64" s="9"/>
      <c r="V64" s="1"/>
      <c r="W64" s="1"/>
      <c r="X64" s="1"/>
      <c r="Y64" s="1"/>
      <c r="Z64" s="1"/>
    </row>
    <row r="65" spans="1:26" ht="24.75" customHeight="1">
      <c r="A65" s="171"/>
      <c r="B65" s="171"/>
      <c r="C65" s="171"/>
      <c r="D65" s="5">
        <v>60</v>
      </c>
      <c r="E65" s="5" t="s">
        <v>113</v>
      </c>
      <c r="F65" s="123"/>
      <c r="G65" s="123"/>
      <c r="H65" s="123"/>
      <c r="I65" s="123"/>
      <c r="J65" s="123"/>
      <c r="K65" s="123"/>
      <c r="L65" s="123"/>
      <c r="M65" s="123"/>
      <c r="N65" s="123"/>
      <c r="O65" s="123"/>
      <c r="P65" s="123"/>
      <c r="Q65" s="123"/>
      <c r="R65" s="123"/>
      <c r="S65" s="123"/>
      <c r="T65" s="125">
        <f t="shared" si="2"/>
        <v>0</v>
      </c>
      <c r="U65" s="9"/>
      <c r="V65" s="1"/>
      <c r="W65" s="1"/>
      <c r="X65" s="1"/>
      <c r="Y65" s="1"/>
      <c r="Z65" s="1"/>
    </row>
    <row r="66" spans="1:26" ht="24.75" customHeight="1">
      <c r="A66" s="171"/>
      <c r="B66" s="169"/>
      <c r="C66" s="169"/>
      <c r="D66" s="5">
        <v>61</v>
      </c>
      <c r="E66" s="5" t="s">
        <v>54</v>
      </c>
      <c r="F66" s="123"/>
      <c r="G66" s="123"/>
      <c r="H66" s="123"/>
      <c r="I66" s="123"/>
      <c r="J66" s="123"/>
      <c r="K66" s="123"/>
      <c r="L66" s="123"/>
      <c r="M66" s="123"/>
      <c r="N66" s="123"/>
      <c r="O66" s="123"/>
      <c r="P66" s="123"/>
      <c r="Q66" s="123"/>
      <c r="R66" s="123"/>
      <c r="S66" s="123"/>
      <c r="T66" s="125">
        <f t="shared" si="2"/>
        <v>0</v>
      </c>
      <c r="U66" s="9"/>
      <c r="V66" s="1"/>
      <c r="W66" s="1"/>
      <c r="X66" s="1"/>
      <c r="Y66" s="1"/>
      <c r="Z66" s="1"/>
    </row>
    <row r="67" spans="1:26" ht="24.75" customHeight="1">
      <c r="A67" s="171"/>
      <c r="B67" s="5" t="s">
        <v>114</v>
      </c>
      <c r="C67" s="5" t="s">
        <v>115</v>
      </c>
      <c r="D67" s="5">
        <v>62</v>
      </c>
      <c r="E67" s="5" t="s">
        <v>116</v>
      </c>
      <c r="F67" s="5"/>
      <c r="G67" s="5"/>
      <c r="H67" s="5"/>
      <c r="I67" s="5"/>
      <c r="J67" s="5"/>
      <c r="K67" s="5"/>
      <c r="L67" s="5"/>
      <c r="M67" s="6"/>
      <c r="N67" s="5"/>
      <c r="O67" s="8">
        <v>1</v>
      </c>
      <c r="P67" s="8"/>
      <c r="Q67" s="6">
        <v>0.25</v>
      </c>
      <c r="R67" s="5"/>
      <c r="S67" s="8"/>
      <c r="T67" s="6">
        <f t="shared" si="0"/>
        <v>1.25</v>
      </c>
      <c r="U67" s="61" t="s">
        <v>577</v>
      </c>
      <c r="V67" s="1"/>
      <c r="W67" s="1"/>
      <c r="X67" s="1"/>
      <c r="Y67" s="1"/>
      <c r="Z67" s="1"/>
    </row>
    <row r="68" spans="1:26" ht="24.75" customHeight="1">
      <c r="A68" s="169"/>
      <c r="B68" s="176" t="s">
        <v>117</v>
      </c>
      <c r="C68" s="177"/>
      <c r="D68" s="178"/>
      <c r="E68" s="51"/>
      <c r="F68" s="51">
        <f t="shared" ref="F68:S68" si="3">SUM(F6:F67)</f>
        <v>39.82</v>
      </c>
      <c r="G68" s="51">
        <f t="shared" si="3"/>
        <v>0</v>
      </c>
      <c r="H68" s="51">
        <f t="shared" si="3"/>
        <v>0</v>
      </c>
      <c r="I68" s="51">
        <f t="shared" si="3"/>
        <v>7.8550000000000004</v>
      </c>
      <c r="J68" s="51">
        <f t="shared" si="3"/>
        <v>0</v>
      </c>
      <c r="K68" s="51">
        <f t="shared" si="3"/>
        <v>45.594000000000001</v>
      </c>
      <c r="L68" s="51">
        <f t="shared" si="3"/>
        <v>0</v>
      </c>
      <c r="M68" s="51">
        <f t="shared" si="3"/>
        <v>18.334</v>
      </c>
      <c r="N68" s="51">
        <f t="shared" si="3"/>
        <v>41.298549999999999</v>
      </c>
      <c r="O68" s="51">
        <f t="shared" si="3"/>
        <v>103.48124999999999</v>
      </c>
      <c r="P68" s="51">
        <f t="shared" si="3"/>
        <v>267.46199999999993</v>
      </c>
      <c r="Q68" s="51">
        <f t="shared" si="3"/>
        <v>38.102499999999999</v>
      </c>
      <c r="R68" s="51">
        <f t="shared" si="3"/>
        <v>11.366499999999998</v>
      </c>
      <c r="S68" s="51">
        <f t="shared" si="3"/>
        <v>0.3</v>
      </c>
      <c r="T68" s="6">
        <f t="shared" si="0"/>
        <v>573.61379999999974</v>
      </c>
      <c r="U68" s="9"/>
      <c r="V68" s="1"/>
      <c r="W68" s="1"/>
      <c r="X68" s="1"/>
      <c r="Y68" s="1"/>
      <c r="Z68" s="1"/>
    </row>
    <row r="69" spans="1:26" ht="39.75" customHeight="1">
      <c r="A69" s="175" t="s">
        <v>118</v>
      </c>
      <c r="B69" s="5" t="s">
        <v>119</v>
      </c>
      <c r="C69" s="5" t="s">
        <v>120</v>
      </c>
      <c r="D69" s="5">
        <v>63</v>
      </c>
      <c r="E69" s="5" t="s">
        <v>121</v>
      </c>
      <c r="F69" s="5"/>
      <c r="G69" s="5"/>
      <c r="H69" s="5"/>
      <c r="I69" s="5"/>
      <c r="J69" s="5"/>
      <c r="K69" s="5"/>
      <c r="L69" s="5"/>
      <c r="M69" s="8"/>
      <c r="N69" s="6">
        <v>5.65</v>
      </c>
      <c r="O69" s="5"/>
      <c r="P69" s="6"/>
      <c r="Q69" s="5"/>
      <c r="R69" s="8">
        <v>5</v>
      </c>
      <c r="S69" s="8">
        <v>2</v>
      </c>
      <c r="T69" s="6">
        <f t="shared" si="0"/>
        <v>12.65</v>
      </c>
      <c r="U69" s="45" t="s">
        <v>364</v>
      </c>
      <c r="V69" s="18"/>
      <c r="W69" s="1"/>
      <c r="X69" s="1"/>
      <c r="Y69" s="1"/>
      <c r="Z69" s="1"/>
    </row>
    <row r="70" spans="1:26" ht="39.75" customHeight="1">
      <c r="A70" s="171"/>
      <c r="B70" s="168" t="s">
        <v>122</v>
      </c>
      <c r="C70" s="168" t="s">
        <v>123</v>
      </c>
      <c r="D70" s="5">
        <v>64</v>
      </c>
      <c r="E70" s="5" t="s">
        <v>124</v>
      </c>
      <c r="F70" s="15"/>
      <c r="G70" s="15"/>
      <c r="H70" s="16"/>
      <c r="I70" s="17"/>
      <c r="J70" s="15"/>
      <c r="K70" s="17"/>
      <c r="L70" s="15"/>
      <c r="M70" s="15"/>
      <c r="N70" s="17">
        <v>0.4</v>
      </c>
      <c r="O70" s="16">
        <v>0.45</v>
      </c>
      <c r="P70" s="17">
        <f>14.365+0.915</f>
        <v>15.280000000000001</v>
      </c>
      <c r="Q70" s="17">
        <v>0.79500000000000004</v>
      </c>
      <c r="R70" s="16">
        <v>2</v>
      </c>
      <c r="S70" s="16">
        <v>5</v>
      </c>
      <c r="T70" s="6">
        <f t="shared" ref="T70:T133" si="4">SUM(F70:S70)</f>
        <v>23.925000000000004</v>
      </c>
      <c r="U70" s="9" t="s">
        <v>484</v>
      </c>
      <c r="V70" s="18"/>
      <c r="W70" s="1"/>
      <c r="X70" s="1"/>
      <c r="Y70" s="1"/>
      <c r="Z70" s="1"/>
    </row>
    <row r="71" spans="1:26" ht="39.75" customHeight="1">
      <c r="A71" s="171"/>
      <c r="B71" s="171"/>
      <c r="C71" s="171"/>
      <c r="D71" s="5">
        <v>65</v>
      </c>
      <c r="E71" s="5" t="s">
        <v>126</v>
      </c>
      <c r="F71" s="15"/>
      <c r="G71" s="15"/>
      <c r="H71" s="15"/>
      <c r="I71" s="15"/>
      <c r="J71" s="15"/>
      <c r="K71" s="15"/>
      <c r="L71" s="15"/>
      <c r="M71" s="15"/>
      <c r="N71" s="17"/>
      <c r="O71" s="15"/>
      <c r="P71" s="16">
        <v>0.17</v>
      </c>
      <c r="Q71" s="15"/>
      <c r="R71" s="15"/>
      <c r="S71" s="16"/>
      <c r="T71" s="6">
        <f t="shared" si="4"/>
        <v>0.17</v>
      </c>
      <c r="U71" s="9" t="s">
        <v>366</v>
      </c>
      <c r="V71" s="1"/>
      <c r="W71" s="1"/>
      <c r="X71" s="1"/>
      <c r="Y71" s="1"/>
      <c r="Z71" s="1"/>
    </row>
    <row r="72" spans="1:26" ht="39.75" customHeight="1">
      <c r="A72" s="171"/>
      <c r="B72" s="171"/>
      <c r="C72" s="171"/>
      <c r="D72" s="5">
        <v>66</v>
      </c>
      <c r="E72" s="5" t="s">
        <v>128</v>
      </c>
      <c r="F72" s="15"/>
      <c r="G72" s="15"/>
      <c r="H72" s="15"/>
      <c r="I72" s="15"/>
      <c r="J72" s="15"/>
      <c r="K72" s="17"/>
      <c r="L72" s="15"/>
      <c r="M72" s="15"/>
      <c r="N72" s="17">
        <v>0.2</v>
      </c>
      <c r="O72" s="15"/>
      <c r="P72" s="16"/>
      <c r="Q72" s="17">
        <v>0.05</v>
      </c>
      <c r="R72" s="34">
        <v>0.15</v>
      </c>
      <c r="S72" s="15"/>
      <c r="T72" s="6">
        <f t="shared" si="4"/>
        <v>0.4</v>
      </c>
      <c r="U72" s="9" t="s">
        <v>129</v>
      </c>
      <c r="V72" s="1"/>
      <c r="W72" s="1"/>
      <c r="X72" s="1"/>
      <c r="Y72" s="1"/>
      <c r="Z72" s="1"/>
    </row>
    <row r="73" spans="1:26" ht="39.75" customHeight="1">
      <c r="A73" s="171"/>
      <c r="B73" s="171"/>
      <c r="C73" s="171"/>
      <c r="D73" s="5">
        <v>67</v>
      </c>
      <c r="E73" s="5" t="s">
        <v>131</v>
      </c>
      <c r="F73" s="15"/>
      <c r="G73" s="15"/>
      <c r="H73" s="15"/>
      <c r="I73" s="15">
        <v>0.68500000000000005</v>
      </c>
      <c r="J73" s="15"/>
      <c r="K73" s="17"/>
      <c r="L73" s="15"/>
      <c r="M73" s="15"/>
      <c r="N73" s="17">
        <v>0.4</v>
      </c>
      <c r="O73" s="15">
        <v>0.875</v>
      </c>
      <c r="P73" s="16">
        <v>2</v>
      </c>
      <c r="Q73" s="17">
        <v>0.495</v>
      </c>
      <c r="R73" s="16">
        <v>2.5</v>
      </c>
      <c r="S73" s="16"/>
      <c r="T73" s="6">
        <f t="shared" si="4"/>
        <v>6.9550000000000001</v>
      </c>
      <c r="U73" s="9" t="s">
        <v>451</v>
      </c>
      <c r="V73" s="1"/>
      <c r="W73" s="1"/>
      <c r="X73" s="1"/>
      <c r="Y73" s="1"/>
      <c r="Z73" s="1"/>
    </row>
    <row r="74" spans="1:26" ht="39.75" customHeight="1">
      <c r="A74" s="171"/>
      <c r="B74" s="169"/>
      <c r="C74" s="169"/>
      <c r="D74" s="5">
        <v>68</v>
      </c>
      <c r="E74" s="5" t="s">
        <v>133</v>
      </c>
      <c r="F74" s="16"/>
      <c r="G74" s="15"/>
      <c r="H74" s="15"/>
      <c r="I74" s="17"/>
      <c r="J74" s="15"/>
      <c r="K74" s="17"/>
      <c r="L74" s="15"/>
      <c r="M74" s="15"/>
      <c r="N74" s="17">
        <v>1.1000000000000001</v>
      </c>
      <c r="O74" s="16"/>
      <c r="P74" s="16">
        <f>0.305</f>
        <v>0.30499999999999999</v>
      </c>
      <c r="Q74" s="17">
        <v>2.25</v>
      </c>
      <c r="R74" s="16">
        <v>5.5</v>
      </c>
      <c r="S74" s="16">
        <v>0.55000000000000004</v>
      </c>
      <c r="T74" s="6">
        <f t="shared" si="4"/>
        <v>9.7050000000000018</v>
      </c>
      <c r="U74" s="9" t="s">
        <v>485</v>
      </c>
      <c r="V74" s="1"/>
      <c r="W74" s="1"/>
      <c r="X74" s="1"/>
      <c r="Y74" s="1"/>
      <c r="Z74" s="1"/>
    </row>
    <row r="75" spans="1:26" ht="39.75" customHeight="1">
      <c r="A75" s="171"/>
      <c r="B75" s="168" t="s">
        <v>136</v>
      </c>
      <c r="C75" s="168" t="s">
        <v>137</v>
      </c>
      <c r="D75" s="5">
        <v>69</v>
      </c>
      <c r="E75" s="5" t="s">
        <v>138</v>
      </c>
      <c r="F75" s="20"/>
      <c r="G75" s="20"/>
      <c r="H75" s="20"/>
      <c r="I75" s="20"/>
      <c r="J75" s="20"/>
      <c r="K75" s="20"/>
      <c r="L75" s="20"/>
      <c r="M75" s="20">
        <v>0.68</v>
      </c>
      <c r="N75" s="20"/>
      <c r="O75" s="20">
        <v>82.971000000000004</v>
      </c>
      <c r="P75" s="20">
        <v>0.15</v>
      </c>
      <c r="Q75" s="20"/>
      <c r="R75" s="20"/>
      <c r="S75" s="20"/>
      <c r="T75" s="6">
        <f t="shared" si="4"/>
        <v>83.801000000000016</v>
      </c>
      <c r="U75" s="10" t="s">
        <v>486</v>
      </c>
      <c r="V75" s="1"/>
      <c r="W75" s="1"/>
      <c r="X75" s="1"/>
      <c r="Y75" s="1"/>
      <c r="Z75" s="1"/>
    </row>
    <row r="76" spans="1:26" ht="39.75" customHeight="1">
      <c r="A76" s="171"/>
      <c r="B76" s="171"/>
      <c r="C76" s="171"/>
      <c r="D76" s="5">
        <v>70</v>
      </c>
      <c r="E76" s="5" t="s">
        <v>140</v>
      </c>
      <c r="F76" s="20"/>
      <c r="G76" s="20"/>
      <c r="H76" s="20"/>
      <c r="I76" s="22">
        <v>0.108</v>
      </c>
      <c r="J76" s="20"/>
      <c r="K76" s="20"/>
      <c r="L76" s="20"/>
      <c r="M76" s="20"/>
      <c r="N76" s="20"/>
      <c r="O76" s="20"/>
      <c r="P76" s="20">
        <v>0.3</v>
      </c>
      <c r="Q76" s="20"/>
      <c r="R76" s="20"/>
      <c r="S76" s="20"/>
      <c r="T76" s="6">
        <f t="shared" si="4"/>
        <v>0.40799999999999997</v>
      </c>
      <c r="U76" s="46" t="s">
        <v>487</v>
      </c>
      <c r="V76" s="1"/>
      <c r="W76" s="1"/>
      <c r="X76" s="1"/>
      <c r="Y76" s="1"/>
      <c r="Z76" s="1"/>
    </row>
    <row r="77" spans="1:26" ht="39.75" customHeight="1">
      <c r="A77" s="171"/>
      <c r="B77" s="171"/>
      <c r="C77" s="171"/>
      <c r="D77" s="5">
        <v>71</v>
      </c>
      <c r="E77" s="5" t="s">
        <v>142</v>
      </c>
      <c r="F77" s="20"/>
      <c r="G77" s="20"/>
      <c r="H77" s="20"/>
      <c r="I77" s="20"/>
      <c r="J77" s="20"/>
      <c r="K77" s="20"/>
      <c r="L77" s="20"/>
      <c r="M77" s="20"/>
      <c r="N77" s="20"/>
      <c r="O77" s="20"/>
      <c r="P77" s="20"/>
      <c r="Q77" s="20"/>
      <c r="R77" s="20"/>
      <c r="S77" s="20"/>
      <c r="T77" s="6">
        <f t="shared" si="4"/>
        <v>0</v>
      </c>
      <c r="U77" s="46"/>
      <c r="V77" s="1"/>
      <c r="W77" s="1"/>
      <c r="X77" s="1"/>
      <c r="Y77" s="1"/>
      <c r="Z77" s="1"/>
    </row>
    <row r="78" spans="1:26" ht="39.75" customHeight="1">
      <c r="A78" s="171"/>
      <c r="B78" s="169"/>
      <c r="C78" s="169"/>
      <c r="D78" s="5">
        <v>72</v>
      </c>
      <c r="E78" s="5" t="s">
        <v>143</v>
      </c>
      <c r="F78" s="23"/>
      <c r="G78" s="23"/>
      <c r="H78" s="23"/>
      <c r="I78" s="23"/>
      <c r="J78" s="23"/>
      <c r="K78" s="23"/>
      <c r="L78" s="23"/>
      <c r="M78" s="23"/>
      <c r="N78" s="23">
        <v>4.9829999999999997</v>
      </c>
      <c r="O78" s="23"/>
      <c r="P78" s="23"/>
      <c r="Q78" s="23">
        <v>2.9350000000000001</v>
      </c>
      <c r="R78" s="23">
        <v>2.8679999999999999</v>
      </c>
      <c r="S78" s="23"/>
      <c r="T78" s="6">
        <f t="shared" si="4"/>
        <v>10.786</v>
      </c>
      <c r="U78" s="46" t="s">
        <v>488</v>
      </c>
      <c r="V78" s="1"/>
      <c r="W78" s="1"/>
      <c r="X78" s="1"/>
      <c r="Y78" s="1"/>
      <c r="Z78" s="1"/>
    </row>
    <row r="79" spans="1:26" ht="39.75" customHeight="1">
      <c r="A79" s="171"/>
      <c r="B79" s="168" t="s">
        <v>145</v>
      </c>
      <c r="C79" s="168" t="s">
        <v>146</v>
      </c>
      <c r="D79" s="5">
        <v>73</v>
      </c>
      <c r="E79" s="5" t="s">
        <v>147</v>
      </c>
      <c r="F79" s="128">
        <v>4.0999999999999996</v>
      </c>
      <c r="G79" s="128"/>
      <c r="H79" s="128">
        <v>2.5</v>
      </c>
      <c r="I79" s="128">
        <f>2.5+2.4+2+1.5</f>
        <v>8.4</v>
      </c>
      <c r="J79" s="112"/>
      <c r="K79" s="128">
        <f>2.2</f>
        <v>2.2000000000000002</v>
      </c>
      <c r="L79" s="112"/>
      <c r="M79" s="128">
        <f>3.7+4</f>
        <v>7.7</v>
      </c>
      <c r="N79" s="128">
        <f>3.6+1.1+0.5</f>
        <v>5.2</v>
      </c>
      <c r="O79" s="128"/>
      <c r="P79" s="128">
        <f>1.1+0.15+1.2</f>
        <v>2.4500000000000002</v>
      </c>
      <c r="Q79" s="112"/>
      <c r="R79" s="128">
        <f>3.3+2.3+1.2+1.2+2.9+1</f>
        <v>11.9</v>
      </c>
      <c r="S79" s="128">
        <v>0.5</v>
      </c>
      <c r="T79" s="129">
        <f>SUM(F79:S79)</f>
        <v>44.949999999999996</v>
      </c>
      <c r="U79" s="130" t="s">
        <v>797</v>
      </c>
      <c r="V79" s="1"/>
      <c r="W79" s="1"/>
      <c r="X79" s="1"/>
      <c r="Y79" s="1"/>
      <c r="Z79" s="1"/>
    </row>
    <row r="80" spans="1:26" ht="39.75" customHeight="1">
      <c r="A80" s="171"/>
      <c r="B80" s="171"/>
      <c r="C80" s="171"/>
      <c r="D80" s="5">
        <v>74</v>
      </c>
      <c r="E80" s="5" t="s">
        <v>148</v>
      </c>
      <c r="F80" s="128">
        <f>31+2.6</f>
        <v>33.6</v>
      </c>
      <c r="G80" s="128"/>
      <c r="H80" s="112"/>
      <c r="I80" s="112"/>
      <c r="J80" s="112"/>
      <c r="K80" s="112"/>
      <c r="L80" s="112"/>
      <c r="M80" s="112"/>
      <c r="N80" s="112"/>
      <c r="O80" s="112"/>
      <c r="P80" s="112"/>
      <c r="Q80" s="112"/>
      <c r="R80" s="112"/>
      <c r="S80" s="112"/>
      <c r="T80" s="129">
        <f t="shared" ref="T80:T84" si="5">SUM(F80:S80)</f>
        <v>33.6</v>
      </c>
      <c r="U80" s="130" t="s">
        <v>798</v>
      </c>
      <c r="V80" s="1"/>
      <c r="W80" s="1"/>
      <c r="X80" s="1"/>
      <c r="Y80" s="1"/>
      <c r="Z80" s="1"/>
    </row>
    <row r="81" spans="1:26" ht="39.75" customHeight="1">
      <c r="A81" s="171"/>
      <c r="B81" s="171"/>
      <c r="C81" s="171"/>
      <c r="D81" s="5">
        <v>75</v>
      </c>
      <c r="E81" s="5" t="s">
        <v>149</v>
      </c>
      <c r="F81" s="128">
        <f>2.1+0.7</f>
        <v>2.8</v>
      </c>
      <c r="G81" s="128"/>
      <c r="H81" s="112"/>
      <c r="I81" s="112"/>
      <c r="J81" s="112"/>
      <c r="K81" s="112"/>
      <c r="L81" s="112"/>
      <c r="M81" s="112"/>
      <c r="N81" s="112"/>
      <c r="O81" s="112"/>
      <c r="P81" s="128">
        <f>4.5</f>
        <v>4.5</v>
      </c>
      <c r="Q81" s="112"/>
      <c r="R81" s="112"/>
      <c r="S81" s="112"/>
      <c r="T81" s="129">
        <f t="shared" si="5"/>
        <v>7.3</v>
      </c>
      <c r="U81" s="130" t="s">
        <v>799</v>
      </c>
      <c r="V81" s="1"/>
      <c r="W81" s="1"/>
      <c r="X81" s="1"/>
      <c r="Y81" s="1"/>
      <c r="Z81" s="1"/>
    </row>
    <row r="82" spans="1:26" ht="39.75" customHeight="1">
      <c r="A82" s="171"/>
      <c r="B82" s="171"/>
      <c r="C82" s="171"/>
      <c r="D82" s="5">
        <v>76</v>
      </c>
      <c r="E82" s="5" t="s">
        <v>150</v>
      </c>
      <c r="F82" s="112"/>
      <c r="G82" s="112"/>
      <c r="H82" s="112"/>
      <c r="I82" s="112"/>
      <c r="J82" s="112"/>
      <c r="K82" s="128"/>
      <c r="L82" s="112"/>
      <c r="M82" s="128">
        <f>1.6</f>
        <v>1.6</v>
      </c>
      <c r="N82" s="112"/>
      <c r="O82" s="112"/>
      <c r="P82" s="112"/>
      <c r="Q82" s="112"/>
      <c r="R82" s="112"/>
      <c r="S82" s="112"/>
      <c r="T82" s="129">
        <f t="shared" si="5"/>
        <v>1.6</v>
      </c>
      <c r="U82" s="131" t="s">
        <v>753</v>
      </c>
      <c r="V82" s="1"/>
      <c r="W82" s="1"/>
      <c r="X82" s="1"/>
      <c r="Y82" s="1"/>
      <c r="Z82" s="1"/>
    </row>
    <row r="83" spans="1:26" ht="39.75" customHeight="1">
      <c r="A83" s="171"/>
      <c r="B83" s="171"/>
      <c r="C83" s="171"/>
      <c r="D83" s="5">
        <v>77</v>
      </c>
      <c r="E83" s="5" t="s">
        <v>151</v>
      </c>
      <c r="F83" s="128">
        <v>1</v>
      </c>
      <c r="G83" s="128"/>
      <c r="H83" s="128">
        <v>1.5</v>
      </c>
      <c r="I83" s="128">
        <f>1+1</f>
        <v>2</v>
      </c>
      <c r="J83" s="112"/>
      <c r="K83" s="128">
        <f>1.1</f>
        <v>1.1000000000000001</v>
      </c>
      <c r="L83" s="112"/>
      <c r="M83" s="128"/>
      <c r="N83" s="128">
        <f>0.4</f>
        <v>0.4</v>
      </c>
      <c r="O83" s="112"/>
      <c r="P83" s="112"/>
      <c r="Q83" s="112"/>
      <c r="R83" s="112"/>
      <c r="S83" s="128">
        <f>0.5</f>
        <v>0.5</v>
      </c>
      <c r="T83" s="129">
        <f t="shared" si="5"/>
        <v>6.5</v>
      </c>
      <c r="U83" s="130" t="s">
        <v>800</v>
      </c>
      <c r="V83" s="1"/>
      <c r="W83" s="1"/>
      <c r="X83" s="1"/>
      <c r="Y83" s="1"/>
      <c r="Z83" s="1"/>
    </row>
    <row r="84" spans="1:26" ht="39.75" customHeight="1">
      <c r="A84" s="171"/>
      <c r="B84" s="171"/>
      <c r="C84" s="171"/>
      <c r="D84" s="5">
        <v>78</v>
      </c>
      <c r="E84" s="5" t="s">
        <v>152</v>
      </c>
      <c r="F84" s="112"/>
      <c r="G84" s="112"/>
      <c r="H84" s="112"/>
      <c r="I84" s="112"/>
      <c r="J84" s="112"/>
      <c r="K84" s="112"/>
      <c r="L84" s="112"/>
      <c r="M84" s="112"/>
      <c r="N84" s="112"/>
      <c r="O84" s="112"/>
      <c r="P84" s="112"/>
      <c r="Q84" s="128">
        <f>8.58+1</f>
        <v>9.58</v>
      </c>
      <c r="R84" s="112"/>
      <c r="S84" s="112"/>
      <c r="T84" s="129">
        <f t="shared" si="5"/>
        <v>9.58</v>
      </c>
      <c r="U84" s="130" t="s">
        <v>801</v>
      </c>
      <c r="V84" s="1"/>
      <c r="W84" s="1"/>
      <c r="X84" s="1"/>
      <c r="Y84" s="1"/>
      <c r="Z84" s="1"/>
    </row>
    <row r="85" spans="1:26" ht="39.75" customHeight="1">
      <c r="A85" s="171"/>
      <c r="B85" s="169"/>
      <c r="C85" s="169"/>
      <c r="D85" s="5">
        <v>79</v>
      </c>
      <c r="E85" s="5" t="s">
        <v>54</v>
      </c>
      <c r="F85" s="112"/>
      <c r="G85" s="112"/>
      <c r="H85" s="112"/>
      <c r="I85" s="112"/>
      <c r="J85" s="112"/>
      <c r="K85" s="112"/>
      <c r="L85" s="112"/>
      <c r="M85" s="112"/>
      <c r="N85" s="112"/>
      <c r="O85" s="112"/>
      <c r="P85" s="112"/>
      <c r="Q85" s="112"/>
      <c r="R85" s="112"/>
      <c r="S85" s="112"/>
      <c r="T85" s="129"/>
      <c r="U85" s="112"/>
      <c r="V85" s="1"/>
      <c r="W85" s="1"/>
      <c r="X85" s="1"/>
      <c r="Y85" s="1"/>
      <c r="Z85" s="1"/>
    </row>
    <row r="86" spans="1:26" ht="39.75" customHeight="1">
      <c r="A86" s="171"/>
      <c r="B86" s="168" t="s">
        <v>153</v>
      </c>
      <c r="C86" s="168" t="s">
        <v>154</v>
      </c>
      <c r="D86" s="5">
        <v>80</v>
      </c>
      <c r="E86" s="5" t="s">
        <v>155</v>
      </c>
      <c r="F86" s="5"/>
      <c r="G86" s="5"/>
      <c r="H86" s="5"/>
      <c r="I86" s="5"/>
      <c r="J86" s="5"/>
      <c r="K86" s="25"/>
      <c r="L86" s="5"/>
      <c r="M86" s="6"/>
      <c r="N86" s="5"/>
      <c r="O86" s="5"/>
      <c r="P86" s="8">
        <v>2.4</v>
      </c>
      <c r="Q86" s="6">
        <v>1</v>
      </c>
      <c r="R86" s="8"/>
      <c r="S86" s="5"/>
      <c r="T86" s="6">
        <f t="shared" si="4"/>
        <v>3.4</v>
      </c>
      <c r="U86" s="45" t="s">
        <v>489</v>
      </c>
      <c r="V86" s="1"/>
      <c r="W86" s="1"/>
      <c r="X86" s="1"/>
      <c r="Y86" s="1"/>
      <c r="Z86" s="1"/>
    </row>
    <row r="87" spans="1:26" ht="39.75" customHeight="1">
      <c r="A87" s="171"/>
      <c r="B87" s="171"/>
      <c r="C87" s="171"/>
      <c r="D87" s="5">
        <v>81</v>
      </c>
      <c r="E87" s="5" t="s">
        <v>156</v>
      </c>
      <c r="F87" s="5"/>
      <c r="G87" s="5"/>
      <c r="H87" s="5"/>
      <c r="I87" s="5"/>
      <c r="J87" s="5"/>
      <c r="K87" s="5"/>
      <c r="L87" s="5"/>
      <c r="M87" s="6"/>
      <c r="N87" s="6"/>
      <c r="O87" s="5"/>
      <c r="P87" s="8"/>
      <c r="Q87" s="8"/>
      <c r="R87" s="5"/>
      <c r="S87" s="5"/>
      <c r="T87" s="6">
        <f t="shared" si="4"/>
        <v>0</v>
      </c>
      <c r="U87" s="36"/>
      <c r="V87" s="1"/>
      <c r="W87" s="1"/>
      <c r="X87" s="1"/>
      <c r="Y87" s="1"/>
      <c r="Z87" s="1"/>
    </row>
    <row r="88" spans="1:26" ht="39.75" customHeight="1">
      <c r="A88" s="171"/>
      <c r="B88" s="171"/>
      <c r="C88" s="171"/>
      <c r="D88" s="5">
        <v>82</v>
      </c>
      <c r="E88" s="5" t="s">
        <v>157</v>
      </c>
      <c r="F88" s="5"/>
      <c r="G88" s="5"/>
      <c r="H88" s="5"/>
      <c r="I88" s="5"/>
      <c r="J88" s="5"/>
      <c r="K88" s="5"/>
      <c r="L88" s="5"/>
      <c r="M88" s="5"/>
      <c r="N88" s="5"/>
      <c r="O88" s="5"/>
      <c r="P88" s="8"/>
      <c r="Q88" s="5"/>
      <c r="R88" s="5"/>
      <c r="S88" s="5"/>
      <c r="T88" s="6">
        <f t="shared" si="4"/>
        <v>0</v>
      </c>
      <c r="U88" s="36"/>
      <c r="V88" s="1"/>
      <c r="W88" s="1"/>
      <c r="X88" s="1"/>
      <c r="Y88" s="1"/>
      <c r="Z88" s="1"/>
    </row>
    <row r="89" spans="1:26" ht="39.75" customHeight="1">
      <c r="A89" s="171"/>
      <c r="B89" s="169"/>
      <c r="C89" s="169"/>
      <c r="D89" s="5">
        <v>83</v>
      </c>
      <c r="E89" s="5" t="s">
        <v>158</v>
      </c>
      <c r="F89" s="5"/>
      <c r="G89" s="5"/>
      <c r="H89" s="5"/>
      <c r="I89" s="5"/>
      <c r="J89" s="5"/>
      <c r="K89" s="6">
        <v>2</v>
      </c>
      <c r="L89" s="5"/>
      <c r="M89" s="8"/>
      <c r="N89" s="6"/>
      <c r="O89" s="5"/>
      <c r="P89" s="8">
        <v>1.04</v>
      </c>
      <c r="Q89" s="6"/>
      <c r="R89" s="8"/>
      <c r="S89" s="5"/>
      <c r="T89" s="6">
        <f t="shared" si="4"/>
        <v>3.04</v>
      </c>
      <c r="U89" s="36" t="s">
        <v>490</v>
      </c>
      <c r="V89" s="1"/>
      <c r="W89" s="1"/>
      <c r="X89" s="1"/>
      <c r="Y89" s="1"/>
      <c r="Z89" s="1"/>
    </row>
    <row r="90" spans="1:26" ht="39.75" customHeight="1">
      <c r="A90" s="171"/>
      <c r="B90" s="5" t="s">
        <v>159</v>
      </c>
      <c r="C90" s="5" t="s">
        <v>160</v>
      </c>
      <c r="D90" s="5">
        <v>84</v>
      </c>
      <c r="E90" s="5" t="s">
        <v>161</v>
      </c>
      <c r="F90" s="5"/>
      <c r="G90" s="5"/>
      <c r="H90" s="5"/>
      <c r="I90" s="6"/>
      <c r="J90" s="5"/>
      <c r="K90" s="6"/>
      <c r="L90" s="5"/>
      <c r="M90" s="5"/>
      <c r="N90" s="6">
        <v>0.78</v>
      </c>
      <c r="O90" s="5"/>
      <c r="P90" s="5"/>
      <c r="Q90" s="6">
        <v>2.5</v>
      </c>
      <c r="R90" s="8">
        <v>0.2</v>
      </c>
      <c r="S90" s="5"/>
      <c r="T90" s="6">
        <f t="shared" si="4"/>
        <v>3.4800000000000004</v>
      </c>
      <c r="U90" s="9" t="s">
        <v>581</v>
      </c>
      <c r="V90" s="1"/>
      <c r="W90" s="1"/>
      <c r="X90" s="1"/>
      <c r="Y90" s="1"/>
      <c r="Z90" s="1"/>
    </row>
    <row r="91" spans="1:26" ht="39.75" customHeight="1">
      <c r="A91" s="171"/>
      <c r="B91" s="5" t="s">
        <v>162</v>
      </c>
      <c r="C91" s="5" t="s">
        <v>163</v>
      </c>
      <c r="D91" s="5">
        <v>85</v>
      </c>
      <c r="E91" s="5" t="s">
        <v>164</v>
      </c>
      <c r="F91" s="5"/>
      <c r="G91" s="5"/>
      <c r="H91" s="5"/>
      <c r="I91" s="5"/>
      <c r="J91" s="5"/>
      <c r="K91" s="6"/>
      <c r="L91" s="5"/>
      <c r="M91" s="5"/>
      <c r="N91" s="6">
        <v>0.25</v>
      </c>
      <c r="O91" s="5"/>
      <c r="P91" s="5"/>
      <c r="Q91" s="6">
        <v>1</v>
      </c>
      <c r="R91" s="8"/>
      <c r="S91" s="5"/>
      <c r="T91" s="6">
        <f t="shared" si="4"/>
        <v>1.25</v>
      </c>
      <c r="U91" s="9" t="s">
        <v>165</v>
      </c>
      <c r="V91" s="1"/>
      <c r="W91" s="1"/>
      <c r="X91" s="1"/>
      <c r="Y91" s="1"/>
      <c r="Z91" s="1"/>
    </row>
    <row r="92" spans="1:26" ht="39.75" customHeight="1">
      <c r="A92" s="171"/>
      <c r="B92" s="5" t="s">
        <v>166</v>
      </c>
      <c r="C92" s="5" t="s">
        <v>54</v>
      </c>
      <c r="D92" s="5">
        <v>86</v>
      </c>
      <c r="E92" s="5" t="s">
        <v>167</v>
      </c>
      <c r="F92" s="5"/>
      <c r="G92" s="5"/>
      <c r="H92" s="5"/>
      <c r="I92" s="5"/>
      <c r="J92" s="5"/>
      <c r="K92" s="5"/>
      <c r="L92" s="5"/>
      <c r="M92" s="5"/>
      <c r="N92" s="5"/>
      <c r="O92" s="5"/>
      <c r="P92" s="5"/>
      <c r="Q92" s="5"/>
      <c r="R92" s="5"/>
      <c r="S92" s="5"/>
      <c r="T92" s="6">
        <f t="shared" si="4"/>
        <v>0</v>
      </c>
      <c r="U92" s="9"/>
      <c r="V92" s="1"/>
      <c r="W92" s="1"/>
      <c r="X92" s="1"/>
      <c r="Y92" s="1"/>
      <c r="Z92" s="1"/>
    </row>
    <row r="93" spans="1:26" ht="39.75" customHeight="1">
      <c r="A93" s="169"/>
      <c r="B93" s="176" t="s">
        <v>168</v>
      </c>
      <c r="C93" s="177"/>
      <c r="D93" s="178"/>
      <c r="E93" s="51"/>
      <c r="F93" s="51">
        <f t="shared" ref="F93:S93" si="6">SUM(F69:F92)</f>
        <v>41.5</v>
      </c>
      <c r="G93" s="51">
        <f t="shared" si="6"/>
        <v>0</v>
      </c>
      <c r="H93" s="51">
        <f t="shared" si="6"/>
        <v>4</v>
      </c>
      <c r="I93" s="51">
        <f t="shared" si="6"/>
        <v>11.193</v>
      </c>
      <c r="J93" s="51">
        <f t="shared" si="6"/>
        <v>0</v>
      </c>
      <c r="K93" s="51">
        <f t="shared" si="6"/>
        <v>5.3000000000000007</v>
      </c>
      <c r="L93" s="51">
        <f t="shared" si="6"/>
        <v>0</v>
      </c>
      <c r="M93" s="56">
        <f t="shared" si="6"/>
        <v>9.98</v>
      </c>
      <c r="N93" s="52">
        <f t="shared" si="6"/>
        <v>19.363</v>
      </c>
      <c r="O93" s="51">
        <f t="shared" si="6"/>
        <v>84.296000000000006</v>
      </c>
      <c r="P93" s="52">
        <f t="shared" si="6"/>
        <v>28.594999999999999</v>
      </c>
      <c r="Q93" s="51">
        <f t="shared" si="6"/>
        <v>20.605</v>
      </c>
      <c r="R93" s="56">
        <f t="shared" si="6"/>
        <v>30.117999999999999</v>
      </c>
      <c r="S93" s="56">
        <f t="shared" si="6"/>
        <v>8.5500000000000007</v>
      </c>
      <c r="T93" s="52">
        <f t="shared" si="4"/>
        <v>263.5</v>
      </c>
      <c r="U93" s="9"/>
      <c r="V93" s="1"/>
      <c r="W93" s="1"/>
      <c r="X93" s="1"/>
      <c r="Y93" s="1"/>
      <c r="Z93" s="1"/>
    </row>
    <row r="94" spans="1:26" ht="39.75" customHeight="1">
      <c r="A94" s="175" t="s">
        <v>169</v>
      </c>
      <c r="B94" s="168" t="s">
        <v>170</v>
      </c>
      <c r="C94" s="168" t="s">
        <v>171</v>
      </c>
      <c r="D94" s="5">
        <v>87</v>
      </c>
      <c r="E94" s="5" t="s">
        <v>172</v>
      </c>
      <c r="F94" s="114"/>
      <c r="G94" s="114"/>
      <c r="H94" s="114"/>
      <c r="I94" s="114"/>
      <c r="J94" s="114"/>
      <c r="K94" s="115">
        <v>8</v>
      </c>
      <c r="L94" s="114"/>
      <c r="M94" s="114"/>
      <c r="N94" s="114"/>
      <c r="O94" s="114"/>
      <c r="P94" s="114"/>
      <c r="Q94" s="114"/>
      <c r="R94" s="114"/>
      <c r="S94" s="116"/>
      <c r="T94" s="117">
        <f>SUM(F94:S94)</f>
        <v>8</v>
      </c>
      <c r="U94" s="88" t="s">
        <v>729</v>
      </c>
      <c r="V94" s="1"/>
      <c r="W94" s="1"/>
      <c r="X94" s="1"/>
      <c r="Y94" s="1"/>
      <c r="Z94" s="1"/>
    </row>
    <row r="95" spans="1:26" ht="39.75" customHeight="1">
      <c r="A95" s="171"/>
      <c r="B95" s="171"/>
      <c r="C95" s="171"/>
      <c r="D95" s="5">
        <v>88</v>
      </c>
      <c r="E95" s="5" t="s">
        <v>173</v>
      </c>
      <c r="F95" s="114"/>
      <c r="G95" s="114"/>
      <c r="H95" s="114"/>
      <c r="I95" s="114"/>
      <c r="J95" s="114"/>
      <c r="K95" s="114"/>
      <c r="L95" s="114"/>
      <c r="M95" s="114"/>
      <c r="N95" s="114"/>
      <c r="O95" s="114"/>
      <c r="P95" s="118">
        <v>5</v>
      </c>
      <c r="Q95" s="114"/>
      <c r="R95" s="114"/>
      <c r="S95" s="116"/>
      <c r="T95" s="117">
        <f t="shared" ref="T95:T103" si="7">SUM(F95:S95)</f>
        <v>5</v>
      </c>
      <c r="U95" s="88" t="s">
        <v>390</v>
      </c>
      <c r="V95" s="1"/>
      <c r="W95" s="1"/>
      <c r="X95" s="1"/>
      <c r="Y95" s="1"/>
      <c r="Z95" s="1"/>
    </row>
    <row r="96" spans="1:26" ht="39.75" customHeight="1">
      <c r="A96" s="171"/>
      <c r="B96" s="171"/>
      <c r="C96" s="171"/>
      <c r="D96" s="5">
        <v>89</v>
      </c>
      <c r="E96" s="5" t="s">
        <v>174</v>
      </c>
      <c r="F96" s="114"/>
      <c r="G96" s="114"/>
      <c r="H96" s="114"/>
      <c r="I96" s="114"/>
      <c r="J96" s="114"/>
      <c r="K96" s="114"/>
      <c r="L96" s="114"/>
      <c r="M96" s="114"/>
      <c r="N96" s="114"/>
      <c r="O96" s="114"/>
      <c r="P96" s="114"/>
      <c r="Q96" s="114"/>
      <c r="R96" s="114"/>
      <c r="S96" s="116"/>
      <c r="T96" s="117">
        <f t="shared" si="7"/>
        <v>0</v>
      </c>
      <c r="U96" s="88"/>
      <c r="V96" s="1"/>
      <c r="W96" s="1"/>
      <c r="X96" s="1"/>
      <c r="Y96" s="1"/>
      <c r="Z96" s="1"/>
    </row>
    <row r="97" spans="1:26" ht="39.75" customHeight="1">
      <c r="A97" s="171"/>
      <c r="B97" s="171"/>
      <c r="C97" s="171"/>
      <c r="D97" s="5">
        <v>90</v>
      </c>
      <c r="E97" s="5" t="s">
        <v>175</v>
      </c>
      <c r="F97" s="114"/>
      <c r="G97" s="114"/>
      <c r="H97" s="114"/>
      <c r="I97" s="114"/>
      <c r="J97" s="114"/>
      <c r="K97" s="114"/>
      <c r="L97" s="114"/>
      <c r="M97" s="114"/>
      <c r="N97" s="114"/>
      <c r="O97" s="114"/>
      <c r="P97" s="118"/>
      <c r="Q97" s="114"/>
      <c r="R97" s="114"/>
      <c r="S97" s="116"/>
      <c r="T97" s="117">
        <f t="shared" si="7"/>
        <v>0</v>
      </c>
      <c r="U97" s="88"/>
      <c r="V97" s="1"/>
      <c r="W97" s="1"/>
      <c r="X97" s="1"/>
      <c r="Y97" s="1"/>
      <c r="Z97" s="1"/>
    </row>
    <row r="98" spans="1:26" ht="39.75" customHeight="1">
      <c r="A98" s="171"/>
      <c r="B98" s="171"/>
      <c r="C98" s="171"/>
      <c r="D98" s="5">
        <v>91</v>
      </c>
      <c r="E98" s="5" t="s">
        <v>176</v>
      </c>
      <c r="F98" s="114"/>
      <c r="G98" s="114"/>
      <c r="H98" s="114"/>
      <c r="I98" s="114"/>
      <c r="J98" s="114"/>
      <c r="K98" s="115">
        <v>0</v>
      </c>
      <c r="L98" s="114"/>
      <c r="M98" s="114"/>
      <c r="N98" s="114"/>
      <c r="O98" s="114"/>
      <c r="P98" s="118">
        <v>2</v>
      </c>
      <c r="Q98" s="114"/>
      <c r="R98" s="114"/>
      <c r="S98" s="116"/>
      <c r="T98" s="117">
        <f t="shared" si="7"/>
        <v>2</v>
      </c>
      <c r="U98" s="121" t="s">
        <v>491</v>
      </c>
      <c r="V98" s="1"/>
      <c r="W98" s="1"/>
      <c r="X98" s="1"/>
      <c r="Y98" s="1"/>
      <c r="Z98" s="1"/>
    </row>
    <row r="99" spans="1:26" ht="39.75" customHeight="1">
      <c r="A99" s="171"/>
      <c r="B99" s="171"/>
      <c r="C99" s="171"/>
      <c r="D99" s="5">
        <v>92</v>
      </c>
      <c r="E99" s="5" t="s">
        <v>178</v>
      </c>
      <c r="F99" s="114"/>
      <c r="G99" s="114"/>
      <c r="H99" s="114"/>
      <c r="I99" s="114"/>
      <c r="J99" s="114"/>
      <c r="K99" s="114"/>
      <c r="L99" s="114"/>
      <c r="M99" s="114"/>
      <c r="N99" s="114"/>
      <c r="O99" s="114"/>
      <c r="P99" s="118">
        <v>2</v>
      </c>
      <c r="Q99" s="114"/>
      <c r="R99" s="114"/>
      <c r="S99" s="116"/>
      <c r="T99" s="117">
        <f t="shared" si="7"/>
        <v>2</v>
      </c>
      <c r="U99" s="122" t="s">
        <v>179</v>
      </c>
      <c r="V99" s="1"/>
      <c r="W99" s="1"/>
      <c r="X99" s="1"/>
      <c r="Y99" s="1"/>
      <c r="Z99" s="1"/>
    </row>
    <row r="100" spans="1:26" ht="39.75" customHeight="1">
      <c r="A100" s="171"/>
      <c r="B100" s="171"/>
      <c r="C100" s="171"/>
      <c r="D100" s="5">
        <v>93</v>
      </c>
      <c r="E100" s="5" t="s">
        <v>180</v>
      </c>
      <c r="F100" s="114"/>
      <c r="G100" s="114"/>
      <c r="H100" s="114"/>
      <c r="I100" s="118"/>
      <c r="J100" s="114"/>
      <c r="K100" s="114"/>
      <c r="L100" s="114"/>
      <c r="M100" s="114"/>
      <c r="N100" s="114"/>
      <c r="O100" s="114"/>
      <c r="P100" s="114"/>
      <c r="Q100" s="114"/>
      <c r="R100" s="114"/>
      <c r="S100" s="116"/>
      <c r="T100" s="117">
        <f t="shared" si="7"/>
        <v>0</v>
      </c>
      <c r="U100" s="121"/>
      <c r="V100" s="1"/>
      <c r="W100" s="1"/>
      <c r="X100" s="1"/>
      <c r="Y100" s="1"/>
      <c r="Z100" s="1"/>
    </row>
    <row r="101" spans="1:26" ht="39.75" customHeight="1">
      <c r="A101" s="171"/>
      <c r="B101" s="171"/>
      <c r="C101" s="171"/>
      <c r="D101" s="5">
        <v>94</v>
      </c>
      <c r="E101" s="5" t="s">
        <v>181</v>
      </c>
      <c r="F101" s="114"/>
      <c r="G101" s="114"/>
      <c r="H101" s="114"/>
      <c r="I101" s="118"/>
      <c r="J101" s="114"/>
      <c r="K101" s="114"/>
      <c r="L101" s="114"/>
      <c r="M101" s="114"/>
      <c r="N101" s="114"/>
      <c r="O101" s="114"/>
      <c r="P101" s="114"/>
      <c r="Q101" s="114"/>
      <c r="R101" s="114"/>
      <c r="S101" s="116"/>
      <c r="T101" s="117">
        <f t="shared" si="7"/>
        <v>0</v>
      </c>
      <c r="U101" s="122"/>
      <c r="V101" s="1"/>
      <c r="W101" s="1"/>
      <c r="X101" s="1"/>
      <c r="Y101" s="1"/>
      <c r="Z101" s="1"/>
    </row>
    <row r="102" spans="1:26" ht="39.75" customHeight="1">
      <c r="A102" s="171"/>
      <c r="B102" s="171"/>
      <c r="C102" s="171"/>
      <c r="D102" s="5">
        <v>95</v>
      </c>
      <c r="E102" s="5" t="s">
        <v>182</v>
      </c>
      <c r="F102" s="114"/>
      <c r="G102" s="114"/>
      <c r="H102" s="118"/>
      <c r="I102" s="115">
        <v>1</v>
      </c>
      <c r="J102" s="114"/>
      <c r="K102" s="114"/>
      <c r="L102" s="114"/>
      <c r="M102" s="114"/>
      <c r="N102" s="114"/>
      <c r="O102" s="114"/>
      <c r="P102" s="114"/>
      <c r="Q102" s="114"/>
      <c r="R102" s="114"/>
      <c r="S102" s="116"/>
      <c r="T102" s="117">
        <f t="shared" si="7"/>
        <v>1</v>
      </c>
      <c r="U102" s="88" t="s">
        <v>730</v>
      </c>
      <c r="V102" s="1"/>
      <c r="W102" s="1"/>
      <c r="X102" s="1"/>
      <c r="Y102" s="1"/>
      <c r="Z102" s="1"/>
    </row>
    <row r="103" spans="1:26" ht="39.75" customHeight="1">
      <c r="A103" s="171"/>
      <c r="B103" s="169"/>
      <c r="C103" s="169"/>
      <c r="D103" s="5">
        <v>96</v>
      </c>
      <c r="E103" s="5" t="s">
        <v>183</v>
      </c>
      <c r="F103" s="114"/>
      <c r="G103" s="114"/>
      <c r="H103" s="114"/>
      <c r="I103" s="114"/>
      <c r="J103" s="114"/>
      <c r="K103" s="114"/>
      <c r="L103" s="114"/>
      <c r="M103" s="114"/>
      <c r="N103" s="115">
        <v>0</v>
      </c>
      <c r="O103" s="114"/>
      <c r="P103" s="114"/>
      <c r="Q103" s="115">
        <v>1</v>
      </c>
      <c r="R103" s="118">
        <v>1</v>
      </c>
      <c r="S103" s="116"/>
      <c r="T103" s="117">
        <f t="shared" si="7"/>
        <v>2</v>
      </c>
      <c r="U103" s="88" t="s">
        <v>421</v>
      </c>
      <c r="V103" s="1"/>
      <c r="W103" s="1"/>
      <c r="X103" s="1"/>
      <c r="Y103" s="1"/>
      <c r="Z103" s="1"/>
    </row>
    <row r="104" spans="1:26" ht="39.75" customHeight="1">
      <c r="A104" s="171"/>
      <c r="B104" s="168" t="s">
        <v>184</v>
      </c>
      <c r="C104" s="168" t="s">
        <v>185</v>
      </c>
      <c r="D104" s="5">
        <v>97</v>
      </c>
      <c r="E104" s="5" t="s">
        <v>186</v>
      </c>
      <c r="F104" s="5"/>
      <c r="G104" s="5"/>
      <c r="H104" s="8"/>
      <c r="I104" s="6"/>
      <c r="J104" s="5"/>
      <c r="K104" s="5"/>
      <c r="L104" s="5"/>
      <c r="M104" s="5"/>
      <c r="N104" s="5">
        <v>5.5</v>
      </c>
      <c r="O104" s="5"/>
      <c r="P104" s="5">
        <v>16.2</v>
      </c>
      <c r="Q104" s="5">
        <v>4</v>
      </c>
      <c r="R104" s="5">
        <v>11.55</v>
      </c>
      <c r="S104" s="5"/>
      <c r="T104" s="6">
        <f t="shared" si="4"/>
        <v>37.25</v>
      </c>
      <c r="U104" s="10" t="s">
        <v>391</v>
      </c>
      <c r="V104" s="1"/>
      <c r="W104" s="1"/>
      <c r="X104" s="1"/>
      <c r="Y104" s="1"/>
      <c r="Z104" s="1"/>
    </row>
    <row r="105" spans="1:26" ht="39.75" customHeight="1">
      <c r="A105" s="171"/>
      <c r="B105" s="169"/>
      <c r="C105" s="169"/>
      <c r="D105" s="5">
        <v>98</v>
      </c>
      <c r="E105" s="5" t="s">
        <v>54</v>
      </c>
      <c r="F105" s="5"/>
      <c r="G105" s="5"/>
      <c r="H105" s="5"/>
      <c r="I105" s="5"/>
      <c r="J105" s="5"/>
      <c r="K105" s="5"/>
      <c r="L105" s="5"/>
      <c r="M105" s="5"/>
      <c r="N105" s="6"/>
      <c r="O105" s="5"/>
      <c r="P105" s="5"/>
      <c r="Q105" s="6"/>
      <c r="R105" s="5"/>
      <c r="S105" s="5"/>
      <c r="T105" s="6">
        <f t="shared" si="4"/>
        <v>0</v>
      </c>
      <c r="U105" s="46"/>
      <c r="V105" s="1"/>
      <c r="W105" s="1"/>
      <c r="X105" s="1"/>
      <c r="Y105" s="1"/>
      <c r="Z105" s="1"/>
    </row>
    <row r="106" spans="1:26" ht="39.75" customHeight="1">
      <c r="A106" s="171"/>
      <c r="B106" s="168" t="s">
        <v>188</v>
      </c>
      <c r="C106" s="168" t="s">
        <v>189</v>
      </c>
      <c r="D106" s="5">
        <v>99</v>
      </c>
      <c r="E106" s="5" t="s">
        <v>190</v>
      </c>
      <c r="F106" s="5"/>
      <c r="G106" s="5"/>
      <c r="H106" s="8"/>
      <c r="I106" s="5">
        <v>2</v>
      </c>
      <c r="J106" s="5"/>
      <c r="K106" s="5"/>
      <c r="L106" s="5"/>
      <c r="M106" s="5"/>
      <c r="N106" s="6">
        <v>0.8</v>
      </c>
      <c r="O106" s="5"/>
      <c r="P106" s="5"/>
      <c r="Q106" s="6">
        <v>4</v>
      </c>
      <c r="R106" s="5"/>
      <c r="S106" s="5"/>
      <c r="T106" s="6">
        <f t="shared" si="4"/>
        <v>6.8</v>
      </c>
      <c r="U106" s="46" t="s">
        <v>374</v>
      </c>
      <c r="V106" s="1"/>
      <c r="W106" s="1"/>
      <c r="X106" s="1"/>
      <c r="Y106" s="1"/>
      <c r="Z106" s="1"/>
    </row>
    <row r="107" spans="1:26" ht="39.75" customHeight="1">
      <c r="A107" s="171"/>
      <c r="B107" s="171"/>
      <c r="C107" s="171"/>
      <c r="D107" s="5">
        <v>100</v>
      </c>
      <c r="E107" s="5" t="s">
        <v>192</v>
      </c>
      <c r="F107" s="5"/>
      <c r="G107" s="5"/>
      <c r="H107" s="5"/>
      <c r="I107" s="6">
        <v>0.5</v>
      </c>
      <c r="J107" s="5"/>
      <c r="K107" s="6"/>
      <c r="L107" s="5"/>
      <c r="M107" s="5"/>
      <c r="N107" s="5"/>
      <c r="O107" s="5"/>
      <c r="P107" s="5"/>
      <c r="Q107" s="5"/>
      <c r="R107" s="5"/>
      <c r="S107" s="5"/>
      <c r="T107" s="6">
        <f t="shared" si="4"/>
        <v>0.5</v>
      </c>
      <c r="U107" s="46" t="s">
        <v>193</v>
      </c>
      <c r="V107" s="1"/>
      <c r="W107" s="1"/>
      <c r="X107" s="1"/>
      <c r="Y107" s="1"/>
      <c r="Z107" s="1"/>
    </row>
    <row r="108" spans="1:26" ht="39.75" customHeight="1">
      <c r="A108" s="171"/>
      <c r="B108" s="171"/>
      <c r="C108" s="171"/>
      <c r="D108" s="5">
        <v>101</v>
      </c>
      <c r="E108" s="5" t="s">
        <v>194</v>
      </c>
      <c r="F108" s="5"/>
      <c r="G108" s="5"/>
      <c r="H108" s="5"/>
      <c r="I108" s="5"/>
      <c r="J108" s="5"/>
      <c r="K108" s="5"/>
      <c r="L108" s="5"/>
      <c r="M108" s="5"/>
      <c r="N108" s="5"/>
      <c r="O108" s="5"/>
      <c r="P108" s="5"/>
      <c r="Q108" s="5"/>
      <c r="R108" s="5"/>
      <c r="S108" s="5"/>
      <c r="T108" s="6">
        <f t="shared" si="4"/>
        <v>0</v>
      </c>
      <c r="U108" s="9"/>
      <c r="V108" s="1"/>
      <c r="W108" s="1"/>
      <c r="X108" s="1"/>
      <c r="Y108" s="1"/>
      <c r="Z108" s="1"/>
    </row>
    <row r="109" spans="1:26" ht="39.75" customHeight="1">
      <c r="A109" s="171"/>
      <c r="B109" s="171"/>
      <c r="C109" s="171"/>
      <c r="D109" s="5">
        <v>102</v>
      </c>
      <c r="E109" s="5" t="s">
        <v>195</v>
      </c>
      <c r="F109" s="5"/>
      <c r="G109" s="5"/>
      <c r="H109" s="5"/>
      <c r="I109" s="5"/>
      <c r="J109" s="5"/>
      <c r="K109" s="5"/>
      <c r="L109" s="5"/>
      <c r="M109" s="5"/>
      <c r="N109" s="5"/>
      <c r="O109" s="5"/>
      <c r="P109" s="5"/>
      <c r="Q109" s="6"/>
      <c r="R109" s="5"/>
      <c r="S109" s="5"/>
      <c r="T109" s="6">
        <f t="shared" si="4"/>
        <v>0</v>
      </c>
      <c r="U109" s="9"/>
      <c r="V109" s="1"/>
      <c r="W109" s="1"/>
      <c r="X109" s="1"/>
      <c r="Y109" s="1"/>
      <c r="Z109" s="1"/>
    </row>
    <row r="110" spans="1:26" ht="39.75" customHeight="1">
      <c r="A110" s="171"/>
      <c r="B110" s="169"/>
      <c r="C110" s="169"/>
      <c r="D110" s="5">
        <v>103</v>
      </c>
      <c r="E110" s="5" t="s">
        <v>54</v>
      </c>
      <c r="F110" s="5"/>
      <c r="G110" s="5"/>
      <c r="H110" s="5"/>
      <c r="I110" s="5"/>
      <c r="J110" s="5"/>
      <c r="K110" s="5"/>
      <c r="L110" s="5"/>
      <c r="M110" s="5"/>
      <c r="N110" s="5"/>
      <c r="O110" s="5"/>
      <c r="P110" s="8">
        <v>2.8</v>
      </c>
      <c r="Q110" s="5"/>
      <c r="R110" s="8"/>
      <c r="S110" s="8"/>
      <c r="T110" s="6">
        <f t="shared" si="4"/>
        <v>2.8</v>
      </c>
      <c r="U110" s="10" t="s">
        <v>196</v>
      </c>
      <c r="V110" s="1"/>
      <c r="W110" s="1"/>
      <c r="X110" s="1"/>
      <c r="Y110" s="1"/>
      <c r="Z110" s="1"/>
    </row>
    <row r="111" spans="1:26" ht="39.75" customHeight="1">
      <c r="A111" s="171"/>
      <c r="B111" s="168" t="s">
        <v>197</v>
      </c>
      <c r="C111" s="168" t="s">
        <v>198</v>
      </c>
      <c r="D111" s="5">
        <v>104</v>
      </c>
      <c r="E111" s="5" t="s">
        <v>199</v>
      </c>
      <c r="F111" s="5"/>
      <c r="G111" s="5"/>
      <c r="H111" s="5"/>
      <c r="I111" s="5"/>
      <c r="J111" s="5"/>
      <c r="K111" s="5"/>
      <c r="L111" s="5"/>
      <c r="M111" s="5"/>
      <c r="N111" s="8">
        <v>2</v>
      </c>
      <c r="O111" s="5"/>
      <c r="P111" s="8">
        <v>3</v>
      </c>
      <c r="Q111" s="8">
        <v>1</v>
      </c>
      <c r="R111" s="8"/>
      <c r="S111" s="8"/>
      <c r="T111" s="6">
        <f t="shared" si="4"/>
        <v>6</v>
      </c>
      <c r="U111" s="113" t="s">
        <v>691</v>
      </c>
      <c r="V111" s="1"/>
      <c r="W111" s="1"/>
      <c r="X111" s="1"/>
      <c r="Y111" s="1"/>
      <c r="Z111" s="1"/>
    </row>
    <row r="112" spans="1:26" ht="39.75" customHeight="1">
      <c r="A112" s="171"/>
      <c r="B112" s="171"/>
      <c r="C112" s="171"/>
      <c r="D112" s="5">
        <v>105</v>
      </c>
      <c r="E112" s="5" t="s">
        <v>200</v>
      </c>
      <c r="F112" s="5"/>
      <c r="G112" s="5"/>
      <c r="H112" s="5"/>
      <c r="I112" s="5"/>
      <c r="J112" s="5"/>
      <c r="K112" s="5"/>
      <c r="L112" s="5"/>
      <c r="M112" s="5"/>
      <c r="N112" s="5"/>
      <c r="O112" s="5"/>
      <c r="P112" s="5"/>
      <c r="Q112" s="5"/>
      <c r="R112" s="5"/>
      <c r="S112" s="5"/>
      <c r="T112" s="6">
        <f t="shared" si="4"/>
        <v>0</v>
      </c>
      <c r="U112" s="9"/>
      <c r="V112" s="1"/>
      <c r="W112" s="1"/>
      <c r="X112" s="1"/>
      <c r="Y112" s="1"/>
      <c r="Z112" s="1"/>
    </row>
    <row r="113" spans="1:26" ht="39.75" customHeight="1">
      <c r="A113" s="171"/>
      <c r="B113" s="169"/>
      <c r="C113" s="169"/>
      <c r="D113" s="5">
        <v>106</v>
      </c>
      <c r="E113" s="5" t="s">
        <v>201</v>
      </c>
      <c r="F113" s="5"/>
      <c r="G113" s="5"/>
      <c r="H113" s="5"/>
      <c r="I113" s="6"/>
      <c r="J113" s="5"/>
      <c r="K113" s="6"/>
      <c r="L113" s="5"/>
      <c r="M113" s="5"/>
      <c r="N113" s="6"/>
      <c r="O113" s="5"/>
      <c r="P113" s="8"/>
      <c r="Q113" s="6">
        <v>2</v>
      </c>
      <c r="R113" s="8">
        <v>3</v>
      </c>
      <c r="S113" s="8"/>
      <c r="T113" s="6">
        <f t="shared" si="4"/>
        <v>5</v>
      </c>
      <c r="U113" s="113" t="s">
        <v>689</v>
      </c>
      <c r="V113" s="1"/>
      <c r="W113" s="1"/>
      <c r="X113" s="1"/>
      <c r="Y113" s="1"/>
      <c r="Z113" s="1"/>
    </row>
    <row r="114" spans="1:26" ht="39.75" customHeight="1">
      <c r="A114" s="171"/>
      <c r="B114" s="168" t="s">
        <v>202</v>
      </c>
      <c r="C114" s="168" t="s">
        <v>203</v>
      </c>
      <c r="D114" s="5">
        <v>107</v>
      </c>
      <c r="E114" s="5" t="s">
        <v>204</v>
      </c>
      <c r="F114" s="5"/>
      <c r="G114" s="5"/>
      <c r="H114" s="5"/>
      <c r="I114" s="6"/>
      <c r="J114" s="5"/>
      <c r="K114" s="6"/>
      <c r="L114" s="5"/>
      <c r="M114" s="5"/>
      <c r="N114" s="6"/>
      <c r="O114" s="5"/>
      <c r="P114" s="8">
        <v>3</v>
      </c>
      <c r="Q114" s="5"/>
      <c r="R114" s="8"/>
      <c r="S114" s="5"/>
      <c r="T114" s="6">
        <f t="shared" si="4"/>
        <v>3</v>
      </c>
      <c r="U114" s="46" t="s">
        <v>205</v>
      </c>
      <c r="V114" s="1"/>
      <c r="W114" s="1"/>
      <c r="X114" s="1"/>
      <c r="Y114" s="1"/>
      <c r="Z114" s="1"/>
    </row>
    <row r="115" spans="1:26" ht="39.75" customHeight="1">
      <c r="A115" s="171"/>
      <c r="B115" s="171"/>
      <c r="C115" s="171"/>
      <c r="D115" s="5">
        <v>108</v>
      </c>
      <c r="E115" s="5" t="s">
        <v>206</v>
      </c>
      <c r="F115" s="5"/>
      <c r="G115" s="5"/>
      <c r="H115" s="5"/>
      <c r="I115" s="6"/>
      <c r="J115" s="5"/>
      <c r="K115" s="6"/>
      <c r="L115" s="5"/>
      <c r="M115" s="5"/>
      <c r="N115" s="5"/>
      <c r="O115" s="5"/>
      <c r="P115" s="8">
        <v>8</v>
      </c>
      <c r="Q115" s="5"/>
      <c r="R115" s="5"/>
      <c r="S115" s="5"/>
      <c r="T115" s="6">
        <f t="shared" si="4"/>
        <v>8</v>
      </c>
      <c r="U115" s="46" t="s">
        <v>207</v>
      </c>
      <c r="V115" s="1"/>
      <c r="W115" s="1"/>
      <c r="X115" s="1"/>
      <c r="Y115" s="1"/>
      <c r="Z115" s="1"/>
    </row>
    <row r="116" spans="1:26" ht="39.75" customHeight="1">
      <c r="A116" s="171"/>
      <c r="B116" s="171"/>
      <c r="C116" s="171"/>
      <c r="D116" s="5">
        <v>109</v>
      </c>
      <c r="E116" s="5" t="s">
        <v>208</v>
      </c>
      <c r="F116" s="5"/>
      <c r="G116" s="5"/>
      <c r="H116" s="8"/>
      <c r="I116" s="6"/>
      <c r="J116" s="5"/>
      <c r="K116" s="6"/>
      <c r="L116" s="5"/>
      <c r="M116" s="5"/>
      <c r="N116" s="5"/>
      <c r="O116" s="5"/>
      <c r="P116" s="5"/>
      <c r="Q116" s="5"/>
      <c r="R116" s="5"/>
      <c r="S116" s="5"/>
      <c r="T116" s="6">
        <f t="shared" si="4"/>
        <v>0</v>
      </c>
      <c r="U116" s="9"/>
      <c r="V116" s="1"/>
      <c r="W116" s="1"/>
      <c r="X116" s="1"/>
      <c r="Y116" s="1"/>
      <c r="Z116" s="1"/>
    </row>
    <row r="117" spans="1:26" ht="39.75" customHeight="1">
      <c r="A117" s="171"/>
      <c r="B117" s="171"/>
      <c r="C117" s="171"/>
      <c r="D117" s="5">
        <v>110</v>
      </c>
      <c r="E117" s="5" t="s">
        <v>209</v>
      </c>
      <c r="F117" s="5"/>
      <c r="G117" s="5"/>
      <c r="H117" s="5"/>
      <c r="I117" s="6"/>
      <c r="J117" s="5"/>
      <c r="K117" s="6"/>
      <c r="L117" s="5"/>
      <c r="M117" s="8"/>
      <c r="N117" s="6">
        <v>3</v>
      </c>
      <c r="O117" s="8">
        <v>5.2320000000000002</v>
      </c>
      <c r="P117" s="6"/>
      <c r="Q117" s="8">
        <v>5.58</v>
      </c>
      <c r="R117" s="8">
        <v>5.3</v>
      </c>
      <c r="S117" s="5"/>
      <c r="T117" s="6">
        <f t="shared" si="4"/>
        <v>19.111999999999998</v>
      </c>
      <c r="U117" s="9" t="s">
        <v>375</v>
      </c>
      <c r="V117" s="1"/>
      <c r="W117" s="1"/>
      <c r="X117" s="1"/>
      <c r="Y117" s="1"/>
      <c r="Z117" s="1"/>
    </row>
    <row r="118" spans="1:26" ht="39.75" customHeight="1">
      <c r="A118" s="171"/>
      <c r="B118" s="169"/>
      <c r="C118" s="169"/>
      <c r="D118" s="5">
        <v>111</v>
      </c>
      <c r="E118" s="5" t="s">
        <v>54</v>
      </c>
      <c r="F118" s="5"/>
      <c r="G118" s="5"/>
      <c r="H118" s="5"/>
      <c r="I118" s="8"/>
      <c r="J118" s="5"/>
      <c r="K118" s="8"/>
      <c r="L118" s="5"/>
      <c r="M118" s="5">
        <v>6</v>
      </c>
      <c r="N118" s="5"/>
      <c r="O118" s="5"/>
      <c r="P118" s="8"/>
      <c r="Q118" s="6"/>
      <c r="R118" s="5"/>
      <c r="S118" s="8"/>
      <c r="T118" s="6">
        <f t="shared" si="4"/>
        <v>6</v>
      </c>
      <c r="U118" s="113" t="s">
        <v>683</v>
      </c>
      <c r="V118" s="1"/>
      <c r="W118" s="1"/>
      <c r="X118" s="1"/>
      <c r="Y118" s="1"/>
      <c r="Z118" s="1"/>
    </row>
    <row r="119" spans="1:26" ht="39.75" customHeight="1">
      <c r="A119" s="171"/>
      <c r="B119" s="168" t="s">
        <v>211</v>
      </c>
      <c r="C119" s="168" t="s">
        <v>212</v>
      </c>
      <c r="D119" s="5">
        <v>112</v>
      </c>
      <c r="E119" s="5" t="s">
        <v>213</v>
      </c>
      <c r="F119" s="5"/>
      <c r="G119" s="5"/>
      <c r="H119" s="5"/>
      <c r="I119" s="6"/>
      <c r="J119" s="5"/>
      <c r="K119" s="6"/>
      <c r="L119" s="5"/>
      <c r="M119" s="5"/>
      <c r="N119" s="5"/>
      <c r="O119" s="5"/>
      <c r="P119" s="5"/>
      <c r="Q119" s="6"/>
      <c r="R119" s="5"/>
      <c r="S119" s="5"/>
      <c r="T119" s="6">
        <f t="shared" si="4"/>
        <v>0</v>
      </c>
      <c r="U119" s="9"/>
      <c r="V119" s="1"/>
      <c r="W119" s="1"/>
      <c r="X119" s="1"/>
      <c r="Y119" s="1"/>
      <c r="Z119" s="1"/>
    </row>
    <row r="120" spans="1:26" ht="39.75" customHeight="1">
      <c r="A120" s="171"/>
      <c r="B120" s="169"/>
      <c r="C120" s="169"/>
      <c r="D120" s="5">
        <v>113</v>
      </c>
      <c r="E120" s="5" t="s">
        <v>214</v>
      </c>
      <c r="F120" s="5"/>
      <c r="G120" s="5"/>
      <c r="H120" s="5"/>
      <c r="I120" s="6"/>
      <c r="J120" s="5"/>
      <c r="K120" s="6"/>
      <c r="L120" s="5"/>
      <c r="M120" s="6"/>
      <c r="N120" s="6">
        <v>0.5</v>
      </c>
      <c r="O120" s="5"/>
      <c r="P120" s="5"/>
      <c r="Q120" s="6">
        <v>0.5</v>
      </c>
      <c r="R120" s="5"/>
      <c r="S120" s="5"/>
      <c r="T120" s="6">
        <f t="shared" si="4"/>
        <v>1</v>
      </c>
      <c r="U120" s="10" t="s">
        <v>215</v>
      </c>
      <c r="V120" s="1"/>
      <c r="W120" s="1"/>
      <c r="X120" s="1"/>
      <c r="Y120" s="1"/>
      <c r="Z120" s="1"/>
    </row>
    <row r="121" spans="1:26" ht="39.75" customHeight="1">
      <c r="A121" s="171"/>
      <c r="B121" s="5" t="s">
        <v>216</v>
      </c>
      <c r="C121" s="5" t="s">
        <v>217</v>
      </c>
      <c r="D121" s="5">
        <v>114</v>
      </c>
      <c r="E121" s="5" t="s">
        <v>218</v>
      </c>
      <c r="F121" s="5"/>
      <c r="G121" s="5"/>
      <c r="H121" s="8"/>
      <c r="I121" s="5"/>
      <c r="J121" s="5"/>
      <c r="K121" s="5"/>
      <c r="L121" s="5"/>
      <c r="M121" s="5"/>
      <c r="N121" s="8">
        <v>1.5</v>
      </c>
      <c r="O121" s="5"/>
      <c r="P121" s="8">
        <v>7</v>
      </c>
      <c r="Q121" s="6">
        <v>2</v>
      </c>
      <c r="R121" s="8">
        <v>1</v>
      </c>
      <c r="S121" s="8"/>
      <c r="T121" s="6">
        <f t="shared" si="4"/>
        <v>11.5</v>
      </c>
      <c r="U121" s="113" t="s">
        <v>681</v>
      </c>
      <c r="V121" s="1"/>
      <c r="W121" s="1"/>
      <c r="X121" s="1"/>
      <c r="Y121" s="1"/>
      <c r="Z121" s="1"/>
    </row>
    <row r="122" spans="1:26" ht="39.75" customHeight="1">
      <c r="A122" s="171"/>
      <c r="B122" s="168" t="s">
        <v>219</v>
      </c>
      <c r="C122" s="168" t="s">
        <v>220</v>
      </c>
      <c r="D122" s="5">
        <v>115</v>
      </c>
      <c r="E122" s="5" t="s">
        <v>221</v>
      </c>
      <c r="F122" s="5"/>
      <c r="G122" s="5"/>
      <c r="H122" s="5"/>
      <c r="I122" s="5"/>
      <c r="J122" s="5"/>
      <c r="K122" s="5"/>
      <c r="L122" s="5"/>
      <c r="M122" s="6"/>
      <c r="N122" s="5"/>
      <c r="O122" s="5"/>
      <c r="P122" s="5"/>
      <c r="Q122" s="5"/>
      <c r="R122" s="5"/>
      <c r="S122" s="5"/>
      <c r="T122" s="6">
        <f t="shared" si="4"/>
        <v>0</v>
      </c>
      <c r="U122" s="9"/>
      <c r="V122" s="1"/>
      <c r="W122" s="1"/>
      <c r="X122" s="1"/>
      <c r="Y122" s="1"/>
      <c r="Z122" s="1"/>
    </row>
    <row r="123" spans="1:26" ht="39.75" customHeight="1">
      <c r="A123" s="171"/>
      <c r="B123" s="171"/>
      <c r="C123" s="171"/>
      <c r="D123" s="5">
        <v>116</v>
      </c>
      <c r="E123" s="5" t="s">
        <v>222</v>
      </c>
      <c r="F123" s="5"/>
      <c r="G123" s="5"/>
      <c r="H123" s="5"/>
      <c r="I123" s="5"/>
      <c r="J123" s="5"/>
      <c r="K123" s="5"/>
      <c r="L123" s="5"/>
      <c r="M123" s="6">
        <v>9.75</v>
      </c>
      <c r="N123" s="5"/>
      <c r="O123" s="5"/>
      <c r="P123" s="5"/>
      <c r="Q123" s="6">
        <v>6.7</v>
      </c>
      <c r="R123" s="5"/>
      <c r="S123" s="5"/>
      <c r="T123" s="6">
        <f t="shared" si="4"/>
        <v>16.45</v>
      </c>
      <c r="U123" s="113" t="s">
        <v>679</v>
      </c>
      <c r="V123" s="1"/>
      <c r="W123" s="1"/>
      <c r="X123" s="1"/>
      <c r="Y123" s="1"/>
      <c r="Z123" s="1"/>
    </row>
    <row r="124" spans="1:26" ht="39.75" customHeight="1">
      <c r="A124" s="171"/>
      <c r="B124" s="171"/>
      <c r="C124" s="171"/>
      <c r="D124" s="5">
        <v>117</v>
      </c>
      <c r="E124" s="5" t="s">
        <v>224</v>
      </c>
      <c r="F124" s="5"/>
      <c r="G124" s="5"/>
      <c r="H124" s="5"/>
      <c r="I124" s="5"/>
      <c r="J124" s="5"/>
      <c r="K124" s="5"/>
      <c r="L124" s="5"/>
      <c r="M124" s="5"/>
      <c r="N124" s="5"/>
      <c r="O124" s="5"/>
      <c r="P124" s="5"/>
      <c r="Q124" s="5"/>
      <c r="R124" s="5"/>
      <c r="S124" s="5"/>
      <c r="T124" s="6">
        <f t="shared" si="4"/>
        <v>0</v>
      </c>
      <c r="U124" s="46"/>
      <c r="V124" s="1"/>
      <c r="W124" s="1"/>
      <c r="X124" s="1"/>
      <c r="Y124" s="1"/>
      <c r="Z124" s="1"/>
    </row>
    <row r="125" spans="1:26" ht="39.75" customHeight="1">
      <c r="A125" s="171"/>
      <c r="B125" s="169"/>
      <c r="C125" s="169"/>
      <c r="D125" s="5">
        <v>118</v>
      </c>
      <c r="E125" s="5" t="s">
        <v>54</v>
      </c>
      <c r="F125" s="5"/>
      <c r="G125" s="5"/>
      <c r="H125" s="5"/>
      <c r="I125" s="5"/>
      <c r="J125" s="5"/>
      <c r="K125" s="5"/>
      <c r="L125" s="5"/>
      <c r="M125" s="5"/>
      <c r="N125" s="5"/>
      <c r="O125" s="5"/>
      <c r="P125" s="5"/>
      <c r="Q125" s="6"/>
      <c r="R125" s="5"/>
      <c r="S125" s="5"/>
      <c r="T125" s="6">
        <f t="shared" si="4"/>
        <v>0</v>
      </c>
      <c r="U125" s="9"/>
      <c r="V125" s="1"/>
      <c r="W125" s="1"/>
      <c r="X125" s="1"/>
      <c r="Y125" s="1"/>
      <c r="Z125" s="1"/>
    </row>
    <row r="126" spans="1:26" ht="39.75" customHeight="1">
      <c r="A126" s="171"/>
      <c r="B126" s="5" t="s">
        <v>225</v>
      </c>
      <c r="C126" s="5" t="s">
        <v>226</v>
      </c>
      <c r="D126" s="5">
        <v>119</v>
      </c>
      <c r="E126" s="5" t="s">
        <v>227</v>
      </c>
      <c r="F126" s="5"/>
      <c r="G126" s="5"/>
      <c r="H126" s="8">
        <v>0</v>
      </c>
      <c r="I126" s="6">
        <v>1</v>
      </c>
      <c r="J126" s="5"/>
      <c r="K126" s="5"/>
      <c r="L126" s="5"/>
      <c r="M126" s="5"/>
      <c r="N126" s="6">
        <v>1</v>
      </c>
      <c r="O126" s="5"/>
      <c r="P126" s="8">
        <v>8</v>
      </c>
      <c r="Q126" s="6">
        <v>2</v>
      </c>
      <c r="R126" s="5"/>
      <c r="S126" s="5"/>
      <c r="T126" s="6">
        <f t="shared" si="4"/>
        <v>12</v>
      </c>
      <c r="U126" s="113" t="s">
        <v>678</v>
      </c>
      <c r="V126" s="1"/>
      <c r="W126" s="1"/>
      <c r="X126" s="1"/>
      <c r="Y126" s="1"/>
      <c r="Z126" s="1"/>
    </row>
    <row r="127" spans="1:26" ht="39.75" customHeight="1">
      <c r="A127" s="171"/>
      <c r="B127" s="5" t="s">
        <v>228</v>
      </c>
      <c r="C127" s="5" t="s">
        <v>229</v>
      </c>
      <c r="D127" s="5">
        <v>120</v>
      </c>
      <c r="E127" s="5" t="s">
        <v>230</v>
      </c>
      <c r="F127" s="5"/>
      <c r="G127" s="5"/>
      <c r="H127" s="5"/>
      <c r="I127" s="5"/>
      <c r="J127" s="5"/>
      <c r="K127" s="8"/>
      <c r="L127" s="5"/>
      <c r="M127" s="8"/>
      <c r="N127" s="6"/>
      <c r="O127" s="5"/>
      <c r="P127" s="8"/>
      <c r="Q127" s="6"/>
      <c r="R127" s="8"/>
      <c r="S127" s="5"/>
      <c r="T127" s="6">
        <f t="shared" si="4"/>
        <v>0</v>
      </c>
      <c r="U127" s="9"/>
      <c r="V127" s="1"/>
      <c r="W127" s="1"/>
      <c r="X127" s="1"/>
      <c r="Y127" s="1"/>
      <c r="Z127" s="1"/>
    </row>
    <row r="128" spans="1:26" ht="39.75" customHeight="1">
      <c r="A128" s="171"/>
      <c r="B128" s="168" t="s">
        <v>231</v>
      </c>
      <c r="C128" s="168" t="s">
        <v>232</v>
      </c>
      <c r="D128" s="5">
        <v>121</v>
      </c>
      <c r="E128" s="5" t="s">
        <v>233</v>
      </c>
      <c r="F128" s="5"/>
      <c r="G128" s="5"/>
      <c r="H128" s="5"/>
      <c r="I128" s="6"/>
      <c r="J128" s="5"/>
      <c r="K128" s="5"/>
      <c r="L128" s="5"/>
      <c r="M128" s="5"/>
      <c r="N128" s="5"/>
      <c r="O128" s="5"/>
      <c r="P128" s="5"/>
      <c r="Q128" s="5"/>
      <c r="R128" s="5"/>
      <c r="S128" s="5"/>
      <c r="T128" s="6">
        <f t="shared" si="4"/>
        <v>0</v>
      </c>
      <c r="U128" s="10"/>
      <c r="V128" s="18"/>
      <c r="W128" s="1"/>
      <c r="X128" s="1"/>
      <c r="Y128" s="1"/>
      <c r="Z128" s="1"/>
    </row>
    <row r="129" spans="1:26" ht="39.75" customHeight="1">
      <c r="A129" s="171"/>
      <c r="B129" s="171"/>
      <c r="C129" s="171"/>
      <c r="D129" s="5">
        <v>122</v>
      </c>
      <c r="E129" s="5" t="s">
        <v>234</v>
      </c>
      <c r="F129" s="5"/>
      <c r="G129" s="5"/>
      <c r="H129" s="5"/>
      <c r="I129" s="5"/>
      <c r="J129" s="5"/>
      <c r="K129" s="5"/>
      <c r="L129" s="5"/>
      <c r="M129" s="5"/>
      <c r="N129" s="5"/>
      <c r="O129" s="5"/>
      <c r="P129" s="5"/>
      <c r="Q129" s="5"/>
      <c r="R129" s="5"/>
      <c r="S129" s="5"/>
      <c r="T129" s="6">
        <f t="shared" si="4"/>
        <v>0</v>
      </c>
      <c r="U129" s="10"/>
      <c r="V129" s="18"/>
      <c r="W129" s="1"/>
      <c r="X129" s="1"/>
      <c r="Y129" s="1"/>
      <c r="Z129" s="1"/>
    </row>
    <row r="130" spans="1:26" ht="39.75" customHeight="1">
      <c r="A130" s="171"/>
      <c r="B130" s="169"/>
      <c r="C130" s="169"/>
      <c r="D130" s="5">
        <v>123</v>
      </c>
      <c r="E130" s="5" t="s">
        <v>235</v>
      </c>
      <c r="F130" s="5"/>
      <c r="G130" s="5"/>
      <c r="H130" s="5"/>
      <c r="I130" s="5"/>
      <c r="J130" s="5"/>
      <c r="K130" s="5"/>
      <c r="L130" s="5"/>
      <c r="M130" s="5"/>
      <c r="N130" s="5"/>
      <c r="O130" s="5"/>
      <c r="P130" s="8">
        <v>0</v>
      </c>
      <c r="Q130" s="6">
        <v>2</v>
      </c>
      <c r="R130" s="5"/>
      <c r="S130" s="5"/>
      <c r="T130" s="6">
        <f t="shared" si="4"/>
        <v>2</v>
      </c>
      <c r="U130" s="10" t="s">
        <v>236</v>
      </c>
      <c r="V130" s="18"/>
      <c r="W130" s="1"/>
      <c r="X130" s="1"/>
      <c r="Y130" s="1"/>
      <c r="Z130" s="1"/>
    </row>
    <row r="131" spans="1:26" ht="39.75" customHeight="1">
      <c r="A131" s="171"/>
      <c r="B131" s="168" t="s">
        <v>237</v>
      </c>
      <c r="C131" s="168" t="s">
        <v>238</v>
      </c>
      <c r="D131" s="5">
        <v>124</v>
      </c>
      <c r="E131" s="5" t="s">
        <v>239</v>
      </c>
      <c r="F131" s="5"/>
      <c r="G131" s="5"/>
      <c r="H131" s="8"/>
      <c r="I131" s="5"/>
      <c r="J131" s="5"/>
      <c r="K131" s="5"/>
      <c r="L131" s="5"/>
      <c r="M131" s="5"/>
      <c r="N131" s="5"/>
      <c r="O131" s="5"/>
      <c r="P131" s="5"/>
      <c r="Q131" s="8">
        <v>2</v>
      </c>
      <c r="R131" s="5"/>
      <c r="S131" s="5"/>
      <c r="T131" s="6">
        <f t="shared" si="4"/>
        <v>2</v>
      </c>
      <c r="U131" s="10" t="s">
        <v>240</v>
      </c>
      <c r="V131" s="1"/>
      <c r="W131" s="1"/>
      <c r="X131" s="1"/>
      <c r="Y131" s="1"/>
      <c r="Z131" s="1"/>
    </row>
    <row r="132" spans="1:26" ht="39.75" customHeight="1">
      <c r="A132" s="171"/>
      <c r="B132" s="169"/>
      <c r="C132" s="169"/>
      <c r="D132" s="5">
        <v>125</v>
      </c>
      <c r="E132" s="5" t="s">
        <v>241</v>
      </c>
      <c r="F132" s="5"/>
      <c r="G132" s="5"/>
      <c r="H132" s="8"/>
      <c r="I132" s="5"/>
      <c r="J132" s="5"/>
      <c r="K132" s="5"/>
      <c r="L132" s="5"/>
      <c r="M132" s="5"/>
      <c r="N132" s="5"/>
      <c r="O132" s="5"/>
      <c r="P132" s="5"/>
      <c r="Q132" s="5"/>
      <c r="R132" s="5"/>
      <c r="S132" s="5"/>
      <c r="T132" s="6">
        <f t="shared" si="4"/>
        <v>0</v>
      </c>
      <c r="U132" s="9"/>
      <c r="V132" s="1"/>
      <c r="W132" s="1"/>
      <c r="X132" s="1"/>
      <c r="Y132" s="1"/>
      <c r="Z132" s="1"/>
    </row>
    <row r="133" spans="1:26" ht="39.75" customHeight="1">
      <c r="A133" s="171"/>
      <c r="B133" s="5" t="s">
        <v>242</v>
      </c>
      <c r="C133" s="5" t="s">
        <v>243</v>
      </c>
      <c r="D133" s="5">
        <v>126</v>
      </c>
      <c r="E133" s="5" t="s">
        <v>167</v>
      </c>
      <c r="F133" s="5"/>
      <c r="G133" s="5"/>
      <c r="H133" s="5"/>
      <c r="I133" s="5"/>
      <c r="J133" s="5"/>
      <c r="K133" s="5"/>
      <c r="L133" s="5"/>
      <c r="M133" s="5"/>
      <c r="N133" s="5"/>
      <c r="O133" s="5"/>
      <c r="P133" s="5"/>
      <c r="Q133" s="5"/>
      <c r="R133" s="5"/>
      <c r="S133" s="5"/>
      <c r="T133" s="6">
        <f t="shared" si="4"/>
        <v>0</v>
      </c>
      <c r="U133" s="9"/>
      <c r="V133" s="1"/>
      <c r="W133" s="1"/>
      <c r="X133" s="1"/>
      <c r="Y133" s="1"/>
      <c r="Z133" s="1"/>
    </row>
    <row r="134" spans="1:26" ht="39.75" customHeight="1">
      <c r="A134" s="169"/>
      <c r="B134" s="176" t="s">
        <v>244</v>
      </c>
      <c r="C134" s="177"/>
      <c r="D134" s="178"/>
      <c r="E134" s="51"/>
      <c r="F134" s="51">
        <f t="shared" ref="F134:S134" si="8">SUM(F94:F133)</f>
        <v>0</v>
      </c>
      <c r="G134" s="51">
        <f t="shared" si="8"/>
        <v>0</v>
      </c>
      <c r="H134" s="51">
        <f t="shared" si="8"/>
        <v>0</v>
      </c>
      <c r="I134" s="51">
        <f t="shared" si="8"/>
        <v>4.5</v>
      </c>
      <c r="J134" s="51">
        <f t="shared" si="8"/>
        <v>0</v>
      </c>
      <c r="K134" s="52">
        <f t="shared" si="8"/>
        <v>8</v>
      </c>
      <c r="L134" s="51">
        <f t="shared" si="8"/>
        <v>0</v>
      </c>
      <c r="M134" s="51">
        <f t="shared" si="8"/>
        <v>15.75</v>
      </c>
      <c r="N134" s="51">
        <f t="shared" si="8"/>
        <v>14.3</v>
      </c>
      <c r="O134" s="51">
        <f t="shared" si="8"/>
        <v>5.2320000000000002</v>
      </c>
      <c r="P134" s="51">
        <f t="shared" si="8"/>
        <v>57</v>
      </c>
      <c r="Q134" s="51">
        <f t="shared" si="8"/>
        <v>32.78</v>
      </c>
      <c r="R134" s="51">
        <f t="shared" si="8"/>
        <v>21.85</v>
      </c>
      <c r="S134" s="51">
        <f t="shared" si="8"/>
        <v>0</v>
      </c>
      <c r="T134" s="52">
        <f t="shared" ref="T134:T197" si="9">SUM(F134:S134)</f>
        <v>159.41200000000001</v>
      </c>
      <c r="U134" s="9"/>
      <c r="V134" s="1"/>
      <c r="W134" s="1"/>
      <c r="X134" s="1"/>
      <c r="Y134" s="1"/>
      <c r="Z134" s="1"/>
    </row>
    <row r="135" spans="1:26" ht="39.75" customHeight="1">
      <c r="A135" s="175" t="s">
        <v>245</v>
      </c>
      <c r="B135" s="168" t="s">
        <v>246</v>
      </c>
      <c r="C135" s="168" t="s">
        <v>247</v>
      </c>
      <c r="D135" s="5">
        <v>127</v>
      </c>
      <c r="E135" s="5" t="s">
        <v>248</v>
      </c>
      <c r="F135" s="98"/>
      <c r="G135" s="98"/>
      <c r="H135" s="98"/>
      <c r="I135" s="98"/>
      <c r="J135" s="98"/>
      <c r="K135" s="98"/>
      <c r="L135" s="98"/>
      <c r="M135" s="98"/>
      <c r="N135" s="98"/>
      <c r="O135" s="98"/>
      <c r="P135" s="98"/>
      <c r="Q135" s="98"/>
      <c r="R135" s="98"/>
      <c r="S135" s="98"/>
      <c r="T135" s="99">
        <f t="shared" si="9"/>
        <v>0</v>
      </c>
      <c r="U135" s="100"/>
      <c r="V135" s="1"/>
      <c r="W135" s="1"/>
      <c r="X135" s="1"/>
      <c r="Y135" s="1"/>
      <c r="Z135" s="1"/>
    </row>
    <row r="136" spans="1:26" ht="39.75" customHeight="1">
      <c r="A136" s="171"/>
      <c r="B136" s="169"/>
      <c r="C136" s="169"/>
      <c r="D136" s="5">
        <v>128</v>
      </c>
      <c r="E136" s="5" t="s">
        <v>249</v>
      </c>
      <c r="F136" s="98"/>
      <c r="G136" s="98"/>
      <c r="H136" s="98"/>
      <c r="I136" s="98"/>
      <c r="J136" s="98"/>
      <c r="K136" s="99"/>
      <c r="L136" s="98"/>
      <c r="M136" s="98"/>
      <c r="N136" s="99"/>
      <c r="O136" s="98"/>
      <c r="P136" s="99"/>
      <c r="Q136" s="99">
        <f>(2*0.75)+(2*0.1)</f>
        <v>1.7</v>
      </c>
      <c r="R136" s="98"/>
      <c r="S136" s="98"/>
      <c r="T136" s="99">
        <f t="shared" si="9"/>
        <v>1.7</v>
      </c>
      <c r="U136" s="101" t="s">
        <v>662</v>
      </c>
      <c r="V136" s="1"/>
      <c r="W136" s="1"/>
      <c r="X136" s="1"/>
      <c r="Y136" s="1"/>
      <c r="Z136" s="1"/>
    </row>
    <row r="137" spans="1:26" ht="39.75" customHeight="1">
      <c r="A137" s="171"/>
      <c r="B137" s="28"/>
      <c r="C137" s="28"/>
      <c r="D137" s="5">
        <v>129</v>
      </c>
      <c r="E137" s="5" t="s">
        <v>250</v>
      </c>
      <c r="F137" s="98"/>
      <c r="G137" s="98"/>
      <c r="H137" s="98"/>
      <c r="I137" s="98"/>
      <c r="J137" s="98"/>
      <c r="K137" s="98"/>
      <c r="L137" s="98"/>
      <c r="M137" s="98"/>
      <c r="N137" s="98"/>
      <c r="O137" s="98"/>
      <c r="P137" s="98"/>
      <c r="Q137" s="98"/>
      <c r="R137" s="98"/>
      <c r="S137" s="98"/>
      <c r="T137" s="99">
        <f t="shared" si="9"/>
        <v>0</v>
      </c>
      <c r="U137" s="100"/>
      <c r="V137" s="1"/>
      <c r="W137" s="1"/>
      <c r="X137" s="1"/>
      <c r="Y137" s="1"/>
      <c r="Z137" s="1"/>
    </row>
    <row r="138" spans="1:26" ht="39.75" customHeight="1">
      <c r="A138" s="171"/>
      <c r="B138" s="168" t="s">
        <v>251</v>
      </c>
      <c r="C138" s="168" t="s">
        <v>252</v>
      </c>
      <c r="D138" s="5">
        <v>130</v>
      </c>
      <c r="E138" s="5" t="s">
        <v>253</v>
      </c>
      <c r="F138" s="98"/>
      <c r="G138" s="98"/>
      <c r="H138" s="98"/>
      <c r="I138" s="98"/>
      <c r="J138" s="98"/>
      <c r="K138" s="98"/>
      <c r="L138" s="98"/>
      <c r="M138" s="98"/>
      <c r="N138" s="98"/>
      <c r="O138" s="98"/>
      <c r="P138" s="98"/>
      <c r="Q138" s="98"/>
      <c r="R138" s="98"/>
      <c r="S138" s="98"/>
      <c r="T138" s="99">
        <f t="shared" si="9"/>
        <v>0</v>
      </c>
      <c r="U138" s="100"/>
      <c r="V138" s="1"/>
      <c r="W138" s="1"/>
      <c r="X138" s="1"/>
      <c r="Y138" s="1"/>
      <c r="Z138" s="1"/>
    </row>
    <row r="139" spans="1:26" ht="39.75" customHeight="1">
      <c r="A139" s="171"/>
      <c r="B139" s="171"/>
      <c r="C139" s="171"/>
      <c r="D139" s="5">
        <v>131</v>
      </c>
      <c r="E139" s="5" t="s">
        <v>254</v>
      </c>
      <c r="F139" s="98"/>
      <c r="G139" s="98"/>
      <c r="H139" s="98"/>
      <c r="I139" s="98"/>
      <c r="J139" s="98"/>
      <c r="K139" s="98"/>
      <c r="L139" s="98"/>
      <c r="M139" s="98"/>
      <c r="N139" s="99">
        <f>0.01*15</f>
        <v>0.15</v>
      </c>
      <c r="O139" s="98"/>
      <c r="P139" s="98"/>
      <c r="Q139" s="98"/>
      <c r="R139" s="98"/>
      <c r="S139" s="98"/>
      <c r="T139" s="99">
        <f t="shared" si="9"/>
        <v>0.15</v>
      </c>
      <c r="U139" s="102" t="s">
        <v>667</v>
      </c>
      <c r="V139" s="1"/>
      <c r="W139" s="1"/>
      <c r="X139" s="1"/>
      <c r="Y139" s="1"/>
      <c r="Z139" s="1"/>
    </row>
    <row r="140" spans="1:26" ht="39.75" customHeight="1">
      <c r="A140" s="171"/>
      <c r="B140" s="171"/>
      <c r="C140" s="171"/>
      <c r="D140" s="5">
        <v>132</v>
      </c>
      <c r="E140" s="5" t="s">
        <v>255</v>
      </c>
      <c r="F140" s="98"/>
      <c r="G140" s="98"/>
      <c r="H140" s="98"/>
      <c r="I140" s="98"/>
      <c r="J140" s="98"/>
      <c r="K140" s="98"/>
      <c r="L140" s="98"/>
      <c r="M140" s="98"/>
      <c r="N140" s="98"/>
      <c r="O140" s="98"/>
      <c r="P140" s="98"/>
      <c r="Q140" s="98"/>
      <c r="R140" s="98"/>
      <c r="S140" s="98"/>
      <c r="T140" s="99">
        <f t="shared" si="9"/>
        <v>0</v>
      </c>
      <c r="U140" s="100"/>
      <c r="V140" s="1"/>
      <c r="W140" s="1"/>
      <c r="X140" s="1"/>
      <c r="Y140" s="1"/>
      <c r="Z140" s="1"/>
    </row>
    <row r="141" spans="1:26" ht="39.75" customHeight="1">
      <c r="A141" s="171"/>
      <c r="B141" s="171"/>
      <c r="C141" s="171"/>
      <c r="D141" s="5">
        <v>133</v>
      </c>
      <c r="E141" s="5" t="s">
        <v>256</v>
      </c>
      <c r="F141" s="98"/>
      <c r="G141" s="98"/>
      <c r="H141" s="98"/>
      <c r="I141" s="98"/>
      <c r="J141" s="98"/>
      <c r="K141" s="98"/>
      <c r="L141" s="98"/>
      <c r="M141" s="98"/>
      <c r="N141" s="98"/>
      <c r="O141" s="98"/>
      <c r="P141" s="98"/>
      <c r="Q141" s="98"/>
      <c r="R141" s="98"/>
      <c r="S141" s="98"/>
      <c r="T141" s="99">
        <f t="shared" si="9"/>
        <v>0</v>
      </c>
      <c r="U141" s="100"/>
      <c r="V141" s="1"/>
      <c r="W141" s="1"/>
      <c r="X141" s="1"/>
      <c r="Y141" s="1"/>
      <c r="Z141" s="1"/>
    </row>
    <row r="142" spans="1:26" ht="39.75" customHeight="1">
      <c r="A142" s="171"/>
      <c r="B142" s="171"/>
      <c r="C142" s="171"/>
      <c r="D142" s="5">
        <v>134</v>
      </c>
      <c r="E142" s="5" t="s">
        <v>257</v>
      </c>
      <c r="F142" s="98"/>
      <c r="G142" s="98"/>
      <c r="H142" s="98"/>
      <c r="I142" s="98"/>
      <c r="J142" s="98"/>
      <c r="K142" s="98"/>
      <c r="L142" s="98"/>
      <c r="M142" s="98"/>
      <c r="N142" s="98"/>
      <c r="O142" s="98"/>
      <c r="P142" s="99">
        <f>(5*0.005*12)+(5*0.0025*12)+(2*4*0.1)</f>
        <v>1.25</v>
      </c>
      <c r="Q142" s="98"/>
      <c r="R142" s="98"/>
      <c r="S142" s="98"/>
      <c r="T142" s="99">
        <f t="shared" si="9"/>
        <v>1.25</v>
      </c>
      <c r="U142" s="100" t="s">
        <v>258</v>
      </c>
      <c r="V142" s="1"/>
      <c r="W142" s="1"/>
      <c r="X142" s="1"/>
      <c r="Y142" s="1"/>
      <c r="Z142" s="1"/>
    </row>
    <row r="143" spans="1:26" ht="39.75" customHeight="1">
      <c r="A143" s="171"/>
      <c r="B143" s="171"/>
      <c r="C143" s="171"/>
      <c r="D143" s="5">
        <v>135</v>
      </c>
      <c r="E143" s="5" t="s">
        <v>259</v>
      </c>
      <c r="F143" s="98"/>
      <c r="G143" s="98"/>
      <c r="H143" s="98"/>
      <c r="I143" s="98"/>
      <c r="J143" s="98"/>
      <c r="K143" s="98"/>
      <c r="L143" s="98"/>
      <c r="M143" s="98"/>
      <c r="N143" s="98"/>
      <c r="O143" s="98"/>
      <c r="P143" s="98"/>
      <c r="Q143" s="98"/>
      <c r="R143" s="98"/>
      <c r="S143" s="98"/>
      <c r="T143" s="99">
        <f t="shared" si="9"/>
        <v>0</v>
      </c>
      <c r="U143" s="100"/>
      <c r="V143" s="1"/>
      <c r="W143" s="1"/>
      <c r="X143" s="1"/>
      <c r="Y143" s="1"/>
      <c r="Z143" s="1"/>
    </row>
    <row r="144" spans="1:26" ht="39.75" customHeight="1">
      <c r="A144" s="171"/>
      <c r="B144" s="169"/>
      <c r="C144" s="169"/>
      <c r="D144" s="5">
        <v>136</v>
      </c>
      <c r="E144" s="5" t="s">
        <v>260</v>
      </c>
      <c r="F144" s="98"/>
      <c r="G144" s="98"/>
      <c r="H144" s="98"/>
      <c r="I144" s="98"/>
      <c r="J144" s="98"/>
      <c r="K144" s="98"/>
      <c r="L144" s="98"/>
      <c r="M144" s="98"/>
      <c r="N144" s="98"/>
      <c r="O144" s="98"/>
      <c r="P144" s="99"/>
      <c r="Q144" s="98"/>
      <c r="R144" s="98"/>
      <c r="S144" s="98"/>
      <c r="T144" s="99">
        <f t="shared" si="9"/>
        <v>0</v>
      </c>
      <c r="U144" s="101"/>
      <c r="V144" s="1"/>
      <c r="W144" s="1"/>
      <c r="X144" s="1"/>
      <c r="Y144" s="1"/>
      <c r="Z144" s="1"/>
    </row>
    <row r="145" spans="1:26" ht="39.75" customHeight="1">
      <c r="A145" s="171"/>
      <c r="B145" s="168" t="s">
        <v>261</v>
      </c>
      <c r="C145" s="168" t="s">
        <v>262</v>
      </c>
      <c r="D145" s="5">
        <v>137</v>
      </c>
      <c r="E145" s="5" t="s">
        <v>263</v>
      </c>
      <c r="F145" s="98"/>
      <c r="G145" s="98"/>
      <c r="H145" s="98"/>
      <c r="I145" s="98"/>
      <c r="J145" s="98"/>
      <c r="K145" s="98"/>
      <c r="L145" s="98"/>
      <c r="M145" s="99"/>
      <c r="N145" s="98"/>
      <c r="O145" s="98"/>
      <c r="P145" s="99">
        <f>0.24*2</f>
        <v>0.48</v>
      </c>
      <c r="Q145" s="98"/>
      <c r="R145" s="98"/>
      <c r="S145" s="98"/>
      <c r="T145" s="99">
        <f t="shared" si="9"/>
        <v>0.48</v>
      </c>
      <c r="U145" s="101" t="s">
        <v>264</v>
      </c>
      <c r="V145" s="1"/>
      <c r="W145" s="1"/>
      <c r="X145" s="1"/>
      <c r="Y145" s="1"/>
      <c r="Z145" s="1"/>
    </row>
    <row r="146" spans="1:26" ht="39.75" customHeight="1">
      <c r="A146" s="171"/>
      <c r="B146" s="169"/>
      <c r="C146" s="169"/>
      <c r="D146" s="5">
        <v>138</v>
      </c>
      <c r="E146" s="5" t="s">
        <v>265</v>
      </c>
      <c r="F146" s="103"/>
      <c r="G146" s="103"/>
      <c r="H146" s="104"/>
      <c r="I146" s="104"/>
      <c r="J146" s="103"/>
      <c r="K146" s="104"/>
      <c r="L146" s="103"/>
      <c r="M146" s="104"/>
      <c r="N146" s="103"/>
      <c r="O146" s="103"/>
      <c r="P146" s="103"/>
      <c r="Q146" s="103"/>
      <c r="R146" s="103"/>
      <c r="S146" s="103"/>
      <c r="T146" s="104">
        <f t="shared" si="9"/>
        <v>0</v>
      </c>
      <c r="U146" s="105"/>
      <c r="V146" s="1"/>
      <c r="W146" s="1"/>
      <c r="X146" s="1"/>
      <c r="Y146" s="1"/>
      <c r="Z146" s="1"/>
    </row>
    <row r="147" spans="1:26" ht="39.75" customHeight="1">
      <c r="A147" s="171"/>
      <c r="B147" s="168" t="s">
        <v>266</v>
      </c>
      <c r="C147" s="168" t="s">
        <v>267</v>
      </c>
      <c r="D147" s="5">
        <v>139</v>
      </c>
      <c r="E147" s="5" t="s">
        <v>268</v>
      </c>
      <c r="F147" s="98"/>
      <c r="G147" s="98"/>
      <c r="H147" s="98"/>
      <c r="I147" s="98"/>
      <c r="J147" s="98"/>
      <c r="K147" s="98"/>
      <c r="L147" s="98"/>
      <c r="M147" s="98"/>
      <c r="N147" s="99"/>
      <c r="O147" s="98"/>
      <c r="P147" s="99">
        <v>2</v>
      </c>
      <c r="Q147" s="98"/>
      <c r="R147" s="99"/>
      <c r="S147" s="98"/>
      <c r="T147" s="99">
        <f t="shared" si="9"/>
        <v>2</v>
      </c>
      <c r="U147" s="101" t="s">
        <v>668</v>
      </c>
      <c r="V147" s="1"/>
      <c r="W147" s="1"/>
      <c r="X147" s="1"/>
      <c r="Y147" s="1"/>
      <c r="Z147" s="1"/>
    </row>
    <row r="148" spans="1:26" ht="39.75" customHeight="1">
      <c r="A148" s="171"/>
      <c r="B148" s="171"/>
      <c r="C148" s="171"/>
      <c r="D148" s="5">
        <v>140</v>
      </c>
      <c r="E148" s="5" t="s">
        <v>269</v>
      </c>
      <c r="F148" s="98"/>
      <c r="G148" s="98"/>
      <c r="H148" s="98"/>
      <c r="I148" s="98"/>
      <c r="J148" s="98"/>
      <c r="K148" s="98"/>
      <c r="L148" s="98"/>
      <c r="M148" s="98"/>
      <c r="N148" s="98"/>
      <c r="O148" s="98"/>
      <c r="P148" s="99">
        <f>2+(2*0.055)+(0.08*2)</f>
        <v>2.27</v>
      </c>
      <c r="Q148" s="98"/>
      <c r="R148" s="98"/>
      <c r="S148" s="98"/>
      <c r="T148" s="99">
        <f t="shared" si="9"/>
        <v>2.27</v>
      </c>
      <c r="U148" s="101" t="s">
        <v>666</v>
      </c>
      <c r="V148" s="1"/>
      <c r="W148" s="1"/>
      <c r="X148" s="1"/>
      <c r="Y148" s="1"/>
      <c r="Z148" s="1"/>
    </row>
    <row r="149" spans="1:26" ht="39.75" customHeight="1">
      <c r="A149" s="171"/>
      <c r="B149" s="169"/>
      <c r="C149" s="169"/>
      <c r="D149" s="5">
        <v>141</v>
      </c>
      <c r="E149" s="5" t="s">
        <v>270</v>
      </c>
      <c r="F149" s="98"/>
      <c r="G149" s="98"/>
      <c r="H149" s="98"/>
      <c r="I149" s="98"/>
      <c r="J149" s="98"/>
      <c r="K149" s="98"/>
      <c r="L149" s="98"/>
      <c r="M149" s="98"/>
      <c r="N149" s="98"/>
      <c r="O149" s="98"/>
      <c r="P149" s="98"/>
      <c r="Q149" s="98"/>
      <c r="R149" s="98"/>
      <c r="S149" s="98"/>
      <c r="T149" s="99">
        <f t="shared" si="9"/>
        <v>0</v>
      </c>
      <c r="U149" s="100"/>
      <c r="V149" s="1"/>
      <c r="W149" s="1"/>
      <c r="X149" s="1"/>
      <c r="Y149" s="1"/>
      <c r="Z149" s="1"/>
    </row>
    <row r="150" spans="1:26" ht="39.75" customHeight="1">
      <c r="A150" s="171"/>
      <c r="B150" s="168" t="s">
        <v>271</v>
      </c>
      <c r="C150" s="168" t="s">
        <v>272</v>
      </c>
      <c r="D150" s="5">
        <v>142</v>
      </c>
      <c r="E150" s="5" t="s">
        <v>273</v>
      </c>
      <c r="F150" s="98"/>
      <c r="G150" s="98"/>
      <c r="H150" s="98"/>
      <c r="I150" s="98"/>
      <c r="J150" s="98"/>
      <c r="K150" s="98"/>
      <c r="L150" s="98"/>
      <c r="M150" s="98"/>
      <c r="N150" s="98"/>
      <c r="O150" s="98"/>
      <c r="P150" s="98"/>
      <c r="Q150" s="98"/>
      <c r="R150" s="98">
        <v>76.36</v>
      </c>
      <c r="S150" s="98"/>
      <c r="T150" s="99">
        <f t="shared" si="9"/>
        <v>76.36</v>
      </c>
      <c r="U150" s="100"/>
      <c r="V150" s="1"/>
      <c r="W150" s="1"/>
      <c r="X150" s="1"/>
      <c r="Y150" s="1"/>
      <c r="Z150" s="1"/>
    </row>
    <row r="151" spans="1:26" ht="39.75" customHeight="1">
      <c r="A151" s="171"/>
      <c r="B151" s="171"/>
      <c r="C151" s="171"/>
      <c r="D151" s="5">
        <v>143</v>
      </c>
      <c r="E151" s="5" t="s">
        <v>274</v>
      </c>
      <c r="F151" s="98"/>
      <c r="G151" s="98"/>
      <c r="H151" s="98"/>
      <c r="I151" s="98"/>
      <c r="J151" s="98"/>
      <c r="K151" s="98"/>
      <c r="L151" s="98"/>
      <c r="M151" s="98"/>
      <c r="N151" s="98"/>
      <c r="O151" s="98"/>
      <c r="P151" s="98"/>
      <c r="Q151" s="98"/>
      <c r="R151" s="98"/>
      <c r="S151" s="98"/>
      <c r="T151" s="99">
        <f t="shared" si="9"/>
        <v>0</v>
      </c>
      <c r="U151" s="100"/>
      <c r="V151" s="1"/>
      <c r="W151" s="1"/>
      <c r="X151" s="1"/>
      <c r="Y151" s="1"/>
      <c r="Z151" s="1"/>
    </row>
    <row r="152" spans="1:26" ht="39.75" customHeight="1">
      <c r="A152" s="171"/>
      <c r="B152" s="171"/>
      <c r="C152" s="171"/>
      <c r="D152" s="5">
        <v>144</v>
      </c>
      <c r="E152" s="5" t="s">
        <v>275</v>
      </c>
      <c r="F152" s="98"/>
      <c r="G152" s="98"/>
      <c r="H152" s="98"/>
      <c r="I152" s="98"/>
      <c r="J152" s="98"/>
      <c r="K152" s="98"/>
      <c r="L152" s="98"/>
      <c r="M152" s="98"/>
      <c r="N152" s="98"/>
      <c r="O152" s="98"/>
      <c r="P152" s="98"/>
      <c r="Q152" s="98"/>
      <c r="R152" s="98"/>
      <c r="S152" s="98"/>
      <c r="T152" s="99">
        <f t="shared" si="9"/>
        <v>0</v>
      </c>
      <c r="U152" s="100"/>
      <c r="V152" s="1"/>
      <c r="W152" s="1"/>
      <c r="X152" s="1"/>
      <c r="Y152" s="1"/>
      <c r="Z152" s="1"/>
    </row>
    <row r="153" spans="1:26" ht="39.75" customHeight="1">
      <c r="A153" s="171"/>
      <c r="B153" s="169"/>
      <c r="C153" s="169"/>
      <c r="D153" s="5">
        <v>145</v>
      </c>
      <c r="E153" s="5" t="s">
        <v>276</v>
      </c>
      <c r="F153" s="98"/>
      <c r="G153" s="98"/>
      <c r="H153" s="98"/>
      <c r="I153" s="98"/>
      <c r="J153" s="98"/>
      <c r="K153" s="98"/>
      <c r="L153" s="98"/>
      <c r="M153" s="98"/>
      <c r="N153" s="98"/>
      <c r="O153" s="98"/>
      <c r="P153" s="98"/>
      <c r="Q153" s="98"/>
      <c r="R153" s="98"/>
      <c r="S153" s="98"/>
      <c r="T153" s="99">
        <f t="shared" si="9"/>
        <v>0</v>
      </c>
      <c r="U153" s="100"/>
      <c r="V153" s="1"/>
      <c r="W153" s="1"/>
      <c r="X153" s="1"/>
      <c r="Y153" s="1"/>
      <c r="Z153" s="1"/>
    </row>
    <row r="154" spans="1:26" ht="39.75" customHeight="1">
      <c r="A154" s="171"/>
      <c r="B154" s="5" t="s">
        <v>277</v>
      </c>
      <c r="C154" s="5" t="s">
        <v>278</v>
      </c>
      <c r="D154" s="5">
        <v>146</v>
      </c>
      <c r="E154" s="5" t="s">
        <v>279</v>
      </c>
      <c r="F154" s="98"/>
      <c r="G154" s="98"/>
      <c r="H154" s="98"/>
      <c r="I154" s="98"/>
      <c r="J154" s="98"/>
      <c r="K154" s="98"/>
      <c r="L154" s="98"/>
      <c r="M154" s="98"/>
      <c r="N154" s="98"/>
      <c r="O154" s="98"/>
      <c r="P154" s="98"/>
      <c r="Q154" s="98"/>
      <c r="R154" s="99">
        <v>5.4</v>
      </c>
      <c r="S154" s="98"/>
      <c r="T154" s="99">
        <f t="shared" si="9"/>
        <v>5.4</v>
      </c>
      <c r="U154" s="102" t="s">
        <v>280</v>
      </c>
      <c r="V154" s="1"/>
      <c r="W154" s="1"/>
      <c r="X154" s="1"/>
      <c r="Y154" s="1"/>
      <c r="Z154" s="1"/>
    </row>
    <row r="155" spans="1:26" ht="39.75" customHeight="1">
      <c r="A155" s="171"/>
      <c r="B155" s="5" t="s">
        <v>281</v>
      </c>
      <c r="C155" s="5" t="s">
        <v>282</v>
      </c>
      <c r="D155" s="5">
        <v>147</v>
      </c>
      <c r="E155" s="5" t="s">
        <v>149</v>
      </c>
      <c r="F155" s="98"/>
      <c r="G155" s="98"/>
      <c r="H155" s="98"/>
      <c r="I155" s="98"/>
      <c r="J155" s="98"/>
      <c r="K155" s="98"/>
      <c r="L155" s="98"/>
      <c r="M155" s="98"/>
      <c r="N155" s="98"/>
      <c r="O155" s="98"/>
      <c r="P155" s="98"/>
      <c r="Q155" s="98"/>
      <c r="R155" s="98"/>
      <c r="S155" s="98"/>
      <c r="T155" s="99">
        <f t="shared" si="9"/>
        <v>0</v>
      </c>
      <c r="U155" s="100"/>
      <c r="V155" s="1"/>
      <c r="W155" s="1"/>
      <c r="X155" s="1"/>
      <c r="Y155" s="1"/>
      <c r="Z155" s="1"/>
    </row>
    <row r="156" spans="1:26" ht="39.75" customHeight="1">
      <c r="A156" s="171"/>
      <c r="B156" s="5" t="s">
        <v>283</v>
      </c>
      <c r="C156" s="5" t="s">
        <v>284</v>
      </c>
      <c r="D156" s="5">
        <v>148</v>
      </c>
      <c r="E156" s="5" t="s">
        <v>285</v>
      </c>
      <c r="F156" s="98"/>
      <c r="G156" s="98"/>
      <c r="H156" s="98"/>
      <c r="I156" s="98"/>
      <c r="J156" s="98"/>
      <c r="K156" s="98"/>
      <c r="L156" s="98"/>
      <c r="M156" s="98"/>
      <c r="N156" s="99"/>
      <c r="O156" s="98"/>
      <c r="P156" s="99"/>
      <c r="Q156" s="98"/>
      <c r="R156" s="98"/>
      <c r="S156" s="98"/>
      <c r="T156" s="99">
        <f t="shared" si="9"/>
        <v>0</v>
      </c>
      <c r="U156" s="101"/>
      <c r="V156" s="1"/>
      <c r="W156" s="1"/>
      <c r="X156" s="1"/>
      <c r="Y156" s="1"/>
      <c r="Z156" s="1"/>
    </row>
    <row r="157" spans="1:26" ht="39.75" customHeight="1">
      <c r="A157" s="171"/>
      <c r="B157" s="5" t="s">
        <v>286</v>
      </c>
      <c r="C157" s="5" t="s">
        <v>287</v>
      </c>
      <c r="D157" s="5">
        <v>149</v>
      </c>
      <c r="E157" s="5" t="s">
        <v>288</v>
      </c>
      <c r="F157" s="106"/>
      <c r="G157" s="106"/>
      <c r="H157" s="106"/>
      <c r="I157" s="106"/>
      <c r="J157" s="106"/>
      <c r="K157" s="106"/>
      <c r="L157" s="106"/>
      <c r="M157" s="106"/>
      <c r="N157" s="106"/>
      <c r="O157" s="106"/>
      <c r="P157" s="99">
        <f>(2*1.75)+(0.05*15)</f>
        <v>4.25</v>
      </c>
      <c r="Q157" s="106"/>
      <c r="R157" s="106"/>
      <c r="S157" s="106"/>
      <c r="T157" s="99">
        <f t="shared" si="9"/>
        <v>4.25</v>
      </c>
      <c r="U157" s="101"/>
      <c r="V157" s="1"/>
      <c r="W157" s="1"/>
      <c r="X157" s="1"/>
      <c r="Y157" s="1"/>
      <c r="Z157" s="1"/>
    </row>
    <row r="158" spans="1:26" ht="39.75" customHeight="1">
      <c r="A158" s="169"/>
      <c r="B158" s="176" t="s">
        <v>289</v>
      </c>
      <c r="C158" s="177"/>
      <c r="D158" s="178"/>
      <c r="E158" s="51"/>
      <c r="F158" s="51">
        <f t="shared" ref="F158:S158" si="10">SUM(F135:F157)</f>
        <v>0</v>
      </c>
      <c r="G158" s="51">
        <f t="shared" si="10"/>
        <v>0</v>
      </c>
      <c r="H158" s="51">
        <f t="shared" si="10"/>
        <v>0</v>
      </c>
      <c r="I158" s="51">
        <f t="shared" si="10"/>
        <v>0</v>
      </c>
      <c r="J158" s="51">
        <f t="shared" si="10"/>
        <v>0</v>
      </c>
      <c r="K158" s="51">
        <f t="shared" si="10"/>
        <v>0</v>
      </c>
      <c r="L158" s="51">
        <f t="shared" si="10"/>
        <v>0</v>
      </c>
      <c r="M158" s="51">
        <f t="shared" si="10"/>
        <v>0</v>
      </c>
      <c r="N158" s="51">
        <f t="shared" si="10"/>
        <v>0.15</v>
      </c>
      <c r="O158" s="51">
        <f t="shared" si="10"/>
        <v>0</v>
      </c>
      <c r="P158" s="51">
        <f t="shared" si="10"/>
        <v>10.25</v>
      </c>
      <c r="Q158" s="51">
        <f t="shared" si="10"/>
        <v>1.7</v>
      </c>
      <c r="R158" s="51">
        <f t="shared" si="10"/>
        <v>81.760000000000005</v>
      </c>
      <c r="S158" s="51">
        <f t="shared" si="10"/>
        <v>0</v>
      </c>
      <c r="T158" s="52">
        <f t="shared" si="9"/>
        <v>93.86</v>
      </c>
      <c r="U158" s="9"/>
      <c r="V158" s="29"/>
      <c r="W158" s="29"/>
      <c r="X158" s="29"/>
      <c r="Y158" s="29"/>
      <c r="Z158" s="29"/>
    </row>
    <row r="159" spans="1:26" ht="39.75" customHeight="1">
      <c r="A159" s="175" t="s">
        <v>290</v>
      </c>
      <c r="B159" s="168" t="s">
        <v>291</v>
      </c>
      <c r="C159" s="168" t="s">
        <v>247</v>
      </c>
      <c r="D159" s="5">
        <v>150</v>
      </c>
      <c r="E159" s="5" t="s">
        <v>292</v>
      </c>
      <c r="F159" s="5"/>
      <c r="G159" s="8">
        <v>0</v>
      </c>
      <c r="H159" s="8">
        <v>0</v>
      </c>
      <c r="I159" s="5"/>
      <c r="J159" s="5"/>
      <c r="K159" s="5"/>
      <c r="L159" s="5"/>
      <c r="M159" s="5"/>
      <c r="N159" s="6">
        <v>2.5</v>
      </c>
      <c r="O159" s="5"/>
      <c r="P159" s="8"/>
      <c r="Q159" s="5"/>
      <c r="R159" s="5"/>
      <c r="S159" s="5"/>
      <c r="T159" s="6">
        <f t="shared" si="9"/>
        <v>2.5</v>
      </c>
      <c r="U159" s="62" t="s">
        <v>376</v>
      </c>
      <c r="V159" s="1"/>
      <c r="W159" s="1"/>
      <c r="X159" s="1"/>
      <c r="Y159" s="1"/>
      <c r="Z159" s="1"/>
    </row>
    <row r="160" spans="1:26" ht="39.75" customHeight="1">
      <c r="A160" s="171"/>
      <c r="B160" s="171"/>
      <c r="C160" s="171"/>
      <c r="D160" s="5">
        <v>151</v>
      </c>
      <c r="E160" s="5" t="s">
        <v>294</v>
      </c>
      <c r="F160" s="5"/>
      <c r="G160" s="8"/>
      <c r="H160" s="8"/>
      <c r="I160" s="6"/>
      <c r="J160" s="5"/>
      <c r="K160" s="5"/>
      <c r="L160" s="5"/>
      <c r="M160" s="5"/>
      <c r="N160" s="6"/>
      <c r="O160" s="8"/>
      <c r="P160" s="8"/>
      <c r="Q160" s="6"/>
      <c r="R160" s="8">
        <v>6</v>
      </c>
      <c r="S160" s="5"/>
      <c r="T160" s="6">
        <f t="shared" si="9"/>
        <v>6</v>
      </c>
      <c r="U160" s="9" t="s">
        <v>640</v>
      </c>
      <c r="V160" s="1"/>
      <c r="W160" s="1"/>
      <c r="X160" s="1"/>
      <c r="Y160" s="1"/>
      <c r="Z160" s="1"/>
    </row>
    <row r="161" spans="1:26" ht="39.75" customHeight="1">
      <c r="A161" s="171"/>
      <c r="B161" s="171"/>
      <c r="C161" s="171"/>
      <c r="D161" s="5">
        <v>152</v>
      </c>
      <c r="E161" s="5" t="s">
        <v>295</v>
      </c>
      <c r="F161" s="5"/>
      <c r="G161" s="5"/>
      <c r="H161" s="5"/>
      <c r="I161" s="5"/>
      <c r="J161" s="5"/>
      <c r="K161" s="5"/>
      <c r="L161" s="5"/>
      <c r="M161" s="5"/>
      <c r="N161" s="5"/>
      <c r="O161" s="5"/>
      <c r="P161" s="8">
        <v>25</v>
      </c>
      <c r="Q161" s="5"/>
      <c r="R161" s="5"/>
      <c r="S161" s="5"/>
      <c r="T161" s="6">
        <f t="shared" si="9"/>
        <v>25</v>
      </c>
      <c r="U161" s="9" t="s">
        <v>296</v>
      </c>
      <c r="V161" s="1"/>
      <c r="W161" s="1"/>
      <c r="X161" s="1"/>
      <c r="Y161" s="1"/>
      <c r="Z161" s="1"/>
    </row>
    <row r="162" spans="1:26" ht="39.75" customHeight="1">
      <c r="A162" s="171"/>
      <c r="B162" s="179"/>
      <c r="C162" s="179"/>
      <c r="D162" s="5">
        <v>153</v>
      </c>
      <c r="E162" s="5" t="s">
        <v>297</v>
      </c>
      <c r="F162" s="24"/>
      <c r="G162" s="24"/>
      <c r="H162" s="24"/>
      <c r="I162" s="24"/>
      <c r="J162" s="24"/>
      <c r="K162" s="24"/>
      <c r="L162" s="24"/>
      <c r="M162" s="24"/>
      <c r="N162" s="6"/>
      <c r="O162" s="24"/>
      <c r="P162" s="24"/>
      <c r="Q162" s="24"/>
      <c r="R162" s="24"/>
      <c r="S162" s="24"/>
      <c r="T162" s="6">
        <f t="shared" si="9"/>
        <v>0</v>
      </c>
      <c r="U162" s="9" t="s">
        <v>298</v>
      </c>
      <c r="V162" s="1"/>
      <c r="W162" s="1"/>
      <c r="X162" s="1"/>
      <c r="Y162" s="1"/>
      <c r="Z162" s="1"/>
    </row>
    <row r="163" spans="1:26" ht="39.75" customHeight="1">
      <c r="A163" s="171"/>
      <c r="B163" s="168" t="s">
        <v>299</v>
      </c>
      <c r="C163" s="168" t="s">
        <v>300</v>
      </c>
      <c r="D163" s="5">
        <v>154</v>
      </c>
      <c r="E163" s="5" t="s">
        <v>301</v>
      </c>
      <c r="F163" s="5"/>
      <c r="G163" s="5"/>
      <c r="H163" s="5"/>
      <c r="I163" s="5"/>
      <c r="J163" s="5"/>
      <c r="K163" s="6"/>
      <c r="L163" s="5"/>
      <c r="M163" s="6"/>
      <c r="N163" s="5"/>
      <c r="O163" s="5"/>
      <c r="P163" s="5"/>
      <c r="Q163" s="8"/>
      <c r="R163" s="5"/>
      <c r="S163" s="5"/>
      <c r="T163" s="6">
        <f t="shared" si="9"/>
        <v>0</v>
      </c>
      <c r="U163" s="9"/>
      <c r="V163" s="1"/>
      <c r="W163" s="1"/>
      <c r="X163" s="1"/>
      <c r="Y163" s="1"/>
      <c r="Z163" s="1"/>
    </row>
    <row r="164" spans="1:26" ht="39.75" customHeight="1">
      <c r="A164" s="171"/>
      <c r="B164" s="171"/>
      <c r="C164" s="171"/>
      <c r="D164" s="5">
        <v>155</v>
      </c>
      <c r="E164" s="5" t="s">
        <v>302</v>
      </c>
      <c r="F164" s="5"/>
      <c r="G164" s="5"/>
      <c r="H164" s="5"/>
      <c r="I164" s="5"/>
      <c r="J164" s="5"/>
      <c r="K164" s="5"/>
      <c r="L164" s="5"/>
      <c r="M164" s="5"/>
      <c r="N164" s="5"/>
      <c r="O164" s="5"/>
      <c r="P164" s="8">
        <v>39.340000000000003</v>
      </c>
      <c r="Q164" s="5"/>
      <c r="R164" s="5"/>
      <c r="S164" s="5"/>
      <c r="T164" s="6">
        <f t="shared" si="9"/>
        <v>39.340000000000003</v>
      </c>
      <c r="U164" s="9"/>
      <c r="V164" s="1"/>
      <c r="W164" s="1"/>
      <c r="X164" s="1"/>
      <c r="Y164" s="1"/>
      <c r="Z164" s="1"/>
    </row>
    <row r="165" spans="1:26" ht="39.75" customHeight="1">
      <c r="A165" s="171"/>
      <c r="B165" s="171"/>
      <c r="C165" s="171"/>
      <c r="D165" s="5">
        <v>156</v>
      </c>
      <c r="E165" s="5" t="s">
        <v>303</v>
      </c>
      <c r="F165" s="5"/>
      <c r="G165" s="5"/>
      <c r="H165" s="8"/>
      <c r="I165" s="6"/>
      <c r="J165" s="5"/>
      <c r="K165" s="5"/>
      <c r="L165" s="5"/>
      <c r="M165" s="5"/>
      <c r="N165" s="5"/>
      <c r="O165" s="5"/>
      <c r="P165" s="8">
        <v>1.6</v>
      </c>
      <c r="Q165" s="5"/>
      <c r="R165" s="5"/>
      <c r="S165" s="5"/>
      <c r="T165" s="6">
        <f t="shared" si="9"/>
        <v>1.6</v>
      </c>
      <c r="U165" s="9"/>
      <c r="V165" s="1"/>
      <c r="W165" s="1"/>
      <c r="X165" s="1"/>
      <c r="Y165" s="1"/>
      <c r="Z165" s="1"/>
    </row>
    <row r="166" spans="1:26" ht="39.75" customHeight="1">
      <c r="A166" s="171"/>
      <c r="B166" s="171"/>
      <c r="C166" s="171"/>
      <c r="D166" s="5">
        <v>157</v>
      </c>
      <c r="E166" s="5" t="s">
        <v>304</v>
      </c>
      <c r="F166" s="5"/>
      <c r="G166" s="5"/>
      <c r="H166" s="5"/>
      <c r="I166" s="5"/>
      <c r="J166" s="5"/>
      <c r="K166" s="5"/>
      <c r="L166" s="5"/>
      <c r="M166" s="5"/>
      <c r="N166" s="5"/>
      <c r="O166" s="5"/>
      <c r="P166" s="5"/>
      <c r="Q166" s="5"/>
      <c r="R166" s="5"/>
      <c r="S166" s="5"/>
      <c r="T166" s="6">
        <f t="shared" si="9"/>
        <v>0</v>
      </c>
      <c r="U166" s="9"/>
      <c r="V166" s="1"/>
      <c r="W166" s="1"/>
      <c r="X166" s="1"/>
      <c r="Y166" s="1"/>
      <c r="Z166" s="1"/>
    </row>
    <row r="167" spans="1:26" ht="39.75" customHeight="1">
      <c r="A167" s="171"/>
      <c r="B167" s="169"/>
      <c r="C167" s="169"/>
      <c r="D167" s="5">
        <v>158</v>
      </c>
      <c r="E167" s="5" t="s">
        <v>305</v>
      </c>
      <c r="F167" s="5"/>
      <c r="G167" s="5"/>
      <c r="H167" s="5"/>
      <c r="I167" s="5"/>
      <c r="J167" s="5"/>
      <c r="K167" s="5"/>
      <c r="L167" s="5"/>
      <c r="M167" s="5"/>
      <c r="N167" s="5"/>
      <c r="O167" s="5"/>
      <c r="P167" s="5"/>
      <c r="Q167" s="6"/>
      <c r="R167" s="5"/>
      <c r="S167" s="5"/>
      <c r="T167" s="6">
        <f t="shared" si="9"/>
        <v>0</v>
      </c>
      <c r="U167" s="9"/>
      <c r="V167" s="1"/>
      <c r="W167" s="1"/>
      <c r="X167" s="1"/>
      <c r="Y167" s="1"/>
      <c r="Z167" s="1"/>
    </row>
    <row r="168" spans="1:26" ht="39.75" customHeight="1">
      <c r="A168" s="171"/>
      <c r="B168" s="168" t="s">
        <v>306</v>
      </c>
      <c r="C168" s="168" t="s">
        <v>252</v>
      </c>
      <c r="D168" s="5">
        <v>159</v>
      </c>
      <c r="E168" s="5" t="s">
        <v>253</v>
      </c>
      <c r="F168" s="5"/>
      <c r="G168" s="5"/>
      <c r="H168" s="5"/>
      <c r="I168" s="5"/>
      <c r="J168" s="5"/>
      <c r="K168" s="6"/>
      <c r="L168" s="5"/>
      <c r="M168" s="5"/>
      <c r="N168" s="8">
        <v>20.28</v>
      </c>
      <c r="O168" s="8">
        <v>230.21</v>
      </c>
      <c r="P168" s="8">
        <v>24.48</v>
      </c>
      <c r="Q168" s="6">
        <v>2.87</v>
      </c>
      <c r="R168" s="5"/>
      <c r="S168" s="5"/>
      <c r="T168" s="6">
        <f t="shared" si="9"/>
        <v>277.84000000000003</v>
      </c>
      <c r="U168" s="12" t="s">
        <v>459</v>
      </c>
      <c r="V168" s="1"/>
      <c r="W168" s="1"/>
      <c r="X168" s="1"/>
      <c r="Y168" s="1"/>
      <c r="Z168" s="1"/>
    </row>
    <row r="169" spans="1:26" ht="39.75" customHeight="1">
      <c r="A169" s="171"/>
      <c r="B169" s="171"/>
      <c r="C169" s="171"/>
      <c r="D169" s="5">
        <v>160</v>
      </c>
      <c r="E169" s="5" t="s">
        <v>308</v>
      </c>
      <c r="F169" s="5"/>
      <c r="G169" s="5"/>
      <c r="H169" s="5"/>
      <c r="I169" s="5"/>
      <c r="J169" s="5"/>
      <c r="K169" s="5"/>
      <c r="L169" s="5"/>
      <c r="M169" s="5"/>
      <c r="N169" s="5"/>
      <c r="O169" s="5"/>
      <c r="P169" s="5"/>
      <c r="Q169" s="5"/>
      <c r="R169" s="5"/>
      <c r="S169" s="5"/>
      <c r="T169" s="6">
        <f t="shared" si="9"/>
        <v>0</v>
      </c>
      <c r="U169" s="9"/>
      <c r="V169" s="1"/>
      <c r="W169" s="1"/>
      <c r="X169" s="1"/>
      <c r="Y169" s="1"/>
      <c r="Z169" s="1"/>
    </row>
    <row r="170" spans="1:26" ht="39.75" customHeight="1">
      <c r="A170" s="171"/>
      <c r="B170" s="171"/>
      <c r="C170" s="171"/>
      <c r="D170" s="5">
        <v>161</v>
      </c>
      <c r="E170" s="5" t="s">
        <v>255</v>
      </c>
      <c r="F170" s="5"/>
      <c r="G170" s="5"/>
      <c r="H170" s="5"/>
      <c r="I170" s="5"/>
      <c r="J170" s="5"/>
      <c r="K170" s="5"/>
      <c r="L170" s="5"/>
      <c r="M170" s="5"/>
      <c r="N170" s="5"/>
      <c r="O170" s="5"/>
      <c r="P170" s="5"/>
      <c r="Q170" s="5"/>
      <c r="R170" s="5"/>
      <c r="S170" s="5"/>
      <c r="T170" s="6">
        <f t="shared" si="9"/>
        <v>0</v>
      </c>
      <c r="U170" s="9"/>
      <c r="V170" s="1"/>
      <c r="W170" s="1"/>
      <c r="X170" s="1"/>
      <c r="Y170" s="1"/>
      <c r="Z170" s="1"/>
    </row>
    <row r="171" spans="1:26" ht="39.75" customHeight="1">
      <c r="A171" s="171"/>
      <c r="B171" s="171"/>
      <c r="C171" s="171"/>
      <c r="D171" s="5">
        <v>162</v>
      </c>
      <c r="E171" s="5" t="s">
        <v>256</v>
      </c>
      <c r="F171" s="5"/>
      <c r="G171" s="5"/>
      <c r="H171" s="5"/>
      <c r="I171" s="5"/>
      <c r="J171" s="5"/>
      <c r="K171" s="5"/>
      <c r="L171" s="5"/>
      <c r="M171" s="5"/>
      <c r="N171" s="5"/>
      <c r="O171" s="5"/>
      <c r="P171" s="5"/>
      <c r="Q171" s="5"/>
      <c r="R171" s="5"/>
      <c r="S171" s="5"/>
      <c r="T171" s="6">
        <f t="shared" si="9"/>
        <v>0</v>
      </c>
      <c r="U171" s="9"/>
      <c r="V171" s="1"/>
      <c r="W171" s="1"/>
      <c r="X171" s="1"/>
      <c r="Y171" s="1"/>
      <c r="Z171" s="1"/>
    </row>
    <row r="172" spans="1:26" ht="39.75" customHeight="1">
      <c r="A172" s="171"/>
      <c r="B172" s="169"/>
      <c r="C172" s="169"/>
      <c r="D172" s="5">
        <v>163</v>
      </c>
      <c r="E172" s="5" t="s">
        <v>309</v>
      </c>
      <c r="F172" s="5"/>
      <c r="G172" s="5"/>
      <c r="H172" s="5"/>
      <c r="I172" s="5"/>
      <c r="J172" s="5"/>
      <c r="K172" s="5"/>
      <c r="L172" s="5"/>
      <c r="M172" s="5"/>
      <c r="N172" s="5"/>
      <c r="O172" s="8"/>
      <c r="P172" s="8">
        <v>1.1000000000000001</v>
      </c>
      <c r="Q172" s="6">
        <v>4.5</v>
      </c>
      <c r="R172" s="5"/>
      <c r="S172" s="5"/>
      <c r="T172" s="6">
        <f t="shared" si="9"/>
        <v>5.6</v>
      </c>
      <c r="U172" s="9" t="s">
        <v>310</v>
      </c>
      <c r="V172" s="1"/>
      <c r="W172" s="1"/>
      <c r="X172" s="1"/>
      <c r="Y172" s="1"/>
      <c r="Z172" s="1"/>
    </row>
    <row r="173" spans="1:26" ht="39.75" customHeight="1">
      <c r="A173" s="171"/>
      <c r="B173" s="168" t="s">
        <v>311</v>
      </c>
      <c r="C173" s="168" t="s">
        <v>312</v>
      </c>
      <c r="D173" s="5">
        <v>164</v>
      </c>
      <c r="E173" s="5" t="s">
        <v>313</v>
      </c>
      <c r="F173" s="5"/>
      <c r="G173" s="8"/>
      <c r="H173" s="8"/>
      <c r="I173" s="5"/>
      <c r="J173" s="5"/>
      <c r="K173" s="5"/>
      <c r="L173" s="5"/>
      <c r="M173" s="5"/>
      <c r="N173" s="5"/>
      <c r="O173" s="5"/>
      <c r="P173" s="5"/>
      <c r="Q173" s="5"/>
      <c r="R173" s="5"/>
      <c r="S173" s="5"/>
      <c r="T173" s="6">
        <f t="shared" si="9"/>
        <v>0</v>
      </c>
      <c r="U173" s="9"/>
      <c r="V173" s="1"/>
      <c r="W173" s="1"/>
      <c r="X173" s="1"/>
      <c r="Y173" s="1"/>
      <c r="Z173" s="1"/>
    </row>
    <row r="174" spans="1:26" ht="39.75" customHeight="1">
      <c r="A174" s="171"/>
      <c r="B174" s="171"/>
      <c r="C174" s="171"/>
      <c r="D174" s="5">
        <v>165</v>
      </c>
      <c r="E174" s="5" t="s">
        <v>314</v>
      </c>
      <c r="F174" s="5"/>
      <c r="G174" s="8"/>
      <c r="H174" s="8"/>
      <c r="I174" s="5"/>
      <c r="J174" s="5"/>
      <c r="K174" s="5"/>
      <c r="L174" s="5"/>
      <c r="M174" s="5"/>
      <c r="N174" s="5"/>
      <c r="O174" s="5"/>
      <c r="P174" s="5"/>
      <c r="Q174" s="5"/>
      <c r="R174" s="5"/>
      <c r="S174" s="5"/>
      <c r="T174" s="6">
        <f t="shared" si="9"/>
        <v>0</v>
      </c>
      <c r="U174" s="9"/>
      <c r="V174" s="1"/>
      <c r="W174" s="1"/>
      <c r="X174" s="1"/>
      <c r="Y174" s="1"/>
      <c r="Z174" s="1"/>
    </row>
    <row r="175" spans="1:26" ht="39.75" customHeight="1">
      <c r="A175" s="171"/>
      <c r="B175" s="171"/>
      <c r="C175" s="171"/>
      <c r="D175" s="5">
        <v>166</v>
      </c>
      <c r="E175" s="5" t="s">
        <v>315</v>
      </c>
      <c r="F175" s="5"/>
      <c r="G175" s="8"/>
      <c r="H175" s="8"/>
      <c r="I175" s="5"/>
      <c r="J175" s="5"/>
      <c r="K175" s="5"/>
      <c r="L175" s="5"/>
      <c r="M175" s="5"/>
      <c r="N175" s="5"/>
      <c r="O175" s="5"/>
      <c r="P175" s="5"/>
      <c r="Q175" s="5"/>
      <c r="R175" s="5"/>
      <c r="S175" s="5"/>
      <c r="T175" s="6">
        <f t="shared" si="9"/>
        <v>0</v>
      </c>
      <c r="U175" s="9"/>
      <c r="V175" s="1"/>
      <c r="W175" s="1"/>
      <c r="X175" s="1"/>
      <c r="Y175" s="1"/>
      <c r="Z175" s="1"/>
    </row>
    <row r="176" spans="1:26" ht="39.75" customHeight="1">
      <c r="A176" s="171"/>
      <c r="B176" s="171"/>
      <c r="C176" s="171"/>
      <c r="D176" s="5">
        <v>167</v>
      </c>
      <c r="E176" s="5" t="s">
        <v>316</v>
      </c>
      <c r="F176" s="5"/>
      <c r="G176" s="8"/>
      <c r="H176" s="8"/>
      <c r="I176" s="5"/>
      <c r="J176" s="5"/>
      <c r="K176" s="5"/>
      <c r="L176" s="5"/>
      <c r="M176" s="5"/>
      <c r="N176" s="5"/>
      <c r="O176" s="5"/>
      <c r="P176" s="5"/>
      <c r="Q176" s="5"/>
      <c r="R176" s="5"/>
      <c r="S176" s="5"/>
      <c r="T176" s="6">
        <f t="shared" si="9"/>
        <v>0</v>
      </c>
      <c r="U176" s="9"/>
      <c r="V176" s="1"/>
      <c r="W176" s="1"/>
      <c r="X176" s="1"/>
      <c r="Y176" s="1"/>
      <c r="Z176" s="1"/>
    </row>
    <row r="177" spans="1:26" ht="39.75" customHeight="1">
      <c r="A177" s="171"/>
      <c r="B177" s="171"/>
      <c r="C177" s="171"/>
      <c r="D177" s="5">
        <v>168</v>
      </c>
      <c r="E177" s="5" t="s">
        <v>317</v>
      </c>
      <c r="F177" s="5"/>
      <c r="G177" s="8"/>
      <c r="H177" s="8"/>
      <c r="I177" s="5"/>
      <c r="J177" s="5"/>
      <c r="K177" s="5"/>
      <c r="L177" s="5"/>
      <c r="M177" s="5"/>
      <c r="N177" s="5"/>
      <c r="O177" s="5"/>
      <c r="P177" s="5"/>
      <c r="Q177" s="5"/>
      <c r="R177" s="5"/>
      <c r="S177" s="5"/>
      <c r="T177" s="6">
        <f t="shared" si="9"/>
        <v>0</v>
      </c>
      <c r="U177" s="9"/>
      <c r="V177" s="1"/>
      <c r="W177" s="1"/>
      <c r="X177" s="1"/>
      <c r="Y177" s="1"/>
      <c r="Z177" s="1"/>
    </row>
    <row r="178" spans="1:26" ht="39.75" customHeight="1">
      <c r="A178" s="171"/>
      <c r="B178" s="171"/>
      <c r="C178" s="171"/>
      <c r="D178" s="5">
        <v>169</v>
      </c>
      <c r="E178" s="5" t="s">
        <v>318</v>
      </c>
      <c r="F178" s="5"/>
      <c r="G178" s="8"/>
      <c r="H178" s="8"/>
      <c r="I178" s="6"/>
      <c r="J178" s="5"/>
      <c r="K178" s="5"/>
      <c r="L178" s="5"/>
      <c r="M178" s="5"/>
      <c r="N178" s="5"/>
      <c r="O178" s="5"/>
      <c r="P178" s="5"/>
      <c r="Q178" s="5"/>
      <c r="R178" s="5"/>
      <c r="S178" s="5"/>
      <c r="T178" s="6">
        <f t="shared" si="9"/>
        <v>0</v>
      </c>
      <c r="U178" s="9"/>
      <c r="V178" s="1"/>
      <c r="W178" s="1"/>
      <c r="X178" s="1"/>
      <c r="Y178" s="1"/>
      <c r="Z178" s="1"/>
    </row>
    <row r="179" spans="1:26" ht="39.75" customHeight="1">
      <c r="A179" s="171"/>
      <c r="B179" s="169"/>
      <c r="C179" s="169"/>
      <c r="D179" s="5">
        <v>170</v>
      </c>
      <c r="E179" s="5" t="s">
        <v>319</v>
      </c>
      <c r="F179" s="5"/>
      <c r="G179" s="5"/>
      <c r="H179" s="5"/>
      <c r="I179" s="5"/>
      <c r="J179" s="5"/>
      <c r="K179" s="5"/>
      <c r="L179" s="5"/>
      <c r="M179" s="5"/>
      <c r="N179" s="5"/>
      <c r="O179" s="5"/>
      <c r="P179" s="5"/>
      <c r="Q179" s="5"/>
      <c r="R179" s="5"/>
      <c r="S179" s="5"/>
      <c r="T179" s="6">
        <f t="shared" si="9"/>
        <v>0</v>
      </c>
      <c r="U179" s="9"/>
      <c r="V179" s="1"/>
      <c r="W179" s="1"/>
      <c r="X179" s="1"/>
      <c r="Y179" s="1"/>
      <c r="Z179" s="1"/>
    </row>
    <row r="180" spans="1:26" ht="39.75" customHeight="1">
      <c r="A180" s="171"/>
      <c r="B180" s="168" t="s">
        <v>320</v>
      </c>
      <c r="C180" s="168" t="s">
        <v>321</v>
      </c>
      <c r="D180" s="5">
        <v>171</v>
      </c>
      <c r="E180" s="5" t="s">
        <v>322</v>
      </c>
      <c r="F180" s="5"/>
      <c r="G180" s="5"/>
      <c r="H180" s="5"/>
      <c r="I180" s="5"/>
      <c r="J180" s="5"/>
      <c r="K180" s="5"/>
      <c r="L180" s="5"/>
      <c r="M180" s="5"/>
      <c r="N180" s="5"/>
      <c r="O180" s="5"/>
      <c r="P180" s="5"/>
      <c r="Q180" s="5"/>
      <c r="R180" s="5"/>
      <c r="S180" s="5"/>
      <c r="T180" s="6">
        <f t="shared" si="9"/>
        <v>0</v>
      </c>
      <c r="U180" s="9"/>
      <c r="V180" s="1"/>
      <c r="W180" s="1"/>
      <c r="X180" s="1"/>
      <c r="Y180" s="1"/>
      <c r="Z180" s="1"/>
    </row>
    <row r="181" spans="1:26" ht="39.75" customHeight="1">
      <c r="A181" s="171"/>
      <c r="B181" s="171"/>
      <c r="C181" s="171"/>
      <c r="D181" s="5">
        <v>172</v>
      </c>
      <c r="E181" s="5" t="s">
        <v>323</v>
      </c>
      <c r="F181" s="5"/>
      <c r="G181" s="5"/>
      <c r="H181" s="5"/>
      <c r="I181" s="5"/>
      <c r="J181" s="5"/>
      <c r="K181" s="5"/>
      <c r="L181" s="5"/>
      <c r="M181" s="5"/>
      <c r="N181" s="5"/>
      <c r="O181" s="5"/>
      <c r="P181" s="6"/>
      <c r="Q181" s="5"/>
      <c r="R181" s="5"/>
      <c r="S181" s="5"/>
      <c r="T181" s="6">
        <f t="shared" si="9"/>
        <v>0</v>
      </c>
      <c r="U181" s="9"/>
      <c r="V181" s="1"/>
      <c r="W181" s="1"/>
      <c r="X181" s="1"/>
      <c r="Y181" s="1"/>
      <c r="Z181" s="1"/>
    </row>
    <row r="182" spans="1:26" ht="39.75" customHeight="1">
      <c r="A182" s="171"/>
      <c r="B182" s="171"/>
      <c r="C182" s="171"/>
      <c r="D182" s="5">
        <v>173</v>
      </c>
      <c r="E182" s="5" t="s">
        <v>324</v>
      </c>
      <c r="F182" s="5"/>
      <c r="G182" s="5"/>
      <c r="H182" s="5"/>
      <c r="I182" s="5"/>
      <c r="J182" s="5"/>
      <c r="K182" s="5"/>
      <c r="L182" s="5"/>
      <c r="M182" s="5"/>
      <c r="N182" s="5"/>
      <c r="O182" s="5"/>
      <c r="P182" s="5"/>
      <c r="Q182" s="5"/>
      <c r="R182" s="5"/>
      <c r="S182" s="5"/>
      <c r="T182" s="6">
        <f t="shared" si="9"/>
        <v>0</v>
      </c>
      <c r="U182" s="9"/>
      <c r="V182" s="1"/>
      <c r="W182" s="1"/>
      <c r="X182" s="1"/>
      <c r="Y182" s="1"/>
      <c r="Z182" s="1"/>
    </row>
    <row r="183" spans="1:26" ht="39.75" customHeight="1">
      <c r="A183" s="171"/>
      <c r="B183" s="169"/>
      <c r="C183" s="169"/>
      <c r="D183" s="5">
        <v>174</v>
      </c>
      <c r="E183" s="5" t="s">
        <v>325</v>
      </c>
      <c r="F183" s="5"/>
      <c r="G183" s="5"/>
      <c r="H183" s="5"/>
      <c r="I183" s="5"/>
      <c r="J183" s="5"/>
      <c r="K183" s="5"/>
      <c r="L183" s="5"/>
      <c r="M183" s="5"/>
      <c r="N183" s="5"/>
      <c r="O183" s="5"/>
      <c r="P183" s="6"/>
      <c r="Q183" s="5"/>
      <c r="R183" s="5"/>
      <c r="S183" s="5"/>
      <c r="T183" s="6">
        <f t="shared" si="9"/>
        <v>0</v>
      </c>
      <c r="U183" s="9"/>
      <c r="V183" s="1"/>
      <c r="W183" s="1"/>
      <c r="X183" s="1"/>
      <c r="Y183" s="1"/>
      <c r="Z183" s="1"/>
    </row>
    <row r="184" spans="1:26" ht="39.75" customHeight="1">
      <c r="A184" s="171"/>
      <c r="B184" s="168" t="s">
        <v>326</v>
      </c>
      <c r="C184" s="168" t="s">
        <v>267</v>
      </c>
      <c r="D184" s="5">
        <v>175</v>
      </c>
      <c r="E184" s="5" t="s">
        <v>268</v>
      </c>
      <c r="F184" s="134"/>
      <c r="G184" s="134"/>
      <c r="H184" s="134"/>
      <c r="I184" s="135">
        <v>4</v>
      </c>
      <c r="J184" s="134"/>
      <c r="K184" s="134"/>
      <c r="L184" s="134"/>
      <c r="M184" s="134"/>
      <c r="N184" s="136">
        <f>3.93+1.5</f>
        <v>5.43</v>
      </c>
      <c r="O184" s="134"/>
      <c r="P184" s="135">
        <v>4</v>
      </c>
      <c r="Q184" s="137">
        <v>4.2857000000000003</v>
      </c>
      <c r="R184" s="135">
        <f>0.504+0.252</f>
        <v>0.75600000000000001</v>
      </c>
      <c r="S184" s="135"/>
      <c r="T184" s="136">
        <f t="shared" ref="T184:T186" si="11">SUM(F184:S184)</f>
        <v>18.471699999999998</v>
      </c>
      <c r="U184" s="138" t="s">
        <v>860</v>
      </c>
      <c r="V184" s="1"/>
      <c r="W184" s="1"/>
      <c r="X184" s="1"/>
      <c r="Y184" s="1"/>
      <c r="Z184" s="1"/>
    </row>
    <row r="185" spans="1:26" ht="39.75" customHeight="1">
      <c r="A185" s="171"/>
      <c r="B185" s="171"/>
      <c r="C185" s="171"/>
      <c r="D185" s="5">
        <v>176</v>
      </c>
      <c r="E185" s="5" t="s">
        <v>269</v>
      </c>
      <c r="F185" s="134"/>
      <c r="G185" s="134"/>
      <c r="H185" s="134"/>
      <c r="I185" s="134"/>
      <c r="J185" s="134"/>
      <c r="K185" s="134"/>
      <c r="L185" s="134"/>
      <c r="M185" s="135">
        <v>12.6</v>
      </c>
      <c r="N185" s="134"/>
      <c r="O185" s="134"/>
      <c r="P185" s="135">
        <v>26.225000000000001</v>
      </c>
      <c r="Q185" s="135">
        <v>2.4900000000000002</v>
      </c>
      <c r="R185" s="134"/>
      <c r="S185" s="134"/>
      <c r="T185" s="136">
        <f t="shared" si="11"/>
        <v>41.315000000000005</v>
      </c>
      <c r="U185" s="138" t="s">
        <v>861</v>
      </c>
      <c r="V185" s="1"/>
      <c r="W185" s="1"/>
      <c r="X185" s="1"/>
      <c r="Y185" s="1"/>
      <c r="Z185" s="1"/>
    </row>
    <row r="186" spans="1:26" ht="39.75" customHeight="1">
      <c r="A186" s="171"/>
      <c r="B186" s="169"/>
      <c r="C186" s="169"/>
      <c r="D186" s="5">
        <v>177</v>
      </c>
      <c r="E186" s="5" t="s">
        <v>270</v>
      </c>
      <c r="F186" s="134"/>
      <c r="G186" s="134"/>
      <c r="H186" s="134"/>
      <c r="I186" s="134"/>
      <c r="J186" s="134"/>
      <c r="K186" s="134"/>
      <c r="L186" s="134"/>
      <c r="M186" s="134"/>
      <c r="N186" s="136">
        <v>1</v>
      </c>
      <c r="O186" s="134"/>
      <c r="P186" s="134"/>
      <c r="Q186" s="134"/>
      <c r="R186" s="134"/>
      <c r="S186" s="134"/>
      <c r="T186" s="136">
        <f t="shared" si="11"/>
        <v>1</v>
      </c>
      <c r="U186" s="138" t="s">
        <v>839</v>
      </c>
      <c r="V186" s="1"/>
      <c r="W186" s="1"/>
      <c r="X186" s="1"/>
      <c r="Y186" s="1"/>
      <c r="Z186" s="1"/>
    </row>
    <row r="187" spans="1:26" ht="39.75" customHeight="1">
      <c r="A187" s="171"/>
      <c r="B187" s="168" t="s">
        <v>327</v>
      </c>
      <c r="C187" s="168" t="s">
        <v>328</v>
      </c>
      <c r="D187" s="5">
        <v>178</v>
      </c>
      <c r="E187" s="5" t="s">
        <v>329</v>
      </c>
      <c r="F187" s="5"/>
      <c r="G187" s="5"/>
      <c r="H187" s="5"/>
      <c r="I187" s="5"/>
      <c r="J187" s="5"/>
      <c r="K187" s="5"/>
      <c r="L187" s="5"/>
      <c r="M187" s="5"/>
      <c r="N187" s="5"/>
      <c r="O187" s="5"/>
      <c r="P187" s="5"/>
      <c r="Q187" s="5"/>
      <c r="R187" s="5"/>
      <c r="S187" s="5"/>
      <c r="T187" s="6">
        <f t="shared" si="9"/>
        <v>0</v>
      </c>
      <c r="U187" s="9"/>
      <c r="V187" s="1"/>
      <c r="W187" s="1"/>
      <c r="X187" s="1"/>
      <c r="Y187" s="1"/>
      <c r="Z187" s="1"/>
    </row>
    <row r="188" spans="1:26" ht="39.75" customHeight="1">
      <c r="A188" s="171"/>
      <c r="B188" s="171"/>
      <c r="C188" s="171"/>
      <c r="D188" s="5">
        <v>179</v>
      </c>
      <c r="E188" s="5" t="s">
        <v>149</v>
      </c>
      <c r="F188" s="5"/>
      <c r="G188" s="5"/>
      <c r="H188" s="5"/>
      <c r="I188" s="5"/>
      <c r="J188" s="5"/>
      <c r="K188" s="5"/>
      <c r="L188" s="5"/>
      <c r="M188" s="5"/>
      <c r="N188" s="5"/>
      <c r="O188" s="5"/>
      <c r="P188" s="5"/>
      <c r="Q188" s="5"/>
      <c r="R188" s="5"/>
      <c r="S188" s="5"/>
      <c r="T188" s="6">
        <f t="shared" si="9"/>
        <v>0</v>
      </c>
      <c r="U188" s="9"/>
      <c r="V188" s="1"/>
      <c r="W188" s="1"/>
      <c r="X188" s="1"/>
      <c r="Y188" s="1"/>
      <c r="Z188" s="1"/>
    </row>
    <row r="189" spans="1:26" ht="39.75" customHeight="1">
      <c r="A189" s="171"/>
      <c r="B189" s="171"/>
      <c r="C189" s="171"/>
      <c r="D189" s="5">
        <v>180</v>
      </c>
      <c r="E189" s="5" t="s">
        <v>330</v>
      </c>
      <c r="F189" s="5"/>
      <c r="G189" s="5"/>
      <c r="H189" s="5"/>
      <c r="I189" s="5"/>
      <c r="J189" s="5"/>
      <c r="K189" s="6"/>
      <c r="L189" s="5"/>
      <c r="M189" s="5"/>
      <c r="N189" s="5"/>
      <c r="O189" s="5"/>
      <c r="P189" s="8"/>
      <c r="Q189" s="5"/>
      <c r="R189" s="5"/>
      <c r="S189" s="5"/>
      <c r="T189" s="6">
        <f t="shared" si="9"/>
        <v>0</v>
      </c>
      <c r="U189" s="9"/>
      <c r="V189" s="1"/>
      <c r="W189" s="1"/>
      <c r="X189" s="1"/>
      <c r="Y189" s="1"/>
      <c r="Z189" s="1"/>
    </row>
    <row r="190" spans="1:26" ht="39.75" customHeight="1">
      <c r="A190" s="171"/>
      <c r="B190" s="171"/>
      <c r="C190" s="171"/>
      <c r="D190" s="5">
        <v>181</v>
      </c>
      <c r="E190" s="5" t="s">
        <v>331</v>
      </c>
      <c r="F190" s="5"/>
      <c r="G190" s="5"/>
      <c r="H190" s="5"/>
      <c r="I190" s="5"/>
      <c r="J190" s="5"/>
      <c r="K190" s="5"/>
      <c r="L190" s="5"/>
      <c r="M190" s="5"/>
      <c r="N190" s="5"/>
      <c r="O190" s="5"/>
      <c r="P190" s="5"/>
      <c r="Q190" s="5"/>
      <c r="R190" s="5"/>
      <c r="S190" s="5"/>
      <c r="T190" s="6">
        <f t="shared" si="9"/>
        <v>0</v>
      </c>
      <c r="U190" s="9"/>
      <c r="V190" s="1"/>
      <c r="W190" s="1"/>
      <c r="X190" s="1"/>
      <c r="Y190" s="1"/>
      <c r="Z190" s="1"/>
    </row>
    <row r="191" spans="1:26" ht="39.75" customHeight="1">
      <c r="A191" s="171"/>
      <c r="B191" s="171"/>
      <c r="C191" s="171"/>
      <c r="D191" s="5">
        <v>182</v>
      </c>
      <c r="E191" s="5" t="s">
        <v>332</v>
      </c>
      <c r="F191" s="5"/>
      <c r="G191" s="5"/>
      <c r="H191" s="5"/>
      <c r="I191" s="5"/>
      <c r="J191" s="5"/>
      <c r="K191" s="5"/>
      <c r="L191" s="5"/>
      <c r="M191" s="5"/>
      <c r="N191" s="5"/>
      <c r="O191" s="5"/>
      <c r="P191" s="6">
        <v>21</v>
      </c>
      <c r="Q191" s="5"/>
      <c r="R191" s="5"/>
      <c r="S191" s="5"/>
      <c r="T191" s="6">
        <f t="shared" si="9"/>
        <v>21</v>
      </c>
      <c r="U191" s="9" t="s">
        <v>333</v>
      </c>
      <c r="V191" s="1"/>
      <c r="W191" s="1"/>
      <c r="X191" s="1"/>
      <c r="Y191" s="1"/>
      <c r="Z191" s="1"/>
    </row>
    <row r="192" spans="1:26" ht="39.75" customHeight="1">
      <c r="A192" s="171"/>
      <c r="B192" s="169"/>
      <c r="C192" s="169"/>
      <c r="D192" s="5">
        <v>183</v>
      </c>
      <c r="E192" s="5" t="s">
        <v>334</v>
      </c>
      <c r="F192" s="5"/>
      <c r="G192" s="5"/>
      <c r="H192" s="5"/>
      <c r="I192" s="5"/>
      <c r="J192" s="5"/>
      <c r="K192" s="5"/>
      <c r="L192" s="5"/>
      <c r="M192" s="5"/>
      <c r="N192" s="5"/>
      <c r="O192" s="5"/>
      <c r="P192" s="8"/>
      <c r="Q192" s="5"/>
      <c r="R192" s="5"/>
      <c r="S192" s="5"/>
      <c r="T192" s="6">
        <f t="shared" si="9"/>
        <v>0</v>
      </c>
      <c r="U192" s="9"/>
      <c r="V192" s="1"/>
      <c r="W192" s="1"/>
      <c r="X192" s="1"/>
      <c r="Y192" s="1"/>
      <c r="Z192" s="1"/>
    </row>
    <row r="193" spans="1:26" ht="39.75" customHeight="1">
      <c r="A193" s="171"/>
      <c r="B193" s="5" t="s">
        <v>335</v>
      </c>
      <c r="C193" s="5" t="s">
        <v>336</v>
      </c>
      <c r="D193" s="5">
        <v>184</v>
      </c>
      <c r="E193" s="5" t="s">
        <v>337</v>
      </c>
      <c r="F193" s="5"/>
      <c r="G193" s="5"/>
      <c r="H193" s="5"/>
      <c r="I193" s="5"/>
      <c r="J193" s="5"/>
      <c r="K193" s="5"/>
      <c r="L193" s="5"/>
      <c r="M193" s="5"/>
      <c r="N193" s="5"/>
      <c r="O193" s="5"/>
      <c r="P193" s="6"/>
      <c r="Q193" s="5"/>
      <c r="R193" s="5"/>
      <c r="S193" s="5"/>
      <c r="T193" s="6">
        <f t="shared" si="9"/>
        <v>0</v>
      </c>
      <c r="U193" s="9"/>
      <c r="V193" s="1"/>
      <c r="W193" s="1"/>
      <c r="X193" s="1"/>
      <c r="Y193" s="1"/>
      <c r="Z193" s="1"/>
    </row>
    <row r="194" spans="1:26" ht="39.75" customHeight="1">
      <c r="A194" s="171"/>
      <c r="B194" s="168" t="s">
        <v>338</v>
      </c>
      <c r="C194" s="168" t="s">
        <v>272</v>
      </c>
      <c r="D194" s="5">
        <v>185</v>
      </c>
      <c r="E194" s="5" t="s">
        <v>273</v>
      </c>
      <c r="F194" s="5"/>
      <c r="G194" s="5"/>
      <c r="H194" s="5"/>
      <c r="I194" s="5"/>
      <c r="J194" s="5"/>
      <c r="K194" s="5"/>
      <c r="L194" s="5"/>
      <c r="M194" s="5"/>
      <c r="N194" s="5"/>
      <c r="O194" s="5"/>
      <c r="P194" s="5"/>
      <c r="Q194" s="5"/>
      <c r="R194" s="5">
        <v>1634.98</v>
      </c>
      <c r="S194" s="5"/>
      <c r="T194" s="6">
        <f t="shared" si="9"/>
        <v>1634.98</v>
      </c>
      <c r="U194" s="9" t="s">
        <v>639</v>
      </c>
      <c r="V194" s="1"/>
      <c r="W194" s="1"/>
      <c r="X194" s="1"/>
      <c r="Y194" s="1"/>
      <c r="Z194" s="1"/>
    </row>
    <row r="195" spans="1:26" ht="39.75" customHeight="1">
      <c r="A195" s="171"/>
      <c r="B195" s="171"/>
      <c r="C195" s="171"/>
      <c r="D195" s="5">
        <v>186</v>
      </c>
      <c r="E195" s="5" t="s">
        <v>274</v>
      </c>
      <c r="F195" s="5"/>
      <c r="G195" s="5"/>
      <c r="H195" s="5"/>
      <c r="I195" s="5"/>
      <c r="J195" s="5"/>
      <c r="K195" s="5"/>
      <c r="L195" s="5"/>
      <c r="M195" s="5"/>
      <c r="N195" s="5"/>
      <c r="O195" s="5"/>
      <c r="P195" s="8">
        <v>54.42</v>
      </c>
      <c r="Q195" s="6"/>
      <c r="R195" s="5"/>
      <c r="S195" s="5"/>
      <c r="T195" s="6">
        <f t="shared" si="9"/>
        <v>54.42</v>
      </c>
      <c r="U195" s="9" t="s">
        <v>636</v>
      </c>
      <c r="V195" s="1"/>
      <c r="W195" s="1"/>
      <c r="X195" s="1"/>
      <c r="Y195" s="1"/>
      <c r="Z195" s="1"/>
    </row>
    <row r="196" spans="1:26" ht="39.75" customHeight="1">
      <c r="A196" s="171"/>
      <c r="B196" s="171"/>
      <c r="C196" s="171"/>
      <c r="D196" s="5">
        <v>187</v>
      </c>
      <c r="E196" s="5" t="s">
        <v>339</v>
      </c>
      <c r="F196" s="5"/>
      <c r="G196" s="5"/>
      <c r="H196" s="5"/>
      <c r="I196" s="5"/>
      <c r="J196" s="5"/>
      <c r="K196" s="5"/>
      <c r="L196" s="5"/>
      <c r="M196" s="5"/>
      <c r="N196" s="5"/>
      <c r="O196" s="5"/>
      <c r="P196" s="5"/>
      <c r="Q196" s="5"/>
      <c r="R196" s="5"/>
      <c r="S196" s="5"/>
      <c r="T196" s="6">
        <f t="shared" si="9"/>
        <v>0</v>
      </c>
      <c r="U196" s="9"/>
      <c r="V196" s="1"/>
      <c r="W196" s="1"/>
      <c r="X196" s="1"/>
      <c r="Y196" s="1"/>
      <c r="Z196" s="1"/>
    </row>
    <row r="197" spans="1:26" ht="39.75" customHeight="1">
      <c r="A197" s="171"/>
      <c r="B197" s="171"/>
      <c r="C197" s="171"/>
      <c r="D197" s="5">
        <v>188</v>
      </c>
      <c r="E197" s="5" t="s">
        <v>275</v>
      </c>
      <c r="F197" s="5"/>
      <c r="G197" s="5"/>
      <c r="H197" s="5"/>
      <c r="I197" s="5"/>
      <c r="J197" s="5"/>
      <c r="K197" s="5"/>
      <c r="L197" s="5"/>
      <c r="M197" s="5"/>
      <c r="N197" s="5"/>
      <c r="O197" s="5"/>
      <c r="P197" s="5"/>
      <c r="Q197" s="5"/>
      <c r="R197" s="5"/>
      <c r="S197" s="5"/>
      <c r="T197" s="6">
        <f t="shared" si="9"/>
        <v>0</v>
      </c>
      <c r="U197" s="9"/>
      <c r="V197" s="1"/>
      <c r="W197" s="1"/>
      <c r="X197" s="1"/>
      <c r="Y197" s="1"/>
      <c r="Z197" s="1"/>
    </row>
    <row r="198" spans="1:26" ht="39.75" customHeight="1">
      <c r="A198" s="171"/>
      <c r="B198" s="171"/>
      <c r="C198" s="171"/>
      <c r="D198" s="5">
        <v>189</v>
      </c>
      <c r="E198" s="5" t="s">
        <v>276</v>
      </c>
      <c r="F198" s="5"/>
      <c r="G198" s="5"/>
      <c r="H198" s="5"/>
      <c r="I198" s="5"/>
      <c r="J198" s="5"/>
      <c r="K198" s="5"/>
      <c r="L198" s="5"/>
      <c r="M198" s="5"/>
      <c r="N198" s="5"/>
      <c r="O198" s="5"/>
      <c r="P198" s="5"/>
      <c r="Q198" s="5"/>
      <c r="R198" s="5"/>
      <c r="S198" s="5"/>
      <c r="T198" s="6">
        <f t="shared" ref="T198:T208" si="12">SUM(F198:S198)</f>
        <v>0</v>
      </c>
      <c r="U198" s="9"/>
      <c r="V198" s="1"/>
      <c r="W198" s="1"/>
      <c r="X198" s="1"/>
      <c r="Y198" s="1"/>
      <c r="Z198" s="1"/>
    </row>
    <row r="199" spans="1:26" ht="39.75" customHeight="1">
      <c r="A199" s="171"/>
      <c r="B199" s="169"/>
      <c r="C199" s="169"/>
      <c r="D199" s="5">
        <v>190</v>
      </c>
      <c r="E199" s="5" t="s">
        <v>340</v>
      </c>
      <c r="F199" s="5"/>
      <c r="G199" s="5"/>
      <c r="H199" s="5"/>
      <c r="I199" s="5"/>
      <c r="J199" s="5"/>
      <c r="K199" s="5"/>
      <c r="L199" s="5"/>
      <c r="M199" s="5"/>
      <c r="N199" s="5"/>
      <c r="O199" s="5"/>
      <c r="P199" s="8"/>
      <c r="Q199" s="5">
        <v>0.25</v>
      </c>
      <c r="R199" s="5"/>
      <c r="S199" s="5"/>
      <c r="T199" s="6">
        <f t="shared" si="12"/>
        <v>0.25</v>
      </c>
      <c r="U199" s="9" t="s">
        <v>633</v>
      </c>
      <c r="V199" s="1"/>
      <c r="W199" s="1"/>
      <c r="X199" s="1"/>
      <c r="Y199" s="1"/>
      <c r="Z199" s="1"/>
    </row>
    <row r="200" spans="1:26" ht="39.75" customHeight="1">
      <c r="A200" s="171"/>
      <c r="B200" s="168" t="s">
        <v>341</v>
      </c>
      <c r="C200" s="168" t="s">
        <v>342</v>
      </c>
      <c r="D200" s="5">
        <v>191</v>
      </c>
      <c r="E200" s="5" t="s">
        <v>343</v>
      </c>
      <c r="F200" s="5"/>
      <c r="G200" s="5"/>
      <c r="H200" s="5"/>
      <c r="I200" s="5"/>
      <c r="J200" s="5"/>
      <c r="K200" s="5"/>
      <c r="L200" s="5"/>
      <c r="M200" s="5"/>
      <c r="N200" s="6"/>
      <c r="O200" s="5"/>
      <c r="P200" s="5"/>
      <c r="Q200" s="5"/>
      <c r="R200" s="5"/>
      <c r="S200" s="5"/>
      <c r="T200" s="6">
        <f t="shared" si="12"/>
        <v>0</v>
      </c>
      <c r="U200" s="9"/>
      <c r="V200" s="1"/>
      <c r="W200" s="1"/>
      <c r="X200" s="1"/>
      <c r="Y200" s="1"/>
      <c r="Z200" s="1"/>
    </row>
    <row r="201" spans="1:26" ht="39.75" customHeight="1">
      <c r="A201" s="171"/>
      <c r="B201" s="169"/>
      <c r="C201" s="169"/>
      <c r="D201" s="5">
        <v>192</v>
      </c>
      <c r="E201" s="5" t="s">
        <v>345</v>
      </c>
      <c r="F201" s="5"/>
      <c r="G201" s="5"/>
      <c r="H201" s="8"/>
      <c r="I201" s="5"/>
      <c r="J201" s="5"/>
      <c r="K201" s="5"/>
      <c r="L201" s="5"/>
      <c r="M201" s="5"/>
      <c r="N201" s="6">
        <v>0.5</v>
      </c>
      <c r="O201" s="5"/>
      <c r="P201" s="6"/>
      <c r="Q201" s="8"/>
      <c r="R201" s="5"/>
      <c r="S201" s="5"/>
      <c r="T201" s="6">
        <f t="shared" si="12"/>
        <v>0.5</v>
      </c>
      <c r="U201" s="61" t="s">
        <v>651</v>
      </c>
      <c r="V201" s="1"/>
      <c r="W201" s="1"/>
      <c r="X201" s="1"/>
      <c r="Y201" s="1"/>
      <c r="Z201" s="1"/>
    </row>
    <row r="202" spans="1:26" ht="39.75" customHeight="1">
      <c r="A202" s="171"/>
      <c r="B202" s="168" t="s">
        <v>346</v>
      </c>
      <c r="C202" s="168" t="s">
        <v>278</v>
      </c>
      <c r="D202" s="5">
        <v>193</v>
      </c>
      <c r="E202" s="5" t="s">
        <v>347</v>
      </c>
      <c r="F202" s="5"/>
      <c r="G202" s="5"/>
      <c r="H202" s="5"/>
      <c r="I202" s="5"/>
      <c r="J202" s="5"/>
      <c r="K202" s="5"/>
      <c r="L202" s="5"/>
      <c r="M202" s="5"/>
      <c r="N202" s="5"/>
      <c r="O202" s="5"/>
      <c r="P202" s="6"/>
      <c r="Q202" s="5"/>
      <c r="R202" s="5"/>
      <c r="S202" s="8"/>
      <c r="T202" s="6">
        <f t="shared" si="12"/>
        <v>0</v>
      </c>
      <c r="U202" s="9"/>
      <c r="V202" s="1"/>
      <c r="W202" s="1"/>
      <c r="X202" s="1"/>
      <c r="Y202" s="1"/>
      <c r="Z202" s="1"/>
    </row>
    <row r="203" spans="1:26" ht="39.75" customHeight="1">
      <c r="A203" s="171"/>
      <c r="B203" s="169"/>
      <c r="C203" s="169"/>
      <c r="D203" s="5">
        <v>194</v>
      </c>
      <c r="E203" s="5" t="s">
        <v>279</v>
      </c>
      <c r="F203" s="5"/>
      <c r="G203" s="5"/>
      <c r="H203" s="5"/>
      <c r="I203" s="5"/>
      <c r="J203" s="5"/>
      <c r="K203" s="5"/>
      <c r="L203" s="5"/>
      <c r="M203" s="5"/>
      <c r="N203" s="6"/>
      <c r="O203" s="5"/>
      <c r="P203" s="5"/>
      <c r="Q203" s="6"/>
      <c r="R203" s="6">
        <v>40.1</v>
      </c>
      <c r="S203" s="5"/>
      <c r="T203" s="6">
        <f t="shared" si="12"/>
        <v>40.1</v>
      </c>
      <c r="U203" s="9" t="s">
        <v>629</v>
      </c>
      <c r="V203" s="1"/>
      <c r="W203" s="1"/>
      <c r="X203" s="1"/>
      <c r="Y203" s="1"/>
      <c r="Z203" s="1"/>
    </row>
    <row r="204" spans="1:26" ht="39.75" customHeight="1">
      <c r="A204" s="171"/>
      <c r="B204" s="168" t="s">
        <v>348</v>
      </c>
      <c r="C204" s="168" t="s">
        <v>349</v>
      </c>
      <c r="D204" s="5">
        <v>195</v>
      </c>
      <c r="E204" s="5" t="s">
        <v>350</v>
      </c>
      <c r="F204" s="5"/>
      <c r="G204" s="5"/>
      <c r="H204" s="5"/>
      <c r="I204" s="5"/>
      <c r="J204" s="5"/>
      <c r="K204" s="5"/>
      <c r="L204" s="5"/>
      <c r="M204" s="5"/>
      <c r="N204" s="5"/>
      <c r="O204" s="5"/>
      <c r="P204" s="6">
        <v>0.35</v>
      </c>
      <c r="Q204" s="8">
        <v>0.57999999999999996</v>
      </c>
      <c r="R204" s="6">
        <v>1</v>
      </c>
      <c r="S204" s="5"/>
      <c r="T204" s="6">
        <f t="shared" si="12"/>
        <v>1.93</v>
      </c>
      <c r="U204" s="61" t="s">
        <v>351</v>
      </c>
      <c r="V204" s="1"/>
      <c r="W204" s="1"/>
      <c r="X204" s="1"/>
      <c r="Y204" s="1"/>
      <c r="Z204" s="1"/>
    </row>
    <row r="205" spans="1:26" ht="39.75" customHeight="1">
      <c r="A205" s="171"/>
      <c r="B205" s="171"/>
      <c r="C205" s="171"/>
      <c r="D205" s="5">
        <v>196</v>
      </c>
      <c r="E205" s="5" t="s">
        <v>352</v>
      </c>
      <c r="F205" s="5"/>
      <c r="G205" s="5"/>
      <c r="H205" s="5"/>
      <c r="I205" s="5"/>
      <c r="J205" s="5"/>
      <c r="K205" s="5"/>
      <c r="L205" s="5"/>
      <c r="M205" s="5"/>
      <c r="N205" s="5"/>
      <c r="O205" s="5"/>
      <c r="P205" s="5"/>
      <c r="Q205" s="5"/>
      <c r="R205" s="5"/>
      <c r="S205" s="5"/>
      <c r="T205" s="6">
        <f t="shared" si="12"/>
        <v>0</v>
      </c>
      <c r="U205" s="9"/>
      <c r="V205" s="1"/>
      <c r="W205" s="1"/>
      <c r="X205" s="1"/>
      <c r="Y205" s="1"/>
      <c r="Z205" s="1"/>
    </row>
    <row r="206" spans="1:26" ht="39.75" customHeight="1">
      <c r="A206" s="171"/>
      <c r="B206" s="169"/>
      <c r="C206" s="169"/>
      <c r="D206" s="5">
        <v>197</v>
      </c>
      <c r="E206" s="5" t="s">
        <v>353</v>
      </c>
      <c r="F206" s="5"/>
      <c r="G206" s="5"/>
      <c r="H206" s="5"/>
      <c r="I206" s="5"/>
      <c r="J206" s="5"/>
      <c r="K206" s="5"/>
      <c r="L206" s="5"/>
      <c r="M206" s="5"/>
      <c r="N206" s="5"/>
      <c r="O206" s="5"/>
      <c r="P206" s="6"/>
      <c r="Q206" s="5"/>
      <c r="R206" s="5"/>
      <c r="S206" s="5"/>
      <c r="T206" s="6">
        <f t="shared" si="12"/>
        <v>0</v>
      </c>
      <c r="U206" s="9"/>
      <c r="V206" s="1"/>
      <c r="W206" s="1"/>
      <c r="X206" s="1"/>
      <c r="Y206" s="1"/>
      <c r="Z206" s="1"/>
    </row>
    <row r="207" spans="1:26" ht="39.75" customHeight="1">
      <c r="A207" s="171"/>
      <c r="B207" s="5" t="s">
        <v>354</v>
      </c>
      <c r="C207" s="5" t="s">
        <v>284</v>
      </c>
      <c r="D207" s="5">
        <v>198</v>
      </c>
      <c r="E207" s="5" t="s">
        <v>285</v>
      </c>
      <c r="F207" s="5"/>
      <c r="G207" s="5"/>
      <c r="H207" s="5"/>
      <c r="I207" s="5"/>
      <c r="J207" s="5"/>
      <c r="K207" s="5"/>
      <c r="L207" s="5"/>
      <c r="M207" s="5"/>
      <c r="N207" s="5"/>
      <c r="O207" s="5"/>
      <c r="P207" s="5"/>
      <c r="Q207" s="5"/>
      <c r="R207" s="5"/>
      <c r="S207" s="5"/>
      <c r="T207" s="6">
        <f t="shared" si="12"/>
        <v>0</v>
      </c>
      <c r="U207" s="9"/>
      <c r="V207" s="1"/>
      <c r="W207" s="1"/>
      <c r="X207" s="1"/>
      <c r="Y207" s="1"/>
      <c r="Z207" s="1"/>
    </row>
    <row r="208" spans="1:26" ht="39.75" customHeight="1">
      <c r="A208" s="171"/>
      <c r="B208" s="5" t="s">
        <v>355</v>
      </c>
      <c r="C208" s="5" t="s">
        <v>287</v>
      </c>
      <c r="D208" s="5">
        <v>199</v>
      </c>
      <c r="E208" s="5" t="s">
        <v>288</v>
      </c>
      <c r="F208" s="24"/>
      <c r="G208" s="24"/>
      <c r="H208" s="24"/>
      <c r="I208" s="24"/>
      <c r="J208" s="24"/>
      <c r="K208" s="24"/>
      <c r="L208" s="24"/>
      <c r="M208" s="24"/>
      <c r="N208" s="24"/>
      <c r="O208" s="24"/>
      <c r="P208" s="24">
        <v>97.6</v>
      </c>
      <c r="Q208" s="24"/>
      <c r="R208" s="24"/>
      <c r="S208" s="24"/>
      <c r="T208" s="6">
        <f t="shared" si="12"/>
        <v>97.6</v>
      </c>
      <c r="U208" s="76" t="s">
        <v>631</v>
      </c>
      <c r="V208" s="1"/>
      <c r="W208" s="1"/>
      <c r="X208" s="1"/>
      <c r="Y208" s="1"/>
      <c r="Z208" s="1"/>
    </row>
    <row r="209" spans="1:26" ht="39.75" customHeight="1">
      <c r="A209" s="169"/>
      <c r="B209" s="176" t="s">
        <v>356</v>
      </c>
      <c r="C209" s="183"/>
      <c r="D209" s="184"/>
      <c r="E209" s="51"/>
      <c r="F209" s="51">
        <f t="shared" ref="F209:T209" si="13">SUM(F159:F208)</f>
        <v>0</v>
      </c>
      <c r="G209" s="56">
        <f t="shared" si="13"/>
        <v>0</v>
      </c>
      <c r="H209" s="56">
        <f t="shared" si="13"/>
        <v>0</v>
      </c>
      <c r="I209" s="51">
        <f t="shared" si="13"/>
        <v>4</v>
      </c>
      <c r="J209" s="51">
        <f t="shared" si="13"/>
        <v>0</v>
      </c>
      <c r="K209" s="51">
        <f t="shared" si="13"/>
        <v>0</v>
      </c>
      <c r="L209" s="51">
        <f t="shared" si="13"/>
        <v>0</v>
      </c>
      <c r="M209" s="51">
        <f t="shared" si="13"/>
        <v>12.6</v>
      </c>
      <c r="N209" s="52">
        <f t="shared" si="13"/>
        <v>29.71</v>
      </c>
      <c r="O209" s="51">
        <f t="shared" si="13"/>
        <v>230.21</v>
      </c>
      <c r="P209" s="56">
        <f t="shared" si="13"/>
        <v>295.11500000000001</v>
      </c>
      <c r="Q209" s="51">
        <f t="shared" si="13"/>
        <v>14.9757</v>
      </c>
      <c r="R209" s="51">
        <f t="shared" si="13"/>
        <v>1682.836</v>
      </c>
      <c r="S209" s="51">
        <f t="shared" si="13"/>
        <v>0</v>
      </c>
      <c r="T209" s="52">
        <f t="shared" si="13"/>
        <v>2269.4467</v>
      </c>
      <c r="U209" s="9"/>
      <c r="V209" s="1"/>
      <c r="W209" s="1"/>
      <c r="X209" s="1"/>
      <c r="Y209" s="1"/>
      <c r="Z209" s="1"/>
    </row>
    <row r="210" spans="1:26" ht="39.75" customHeight="1">
      <c r="A210" s="180" t="s">
        <v>357</v>
      </c>
      <c r="B210" s="181"/>
      <c r="C210" s="181"/>
      <c r="D210" s="182"/>
      <c r="E210" s="64"/>
      <c r="F210" s="65">
        <f t="shared" ref="F210:T210" si="14">F209+F158+F134+F93+F68</f>
        <v>81.319999999999993</v>
      </c>
      <c r="G210" s="66">
        <f t="shared" si="14"/>
        <v>0</v>
      </c>
      <c r="H210" s="66">
        <f t="shared" si="14"/>
        <v>4</v>
      </c>
      <c r="I210" s="65">
        <f t="shared" si="14"/>
        <v>27.547999999999998</v>
      </c>
      <c r="J210" s="65">
        <f t="shared" si="14"/>
        <v>0</v>
      </c>
      <c r="K210" s="67">
        <f t="shared" si="14"/>
        <v>58.894000000000005</v>
      </c>
      <c r="L210" s="65">
        <f t="shared" si="14"/>
        <v>0</v>
      </c>
      <c r="M210" s="66">
        <f t="shared" si="14"/>
        <v>56.664000000000001</v>
      </c>
      <c r="N210" s="67">
        <f t="shared" si="14"/>
        <v>104.82155</v>
      </c>
      <c r="O210" s="65">
        <f t="shared" si="14"/>
        <v>423.21924999999999</v>
      </c>
      <c r="P210" s="66">
        <f t="shared" si="14"/>
        <v>658.42200000000003</v>
      </c>
      <c r="Q210" s="65">
        <f t="shared" si="14"/>
        <v>108.16319999999999</v>
      </c>
      <c r="R210" s="66">
        <f t="shared" si="14"/>
        <v>1827.9304999999999</v>
      </c>
      <c r="S210" s="66">
        <f t="shared" si="14"/>
        <v>8.8500000000000014</v>
      </c>
      <c r="T210" s="67">
        <f t="shared" si="14"/>
        <v>3359.8324999999995</v>
      </c>
      <c r="U210" s="9"/>
      <c r="V210" s="1"/>
      <c r="W210" s="1"/>
      <c r="X210" s="1"/>
      <c r="Y210" s="1"/>
      <c r="Z210" s="1"/>
    </row>
    <row r="211" spans="1:26" ht="39.75" customHeight="1">
      <c r="A211" s="1"/>
      <c r="B211" s="1"/>
      <c r="C211" s="1"/>
      <c r="D211" s="1"/>
      <c r="E211" s="1"/>
      <c r="F211" s="1"/>
      <c r="G211" s="1"/>
      <c r="H211" s="1"/>
      <c r="I211" s="1"/>
      <c r="J211" s="1"/>
      <c r="K211" s="1"/>
      <c r="L211" s="1"/>
      <c r="M211" s="1"/>
      <c r="N211" s="1"/>
      <c r="O211" s="1"/>
      <c r="P211" s="1"/>
      <c r="Q211" s="1"/>
      <c r="R211" s="1"/>
      <c r="S211" s="1"/>
      <c r="T211" s="32"/>
      <c r="U211" s="2"/>
      <c r="V211" s="1"/>
      <c r="W211" s="1"/>
      <c r="X211" s="1"/>
      <c r="Y211" s="1"/>
      <c r="Z211" s="1"/>
    </row>
    <row r="212" spans="1:26" ht="24.75" customHeight="1">
      <c r="A212" s="1"/>
      <c r="B212" s="1"/>
      <c r="C212" s="1"/>
      <c r="D212" s="1"/>
      <c r="E212" s="1"/>
      <c r="F212" s="1"/>
      <c r="G212" s="1"/>
      <c r="H212" s="1"/>
      <c r="I212" s="1"/>
      <c r="J212" s="1"/>
      <c r="K212" s="1"/>
      <c r="L212" s="1"/>
      <c r="M212" s="1"/>
      <c r="N212" s="1"/>
      <c r="O212" s="1"/>
      <c r="P212" s="1"/>
      <c r="Q212" s="1"/>
      <c r="R212" s="1"/>
      <c r="S212" s="1"/>
      <c r="T212" s="1"/>
      <c r="U212" s="2"/>
      <c r="V212" s="1"/>
      <c r="W212" s="1"/>
      <c r="X212" s="1"/>
      <c r="Y212" s="1"/>
      <c r="Z212" s="1"/>
    </row>
    <row r="213" spans="1:26" ht="24.75" customHeight="1">
      <c r="A213" s="1"/>
      <c r="B213" s="1"/>
      <c r="C213" s="1"/>
      <c r="D213" s="1"/>
      <c r="E213" s="1"/>
      <c r="F213" s="1"/>
      <c r="G213" s="1"/>
      <c r="H213" s="1"/>
      <c r="I213" s="1"/>
      <c r="J213" s="1"/>
      <c r="K213" s="1"/>
      <c r="L213" s="1"/>
      <c r="M213" s="1"/>
      <c r="N213" s="1"/>
      <c r="O213" s="1"/>
      <c r="P213" s="1"/>
      <c r="Q213" s="1"/>
      <c r="R213" s="1"/>
      <c r="S213" s="1"/>
      <c r="T213" s="1"/>
      <c r="U213" s="2"/>
      <c r="V213" s="1"/>
      <c r="W213" s="1"/>
      <c r="X213" s="1"/>
      <c r="Y213" s="1"/>
      <c r="Z213" s="1"/>
    </row>
    <row r="214" spans="1:26" ht="24.75" customHeight="1">
      <c r="A214" s="1"/>
      <c r="B214" s="1"/>
      <c r="C214" s="1"/>
      <c r="D214" s="1"/>
      <c r="E214" s="1"/>
      <c r="F214" s="1"/>
      <c r="G214" s="1"/>
      <c r="H214" s="1"/>
      <c r="I214" s="1"/>
      <c r="J214" s="1"/>
      <c r="K214" s="1"/>
      <c r="L214" s="1"/>
      <c r="M214" s="1"/>
      <c r="N214" s="1"/>
      <c r="O214" s="1"/>
      <c r="P214" s="1"/>
      <c r="Q214" s="1"/>
      <c r="R214" s="1"/>
      <c r="S214" s="1"/>
      <c r="T214" s="1"/>
      <c r="U214" s="2"/>
      <c r="V214" s="1"/>
      <c r="W214" s="1"/>
      <c r="X214" s="1"/>
      <c r="Y214" s="1"/>
      <c r="Z214" s="1"/>
    </row>
    <row r="215" spans="1:26" ht="24.75" customHeight="1">
      <c r="A215" s="1"/>
      <c r="B215" s="1"/>
      <c r="C215" s="1"/>
      <c r="D215" s="1"/>
      <c r="E215" s="1"/>
      <c r="F215" s="1"/>
      <c r="G215" s="1"/>
      <c r="H215" s="1"/>
      <c r="I215" s="1"/>
      <c r="J215" s="1"/>
      <c r="K215" s="1"/>
      <c r="L215" s="1"/>
      <c r="M215" s="1"/>
      <c r="N215" s="1"/>
      <c r="O215" s="1"/>
      <c r="P215" s="1"/>
      <c r="Q215" s="1"/>
      <c r="R215" s="1"/>
      <c r="S215" s="1"/>
      <c r="T215" s="1"/>
      <c r="U215" s="2"/>
      <c r="V215" s="1"/>
      <c r="W215" s="1"/>
      <c r="X215" s="1"/>
      <c r="Y215" s="1"/>
      <c r="Z215" s="1"/>
    </row>
    <row r="216" spans="1:26" ht="24.75" customHeight="1">
      <c r="A216" s="1"/>
      <c r="B216" s="1"/>
      <c r="C216" s="1"/>
      <c r="D216" s="1"/>
      <c r="E216" s="1"/>
      <c r="F216" s="1"/>
      <c r="G216" s="1"/>
      <c r="H216" s="1"/>
      <c r="I216" s="1"/>
      <c r="J216" s="1"/>
      <c r="K216" s="1"/>
      <c r="L216" s="1"/>
      <c r="M216" s="1"/>
      <c r="N216" s="1"/>
      <c r="O216" s="1"/>
      <c r="P216" s="1"/>
      <c r="Q216" s="1"/>
      <c r="R216" s="1"/>
      <c r="S216" s="1"/>
      <c r="T216" s="1"/>
      <c r="U216" s="2"/>
      <c r="V216" s="1"/>
      <c r="W216" s="1"/>
      <c r="X216" s="1"/>
      <c r="Y216" s="1"/>
      <c r="Z216" s="1"/>
    </row>
    <row r="217" spans="1:26" ht="24.75" customHeight="1">
      <c r="A217" s="1"/>
      <c r="B217" s="1"/>
      <c r="C217" s="1"/>
      <c r="D217" s="1"/>
      <c r="E217" s="1"/>
      <c r="F217" s="1"/>
      <c r="G217" s="1"/>
      <c r="H217" s="1"/>
      <c r="I217" s="1"/>
      <c r="J217" s="1"/>
      <c r="K217" s="1"/>
      <c r="L217" s="1"/>
      <c r="M217" s="1"/>
      <c r="N217" s="1"/>
      <c r="O217" s="1"/>
      <c r="P217" s="1"/>
      <c r="Q217" s="1"/>
      <c r="R217" s="1"/>
      <c r="S217" s="1"/>
      <c r="T217" s="1"/>
      <c r="U217" s="2"/>
      <c r="V217" s="1"/>
      <c r="W217" s="1"/>
      <c r="X217" s="1"/>
      <c r="Y217" s="1"/>
      <c r="Z217" s="1"/>
    </row>
    <row r="218" spans="1:26" ht="24.75" customHeight="1">
      <c r="A218" s="1"/>
      <c r="B218" s="1"/>
      <c r="C218" s="1"/>
      <c r="D218" s="1"/>
      <c r="E218" s="1"/>
      <c r="F218" s="1"/>
      <c r="G218" s="1"/>
      <c r="H218" s="1"/>
      <c r="I218" s="1"/>
      <c r="J218" s="1"/>
      <c r="K218" s="1"/>
      <c r="L218" s="1"/>
      <c r="M218" s="1"/>
      <c r="N218" s="1"/>
      <c r="O218" s="1"/>
      <c r="P218" s="1"/>
      <c r="Q218" s="1"/>
      <c r="R218" s="1"/>
      <c r="S218" s="1"/>
      <c r="T218" s="1"/>
      <c r="U218" s="2"/>
      <c r="V218" s="1"/>
      <c r="W218" s="1"/>
      <c r="X218" s="1"/>
      <c r="Y218" s="1"/>
      <c r="Z218" s="1"/>
    </row>
    <row r="219" spans="1:26" ht="24.75" customHeight="1">
      <c r="A219" s="1"/>
      <c r="B219" s="1"/>
      <c r="C219" s="1"/>
      <c r="D219" s="1"/>
      <c r="E219" s="1"/>
      <c r="F219" s="1"/>
      <c r="G219" s="1"/>
      <c r="H219" s="1"/>
      <c r="I219" s="1"/>
      <c r="J219" s="1"/>
      <c r="K219" s="1"/>
      <c r="L219" s="1"/>
      <c r="M219" s="1"/>
      <c r="N219" s="1"/>
      <c r="O219" s="1"/>
      <c r="P219" s="1"/>
      <c r="Q219" s="1"/>
      <c r="R219" s="1"/>
      <c r="S219" s="1"/>
      <c r="T219" s="1"/>
      <c r="U219" s="2"/>
      <c r="V219" s="1"/>
      <c r="W219" s="1"/>
      <c r="X219" s="1"/>
      <c r="Y219" s="1"/>
      <c r="Z219" s="1"/>
    </row>
    <row r="220" spans="1:26" ht="24.75" customHeight="1">
      <c r="A220" s="1"/>
      <c r="B220" s="1"/>
      <c r="C220" s="1"/>
      <c r="D220" s="1"/>
      <c r="E220" s="1"/>
      <c r="F220" s="1"/>
      <c r="G220" s="1"/>
      <c r="H220" s="1"/>
      <c r="I220" s="1"/>
      <c r="J220" s="1"/>
      <c r="K220" s="1"/>
      <c r="L220" s="1"/>
      <c r="M220" s="1"/>
      <c r="N220" s="1"/>
      <c r="O220" s="1"/>
      <c r="P220" s="1"/>
      <c r="Q220" s="1"/>
      <c r="R220" s="1"/>
      <c r="S220" s="1"/>
      <c r="T220" s="1"/>
      <c r="U220" s="2"/>
      <c r="V220" s="1"/>
      <c r="W220" s="1"/>
      <c r="X220" s="1"/>
      <c r="Y220" s="1"/>
      <c r="Z220" s="1"/>
    </row>
    <row r="221" spans="1:26" ht="24.75" customHeight="1">
      <c r="A221" s="1"/>
      <c r="B221" s="1"/>
      <c r="C221" s="1"/>
      <c r="D221" s="1"/>
      <c r="E221" s="1"/>
      <c r="F221" s="1"/>
      <c r="G221" s="1"/>
      <c r="H221" s="1"/>
      <c r="I221" s="1"/>
      <c r="J221" s="1"/>
      <c r="K221" s="1"/>
      <c r="L221" s="1"/>
      <c r="M221" s="1"/>
      <c r="N221" s="1"/>
      <c r="O221" s="1"/>
      <c r="P221" s="1"/>
      <c r="Q221" s="1"/>
      <c r="R221" s="1"/>
      <c r="S221" s="1"/>
      <c r="T221" s="1"/>
      <c r="U221" s="2"/>
      <c r="V221" s="1"/>
      <c r="W221" s="1"/>
      <c r="X221" s="1"/>
      <c r="Y221" s="1"/>
      <c r="Z221" s="1"/>
    </row>
    <row r="222" spans="1:26" ht="24.75" customHeight="1">
      <c r="A222" s="1"/>
      <c r="B222" s="1"/>
      <c r="C222" s="1"/>
      <c r="D222" s="1"/>
      <c r="E222" s="1"/>
      <c r="F222" s="1"/>
      <c r="G222" s="1"/>
      <c r="H222" s="1"/>
      <c r="I222" s="1"/>
      <c r="J222" s="1"/>
      <c r="K222" s="1"/>
      <c r="L222" s="1"/>
      <c r="M222" s="1"/>
      <c r="N222" s="1"/>
      <c r="O222" s="1"/>
      <c r="P222" s="1"/>
      <c r="Q222" s="1"/>
      <c r="R222" s="1"/>
      <c r="S222" s="1"/>
      <c r="T222" s="1"/>
      <c r="U222" s="2"/>
      <c r="V222" s="1"/>
      <c r="W222" s="1"/>
      <c r="X222" s="1"/>
      <c r="Y222" s="1"/>
      <c r="Z222" s="1"/>
    </row>
    <row r="223" spans="1:26" ht="24.75" customHeight="1">
      <c r="A223" s="1"/>
      <c r="B223" s="1"/>
      <c r="C223" s="1"/>
      <c r="D223" s="1"/>
      <c r="E223" s="1"/>
      <c r="F223" s="1"/>
      <c r="G223" s="1"/>
      <c r="H223" s="1"/>
      <c r="I223" s="1"/>
      <c r="J223" s="1"/>
      <c r="K223" s="1"/>
      <c r="L223" s="1"/>
      <c r="M223" s="1"/>
      <c r="N223" s="1"/>
      <c r="O223" s="1"/>
      <c r="P223" s="1"/>
      <c r="Q223" s="1"/>
      <c r="R223" s="1"/>
      <c r="S223" s="1"/>
      <c r="T223" s="1"/>
      <c r="U223" s="2"/>
      <c r="V223" s="1"/>
      <c r="W223" s="1"/>
      <c r="X223" s="1"/>
      <c r="Y223" s="1"/>
      <c r="Z223" s="1"/>
    </row>
    <row r="224" spans="1:26" ht="24.75" customHeight="1">
      <c r="A224" s="1"/>
      <c r="B224" s="1"/>
      <c r="C224" s="1"/>
      <c r="D224" s="1"/>
      <c r="E224" s="1"/>
      <c r="F224" s="1"/>
      <c r="G224" s="1"/>
      <c r="H224" s="1"/>
      <c r="I224" s="1"/>
      <c r="J224" s="1"/>
      <c r="K224" s="1"/>
      <c r="L224" s="1"/>
      <c r="M224" s="1"/>
      <c r="N224" s="1"/>
      <c r="O224" s="1"/>
      <c r="P224" s="1"/>
      <c r="Q224" s="1"/>
      <c r="R224" s="1"/>
      <c r="S224" s="1"/>
      <c r="T224" s="1"/>
      <c r="U224" s="2"/>
      <c r="V224" s="1"/>
      <c r="W224" s="1"/>
      <c r="X224" s="1"/>
      <c r="Y224" s="1"/>
      <c r="Z224" s="1"/>
    </row>
    <row r="225" spans="1:26" ht="24.75" customHeight="1">
      <c r="A225" s="1"/>
      <c r="B225" s="1"/>
      <c r="C225" s="1"/>
      <c r="D225" s="1"/>
      <c r="E225" s="1"/>
      <c r="F225" s="1"/>
      <c r="G225" s="1"/>
      <c r="H225" s="1"/>
      <c r="I225" s="1"/>
      <c r="J225" s="1"/>
      <c r="K225" s="1"/>
      <c r="L225" s="1"/>
      <c r="M225" s="1"/>
      <c r="N225" s="1"/>
      <c r="O225" s="1"/>
      <c r="P225" s="1"/>
      <c r="Q225" s="1"/>
      <c r="R225" s="1"/>
      <c r="S225" s="1"/>
      <c r="T225" s="1"/>
      <c r="U225" s="2"/>
      <c r="V225" s="1"/>
      <c r="W225" s="1"/>
      <c r="X225" s="1"/>
      <c r="Y225" s="1"/>
      <c r="Z225" s="1"/>
    </row>
    <row r="226" spans="1:26" ht="24.75" customHeight="1">
      <c r="A226" s="1"/>
      <c r="B226" s="1"/>
      <c r="C226" s="1"/>
      <c r="D226" s="1"/>
      <c r="E226" s="1"/>
      <c r="F226" s="1"/>
      <c r="G226" s="1"/>
      <c r="H226" s="1"/>
      <c r="I226" s="1"/>
      <c r="J226" s="1"/>
      <c r="K226" s="1"/>
      <c r="L226" s="1"/>
      <c r="M226" s="1"/>
      <c r="N226" s="1"/>
      <c r="O226" s="1"/>
      <c r="P226" s="1"/>
      <c r="Q226" s="1"/>
      <c r="R226" s="1"/>
      <c r="S226" s="1"/>
      <c r="T226" s="1"/>
      <c r="U226" s="2"/>
      <c r="V226" s="1"/>
      <c r="W226" s="1"/>
      <c r="X226" s="1"/>
      <c r="Y226" s="1"/>
      <c r="Z226" s="1"/>
    </row>
    <row r="227" spans="1:26" ht="24.75" customHeight="1">
      <c r="A227" s="1"/>
      <c r="B227" s="1"/>
      <c r="C227" s="1"/>
      <c r="D227" s="1"/>
      <c r="E227" s="1"/>
      <c r="F227" s="1"/>
      <c r="G227" s="1"/>
      <c r="H227" s="1"/>
      <c r="I227" s="1"/>
      <c r="J227" s="1"/>
      <c r="K227" s="1"/>
      <c r="L227" s="1"/>
      <c r="M227" s="1"/>
      <c r="N227" s="1"/>
      <c r="O227" s="1"/>
      <c r="P227" s="1"/>
      <c r="Q227" s="1"/>
      <c r="R227" s="1"/>
      <c r="S227" s="1"/>
      <c r="T227" s="1"/>
      <c r="U227" s="2"/>
      <c r="V227" s="1"/>
      <c r="W227" s="1"/>
      <c r="X227" s="1"/>
      <c r="Y227" s="1"/>
      <c r="Z227" s="1"/>
    </row>
    <row r="228" spans="1:26" ht="24.75" customHeight="1">
      <c r="A228" s="1"/>
      <c r="B228" s="1"/>
      <c r="C228" s="1"/>
      <c r="D228" s="1"/>
      <c r="E228" s="1"/>
      <c r="F228" s="1"/>
      <c r="G228" s="1"/>
      <c r="H228" s="1"/>
      <c r="I228" s="1"/>
      <c r="J228" s="1"/>
      <c r="K228" s="1"/>
      <c r="L228" s="1"/>
      <c r="M228" s="1"/>
      <c r="N228" s="1"/>
      <c r="O228" s="1"/>
      <c r="P228" s="1"/>
      <c r="Q228" s="1"/>
      <c r="R228" s="1"/>
      <c r="S228" s="1"/>
      <c r="T228" s="1"/>
      <c r="U228" s="2"/>
      <c r="V228" s="1"/>
      <c r="W228" s="1"/>
      <c r="X228" s="1"/>
      <c r="Y228" s="1"/>
      <c r="Z228" s="1"/>
    </row>
    <row r="229" spans="1:26" ht="24.75" customHeight="1">
      <c r="A229" s="1"/>
      <c r="B229" s="1"/>
      <c r="C229" s="1"/>
      <c r="D229" s="1"/>
      <c r="E229" s="1"/>
      <c r="F229" s="1"/>
      <c r="G229" s="1"/>
      <c r="H229" s="1"/>
      <c r="I229" s="1"/>
      <c r="J229" s="1"/>
      <c r="K229" s="1"/>
      <c r="L229" s="1"/>
      <c r="M229" s="1"/>
      <c r="N229" s="1"/>
      <c r="O229" s="1"/>
      <c r="P229" s="1"/>
      <c r="Q229" s="1"/>
      <c r="R229" s="1"/>
      <c r="S229" s="1"/>
      <c r="T229" s="1"/>
      <c r="U229" s="2"/>
      <c r="V229" s="1"/>
      <c r="W229" s="1"/>
      <c r="X229" s="1"/>
      <c r="Y229" s="1"/>
      <c r="Z229" s="1"/>
    </row>
    <row r="230" spans="1:26" ht="24.75" customHeight="1">
      <c r="A230" s="1"/>
      <c r="B230" s="1"/>
      <c r="C230" s="1"/>
      <c r="D230" s="1"/>
      <c r="E230" s="1"/>
      <c r="F230" s="1"/>
      <c r="G230" s="1"/>
      <c r="H230" s="1"/>
      <c r="I230" s="1"/>
      <c r="J230" s="1"/>
      <c r="K230" s="1"/>
      <c r="L230" s="1"/>
      <c r="M230" s="1"/>
      <c r="N230" s="1"/>
      <c r="O230" s="1"/>
      <c r="P230" s="1"/>
      <c r="Q230" s="1"/>
      <c r="R230" s="1"/>
      <c r="S230" s="1"/>
      <c r="T230" s="1"/>
      <c r="U230" s="2"/>
      <c r="V230" s="1"/>
      <c r="W230" s="1"/>
      <c r="X230" s="1"/>
      <c r="Y230" s="1"/>
      <c r="Z230" s="1"/>
    </row>
    <row r="231" spans="1:26" ht="24.75" customHeight="1">
      <c r="A231" s="1"/>
      <c r="B231" s="1"/>
      <c r="C231" s="1"/>
      <c r="D231" s="1"/>
      <c r="E231" s="1"/>
      <c r="F231" s="1"/>
      <c r="G231" s="1"/>
      <c r="H231" s="1"/>
      <c r="I231" s="1"/>
      <c r="J231" s="1"/>
      <c r="K231" s="1"/>
      <c r="L231" s="1"/>
      <c r="M231" s="1"/>
      <c r="N231" s="1"/>
      <c r="O231" s="1"/>
      <c r="P231" s="1"/>
      <c r="Q231" s="1"/>
      <c r="R231" s="1"/>
      <c r="S231" s="1"/>
      <c r="T231" s="1"/>
      <c r="U231" s="2"/>
      <c r="V231" s="1"/>
      <c r="W231" s="1"/>
      <c r="X231" s="1"/>
      <c r="Y231" s="1"/>
      <c r="Z231" s="1"/>
    </row>
    <row r="232" spans="1:26" ht="24.75" customHeight="1">
      <c r="A232" s="1"/>
      <c r="B232" s="1"/>
      <c r="C232" s="1"/>
      <c r="D232" s="1"/>
      <c r="E232" s="1"/>
      <c r="F232" s="1"/>
      <c r="G232" s="1"/>
      <c r="H232" s="1"/>
      <c r="I232" s="1"/>
      <c r="J232" s="1"/>
      <c r="K232" s="1"/>
      <c r="L232" s="1"/>
      <c r="M232" s="1"/>
      <c r="N232" s="1"/>
      <c r="O232" s="1"/>
      <c r="P232" s="1"/>
      <c r="Q232" s="1"/>
      <c r="R232" s="1"/>
      <c r="S232" s="1"/>
      <c r="T232" s="1"/>
      <c r="U232" s="2"/>
      <c r="V232" s="1"/>
      <c r="W232" s="1"/>
      <c r="X232" s="1"/>
      <c r="Y232" s="1"/>
      <c r="Z232" s="1"/>
    </row>
    <row r="233" spans="1:26" ht="24.75" customHeight="1">
      <c r="A233" s="1"/>
      <c r="B233" s="1"/>
      <c r="C233" s="1"/>
      <c r="D233" s="1"/>
      <c r="E233" s="1"/>
      <c r="F233" s="1"/>
      <c r="G233" s="1"/>
      <c r="H233" s="1"/>
      <c r="I233" s="1"/>
      <c r="J233" s="1"/>
      <c r="K233" s="1"/>
      <c r="L233" s="1"/>
      <c r="M233" s="1"/>
      <c r="N233" s="1"/>
      <c r="O233" s="1"/>
      <c r="P233" s="1"/>
      <c r="Q233" s="1"/>
      <c r="R233" s="1"/>
      <c r="S233" s="1"/>
      <c r="T233" s="1"/>
      <c r="U233" s="2"/>
      <c r="V233" s="1"/>
      <c r="W233" s="1"/>
      <c r="X233" s="1"/>
      <c r="Y233" s="1"/>
      <c r="Z233" s="1"/>
    </row>
    <row r="234" spans="1:26" ht="24.75" customHeight="1">
      <c r="A234" s="1"/>
      <c r="B234" s="1"/>
      <c r="C234" s="1"/>
      <c r="D234" s="1"/>
      <c r="E234" s="1"/>
      <c r="F234" s="1"/>
      <c r="G234" s="1"/>
      <c r="H234" s="1"/>
      <c r="I234" s="1"/>
      <c r="J234" s="1"/>
      <c r="K234" s="1"/>
      <c r="L234" s="1"/>
      <c r="M234" s="1"/>
      <c r="N234" s="1"/>
      <c r="O234" s="1"/>
      <c r="P234" s="1"/>
      <c r="Q234" s="1"/>
      <c r="R234" s="1"/>
      <c r="S234" s="1"/>
      <c r="T234" s="1"/>
      <c r="U234" s="2"/>
      <c r="V234" s="1"/>
      <c r="W234" s="1"/>
      <c r="X234" s="1"/>
      <c r="Y234" s="1"/>
      <c r="Z234" s="1"/>
    </row>
    <row r="235" spans="1:26" ht="24.75" customHeight="1">
      <c r="A235" s="1"/>
      <c r="B235" s="1"/>
      <c r="C235" s="1"/>
      <c r="D235" s="1"/>
      <c r="E235" s="1"/>
      <c r="F235" s="1"/>
      <c r="G235" s="1"/>
      <c r="H235" s="1"/>
      <c r="I235" s="1"/>
      <c r="J235" s="1"/>
      <c r="K235" s="1"/>
      <c r="L235" s="1"/>
      <c r="M235" s="1"/>
      <c r="N235" s="1"/>
      <c r="O235" s="1"/>
      <c r="P235" s="1"/>
      <c r="Q235" s="1"/>
      <c r="R235" s="1"/>
      <c r="S235" s="1"/>
      <c r="T235" s="1"/>
      <c r="U235" s="2"/>
      <c r="V235" s="1"/>
      <c r="W235" s="1"/>
      <c r="X235" s="1"/>
      <c r="Y235" s="1"/>
      <c r="Z235" s="1"/>
    </row>
    <row r="236" spans="1:26" ht="24.75" customHeight="1">
      <c r="A236" s="1"/>
      <c r="B236" s="1"/>
      <c r="C236" s="1"/>
      <c r="D236" s="1"/>
      <c r="E236" s="1"/>
      <c r="F236" s="1"/>
      <c r="G236" s="1"/>
      <c r="H236" s="1"/>
      <c r="I236" s="1"/>
      <c r="J236" s="1"/>
      <c r="K236" s="1"/>
      <c r="L236" s="1"/>
      <c r="M236" s="1"/>
      <c r="N236" s="1"/>
      <c r="O236" s="1"/>
      <c r="P236" s="1"/>
      <c r="Q236" s="1"/>
      <c r="R236" s="1"/>
      <c r="S236" s="1"/>
      <c r="T236" s="1"/>
      <c r="U236" s="2"/>
      <c r="V236" s="1"/>
      <c r="W236" s="1"/>
      <c r="X236" s="1"/>
      <c r="Y236" s="1"/>
      <c r="Z236" s="1"/>
    </row>
    <row r="237" spans="1:26" ht="24.75" customHeight="1">
      <c r="A237" s="1"/>
      <c r="B237" s="1"/>
      <c r="C237" s="1"/>
      <c r="D237" s="1"/>
      <c r="E237" s="1"/>
      <c r="F237" s="1"/>
      <c r="G237" s="1"/>
      <c r="H237" s="1"/>
      <c r="I237" s="1"/>
      <c r="J237" s="1"/>
      <c r="K237" s="1"/>
      <c r="L237" s="1"/>
      <c r="M237" s="1"/>
      <c r="N237" s="1"/>
      <c r="O237" s="1"/>
      <c r="P237" s="1"/>
      <c r="Q237" s="1"/>
      <c r="R237" s="1"/>
      <c r="S237" s="1"/>
      <c r="T237" s="1"/>
      <c r="U237" s="2"/>
      <c r="V237" s="1"/>
      <c r="W237" s="1"/>
      <c r="X237" s="1"/>
      <c r="Y237" s="1"/>
      <c r="Z237" s="1"/>
    </row>
    <row r="238" spans="1:26" ht="24.75" customHeight="1">
      <c r="A238" s="1"/>
      <c r="B238" s="1"/>
      <c r="C238" s="1"/>
      <c r="D238" s="1"/>
      <c r="E238" s="1"/>
      <c r="F238" s="1"/>
      <c r="G238" s="1"/>
      <c r="H238" s="1"/>
      <c r="I238" s="1"/>
      <c r="J238" s="1"/>
      <c r="K238" s="1"/>
      <c r="L238" s="1"/>
      <c r="M238" s="1"/>
      <c r="N238" s="1"/>
      <c r="O238" s="1"/>
      <c r="P238" s="1"/>
      <c r="Q238" s="1"/>
      <c r="R238" s="1"/>
      <c r="S238" s="1"/>
      <c r="T238" s="1"/>
      <c r="U238" s="2"/>
      <c r="V238" s="1"/>
      <c r="W238" s="1"/>
      <c r="X238" s="1"/>
      <c r="Y238" s="1"/>
      <c r="Z238" s="1"/>
    </row>
    <row r="239" spans="1:26" ht="24.75" customHeight="1">
      <c r="A239" s="1"/>
      <c r="B239" s="1"/>
      <c r="C239" s="1"/>
      <c r="D239" s="1"/>
      <c r="E239" s="1"/>
      <c r="F239" s="1"/>
      <c r="G239" s="1"/>
      <c r="H239" s="1"/>
      <c r="I239" s="1"/>
      <c r="J239" s="1"/>
      <c r="K239" s="1"/>
      <c r="L239" s="1"/>
      <c r="M239" s="1"/>
      <c r="N239" s="1"/>
      <c r="O239" s="1"/>
      <c r="P239" s="1"/>
      <c r="Q239" s="1"/>
      <c r="R239" s="1"/>
      <c r="S239" s="1"/>
      <c r="T239" s="1"/>
      <c r="U239" s="2"/>
      <c r="V239" s="1"/>
      <c r="W239" s="1"/>
      <c r="X239" s="1"/>
      <c r="Y239" s="1"/>
      <c r="Z239" s="1"/>
    </row>
    <row r="240" spans="1:26" ht="24.75" customHeight="1">
      <c r="A240" s="1"/>
      <c r="B240" s="1"/>
      <c r="C240" s="1"/>
      <c r="D240" s="1"/>
      <c r="E240" s="1"/>
      <c r="F240" s="1"/>
      <c r="G240" s="1"/>
      <c r="H240" s="1"/>
      <c r="I240" s="1"/>
      <c r="J240" s="1"/>
      <c r="K240" s="1"/>
      <c r="L240" s="1"/>
      <c r="M240" s="1"/>
      <c r="N240" s="1"/>
      <c r="O240" s="1"/>
      <c r="P240" s="1"/>
      <c r="Q240" s="1"/>
      <c r="R240" s="1"/>
      <c r="S240" s="1"/>
      <c r="T240" s="1"/>
      <c r="U240" s="2"/>
      <c r="V240" s="1"/>
      <c r="W240" s="1"/>
      <c r="X240" s="1"/>
      <c r="Y240" s="1"/>
      <c r="Z240" s="1"/>
    </row>
    <row r="241" spans="1:26" ht="24.75" customHeight="1">
      <c r="A241" s="1"/>
      <c r="B241" s="1"/>
      <c r="C241" s="1"/>
      <c r="D241" s="1"/>
      <c r="E241" s="1"/>
      <c r="F241" s="1"/>
      <c r="G241" s="1"/>
      <c r="H241" s="1"/>
      <c r="I241" s="1"/>
      <c r="J241" s="1"/>
      <c r="K241" s="1"/>
      <c r="L241" s="1"/>
      <c r="M241" s="1"/>
      <c r="N241" s="1"/>
      <c r="O241" s="1"/>
      <c r="P241" s="1"/>
      <c r="Q241" s="1"/>
      <c r="R241" s="1"/>
      <c r="S241" s="1"/>
      <c r="T241" s="1"/>
      <c r="U241" s="2"/>
      <c r="V241" s="1"/>
      <c r="W241" s="1"/>
      <c r="X241" s="1"/>
      <c r="Y241" s="1"/>
      <c r="Z241" s="1"/>
    </row>
    <row r="242" spans="1:26" ht="24.75" customHeight="1">
      <c r="A242" s="1"/>
      <c r="B242" s="1"/>
      <c r="C242" s="1"/>
      <c r="D242" s="1"/>
      <c r="E242" s="1"/>
      <c r="F242" s="1"/>
      <c r="G242" s="1"/>
      <c r="H242" s="1"/>
      <c r="I242" s="1"/>
      <c r="J242" s="1"/>
      <c r="K242" s="1"/>
      <c r="L242" s="1"/>
      <c r="M242" s="1"/>
      <c r="N242" s="1"/>
      <c r="O242" s="1"/>
      <c r="P242" s="1"/>
      <c r="Q242" s="1"/>
      <c r="R242" s="1"/>
      <c r="S242" s="1"/>
      <c r="T242" s="1"/>
      <c r="U242" s="2"/>
      <c r="V242" s="1"/>
      <c r="W242" s="1"/>
      <c r="X242" s="1"/>
      <c r="Y242" s="1"/>
      <c r="Z242" s="1"/>
    </row>
    <row r="243" spans="1:26" ht="24.75" customHeight="1">
      <c r="A243" s="1"/>
      <c r="B243" s="1"/>
      <c r="C243" s="1"/>
      <c r="D243" s="1"/>
      <c r="E243" s="1"/>
      <c r="F243" s="1"/>
      <c r="G243" s="1"/>
      <c r="H243" s="1"/>
      <c r="I243" s="1"/>
      <c r="J243" s="1"/>
      <c r="K243" s="1"/>
      <c r="L243" s="1"/>
      <c r="M243" s="1"/>
      <c r="N243" s="1"/>
      <c r="O243" s="1"/>
      <c r="P243" s="1"/>
      <c r="Q243" s="1"/>
      <c r="R243" s="1"/>
      <c r="S243" s="1"/>
      <c r="T243" s="1"/>
      <c r="U243" s="2"/>
      <c r="V243" s="1"/>
      <c r="W243" s="1"/>
      <c r="X243" s="1"/>
      <c r="Y243" s="1"/>
      <c r="Z243" s="1"/>
    </row>
    <row r="244" spans="1:26" ht="24.75" customHeight="1">
      <c r="A244" s="1"/>
      <c r="B244" s="1"/>
      <c r="C244" s="1"/>
      <c r="D244" s="1"/>
      <c r="E244" s="1"/>
      <c r="F244" s="1"/>
      <c r="G244" s="1"/>
      <c r="H244" s="1"/>
      <c r="I244" s="1"/>
      <c r="J244" s="1"/>
      <c r="K244" s="1"/>
      <c r="L244" s="1"/>
      <c r="M244" s="1"/>
      <c r="N244" s="1"/>
      <c r="O244" s="1"/>
      <c r="P244" s="1"/>
      <c r="Q244" s="1"/>
      <c r="R244" s="1"/>
      <c r="S244" s="1"/>
      <c r="T244" s="1"/>
      <c r="U244" s="2"/>
      <c r="V244" s="1"/>
      <c r="W244" s="1"/>
      <c r="X244" s="1"/>
      <c r="Y244" s="1"/>
      <c r="Z244" s="1"/>
    </row>
    <row r="245" spans="1:26" ht="24.75" customHeight="1">
      <c r="A245" s="1"/>
      <c r="B245" s="1"/>
      <c r="C245" s="1"/>
      <c r="D245" s="1"/>
      <c r="E245" s="1"/>
      <c r="F245" s="1"/>
      <c r="G245" s="1"/>
      <c r="H245" s="1"/>
      <c r="I245" s="1"/>
      <c r="J245" s="1"/>
      <c r="K245" s="1"/>
      <c r="L245" s="1"/>
      <c r="M245" s="1"/>
      <c r="N245" s="1"/>
      <c r="O245" s="1"/>
      <c r="P245" s="1"/>
      <c r="Q245" s="1"/>
      <c r="R245" s="1"/>
      <c r="S245" s="1"/>
      <c r="T245" s="1"/>
      <c r="U245" s="2"/>
      <c r="V245" s="1"/>
      <c r="W245" s="1"/>
      <c r="X245" s="1"/>
      <c r="Y245" s="1"/>
      <c r="Z245" s="1"/>
    </row>
    <row r="246" spans="1:26" ht="24.75" customHeight="1">
      <c r="A246" s="1"/>
      <c r="B246" s="1"/>
      <c r="C246" s="1"/>
      <c r="D246" s="1"/>
      <c r="E246" s="1"/>
      <c r="F246" s="1"/>
      <c r="G246" s="1"/>
      <c r="H246" s="1"/>
      <c r="I246" s="1"/>
      <c r="J246" s="1"/>
      <c r="K246" s="1"/>
      <c r="L246" s="1"/>
      <c r="M246" s="1"/>
      <c r="N246" s="1"/>
      <c r="O246" s="1"/>
      <c r="P246" s="1"/>
      <c r="Q246" s="1"/>
      <c r="R246" s="1"/>
      <c r="S246" s="1"/>
      <c r="T246" s="1"/>
      <c r="U246" s="2"/>
      <c r="V246" s="1"/>
      <c r="W246" s="1"/>
      <c r="X246" s="1"/>
      <c r="Y246" s="1"/>
      <c r="Z246" s="1"/>
    </row>
    <row r="247" spans="1:26" ht="24.75" customHeight="1">
      <c r="A247" s="1"/>
      <c r="B247" s="1"/>
      <c r="C247" s="1"/>
      <c r="D247" s="1"/>
      <c r="E247" s="1"/>
      <c r="F247" s="1"/>
      <c r="G247" s="1"/>
      <c r="H247" s="1"/>
      <c r="I247" s="1"/>
      <c r="J247" s="1"/>
      <c r="K247" s="1"/>
      <c r="L247" s="1"/>
      <c r="M247" s="1"/>
      <c r="N247" s="1"/>
      <c r="O247" s="1"/>
      <c r="P247" s="1"/>
      <c r="Q247" s="1"/>
      <c r="R247" s="1"/>
      <c r="S247" s="1"/>
      <c r="T247" s="1"/>
      <c r="U247" s="2"/>
      <c r="V247" s="1"/>
      <c r="W247" s="1"/>
      <c r="X247" s="1"/>
      <c r="Y247" s="1"/>
      <c r="Z247" s="1"/>
    </row>
    <row r="248" spans="1:26" ht="24.75" customHeight="1">
      <c r="A248" s="1"/>
      <c r="B248" s="1"/>
      <c r="C248" s="1"/>
      <c r="D248" s="1"/>
      <c r="E248" s="1"/>
      <c r="F248" s="1"/>
      <c r="G248" s="1"/>
      <c r="H248" s="1"/>
      <c r="I248" s="1"/>
      <c r="J248" s="1"/>
      <c r="K248" s="1"/>
      <c r="L248" s="1"/>
      <c r="M248" s="1"/>
      <c r="N248" s="1"/>
      <c r="O248" s="1"/>
      <c r="P248" s="1"/>
      <c r="Q248" s="1"/>
      <c r="R248" s="1"/>
      <c r="S248" s="1"/>
      <c r="T248" s="1"/>
      <c r="U248" s="2"/>
      <c r="V248" s="1"/>
      <c r="W248" s="1"/>
      <c r="X248" s="1"/>
      <c r="Y248" s="1"/>
      <c r="Z248" s="1"/>
    </row>
    <row r="249" spans="1:26" ht="24.75" customHeight="1">
      <c r="A249" s="1"/>
      <c r="B249" s="1"/>
      <c r="C249" s="1"/>
      <c r="D249" s="1"/>
      <c r="E249" s="1"/>
      <c r="F249" s="1"/>
      <c r="G249" s="1"/>
      <c r="H249" s="1"/>
      <c r="I249" s="1"/>
      <c r="J249" s="1"/>
      <c r="K249" s="1"/>
      <c r="L249" s="1"/>
      <c r="M249" s="1"/>
      <c r="N249" s="1"/>
      <c r="O249" s="1"/>
      <c r="P249" s="1"/>
      <c r="Q249" s="1"/>
      <c r="R249" s="1"/>
      <c r="S249" s="1"/>
      <c r="T249" s="1"/>
      <c r="U249" s="2"/>
      <c r="V249" s="1"/>
      <c r="W249" s="1"/>
      <c r="X249" s="1"/>
      <c r="Y249" s="1"/>
      <c r="Z249" s="1"/>
    </row>
    <row r="250" spans="1:26" ht="24.75" customHeight="1">
      <c r="A250" s="1"/>
      <c r="B250" s="1"/>
      <c r="C250" s="1"/>
      <c r="D250" s="1"/>
      <c r="E250" s="1"/>
      <c r="F250" s="1"/>
      <c r="G250" s="1"/>
      <c r="H250" s="1"/>
      <c r="I250" s="1"/>
      <c r="J250" s="1"/>
      <c r="K250" s="1"/>
      <c r="L250" s="1"/>
      <c r="M250" s="1"/>
      <c r="N250" s="1"/>
      <c r="O250" s="1"/>
      <c r="P250" s="1"/>
      <c r="Q250" s="1"/>
      <c r="R250" s="1"/>
      <c r="S250" s="1"/>
      <c r="T250" s="1"/>
      <c r="U250" s="2"/>
      <c r="V250" s="1"/>
      <c r="W250" s="1"/>
      <c r="X250" s="1"/>
      <c r="Y250" s="1"/>
      <c r="Z250" s="1"/>
    </row>
    <row r="251" spans="1:26" ht="24.75" customHeight="1">
      <c r="A251" s="1"/>
      <c r="B251" s="1"/>
      <c r="C251" s="1"/>
      <c r="D251" s="1"/>
      <c r="E251" s="1"/>
      <c r="F251" s="1"/>
      <c r="G251" s="1"/>
      <c r="H251" s="1"/>
      <c r="I251" s="1"/>
      <c r="J251" s="1"/>
      <c r="K251" s="1"/>
      <c r="L251" s="1"/>
      <c r="M251" s="1"/>
      <c r="N251" s="1"/>
      <c r="O251" s="1"/>
      <c r="P251" s="1"/>
      <c r="Q251" s="1"/>
      <c r="R251" s="1"/>
      <c r="S251" s="1"/>
      <c r="T251" s="1"/>
      <c r="U251" s="2"/>
      <c r="V251" s="1"/>
      <c r="W251" s="1"/>
      <c r="X251" s="1"/>
      <c r="Y251" s="1"/>
      <c r="Z251" s="1"/>
    </row>
    <row r="252" spans="1:26" ht="24.75" customHeight="1">
      <c r="A252" s="1"/>
      <c r="B252" s="1"/>
      <c r="C252" s="1"/>
      <c r="D252" s="1"/>
      <c r="E252" s="1"/>
      <c r="F252" s="1"/>
      <c r="G252" s="1"/>
      <c r="H252" s="1"/>
      <c r="I252" s="1"/>
      <c r="J252" s="1"/>
      <c r="K252" s="1"/>
      <c r="L252" s="1"/>
      <c r="M252" s="1"/>
      <c r="N252" s="1"/>
      <c r="O252" s="1"/>
      <c r="P252" s="1"/>
      <c r="Q252" s="1"/>
      <c r="R252" s="1"/>
      <c r="S252" s="1"/>
      <c r="T252" s="1"/>
      <c r="U252" s="2"/>
      <c r="V252" s="1"/>
      <c r="W252" s="1"/>
      <c r="X252" s="1"/>
      <c r="Y252" s="1"/>
      <c r="Z252" s="1"/>
    </row>
    <row r="253" spans="1:26" ht="24.75" customHeight="1">
      <c r="A253" s="1"/>
      <c r="B253" s="1"/>
      <c r="C253" s="1"/>
      <c r="D253" s="1"/>
      <c r="E253" s="1"/>
      <c r="F253" s="1"/>
      <c r="G253" s="1"/>
      <c r="H253" s="1"/>
      <c r="I253" s="1"/>
      <c r="J253" s="1"/>
      <c r="K253" s="1"/>
      <c r="L253" s="1"/>
      <c r="M253" s="1"/>
      <c r="N253" s="1"/>
      <c r="O253" s="1"/>
      <c r="P253" s="1"/>
      <c r="Q253" s="1"/>
      <c r="R253" s="1"/>
      <c r="S253" s="1"/>
      <c r="T253" s="1"/>
      <c r="U253" s="2"/>
      <c r="V253" s="1"/>
      <c r="W253" s="1"/>
      <c r="X253" s="1"/>
      <c r="Y253" s="1"/>
      <c r="Z253" s="1"/>
    </row>
    <row r="254" spans="1:26" ht="24.75" customHeight="1">
      <c r="A254" s="1"/>
      <c r="B254" s="1"/>
      <c r="C254" s="1"/>
      <c r="D254" s="1"/>
      <c r="E254" s="1"/>
      <c r="F254" s="1"/>
      <c r="G254" s="1"/>
      <c r="H254" s="1"/>
      <c r="I254" s="1"/>
      <c r="J254" s="1"/>
      <c r="K254" s="1"/>
      <c r="L254" s="1"/>
      <c r="M254" s="1"/>
      <c r="N254" s="1"/>
      <c r="O254" s="1"/>
      <c r="P254" s="1"/>
      <c r="Q254" s="1"/>
      <c r="R254" s="1"/>
      <c r="S254" s="1"/>
      <c r="T254" s="1"/>
      <c r="U254" s="2"/>
      <c r="V254" s="1"/>
      <c r="W254" s="1"/>
      <c r="X254" s="1"/>
      <c r="Y254" s="1"/>
      <c r="Z254" s="1"/>
    </row>
    <row r="255" spans="1:26" ht="24.75" customHeight="1">
      <c r="A255" s="1"/>
      <c r="B255" s="1"/>
      <c r="C255" s="1"/>
      <c r="D255" s="1"/>
      <c r="E255" s="1"/>
      <c r="F255" s="1"/>
      <c r="G255" s="1"/>
      <c r="H255" s="1"/>
      <c r="I255" s="1"/>
      <c r="J255" s="1"/>
      <c r="K255" s="1"/>
      <c r="L255" s="1"/>
      <c r="M255" s="1"/>
      <c r="N255" s="1"/>
      <c r="O255" s="1"/>
      <c r="P255" s="1"/>
      <c r="Q255" s="1"/>
      <c r="R255" s="1"/>
      <c r="S255" s="1"/>
      <c r="T255" s="1"/>
      <c r="U255" s="2"/>
      <c r="V255" s="1"/>
      <c r="W255" s="1"/>
      <c r="X255" s="1"/>
      <c r="Y255" s="1"/>
      <c r="Z255" s="1"/>
    </row>
    <row r="256" spans="1:26" ht="24.75" customHeight="1">
      <c r="A256" s="1"/>
      <c r="B256" s="1"/>
      <c r="C256" s="1"/>
      <c r="D256" s="1"/>
      <c r="E256" s="1"/>
      <c r="F256" s="1"/>
      <c r="G256" s="1"/>
      <c r="H256" s="1"/>
      <c r="I256" s="1"/>
      <c r="J256" s="1"/>
      <c r="K256" s="1"/>
      <c r="L256" s="1"/>
      <c r="M256" s="1"/>
      <c r="N256" s="1"/>
      <c r="O256" s="1"/>
      <c r="P256" s="1"/>
      <c r="Q256" s="1"/>
      <c r="R256" s="1"/>
      <c r="S256" s="1"/>
      <c r="T256" s="1"/>
      <c r="U256" s="2"/>
      <c r="V256" s="1"/>
      <c r="W256" s="1"/>
      <c r="X256" s="1"/>
      <c r="Y256" s="1"/>
      <c r="Z256" s="1"/>
    </row>
    <row r="257" spans="1:26" ht="24.75" customHeight="1">
      <c r="A257" s="1"/>
      <c r="B257" s="1"/>
      <c r="C257" s="1"/>
      <c r="D257" s="1"/>
      <c r="E257" s="1"/>
      <c r="F257" s="1"/>
      <c r="G257" s="1"/>
      <c r="H257" s="1"/>
      <c r="I257" s="1"/>
      <c r="J257" s="1"/>
      <c r="K257" s="1"/>
      <c r="L257" s="1"/>
      <c r="M257" s="1"/>
      <c r="N257" s="1"/>
      <c r="O257" s="1"/>
      <c r="P257" s="1"/>
      <c r="Q257" s="1"/>
      <c r="R257" s="1"/>
      <c r="S257" s="1"/>
      <c r="T257" s="1"/>
      <c r="U257" s="2"/>
      <c r="V257" s="1"/>
      <c r="W257" s="1"/>
      <c r="X257" s="1"/>
      <c r="Y257" s="1"/>
      <c r="Z257" s="1"/>
    </row>
    <row r="258" spans="1:26" ht="24.75" customHeight="1">
      <c r="A258" s="1"/>
      <c r="B258" s="1"/>
      <c r="C258" s="1"/>
      <c r="D258" s="1"/>
      <c r="E258" s="1"/>
      <c r="F258" s="1"/>
      <c r="G258" s="1"/>
      <c r="H258" s="1"/>
      <c r="I258" s="1"/>
      <c r="J258" s="1"/>
      <c r="K258" s="1"/>
      <c r="L258" s="1"/>
      <c r="M258" s="1"/>
      <c r="N258" s="1"/>
      <c r="O258" s="1"/>
      <c r="P258" s="1"/>
      <c r="Q258" s="1"/>
      <c r="R258" s="1"/>
      <c r="S258" s="1"/>
      <c r="T258" s="1"/>
      <c r="U258" s="2"/>
      <c r="V258" s="1"/>
      <c r="W258" s="1"/>
      <c r="X258" s="1"/>
      <c r="Y258" s="1"/>
      <c r="Z258" s="1"/>
    </row>
    <row r="259" spans="1:26" ht="24.75" customHeight="1">
      <c r="A259" s="1"/>
      <c r="B259" s="1"/>
      <c r="C259" s="1"/>
      <c r="D259" s="1"/>
      <c r="E259" s="1"/>
      <c r="F259" s="1"/>
      <c r="G259" s="1"/>
      <c r="H259" s="1"/>
      <c r="I259" s="1"/>
      <c r="J259" s="1"/>
      <c r="K259" s="1"/>
      <c r="L259" s="1"/>
      <c r="M259" s="1"/>
      <c r="N259" s="1"/>
      <c r="O259" s="1"/>
      <c r="P259" s="1"/>
      <c r="Q259" s="1"/>
      <c r="R259" s="1"/>
      <c r="S259" s="1"/>
      <c r="T259" s="1"/>
      <c r="U259" s="2"/>
      <c r="V259" s="1"/>
      <c r="W259" s="1"/>
      <c r="X259" s="1"/>
      <c r="Y259" s="1"/>
      <c r="Z259" s="1"/>
    </row>
    <row r="260" spans="1:26" ht="24.75" customHeight="1">
      <c r="A260" s="1"/>
      <c r="B260" s="1"/>
      <c r="C260" s="1"/>
      <c r="D260" s="1"/>
      <c r="E260" s="1"/>
      <c r="F260" s="1"/>
      <c r="G260" s="1"/>
      <c r="H260" s="1"/>
      <c r="I260" s="1"/>
      <c r="J260" s="1"/>
      <c r="K260" s="1"/>
      <c r="L260" s="1"/>
      <c r="M260" s="1"/>
      <c r="N260" s="1"/>
      <c r="O260" s="1"/>
      <c r="P260" s="1"/>
      <c r="Q260" s="1"/>
      <c r="R260" s="1"/>
      <c r="S260" s="1"/>
      <c r="T260" s="1"/>
      <c r="U260" s="2"/>
      <c r="V260" s="1"/>
      <c r="W260" s="1"/>
      <c r="X260" s="1"/>
      <c r="Y260" s="1"/>
      <c r="Z260" s="1"/>
    </row>
    <row r="261" spans="1:26" ht="24.75" customHeight="1">
      <c r="A261" s="1"/>
      <c r="B261" s="1"/>
      <c r="C261" s="1"/>
      <c r="D261" s="1"/>
      <c r="E261" s="1"/>
      <c r="F261" s="1"/>
      <c r="G261" s="1"/>
      <c r="H261" s="1"/>
      <c r="I261" s="1"/>
      <c r="J261" s="1"/>
      <c r="K261" s="1"/>
      <c r="L261" s="1"/>
      <c r="M261" s="1"/>
      <c r="N261" s="1"/>
      <c r="O261" s="1"/>
      <c r="P261" s="1"/>
      <c r="Q261" s="1"/>
      <c r="R261" s="1"/>
      <c r="S261" s="1"/>
      <c r="T261" s="1"/>
      <c r="U261" s="2"/>
      <c r="V261" s="1"/>
      <c r="W261" s="1"/>
      <c r="X261" s="1"/>
      <c r="Y261" s="1"/>
      <c r="Z261" s="1"/>
    </row>
    <row r="262" spans="1:26" ht="24.75" customHeight="1">
      <c r="A262" s="1"/>
      <c r="B262" s="1"/>
      <c r="C262" s="1"/>
      <c r="D262" s="1"/>
      <c r="E262" s="1"/>
      <c r="F262" s="1"/>
      <c r="G262" s="1"/>
      <c r="H262" s="1"/>
      <c r="I262" s="1"/>
      <c r="J262" s="1"/>
      <c r="K262" s="1"/>
      <c r="L262" s="1"/>
      <c r="M262" s="1"/>
      <c r="N262" s="1"/>
      <c r="O262" s="1"/>
      <c r="P262" s="1"/>
      <c r="Q262" s="1"/>
      <c r="R262" s="1"/>
      <c r="S262" s="1"/>
      <c r="T262" s="1"/>
      <c r="U262" s="2"/>
      <c r="V262" s="1"/>
      <c r="W262" s="1"/>
      <c r="X262" s="1"/>
      <c r="Y262" s="1"/>
      <c r="Z262" s="1"/>
    </row>
    <row r="263" spans="1:26" ht="24.75" customHeight="1">
      <c r="A263" s="1"/>
      <c r="B263" s="1"/>
      <c r="C263" s="1"/>
      <c r="D263" s="1"/>
      <c r="E263" s="1"/>
      <c r="F263" s="1"/>
      <c r="G263" s="1"/>
      <c r="H263" s="1"/>
      <c r="I263" s="1"/>
      <c r="J263" s="1"/>
      <c r="K263" s="1"/>
      <c r="L263" s="1"/>
      <c r="M263" s="1"/>
      <c r="N263" s="1"/>
      <c r="O263" s="1"/>
      <c r="P263" s="1"/>
      <c r="Q263" s="1"/>
      <c r="R263" s="1"/>
      <c r="S263" s="1"/>
      <c r="T263" s="1"/>
      <c r="U263" s="2"/>
      <c r="V263" s="1"/>
      <c r="W263" s="1"/>
      <c r="X263" s="1"/>
      <c r="Y263" s="1"/>
      <c r="Z263" s="1"/>
    </row>
    <row r="264" spans="1:26" ht="24.75" customHeight="1">
      <c r="A264" s="1"/>
      <c r="B264" s="1"/>
      <c r="C264" s="1"/>
      <c r="D264" s="1"/>
      <c r="E264" s="1"/>
      <c r="F264" s="1"/>
      <c r="G264" s="1"/>
      <c r="H264" s="1"/>
      <c r="I264" s="1"/>
      <c r="J264" s="1"/>
      <c r="K264" s="1"/>
      <c r="L264" s="1"/>
      <c r="M264" s="1"/>
      <c r="N264" s="1"/>
      <c r="O264" s="1"/>
      <c r="P264" s="1"/>
      <c r="Q264" s="1"/>
      <c r="R264" s="1"/>
      <c r="S264" s="1"/>
      <c r="T264" s="1"/>
      <c r="U264" s="2"/>
      <c r="V264" s="1"/>
      <c r="W264" s="1"/>
      <c r="X264" s="1"/>
      <c r="Y264" s="1"/>
      <c r="Z264" s="1"/>
    </row>
    <row r="265" spans="1:26" ht="24.75" customHeight="1">
      <c r="A265" s="1"/>
      <c r="B265" s="1"/>
      <c r="C265" s="1"/>
      <c r="D265" s="1"/>
      <c r="E265" s="1"/>
      <c r="F265" s="1"/>
      <c r="G265" s="1"/>
      <c r="H265" s="1"/>
      <c r="I265" s="1"/>
      <c r="J265" s="1"/>
      <c r="K265" s="1"/>
      <c r="L265" s="1"/>
      <c r="M265" s="1"/>
      <c r="N265" s="1"/>
      <c r="O265" s="1"/>
      <c r="P265" s="1"/>
      <c r="Q265" s="1"/>
      <c r="R265" s="1"/>
      <c r="S265" s="1"/>
      <c r="T265" s="1"/>
      <c r="U265" s="2"/>
      <c r="V265" s="1"/>
      <c r="W265" s="1"/>
      <c r="X265" s="1"/>
      <c r="Y265" s="1"/>
      <c r="Z265" s="1"/>
    </row>
    <row r="266" spans="1:26" ht="24.75" customHeight="1">
      <c r="A266" s="1"/>
      <c r="B266" s="1"/>
      <c r="C266" s="1"/>
      <c r="D266" s="1"/>
      <c r="E266" s="1"/>
      <c r="F266" s="1"/>
      <c r="G266" s="1"/>
      <c r="H266" s="1"/>
      <c r="I266" s="1"/>
      <c r="J266" s="1"/>
      <c r="K266" s="1"/>
      <c r="L266" s="1"/>
      <c r="M266" s="1"/>
      <c r="N266" s="1"/>
      <c r="O266" s="1"/>
      <c r="P266" s="1"/>
      <c r="Q266" s="1"/>
      <c r="R266" s="1"/>
      <c r="S266" s="1"/>
      <c r="T266" s="1"/>
      <c r="U266" s="2"/>
      <c r="V266" s="1"/>
      <c r="W266" s="1"/>
      <c r="X266" s="1"/>
      <c r="Y266" s="1"/>
      <c r="Z266" s="1"/>
    </row>
    <row r="267" spans="1:26" ht="24.75" customHeight="1">
      <c r="A267" s="1"/>
      <c r="B267" s="1"/>
      <c r="C267" s="1"/>
      <c r="D267" s="1"/>
      <c r="E267" s="1"/>
      <c r="F267" s="1"/>
      <c r="G267" s="1"/>
      <c r="H267" s="1"/>
      <c r="I267" s="1"/>
      <c r="J267" s="1"/>
      <c r="K267" s="1"/>
      <c r="L267" s="1"/>
      <c r="M267" s="1"/>
      <c r="N267" s="1"/>
      <c r="O267" s="1"/>
      <c r="P267" s="1"/>
      <c r="Q267" s="1"/>
      <c r="R267" s="1"/>
      <c r="S267" s="1"/>
      <c r="T267" s="1"/>
      <c r="U267" s="2"/>
      <c r="V267" s="1"/>
      <c r="W267" s="1"/>
      <c r="X267" s="1"/>
      <c r="Y267" s="1"/>
      <c r="Z267" s="1"/>
    </row>
    <row r="268" spans="1:26" ht="24.75" customHeight="1">
      <c r="A268" s="1"/>
      <c r="B268" s="1"/>
      <c r="C268" s="1"/>
      <c r="D268" s="1"/>
      <c r="E268" s="1"/>
      <c r="F268" s="1"/>
      <c r="G268" s="1"/>
      <c r="H268" s="1"/>
      <c r="I268" s="1"/>
      <c r="J268" s="1"/>
      <c r="K268" s="1"/>
      <c r="L268" s="1"/>
      <c r="M268" s="1"/>
      <c r="N268" s="1"/>
      <c r="O268" s="1"/>
      <c r="P268" s="1"/>
      <c r="Q268" s="1"/>
      <c r="R268" s="1"/>
      <c r="S268" s="1"/>
      <c r="T268" s="1"/>
      <c r="U268" s="2"/>
      <c r="V268" s="1"/>
      <c r="W268" s="1"/>
      <c r="X268" s="1"/>
      <c r="Y268" s="1"/>
      <c r="Z268" s="1"/>
    </row>
    <row r="269" spans="1:26" ht="24.75" customHeight="1">
      <c r="A269" s="1"/>
      <c r="B269" s="1"/>
      <c r="C269" s="1"/>
      <c r="D269" s="1"/>
      <c r="E269" s="1"/>
      <c r="F269" s="1"/>
      <c r="G269" s="1"/>
      <c r="H269" s="1"/>
      <c r="I269" s="1"/>
      <c r="J269" s="1"/>
      <c r="K269" s="1"/>
      <c r="L269" s="1"/>
      <c r="M269" s="1"/>
      <c r="N269" s="1"/>
      <c r="O269" s="1"/>
      <c r="P269" s="1"/>
      <c r="Q269" s="1"/>
      <c r="R269" s="1"/>
      <c r="S269" s="1"/>
      <c r="T269" s="1"/>
      <c r="U269" s="2"/>
      <c r="V269" s="1"/>
      <c r="W269" s="1"/>
      <c r="X269" s="1"/>
      <c r="Y269" s="1"/>
      <c r="Z269" s="1"/>
    </row>
    <row r="270" spans="1:26" ht="24.75" customHeight="1">
      <c r="A270" s="1"/>
      <c r="B270" s="1"/>
      <c r="C270" s="1"/>
      <c r="D270" s="1"/>
      <c r="E270" s="1"/>
      <c r="F270" s="1"/>
      <c r="G270" s="1"/>
      <c r="H270" s="1"/>
      <c r="I270" s="1"/>
      <c r="J270" s="1"/>
      <c r="K270" s="1"/>
      <c r="L270" s="1"/>
      <c r="M270" s="1"/>
      <c r="N270" s="1"/>
      <c r="O270" s="1"/>
      <c r="P270" s="1"/>
      <c r="Q270" s="1"/>
      <c r="R270" s="1"/>
      <c r="S270" s="1"/>
      <c r="T270" s="1"/>
      <c r="U270" s="2"/>
      <c r="V270" s="1"/>
      <c r="W270" s="1"/>
      <c r="X270" s="1"/>
      <c r="Y270" s="1"/>
      <c r="Z270" s="1"/>
    </row>
    <row r="271" spans="1:26" ht="24.75" customHeight="1">
      <c r="A271" s="1"/>
      <c r="B271" s="1"/>
      <c r="C271" s="1"/>
      <c r="D271" s="1"/>
      <c r="E271" s="1"/>
      <c r="F271" s="1"/>
      <c r="G271" s="1"/>
      <c r="H271" s="1"/>
      <c r="I271" s="1"/>
      <c r="J271" s="1"/>
      <c r="K271" s="1"/>
      <c r="L271" s="1"/>
      <c r="M271" s="1"/>
      <c r="N271" s="1"/>
      <c r="O271" s="1"/>
      <c r="P271" s="1"/>
      <c r="Q271" s="1"/>
      <c r="R271" s="1"/>
      <c r="S271" s="1"/>
      <c r="T271" s="1"/>
      <c r="U271" s="2"/>
      <c r="V271" s="1"/>
      <c r="W271" s="1"/>
      <c r="X271" s="1"/>
      <c r="Y271" s="1"/>
      <c r="Z271" s="1"/>
    </row>
    <row r="272" spans="1:26" ht="24.75" customHeight="1">
      <c r="A272" s="1"/>
      <c r="B272" s="1"/>
      <c r="C272" s="1"/>
      <c r="D272" s="1"/>
      <c r="E272" s="1"/>
      <c r="F272" s="1"/>
      <c r="G272" s="1"/>
      <c r="H272" s="1"/>
      <c r="I272" s="1"/>
      <c r="J272" s="1"/>
      <c r="K272" s="1"/>
      <c r="L272" s="1"/>
      <c r="M272" s="1"/>
      <c r="N272" s="1"/>
      <c r="O272" s="1"/>
      <c r="P272" s="1"/>
      <c r="Q272" s="1"/>
      <c r="R272" s="1"/>
      <c r="S272" s="1"/>
      <c r="T272" s="1"/>
      <c r="U272" s="2"/>
      <c r="V272" s="1"/>
      <c r="W272" s="1"/>
      <c r="X272" s="1"/>
      <c r="Y272" s="1"/>
      <c r="Z272" s="1"/>
    </row>
    <row r="273" spans="1:26" ht="24.75" customHeight="1">
      <c r="A273" s="1"/>
      <c r="B273" s="1"/>
      <c r="C273" s="1"/>
      <c r="D273" s="1"/>
      <c r="E273" s="1"/>
      <c r="F273" s="1"/>
      <c r="G273" s="1"/>
      <c r="H273" s="1"/>
      <c r="I273" s="1"/>
      <c r="J273" s="1"/>
      <c r="K273" s="1"/>
      <c r="L273" s="1"/>
      <c r="M273" s="1"/>
      <c r="N273" s="1"/>
      <c r="O273" s="1"/>
      <c r="P273" s="1"/>
      <c r="Q273" s="1"/>
      <c r="R273" s="1"/>
      <c r="S273" s="1"/>
      <c r="T273" s="1"/>
      <c r="U273" s="2"/>
      <c r="V273" s="1"/>
      <c r="W273" s="1"/>
      <c r="X273" s="1"/>
      <c r="Y273" s="1"/>
      <c r="Z273" s="1"/>
    </row>
    <row r="274" spans="1:26" ht="24.75" customHeight="1">
      <c r="A274" s="1"/>
      <c r="B274" s="1"/>
      <c r="C274" s="1"/>
      <c r="D274" s="1"/>
      <c r="E274" s="1"/>
      <c r="F274" s="1"/>
      <c r="G274" s="1"/>
      <c r="H274" s="1"/>
      <c r="I274" s="1"/>
      <c r="J274" s="1"/>
      <c r="K274" s="1"/>
      <c r="L274" s="1"/>
      <c r="M274" s="1"/>
      <c r="N274" s="1"/>
      <c r="O274" s="1"/>
      <c r="P274" s="1"/>
      <c r="Q274" s="1"/>
      <c r="R274" s="1"/>
      <c r="S274" s="1"/>
      <c r="T274" s="1"/>
      <c r="U274" s="2"/>
      <c r="V274" s="1"/>
      <c r="W274" s="1"/>
      <c r="X274" s="1"/>
      <c r="Y274" s="1"/>
      <c r="Z274" s="1"/>
    </row>
    <row r="275" spans="1:26" ht="24.75" customHeight="1">
      <c r="A275" s="1"/>
      <c r="B275" s="1"/>
      <c r="C275" s="1"/>
      <c r="D275" s="1"/>
      <c r="E275" s="1"/>
      <c r="F275" s="1"/>
      <c r="G275" s="1"/>
      <c r="H275" s="1"/>
      <c r="I275" s="1"/>
      <c r="J275" s="1"/>
      <c r="K275" s="1"/>
      <c r="L275" s="1"/>
      <c r="M275" s="1"/>
      <c r="N275" s="1"/>
      <c r="O275" s="1"/>
      <c r="P275" s="1"/>
      <c r="Q275" s="1"/>
      <c r="R275" s="1"/>
      <c r="S275" s="1"/>
      <c r="T275" s="1"/>
      <c r="U275" s="2"/>
      <c r="V275" s="1"/>
      <c r="W275" s="1"/>
      <c r="X275" s="1"/>
      <c r="Y275" s="1"/>
      <c r="Z275" s="1"/>
    </row>
    <row r="276" spans="1:26" ht="24.75" customHeight="1">
      <c r="A276" s="1"/>
      <c r="B276" s="1"/>
      <c r="C276" s="1"/>
      <c r="D276" s="1"/>
      <c r="E276" s="1"/>
      <c r="F276" s="1"/>
      <c r="G276" s="1"/>
      <c r="H276" s="1"/>
      <c r="I276" s="1"/>
      <c r="J276" s="1"/>
      <c r="K276" s="1"/>
      <c r="L276" s="1"/>
      <c r="M276" s="1"/>
      <c r="N276" s="1"/>
      <c r="O276" s="1"/>
      <c r="P276" s="1"/>
      <c r="Q276" s="1"/>
      <c r="R276" s="1"/>
      <c r="S276" s="1"/>
      <c r="T276" s="1"/>
      <c r="U276" s="2"/>
      <c r="V276" s="1"/>
      <c r="W276" s="1"/>
      <c r="X276" s="1"/>
      <c r="Y276" s="1"/>
      <c r="Z276" s="1"/>
    </row>
    <row r="277" spans="1:26" ht="24.75" customHeight="1">
      <c r="A277" s="1"/>
      <c r="B277" s="1"/>
      <c r="C277" s="1"/>
      <c r="D277" s="1"/>
      <c r="E277" s="1"/>
      <c r="F277" s="1"/>
      <c r="G277" s="1"/>
      <c r="H277" s="1"/>
      <c r="I277" s="1"/>
      <c r="J277" s="1"/>
      <c r="K277" s="1"/>
      <c r="L277" s="1"/>
      <c r="M277" s="1"/>
      <c r="N277" s="1"/>
      <c r="O277" s="1"/>
      <c r="P277" s="1"/>
      <c r="Q277" s="1"/>
      <c r="R277" s="1"/>
      <c r="S277" s="1"/>
      <c r="T277" s="1"/>
      <c r="U277" s="2"/>
      <c r="V277" s="1"/>
      <c r="W277" s="1"/>
      <c r="X277" s="1"/>
      <c r="Y277" s="1"/>
      <c r="Z277" s="1"/>
    </row>
    <row r="278" spans="1:26" ht="24.75" customHeight="1">
      <c r="A278" s="1"/>
      <c r="B278" s="1"/>
      <c r="C278" s="1"/>
      <c r="D278" s="1"/>
      <c r="E278" s="1"/>
      <c r="F278" s="1"/>
      <c r="G278" s="1"/>
      <c r="H278" s="1"/>
      <c r="I278" s="1"/>
      <c r="J278" s="1"/>
      <c r="K278" s="1"/>
      <c r="L278" s="1"/>
      <c r="M278" s="1"/>
      <c r="N278" s="1"/>
      <c r="O278" s="1"/>
      <c r="P278" s="1"/>
      <c r="Q278" s="1"/>
      <c r="R278" s="1"/>
      <c r="S278" s="1"/>
      <c r="T278" s="1"/>
      <c r="U278" s="2"/>
      <c r="V278" s="1"/>
      <c r="W278" s="1"/>
      <c r="X278" s="1"/>
      <c r="Y278" s="1"/>
      <c r="Z278" s="1"/>
    </row>
    <row r="279" spans="1:26" ht="24.75" customHeight="1">
      <c r="A279" s="1"/>
      <c r="B279" s="1"/>
      <c r="C279" s="1"/>
      <c r="D279" s="1"/>
      <c r="E279" s="1"/>
      <c r="F279" s="1"/>
      <c r="G279" s="1"/>
      <c r="H279" s="1"/>
      <c r="I279" s="1"/>
      <c r="J279" s="1"/>
      <c r="K279" s="1"/>
      <c r="L279" s="1"/>
      <c r="M279" s="1"/>
      <c r="N279" s="1"/>
      <c r="O279" s="1"/>
      <c r="P279" s="1"/>
      <c r="Q279" s="1"/>
      <c r="R279" s="1"/>
      <c r="S279" s="1"/>
      <c r="T279" s="1"/>
      <c r="U279" s="2"/>
      <c r="V279" s="1"/>
      <c r="W279" s="1"/>
      <c r="X279" s="1"/>
      <c r="Y279" s="1"/>
      <c r="Z279" s="1"/>
    </row>
    <row r="280" spans="1:26" ht="24.75" customHeight="1">
      <c r="A280" s="1"/>
      <c r="B280" s="1"/>
      <c r="C280" s="1"/>
      <c r="D280" s="1"/>
      <c r="E280" s="1"/>
      <c r="F280" s="1"/>
      <c r="G280" s="1"/>
      <c r="H280" s="1"/>
      <c r="I280" s="1"/>
      <c r="J280" s="1"/>
      <c r="K280" s="1"/>
      <c r="L280" s="1"/>
      <c r="M280" s="1"/>
      <c r="N280" s="1"/>
      <c r="O280" s="1"/>
      <c r="P280" s="1"/>
      <c r="Q280" s="1"/>
      <c r="R280" s="1"/>
      <c r="S280" s="1"/>
      <c r="T280" s="1"/>
      <c r="U280" s="2"/>
      <c r="V280" s="1"/>
      <c r="W280" s="1"/>
      <c r="X280" s="1"/>
      <c r="Y280" s="1"/>
      <c r="Z280" s="1"/>
    </row>
    <row r="281" spans="1:26" ht="24.75" customHeight="1">
      <c r="A281" s="1"/>
      <c r="B281" s="1"/>
      <c r="C281" s="1"/>
      <c r="D281" s="1"/>
      <c r="E281" s="1"/>
      <c r="F281" s="1"/>
      <c r="G281" s="1"/>
      <c r="H281" s="1"/>
      <c r="I281" s="1"/>
      <c r="J281" s="1"/>
      <c r="K281" s="1"/>
      <c r="L281" s="1"/>
      <c r="M281" s="1"/>
      <c r="N281" s="1"/>
      <c r="O281" s="1"/>
      <c r="P281" s="1"/>
      <c r="Q281" s="1"/>
      <c r="R281" s="1"/>
      <c r="S281" s="1"/>
      <c r="T281" s="1"/>
      <c r="U281" s="2"/>
      <c r="V281" s="1"/>
      <c r="W281" s="1"/>
      <c r="X281" s="1"/>
      <c r="Y281" s="1"/>
      <c r="Z281" s="1"/>
    </row>
    <row r="282" spans="1:26" ht="24.75" customHeight="1">
      <c r="A282" s="1"/>
      <c r="B282" s="1"/>
      <c r="C282" s="1"/>
      <c r="D282" s="1"/>
      <c r="E282" s="1"/>
      <c r="F282" s="1"/>
      <c r="G282" s="1"/>
      <c r="H282" s="1"/>
      <c r="I282" s="1"/>
      <c r="J282" s="1"/>
      <c r="K282" s="1"/>
      <c r="L282" s="1"/>
      <c r="M282" s="1"/>
      <c r="N282" s="1"/>
      <c r="O282" s="1"/>
      <c r="P282" s="1"/>
      <c r="Q282" s="1"/>
      <c r="R282" s="1"/>
      <c r="S282" s="1"/>
      <c r="T282" s="1"/>
      <c r="U282" s="2"/>
      <c r="V282" s="1"/>
      <c r="W282" s="1"/>
      <c r="X282" s="1"/>
      <c r="Y282" s="1"/>
      <c r="Z282" s="1"/>
    </row>
    <row r="283" spans="1:26" ht="24.75" customHeight="1">
      <c r="A283" s="1"/>
      <c r="B283" s="1"/>
      <c r="C283" s="1"/>
      <c r="D283" s="1"/>
      <c r="E283" s="1"/>
      <c r="F283" s="1"/>
      <c r="G283" s="1"/>
      <c r="H283" s="1"/>
      <c r="I283" s="1"/>
      <c r="J283" s="1"/>
      <c r="K283" s="1"/>
      <c r="L283" s="1"/>
      <c r="M283" s="1"/>
      <c r="N283" s="1"/>
      <c r="O283" s="1"/>
      <c r="P283" s="1"/>
      <c r="Q283" s="1"/>
      <c r="R283" s="1"/>
      <c r="S283" s="1"/>
      <c r="T283" s="1"/>
      <c r="U283" s="2"/>
      <c r="V283" s="1"/>
      <c r="W283" s="1"/>
      <c r="X283" s="1"/>
      <c r="Y283" s="1"/>
      <c r="Z283" s="1"/>
    </row>
    <row r="284" spans="1:26" ht="24.75" customHeight="1">
      <c r="A284" s="1"/>
      <c r="B284" s="1"/>
      <c r="C284" s="1"/>
      <c r="D284" s="1"/>
      <c r="E284" s="1"/>
      <c r="F284" s="1"/>
      <c r="G284" s="1"/>
      <c r="H284" s="1"/>
      <c r="I284" s="1"/>
      <c r="J284" s="1"/>
      <c r="K284" s="1"/>
      <c r="L284" s="1"/>
      <c r="M284" s="1"/>
      <c r="N284" s="1"/>
      <c r="O284" s="1"/>
      <c r="P284" s="1"/>
      <c r="Q284" s="1"/>
      <c r="R284" s="1"/>
      <c r="S284" s="1"/>
      <c r="T284" s="1"/>
      <c r="U284" s="2"/>
      <c r="V284" s="1"/>
      <c r="W284" s="1"/>
      <c r="X284" s="1"/>
      <c r="Y284" s="1"/>
      <c r="Z284" s="1"/>
    </row>
    <row r="285" spans="1:26" ht="24.75" customHeight="1">
      <c r="A285" s="1"/>
      <c r="B285" s="1"/>
      <c r="C285" s="1"/>
      <c r="D285" s="1"/>
      <c r="E285" s="1"/>
      <c r="F285" s="1"/>
      <c r="G285" s="1"/>
      <c r="H285" s="1"/>
      <c r="I285" s="1"/>
      <c r="J285" s="1"/>
      <c r="K285" s="1"/>
      <c r="L285" s="1"/>
      <c r="M285" s="1"/>
      <c r="N285" s="1"/>
      <c r="O285" s="1"/>
      <c r="P285" s="1"/>
      <c r="Q285" s="1"/>
      <c r="R285" s="1"/>
      <c r="S285" s="1"/>
      <c r="T285" s="1"/>
      <c r="U285" s="2"/>
      <c r="V285" s="1"/>
      <c r="W285" s="1"/>
      <c r="X285" s="1"/>
      <c r="Y285" s="1"/>
      <c r="Z285" s="1"/>
    </row>
    <row r="286" spans="1:26" ht="24.75" customHeight="1">
      <c r="A286" s="1"/>
      <c r="B286" s="1"/>
      <c r="C286" s="1"/>
      <c r="D286" s="1"/>
      <c r="E286" s="1"/>
      <c r="F286" s="1"/>
      <c r="G286" s="1"/>
      <c r="H286" s="1"/>
      <c r="I286" s="1"/>
      <c r="J286" s="1"/>
      <c r="K286" s="1"/>
      <c r="L286" s="1"/>
      <c r="M286" s="1"/>
      <c r="N286" s="1"/>
      <c r="O286" s="1"/>
      <c r="P286" s="1"/>
      <c r="Q286" s="1"/>
      <c r="R286" s="1"/>
      <c r="S286" s="1"/>
      <c r="T286" s="1"/>
      <c r="U286" s="2"/>
      <c r="V286" s="1"/>
      <c r="W286" s="1"/>
      <c r="X286" s="1"/>
      <c r="Y286" s="1"/>
      <c r="Z286" s="1"/>
    </row>
    <row r="287" spans="1:26" ht="24.75" customHeight="1">
      <c r="A287" s="1"/>
      <c r="B287" s="1"/>
      <c r="C287" s="1"/>
      <c r="D287" s="1"/>
      <c r="E287" s="1"/>
      <c r="F287" s="1"/>
      <c r="G287" s="1"/>
      <c r="H287" s="1"/>
      <c r="I287" s="1"/>
      <c r="J287" s="1"/>
      <c r="K287" s="1"/>
      <c r="L287" s="1"/>
      <c r="M287" s="1"/>
      <c r="N287" s="1"/>
      <c r="O287" s="1"/>
      <c r="P287" s="1"/>
      <c r="Q287" s="1"/>
      <c r="R287" s="1"/>
      <c r="S287" s="1"/>
      <c r="T287" s="1"/>
      <c r="U287" s="2"/>
      <c r="V287" s="1"/>
      <c r="W287" s="1"/>
      <c r="X287" s="1"/>
      <c r="Y287" s="1"/>
      <c r="Z287" s="1"/>
    </row>
    <row r="288" spans="1:26" ht="24.75" customHeight="1">
      <c r="A288" s="1"/>
      <c r="B288" s="1"/>
      <c r="C288" s="1"/>
      <c r="D288" s="1"/>
      <c r="E288" s="1"/>
      <c r="F288" s="1"/>
      <c r="G288" s="1"/>
      <c r="H288" s="1"/>
      <c r="I288" s="1"/>
      <c r="J288" s="1"/>
      <c r="K288" s="1"/>
      <c r="L288" s="1"/>
      <c r="M288" s="1"/>
      <c r="N288" s="1"/>
      <c r="O288" s="1"/>
      <c r="P288" s="1"/>
      <c r="Q288" s="1"/>
      <c r="R288" s="1"/>
      <c r="S288" s="1"/>
      <c r="T288" s="1"/>
      <c r="U288" s="2"/>
      <c r="V288" s="1"/>
      <c r="W288" s="1"/>
      <c r="X288" s="1"/>
      <c r="Y288" s="1"/>
      <c r="Z288" s="1"/>
    </row>
    <row r="289" spans="1:26" ht="24.75" customHeight="1">
      <c r="A289" s="1"/>
      <c r="B289" s="1"/>
      <c r="C289" s="1"/>
      <c r="D289" s="1"/>
      <c r="E289" s="1"/>
      <c r="F289" s="1"/>
      <c r="G289" s="1"/>
      <c r="H289" s="1"/>
      <c r="I289" s="1"/>
      <c r="J289" s="1"/>
      <c r="K289" s="1"/>
      <c r="L289" s="1"/>
      <c r="M289" s="1"/>
      <c r="N289" s="1"/>
      <c r="O289" s="1"/>
      <c r="P289" s="1"/>
      <c r="Q289" s="1"/>
      <c r="R289" s="1"/>
      <c r="S289" s="1"/>
      <c r="T289" s="1"/>
      <c r="U289" s="2"/>
      <c r="V289" s="1"/>
      <c r="W289" s="1"/>
      <c r="X289" s="1"/>
      <c r="Y289" s="1"/>
      <c r="Z289" s="1"/>
    </row>
    <row r="290" spans="1:26" ht="24.75" customHeight="1">
      <c r="A290" s="1"/>
      <c r="B290" s="1"/>
      <c r="C290" s="1"/>
      <c r="D290" s="1"/>
      <c r="E290" s="1"/>
      <c r="F290" s="1"/>
      <c r="G290" s="1"/>
      <c r="H290" s="1"/>
      <c r="I290" s="1"/>
      <c r="J290" s="1"/>
      <c r="K290" s="1"/>
      <c r="L290" s="1"/>
      <c r="M290" s="1"/>
      <c r="N290" s="1"/>
      <c r="O290" s="1"/>
      <c r="P290" s="1"/>
      <c r="Q290" s="1"/>
      <c r="R290" s="1"/>
      <c r="S290" s="1"/>
      <c r="T290" s="1"/>
      <c r="U290" s="2"/>
      <c r="V290" s="1"/>
      <c r="W290" s="1"/>
      <c r="X290" s="1"/>
      <c r="Y290" s="1"/>
      <c r="Z290" s="1"/>
    </row>
    <row r="291" spans="1:26" ht="24.75" customHeight="1">
      <c r="A291" s="1"/>
      <c r="B291" s="1"/>
      <c r="C291" s="1"/>
      <c r="D291" s="1"/>
      <c r="E291" s="1"/>
      <c r="F291" s="1"/>
      <c r="G291" s="1"/>
      <c r="H291" s="1"/>
      <c r="I291" s="1"/>
      <c r="J291" s="1"/>
      <c r="K291" s="1"/>
      <c r="L291" s="1"/>
      <c r="M291" s="1"/>
      <c r="N291" s="1"/>
      <c r="O291" s="1"/>
      <c r="P291" s="1"/>
      <c r="Q291" s="1"/>
      <c r="R291" s="1"/>
      <c r="S291" s="1"/>
      <c r="T291" s="1"/>
      <c r="U291" s="2"/>
      <c r="V291" s="1"/>
      <c r="W291" s="1"/>
      <c r="X291" s="1"/>
      <c r="Y291" s="1"/>
      <c r="Z291" s="1"/>
    </row>
    <row r="292" spans="1:26" ht="24.75" customHeight="1">
      <c r="A292" s="1"/>
      <c r="B292" s="1"/>
      <c r="C292" s="1"/>
      <c r="D292" s="1"/>
      <c r="E292" s="1"/>
      <c r="F292" s="1"/>
      <c r="G292" s="1"/>
      <c r="H292" s="1"/>
      <c r="I292" s="1"/>
      <c r="J292" s="1"/>
      <c r="K292" s="1"/>
      <c r="L292" s="1"/>
      <c r="M292" s="1"/>
      <c r="N292" s="1"/>
      <c r="O292" s="1"/>
      <c r="P292" s="1"/>
      <c r="Q292" s="1"/>
      <c r="R292" s="1"/>
      <c r="S292" s="1"/>
      <c r="T292" s="1"/>
      <c r="U292" s="2"/>
      <c r="V292" s="1"/>
      <c r="W292" s="1"/>
      <c r="X292" s="1"/>
      <c r="Y292" s="1"/>
      <c r="Z292" s="1"/>
    </row>
    <row r="293" spans="1:26" ht="24.75" customHeight="1">
      <c r="A293" s="1"/>
      <c r="B293" s="1"/>
      <c r="C293" s="1"/>
      <c r="D293" s="1"/>
      <c r="E293" s="1"/>
      <c r="F293" s="1"/>
      <c r="G293" s="1"/>
      <c r="H293" s="1"/>
      <c r="I293" s="1"/>
      <c r="J293" s="1"/>
      <c r="K293" s="1"/>
      <c r="L293" s="1"/>
      <c r="M293" s="1"/>
      <c r="N293" s="1"/>
      <c r="O293" s="1"/>
      <c r="P293" s="1"/>
      <c r="Q293" s="1"/>
      <c r="R293" s="1"/>
      <c r="S293" s="1"/>
      <c r="T293" s="1"/>
      <c r="U293" s="2"/>
      <c r="V293" s="1"/>
      <c r="W293" s="1"/>
      <c r="X293" s="1"/>
      <c r="Y293" s="1"/>
      <c r="Z293" s="1"/>
    </row>
    <row r="294" spans="1:26" ht="24.75" customHeight="1">
      <c r="A294" s="1"/>
      <c r="B294" s="1"/>
      <c r="C294" s="1"/>
      <c r="D294" s="1"/>
      <c r="E294" s="1"/>
      <c r="F294" s="1"/>
      <c r="G294" s="1"/>
      <c r="H294" s="1"/>
      <c r="I294" s="1"/>
      <c r="J294" s="1"/>
      <c r="K294" s="1"/>
      <c r="L294" s="1"/>
      <c r="M294" s="1"/>
      <c r="N294" s="1"/>
      <c r="O294" s="1"/>
      <c r="P294" s="1"/>
      <c r="Q294" s="1"/>
      <c r="R294" s="1"/>
      <c r="S294" s="1"/>
      <c r="T294" s="1"/>
      <c r="U294" s="2"/>
      <c r="V294" s="1"/>
      <c r="W294" s="1"/>
      <c r="X294" s="1"/>
      <c r="Y294" s="1"/>
      <c r="Z294" s="1"/>
    </row>
    <row r="295" spans="1:26" ht="24.75" customHeight="1">
      <c r="A295" s="1"/>
      <c r="B295" s="1"/>
      <c r="C295" s="1"/>
      <c r="D295" s="1"/>
      <c r="E295" s="1"/>
      <c r="F295" s="1"/>
      <c r="G295" s="1"/>
      <c r="H295" s="1"/>
      <c r="I295" s="1"/>
      <c r="J295" s="1"/>
      <c r="K295" s="1"/>
      <c r="L295" s="1"/>
      <c r="M295" s="1"/>
      <c r="N295" s="1"/>
      <c r="O295" s="1"/>
      <c r="P295" s="1"/>
      <c r="Q295" s="1"/>
      <c r="R295" s="1"/>
      <c r="S295" s="1"/>
      <c r="T295" s="1"/>
      <c r="U295" s="2"/>
      <c r="V295" s="1"/>
      <c r="W295" s="1"/>
      <c r="X295" s="1"/>
      <c r="Y295" s="1"/>
      <c r="Z295" s="1"/>
    </row>
    <row r="296" spans="1:26" ht="24.75" customHeight="1">
      <c r="A296" s="1"/>
      <c r="B296" s="1"/>
      <c r="C296" s="1"/>
      <c r="D296" s="1"/>
      <c r="E296" s="1"/>
      <c r="F296" s="1"/>
      <c r="G296" s="1"/>
      <c r="H296" s="1"/>
      <c r="I296" s="1"/>
      <c r="J296" s="1"/>
      <c r="K296" s="1"/>
      <c r="L296" s="1"/>
      <c r="M296" s="1"/>
      <c r="N296" s="1"/>
      <c r="O296" s="1"/>
      <c r="P296" s="1"/>
      <c r="Q296" s="1"/>
      <c r="R296" s="1"/>
      <c r="S296" s="1"/>
      <c r="T296" s="1"/>
      <c r="U296" s="2"/>
      <c r="V296" s="1"/>
      <c r="W296" s="1"/>
      <c r="X296" s="1"/>
      <c r="Y296" s="1"/>
      <c r="Z296" s="1"/>
    </row>
    <row r="297" spans="1:26" ht="24.75" customHeight="1">
      <c r="A297" s="1"/>
      <c r="B297" s="1"/>
      <c r="C297" s="1"/>
      <c r="D297" s="1"/>
      <c r="E297" s="1"/>
      <c r="F297" s="1"/>
      <c r="G297" s="1"/>
      <c r="H297" s="1"/>
      <c r="I297" s="1"/>
      <c r="J297" s="1"/>
      <c r="K297" s="1"/>
      <c r="L297" s="1"/>
      <c r="M297" s="1"/>
      <c r="N297" s="1"/>
      <c r="O297" s="1"/>
      <c r="P297" s="1"/>
      <c r="Q297" s="1"/>
      <c r="R297" s="1"/>
      <c r="S297" s="1"/>
      <c r="T297" s="1"/>
      <c r="U297" s="2"/>
      <c r="V297" s="1"/>
      <c r="W297" s="1"/>
      <c r="X297" s="1"/>
      <c r="Y297" s="1"/>
      <c r="Z297" s="1"/>
    </row>
    <row r="298" spans="1:26" ht="24.75" customHeight="1">
      <c r="A298" s="1"/>
      <c r="B298" s="1"/>
      <c r="C298" s="1"/>
      <c r="D298" s="1"/>
      <c r="E298" s="1"/>
      <c r="F298" s="1"/>
      <c r="G298" s="1"/>
      <c r="H298" s="1"/>
      <c r="I298" s="1"/>
      <c r="J298" s="1"/>
      <c r="K298" s="1"/>
      <c r="L298" s="1"/>
      <c r="M298" s="1"/>
      <c r="N298" s="1"/>
      <c r="O298" s="1"/>
      <c r="P298" s="1"/>
      <c r="Q298" s="1"/>
      <c r="R298" s="1"/>
      <c r="S298" s="1"/>
      <c r="T298" s="1"/>
      <c r="U298" s="2"/>
      <c r="V298" s="1"/>
      <c r="W298" s="1"/>
      <c r="X298" s="1"/>
      <c r="Y298" s="1"/>
      <c r="Z298" s="1"/>
    </row>
    <row r="299" spans="1:26" ht="24.75" customHeight="1">
      <c r="A299" s="1"/>
      <c r="B299" s="1"/>
      <c r="C299" s="1"/>
      <c r="D299" s="1"/>
      <c r="E299" s="1"/>
      <c r="F299" s="1"/>
      <c r="G299" s="1"/>
      <c r="H299" s="1"/>
      <c r="I299" s="1"/>
      <c r="J299" s="1"/>
      <c r="K299" s="1"/>
      <c r="L299" s="1"/>
      <c r="M299" s="1"/>
      <c r="N299" s="1"/>
      <c r="O299" s="1"/>
      <c r="P299" s="1"/>
      <c r="Q299" s="1"/>
      <c r="R299" s="1"/>
      <c r="S299" s="1"/>
      <c r="T299" s="1"/>
      <c r="U299" s="2"/>
      <c r="V299" s="1"/>
      <c r="W299" s="1"/>
      <c r="X299" s="1"/>
      <c r="Y299" s="1"/>
      <c r="Z299" s="1"/>
    </row>
    <row r="300" spans="1:26" ht="24.75" customHeight="1">
      <c r="A300" s="1"/>
      <c r="B300" s="1"/>
      <c r="C300" s="1"/>
      <c r="D300" s="1"/>
      <c r="E300" s="1"/>
      <c r="F300" s="1"/>
      <c r="G300" s="1"/>
      <c r="H300" s="1"/>
      <c r="I300" s="1"/>
      <c r="J300" s="1"/>
      <c r="K300" s="1"/>
      <c r="L300" s="1"/>
      <c r="M300" s="1"/>
      <c r="N300" s="1"/>
      <c r="O300" s="1"/>
      <c r="P300" s="1"/>
      <c r="Q300" s="1"/>
      <c r="R300" s="1"/>
      <c r="S300" s="1"/>
      <c r="T300" s="1"/>
      <c r="U300" s="2"/>
      <c r="V300" s="1"/>
      <c r="W300" s="1"/>
      <c r="X300" s="1"/>
      <c r="Y300" s="1"/>
      <c r="Z300" s="1"/>
    </row>
    <row r="301" spans="1:26" ht="24.75" customHeight="1">
      <c r="A301" s="1"/>
      <c r="B301" s="1"/>
      <c r="C301" s="1"/>
      <c r="D301" s="1"/>
      <c r="E301" s="1"/>
      <c r="F301" s="1"/>
      <c r="G301" s="1"/>
      <c r="H301" s="1"/>
      <c r="I301" s="1"/>
      <c r="J301" s="1"/>
      <c r="K301" s="1"/>
      <c r="L301" s="1"/>
      <c r="M301" s="1"/>
      <c r="N301" s="1"/>
      <c r="O301" s="1"/>
      <c r="P301" s="1"/>
      <c r="Q301" s="1"/>
      <c r="R301" s="1"/>
      <c r="S301" s="1"/>
      <c r="T301" s="1"/>
      <c r="U301" s="2"/>
      <c r="V301" s="1"/>
      <c r="W301" s="1"/>
      <c r="X301" s="1"/>
      <c r="Y301" s="1"/>
      <c r="Z301" s="1"/>
    </row>
    <row r="302" spans="1:26" ht="24.75" customHeight="1">
      <c r="A302" s="1"/>
      <c r="B302" s="1"/>
      <c r="C302" s="1"/>
      <c r="D302" s="1"/>
      <c r="E302" s="1"/>
      <c r="F302" s="1"/>
      <c r="G302" s="1"/>
      <c r="H302" s="1"/>
      <c r="I302" s="1"/>
      <c r="J302" s="1"/>
      <c r="K302" s="1"/>
      <c r="L302" s="1"/>
      <c r="M302" s="1"/>
      <c r="N302" s="1"/>
      <c r="O302" s="1"/>
      <c r="P302" s="1"/>
      <c r="Q302" s="1"/>
      <c r="R302" s="1"/>
      <c r="S302" s="1"/>
      <c r="T302" s="1"/>
      <c r="U302" s="2"/>
      <c r="V302" s="1"/>
      <c r="W302" s="1"/>
      <c r="X302" s="1"/>
      <c r="Y302" s="1"/>
      <c r="Z302" s="1"/>
    </row>
    <row r="303" spans="1:26" ht="24.75" customHeight="1">
      <c r="A303" s="1"/>
      <c r="B303" s="1"/>
      <c r="C303" s="1"/>
      <c r="D303" s="1"/>
      <c r="E303" s="1"/>
      <c r="F303" s="1"/>
      <c r="G303" s="1"/>
      <c r="H303" s="1"/>
      <c r="I303" s="1"/>
      <c r="J303" s="1"/>
      <c r="K303" s="1"/>
      <c r="L303" s="1"/>
      <c r="M303" s="1"/>
      <c r="N303" s="1"/>
      <c r="O303" s="1"/>
      <c r="P303" s="1"/>
      <c r="Q303" s="1"/>
      <c r="R303" s="1"/>
      <c r="S303" s="1"/>
      <c r="T303" s="1"/>
      <c r="U303" s="2"/>
      <c r="V303" s="1"/>
      <c r="W303" s="1"/>
      <c r="X303" s="1"/>
      <c r="Y303" s="1"/>
      <c r="Z303" s="1"/>
    </row>
    <row r="304" spans="1:26" ht="24.75" customHeight="1">
      <c r="A304" s="1"/>
      <c r="B304" s="1"/>
      <c r="C304" s="1"/>
      <c r="D304" s="1"/>
      <c r="E304" s="1"/>
      <c r="F304" s="1"/>
      <c r="G304" s="1"/>
      <c r="H304" s="1"/>
      <c r="I304" s="1"/>
      <c r="J304" s="1"/>
      <c r="K304" s="1"/>
      <c r="L304" s="1"/>
      <c r="M304" s="1"/>
      <c r="N304" s="1"/>
      <c r="O304" s="1"/>
      <c r="P304" s="1"/>
      <c r="Q304" s="1"/>
      <c r="R304" s="1"/>
      <c r="S304" s="1"/>
      <c r="T304" s="1"/>
      <c r="U304" s="2"/>
      <c r="V304" s="1"/>
      <c r="W304" s="1"/>
      <c r="X304" s="1"/>
      <c r="Y304" s="1"/>
      <c r="Z304" s="1"/>
    </row>
    <row r="305" spans="1:26" ht="24.75" customHeight="1">
      <c r="A305" s="1"/>
      <c r="B305" s="1"/>
      <c r="C305" s="1"/>
      <c r="D305" s="1"/>
      <c r="E305" s="1"/>
      <c r="F305" s="1"/>
      <c r="G305" s="1"/>
      <c r="H305" s="1"/>
      <c r="I305" s="1"/>
      <c r="J305" s="1"/>
      <c r="K305" s="1"/>
      <c r="L305" s="1"/>
      <c r="M305" s="1"/>
      <c r="N305" s="1"/>
      <c r="O305" s="1"/>
      <c r="P305" s="1"/>
      <c r="Q305" s="1"/>
      <c r="R305" s="1"/>
      <c r="S305" s="1"/>
      <c r="T305" s="1"/>
      <c r="U305" s="2"/>
      <c r="V305" s="1"/>
      <c r="W305" s="1"/>
      <c r="X305" s="1"/>
      <c r="Y305" s="1"/>
      <c r="Z305" s="1"/>
    </row>
    <row r="306" spans="1:26" ht="24.75" customHeight="1">
      <c r="A306" s="1"/>
      <c r="B306" s="1"/>
      <c r="C306" s="1"/>
      <c r="D306" s="1"/>
      <c r="E306" s="1"/>
      <c r="F306" s="1"/>
      <c r="G306" s="1"/>
      <c r="H306" s="1"/>
      <c r="I306" s="1"/>
      <c r="J306" s="1"/>
      <c r="K306" s="1"/>
      <c r="L306" s="1"/>
      <c r="M306" s="1"/>
      <c r="N306" s="1"/>
      <c r="O306" s="1"/>
      <c r="P306" s="1"/>
      <c r="Q306" s="1"/>
      <c r="R306" s="1"/>
      <c r="S306" s="1"/>
      <c r="T306" s="1"/>
      <c r="U306" s="2"/>
      <c r="V306" s="1"/>
      <c r="W306" s="1"/>
      <c r="X306" s="1"/>
      <c r="Y306" s="1"/>
      <c r="Z306" s="1"/>
    </row>
    <row r="307" spans="1:26" ht="24.75" customHeight="1">
      <c r="A307" s="1"/>
      <c r="B307" s="1"/>
      <c r="C307" s="1"/>
      <c r="D307" s="1"/>
      <c r="E307" s="1"/>
      <c r="F307" s="1"/>
      <c r="G307" s="1"/>
      <c r="H307" s="1"/>
      <c r="I307" s="1"/>
      <c r="J307" s="1"/>
      <c r="K307" s="1"/>
      <c r="L307" s="1"/>
      <c r="M307" s="1"/>
      <c r="N307" s="1"/>
      <c r="O307" s="1"/>
      <c r="P307" s="1"/>
      <c r="Q307" s="1"/>
      <c r="R307" s="1"/>
      <c r="S307" s="1"/>
      <c r="T307" s="1"/>
      <c r="U307" s="2"/>
      <c r="V307" s="1"/>
      <c r="W307" s="1"/>
      <c r="X307" s="1"/>
      <c r="Y307" s="1"/>
      <c r="Z307" s="1"/>
    </row>
    <row r="308" spans="1:26" ht="24.75" customHeight="1">
      <c r="A308" s="1"/>
      <c r="B308" s="1"/>
      <c r="C308" s="1"/>
      <c r="D308" s="1"/>
      <c r="E308" s="1"/>
      <c r="F308" s="1"/>
      <c r="G308" s="1"/>
      <c r="H308" s="1"/>
      <c r="I308" s="1"/>
      <c r="J308" s="1"/>
      <c r="K308" s="1"/>
      <c r="L308" s="1"/>
      <c r="M308" s="1"/>
      <c r="N308" s="1"/>
      <c r="O308" s="1"/>
      <c r="P308" s="1"/>
      <c r="Q308" s="1"/>
      <c r="R308" s="1"/>
      <c r="S308" s="1"/>
      <c r="T308" s="1"/>
      <c r="U308" s="2"/>
      <c r="V308" s="1"/>
      <c r="W308" s="1"/>
      <c r="X308" s="1"/>
      <c r="Y308" s="1"/>
      <c r="Z308" s="1"/>
    </row>
    <row r="309" spans="1:26" ht="24.75" customHeight="1">
      <c r="A309" s="1"/>
      <c r="B309" s="1"/>
      <c r="C309" s="1"/>
      <c r="D309" s="1"/>
      <c r="E309" s="1"/>
      <c r="F309" s="1"/>
      <c r="G309" s="1"/>
      <c r="H309" s="1"/>
      <c r="I309" s="1"/>
      <c r="J309" s="1"/>
      <c r="K309" s="1"/>
      <c r="L309" s="1"/>
      <c r="M309" s="1"/>
      <c r="N309" s="1"/>
      <c r="O309" s="1"/>
      <c r="P309" s="1"/>
      <c r="Q309" s="1"/>
      <c r="R309" s="1"/>
      <c r="S309" s="1"/>
      <c r="T309" s="1"/>
      <c r="U309" s="2"/>
      <c r="V309" s="1"/>
      <c r="W309" s="1"/>
      <c r="X309" s="1"/>
      <c r="Y309" s="1"/>
      <c r="Z309" s="1"/>
    </row>
    <row r="310" spans="1:26" ht="24.75" customHeight="1">
      <c r="A310" s="1"/>
      <c r="B310" s="1"/>
      <c r="C310" s="1"/>
      <c r="D310" s="1"/>
      <c r="E310" s="1"/>
      <c r="F310" s="1"/>
      <c r="G310" s="1"/>
      <c r="H310" s="1"/>
      <c r="I310" s="1"/>
      <c r="J310" s="1"/>
      <c r="K310" s="1"/>
      <c r="L310" s="1"/>
      <c r="M310" s="1"/>
      <c r="N310" s="1"/>
      <c r="O310" s="1"/>
      <c r="P310" s="1"/>
      <c r="Q310" s="1"/>
      <c r="R310" s="1"/>
      <c r="S310" s="1"/>
      <c r="T310" s="1"/>
      <c r="U310" s="2"/>
      <c r="V310" s="1"/>
      <c r="W310" s="1"/>
      <c r="X310" s="1"/>
      <c r="Y310" s="1"/>
      <c r="Z310" s="1"/>
    </row>
    <row r="311" spans="1:26" ht="24.75" customHeight="1">
      <c r="A311" s="1"/>
      <c r="B311" s="1"/>
      <c r="C311" s="1"/>
      <c r="D311" s="1"/>
      <c r="E311" s="1"/>
      <c r="F311" s="1"/>
      <c r="G311" s="1"/>
      <c r="H311" s="1"/>
      <c r="I311" s="1"/>
      <c r="J311" s="1"/>
      <c r="K311" s="1"/>
      <c r="L311" s="1"/>
      <c r="M311" s="1"/>
      <c r="N311" s="1"/>
      <c r="O311" s="1"/>
      <c r="P311" s="1"/>
      <c r="Q311" s="1"/>
      <c r="R311" s="1"/>
      <c r="S311" s="1"/>
      <c r="T311" s="1"/>
      <c r="U311" s="2"/>
      <c r="V311" s="1"/>
      <c r="W311" s="1"/>
      <c r="X311" s="1"/>
      <c r="Y311" s="1"/>
      <c r="Z311" s="1"/>
    </row>
    <row r="312" spans="1:26" ht="24.75" customHeight="1">
      <c r="A312" s="1"/>
      <c r="B312" s="1"/>
      <c r="C312" s="1"/>
      <c r="D312" s="1"/>
      <c r="E312" s="1"/>
      <c r="F312" s="1"/>
      <c r="G312" s="1"/>
      <c r="H312" s="1"/>
      <c r="I312" s="1"/>
      <c r="J312" s="1"/>
      <c r="K312" s="1"/>
      <c r="L312" s="1"/>
      <c r="M312" s="1"/>
      <c r="N312" s="1"/>
      <c r="O312" s="1"/>
      <c r="P312" s="1"/>
      <c r="Q312" s="1"/>
      <c r="R312" s="1"/>
      <c r="S312" s="1"/>
      <c r="T312" s="1"/>
      <c r="U312" s="2"/>
      <c r="V312" s="1"/>
      <c r="W312" s="1"/>
      <c r="X312" s="1"/>
      <c r="Y312" s="1"/>
      <c r="Z312" s="1"/>
    </row>
    <row r="313" spans="1:26" ht="24.75" customHeight="1">
      <c r="A313" s="1"/>
      <c r="B313" s="1"/>
      <c r="C313" s="1"/>
      <c r="D313" s="1"/>
      <c r="E313" s="1"/>
      <c r="F313" s="1"/>
      <c r="G313" s="1"/>
      <c r="H313" s="1"/>
      <c r="I313" s="1"/>
      <c r="J313" s="1"/>
      <c r="K313" s="1"/>
      <c r="L313" s="1"/>
      <c r="M313" s="1"/>
      <c r="N313" s="1"/>
      <c r="O313" s="1"/>
      <c r="P313" s="1"/>
      <c r="Q313" s="1"/>
      <c r="R313" s="1"/>
      <c r="S313" s="1"/>
      <c r="T313" s="1"/>
      <c r="U313" s="2"/>
      <c r="V313" s="1"/>
      <c r="W313" s="1"/>
      <c r="X313" s="1"/>
      <c r="Y313" s="1"/>
      <c r="Z313" s="1"/>
    </row>
    <row r="314" spans="1:26" ht="24.75" customHeight="1">
      <c r="A314" s="1"/>
      <c r="B314" s="1"/>
      <c r="C314" s="1"/>
      <c r="D314" s="1"/>
      <c r="E314" s="1"/>
      <c r="F314" s="1"/>
      <c r="G314" s="1"/>
      <c r="H314" s="1"/>
      <c r="I314" s="1"/>
      <c r="J314" s="1"/>
      <c r="K314" s="1"/>
      <c r="L314" s="1"/>
      <c r="M314" s="1"/>
      <c r="N314" s="1"/>
      <c r="O314" s="1"/>
      <c r="P314" s="1"/>
      <c r="Q314" s="1"/>
      <c r="R314" s="1"/>
      <c r="S314" s="1"/>
      <c r="T314" s="1"/>
      <c r="U314" s="2"/>
      <c r="V314" s="1"/>
      <c r="W314" s="1"/>
      <c r="X314" s="1"/>
      <c r="Y314" s="1"/>
      <c r="Z314" s="1"/>
    </row>
    <row r="315" spans="1:26" ht="24.75" customHeight="1">
      <c r="A315" s="1"/>
      <c r="B315" s="1"/>
      <c r="C315" s="1"/>
      <c r="D315" s="1"/>
      <c r="E315" s="1"/>
      <c r="F315" s="1"/>
      <c r="G315" s="1"/>
      <c r="H315" s="1"/>
      <c r="I315" s="1"/>
      <c r="J315" s="1"/>
      <c r="K315" s="1"/>
      <c r="L315" s="1"/>
      <c r="M315" s="1"/>
      <c r="N315" s="1"/>
      <c r="O315" s="1"/>
      <c r="P315" s="1"/>
      <c r="Q315" s="1"/>
      <c r="R315" s="1"/>
      <c r="S315" s="1"/>
      <c r="T315" s="1"/>
      <c r="U315" s="2"/>
      <c r="V315" s="1"/>
      <c r="W315" s="1"/>
      <c r="X315" s="1"/>
      <c r="Y315" s="1"/>
      <c r="Z315" s="1"/>
    </row>
    <row r="316" spans="1:26" ht="24.75" customHeight="1">
      <c r="A316" s="1"/>
      <c r="B316" s="1"/>
      <c r="C316" s="1"/>
      <c r="D316" s="1"/>
      <c r="E316" s="1"/>
      <c r="F316" s="1"/>
      <c r="G316" s="1"/>
      <c r="H316" s="1"/>
      <c r="I316" s="1"/>
      <c r="J316" s="1"/>
      <c r="K316" s="1"/>
      <c r="L316" s="1"/>
      <c r="M316" s="1"/>
      <c r="N316" s="1"/>
      <c r="O316" s="1"/>
      <c r="P316" s="1"/>
      <c r="Q316" s="1"/>
      <c r="R316" s="1"/>
      <c r="S316" s="1"/>
      <c r="T316" s="1"/>
      <c r="U316" s="2"/>
      <c r="V316" s="1"/>
      <c r="W316" s="1"/>
      <c r="X316" s="1"/>
      <c r="Y316" s="1"/>
      <c r="Z316" s="1"/>
    </row>
    <row r="317" spans="1:26" ht="24.75" customHeight="1">
      <c r="A317" s="1"/>
      <c r="B317" s="1"/>
      <c r="C317" s="1"/>
      <c r="D317" s="1"/>
      <c r="E317" s="1"/>
      <c r="F317" s="1"/>
      <c r="G317" s="1"/>
      <c r="H317" s="1"/>
      <c r="I317" s="1"/>
      <c r="J317" s="1"/>
      <c r="K317" s="1"/>
      <c r="L317" s="1"/>
      <c r="M317" s="1"/>
      <c r="N317" s="1"/>
      <c r="O317" s="1"/>
      <c r="P317" s="1"/>
      <c r="Q317" s="1"/>
      <c r="R317" s="1"/>
      <c r="S317" s="1"/>
      <c r="T317" s="1"/>
      <c r="U317" s="2"/>
      <c r="V317" s="1"/>
      <c r="W317" s="1"/>
      <c r="X317" s="1"/>
      <c r="Y317" s="1"/>
      <c r="Z317" s="1"/>
    </row>
    <row r="318" spans="1:26" ht="24.75" customHeight="1">
      <c r="A318" s="1"/>
      <c r="B318" s="1"/>
      <c r="C318" s="1"/>
      <c r="D318" s="1"/>
      <c r="E318" s="1"/>
      <c r="F318" s="1"/>
      <c r="G318" s="1"/>
      <c r="H318" s="1"/>
      <c r="I318" s="1"/>
      <c r="J318" s="1"/>
      <c r="K318" s="1"/>
      <c r="L318" s="1"/>
      <c r="M318" s="1"/>
      <c r="N318" s="1"/>
      <c r="O318" s="1"/>
      <c r="P318" s="1"/>
      <c r="Q318" s="1"/>
      <c r="R318" s="1"/>
      <c r="S318" s="1"/>
      <c r="T318" s="1"/>
      <c r="U318" s="2"/>
      <c r="V318" s="1"/>
      <c r="W318" s="1"/>
      <c r="X318" s="1"/>
      <c r="Y318" s="1"/>
      <c r="Z318" s="1"/>
    </row>
    <row r="319" spans="1:26" ht="24.75" customHeight="1">
      <c r="A319" s="1"/>
      <c r="B319" s="1"/>
      <c r="C319" s="1"/>
      <c r="D319" s="1"/>
      <c r="E319" s="1"/>
      <c r="F319" s="1"/>
      <c r="G319" s="1"/>
      <c r="H319" s="1"/>
      <c r="I319" s="1"/>
      <c r="J319" s="1"/>
      <c r="K319" s="1"/>
      <c r="L319" s="1"/>
      <c r="M319" s="1"/>
      <c r="N319" s="1"/>
      <c r="O319" s="1"/>
      <c r="P319" s="1"/>
      <c r="Q319" s="1"/>
      <c r="R319" s="1"/>
      <c r="S319" s="1"/>
      <c r="T319" s="1"/>
      <c r="U319" s="2"/>
      <c r="V319" s="1"/>
      <c r="W319" s="1"/>
      <c r="X319" s="1"/>
      <c r="Y319" s="1"/>
      <c r="Z319" s="1"/>
    </row>
    <row r="320" spans="1:26" ht="24.75" customHeight="1">
      <c r="A320" s="1"/>
      <c r="B320" s="1"/>
      <c r="C320" s="1"/>
      <c r="D320" s="1"/>
      <c r="E320" s="1"/>
      <c r="F320" s="1"/>
      <c r="G320" s="1"/>
      <c r="H320" s="1"/>
      <c r="I320" s="1"/>
      <c r="J320" s="1"/>
      <c r="K320" s="1"/>
      <c r="L320" s="1"/>
      <c r="M320" s="1"/>
      <c r="N320" s="1"/>
      <c r="O320" s="1"/>
      <c r="P320" s="1"/>
      <c r="Q320" s="1"/>
      <c r="R320" s="1"/>
      <c r="S320" s="1"/>
      <c r="T320" s="1"/>
      <c r="U320" s="2"/>
      <c r="V320" s="1"/>
      <c r="W320" s="1"/>
      <c r="X320" s="1"/>
      <c r="Y320" s="1"/>
      <c r="Z320" s="1"/>
    </row>
    <row r="321" spans="1:26" ht="24.75" customHeight="1">
      <c r="A321" s="1"/>
      <c r="B321" s="1"/>
      <c r="C321" s="1"/>
      <c r="D321" s="1"/>
      <c r="E321" s="1"/>
      <c r="F321" s="1"/>
      <c r="G321" s="1"/>
      <c r="H321" s="1"/>
      <c r="I321" s="1"/>
      <c r="J321" s="1"/>
      <c r="K321" s="1"/>
      <c r="L321" s="1"/>
      <c r="M321" s="1"/>
      <c r="N321" s="1"/>
      <c r="O321" s="1"/>
      <c r="P321" s="1"/>
      <c r="Q321" s="1"/>
      <c r="R321" s="1"/>
      <c r="S321" s="1"/>
      <c r="T321" s="1"/>
      <c r="U321" s="2"/>
      <c r="V321" s="1"/>
      <c r="W321" s="1"/>
      <c r="X321" s="1"/>
      <c r="Y321" s="1"/>
      <c r="Z321" s="1"/>
    </row>
    <row r="322" spans="1:26" ht="24.75" customHeight="1">
      <c r="A322" s="1"/>
      <c r="B322" s="1"/>
      <c r="C322" s="1"/>
      <c r="D322" s="1"/>
      <c r="E322" s="1"/>
      <c r="F322" s="1"/>
      <c r="G322" s="1"/>
      <c r="H322" s="1"/>
      <c r="I322" s="1"/>
      <c r="J322" s="1"/>
      <c r="K322" s="1"/>
      <c r="L322" s="1"/>
      <c r="M322" s="1"/>
      <c r="N322" s="1"/>
      <c r="O322" s="1"/>
      <c r="P322" s="1"/>
      <c r="Q322" s="1"/>
      <c r="R322" s="1"/>
      <c r="S322" s="1"/>
      <c r="T322" s="1"/>
      <c r="U322" s="2"/>
      <c r="V322" s="1"/>
      <c r="W322" s="1"/>
      <c r="X322" s="1"/>
      <c r="Y322" s="1"/>
      <c r="Z322" s="1"/>
    </row>
    <row r="323" spans="1:26" ht="24.75" customHeight="1">
      <c r="A323" s="1"/>
      <c r="B323" s="1"/>
      <c r="C323" s="1"/>
      <c r="D323" s="1"/>
      <c r="E323" s="1"/>
      <c r="F323" s="1"/>
      <c r="G323" s="1"/>
      <c r="H323" s="1"/>
      <c r="I323" s="1"/>
      <c r="J323" s="1"/>
      <c r="K323" s="1"/>
      <c r="L323" s="1"/>
      <c r="M323" s="1"/>
      <c r="N323" s="1"/>
      <c r="O323" s="1"/>
      <c r="P323" s="1"/>
      <c r="Q323" s="1"/>
      <c r="R323" s="1"/>
      <c r="S323" s="1"/>
      <c r="T323" s="1"/>
      <c r="U323" s="2"/>
      <c r="V323" s="1"/>
      <c r="W323" s="1"/>
      <c r="X323" s="1"/>
      <c r="Y323" s="1"/>
      <c r="Z323" s="1"/>
    </row>
    <row r="324" spans="1:26" ht="24.75" customHeight="1">
      <c r="A324" s="1"/>
      <c r="B324" s="1"/>
      <c r="C324" s="1"/>
      <c r="D324" s="1"/>
      <c r="E324" s="1"/>
      <c r="F324" s="1"/>
      <c r="G324" s="1"/>
      <c r="H324" s="1"/>
      <c r="I324" s="1"/>
      <c r="J324" s="1"/>
      <c r="K324" s="1"/>
      <c r="L324" s="1"/>
      <c r="M324" s="1"/>
      <c r="N324" s="1"/>
      <c r="O324" s="1"/>
      <c r="P324" s="1"/>
      <c r="Q324" s="1"/>
      <c r="R324" s="1"/>
      <c r="S324" s="1"/>
      <c r="T324" s="1"/>
      <c r="U324" s="2"/>
      <c r="V324" s="1"/>
      <c r="W324" s="1"/>
      <c r="X324" s="1"/>
      <c r="Y324" s="1"/>
      <c r="Z324" s="1"/>
    </row>
    <row r="325" spans="1:26" ht="24.75" customHeight="1">
      <c r="A325" s="1"/>
      <c r="B325" s="1"/>
      <c r="C325" s="1"/>
      <c r="D325" s="1"/>
      <c r="E325" s="1"/>
      <c r="F325" s="1"/>
      <c r="G325" s="1"/>
      <c r="H325" s="1"/>
      <c r="I325" s="1"/>
      <c r="J325" s="1"/>
      <c r="K325" s="1"/>
      <c r="L325" s="1"/>
      <c r="M325" s="1"/>
      <c r="N325" s="1"/>
      <c r="O325" s="1"/>
      <c r="P325" s="1"/>
      <c r="Q325" s="1"/>
      <c r="R325" s="1"/>
      <c r="S325" s="1"/>
      <c r="T325" s="1"/>
      <c r="U325" s="2"/>
      <c r="V325" s="1"/>
      <c r="W325" s="1"/>
      <c r="X325" s="1"/>
      <c r="Y325" s="1"/>
      <c r="Z325" s="1"/>
    </row>
    <row r="326" spans="1:26" ht="24.75" customHeight="1">
      <c r="A326" s="1"/>
      <c r="B326" s="1"/>
      <c r="C326" s="1"/>
      <c r="D326" s="1"/>
      <c r="E326" s="1"/>
      <c r="F326" s="1"/>
      <c r="G326" s="1"/>
      <c r="H326" s="1"/>
      <c r="I326" s="1"/>
      <c r="J326" s="1"/>
      <c r="K326" s="1"/>
      <c r="L326" s="1"/>
      <c r="M326" s="1"/>
      <c r="N326" s="1"/>
      <c r="O326" s="1"/>
      <c r="P326" s="1"/>
      <c r="Q326" s="1"/>
      <c r="R326" s="1"/>
      <c r="S326" s="1"/>
      <c r="T326" s="1"/>
      <c r="U326" s="2"/>
      <c r="V326" s="1"/>
      <c r="W326" s="1"/>
      <c r="X326" s="1"/>
      <c r="Y326" s="1"/>
      <c r="Z326" s="1"/>
    </row>
    <row r="327" spans="1:26" ht="24.75" customHeight="1">
      <c r="A327" s="1"/>
      <c r="B327" s="1"/>
      <c r="C327" s="1"/>
      <c r="D327" s="1"/>
      <c r="E327" s="1"/>
      <c r="F327" s="1"/>
      <c r="G327" s="1"/>
      <c r="H327" s="1"/>
      <c r="I327" s="1"/>
      <c r="J327" s="1"/>
      <c r="K327" s="1"/>
      <c r="L327" s="1"/>
      <c r="M327" s="1"/>
      <c r="N327" s="1"/>
      <c r="O327" s="1"/>
      <c r="P327" s="1"/>
      <c r="Q327" s="1"/>
      <c r="R327" s="1"/>
      <c r="S327" s="1"/>
      <c r="T327" s="1"/>
      <c r="U327" s="2"/>
      <c r="V327" s="1"/>
      <c r="W327" s="1"/>
      <c r="X327" s="1"/>
      <c r="Y327" s="1"/>
      <c r="Z327" s="1"/>
    </row>
    <row r="328" spans="1:26" ht="24.75" customHeight="1">
      <c r="A328" s="1"/>
      <c r="B328" s="1"/>
      <c r="C328" s="1"/>
      <c r="D328" s="1"/>
      <c r="E328" s="1"/>
      <c r="F328" s="1"/>
      <c r="G328" s="1"/>
      <c r="H328" s="1"/>
      <c r="I328" s="1"/>
      <c r="J328" s="1"/>
      <c r="K328" s="1"/>
      <c r="L328" s="1"/>
      <c r="M328" s="1"/>
      <c r="N328" s="1"/>
      <c r="O328" s="1"/>
      <c r="P328" s="1"/>
      <c r="Q328" s="1"/>
      <c r="R328" s="1"/>
      <c r="S328" s="1"/>
      <c r="T328" s="1"/>
      <c r="U328" s="2"/>
      <c r="V328" s="1"/>
      <c r="W328" s="1"/>
      <c r="X328" s="1"/>
      <c r="Y328" s="1"/>
      <c r="Z328" s="1"/>
    </row>
    <row r="329" spans="1:26" ht="24.75" customHeight="1">
      <c r="A329" s="1"/>
      <c r="B329" s="1"/>
      <c r="C329" s="1"/>
      <c r="D329" s="1"/>
      <c r="E329" s="1"/>
      <c r="F329" s="1"/>
      <c r="G329" s="1"/>
      <c r="H329" s="1"/>
      <c r="I329" s="1"/>
      <c r="J329" s="1"/>
      <c r="K329" s="1"/>
      <c r="L329" s="1"/>
      <c r="M329" s="1"/>
      <c r="N329" s="1"/>
      <c r="O329" s="1"/>
      <c r="P329" s="1"/>
      <c r="Q329" s="1"/>
      <c r="R329" s="1"/>
      <c r="S329" s="1"/>
      <c r="T329" s="1"/>
      <c r="U329" s="2"/>
      <c r="V329" s="1"/>
      <c r="W329" s="1"/>
      <c r="X329" s="1"/>
      <c r="Y329" s="1"/>
      <c r="Z329" s="1"/>
    </row>
    <row r="330" spans="1:26" ht="24.75" customHeight="1">
      <c r="A330" s="1"/>
      <c r="B330" s="1"/>
      <c r="C330" s="1"/>
      <c r="D330" s="1"/>
      <c r="E330" s="1"/>
      <c r="F330" s="1"/>
      <c r="G330" s="1"/>
      <c r="H330" s="1"/>
      <c r="I330" s="1"/>
      <c r="J330" s="1"/>
      <c r="K330" s="1"/>
      <c r="L330" s="1"/>
      <c r="M330" s="1"/>
      <c r="N330" s="1"/>
      <c r="O330" s="1"/>
      <c r="P330" s="1"/>
      <c r="Q330" s="1"/>
      <c r="R330" s="1"/>
      <c r="S330" s="1"/>
      <c r="T330" s="1"/>
      <c r="U330" s="2"/>
      <c r="V330" s="1"/>
      <c r="W330" s="1"/>
      <c r="X330" s="1"/>
      <c r="Y330" s="1"/>
      <c r="Z330" s="1"/>
    </row>
    <row r="331" spans="1:26" ht="24.75" customHeight="1">
      <c r="A331" s="1"/>
      <c r="B331" s="1"/>
      <c r="C331" s="1"/>
      <c r="D331" s="1"/>
      <c r="E331" s="1"/>
      <c r="F331" s="1"/>
      <c r="G331" s="1"/>
      <c r="H331" s="1"/>
      <c r="I331" s="1"/>
      <c r="J331" s="1"/>
      <c r="K331" s="1"/>
      <c r="L331" s="1"/>
      <c r="M331" s="1"/>
      <c r="N331" s="1"/>
      <c r="O331" s="1"/>
      <c r="P331" s="1"/>
      <c r="Q331" s="1"/>
      <c r="R331" s="1"/>
      <c r="S331" s="1"/>
      <c r="T331" s="1"/>
      <c r="U331" s="2"/>
      <c r="V331" s="1"/>
      <c r="W331" s="1"/>
      <c r="X331" s="1"/>
      <c r="Y331" s="1"/>
      <c r="Z331" s="1"/>
    </row>
    <row r="332" spans="1:26" ht="24.75" customHeight="1">
      <c r="A332" s="1"/>
      <c r="B332" s="1"/>
      <c r="C332" s="1"/>
      <c r="D332" s="1"/>
      <c r="E332" s="1"/>
      <c r="F332" s="1"/>
      <c r="G332" s="1"/>
      <c r="H332" s="1"/>
      <c r="I332" s="1"/>
      <c r="J332" s="1"/>
      <c r="K332" s="1"/>
      <c r="L332" s="1"/>
      <c r="M332" s="1"/>
      <c r="N332" s="1"/>
      <c r="O332" s="1"/>
      <c r="P332" s="1"/>
      <c r="Q332" s="1"/>
      <c r="R332" s="1"/>
      <c r="S332" s="1"/>
      <c r="T332" s="1"/>
      <c r="U332" s="2"/>
      <c r="V332" s="1"/>
      <c r="W332" s="1"/>
      <c r="X332" s="1"/>
      <c r="Y332" s="1"/>
      <c r="Z332" s="1"/>
    </row>
    <row r="333" spans="1:26" ht="24.75" customHeight="1">
      <c r="A333" s="1"/>
      <c r="B333" s="1"/>
      <c r="C333" s="1"/>
      <c r="D333" s="1"/>
      <c r="E333" s="1"/>
      <c r="F333" s="1"/>
      <c r="G333" s="1"/>
      <c r="H333" s="1"/>
      <c r="I333" s="1"/>
      <c r="J333" s="1"/>
      <c r="K333" s="1"/>
      <c r="L333" s="1"/>
      <c r="M333" s="1"/>
      <c r="N333" s="1"/>
      <c r="O333" s="1"/>
      <c r="P333" s="1"/>
      <c r="Q333" s="1"/>
      <c r="R333" s="1"/>
      <c r="S333" s="1"/>
      <c r="T333" s="1"/>
      <c r="U333" s="2"/>
      <c r="V333" s="1"/>
      <c r="W333" s="1"/>
      <c r="X333" s="1"/>
      <c r="Y333" s="1"/>
      <c r="Z333" s="1"/>
    </row>
    <row r="334" spans="1:26" ht="24.75" customHeight="1">
      <c r="A334" s="1"/>
      <c r="B334" s="1"/>
      <c r="C334" s="1"/>
      <c r="D334" s="1"/>
      <c r="E334" s="1"/>
      <c r="F334" s="1"/>
      <c r="G334" s="1"/>
      <c r="H334" s="1"/>
      <c r="I334" s="1"/>
      <c r="J334" s="1"/>
      <c r="K334" s="1"/>
      <c r="L334" s="1"/>
      <c r="M334" s="1"/>
      <c r="N334" s="1"/>
      <c r="O334" s="1"/>
      <c r="P334" s="1"/>
      <c r="Q334" s="1"/>
      <c r="R334" s="1"/>
      <c r="S334" s="1"/>
      <c r="T334" s="1"/>
      <c r="U334" s="2"/>
      <c r="V334" s="1"/>
      <c r="W334" s="1"/>
      <c r="X334" s="1"/>
      <c r="Y334" s="1"/>
      <c r="Z334" s="1"/>
    </row>
    <row r="335" spans="1:26" ht="24.75" customHeight="1">
      <c r="A335" s="1"/>
      <c r="B335" s="1"/>
      <c r="C335" s="1"/>
      <c r="D335" s="1"/>
      <c r="E335" s="1"/>
      <c r="F335" s="1"/>
      <c r="G335" s="1"/>
      <c r="H335" s="1"/>
      <c r="I335" s="1"/>
      <c r="J335" s="1"/>
      <c r="K335" s="1"/>
      <c r="L335" s="1"/>
      <c r="M335" s="1"/>
      <c r="N335" s="1"/>
      <c r="O335" s="1"/>
      <c r="P335" s="1"/>
      <c r="Q335" s="1"/>
      <c r="R335" s="1"/>
      <c r="S335" s="1"/>
      <c r="T335" s="1"/>
      <c r="U335" s="2"/>
      <c r="V335" s="1"/>
      <c r="W335" s="1"/>
      <c r="X335" s="1"/>
      <c r="Y335" s="1"/>
      <c r="Z335" s="1"/>
    </row>
    <row r="336" spans="1:26" ht="24.75" customHeight="1">
      <c r="A336" s="1"/>
      <c r="B336" s="1"/>
      <c r="C336" s="1"/>
      <c r="D336" s="1"/>
      <c r="E336" s="1"/>
      <c r="F336" s="1"/>
      <c r="G336" s="1"/>
      <c r="H336" s="1"/>
      <c r="I336" s="1"/>
      <c r="J336" s="1"/>
      <c r="K336" s="1"/>
      <c r="L336" s="1"/>
      <c r="M336" s="1"/>
      <c r="N336" s="1"/>
      <c r="O336" s="1"/>
      <c r="P336" s="1"/>
      <c r="Q336" s="1"/>
      <c r="R336" s="1"/>
      <c r="S336" s="1"/>
      <c r="T336" s="1"/>
      <c r="U336" s="2"/>
      <c r="V336" s="1"/>
      <c r="W336" s="1"/>
      <c r="X336" s="1"/>
      <c r="Y336" s="1"/>
      <c r="Z336" s="1"/>
    </row>
    <row r="337" spans="1:26" ht="24.75" customHeight="1">
      <c r="A337" s="1"/>
      <c r="B337" s="1"/>
      <c r="C337" s="1"/>
      <c r="D337" s="1"/>
      <c r="E337" s="1"/>
      <c r="F337" s="1"/>
      <c r="G337" s="1"/>
      <c r="H337" s="1"/>
      <c r="I337" s="1"/>
      <c r="J337" s="1"/>
      <c r="K337" s="1"/>
      <c r="L337" s="1"/>
      <c r="M337" s="1"/>
      <c r="N337" s="1"/>
      <c r="O337" s="1"/>
      <c r="P337" s="1"/>
      <c r="Q337" s="1"/>
      <c r="R337" s="1"/>
      <c r="S337" s="1"/>
      <c r="T337" s="1"/>
      <c r="U337" s="2"/>
      <c r="V337" s="1"/>
      <c r="W337" s="1"/>
      <c r="X337" s="1"/>
      <c r="Y337" s="1"/>
      <c r="Z337" s="1"/>
    </row>
    <row r="338" spans="1:26" ht="24.75" customHeight="1">
      <c r="A338" s="1"/>
      <c r="B338" s="1"/>
      <c r="C338" s="1"/>
      <c r="D338" s="1"/>
      <c r="E338" s="1"/>
      <c r="F338" s="1"/>
      <c r="G338" s="1"/>
      <c r="H338" s="1"/>
      <c r="I338" s="1"/>
      <c r="J338" s="1"/>
      <c r="K338" s="1"/>
      <c r="L338" s="1"/>
      <c r="M338" s="1"/>
      <c r="N338" s="1"/>
      <c r="O338" s="1"/>
      <c r="P338" s="1"/>
      <c r="Q338" s="1"/>
      <c r="R338" s="1"/>
      <c r="S338" s="1"/>
      <c r="T338" s="1"/>
      <c r="U338" s="2"/>
      <c r="V338" s="1"/>
      <c r="W338" s="1"/>
      <c r="X338" s="1"/>
      <c r="Y338" s="1"/>
      <c r="Z338" s="1"/>
    </row>
    <row r="339" spans="1:26" ht="24.75" customHeight="1">
      <c r="A339" s="1"/>
      <c r="B339" s="1"/>
      <c r="C339" s="1"/>
      <c r="D339" s="1"/>
      <c r="E339" s="1"/>
      <c r="F339" s="1"/>
      <c r="G339" s="1"/>
      <c r="H339" s="1"/>
      <c r="I339" s="1"/>
      <c r="J339" s="1"/>
      <c r="K339" s="1"/>
      <c r="L339" s="1"/>
      <c r="M339" s="1"/>
      <c r="N339" s="1"/>
      <c r="O339" s="1"/>
      <c r="P339" s="1"/>
      <c r="Q339" s="1"/>
      <c r="R339" s="1"/>
      <c r="S339" s="1"/>
      <c r="T339" s="1"/>
      <c r="U339" s="2"/>
      <c r="V339" s="1"/>
      <c r="W339" s="1"/>
      <c r="X339" s="1"/>
      <c r="Y339" s="1"/>
      <c r="Z339" s="1"/>
    </row>
    <row r="340" spans="1:26" ht="24.75" customHeight="1">
      <c r="A340" s="1"/>
      <c r="B340" s="1"/>
      <c r="C340" s="1"/>
      <c r="D340" s="1"/>
      <c r="E340" s="1"/>
      <c r="F340" s="1"/>
      <c r="G340" s="1"/>
      <c r="H340" s="1"/>
      <c r="I340" s="1"/>
      <c r="J340" s="1"/>
      <c r="K340" s="1"/>
      <c r="L340" s="1"/>
      <c r="M340" s="1"/>
      <c r="N340" s="1"/>
      <c r="O340" s="1"/>
      <c r="P340" s="1"/>
      <c r="Q340" s="1"/>
      <c r="R340" s="1"/>
      <c r="S340" s="1"/>
      <c r="T340" s="1"/>
      <c r="U340" s="2"/>
      <c r="V340" s="1"/>
      <c r="W340" s="1"/>
      <c r="X340" s="1"/>
      <c r="Y340" s="1"/>
      <c r="Z340" s="1"/>
    </row>
    <row r="341" spans="1:26" ht="24.75" customHeight="1">
      <c r="A341" s="1"/>
      <c r="B341" s="1"/>
      <c r="C341" s="1"/>
      <c r="D341" s="1"/>
      <c r="E341" s="1"/>
      <c r="F341" s="1"/>
      <c r="G341" s="1"/>
      <c r="H341" s="1"/>
      <c r="I341" s="1"/>
      <c r="J341" s="1"/>
      <c r="K341" s="1"/>
      <c r="L341" s="1"/>
      <c r="M341" s="1"/>
      <c r="N341" s="1"/>
      <c r="O341" s="1"/>
      <c r="P341" s="1"/>
      <c r="Q341" s="1"/>
      <c r="R341" s="1"/>
      <c r="S341" s="1"/>
      <c r="T341" s="1"/>
      <c r="U341" s="2"/>
      <c r="V341" s="1"/>
      <c r="W341" s="1"/>
      <c r="X341" s="1"/>
      <c r="Y341" s="1"/>
      <c r="Z341" s="1"/>
    </row>
    <row r="342" spans="1:26" ht="24.75" customHeight="1">
      <c r="A342" s="1"/>
      <c r="B342" s="1"/>
      <c r="C342" s="1"/>
      <c r="D342" s="1"/>
      <c r="E342" s="1"/>
      <c r="F342" s="1"/>
      <c r="G342" s="1"/>
      <c r="H342" s="1"/>
      <c r="I342" s="1"/>
      <c r="J342" s="1"/>
      <c r="K342" s="1"/>
      <c r="L342" s="1"/>
      <c r="M342" s="1"/>
      <c r="N342" s="1"/>
      <c r="O342" s="1"/>
      <c r="P342" s="1"/>
      <c r="Q342" s="1"/>
      <c r="R342" s="1"/>
      <c r="S342" s="1"/>
      <c r="T342" s="1"/>
      <c r="U342" s="2"/>
      <c r="V342" s="1"/>
      <c r="W342" s="1"/>
      <c r="X342" s="1"/>
      <c r="Y342" s="1"/>
      <c r="Z342" s="1"/>
    </row>
    <row r="343" spans="1:26" ht="24.75" customHeight="1">
      <c r="A343" s="1"/>
      <c r="B343" s="1"/>
      <c r="C343" s="1"/>
      <c r="D343" s="1"/>
      <c r="E343" s="1"/>
      <c r="F343" s="1"/>
      <c r="G343" s="1"/>
      <c r="H343" s="1"/>
      <c r="I343" s="1"/>
      <c r="J343" s="1"/>
      <c r="K343" s="1"/>
      <c r="L343" s="1"/>
      <c r="M343" s="1"/>
      <c r="N343" s="1"/>
      <c r="O343" s="1"/>
      <c r="P343" s="1"/>
      <c r="Q343" s="1"/>
      <c r="R343" s="1"/>
      <c r="S343" s="1"/>
      <c r="T343" s="1"/>
      <c r="U343" s="2"/>
      <c r="V343" s="1"/>
      <c r="W343" s="1"/>
      <c r="X343" s="1"/>
      <c r="Y343" s="1"/>
      <c r="Z343" s="1"/>
    </row>
    <row r="344" spans="1:26" ht="24.75" customHeight="1">
      <c r="A344" s="1"/>
      <c r="B344" s="1"/>
      <c r="C344" s="1"/>
      <c r="D344" s="1"/>
      <c r="E344" s="1"/>
      <c r="F344" s="1"/>
      <c r="G344" s="1"/>
      <c r="H344" s="1"/>
      <c r="I344" s="1"/>
      <c r="J344" s="1"/>
      <c r="K344" s="1"/>
      <c r="L344" s="1"/>
      <c r="M344" s="1"/>
      <c r="N344" s="1"/>
      <c r="O344" s="1"/>
      <c r="P344" s="1"/>
      <c r="Q344" s="1"/>
      <c r="R344" s="1"/>
      <c r="S344" s="1"/>
      <c r="T344" s="1"/>
      <c r="U344" s="2"/>
      <c r="V344" s="1"/>
      <c r="W344" s="1"/>
      <c r="X344" s="1"/>
      <c r="Y344" s="1"/>
      <c r="Z344" s="1"/>
    </row>
    <row r="345" spans="1:26" ht="24.75" customHeight="1">
      <c r="A345" s="1"/>
      <c r="B345" s="1"/>
      <c r="C345" s="1"/>
      <c r="D345" s="1"/>
      <c r="E345" s="1"/>
      <c r="F345" s="1"/>
      <c r="G345" s="1"/>
      <c r="H345" s="1"/>
      <c r="I345" s="1"/>
      <c r="J345" s="1"/>
      <c r="K345" s="1"/>
      <c r="L345" s="1"/>
      <c r="M345" s="1"/>
      <c r="N345" s="1"/>
      <c r="O345" s="1"/>
      <c r="P345" s="1"/>
      <c r="Q345" s="1"/>
      <c r="R345" s="1"/>
      <c r="S345" s="1"/>
      <c r="T345" s="1"/>
      <c r="U345" s="2"/>
      <c r="V345" s="1"/>
      <c r="W345" s="1"/>
      <c r="X345" s="1"/>
      <c r="Y345" s="1"/>
      <c r="Z345" s="1"/>
    </row>
    <row r="346" spans="1:26" ht="24.75" customHeight="1">
      <c r="A346" s="1"/>
      <c r="B346" s="1"/>
      <c r="C346" s="1"/>
      <c r="D346" s="1"/>
      <c r="E346" s="1"/>
      <c r="F346" s="1"/>
      <c r="G346" s="1"/>
      <c r="H346" s="1"/>
      <c r="I346" s="1"/>
      <c r="J346" s="1"/>
      <c r="K346" s="1"/>
      <c r="L346" s="1"/>
      <c r="M346" s="1"/>
      <c r="N346" s="1"/>
      <c r="O346" s="1"/>
      <c r="P346" s="1"/>
      <c r="Q346" s="1"/>
      <c r="R346" s="1"/>
      <c r="S346" s="1"/>
      <c r="T346" s="1"/>
      <c r="U346" s="2"/>
      <c r="V346" s="1"/>
      <c r="W346" s="1"/>
      <c r="X346" s="1"/>
      <c r="Y346" s="1"/>
      <c r="Z346" s="1"/>
    </row>
    <row r="347" spans="1:26" ht="24.75" customHeight="1">
      <c r="A347" s="1"/>
      <c r="B347" s="1"/>
      <c r="C347" s="1"/>
      <c r="D347" s="1"/>
      <c r="E347" s="1"/>
      <c r="F347" s="1"/>
      <c r="G347" s="1"/>
      <c r="H347" s="1"/>
      <c r="I347" s="1"/>
      <c r="J347" s="1"/>
      <c r="K347" s="1"/>
      <c r="L347" s="1"/>
      <c r="M347" s="1"/>
      <c r="N347" s="1"/>
      <c r="O347" s="1"/>
      <c r="P347" s="1"/>
      <c r="Q347" s="1"/>
      <c r="R347" s="1"/>
      <c r="S347" s="1"/>
      <c r="T347" s="1"/>
      <c r="U347" s="2"/>
      <c r="V347" s="1"/>
      <c r="W347" s="1"/>
      <c r="X347" s="1"/>
      <c r="Y347" s="1"/>
      <c r="Z347" s="1"/>
    </row>
    <row r="348" spans="1:26" ht="24.75" customHeight="1">
      <c r="A348" s="1"/>
      <c r="B348" s="1"/>
      <c r="C348" s="1"/>
      <c r="D348" s="1"/>
      <c r="E348" s="1"/>
      <c r="F348" s="1"/>
      <c r="G348" s="1"/>
      <c r="H348" s="1"/>
      <c r="I348" s="1"/>
      <c r="J348" s="1"/>
      <c r="K348" s="1"/>
      <c r="L348" s="1"/>
      <c r="M348" s="1"/>
      <c r="N348" s="1"/>
      <c r="O348" s="1"/>
      <c r="P348" s="1"/>
      <c r="Q348" s="1"/>
      <c r="R348" s="1"/>
      <c r="S348" s="1"/>
      <c r="T348" s="1"/>
      <c r="U348" s="2"/>
      <c r="V348" s="1"/>
      <c r="W348" s="1"/>
      <c r="X348" s="1"/>
      <c r="Y348" s="1"/>
      <c r="Z348" s="1"/>
    </row>
    <row r="349" spans="1:26" ht="24.75" customHeight="1">
      <c r="A349" s="1"/>
      <c r="B349" s="1"/>
      <c r="C349" s="1"/>
      <c r="D349" s="1"/>
      <c r="E349" s="1"/>
      <c r="F349" s="1"/>
      <c r="G349" s="1"/>
      <c r="H349" s="1"/>
      <c r="I349" s="1"/>
      <c r="J349" s="1"/>
      <c r="K349" s="1"/>
      <c r="L349" s="1"/>
      <c r="M349" s="1"/>
      <c r="N349" s="1"/>
      <c r="O349" s="1"/>
      <c r="P349" s="1"/>
      <c r="Q349" s="1"/>
      <c r="R349" s="1"/>
      <c r="S349" s="1"/>
      <c r="T349" s="1"/>
      <c r="U349" s="2"/>
      <c r="V349" s="1"/>
      <c r="W349" s="1"/>
      <c r="X349" s="1"/>
      <c r="Y349" s="1"/>
      <c r="Z349" s="1"/>
    </row>
    <row r="350" spans="1:26" ht="24.75" customHeight="1">
      <c r="A350" s="1"/>
      <c r="B350" s="1"/>
      <c r="C350" s="1"/>
      <c r="D350" s="1"/>
      <c r="E350" s="1"/>
      <c r="F350" s="1"/>
      <c r="G350" s="1"/>
      <c r="H350" s="1"/>
      <c r="I350" s="1"/>
      <c r="J350" s="1"/>
      <c r="K350" s="1"/>
      <c r="L350" s="1"/>
      <c r="M350" s="1"/>
      <c r="N350" s="1"/>
      <c r="O350" s="1"/>
      <c r="P350" s="1"/>
      <c r="Q350" s="1"/>
      <c r="R350" s="1"/>
      <c r="S350" s="1"/>
      <c r="T350" s="1"/>
      <c r="U350" s="2"/>
      <c r="V350" s="1"/>
      <c r="W350" s="1"/>
      <c r="X350" s="1"/>
      <c r="Y350" s="1"/>
      <c r="Z350" s="1"/>
    </row>
    <row r="351" spans="1:26" ht="24.75" customHeight="1">
      <c r="A351" s="1"/>
      <c r="B351" s="1"/>
      <c r="C351" s="1"/>
      <c r="D351" s="1"/>
      <c r="E351" s="1"/>
      <c r="F351" s="1"/>
      <c r="G351" s="1"/>
      <c r="H351" s="1"/>
      <c r="I351" s="1"/>
      <c r="J351" s="1"/>
      <c r="K351" s="1"/>
      <c r="L351" s="1"/>
      <c r="M351" s="1"/>
      <c r="N351" s="1"/>
      <c r="O351" s="1"/>
      <c r="P351" s="1"/>
      <c r="Q351" s="1"/>
      <c r="R351" s="1"/>
      <c r="S351" s="1"/>
      <c r="T351" s="1"/>
      <c r="U351" s="2"/>
      <c r="V351" s="1"/>
      <c r="W351" s="1"/>
      <c r="X351" s="1"/>
      <c r="Y351" s="1"/>
      <c r="Z351" s="1"/>
    </row>
    <row r="352" spans="1:26" ht="24.75" customHeight="1">
      <c r="A352" s="1"/>
      <c r="B352" s="1"/>
      <c r="C352" s="1"/>
      <c r="D352" s="1"/>
      <c r="E352" s="1"/>
      <c r="F352" s="1"/>
      <c r="G352" s="1"/>
      <c r="H352" s="1"/>
      <c r="I352" s="1"/>
      <c r="J352" s="1"/>
      <c r="K352" s="1"/>
      <c r="L352" s="1"/>
      <c r="M352" s="1"/>
      <c r="N352" s="1"/>
      <c r="O352" s="1"/>
      <c r="P352" s="1"/>
      <c r="Q352" s="1"/>
      <c r="R352" s="1"/>
      <c r="S352" s="1"/>
      <c r="T352" s="1"/>
      <c r="U352" s="2"/>
      <c r="V352" s="1"/>
      <c r="W352" s="1"/>
      <c r="X352" s="1"/>
      <c r="Y352" s="1"/>
      <c r="Z352" s="1"/>
    </row>
    <row r="353" spans="1:26" ht="24.75" customHeight="1">
      <c r="A353" s="1"/>
      <c r="B353" s="1"/>
      <c r="C353" s="1"/>
      <c r="D353" s="1"/>
      <c r="E353" s="1"/>
      <c r="F353" s="1"/>
      <c r="G353" s="1"/>
      <c r="H353" s="1"/>
      <c r="I353" s="1"/>
      <c r="J353" s="1"/>
      <c r="K353" s="1"/>
      <c r="L353" s="1"/>
      <c r="M353" s="1"/>
      <c r="N353" s="1"/>
      <c r="O353" s="1"/>
      <c r="P353" s="1"/>
      <c r="Q353" s="1"/>
      <c r="R353" s="1"/>
      <c r="S353" s="1"/>
      <c r="T353" s="1"/>
      <c r="U353" s="2"/>
      <c r="V353" s="1"/>
      <c r="W353" s="1"/>
      <c r="X353" s="1"/>
      <c r="Y353" s="1"/>
      <c r="Z353" s="1"/>
    </row>
    <row r="354" spans="1:26" ht="24.75" customHeight="1">
      <c r="A354" s="1"/>
      <c r="B354" s="1"/>
      <c r="C354" s="1"/>
      <c r="D354" s="1"/>
      <c r="E354" s="1"/>
      <c r="F354" s="1"/>
      <c r="G354" s="1"/>
      <c r="H354" s="1"/>
      <c r="I354" s="1"/>
      <c r="J354" s="1"/>
      <c r="K354" s="1"/>
      <c r="L354" s="1"/>
      <c r="M354" s="1"/>
      <c r="N354" s="1"/>
      <c r="O354" s="1"/>
      <c r="P354" s="1"/>
      <c r="Q354" s="1"/>
      <c r="R354" s="1"/>
      <c r="S354" s="1"/>
      <c r="T354" s="1"/>
      <c r="U354" s="2"/>
      <c r="V354" s="1"/>
      <c r="W354" s="1"/>
      <c r="X354" s="1"/>
      <c r="Y354" s="1"/>
      <c r="Z354" s="1"/>
    </row>
    <row r="355" spans="1:26" ht="24.75" customHeight="1">
      <c r="A355" s="1"/>
      <c r="B355" s="1"/>
      <c r="C355" s="1"/>
      <c r="D355" s="1"/>
      <c r="E355" s="1"/>
      <c r="F355" s="1"/>
      <c r="G355" s="1"/>
      <c r="H355" s="1"/>
      <c r="I355" s="1"/>
      <c r="J355" s="1"/>
      <c r="K355" s="1"/>
      <c r="L355" s="1"/>
      <c r="M355" s="1"/>
      <c r="N355" s="1"/>
      <c r="O355" s="1"/>
      <c r="P355" s="1"/>
      <c r="Q355" s="1"/>
      <c r="R355" s="1"/>
      <c r="S355" s="1"/>
      <c r="T355" s="1"/>
      <c r="U355" s="2"/>
      <c r="V355" s="1"/>
      <c r="W355" s="1"/>
      <c r="X355" s="1"/>
      <c r="Y355" s="1"/>
      <c r="Z355" s="1"/>
    </row>
    <row r="356" spans="1:26" ht="24.75" customHeight="1">
      <c r="A356" s="1"/>
      <c r="B356" s="1"/>
      <c r="C356" s="1"/>
      <c r="D356" s="1"/>
      <c r="E356" s="1"/>
      <c r="F356" s="1"/>
      <c r="G356" s="1"/>
      <c r="H356" s="1"/>
      <c r="I356" s="1"/>
      <c r="J356" s="1"/>
      <c r="K356" s="1"/>
      <c r="L356" s="1"/>
      <c r="M356" s="1"/>
      <c r="N356" s="1"/>
      <c r="O356" s="1"/>
      <c r="P356" s="1"/>
      <c r="Q356" s="1"/>
      <c r="R356" s="1"/>
      <c r="S356" s="1"/>
      <c r="T356" s="1"/>
      <c r="U356" s="2"/>
      <c r="V356" s="1"/>
      <c r="W356" s="1"/>
      <c r="X356" s="1"/>
      <c r="Y356" s="1"/>
      <c r="Z356" s="1"/>
    </row>
    <row r="357" spans="1:26" ht="24.75" customHeight="1">
      <c r="A357" s="1"/>
      <c r="B357" s="1"/>
      <c r="C357" s="1"/>
      <c r="D357" s="1"/>
      <c r="E357" s="1"/>
      <c r="F357" s="1"/>
      <c r="G357" s="1"/>
      <c r="H357" s="1"/>
      <c r="I357" s="1"/>
      <c r="J357" s="1"/>
      <c r="K357" s="1"/>
      <c r="L357" s="1"/>
      <c r="M357" s="1"/>
      <c r="N357" s="1"/>
      <c r="O357" s="1"/>
      <c r="P357" s="1"/>
      <c r="Q357" s="1"/>
      <c r="R357" s="1"/>
      <c r="S357" s="1"/>
      <c r="T357" s="1"/>
      <c r="U357" s="2"/>
      <c r="V357" s="1"/>
      <c r="W357" s="1"/>
      <c r="X357" s="1"/>
      <c r="Y357" s="1"/>
      <c r="Z357" s="1"/>
    </row>
    <row r="358" spans="1:26" ht="24.75" customHeight="1">
      <c r="A358" s="1"/>
      <c r="B358" s="1"/>
      <c r="C358" s="1"/>
      <c r="D358" s="1"/>
      <c r="E358" s="1"/>
      <c r="F358" s="1"/>
      <c r="G358" s="1"/>
      <c r="H358" s="1"/>
      <c r="I358" s="1"/>
      <c r="J358" s="1"/>
      <c r="K358" s="1"/>
      <c r="L358" s="1"/>
      <c r="M358" s="1"/>
      <c r="N358" s="1"/>
      <c r="O358" s="1"/>
      <c r="P358" s="1"/>
      <c r="Q358" s="1"/>
      <c r="R358" s="1"/>
      <c r="S358" s="1"/>
      <c r="T358" s="1"/>
      <c r="U358" s="2"/>
      <c r="V358" s="1"/>
      <c r="W358" s="1"/>
      <c r="X358" s="1"/>
      <c r="Y358" s="1"/>
      <c r="Z358" s="1"/>
    </row>
    <row r="359" spans="1:26" ht="24.75" customHeight="1">
      <c r="A359" s="1"/>
      <c r="B359" s="1"/>
      <c r="C359" s="1"/>
      <c r="D359" s="1"/>
      <c r="E359" s="1"/>
      <c r="F359" s="1"/>
      <c r="G359" s="1"/>
      <c r="H359" s="1"/>
      <c r="I359" s="1"/>
      <c r="J359" s="1"/>
      <c r="K359" s="1"/>
      <c r="L359" s="1"/>
      <c r="M359" s="1"/>
      <c r="N359" s="1"/>
      <c r="O359" s="1"/>
      <c r="P359" s="1"/>
      <c r="Q359" s="1"/>
      <c r="R359" s="1"/>
      <c r="S359" s="1"/>
      <c r="T359" s="1"/>
      <c r="U359" s="2"/>
      <c r="V359" s="1"/>
      <c r="W359" s="1"/>
      <c r="X359" s="1"/>
      <c r="Y359" s="1"/>
      <c r="Z359" s="1"/>
    </row>
    <row r="360" spans="1:26" ht="24.75" customHeight="1">
      <c r="A360" s="1"/>
      <c r="B360" s="1"/>
      <c r="C360" s="1"/>
      <c r="D360" s="1"/>
      <c r="E360" s="1"/>
      <c r="F360" s="1"/>
      <c r="G360" s="1"/>
      <c r="H360" s="1"/>
      <c r="I360" s="1"/>
      <c r="J360" s="1"/>
      <c r="K360" s="1"/>
      <c r="L360" s="1"/>
      <c r="M360" s="1"/>
      <c r="N360" s="1"/>
      <c r="O360" s="1"/>
      <c r="P360" s="1"/>
      <c r="Q360" s="1"/>
      <c r="R360" s="1"/>
      <c r="S360" s="1"/>
      <c r="T360" s="1"/>
      <c r="U360" s="2"/>
      <c r="V360" s="1"/>
      <c r="W360" s="1"/>
      <c r="X360" s="1"/>
      <c r="Y360" s="1"/>
      <c r="Z360" s="1"/>
    </row>
    <row r="361" spans="1:26" ht="24.75" customHeight="1">
      <c r="A361" s="1"/>
      <c r="B361" s="1"/>
      <c r="C361" s="1"/>
      <c r="D361" s="1"/>
      <c r="E361" s="1"/>
      <c r="F361" s="1"/>
      <c r="G361" s="1"/>
      <c r="H361" s="1"/>
      <c r="I361" s="1"/>
      <c r="J361" s="1"/>
      <c r="K361" s="1"/>
      <c r="L361" s="1"/>
      <c r="M361" s="1"/>
      <c r="N361" s="1"/>
      <c r="O361" s="1"/>
      <c r="P361" s="1"/>
      <c r="Q361" s="1"/>
      <c r="R361" s="1"/>
      <c r="S361" s="1"/>
      <c r="T361" s="1"/>
      <c r="U361" s="2"/>
      <c r="V361" s="1"/>
      <c r="W361" s="1"/>
      <c r="X361" s="1"/>
      <c r="Y361" s="1"/>
      <c r="Z361" s="1"/>
    </row>
    <row r="362" spans="1:26" ht="24.75" customHeight="1">
      <c r="A362" s="1"/>
      <c r="B362" s="1"/>
      <c r="C362" s="1"/>
      <c r="D362" s="1"/>
      <c r="E362" s="1"/>
      <c r="F362" s="1"/>
      <c r="G362" s="1"/>
      <c r="H362" s="1"/>
      <c r="I362" s="1"/>
      <c r="J362" s="1"/>
      <c r="K362" s="1"/>
      <c r="L362" s="1"/>
      <c r="M362" s="1"/>
      <c r="N362" s="1"/>
      <c r="O362" s="1"/>
      <c r="P362" s="1"/>
      <c r="Q362" s="1"/>
      <c r="R362" s="1"/>
      <c r="S362" s="1"/>
      <c r="T362" s="1"/>
      <c r="U362" s="2"/>
      <c r="V362" s="1"/>
      <c r="W362" s="1"/>
      <c r="X362" s="1"/>
      <c r="Y362" s="1"/>
      <c r="Z362" s="1"/>
    </row>
    <row r="363" spans="1:26" ht="24.75" customHeight="1">
      <c r="A363" s="1"/>
      <c r="B363" s="1"/>
      <c r="C363" s="1"/>
      <c r="D363" s="1"/>
      <c r="E363" s="1"/>
      <c r="F363" s="1"/>
      <c r="G363" s="1"/>
      <c r="H363" s="1"/>
      <c r="I363" s="1"/>
      <c r="J363" s="1"/>
      <c r="K363" s="1"/>
      <c r="L363" s="1"/>
      <c r="M363" s="1"/>
      <c r="N363" s="1"/>
      <c r="O363" s="1"/>
      <c r="P363" s="1"/>
      <c r="Q363" s="1"/>
      <c r="R363" s="1"/>
      <c r="S363" s="1"/>
      <c r="T363" s="1"/>
      <c r="U363" s="2"/>
      <c r="V363" s="1"/>
      <c r="W363" s="1"/>
      <c r="X363" s="1"/>
      <c r="Y363" s="1"/>
      <c r="Z363" s="1"/>
    </row>
    <row r="364" spans="1:26" ht="24.75" customHeight="1">
      <c r="A364" s="1"/>
      <c r="B364" s="1"/>
      <c r="C364" s="1"/>
      <c r="D364" s="1"/>
      <c r="E364" s="1"/>
      <c r="F364" s="1"/>
      <c r="G364" s="1"/>
      <c r="H364" s="1"/>
      <c r="I364" s="1"/>
      <c r="J364" s="1"/>
      <c r="K364" s="1"/>
      <c r="L364" s="1"/>
      <c r="M364" s="1"/>
      <c r="N364" s="1"/>
      <c r="O364" s="1"/>
      <c r="P364" s="1"/>
      <c r="Q364" s="1"/>
      <c r="R364" s="1"/>
      <c r="S364" s="1"/>
      <c r="T364" s="1"/>
      <c r="U364" s="2"/>
      <c r="V364" s="1"/>
      <c r="W364" s="1"/>
      <c r="X364" s="1"/>
      <c r="Y364" s="1"/>
      <c r="Z364" s="1"/>
    </row>
    <row r="365" spans="1:26" ht="24.75" customHeight="1">
      <c r="A365" s="1"/>
      <c r="B365" s="1"/>
      <c r="C365" s="1"/>
      <c r="D365" s="1"/>
      <c r="E365" s="1"/>
      <c r="F365" s="1"/>
      <c r="G365" s="1"/>
      <c r="H365" s="1"/>
      <c r="I365" s="1"/>
      <c r="J365" s="1"/>
      <c r="K365" s="1"/>
      <c r="L365" s="1"/>
      <c r="M365" s="1"/>
      <c r="N365" s="1"/>
      <c r="O365" s="1"/>
      <c r="P365" s="1"/>
      <c r="Q365" s="1"/>
      <c r="R365" s="1"/>
      <c r="S365" s="1"/>
      <c r="T365" s="1"/>
      <c r="U365" s="2"/>
      <c r="V365" s="1"/>
      <c r="W365" s="1"/>
      <c r="X365" s="1"/>
      <c r="Y365" s="1"/>
      <c r="Z365" s="1"/>
    </row>
    <row r="366" spans="1:26" ht="24.75" customHeight="1">
      <c r="A366" s="1"/>
      <c r="B366" s="1"/>
      <c r="C366" s="1"/>
      <c r="D366" s="1"/>
      <c r="E366" s="1"/>
      <c r="F366" s="1"/>
      <c r="G366" s="1"/>
      <c r="H366" s="1"/>
      <c r="I366" s="1"/>
      <c r="J366" s="1"/>
      <c r="K366" s="1"/>
      <c r="L366" s="1"/>
      <c r="M366" s="1"/>
      <c r="N366" s="1"/>
      <c r="O366" s="1"/>
      <c r="P366" s="1"/>
      <c r="Q366" s="1"/>
      <c r="R366" s="1"/>
      <c r="S366" s="1"/>
      <c r="T366" s="1"/>
      <c r="U366" s="2"/>
      <c r="V366" s="1"/>
      <c r="W366" s="1"/>
      <c r="X366" s="1"/>
      <c r="Y366" s="1"/>
      <c r="Z366" s="1"/>
    </row>
    <row r="367" spans="1:26" ht="24.75" customHeight="1">
      <c r="A367" s="1"/>
      <c r="B367" s="1"/>
      <c r="C367" s="1"/>
      <c r="D367" s="1"/>
      <c r="E367" s="1"/>
      <c r="F367" s="1"/>
      <c r="G367" s="1"/>
      <c r="H367" s="1"/>
      <c r="I367" s="1"/>
      <c r="J367" s="1"/>
      <c r="K367" s="1"/>
      <c r="L367" s="1"/>
      <c r="M367" s="1"/>
      <c r="N367" s="1"/>
      <c r="O367" s="1"/>
      <c r="P367" s="1"/>
      <c r="Q367" s="1"/>
      <c r="R367" s="1"/>
      <c r="S367" s="1"/>
      <c r="T367" s="1"/>
      <c r="U367" s="2"/>
      <c r="V367" s="1"/>
      <c r="W367" s="1"/>
      <c r="X367" s="1"/>
      <c r="Y367" s="1"/>
      <c r="Z367" s="1"/>
    </row>
    <row r="368" spans="1:26" ht="24.75" customHeight="1">
      <c r="A368" s="1"/>
      <c r="B368" s="1"/>
      <c r="C368" s="1"/>
      <c r="D368" s="1"/>
      <c r="E368" s="1"/>
      <c r="F368" s="1"/>
      <c r="G368" s="1"/>
      <c r="H368" s="1"/>
      <c r="I368" s="1"/>
      <c r="J368" s="1"/>
      <c r="K368" s="1"/>
      <c r="L368" s="1"/>
      <c r="M368" s="1"/>
      <c r="N368" s="1"/>
      <c r="O368" s="1"/>
      <c r="P368" s="1"/>
      <c r="Q368" s="1"/>
      <c r="R368" s="1"/>
      <c r="S368" s="1"/>
      <c r="T368" s="1"/>
      <c r="U368" s="2"/>
      <c r="V368" s="1"/>
      <c r="W368" s="1"/>
      <c r="X368" s="1"/>
      <c r="Y368" s="1"/>
      <c r="Z368" s="1"/>
    </row>
    <row r="369" spans="1:26" ht="24.75" customHeight="1">
      <c r="A369" s="1"/>
      <c r="B369" s="1"/>
      <c r="C369" s="1"/>
      <c r="D369" s="1"/>
      <c r="E369" s="1"/>
      <c r="F369" s="1"/>
      <c r="G369" s="1"/>
      <c r="H369" s="1"/>
      <c r="I369" s="1"/>
      <c r="J369" s="1"/>
      <c r="K369" s="1"/>
      <c r="L369" s="1"/>
      <c r="M369" s="1"/>
      <c r="N369" s="1"/>
      <c r="O369" s="1"/>
      <c r="P369" s="1"/>
      <c r="Q369" s="1"/>
      <c r="R369" s="1"/>
      <c r="S369" s="1"/>
      <c r="T369" s="1"/>
      <c r="U369" s="2"/>
      <c r="V369" s="1"/>
      <c r="W369" s="1"/>
      <c r="X369" s="1"/>
      <c r="Y369" s="1"/>
      <c r="Z369" s="1"/>
    </row>
    <row r="370" spans="1:26" ht="24.75" customHeight="1">
      <c r="A370" s="1"/>
      <c r="B370" s="1"/>
      <c r="C370" s="1"/>
      <c r="D370" s="1"/>
      <c r="E370" s="1"/>
      <c r="F370" s="1"/>
      <c r="G370" s="1"/>
      <c r="H370" s="1"/>
      <c r="I370" s="1"/>
      <c r="J370" s="1"/>
      <c r="K370" s="1"/>
      <c r="L370" s="1"/>
      <c r="M370" s="1"/>
      <c r="N370" s="1"/>
      <c r="O370" s="1"/>
      <c r="P370" s="1"/>
      <c r="Q370" s="1"/>
      <c r="R370" s="1"/>
      <c r="S370" s="1"/>
      <c r="T370" s="1"/>
      <c r="U370" s="2"/>
      <c r="V370" s="1"/>
      <c r="W370" s="1"/>
      <c r="X370" s="1"/>
      <c r="Y370" s="1"/>
      <c r="Z370" s="1"/>
    </row>
    <row r="371" spans="1:26" ht="24.75" customHeight="1">
      <c r="A371" s="1"/>
      <c r="B371" s="1"/>
      <c r="C371" s="1"/>
      <c r="D371" s="1"/>
      <c r="E371" s="1"/>
      <c r="F371" s="1"/>
      <c r="G371" s="1"/>
      <c r="H371" s="1"/>
      <c r="I371" s="1"/>
      <c r="J371" s="1"/>
      <c r="K371" s="1"/>
      <c r="L371" s="1"/>
      <c r="M371" s="1"/>
      <c r="N371" s="1"/>
      <c r="O371" s="1"/>
      <c r="P371" s="1"/>
      <c r="Q371" s="1"/>
      <c r="R371" s="1"/>
      <c r="S371" s="1"/>
      <c r="T371" s="1"/>
      <c r="U371" s="2"/>
      <c r="V371" s="1"/>
      <c r="W371" s="1"/>
      <c r="X371" s="1"/>
      <c r="Y371" s="1"/>
      <c r="Z371" s="1"/>
    </row>
    <row r="372" spans="1:26" ht="24.75" customHeight="1">
      <c r="A372" s="1"/>
      <c r="B372" s="1"/>
      <c r="C372" s="1"/>
      <c r="D372" s="1"/>
      <c r="E372" s="1"/>
      <c r="F372" s="1"/>
      <c r="G372" s="1"/>
      <c r="H372" s="1"/>
      <c r="I372" s="1"/>
      <c r="J372" s="1"/>
      <c r="K372" s="1"/>
      <c r="L372" s="1"/>
      <c r="M372" s="1"/>
      <c r="N372" s="1"/>
      <c r="O372" s="1"/>
      <c r="P372" s="1"/>
      <c r="Q372" s="1"/>
      <c r="R372" s="1"/>
      <c r="S372" s="1"/>
      <c r="T372" s="1"/>
      <c r="U372" s="2"/>
      <c r="V372" s="1"/>
      <c r="W372" s="1"/>
      <c r="X372" s="1"/>
      <c r="Y372" s="1"/>
      <c r="Z372" s="1"/>
    </row>
    <row r="373" spans="1:26" ht="24.75" customHeight="1">
      <c r="A373" s="1"/>
      <c r="B373" s="1"/>
      <c r="C373" s="1"/>
      <c r="D373" s="1"/>
      <c r="E373" s="1"/>
      <c r="F373" s="1"/>
      <c r="G373" s="1"/>
      <c r="H373" s="1"/>
      <c r="I373" s="1"/>
      <c r="J373" s="1"/>
      <c r="K373" s="1"/>
      <c r="L373" s="1"/>
      <c r="M373" s="1"/>
      <c r="N373" s="1"/>
      <c r="O373" s="1"/>
      <c r="P373" s="1"/>
      <c r="Q373" s="1"/>
      <c r="R373" s="1"/>
      <c r="S373" s="1"/>
      <c r="T373" s="1"/>
      <c r="U373" s="2"/>
      <c r="V373" s="1"/>
      <c r="W373" s="1"/>
      <c r="X373" s="1"/>
      <c r="Y373" s="1"/>
      <c r="Z373" s="1"/>
    </row>
    <row r="374" spans="1:26" ht="24.75" customHeight="1">
      <c r="A374" s="1"/>
      <c r="B374" s="1"/>
      <c r="C374" s="1"/>
      <c r="D374" s="1"/>
      <c r="E374" s="1"/>
      <c r="F374" s="1"/>
      <c r="G374" s="1"/>
      <c r="H374" s="1"/>
      <c r="I374" s="1"/>
      <c r="J374" s="1"/>
      <c r="K374" s="1"/>
      <c r="L374" s="1"/>
      <c r="M374" s="1"/>
      <c r="N374" s="1"/>
      <c r="O374" s="1"/>
      <c r="P374" s="1"/>
      <c r="Q374" s="1"/>
      <c r="R374" s="1"/>
      <c r="S374" s="1"/>
      <c r="T374" s="1"/>
      <c r="U374" s="2"/>
      <c r="V374" s="1"/>
      <c r="W374" s="1"/>
      <c r="X374" s="1"/>
      <c r="Y374" s="1"/>
      <c r="Z374" s="1"/>
    </row>
    <row r="375" spans="1:26" ht="24.75" customHeight="1">
      <c r="A375" s="1"/>
      <c r="B375" s="1"/>
      <c r="C375" s="1"/>
      <c r="D375" s="1"/>
      <c r="E375" s="1"/>
      <c r="F375" s="1"/>
      <c r="G375" s="1"/>
      <c r="H375" s="1"/>
      <c r="I375" s="1"/>
      <c r="J375" s="1"/>
      <c r="K375" s="1"/>
      <c r="L375" s="1"/>
      <c r="M375" s="1"/>
      <c r="N375" s="1"/>
      <c r="O375" s="1"/>
      <c r="P375" s="1"/>
      <c r="Q375" s="1"/>
      <c r="R375" s="1"/>
      <c r="S375" s="1"/>
      <c r="T375" s="1"/>
      <c r="U375" s="2"/>
      <c r="V375" s="1"/>
      <c r="W375" s="1"/>
      <c r="X375" s="1"/>
      <c r="Y375" s="1"/>
      <c r="Z375" s="1"/>
    </row>
    <row r="376" spans="1:26" ht="24.75" customHeight="1">
      <c r="A376" s="1"/>
      <c r="B376" s="1"/>
      <c r="C376" s="1"/>
      <c r="D376" s="1"/>
      <c r="E376" s="1"/>
      <c r="F376" s="1"/>
      <c r="G376" s="1"/>
      <c r="H376" s="1"/>
      <c r="I376" s="1"/>
      <c r="J376" s="1"/>
      <c r="K376" s="1"/>
      <c r="L376" s="1"/>
      <c r="M376" s="1"/>
      <c r="N376" s="1"/>
      <c r="O376" s="1"/>
      <c r="P376" s="1"/>
      <c r="Q376" s="1"/>
      <c r="R376" s="1"/>
      <c r="S376" s="1"/>
      <c r="T376" s="1"/>
      <c r="U376" s="2"/>
      <c r="V376" s="1"/>
      <c r="W376" s="1"/>
      <c r="X376" s="1"/>
      <c r="Y376" s="1"/>
      <c r="Z376" s="1"/>
    </row>
    <row r="377" spans="1:26" ht="24.75" customHeight="1">
      <c r="A377" s="1"/>
      <c r="B377" s="1"/>
      <c r="C377" s="1"/>
      <c r="D377" s="1"/>
      <c r="E377" s="1"/>
      <c r="F377" s="1"/>
      <c r="G377" s="1"/>
      <c r="H377" s="1"/>
      <c r="I377" s="1"/>
      <c r="J377" s="1"/>
      <c r="K377" s="1"/>
      <c r="L377" s="1"/>
      <c r="M377" s="1"/>
      <c r="N377" s="1"/>
      <c r="O377" s="1"/>
      <c r="P377" s="1"/>
      <c r="Q377" s="1"/>
      <c r="R377" s="1"/>
      <c r="S377" s="1"/>
      <c r="T377" s="1"/>
      <c r="U377" s="2"/>
      <c r="V377" s="1"/>
      <c r="W377" s="1"/>
      <c r="X377" s="1"/>
      <c r="Y377" s="1"/>
      <c r="Z377" s="1"/>
    </row>
    <row r="378" spans="1:26" ht="24.75" customHeight="1">
      <c r="A378" s="1"/>
      <c r="B378" s="1"/>
      <c r="C378" s="1"/>
      <c r="D378" s="1"/>
      <c r="E378" s="1"/>
      <c r="F378" s="1"/>
      <c r="G378" s="1"/>
      <c r="H378" s="1"/>
      <c r="I378" s="1"/>
      <c r="J378" s="1"/>
      <c r="K378" s="1"/>
      <c r="L378" s="1"/>
      <c r="M378" s="1"/>
      <c r="N378" s="1"/>
      <c r="O378" s="1"/>
      <c r="P378" s="1"/>
      <c r="Q378" s="1"/>
      <c r="R378" s="1"/>
      <c r="S378" s="1"/>
      <c r="T378" s="1"/>
      <c r="U378" s="2"/>
      <c r="V378" s="1"/>
      <c r="W378" s="1"/>
      <c r="X378" s="1"/>
      <c r="Y378" s="1"/>
      <c r="Z378" s="1"/>
    </row>
    <row r="379" spans="1:26" ht="24.75" customHeight="1">
      <c r="A379" s="1"/>
      <c r="B379" s="1"/>
      <c r="C379" s="1"/>
      <c r="D379" s="1"/>
      <c r="E379" s="1"/>
      <c r="F379" s="1"/>
      <c r="G379" s="1"/>
      <c r="H379" s="1"/>
      <c r="I379" s="1"/>
      <c r="J379" s="1"/>
      <c r="K379" s="1"/>
      <c r="L379" s="1"/>
      <c r="M379" s="1"/>
      <c r="N379" s="1"/>
      <c r="O379" s="1"/>
      <c r="P379" s="1"/>
      <c r="Q379" s="1"/>
      <c r="R379" s="1"/>
      <c r="S379" s="1"/>
      <c r="T379" s="1"/>
      <c r="U379" s="2"/>
      <c r="V379" s="1"/>
      <c r="W379" s="1"/>
      <c r="X379" s="1"/>
      <c r="Y379" s="1"/>
      <c r="Z379" s="1"/>
    </row>
    <row r="380" spans="1:26" ht="24.75" customHeight="1">
      <c r="A380" s="1"/>
      <c r="B380" s="1"/>
      <c r="C380" s="1"/>
      <c r="D380" s="1"/>
      <c r="E380" s="1"/>
      <c r="F380" s="1"/>
      <c r="G380" s="1"/>
      <c r="H380" s="1"/>
      <c r="I380" s="1"/>
      <c r="J380" s="1"/>
      <c r="K380" s="1"/>
      <c r="L380" s="1"/>
      <c r="M380" s="1"/>
      <c r="N380" s="1"/>
      <c r="O380" s="1"/>
      <c r="P380" s="1"/>
      <c r="Q380" s="1"/>
      <c r="R380" s="1"/>
      <c r="S380" s="1"/>
      <c r="T380" s="1"/>
      <c r="U380" s="2"/>
      <c r="V380" s="1"/>
      <c r="W380" s="1"/>
      <c r="X380" s="1"/>
      <c r="Y380" s="1"/>
      <c r="Z380" s="1"/>
    </row>
    <row r="381" spans="1:26" ht="24.75" customHeight="1">
      <c r="A381" s="1"/>
      <c r="B381" s="1"/>
      <c r="C381" s="1"/>
      <c r="D381" s="1"/>
      <c r="E381" s="1"/>
      <c r="F381" s="1"/>
      <c r="G381" s="1"/>
      <c r="H381" s="1"/>
      <c r="I381" s="1"/>
      <c r="J381" s="1"/>
      <c r="K381" s="1"/>
      <c r="L381" s="1"/>
      <c r="M381" s="1"/>
      <c r="N381" s="1"/>
      <c r="O381" s="1"/>
      <c r="P381" s="1"/>
      <c r="Q381" s="1"/>
      <c r="R381" s="1"/>
      <c r="S381" s="1"/>
      <c r="T381" s="1"/>
      <c r="U381" s="2"/>
      <c r="V381" s="1"/>
      <c r="W381" s="1"/>
      <c r="X381" s="1"/>
      <c r="Y381" s="1"/>
      <c r="Z381" s="1"/>
    </row>
    <row r="382" spans="1:26" ht="24.75" customHeight="1">
      <c r="A382" s="1"/>
      <c r="B382" s="1"/>
      <c r="C382" s="1"/>
      <c r="D382" s="1"/>
      <c r="E382" s="1"/>
      <c r="F382" s="1"/>
      <c r="G382" s="1"/>
      <c r="H382" s="1"/>
      <c r="I382" s="1"/>
      <c r="J382" s="1"/>
      <c r="K382" s="1"/>
      <c r="L382" s="1"/>
      <c r="M382" s="1"/>
      <c r="N382" s="1"/>
      <c r="O382" s="1"/>
      <c r="P382" s="1"/>
      <c r="Q382" s="1"/>
      <c r="R382" s="1"/>
      <c r="S382" s="1"/>
      <c r="T382" s="1"/>
      <c r="U382" s="2"/>
      <c r="V382" s="1"/>
      <c r="W382" s="1"/>
      <c r="X382" s="1"/>
      <c r="Y382" s="1"/>
      <c r="Z382" s="1"/>
    </row>
    <row r="383" spans="1:26" ht="24.75" customHeight="1">
      <c r="A383" s="1"/>
      <c r="B383" s="1"/>
      <c r="C383" s="1"/>
      <c r="D383" s="1"/>
      <c r="E383" s="1"/>
      <c r="F383" s="1"/>
      <c r="G383" s="1"/>
      <c r="H383" s="1"/>
      <c r="I383" s="1"/>
      <c r="J383" s="1"/>
      <c r="K383" s="1"/>
      <c r="L383" s="1"/>
      <c r="M383" s="1"/>
      <c r="N383" s="1"/>
      <c r="O383" s="1"/>
      <c r="P383" s="1"/>
      <c r="Q383" s="1"/>
      <c r="R383" s="1"/>
      <c r="S383" s="1"/>
      <c r="T383" s="1"/>
      <c r="U383" s="2"/>
      <c r="V383" s="1"/>
      <c r="W383" s="1"/>
      <c r="X383" s="1"/>
      <c r="Y383" s="1"/>
      <c r="Z383" s="1"/>
    </row>
    <row r="384" spans="1:26" ht="24.75" customHeight="1">
      <c r="A384" s="1"/>
      <c r="B384" s="1"/>
      <c r="C384" s="1"/>
      <c r="D384" s="1"/>
      <c r="E384" s="1"/>
      <c r="F384" s="1"/>
      <c r="G384" s="1"/>
      <c r="H384" s="1"/>
      <c r="I384" s="1"/>
      <c r="J384" s="1"/>
      <c r="K384" s="1"/>
      <c r="L384" s="1"/>
      <c r="M384" s="1"/>
      <c r="N384" s="1"/>
      <c r="O384" s="1"/>
      <c r="P384" s="1"/>
      <c r="Q384" s="1"/>
      <c r="R384" s="1"/>
      <c r="S384" s="1"/>
      <c r="T384" s="1"/>
      <c r="U384" s="2"/>
      <c r="V384" s="1"/>
      <c r="W384" s="1"/>
      <c r="X384" s="1"/>
      <c r="Y384" s="1"/>
      <c r="Z384" s="1"/>
    </row>
    <row r="385" spans="1:26" ht="24.75" customHeight="1">
      <c r="A385" s="1"/>
      <c r="B385" s="1"/>
      <c r="C385" s="1"/>
      <c r="D385" s="1"/>
      <c r="E385" s="1"/>
      <c r="F385" s="1"/>
      <c r="G385" s="1"/>
      <c r="H385" s="1"/>
      <c r="I385" s="1"/>
      <c r="J385" s="1"/>
      <c r="K385" s="1"/>
      <c r="L385" s="1"/>
      <c r="M385" s="1"/>
      <c r="N385" s="1"/>
      <c r="O385" s="1"/>
      <c r="P385" s="1"/>
      <c r="Q385" s="1"/>
      <c r="R385" s="1"/>
      <c r="S385" s="1"/>
      <c r="T385" s="1"/>
      <c r="U385" s="2"/>
      <c r="V385" s="1"/>
      <c r="W385" s="1"/>
      <c r="X385" s="1"/>
      <c r="Y385" s="1"/>
      <c r="Z385" s="1"/>
    </row>
    <row r="386" spans="1:26" ht="24.75" customHeight="1">
      <c r="A386" s="1"/>
      <c r="B386" s="1"/>
      <c r="C386" s="1"/>
      <c r="D386" s="1"/>
      <c r="E386" s="1"/>
      <c r="F386" s="1"/>
      <c r="G386" s="1"/>
      <c r="H386" s="1"/>
      <c r="I386" s="1"/>
      <c r="J386" s="1"/>
      <c r="K386" s="1"/>
      <c r="L386" s="1"/>
      <c r="M386" s="1"/>
      <c r="N386" s="1"/>
      <c r="O386" s="1"/>
      <c r="P386" s="1"/>
      <c r="Q386" s="1"/>
      <c r="R386" s="1"/>
      <c r="S386" s="1"/>
      <c r="T386" s="1"/>
      <c r="U386" s="2"/>
      <c r="V386" s="1"/>
      <c r="W386" s="1"/>
      <c r="X386" s="1"/>
      <c r="Y386" s="1"/>
      <c r="Z386" s="1"/>
    </row>
    <row r="387" spans="1:26" ht="24.75" customHeight="1">
      <c r="A387" s="1"/>
      <c r="B387" s="1"/>
      <c r="C387" s="1"/>
      <c r="D387" s="1"/>
      <c r="E387" s="1"/>
      <c r="F387" s="1"/>
      <c r="G387" s="1"/>
      <c r="H387" s="1"/>
      <c r="I387" s="1"/>
      <c r="J387" s="1"/>
      <c r="K387" s="1"/>
      <c r="L387" s="1"/>
      <c r="M387" s="1"/>
      <c r="N387" s="1"/>
      <c r="O387" s="1"/>
      <c r="P387" s="1"/>
      <c r="Q387" s="1"/>
      <c r="R387" s="1"/>
      <c r="S387" s="1"/>
      <c r="T387" s="1"/>
      <c r="U387" s="2"/>
      <c r="V387" s="1"/>
      <c r="W387" s="1"/>
      <c r="X387" s="1"/>
      <c r="Y387" s="1"/>
      <c r="Z387" s="1"/>
    </row>
    <row r="388" spans="1:26" ht="24.75" customHeight="1">
      <c r="A388" s="1"/>
      <c r="B388" s="1"/>
      <c r="C388" s="1"/>
      <c r="D388" s="1"/>
      <c r="E388" s="1"/>
      <c r="F388" s="1"/>
      <c r="G388" s="1"/>
      <c r="H388" s="1"/>
      <c r="I388" s="1"/>
      <c r="J388" s="1"/>
      <c r="K388" s="1"/>
      <c r="L388" s="1"/>
      <c r="M388" s="1"/>
      <c r="N388" s="1"/>
      <c r="O388" s="1"/>
      <c r="P388" s="1"/>
      <c r="Q388" s="1"/>
      <c r="R388" s="1"/>
      <c r="S388" s="1"/>
      <c r="T388" s="1"/>
      <c r="U388" s="2"/>
      <c r="V388" s="1"/>
      <c r="W388" s="1"/>
      <c r="X388" s="1"/>
      <c r="Y388" s="1"/>
      <c r="Z388" s="1"/>
    </row>
    <row r="389" spans="1:26" ht="24.75" customHeight="1">
      <c r="A389" s="1"/>
      <c r="B389" s="1"/>
      <c r="C389" s="1"/>
      <c r="D389" s="1"/>
      <c r="E389" s="1"/>
      <c r="F389" s="1"/>
      <c r="G389" s="1"/>
      <c r="H389" s="1"/>
      <c r="I389" s="1"/>
      <c r="J389" s="1"/>
      <c r="K389" s="1"/>
      <c r="L389" s="1"/>
      <c r="M389" s="1"/>
      <c r="N389" s="1"/>
      <c r="O389" s="1"/>
      <c r="P389" s="1"/>
      <c r="Q389" s="1"/>
      <c r="R389" s="1"/>
      <c r="S389" s="1"/>
      <c r="T389" s="1"/>
      <c r="U389" s="2"/>
      <c r="V389" s="1"/>
      <c r="W389" s="1"/>
      <c r="X389" s="1"/>
      <c r="Y389" s="1"/>
      <c r="Z389" s="1"/>
    </row>
    <row r="390" spans="1:26" ht="24.75" customHeight="1">
      <c r="A390" s="1"/>
      <c r="B390" s="1"/>
      <c r="C390" s="1"/>
      <c r="D390" s="1"/>
      <c r="E390" s="1"/>
      <c r="F390" s="1"/>
      <c r="G390" s="1"/>
      <c r="H390" s="1"/>
      <c r="I390" s="1"/>
      <c r="J390" s="1"/>
      <c r="K390" s="1"/>
      <c r="L390" s="1"/>
      <c r="M390" s="1"/>
      <c r="N390" s="1"/>
      <c r="O390" s="1"/>
      <c r="P390" s="1"/>
      <c r="Q390" s="1"/>
      <c r="R390" s="1"/>
      <c r="S390" s="1"/>
      <c r="T390" s="1"/>
      <c r="U390" s="2"/>
      <c r="V390" s="1"/>
      <c r="W390" s="1"/>
      <c r="X390" s="1"/>
      <c r="Y390" s="1"/>
      <c r="Z390" s="1"/>
    </row>
    <row r="391" spans="1:26" ht="24.75" customHeight="1">
      <c r="A391" s="1"/>
      <c r="B391" s="1"/>
      <c r="C391" s="1"/>
      <c r="D391" s="1"/>
      <c r="E391" s="1"/>
      <c r="F391" s="1"/>
      <c r="G391" s="1"/>
      <c r="H391" s="1"/>
      <c r="I391" s="1"/>
      <c r="J391" s="1"/>
      <c r="K391" s="1"/>
      <c r="L391" s="1"/>
      <c r="M391" s="1"/>
      <c r="N391" s="1"/>
      <c r="O391" s="1"/>
      <c r="P391" s="1"/>
      <c r="Q391" s="1"/>
      <c r="R391" s="1"/>
      <c r="S391" s="1"/>
      <c r="T391" s="1"/>
      <c r="U391" s="2"/>
      <c r="V391" s="1"/>
      <c r="W391" s="1"/>
      <c r="X391" s="1"/>
      <c r="Y391" s="1"/>
      <c r="Z391" s="1"/>
    </row>
    <row r="392" spans="1:26" ht="24.75" customHeight="1">
      <c r="A392" s="1"/>
      <c r="B392" s="1"/>
      <c r="C392" s="1"/>
      <c r="D392" s="1"/>
      <c r="E392" s="1"/>
      <c r="F392" s="1"/>
      <c r="G392" s="1"/>
      <c r="H392" s="1"/>
      <c r="I392" s="1"/>
      <c r="J392" s="1"/>
      <c r="K392" s="1"/>
      <c r="L392" s="1"/>
      <c r="M392" s="1"/>
      <c r="N392" s="1"/>
      <c r="O392" s="1"/>
      <c r="P392" s="1"/>
      <c r="Q392" s="1"/>
      <c r="R392" s="1"/>
      <c r="S392" s="1"/>
      <c r="T392" s="1"/>
      <c r="U392" s="2"/>
      <c r="V392" s="1"/>
      <c r="W392" s="1"/>
      <c r="X392" s="1"/>
      <c r="Y392" s="1"/>
      <c r="Z392" s="1"/>
    </row>
    <row r="393" spans="1:26" ht="24.75" customHeight="1">
      <c r="A393" s="1"/>
      <c r="B393" s="1"/>
      <c r="C393" s="1"/>
      <c r="D393" s="1"/>
      <c r="E393" s="1"/>
      <c r="F393" s="1"/>
      <c r="G393" s="1"/>
      <c r="H393" s="1"/>
      <c r="I393" s="1"/>
      <c r="J393" s="1"/>
      <c r="K393" s="1"/>
      <c r="L393" s="1"/>
      <c r="M393" s="1"/>
      <c r="N393" s="1"/>
      <c r="O393" s="1"/>
      <c r="P393" s="1"/>
      <c r="Q393" s="1"/>
      <c r="R393" s="1"/>
      <c r="S393" s="1"/>
      <c r="T393" s="1"/>
      <c r="U393" s="2"/>
      <c r="V393" s="1"/>
      <c r="W393" s="1"/>
      <c r="X393" s="1"/>
      <c r="Y393" s="1"/>
      <c r="Z393" s="1"/>
    </row>
    <row r="394" spans="1:26" ht="24.75" customHeight="1">
      <c r="A394" s="1"/>
      <c r="B394" s="1"/>
      <c r="C394" s="1"/>
      <c r="D394" s="1"/>
      <c r="E394" s="1"/>
      <c r="F394" s="1"/>
      <c r="G394" s="1"/>
      <c r="H394" s="1"/>
      <c r="I394" s="1"/>
      <c r="J394" s="1"/>
      <c r="K394" s="1"/>
      <c r="L394" s="1"/>
      <c r="M394" s="1"/>
      <c r="N394" s="1"/>
      <c r="O394" s="1"/>
      <c r="P394" s="1"/>
      <c r="Q394" s="1"/>
      <c r="R394" s="1"/>
      <c r="S394" s="1"/>
      <c r="T394" s="1"/>
      <c r="U394" s="2"/>
      <c r="V394" s="1"/>
      <c r="W394" s="1"/>
      <c r="X394" s="1"/>
      <c r="Y394" s="1"/>
      <c r="Z394" s="1"/>
    </row>
    <row r="395" spans="1:26" ht="24.75" customHeight="1">
      <c r="A395" s="1"/>
      <c r="B395" s="1"/>
      <c r="C395" s="1"/>
      <c r="D395" s="1"/>
      <c r="E395" s="1"/>
      <c r="F395" s="1"/>
      <c r="G395" s="1"/>
      <c r="H395" s="1"/>
      <c r="I395" s="1"/>
      <c r="J395" s="1"/>
      <c r="K395" s="1"/>
      <c r="L395" s="1"/>
      <c r="M395" s="1"/>
      <c r="N395" s="1"/>
      <c r="O395" s="1"/>
      <c r="P395" s="1"/>
      <c r="Q395" s="1"/>
      <c r="R395" s="1"/>
      <c r="S395" s="1"/>
      <c r="T395" s="1"/>
      <c r="U395" s="2"/>
      <c r="V395" s="1"/>
      <c r="W395" s="1"/>
      <c r="X395" s="1"/>
      <c r="Y395" s="1"/>
      <c r="Z395" s="1"/>
    </row>
    <row r="396" spans="1:26" ht="24.75" customHeight="1">
      <c r="A396" s="1"/>
      <c r="B396" s="1"/>
      <c r="C396" s="1"/>
      <c r="D396" s="1"/>
      <c r="E396" s="1"/>
      <c r="F396" s="1"/>
      <c r="G396" s="1"/>
      <c r="H396" s="1"/>
      <c r="I396" s="1"/>
      <c r="J396" s="1"/>
      <c r="K396" s="1"/>
      <c r="L396" s="1"/>
      <c r="M396" s="1"/>
      <c r="N396" s="1"/>
      <c r="O396" s="1"/>
      <c r="P396" s="1"/>
      <c r="Q396" s="1"/>
      <c r="R396" s="1"/>
      <c r="S396" s="1"/>
      <c r="T396" s="1"/>
      <c r="U396" s="2"/>
      <c r="V396" s="1"/>
      <c r="W396" s="1"/>
      <c r="X396" s="1"/>
      <c r="Y396" s="1"/>
      <c r="Z396" s="1"/>
    </row>
    <row r="397" spans="1:26" ht="24.75" customHeight="1">
      <c r="A397" s="1"/>
      <c r="B397" s="1"/>
      <c r="C397" s="1"/>
      <c r="D397" s="1"/>
      <c r="E397" s="1"/>
      <c r="F397" s="1"/>
      <c r="G397" s="1"/>
      <c r="H397" s="1"/>
      <c r="I397" s="1"/>
      <c r="J397" s="1"/>
      <c r="K397" s="1"/>
      <c r="L397" s="1"/>
      <c r="M397" s="1"/>
      <c r="N397" s="1"/>
      <c r="O397" s="1"/>
      <c r="P397" s="1"/>
      <c r="Q397" s="1"/>
      <c r="R397" s="1"/>
      <c r="S397" s="1"/>
      <c r="T397" s="1"/>
      <c r="U397" s="2"/>
      <c r="V397" s="1"/>
      <c r="W397" s="1"/>
      <c r="X397" s="1"/>
      <c r="Y397" s="1"/>
      <c r="Z397" s="1"/>
    </row>
    <row r="398" spans="1:26" ht="24.75" customHeight="1">
      <c r="A398" s="1"/>
      <c r="B398" s="1"/>
      <c r="C398" s="1"/>
      <c r="D398" s="1"/>
      <c r="E398" s="1"/>
      <c r="F398" s="1"/>
      <c r="G398" s="1"/>
      <c r="H398" s="1"/>
      <c r="I398" s="1"/>
      <c r="J398" s="1"/>
      <c r="K398" s="1"/>
      <c r="L398" s="1"/>
      <c r="M398" s="1"/>
      <c r="N398" s="1"/>
      <c r="O398" s="1"/>
      <c r="P398" s="1"/>
      <c r="Q398" s="1"/>
      <c r="R398" s="1"/>
      <c r="S398" s="1"/>
      <c r="T398" s="1"/>
      <c r="U398" s="2"/>
      <c r="V398" s="1"/>
      <c r="W398" s="1"/>
      <c r="X398" s="1"/>
      <c r="Y398" s="1"/>
      <c r="Z398" s="1"/>
    </row>
    <row r="399" spans="1:26" ht="24.75" customHeight="1">
      <c r="A399" s="1"/>
      <c r="B399" s="1"/>
      <c r="C399" s="1"/>
      <c r="D399" s="1"/>
      <c r="E399" s="1"/>
      <c r="F399" s="1"/>
      <c r="G399" s="1"/>
      <c r="H399" s="1"/>
      <c r="I399" s="1"/>
      <c r="J399" s="1"/>
      <c r="K399" s="1"/>
      <c r="L399" s="1"/>
      <c r="M399" s="1"/>
      <c r="N399" s="1"/>
      <c r="O399" s="1"/>
      <c r="P399" s="1"/>
      <c r="Q399" s="1"/>
      <c r="R399" s="1"/>
      <c r="S399" s="1"/>
      <c r="T399" s="1"/>
      <c r="U399" s="2"/>
      <c r="V399" s="1"/>
      <c r="W399" s="1"/>
      <c r="X399" s="1"/>
      <c r="Y399" s="1"/>
      <c r="Z399" s="1"/>
    </row>
    <row r="400" spans="1:26" ht="24.75" customHeight="1">
      <c r="A400" s="1"/>
      <c r="B400" s="1"/>
      <c r="C400" s="1"/>
      <c r="D400" s="1"/>
      <c r="E400" s="1"/>
      <c r="F400" s="1"/>
      <c r="G400" s="1"/>
      <c r="H400" s="1"/>
      <c r="I400" s="1"/>
      <c r="J400" s="1"/>
      <c r="K400" s="1"/>
      <c r="L400" s="1"/>
      <c r="M400" s="1"/>
      <c r="N400" s="1"/>
      <c r="O400" s="1"/>
      <c r="P400" s="1"/>
      <c r="Q400" s="1"/>
      <c r="R400" s="1"/>
      <c r="S400" s="1"/>
      <c r="T400" s="1"/>
      <c r="U400" s="2"/>
      <c r="V400" s="1"/>
      <c r="W400" s="1"/>
      <c r="X400" s="1"/>
      <c r="Y400" s="1"/>
      <c r="Z400" s="1"/>
    </row>
    <row r="401" spans="1:26" ht="24.75" customHeight="1">
      <c r="A401" s="1"/>
      <c r="B401" s="1"/>
      <c r="C401" s="1"/>
      <c r="D401" s="1"/>
      <c r="E401" s="1"/>
      <c r="F401" s="1"/>
      <c r="G401" s="1"/>
      <c r="H401" s="1"/>
      <c r="I401" s="1"/>
      <c r="J401" s="1"/>
      <c r="K401" s="1"/>
      <c r="L401" s="1"/>
      <c r="M401" s="1"/>
      <c r="N401" s="1"/>
      <c r="O401" s="1"/>
      <c r="P401" s="1"/>
      <c r="Q401" s="1"/>
      <c r="R401" s="1"/>
      <c r="S401" s="1"/>
      <c r="T401" s="1"/>
      <c r="U401" s="2"/>
      <c r="V401" s="1"/>
      <c r="W401" s="1"/>
      <c r="X401" s="1"/>
      <c r="Y401" s="1"/>
      <c r="Z401" s="1"/>
    </row>
    <row r="402" spans="1:26" ht="24.75" customHeight="1">
      <c r="A402" s="1"/>
      <c r="B402" s="1"/>
      <c r="C402" s="1"/>
      <c r="D402" s="1"/>
      <c r="E402" s="1"/>
      <c r="F402" s="1"/>
      <c r="G402" s="1"/>
      <c r="H402" s="1"/>
      <c r="I402" s="1"/>
      <c r="J402" s="1"/>
      <c r="K402" s="1"/>
      <c r="L402" s="1"/>
      <c r="M402" s="1"/>
      <c r="N402" s="1"/>
      <c r="O402" s="1"/>
      <c r="P402" s="1"/>
      <c r="Q402" s="1"/>
      <c r="R402" s="1"/>
      <c r="S402" s="1"/>
      <c r="T402" s="1"/>
      <c r="U402" s="2"/>
      <c r="V402" s="1"/>
      <c r="W402" s="1"/>
      <c r="X402" s="1"/>
      <c r="Y402" s="1"/>
      <c r="Z402" s="1"/>
    </row>
    <row r="403" spans="1:26" ht="24.75" customHeight="1">
      <c r="A403" s="1"/>
      <c r="B403" s="1"/>
      <c r="C403" s="1"/>
      <c r="D403" s="1"/>
      <c r="E403" s="1"/>
      <c r="F403" s="1"/>
      <c r="G403" s="1"/>
      <c r="H403" s="1"/>
      <c r="I403" s="1"/>
      <c r="J403" s="1"/>
      <c r="K403" s="1"/>
      <c r="L403" s="1"/>
      <c r="M403" s="1"/>
      <c r="N403" s="1"/>
      <c r="O403" s="1"/>
      <c r="P403" s="1"/>
      <c r="Q403" s="1"/>
      <c r="R403" s="1"/>
      <c r="S403" s="1"/>
      <c r="T403" s="1"/>
      <c r="U403" s="2"/>
      <c r="V403" s="1"/>
      <c r="W403" s="1"/>
      <c r="X403" s="1"/>
      <c r="Y403" s="1"/>
      <c r="Z403" s="1"/>
    </row>
    <row r="404" spans="1:26" ht="24.75" customHeight="1">
      <c r="A404" s="1"/>
      <c r="B404" s="1"/>
      <c r="C404" s="1"/>
      <c r="D404" s="1"/>
      <c r="E404" s="1"/>
      <c r="F404" s="1"/>
      <c r="G404" s="1"/>
      <c r="H404" s="1"/>
      <c r="I404" s="1"/>
      <c r="J404" s="1"/>
      <c r="K404" s="1"/>
      <c r="L404" s="1"/>
      <c r="M404" s="1"/>
      <c r="N404" s="1"/>
      <c r="O404" s="1"/>
      <c r="P404" s="1"/>
      <c r="Q404" s="1"/>
      <c r="R404" s="1"/>
      <c r="S404" s="1"/>
      <c r="T404" s="1"/>
      <c r="U404" s="2"/>
      <c r="V404" s="1"/>
      <c r="W404" s="1"/>
      <c r="X404" s="1"/>
      <c r="Y404" s="1"/>
      <c r="Z404" s="1"/>
    </row>
    <row r="405" spans="1:26" ht="24.75" customHeight="1">
      <c r="A405" s="1"/>
      <c r="B405" s="1"/>
      <c r="C405" s="1"/>
      <c r="D405" s="1"/>
      <c r="E405" s="1"/>
      <c r="F405" s="1"/>
      <c r="G405" s="1"/>
      <c r="H405" s="1"/>
      <c r="I405" s="1"/>
      <c r="J405" s="1"/>
      <c r="K405" s="1"/>
      <c r="L405" s="1"/>
      <c r="M405" s="1"/>
      <c r="N405" s="1"/>
      <c r="O405" s="1"/>
      <c r="P405" s="1"/>
      <c r="Q405" s="1"/>
      <c r="R405" s="1"/>
      <c r="S405" s="1"/>
      <c r="T405" s="1"/>
      <c r="U405" s="2"/>
      <c r="V405" s="1"/>
      <c r="W405" s="1"/>
      <c r="X405" s="1"/>
      <c r="Y405" s="1"/>
      <c r="Z405" s="1"/>
    </row>
    <row r="406" spans="1:26" ht="24.75" customHeight="1">
      <c r="A406" s="1"/>
      <c r="B406" s="1"/>
      <c r="C406" s="1"/>
      <c r="D406" s="1"/>
      <c r="E406" s="1"/>
      <c r="F406" s="1"/>
      <c r="G406" s="1"/>
      <c r="H406" s="1"/>
      <c r="I406" s="1"/>
      <c r="J406" s="1"/>
      <c r="K406" s="1"/>
      <c r="L406" s="1"/>
      <c r="M406" s="1"/>
      <c r="N406" s="1"/>
      <c r="O406" s="1"/>
      <c r="P406" s="1"/>
      <c r="Q406" s="1"/>
      <c r="R406" s="1"/>
      <c r="S406" s="1"/>
      <c r="T406" s="1"/>
      <c r="U406" s="2"/>
      <c r="V406" s="1"/>
      <c r="W406" s="1"/>
      <c r="X406" s="1"/>
      <c r="Y406" s="1"/>
      <c r="Z406" s="1"/>
    </row>
    <row r="407" spans="1:26" ht="24.75" customHeight="1">
      <c r="A407" s="1"/>
      <c r="B407" s="1"/>
      <c r="C407" s="1"/>
      <c r="D407" s="1"/>
      <c r="E407" s="1"/>
      <c r="F407" s="1"/>
      <c r="G407" s="1"/>
      <c r="H407" s="1"/>
      <c r="I407" s="1"/>
      <c r="J407" s="1"/>
      <c r="K407" s="1"/>
      <c r="L407" s="1"/>
      <c r="M407" s="1"/>
      <c r="N407" s="1"/>
      <c r="O407" s="1"/>
      <c r="P407" s="1"/>
      <c r="Q407" s="1"/>
      <c r="R407" s="1"/>
      <c r="S407" s="1"/>
      <c r="T407" s="1"/>
      <c r="U407" s="2"/>
      <c r="V407" s="1"/>
      <c r="W407" s="1"/>
      <c r="X407" s="1"/>
      <c r="Y407" s="1"/>
      <c r="Z407" s="1"/>
    </row>
    <row r="408" spans="1:26" ht="24.75" customHeight="1">
      <c r="A408" s="1"/>
      <c r="B408" s="1"/>
      <c r="C408" s="1"/>
      <c r="D408" s="1"/>
      <c r="E408" s="1"/>
      <c r="F408" s="1"/>
      <c r="G408" s="1"/>
      <c r="H408" s="1"/>
      <c r="I408" s="1"/>
      <c r="J408" s="1"/>
      <c r="K408" s="1"/>
      <c r="L408" s="1"/>
      <c r="M408" s="1"/>
      <c r="N408" s="1"/>
      <c r="O408" s="1"/>
      <c r="P408" s="1"/>
      <c r="Q408" s="1"/>
      <c r="R408" s="1"/>
      <c r="S408" s="1"/>
      <c r="T408" s="1"/>
      <c r="U408" s="2"/>
      <c r="V408" s="1"/>
      <c r="W408" s="1"/>
      <c r="X408" s="1"/>
      <c r="Y408" s="1"/>
      <c r="Z408" s="1"/>
    </row>
    <row r="409" spans="1:26" ht="24.75" customHeight="1">
      <c r="A409" s="1"/>
      <c r="B409" s="1"/>
      <c r="C409" s="1"/>
      <c r="D409" s="1"/>
      <c r="E409" s="1"/>
      <c r="F409" s="1"/>
      <c r="G409" s="1"/>
      <c r="H409" s="1"/>
      <c r="I409" s="1"/>
      <c r="J409" s="1"/>
      <c r="K409" s="1"/>
      <c r="L409" s="1"/>
      <c r="M409" s="1"/>
      <c r="N409" s="1"/>
      <c r="O409" s="1"/>
      <c r="P409" s="1"/>
      <c r="Q409" s="1"/>
      <c r="R409" s="1"/>
      <c r="S409" s="1"/>
      <c r="T409" s="1"/>
      <c r="U409" s="2"/>
      <c r="V409" s="1"/>
      <c r="W409" s="1"/>
      <c r="X409" s="1"/>
      <c r="Y409" s="1"/>
      <c r="Z409" s="1"/>
    </row>
    <row r="410" spans="1:26" ht="24.75" customHeight="1">
      <c r="A410" s="1"/>
      <c r="B410" s="1"/>
      <c r="C410" s="1"/>
      <c r="D410" s="1"/>
      <c r="E410" s="1"/>
      <c r="F410" s="1"/>
      <c r="G410" s="1"/>
      <c r="H410" s="1"/>
      <c r="I410" s="1"/>
      <c r="J410" s="1"/>
      <c r="K410" s="1"/>
      <c r="L410" s="1"/>
      <c r="M410" s="1"/>
      <c r="N410" s="1"/>
      <c r="O410" s="1"/>
      <c r="P410" s="1"/>
      <c r="Q410" s="1"/>
      <c r="R410" s="1"/>
      <c r="S410" s="1"/>
      <c r="T410" s="1"/>
      <c r="U410" s="2"/>
      <c r="V410" s="1"/>
      <c r="W410" s="1"/>
      <c r="X410" s="1"/>
      <c r="Y410" s="1"/>
      <c r="Z410" s="1"/>
    </row>
    <row r="411" spans="1:26" ht="24.75" customHeight="1">
      <c r="A411" s="1"/>
      <c r="B411" s="1"/>
      <c r="C411" s="1"/>
      <c r="D411" s="1"/>
      <c r="E411" s="1"/>
      <c r="F411" s="1"/>
      <c r="G411" s="1"/>
      <c r="H411" s="1"/>
      <c r="I411" s="1"/>
      <c r="J411" s="1"/>
      <c r="K411" s="1"/>
      <c r="L411" s="1"/>
      <c r="M411" s="1"/>
      <c r="N411" s="1"/>
      <c r="O411" s="1"/>
      <c r="P411" s="1"/>
      <c r="Q411" s="1"/>
      <c r="R411" s="1"/>
      <c r="S411" s="1"/>
      <c r="T411" s="1"/>
      <c r="U411" s="2"/>
      <c r="V411" s="1"/>
      <c r="W411" s="1"/>
      <c r="X411" s="1"/>
      <c r="Y411" s="1"/>
      <c r="Z411" s="1"/>
    </row>
    <row r="412" spans="1:26" ht="24.75" customHeight="1">
      <c r="A412" s="1"/>
      <c r="B412" s="1"/>
      <c r="C412" s="1"/>
      <c r="D412" s="1"/>
      <c r="E412" s="1"/>
      <c r="F412" s="1"/>
      <c r="G412" s="1"/>
      <c r="H412" s="1"/>
      <c r="I412" s="1"/>
      <c r="J412" s="1"/>
      <c r="K412" s="1"/>
      <c r="L412" s="1"/>
      <c r="M412" s="1"/>
      <c r="N412" s="1"/>
      <c r="O412" s="1"/>
      <c r="P412" s="1"/>
      <c r="Q412" s="1"/>
      <c r="R412" s="1"/>
      <c r="S412" s="1"/>
      <c r="T412" s="1"/>
      <c r="U412" s="2"/>
      <c r="V412" s="1"/>
      <c r="W412" s="1"/>
      <c r="X412" s="1"/>
      <c r="Y412" s="1"/>
      <c r="Z412" s="1"/>
    </row>
    <row r="413" spans="1:26" ht="24.75" customHeight="1">
      <c r="A413" s="1"/>
      <c r="B413" s="1"/>
      <c r="C413" s="1"/>
      <c r="D413" s="1"/>
      <c r="E413" s="1"/>
      <c r="F413" s="1"/>
      <c r="G413" s="1"/>
      <c r="H413" s="1"/>
      <c r="I413" s="1"/>
      <c r="J413" s="1"/>
      <c r="K413" s="1"/>
      <c r="L413" s="1"/>
      <c r="M413" s="1"/>
      <c r="N413" s="1"/>
      <c r="O413" s="1"/>
      <c r="P413" s="1"/>
      <c r="Q413" s="1"/>
      <c r="R413" s="1"/>
      <c r="S413" s="1"/>
      <c r="T413" s="1"/>
      <c r="U413" s="2"/>
      <c r="V413" s="1"/>
      <c r="W413" s="1"/>
      <c r="X413" s="1"/>
      <c r="Y413" s="1"/>
      <c r="Z413" s="1"/>
    </row>
    <row r="414" spans="1:26" ht="24.75" customHeight="1">
      <c r="A414" s="1"/>
      <c r="B414" s="1"/>
      <c r="C414" s="1"/>
      <c r="D414" s="1"/>
      <c r="E414" s="1"/>
      <c r="F414" s="1"/>
      <c r="G414" s="1"/>
      <c r="H414" s="1"/>
      <c r="I414" s="1"/>
      <c r="J414" s="1"/>
      <c r="K414" s="1"/>
      <c r="L414" s="1"/>
      <c r="M414" s="1"/>
      <c r="N414" s="1"/>
      <c r="O414" s="1"/>
      <c r="P414" s="1"/>
      <c r="Q414" s="1"/>
      <c r="R414" s="1"/>
      <c r="S414" s="1"/>
      <c r="T414" s="1"/>
      <c r="U414" s="2"/>
      <c r="V414" s="1"/>
      <c r="W414" s="1"/>
      <c r="X414" s="1"/>
      <c r="Y414" s="1"/>
      <c r="Z414" s="1"/>
    </row>
    <row r="415" spans="1:26" ht="24.75" customHeight="1">
      <c r="A415" s="1"/>
      <c r="B415" s="1"/>
      <c r="C415" s="1"/>
      <c r="D415" s="1"/>
      <c r="E415" s="1"/>
      <c r="F415" s="1"/>
      <c r="G415" s="1"/>
      <c r="H415" s="1"/>
      <c r="I415" s="1"/>
      <c r="J415" s="1"/>
      <c r="K415" s="1"/>
      <c r="L415" s="1"/>
      <c r="M415" s="1"/>
      <c r="N415" s="1"/>
      <c r="O415" s="1"/>
      <c r="P415" s="1"/>
      <c r="Q415" s="1"/>
      <c r="R415" s="1"/>
      <c r="S415" s="1"/>
      <c r="T415" s="1"/>
      <c r="U415" s="2"/>
      <c r="V415" s="1"/>
      <c r="W415" s="1"/>
      <c r="X415" s="1"/>
      <c r="Y415" s="1"/>
      <c r="Z415" s="1"/>
    </row>
    <row r="416" spans="1:26" ht="24.75" customHeight="1">
      <c r="A416" s="1"/>
      <c r="B416" s="1"/>
      <c r="C416" s="1"/>
      <c r="D416" s="1"/>
      <c r="E416" s="1"/>
      <c r="F416" s="1"/>
      <c r="G416" s="1"/>
      <c r="H416" s="1"/>
      <c r="I416" s="1"/>
      <c r="J416" s="1"/>
      <c r="K416" s="1"/>
      <c r="L416" s="1"/>
      <c r="M416" s="1"/>
      <c r="N416" s="1"/>
      <c r="O416" s="1"/>
      <c r="P416" s="1"/>
      <c r="Q416" s="1"/>
      <c r="R416" s="1"/>
      <c r="S416" s="1"/>
      <c r="T416" s="1"/>
      <c r="U416" s="2"/>
      <c r="V416" s="1"/>
      <c r="W416" s="1"/>
      <c r="X416" s="1"/>
      <c r="Y416" s="1"/>
      <c r="Z416" s="1"/>
    </row>
    <row r="417" spans="1:26" ht="24.75" customHeight="1">
      <c r="A417" s="1"/>
      <c r="B417" s="1"/>
      <c r="C417" s="1"/>
      <c r="D417" s="1"/>
      <c r="E417" s="1"/>
      <c r="F417" s="1"/>
      <c r="G417" s="1"/>
      <c r="H417" s="1"/>
      <c r="I417" s="1"/>
      <c r="J417" s="1"/>
      <c r="K417" s="1"/>
      <c r="L417" s="1"/>
      <c r="M417" s="1"/>
      <c r="N417" s="1"/>
      <c r="O417" s="1"/>
      <c r="P417" s="1"/>
      <c r="Q417" s="1"/>
      <c r="R417" s="1"/>
      <c r="S417" s="1"/>
      <c r="T417" s="1"/>
      <c r="U417" s="2"/>
      <c r="V417" s="1"/>
      <c r="W417" s="1"/>
      <c r="X417" s="1"/>
      <c r="Y417" s="1"/>
      <c r="Z417" s="1"/>
    </row>
    <row r="418" spans="1:26" ht="24.75" customHeight="1">
      <c r="A418" s="1"/>
      <c r="B418" s="1"/>
      <c r="C418" s="1"/>
      <c r="D418" s="1"/>
      <c r="E418" s="1"/>
      <c r="F418" s="1"/>
      <c r="G418" s="1"/>
      <c r="H418" s="1"/>
      <c r="I418" s="1"/>
      <c r="J418" s="1"/>
      <c r="K418" s="1"/>
      <c r="L418" s="1"/>
      <c r="M418" s="1"/>
      <c r="N418" s="1"/>
      <c r="O418" s="1"/>
      <c r="P418" s="1"/>
      <c r="Q418" s="1"/>
      <c r="R418" s="1"/>
      <c r="S418" s="1"/>
      <c r="T418" s="1"/>
      <c r="U418" s="2"/>
      <c r="V418" s="1"/>
      <c r="W418" s="1"/>
      <c r="X418" s="1"/>
      <c r="Y418" s="1"/>
      <c r="Z418" s="1"/>
    </row>
    <row r="419" spans="1:26" ht="24.75" customHeight="1">
      <c r="A419" s="1"/>
      <c r="B419" s="1"/>
      <c r="C419" s="1"/>
      <c r="D419" s="1"/>
      <c r="E419" s="1"/>
      <c r="F419" s="1"/>
      <c r="G419" s="1"/>
      <c r="H419" s="1"/>
      <c r="I419" s="1"/>
      <c r="J419" s="1"/>
      <c r="K419" s="1"/>
      <c r="L419" s="1"/>
      <c r="M419" s="1"/>
      <c r="N419" s="1"/>
      <c r="O419" s="1"/>
      <c r="P419" s="1"/>
      <c r="Q419" s="1"/>
      <c r="R419" s="1"/>
      <c r="S419" s="1"/>
      <c r="T419" s="1"/>
      <c r="U419" s="2"/>
      <c r="V419" s="1"/>
      <c r="W419" s="1"/>
      <c r="X419" s="1"/>
      <c r="Y419" s="1"/>
      <c r="Z419" s="1"/>
    </row>
    <row r="420" spans="1:26" ht="24.75" customHeight="1">
      <c r="A420" s="1"/>
      <c r="B420" s="1"/>
      <c r="C420" s="1"/>
      <c r="D420" s="1"/>
      <c r="E420" s="1"/>
      <c r="F420" s="1"/>
      <c r="G420" s="1"/>
      <c r="H420" s="1"/>
      <c r="I420" s="1"/>
      <c r="J420" s="1"/>
      <c r="K420" s="1"/>
      <c r="L420" s="1"/>
      <c r="M420" s="1"/>
      <c r="N420" s="1"/>
      <c r="O420" s="1"/>
      <c r="P420" s="1"/>
      <c r="Q420" s="1"/>
      <c r="R420" s="1"/>
      <c r="S420" s="1"/>
      <c r="T420" s="1"/>
      <c r="U420" s="2"/>
      <c r="V420" s="1"/>
      <c r="W420" s="1"/>
      <c r="X420" s="1"/>
      <c r="Y420" s="1"/>
      <c r="Z420" s="1"/>
    </row>
    <row r="421" spans="1:26" ht="24.75" customHeight="1">
      <c r="A421" s="1"/>
      <c r="B421" s="1"/>
      <c r="C421" s="1"/>
      <c r="D421" s="1"/>
      <c r="E421" s="1"/>
      <c r="F421" s="1"/>
      <c r="G421" s="1"/>
      <c r="H421" s="1"/>
      <c r="I421" s="1"/>
      <c r="J421" s="1"/>
      <c r="K421" s="1"/>
      <c r="L421" s="1"/>
      <c r="M421" s="1"/>
      <c r="N421" s="1"/>
      <c r="O421" s="1"/>
      <c r="P421" s="1"/>
      <c r="Q421" s="1"/>
      <c r="R421" s="1"/>
      <c r="S421" s="1"/>
      <c r="T421" s="1"/>
      <c r="U421" s="2"/>
      <c r="V421" s="1"/>
      <c r="W421" s="1"/>
      <c r="X421" s="1"/>
      <c r="Y421" s="1"/>
      <c r="Z421" s="1"/>
    </row>
    <row r="422" spans="1:26" ht="24.75" customHeight="1">
      <c r="A422" s="1"/>
      <c r="B422" s="1"/>
      <c r="C422" s="1"/>
      <c r="D422" s="1"/>
      <c r="E422" s="1"/>
      <c r="F422" s="1"/>
      <c r="G422" s="1"/>
      <c r="H422" s="1"/>
      <c r="I422" s="1"/>
      <c r="J422" s="1"/>
      <c r="K422" s="1"/>
      <c r="L422" s="1"/>
      <c r="M422" s="1"/>
      <c r="N422" s="1"/>
      <c r="O422" s="1"/>
      <c r="P422" s="1"/>
      <c r="Q422" s="1"/>
      <c r="R422" s="1"/>
      <c r="S422" s="1"/>
      <c r="T422" s="1"/>
      <c r="U422" s="2"/>
      <c r="V422" s="1"/>
      <c r="W422" s="1"/>
      <c r="X422" s="1"/>
      <c r="Y422" s="1"/>
      <c r="Z422" s="1"/>
    </row>
    <row r="423" spans="1:26" ht="24.75" customHeight="1">
      <c r="A423" s="1"/>
      <c r="B423" s="1"/>
      <c r="C423" s="1"/>
      <c r="D423" s="1"/>
      <c r="E423" s="1"/>
      <c r="F423" s="1"/>
      <c r="G423" s="1"/>
      <c r="H423" s="1"/>
      <c r="I423" s="1"/>
      <c r="J423" s="1"/>
      <c r="K423" s="1"/>
      <c r="L423" s="1"/>
      <c r="M423" s="1"/>
      <c r="N423" s="1"/>
      <c r="O423" s="1"/>
      <c r="P423" s="1"/>
      <c r="Q423" s="1"/>
      <c r="R423" s="1"/>
      <c r="S423" s="1"/>
      <c r="T423" s="1"/>
      <c r="U423" s="2"/>
      <c r="V423" s="1"/>
      <c r="W423" s="1"/>
      <c r="X423" s="1"/>
      <c r="Y423" s="1"/>
      <c r="Z423" s="1"/>
    </row>
    <row r="424" spans="1:26" ht="24.75" customHeight="1">
      <c r="A424" s="1"/>
      <c r="B424" s="1"/>
      <c r="C424" s="1"/>
      <c r="D424" s="1"/>
      <c r="E424" s="1"/>
      <c r="F424" s="1"/>
      <c r="G424" s="1"/>
      <c r="H424" s="1"/>
      <c r="I424" s="1"/>
      <c r="J424" s="1"/>
      <c r="K424" s="1"/>
      <c r="L424" s="1"/>
      <c r="M424" s="1"/>
      <c r="N424" s="1"/>
      <c r="O424" s="1"/>
      <c r="P424" s="1"/>
      <c r="Q424" s="1"/>
      <c r="R424" s="1"/>
      <c r="S424" s="1"/>
      <c r="T424" s="1"/>
      <c r="U424" s="2"/>
      <c r="V424" s="1"/>
      <c r="W424" s="1"/>
      <c r="X424" s="1"/>
      <c r="Y424" s="1"/>
      <c r="Z424" s="1"/>
    </row>
    <row r="425" spans="1:26" ht="24.75" customHeight="1">
      <c r="A425" s="1"/>
      <c r="B425" s="1"/>
      <c r="C425" s="1"/>
      <c r="D425" s="1"/>
      <c r="E425" s="1"/>
      <c r="F425" s="1"/>
      <c r="G425" s="1"/>
      <c r="H425" s="1"/>
      <c r="I425" s="1"/>
      <c r="J425" s="1"/>
      <c r="K425" s="1"/>
      <c r="L425" s="1"/>
      <c r="M425" s="1"/>
      <c r="N425" s="1"/>
      <c r="O425" s="1"/>
      <c r="P425" s="1"/>
      <c r="Q425" s="1"/>
      <c r="R425" s="1"/>
      <c r="S425" s="1"/>
      <c r="T425" s="1"/>
      <c r="U425" s="2"/>
      <c r="V425" s="1"/>
      <c r="W425" s="1"/>
      <c r="X425" s="1"/>
      <c r="Y425" s="1"/>
      <c r="Z425" s="1"/>
    </row>
    <row r="426" spans="1:26" ht="24.75" customHeight="1">
      <c r="A426" s="1"/>
      <c r="B426" s="1"/>
      <c r="C426" s="1"/>
      <c r="D426" s="1"/>
      <c r="E426" s="1"/>
      <c r="F426" s="1"/>
      <c r="G426" s="1"/>
      <c r="H426" s="1"/>
      <c r="I426" s="1"/>
      <c r="J426" s="1"/>
      <c r="K426" s="1"/>
      <c r="L426" s="1"/>
      <c r="M426" s="1"/>
      <c r="N426" s="1"/>
      <c r="O426" s="1"/>
      <c r="P426" s="1"/>
      <c r="Q426" s="1"/>
      <c r="R426" s="1"/>
      <c r="S426" s="1"/>
      <c r="T426" s="1"/>
      <c r="U426" s="2"/>
      <c r="V426" s="1"/>
      <c r="W426" s="1"/>
      <c r="X426" s="1"/>
      <c r="Y426" s="1"/>
      <c r="Z426" s="1"/>
    </row>
    <row r="427" spans="1:26" ht="24.75" customHeight="1">
      <c r="A427" s="1"/>
      <c r="B427" s="1"/>
      <c r="C427" s="1"/>
      <c r="D427" s="1"/>
      <c r="E427" s="1"/>
      <c r="F427" s="1"/>
      <c r="G427" s="1"/>
      <c r="H427" s="1"/>
      <c r="I427" s="1"/>
      <c r="J427" s="1"/>
      <c r="K427" s="1"/>
      <c r="L427" s="1"/>
      <c r="M427" s="1"/>
      <c r="N427" s="1"/>
      <c r="O427" s="1"/>
      <c r="P427" s="1"/>
      <c r="Q427" s="1"/>
      <c r="R427" s="1"/>
      <c r="S427" s="1"/>
      <c r="T427" s="1"/>
      <c r="U427" s="2"/>
      <c r="V427" s="1"/>
      <c r="W427" s="1"/>
      <c r="X427" s="1"/>
      <c r="Y427" s="1"/>
      <c r="Z427" s="1"/>
    </row>
    <row r="428" spans="1:26" ht="24.75" customHeight="1">
      <c r="A428" s="1"/>
      <c r="B428" s="1"/>
      <c r="C428" s="1"/>
      <c r="D428" s="1"/>
      <c r="E428" s="1"/>
      <c r="F428" s="1"/>
      <c r="G428" s="1"/>
      <c r="H428" s="1"/>
      <c r="I428" s="1"/>
      <c r="J428" s="1"/>
      <c r="K428" s="1"/>
      <c r="L428" s="1"/>
      <c r="M428" s="1"/>
      <c r="N428" s="1"/>
      <c r="O428" s="1"/>
      <c r="P428" s="1"/>
      <c r="Q428" s="1"/>
      <c r="R428" s="1"/>
      <c r="S428" s="1"/>
      <c r="T428" s="1"/>
      <c r="U428" s="2"/>
      <c r="V428" s="1"/>
      <c r="W428" s="1"/>
      <c r="X428" s="1"/>
      <c r="Y428" s="1"/>
      <c r="Z428" s="1"/>
    </row>
    <row r="429" spans="1:26" ht="24.75" customHeight="1">
      <c r="A429" s="1"/>
      <c r="B429" s="1"/>
      <c r="C429" s="1"/>
      <c r="D429" s="1"/>
      <c r="E429" s="1"/>
      <c r="F429" s="1"/>
      <c r="G429" s="1"/>
      <c r="H429" s="1"/>
      <c r="I429" s="1"/>
      <c r="J429" s="1"/>
      <c r="K429" s="1"/>
      <c r="L429" s="1"/>
      <c r="M429" s="1"/>
      <c r="N429" s="1"/>
      <c r="O429" s="1"/>
      <c r="P429" s="1"/>
      <c r="Q429" s="1"/>
      <c r="R429" s="1"/>
      <c r="S429" s="1"/>
      <c r="T429" s="1"/>
      <c r="U429" s="2"/>
      <c r="V429" s="1"/>
      <c r="W429" s="1"/>
      <c r="X429" s="1"/>
      <c r="Y429" s="1"/>
      <c r="Z429" s="1"/>
    </row>
    <row r="430" spans="1:26" ht="24.75" customHeight="1">
      <c r="A430" s="1"/>
      <c r="B430" s="1"/>
      <c r="C430" s="1"/>
      <c r="D430" s="1"/>
      <c r="E430" s="1"/>
      <c r="F430" s="1"/>
      <c r="G430" s="1"/>
      <c r="H430" s="1"/>
      <c r="I430" s="1"/>
      <c r="J430" s="1"/>
      <c r="K430" s="1"/>
      <c r="L430" s="1"/>
      <c r="M430" s="1"/>
      <c r="N430" s="1"/>
      <c r="O430" s="1"/>
      <c r="P430" s="1"/>
      <c r="Q430" s="1"/>
      <c r="R430" s="1"/>
      <c r="S430" s="1"/>
      <c r="T430" s="1"/>
      <c r="U430" s="2"/>
      <c r="V430" s="1"/>
      <c r="W430" s="1"/>
      <c r="X430" s="1"/>
      <c r="Y430" s="1"/>
      <c r="Z430" s="1"/>
    </row>
    <row r="431" spans="1:26" ht="24.75" customHeight="1">
      <c r="A431" s="1"/>
      <c r="B431" s="1"/>
      <c r="C431" s="1"/>
      <c r="D431" s="1"/>
      <c r="E431" s="1"/>
      <c r="F431" s="1"/>
      <c r="G431" s="1"/>
      <c r="H431" s="1"/>
      <c r="I431" s="1"/>
      <c r="J431" s="1"/>
      <c r="K431" s="1"/>
      <c r="L431" s="1"/>
      <c r="M431" s="1"/>
      <c r="N431" s="1"/>
      <c r="O431" s="1"/>
      <c r="P431" s="1"/>
      <c r="Q431" s="1"/>
      <c r="R431" s="1"/>
      <c r="S431" s="1"/>
      <c r="T431" s="1"/>
      <c r="U431" s="2"/>
      <c r="V431" s="1"/>
      <c r="W431" s="1"/>
      <c r="X431" s="1"/>
      <c r="Y431" s="1"/>
      <c r="Z431" s="1"/>
    </row>
    <row r="432" spans="1:26" ht="24.75" customHeight="1">
      <c r="A432" s="1"/>
      <c r="B432" s="1"/>
      <c r="C432" s="1"/>
      <c r="D432" s="1"/>
      <c r="E432" s="1"/>
      <c r="F432" s="1"/>
      <c r="G432" s="1"/>
      <c r="H432" s="1"/>
      <c r="I432" s="1"/>
      <c r="J432" s="1"/>
      <c r="K432" s="1"/>
      <c r="L432" s="1"/>
      <c r="M432" s="1"/>
      <c r="N432" s="1"/>
      <c r="O432" s="1"/>
      <c r="P432" s="1"/>
      <c r="Q432" s="1"/>
      <c r="R432" s="1"/>
      <c r="S432" s="1"/>
      <c r="T432" s="1"/>
      <c r="U432" s="2"/>
      <c r="V432" s="1"/>
      <c r="W432" s="1"/>
      <c r="X432" s="1"/>
      <c r="Y432" s="1"/>
      <c r="Z432" s="1"/>
    </row>
    <row r="433" spans="1:26" ht="24.75" customHeight="1">
      <c r="A433" s="1"/>
      <c r="B433" s="1"/>
      <c r="C433" s="1"/>
      <c r="D433" s="1"/>
      <c r="E433" s="1"/>
      <c r="F433" s="1"/>
      <c r="G433" s="1"/>
      <c r="H433" s="1"/>
      <c r="I433" s="1"/>
      <c r="J433" s="1"/>
      <c r="K433" s="1"/>
      <c r="L433" s="1"/>
      <c r="M433" s="1"/>
      <c r="N433" s="1"/>
      <c r="O433" s="1"/>
      <c r="P433" s="1"/>
      <c r="Q433" s="1"/>
      <c r="R433" s="1"/>
      <c r="S433" s="1"/>
      <c r="T433" s="1"/>
      <c r="U433" s="2"/>
      <c r="V433" s="1"/>
      <c r="W433" s="1"/>
      <c r="X433" s="1"/>
      <c r="Y433" s="1"/>
      <c r="Z433" s="1"/>
    </row>
    <row r="434" spans="1:26" ht="24.75" customHeight="1">
      <c r="A434" s="1"/>
      <c r="B434" s="1"/>
      <c r="C434" s="1"/>
      <c r="D434" s="1"/>
      <c r="E434" s="1"/>
      <c r="F434" s="1"/>
      <c r="G434" s="1"/>
      <c r="H434" s="1"/>
      <c r="I434" s="1"/>
      <c r="J434" s="1"/>
      <c r="K434" s="1"/>
      <c r="L434" s="1"/>
      <c r="M434" s="1"/>
      <c r="N434" s="1"/>
      <c r="O434" s="1"/>
      <c r="P434" s="1"/>
      <c r="Q434" s="1"/>
      <c r="R434" s="1"/>
      <c r="S434" s="1"/>
      <c r="T434" s="1"/>
      <c r="U434" s="2"/>
      <c r="V434" s="1"/>
      <c r="W434" s="1"/>
      <c r="X434" s="1"/>
      <c r="Y434" s="1"/>
      <c r="Z434" s="1"/>
    </row>
    <row r="435" spans="1:26" ht="24.75" customHeight="1">
      <c r="A435" s="1"/>
      <c r="B435" s="1"/>
      <c r="C435" s="1"/>
      <c r="D435" s="1"/>
      <c r="E435" s="1"/>
      <c r="F435" s="1"/>
      <c r="G435" s="1"/>
      <c r="H435" s="1"/>
      <c r="I435" s="1"/>
      <c r="J435" s="1"/>
      <c r="K435" s="1"/>
      <c r="L435" s="1"/>
      <c r="M435" s="1"/>
      <c r="N435" s="1"/>
      <c r="O435" s="1"/>
      <c r="P435" s="1"/>
      <c r="Q435" s="1"/>
      <c r="R435" s="1"/>
      <c r="S435" s="1"/>
      <c r="T435" s="1"/>
      <c r="U435" s="2"/>
      <c r="V435" s="1"/>
      <c r="W435" s="1"/>
      <c r="X435" s="1"/>
      <c r="Y435" s="1"/>
      <c r="Z435" s="1"/>
    </row>
    <row r="436" spans="1:26" ht="24.75" customHeight="1">
      <c r="A436" s="1"/>
      <c r="B436" s="1"/>
      <c r="C436" s="1"/>
      <c r="D436" s="1"/>
      <c r="E436" s="1"/>
      <c r="F436" s="1"/>
      <c r="G436" s="1"/>
      <c r="H436" s="1"/>
      <c r="I436" s="1"/>
      <c r="J436" s="1"/>
      <c r="K436" s="1"/>
      <c r="L436" s="1"/>
      <c r="M436" s="1"/>
      <c r="N436" s="1"/>
      <c r="O436" s="1"/>
      <c r="P436" s="1"/>
      <c r="Q436" s="1"/>
      <c r="R436" s="1"/>
      <c r="S436" s="1"/>
      <c r="T436" s="1"/>
      <c r="U436" s="2"/>
      <c r="V436" s="1"/>
      <c r="W436" s="1"/>
      <c r="X436" s="1"/>
      <c r="Y436" s="1"/>
      <c r="Z436" s="1"/>
    </row>
    <row r="437" spans="1:26" ht="24.75" customHeight="1">
      <c r="A437" s="1"/>
      <c r="B437" s="1"/>
      <c r="C437" s="1"/>
      <c r="D437" s="1"/>
      <c r="E437" s="1"/>
      <c r="F437" s="1"/>
      <c r="G437" s="1"/>
      <c r="H437" s="1"/>
      <c r="I437" s="1"/>
      <c r="J437" s="1"/>
      <c r="K437" s="1"/>
      <c r="L437" s="1"/>
      <c r="M437" s="1"/>
      <c r="N437" s="1"/>
      <c r="O437" s="1"/>
      <c r="P437" s="1"/>
      <c r="Q437" s="1"/>
      <c r="R437" s="1"/>
      <c r="S437" s="1"/>
      <c r="T437" s="1"/>
      <c r="U437" s="2"/>
      <c r="V437" s="1"/>
      <c r="W437" s="1"/>
      <c r="X437" s="1"/>
      <c r="Y437" s="1"/>
      <c r="Z437" s="1"/>
    </row>
    <row r="438" spans="1:26" ht="24.75" customHeight="1">
      <c r="A438" s="1"/>
      <c r="B438" s="1"/>
      <c r="C438" s="1"/>
      <c r="D438" s="1"/>
      <c r="E438" s="1"/>
      <c r="F438" s="1"/>
      <c r="G438" s="1"/>
      <c r="H438" s="1"/>
      <c r="I438" s="1"/>
      <c r="J438" s="1"/>
      <c r="K438" s="1"/>
      <c r="L438" s="1"/>
      <c r="M438" s="1"/>
      <c r="N438" s="1"/>
      <c r="O438" s="1"/>
      <c r="P438" s="1"/>
      <c r="Q438" s="1"/>
      <c r="R438" s="1"/>
      <c r="S438" s="1"/>
      <c r="T438" s="1"/>
      <c r="U438" s="2"/>
      <c r="V438" s="1"/>
      <c r="W438" s="1"/>
      <c r="X438" s="1"/>
      <c r="Y438" s="1"/>
      <c r="Z438" s="1"/>
    </row>
    <row r="439" spans="1:26" ht="24.75" customHeight="1">
      <c r="A439" s="1"/>
      <c r="B439" s="1"/>
      <c r="C439" s="1"/>
      <c r="D439" s="1"/>
      <c r="E439" s="1"/>
      <c r="F439" s="1"/>
      <c r="G439" s="1"/>
      <c r="H439" s="1"/>
      <c r="I439" s="1"/>
      <c r="J439" s="1"/>
      <c r="K439" s="1"/>
      <c r="L439" s="1"/>
      <c r="M439" s="1"/>
      <c r="N439" s="1"/>
      <c r="O439" s="1"/>
      <c r="P439" s="1"/>
      <c r="Q439" s="1"/>
      <c r="R439" s="1"/>
      <c r="S439" s="1"/>
      <c r="T439" s="1"/>
      <c r="U439" s="2"/>
      <c r="V439" s="1"/>
      <c r="W439" s="1"/>
      <c r="X439" s="1"/>
      <c r="Y439" s="1"/>
      <c r="Z439" s="1"/>
    </row>
    <row r="440" spans="1:26" ht="24.75" customHeight="1">
      <c r="A440" s="1"/>
      <c r="B440" s="1"/>
      <c r="C440" s="1"/>
      <c r="D440" s="1"/>
      <c r="E440" s="1"/>
      <c r="F440" s="1"/>
      <c r="G440" s="1"/>
      <c r="H440" s="1"/>
      <c r="I440" s="1"/>
      <c r="J440" s="1"/>
      <c r="K440" s="1"/>
      <c r="L440" s="1"/>
      <c r="M440" s="1"/>
      <c r="N440" s="1"/>
      <c r="O440" s="1"/>
      <c r="P440" s="1"/>
      <c r="Q440" s="1"/>
      <c r="R440" s="1"/>
      <c r="S440" s="1"/>
      <c r="T440" s="1"/>
      <c r="U440" s="2"/>
      <c r="V440" s="1"/>
      <c r="W440" s="1"/>
      <c r="X440" s="1"/>
      <c r="Y440" s="1"/>
      <c r="Z440" s="1"/>
    </row>
    <row r="441" spans="1:26" ht="24.75" customHeight="1">
      <c r="A441" s="1"/>
      <c r="B441" s="1"/>
      <c r="C441" s="1"/>
      <c r="D441" s="1"/>
      <c r="E441" s="1"/>
      <c r="F441" s="1"/>
      <c r="G441" s="1"/>
      <c r="H441" s="1"/>
      <c r="I441" s="1"/>
      <c r="J441" s="1"/>
      <c r="K441" s="1"/>
      <c r="L441" s="1"/>
      <c r="M441" s="1"/>
      <c r="N441" s="1"/>
      <c r="O441" s="1"/>
      <c r="P441" s="1"/>
      <c r="Q441" s="1"/>
      <c r="R441" s="1"/>
      <c r="S441" s="1"/>
      <c r="T441" s="1"/>
      <c r="U441" s="2"/>
      <c r="V441" s="1"/>
      <c r="W441" s="1"/>
      <c r="X441" s="1"/>
      <c r="Y441" s="1"/>
      <c r="Z441" s="1"/>
    </row>
    <row r="442" spans="1:26" ht="24.75" customHeight="1">
      <c r="A442" s="1"/>
      <c r="B442" s="1"/>
      <c r="C442" s="1"/>
      <c r="D442" s="1"/>
      <c r="E442" s="1"/>
      <c r="F442" s="1"/>
      <c r="G442" s="1"/>
      <c r="H442" s="1"/>
      <c r="I442" s="1"/>
      <c r="J442" s="1"/>
      <c r="K442" s="1"/>
      <c r="L442" s="1"/>
      <c r="M442" s="1"/>
      <c r="N442" s="1"/>
      <c r="O442" s="1"/>
      <c r="P442" s="1"/>
      <c r="Q442" s="1"/>
      <c r="R442" s="1"/>
      <c r="S442" s="1"/>
      <c r="T442" s="1"/>
      <c r="U442" s="2"/>
      <c r="V442" s="1"/>
      <c r="W442" s="1"/>
      <c r="X442" s="1"/>
      <c r="Y442" s="1"/>
      <c r="Z442" s="1"/>
    </row>
    <row r="443" spans="1:26" ht="24.75" customHeight="1">
      <c r="A443" s="1"/>
      <c r="B443" s="1"/>
      <c r="C443" s="1"/>
      <c r="D443" s="1"/>
      <c r="E443" s="1"/>
      <c r="F443" s="1"/>
      <c r="G443" s="1"/>
      <c r="H443" s="1"/>
      <c r="I443" s="1"/>
      <c r="J443" s="1"/>
      <c r="K443" s="1"/>
      <c r="L443" s="1"/>
      <c r="M443" s="1"/>
      <c r="N443" s="1"/>
      <c r="O443" s="1"/>
      <c r="P443" s="1"/>
      <c r="Q443" s="1"/>
      <c r="R443" s="1"/>
      <c r="S443" s="1"/>
      <c r="T443" s="1"/>
      <c r="U443" s="2"/>
      <c r="V443" s="1"/>
      <c r="W443" s="1"/>
      <c r="X443" s="1"/>
      <c r="Y443" s="1"/>
      <c r="Z443" s="1"/>
    </row>
    <row r="444" spans="1:26" ht="24.75" customHeight="1">
      <c r="A444" s="1"/>
      <c r="B444" s="1"/>
      <c r="C444" s="1"/>
      <c r="D444" s="1"/>
      <c r="E444" s="1"/>
      <c r="F444" s="1"/>
      <c r="G444" s="1"/>
      <c r="H444" s="1"/>
      <c r="I444" s="1"/>
      <c r="J444" s="1"/>
      <c r="K444" s="1"/>
      <c r="L444" s="1"/>
      <c r="M444" s="1"/>
      <c r="N444" s="1"/>
      <c r="O444" s="1"/>
      <c r="P444" s="1"/>
      <c r="Q444" s="1"/>
      <c r="R444" s="1"/>
      <c r="S444" s="1"/>
      <c r="T444" s="1"/>
      <c r="U444" s="2"/>
      <c r="V444" s="1"/>
      <c r="W444" s="1"/>
      <c r="X444" s="1"/>
      <c r="Y444" s="1"/>
      <c r="Z444" s="1"/>
    </row>
    <row r="445" spans="1:26" ht="24.75" customHeight="1">
      <c r="A445" s="1"/>
      <c r="B445" s="1"/>
      <c r="C445" s="1"/>
      <c r="D445" s="1"/>
      <c r="E445" s="1"/>
      <c r="F445" s="1"/>
      <c r="G445" s="1"/>
      <c r="H445" s="1"/>
      <c r="I445" s="1"/>
      <c r="J445" s="1"/>
      <c r="K445" s="1"/>
      <c r="L445" s="1"/>
      <c r="M445" s="1"/>
      <c r="N445" s="1"/>
      <c r="O445" s="1"/>
      <c r="P445" s="1"/>
      <c r="Q445" s="1"/>
      <c r="R445" s="1"/>
      <c r="S445" s="1"/>
      <c r="T445" s="1"/>
      <c r="U445" s="2"/>
      <c r="V445" s="1"/>
      <c r="W445" s="1"/>
      <c r="X445" s="1"/>
      <c r="Y445" s="1"/>
      <c r="Z445" s="1"/>
    </row>
    <row r="446" spans="1:26" ht="24.75" customHeight="1">
      <c r="A446" s="1"/>
      <c r="B446" s="1"/>
      <c r="C446" s="1"/>
      <c r="D446" s="1"/>
      <c r="E446" s="1"/>
      <c r="F446" s="1"/>
      <c r="G446" s="1"/>
      <c r="H446" s="1"/>
      <c r="I446" s="1"/>
      <c r="J446" s="1"/>
      <c r="K446" s="1"/>
      <c r="L446" s="1"/>
      <c r="M446" s="1"/>
      <c r="N446" s="1"/>
      <c r="O446" s="1"/>
      <c r="P446" s="1"/>
      <c r="Q446" s="1"/>
      <c r="R446" s="1"/>
      <c r="S446" s="1"/>
      <c r="T446" s="1"/>
      <c r="U446" s="2"/>
      <c r="V446" s="1"/>
      <c r="W446" s="1"/>
      <c r="X446" s="1"/>
      <c r="Y446" s="1"/>
      <c r="Z446" s="1"/>
    </row>
    <row r="447" spans="1:26" ht="24.75" customHeight="1">
      <c r="A447" s="1"/>
      <c r="B447" s="1"/>
      <c r="C447" s="1"/>
      <c r="D447" s="1"/>
      <c r="E447" s="1"/>
      <c r="F447" s="1"/>
      <c r="G447" s="1"/>
      <c r="H447" s="1"/>
      <c r="I447" s="1"/>
      <c r="J447" s="1"/>
      <c r="K447" s="1"/>
      <c r="L447" s="1"/>
      <c r="M447" s="1"/>
      <c r="N447" s="1"/>
      <c r="O447" s="1"/>
      <c r="P447" s="1"/>
      <c r="Q447" s="1"/>
      <c r="R447" s="1"/>
      <c r="S447" s="1"/>
      <c r="T447" s="1"/>
      <c r="U447" s="2"/>
      <c r="V447" s="1"/>
      <c r="W447" s="1"/>
      <c r="X447" s="1"/>
      <c r="Y447" s="1"/>
      <c r="Z447" s="1"/>
    </row>
    <row r="448" spans="1:26" ht="24.75" customHeight="1">
      <c r="A448" s="1"/>
      <c r="B448" s="1"/>
      <c r="C448" s="1"/>
      <c r="D448" s="1"/>
      <c r="E448" s="1"/>
      <c r="F448" s="1"/>
      <c r="G448" s="1"/>
      <c r="H448" s="1"/>
      <c r="I448" s="1"/>
      <c r="J448" s="1"/>
      <c r="K448" s="1"/>
      <c r="L448" s="1"/>
      <c r="M448" s="1"/>
      <c r="N448" s="1"/>
      <c r="O448" s="1"/>
      <c r="P448" s="1"/>
      <c r="Q448" s="1"/>
      <c r="R448" s="1"/>
      <c r="S448" s="1"/>
      <c r="T448" s="1"/>
      <c r="U448" s="2"/>
      <c r="V448" s="1"/>
      <c r="W448" s="1"/>
      <c r="X448" s="1"/>
      <c r="Y448" s="1"/>
      <c r="Z448" s="1"/>
    </row>
    <row r="449" spans="1:26" ht="24.75" customHeight="1">
      <c r="A449" s="1"/>
      <c r="B449" s="1"/>
      <c r="C449" s="1"/>
      <c r="D449" s="1"/>
      <c r="E449" s="1"/>
      <c r="F449" s="1"/>
      <c r="G449" s="1"/>
      <c r="H449" s="1"/>
      <c r="I449" s="1"/>
      <c r="J449" s="1"/>
      <c r="K449" s="1"/>
      <c r="L449" s="1"/>
      <c r="M449" s="1"/>
      <c r="N449" s="1"/>
      <c r="O449" s="1"/>
      <c r="P449" s="1"/>
      <c r="Q449" s="1"/>
      <c r="R449" s="1"/>
      <c r="S449" s="1"/>
      <c r="T449" s="1"/>
      <c r="U449" s="2"/>
      <c r="V449" s="1"/>
      <c r="W449" s="1"/>
      <c r="X449" s="1"/>
      <c r="Y449" s="1"/>
      <c r="Z449" s="1"/>
    </row>
    <row r="450" spans="1:26" ht="24.75" customHeight="1">
      <c r="A450" s="1"/>
      <c r="B450" s="1"/>
      <c r="C450" s="1"/>
      <c r="D450" s="1"/>
      <c r="E450" s="1"/>
      <c r="F450" s="1"/>
      <c r="G450" s="1"/>
      <c r="H450" s="1"/>
      <c r="I450" s="1"/>
      <c r="J450" s="1"/>
      <c r="K450" s="1"/>
      <c r="L450" s="1"/>
      <c r="M450" s="1"/>
      <c r="N450" s="1"/>
      <c r="O450" s="1"/>
      <c r="P450" s="1"/>
      <c r="Q450" s="1"/>
      <c r="R450" s="1"/>
      <c r="S450" s="1"/>
      <c r="T450" s="1"/>
      <c r="U450" s="2"/>
      <c r="V450" s="1"/>
      <c r="W450" s="1"/>
      <c r="X450" s="1"/>
      <c r="Y450" s="1"/>
      <c r="Z450" s="1"/>
    </row>
    <row r="451" spans="1:26" ht="24.75" customHeight="1">
      <c r="A451" s="1"/>
      <c r="B451" s="1"/>
      <c r="C451" s="1"/>
      <c r="D451" s="1"/>
      <c r="E451" s="1"/>
      <c r="F451" s="1"/>
      <c r="G451" s="1"/>
      <c r="H451" s="1"/>
      <c r="I451" s="1"/>
      <c r="J451" s="1"/>
      <c r="K451" s="1"/>
      <c r="L451" s="1"/>
      <c r="M451" s="1"/>
      <c r="N451" s="1"/>
      <c r="O451" s="1"/>
      <c r="P451" s="1"/>
      <c r="Q451" s="1"/>
      <c r="R451" s="1"/>
      <c r="S451" s="1"/>
      <c r="T451" s="1"/>
      <c r="U451" s="2"/>
      <c r="V451" s="1"/>
      <c r="W451" s="1"/>
      <c r="X451" s="1"/>
      <c r="Y451" s="1"/>
      <c r="Z451" s="1"/>
    </row>
    <row r="452" spans="1:26" ht="24.75" customHeight="1">
      <c r="A452" s="1"/>
      <c r="B452" s="1"/>
      <c r="C452" s="1"/>
      <c r="D452" s="1"/>
      <c r="E452" s="1"/>
      <c r="F452" s="1"/>
      <c r="G452" s="1"/>
      <c r="H452" s="1"/>
      <c r="I452" s="1"/>
      <c r="J452" s="1"/>
      <c r="K452" s="1"/>
      <c r="L452" s="1"/>
      <c r="M452" s="1"/>
      <c r="N452" s="1"/>
      <c r="O452" s="1"/>
      <c r="P452" s="1"/>
      <c r="Q452" s="1"/>
      <c r="R452" s="1"/>
      <c r="S452" s="1"/>
      <c r="T452" s="1"/>
      <c r="U452" s="2"/>
      <c r="V452" s="1"/>
      <c r="W452" s="1"/>
      <c r="X452" s="1"/>
      <c r="Y452" s="1"/>
      <c r="Z452" s="1"/>
    </row>
    <row r="453" spans="1:26" ht="24.75" customHeight="1">
      <c r="A453" s="1"/>
      <c r="B453" s="1"/>
      <c r="C453" s="1"/>
      <c r="D453" s="1"/>
      <c r="E453" s="1"/>
      <c r="F453" s="1"/>
      <c r="G453" s="1"/>
      <c r="H453" s="1"/>
      <c r="I453" s="1"/>
      <c r="J453" s="1"/>
      <c r="K453" s="1"/>
      <c r="L453" s="1"/>
      <c r="M453" s="1"/>
      <c r="N453" s="1"/>
      <c r="O453" s="1"/>
      <c r="P453" s="1"/>
      <c r="Q453" s="1"/>
      <c r="R453" s="1"/>
      <c r="S453" s="1"/>
      <c r="T453" s="1"/>
      <c r="U453" s="2"/>
      <c r="V453" s="1"/>
      <c r="W453" s="1"/>
      <c r="X453" s="1"/>
      <c r="Y453" s="1"/>
      <c r="Z453" s="1"/>
    </row>
    <row r="454" spans="1:26" ht="24.75" customHeight="1">
      <c r="A454" s="1"/>
      <c r="B454" s="1"/>
      <c r="C454" s="1"/>
      <c r="D454" s="1"/>
      <c r="E454" s="1"/>
      <c r="F454" s="1"/>
      <c r="G454" s="1"/>
      <c r="H454" s="1"/>
      <c r="I454" s="1"/>
      <c r="J454" s="1"/>
      <c r="K454" s="1"/>
      <c r="L454" s="1"/>
      <c r="M454" s="1"/>
      <c r="N454" s="1"/>
      <c r="O454" s="1"/>
      <c r="P454" s="1"/>
      <c r="Q454" s="1"/>
      <c r="R454" s="1"/>
      <c r="S454" s="1"/>
      <c r="T454" s="1"/>
      <c r="U454" s="2"/>
      <c r="V454" s="1"/>
      <c r="W454" s="1"/>
      <c r="X454" s="1"/>
      <c r="Y454" s="1"/>
      <c r="Z454" s="1"/>
    </row>
    <row r="455" spans="1:26" ht="24.75" customHeight="1">
      <c r="A455" s="1"/>
      <c r="B455" s="1"/>
      <c r="C455" s="1"/>
      <c r="D455" s="1"/>
      <c r="E455" s="1"/>
      <c r="F455" s="1"/>
      <c r="G455" s="1"/>
      <c r="H455" s="1"/>
      <c r="I455" s="1"/>
      <c r="J455" s="1"/>
      <c r="K455" s="1"/>
      <c r="L455" s="1"/>
      <c r="M455" s="1"/>
      <c r="N455" s="1"/>
      <c r="O455" s="1"/>
      <c r="P455" s="1"/>
      <c r="Q455" s="1"/>
      <c r="R455" s="1"/>
      <c r="S455" s="1"/>
      <c r="T455" s="1"/>
      <c r="U455" s="2"/>
      <c r="V455" s="1"/>
      <c r="W455" s="1"/>
      <c r="X455" s="1"/>
      <c r="Y455" s="1"/>
      <c r="Z455" s="1"/>
    </row>
    <row r="456" spans="1:26" ht="24.75" customHeight="1">
      <c r="A456" s="1"/>
      <c r="B456" s="1"/>
      <c r="C456" s="1"/>
      <c r="D456" s="1"/>
      <c r="E456" s="1"/>
      <c r="F456" s="1"/>
      <c r="G456" s="1"/>
      <c r="H456" s="1"/>
      <c r="I456" s="1"/>
      <c r="J456" s="1"/>
      <c r="K456" s="1"/>
      <c r="L456" s="1"/>
      <c r="M456" s="1"/>
      <c r="N456" s="1"/>
      <c r="O456" s="1"/>
      <c r="P456" s="1"/>
      <c r="Q456" s="1"/>
      <c r="R456" s="1"/>
      <c r="S456" s="1"/>
      <c r="T456" s="1"/>
      <c r="U456" s="2"/>
      <c r="V456" s="1"/>
      <c r="W456" s="1"/>
      <c r="X456" s="1"/>
      <c r="Y456" s="1"/>
      <c r="Z456" s="1"/>
    </row>
    <row r="457" spans="1:26" ht="24.75" customHeight="1">
      <c r="A457" s="1"/>
      <c r="B457" s="1"/>
      <c r="C457" s="1"/>
      <c r="D457" s="1"/>
      <c r="E457" s="1"/>
      <c r="F457" s="1"/>
      <c r="G457" s="1"/>
      <c r="H457" s="1"/>
      <c r="I457" s="1"/>
      <c r="J457" s="1"/>
      <c r="K457" s="1"/>
      <c r="L457" s="1"/>
      <c r="M457" s="1"/>
      <c r="N457" s="1"/>
      <c r="O457" s="1"/>
      <c r="P457" s="1"/>
      <c r="Q457" s="1"/>
      <c r="R457" s="1"/>
      <c r="S457" s="1"/>
      <c r="T457" s="1"/>
      <c r="U457" s="2"/>
      <c r="V457" s="1"/>
      <c r="W457" s="1"/>
      <c r="X457" s="1"/>
      <c r="Y457" s="1"/>
      <c r="Z457" s="1"/>
    </row>
    <row r="458" spans="1:26" ht="24.75" customHeight="1">
      <c r="A458" s="1"/>
      <c r="B458" s="1"/>
      <c r="C458" s="1"/>
      <c r="D458" s="1"/>
      <c r="E458" s="1"/>
      <c r="F458" s="1"/>
      <c r="G458" s="1"/>
      <c r="H458" s="1"/>
      <c r="I458" s="1"/>
      <c r="J458" s="1"/>
      <c r="K458" s="1"/>
      <c r="L458" s="1"/>
      <c r="M458" s="1"/>
      <c r="N458" s="1"/>
      <c r="O458" s="1"/>
      <c r="P458" s="1"/>
      <c r="Q458" s="1"/>
      <c r="R458" s="1"/>
      <c r="S458" s="1"/>
      <c r="T458" s="1"/>
      <c r="U458" s="2"/>
      <c r="V458" s="1"/>
      <c r="W458" s="1"/>
      <c r="X458" s="1"/>
      <c r="Y458" s="1"/>
      <c r="Z458" s="1"/>
    </row>
    <row r="459" spans="1:26" ht="24.75" customHeight="1">
      <c r="A459" s="1"/>
      <c r="B459" s="1"/>
      <c r="C459" s="1"/>
      <c r="D459" s="1"/>
      <c r="E459" s="1"/>
      <c r="F459" s="1"/>
      <c r="G459" s="1"/>
      <c r="H459" s="1"/>
      <c r="I459" s="1"/>
      <c r="J459" s="1"/>
      <c r="K459" s="1"/>
      <c r="L459" s="1"/>
      <c r="M459" s="1"/>
      <c r="N459" s="1"/>
      <c r="O459" s="1"/>
      <c r="P459" s="1"/>
      <c r="Q459" s="1"/>
      <c r="R459" s="1"/>
      <c r="S459" s="1"/>
      <c r="T459" s="1"/>
      <c r="U459" s="2"/>
      <c r="V459" s="1"/>
      <c r="W459" s="1"/>
      <c r="X459" s="1"/>
      <c r="Y459" s="1"/>
      <c r="Z459" s="1"/>
    </row>
    <row r="460" spans="1:26" ht="24.75" customHeight="1">
      <c r="A460" s="1"/>
      <c r="B460" s="1"/>
      <c r="C460" s="1"/>
      <c r="D460" s="1"/>
      <c r="E460" s="1"/>
      <c r="F460" s="1"/>
      <c r="G460" s="1"/>
      <c r="H460" s="1"/>
      <c r="I460" s="1"/>
      <c r="J460" s="1"/>
      <c r="K460" s="1"/>
      <c r="L460" s="1"/>
      <c r="M460" s="1"/>
      <c r="N460" s="1"/>
      <c r="O460" s="1"/>
      <c r="P460" s="1"/>
      <c r="Q460" s="1"/>
      <c r="R460" s="1"/>
      <c r="S460" s="1"/>
      <c r="T460" s="1"/>
      <c r="U460" s="2"/>
      <c r="V460" s="1"/>
      <c r="W460" s="1"/>
      <c r="X460" s="1"/>
      <c r="Y460" s="1"/>
      <c r="Z460" s="1"/>
    </row>
    <row r="461" spans="1:26" ht="24.75" customHeight="1">
      <c r="A461" s="1"/>
      <c r="B461" s="1"/>
      <c r="C461" s="1"/>
      <c r="D461" s="1"/>
      <c r="E461" s="1"/>
      <c r="F461" s="1"/>
      <c r="G461" s="1"/>
      <c r="H461" s="1"/>
      <c r="I461" s="1"/>
      <c r="J461" s="1"/>
      <c r="K461" s="1"/>
      <c r="L461" s="1"/>
      <c r="M461" s="1"/>
      <c r="N461" s="1"/>
      <c r="O461" s="1"/>
      <c r="P461" s="1"/>
      <c r="Q461" s="1"/>
      <c r="R461" s="1"/>
      <c r="S461" s="1"/>
      <c r="T461" s="1"/>
      <c r="U461" s="2"/>
      <c r="V461" s="1"/>
      <c r="W461" s="1"/>
      <c r="X461" s="1"/>
      <c r="Y461" s="1"/>
      <c r="Z461" s="1"/>
    </row>
    <row r="462" spans="1:26" ht="24.75" customHeight="1">
      <c r="A462" s="1"/>
      <c r="B462" s="1"/>
      <c r="C462" s="1"/>
      <c r="D462" s="1"/>
      <c r="E462" s="1"/>
      <c r="F462" s="1"/>
      <c r="G462" s="1"/>
      <c r="H462" s="1"/>
      <c r="I462" s="1"/>
      <c r="J462" s="1"/>
      <c r="K462" s="1"/>
      <c r="L462" s="1"/>
      <c r="M462" s="1"/>
      <c r="N462" s="1"/>
      <c r="O462" s="1"/>
      <c r="P462" s="1"/>
      <c r="Q462" s="1"/>
      <c r="R462" s="1"/>
      <c r="S462" s="1"/>
      <c r="T462" s="1"/>
      <c r="U462" s="2"/>
      <c r="V462" s="1"/>
      <c r="W462" s="1"/>
      <c r="X462" s="1"/>
      <c r="Y462" s="1"/>
      <c r="Z462" s="1"/>
    </row>
    <row r="463" spans="1:26" ht="24.75" customHeight="1">
      <c r="A463" s="1"/>
      <c r="B463" s="1"/>
      <c r="C463" s="1"/>
      <c r="D463" s="1"/>
      <c r="E463" s="1"/>
      <c r="F463" s="1"/>
      <c r="G463" s="1"/>
      <c r="H463" s="1"/>
      <c r="I463" s="1"/>
      <c r="J463" s="1"/>
      <c r="K463" s="1"/>
      <c r="L463" s="1"/>
      <c r="M463" s="1"/>
      <c r="N463" s="1"/>
      <c r="O463" s="1"/>
      <c r="P463" s="1"/>
      <c r="Q463" s="1"/>
      <c r="R463" s="1"/>
      <c r="S463" s="1"/>
      <c r="T463" s="1"/>
      <c r="U463" s="2"/>
      <c r="V463" s="1"/>
      <c r="W463" s="1"/>
      <c r="X463" s="1"/>
      <c r="Y463" s="1"/>
      <c r="Z463" s="1"/>
    </row>
    <row r="464" spans="1:26" ht="24.75" customHeight="1">
      <c r="A464" s="1"/>
      <c r="B464" s="1"/>
      <c r="C464" s="1"/>
      <c r="D464" s="1"/>
      <c r="E464" s="1"/>
      <c r="F464" s="1"/>
      <c r="G464" s="1"/>
      <c r="H464" s="1"/>
      <c r="I464" s="1"/>
      <c r="J464" s="1"/>
      <c r="K464" s="1"/>
      <c r="L464" s="1"/>
      <c r="M464" s="1"/>
      <c r="N464" s="1"/>
      <c r="O464" s="1"/>
      <c r="P464" s="1"/>
      <c r="Q464" s="1"/>
      <c r="R464" s="1"/>
      <c r="S464" s="1"/>
      <c r="T464" s="1"/>
      <c r="U464" s="2"/>
      <c r="V464" s="1"/>
      <c r="W464" s="1"/>
      <c r="X464" s="1"/>
      <c r="Y464" s="1"/>
      <c r="Z464" s="1"/>
    </row>
    <row r="465" spans="1:26" ht="24.75" customHeight="1">
      <c r="A465" s="1"/>
      <c r="B465" s="1"/>
      <c r="C465" s="1"/>
      <c r="D465" s="1"/>
      <c r="E465" s="1"/>
      <c r="F465" s="1"/>
      <c r="G465" s="1"/>
      <c r="H465" s="1"/>
      <c r="I465" s="1"/>
      <c r="J465" s="1"/>
      <c r="K465" s="1"/>
      <c r="L465" s="1"/>
      <c r="M465" s="1"/>
      <c r="N465" s="1"/>
      <c r="O465" s="1"/>
      <c r="P465" s="1"/>
      <c r="Q465" s="1"/>
      <c r="R465" s="1"/>
      <c r="S465" s="1"/>
      <c r="T465" s="1"/>
      <c r="U465" s="2"/>
      <c r="V465" s="1"/>
      <c r="W465" s="1"/>
      <c r="X465" s="1"/>
      <c r="Y465" s="1"/>
      <c r="Z465" s="1"/>
    </row>
    <row r="466" spans="1:26" ht="24.75" customHeight="1">
      <c r="A466" s="1"/>
      <c r="B466" s="1"/>
      <c r="C466" s="1"/>
      <c r="D466" s="1"/>
      <c r="E466" s="1"/>
      <c r="F466" s="1"/>
      <c r="G466" s="1"/>
      <c r="H466" s="1"/>
      <c r="I466" s="1"/>
      <c r="J466" s="1"/>
      <c r="K466" s="1"/>
      <c r="L466" s="1"/>
      <c r="M466" s="1"/>
      <c r="N466" s="1"/>
      <c r="O466" s="1"/>
      <c r="P466" s="1"/>
      <c r="Q466" s="1"/>
      <c r="R466" s="1"/>
      <c r="S466" s="1"/>
      <c r="T466" s="1"/>
      <c r="U466" s="2"/>
      <c r="V466" s="1"/>
      <c r="W466" s="1"/>
      <c r="X466" s="1"/>
      <c r="Y466" s="1"/>
      <c r="Z466" s="1"/>
    </row>
    <row r="467" spans="1:26" ht="24.75" customHeight="1">
      <c r="A467" s="1"/>
      <c r="B467" s="1"/>
      <c r="C467" s="1"/>
      <c r="D467" s="1"/>
      <c r="E467" s="1"/>
      <c r="F467" s="1"/>
      <c r="G467" s="1"/>
      <c r="H467" s="1"/>
      <c r="I467" s="1"/>
      <c r="J467" s="1"/>
      <c r="K467" s="1"/>
      <c r="L467" s="1"/>
      <c r="M467" s="1"/>
      <c r="N467" s="1"/>
      <c r="O467" s="1"/>
      <c r="P467" s="1"/>
      <c r="Q467" s="1"/>
      <c r="R467" s="1"/>
      <c r="S467" s="1"/>
      <c r="T467" s="1"/>
      <c r="U467" s="2"/>
      <c r="V467" s="1"/>
      <c r="W467" s="1"/>
      <c r="X467" s="1"/>
      <c r="Y467" s="1"/>
      <c r="Z467" s="1"/>
    </row>
    <row r="468" spans="1:26" ht="24.75" customHeight="1">
      <c r="A468" s="1"/>
      <c r="B468" s="1"/>
      <c r="C468" s="1"/>
      <c r="D468" s="1"/>
      <c r="E468" s="1"/>
      <c r="F468" s="1"/>
      <c r="G468" s="1"/>
      <c r="H468" s="1"/>
      <c r="I468" s="1"/>
      <c r="J468" s="1"/>
      <c r="K468" s="1"/>
      <c r="L468" s="1"/>
      <c r="M468" s="1"/>
      <c r="N468" s="1"/>
      <c r="O468" s="1"/>
      <c r="P468" s="1"/>
      <c r="Q468" s="1"/>
      <c r="R468" s="1"/>
      <c r="S468" s="1"/>
      <c r="T468" s="1"/>
      <c r="U468" s="2"/>
      <c r="V468" s="1"/>
      <c r="W468" s="1"/>
      <c r="X468" s="1"/>
      <c r="Y468" s="1"/>
      <c r="Z468" s="1"/>
    </row>
    <row r="469" spans="1:26" ht="24.75" customHeight="1">
      <c r="A469" s="1"/>
      <c r="B469" s="1"/>
      <c r="C469" s="1"/>
      <c r="D469" s="1"/>
      <c r="E469" s="1"/>
      <c r="F469" s="1"/>
      <c r="G469" s="1"/>
      <c r="H469" s="1"/>
      <c r="I469" s="1"/>
      <c r="J469" s="1"/>
      <c r="K469" s="1"/>
      <c r="L469" s="1"/>
      <c r="M469" s="1"/>
      <c r="N469" s="1"/>
      <c r="O469" s="1"/>
      <c r="P469" s="1"/>
      <c r="Q469" s="1"/>
      <c r="R469" s="1"/>
      <c r="S469" s="1"/>
      <c r="T469" s="1"/>
      <c r="U469" s="2"/>
      <c r="V469" s="1"/>
      <c r="W469" s="1"/>
      <c r="X469" s="1"/>
      <c r="Y469" s="1"/>
      <c r="Z469" s="1"/>
    </row>
    <row r="470" spans="1:26" ht="24.75" customHeight="1">
      <c r="A470" s="1"/>
      <c r="B470" s="1"/>
      <c r="C470" s="1"/>
      <c r="D470" s="1"/>
      <c r="E470" s="1"/>
      <c r="F470" s="1"/>
      <c r="G470" s="1"/>
      <c r="H470" s="1"/>
      <c r="I470" s="1"/>
      <c r="J470" s="1"/>
      <c r="K470" s="1"/>
      <c r="L470" s="1"/>
      <c r="M470" s="1"/>
      <c r="N470" s="1"/>
      <c r="O470" s="1"/>
      <c r="P470" s="1"/>
      <c r="Q470" s="1"/>
      <c r="R470" s="1"/>
      <c r="S470" s="1"/>
      <c r="T470" s="1"/>
      <c r="U470" s="2"/>
      <c r="V470" s="1"/>
      <c r="W470" s="1"/>
      <c r="X470" s="1"/>
      <c r="Y470" s="1"/>
      <c r="Z470" s="1"/>
    </row>
    <row r="471" spans="1:26" ht="24.75" customHeight="1">
      <c r="A471" s="1"/>
      <c r="B471" s="1"/>
      <c r="C471" s="1"/>
      <c r="D471" s="1"/>
      <c r="E471" s="1"/>
      <c r="F471" s="1"/>
      <c r="G471" s="1"/>
      <c r="H471" s="1"/>
      <c r="I471" s="1"/>
      <c r="J471" s="1"/>
      <c r="K471" s="1"/>
      <c r="L471" s="1"/>
      <c r="M471" s="1"/>
      <c r="N471" s="1"/>
      <c r="O471" s="1"/>
      <c r="P471" s="1"/>
      <c r="Q471" s="1"/>
      <c r="R471" s="1"/>
      <c r="S471" s="1"/>
      <c r="T471" s="1"/>
      <c r="U471" s="2"/>
      <c r="V471" s="1"/>
      <c r="W471" s="1"/>
      <c r="X471" s="1"/>
      <c r="Y471" s="1"/>
      <c r="Z471" s="1"/>
    </row>
    <row r="472" spans="1:26" ht="24.75" customHeight="1">
      <c r="A472" s="1"/>
      <c r="B472" s="1"/>
      <c r="C472" s="1"/>
      <c r="D472" s="1"/>
      <c r="E472" s="1"/>
      <c r="F472" s="1"/>
      <c r="G472" s="1"/>
      <c r="H472" s="1"/>
      <c r="I472" s="1"/>
      <c r="J472" s="1"/>
      <c r="K472" s="1"/>
      <c r="L472" s="1"/>
      <c r="M472" s="1"/>
      <c r="N472" s="1"/>
      <c r="O472" s="1"/>
      <c r="P472" s="1"/>
      <c r="Q472" s="1"/>
      <c r="R472" s="1"/>
      <c r="S472" s="1"/>
      <c r="T472" s="1"/>
      <c r="U472" s="2"/>
      <c r="V472" s="1"/>
      <c r="W472" s="1"/>
      <c r="X472" s="1"/>
      <c r="Y472" s="1"/>
      <c r="Z472" s="1"/>
    </row>
    <row r="473" spans="1:26" ht="24.75" customHeight="1">
      <c r="A473" s="1"/>
      <c r="B473" s="1"/>
      <c r="C473" s="1"/>
      <c r="D473" s="1"/>
      <c r="E473" s="1"/>
      <c r="F473" s="1"/>
      <c r="G473" s="1"/>
      <c r="H473" s="1"/>
      <c r="I473" s="1"/>
      <c r="J473" s="1"/>
      <c r="K473" s="1"/>
      <c r="L473" s="1"/>
      <c r="M473" s="1"/>
      <c r="N473" s="1"/>
      <c r="O473" s="1"/>
      <c r="P473" s="1"/>
      <c r="Q473" s="1"/>
      <c r="R473" s="1"/>
      <c r="S473" s="1"/>
      <c r="T473" s="1"/>
      <c r="U473" s="2"/>
      <c r="V473" s="1"/>
      <c r="W473" s="1"/>
      <c r="X473" s="1"/>
      <c r="Y473" s="1"/>
      <c r="Z473" s="1"/>
    </row>
    <row r="474" spans="1:26" ht="24.75" customHeight="1">
      <c r="A474" s="1"/>
      <c r="B474" s="1"/>
      <c r="C474" s="1"/>
      <c r="D474" s="1"/>
      <c r="E474" s="1"/>
      <c r="F474" s="1"/>
      <c r="G474" s="1"/>
      <c r="H474" s="1"/>
      <c r="I474" s="1"/>
      <c r="J474" s="1"/>
      <c r="K474" s="1"/>
      <c r="L474" s="1"/>
      <c r="M474" s="1"/>
      <c r="N474" s="1"/>
      <c r="O474" s="1"/>
      <c r="P474" s="1"/>
      <c r="Q474" s="1"/>
      <c r="R474" s="1"/>
      <c r="S474" s="1"/>
      <c r="T474" s="1"/>
      <c r="U474" s="2"/>
      <c r="V474" s="1"/>
      <c r="W474" s="1"/>
      <c r="X474" s="1"/>
      <c r="Y474" s="1"/>
      <c r="Z474" s="1"/>
    </row>
    <row r="475" spans="1:26" ht="24.75" customHeight="1">
      <c r="A475" s="1"/>
      <c r="B475" s="1"/>
      <c r="C475" s="1"/>
      <c r="D475" s="1"/>
      <c r="E475" s="1"/>
      <c r="F475" s="1"/>
      <c r="G475" s="1"/>
      <c r="H475" s="1"/>
      <c r="I475" s="1"/>
      <c r="J475" s="1"/>
      <c r="K475" s="1"/>
      <c r="L475" s="1"/>
      <c r="M475" s="1"/>
      <c r="N475" s="1"/>
      <c r="O475" s="1"/>
      <c r="P475" s="1"/>
      <c r="Q475" s="1"/>
      <c r="R475" s="1"/>
      <c r="S475" s="1"/>
      <c r="T475" s="1"/>
      <c r="U475" s="2"/>
      <c r="V475" s="1"/>
      <c r="W475" s="1"/>
      <c r="X475" s="1"/>
      <c r="Y475" s="1"/>
      <c r="Z475" s="1"/>
    </row>
    <row r="476" spans="1:26" ht="24.75" customHeight="1">
      <c r="A476" s="1"/>
      <c r="B476" s="1"/>
      <c r="C476" s="1"/>
      <c r="D476" s="1"/>
      <c r="E476" s="1"/>
      <c r="F476" s="1"/>
      <c r="G476" s="1"/>
      <c r="H476" s="1"/>
      <c r="I476" s="1"/>
      <c r="J476" s="1"/>
      <c r="K476" s="1"/>
      <c r="L476" s="1"/>
      <c r="M476" s="1"/>
      <c r="N476" s="1"/>
      <c r="O476" s="1"/>
      <c r="P476" s="1"/>
      <c r="Q476" s="1"/>
      <c r="R476" s="1"/>
      <c r="S476" s="1"/>
      <c r="T476" s="1"/>
      <c r="U476" s="2"/>
      <c r="V476" s="1"/>
      <c r="W476" s="1"/>
      <c r="X476" s="1"/>
      <c r="Y476" s="1"/>
      <c r="Z476" s="1"/>
    </row>
    <row r="477" spans="1:26" ht="24.75" customHeight="1">
      <c r="A477" s="1"/>
      <c r="B477" s="1"/>
      <c r="C477" s="1"/>
      <c r="D477" s="1"/>
      <c r="E477" s="1"/>
      <c r="F477" s="1"/>
      <c r="G477" s="1"/>
      <c r="H477" s="1"/>
      <c r="I477" s="1"/>
      <c r="J477" s="1"/>
      <c r="K477" s="1"/>
      <c r="L477" s="1"/>
      <c r="M477" s="1"/>
      <c r="N477" s="1"/>
      <c r="O477" s="1"/>
      <c r="P477" s="1"/>
      <c r="Q477" s="1"/>
      <c r="R477" s="1"/>
      <c r="S477" s="1"/>
      <c r="T477" s="1"/>
      <c r="U477" s="2"/>
      <c r="V477" s="1"/>
      <c r="W477" s="1"/>
      <c r="X477" s="1"/>
      <c r="Y477" s="1"/>
      <c r="Z477" s="1"/>
    </row>
    <row r="478" spans="1:26" ht="24.75" customHeight="1">
      <c r="A478" s="1"/>
      <c r="B478" s="1"/>
      <c r="C478" s="1"/>
      <c r="D478" s="1"/>
      <c r="E478" s="1"/>
      <c r="F478" s="1"/>
      <c r="G478" s="1"/>
      <c r="H478" s="1"/>
      <c r="I478" s="1"/>
      <c r="J478" s="1"/>
      <c r="K478" s="1"/>
      <c r="L478" s="1"/>
      <c r="M478" s="1"/>
      <c r="N478" s="1"/>
      <c r="O478" s="1"/>
      <c r="P478" s="1"/>
      <c r="Q478" s="1"/>
      <c r="R478" s="1"/>
      <c r="S478" s="1"/>
      <c r="T478" s="1"/>
      <c r="U478" s="2"/>
      <c r="V478" s="1"/>
      <c r="W478" s="1"/>
      <c r="X478" s="1"/>
      <c r="Y478" s="1"/>
      <c r="Z478" s="1"/>
    </row>
    <row r="479" spans="1:26" ht="24.75" customHeight="1">
      <c r="A479" s="1"/>
      <c r="B479" s="1"/>
      <c r="C479" s="1"/>
      <c r="D479" s="1"/>
      <c r="E479" s="1"/>
      <c r="F479" s="1"/>
      <c r="G479" s="1"/>
      <c r="H479" s="1"/>
      <c r="I479" s="1"/>
      <c r="J479" s="1"/>
      <c r="K479" s="1"/>
      <c r="L479" s="1"/>
      <c r="M479" s="1"/>
      <c r="N479" s="1"/>
      <c r="O479" s="1"/>
      <c r="P479" s="1"/>
      <c r="Q479" s="1"/>
      <c r="R479" s="1"/>
      <c r="S479" s="1"/>
      <c r="T479" s="1"/>
      <c r="U479" s="2"/>
      <c r="V479" s="1"/>
      <c r="W479" s="1"/>
      <c r="X479" s="1"/>
      <c r="Y479" s="1"/>
      <c r="Z479" s="1"/>
    </row>
    <row r="480" spans="1:26" ht="24.75" customHeight="1">
      <c r="A480" s="1"/>
      <c r="B480" s="1"/>
      <c r="C480" s="1"/>
      <c r="D480" s="1"/>
      <c r="E480" s="1"/>
      <c r="F480" s="1"/>
      <c r="G480" s="1"/>
      <c r="H480" s="1"/>
      <c r="I480" s="1"/>
      <c r="J480" s="1"/>
      <c r="K480" s="1"/>
      <c r="L480" s="1"/>
      <c r="M480" s="1"/>
      <c r="N480" s="1"/>
      <c r="O480" s="1"/>
      <c r="P480" s="1"/>
      <c r="Q480" s="1"/>
      <c r="R480" s="1"/>
      <c r="S480" s="1"/>
      <c r="T480" s="1"/>
      <c r="U480" s="2"/>
      <c r="V480" s="1"/>
      <c r="W480" s="1"/>
      <c r="X480" s="1"/>
      <c r="Y480" s="1"/>
      <c r="Z480" s="1"/>
    </row>
    <row r="481" spans="1:26" ht="24.75" customHeight="1">
      <c r="A481" s="1"/>
      <c r="B481" s="1"/>
      <c r="C481" s="1"/>
      <c r="D481" s="1"/>
      <c r="E481" s="1"/>
      <c r="F481" s="1"/>
      <c r="G481" s="1"/>
      <c r="H481" s="1"/>
      <c r="I481" s="1"/>
      <c r="J481" s="1"/>
      <c r="K481" s="1"/>
      <c r="L481" s="1"/>
      <c r="M481" s="1"/>
      <c r="N481" s="1"/>
      <c r="O481" s="1"/>
      <c r="P481" s="1"/>
      <c r="Q481" s="1"/>
      <c r="R481" s="1"/>
      <c r="S481" s="1"/>
      <c r="T481" s="1"/>
      <c r="U481" s="2"/>
      <c r="V481" s="1"/>
      <c r="W481" s="1"/>
      <c r="X481" s="1"/>
      <c r="Y481" s="1"/>
      <c r="Z481" s="1"/>
    </row>
    <row r="482" spans="1:26" ht="24.75" customHeight="1">
      <c r="A482" s="1"/>
      <c r="B482" s="1"/>
      <c r="C482" s="1"/>
      <c r="D482" s="1"/>
      <c r="E482" s="1"/>
      <c r="F482" s="1"/>
      <c r="G482" s="1"/>
      <c r="H482" s="1"/>
      <c r="I482" s="1"/>
      <c r="J482" s="1"/>
      <c r="K482" s="1"/>
      <c r="L482" s="1"/>
      <c r="M482" s="1"/>
      <c r="N482" s="1"/>
      <c r="O482" s="1"/>
      <c r="P482" s="1"/>
      <c r="Q482" s="1"/>
      <c r="R482" s="1"/>
      <c r="S482" s="1"/>
      <c r="T482" s="1"/>
      <c r="U482" s="2"/>
      <c r="V482" s="1"/>
      <c r="W482" s="1"/>
      <c r="X482" s="1"/>
      <c r="Y482" s="1"/>
      <c r="Z482" s="1"/>
    </row>
    <row r="483" spans="1:26" ht="24.75" customHeight="1">
      <c r="A483" s="1"/>
      <c r="B483" s="1"/>
      <c r="C483" s="1"/>
      <c r="D483" s="1"/>
      <c r="E483" s="1"/>
      <c r="F483" s="1"/>
      <c r="G483" s="1"/>
      <c r="H483" s="1"/>
      <c r="I483" s="1"/>
      <c r="J483" s="1"/>
      <c r="K483" s="1"/>
      <c r="L483" s="1"/>
      <c r="M483" s="1"/>
      <c r="N483" s="1"/>
      <c r="O483" s="1"/>
      <c r="P483" s="1"/>
      <c r="Q483" s="1"/>
      <c r="R483" s="1"/>
      <c r="S483" s="1"/>
      <c r="T483" s="1"/>
      <c r="U483" s="2"/>
      <c r="V483" s="1"/>
      <c r="W483" s="1"/>
      <c r="X483" s="1"/>
      <c r="Y483" s="1"/>
      <c r="Z483" s="1"/>
    </row>
    <row r="484" spans="1:26" ht="24.75" customHeight="1">
      <c r="A484" s="1"/>
      <c r="B484" s="1"/>
      <c r="C484" s="1"/>
      <c r="D484" s="1"/>
      <c r="E484" s="1"/>
      <c r="F484" s="1"/>
      <c r="G484" s="1"/>
      <c r="H484" s="1"/>
      <c r="I484" s="1"/>
      <c r="J484" s="1"/>
      <c r="K484" s="1"/>
      <c r="L484" s="1"/>
      <c r="M484" s="1"/>
      <c r="N484" s="1"/>
      <c r="O484" s="1"/>
      <c r="P484" s="1"/>
      <c r="Q484" s="1"/>
      <c r="R484" s="1"/>
      <c r="S484" s="1"/>
      <c r="T484" s="1"/>
      <c r="U484" s="2"/>
      <c r="V484" s="1"/>
      <c r="W484" s="1"/>
      <c r="X484" s="1"/>
      <c r="Y484" s="1"/>
      <c r="Z484" s="1"/>
    </row>
    <row r="485" spans="1:26" ht="24.75" customHeight="1">
      <c r="A485" s="1"/>
      <c r="B485" s="1"/>
      <c r="C485" s="1"/>
      <c r="D485" s="1"/>
      <c r="E485" s="1"/>
      <c r="F485" s="1"/>
      <c r="G485" s="1"/>
      <c r="H485" s="1"/>
      <c r="I485" s="1"/>
      <c r="J485" s="1"/>
      <c r="K485" s="1"/>
      <c r="L485" s="1"/>
      <c r="M485" s="1"/>
      <c r="N485" s="1"/>
      <c r="O485" s="1"/>
      <c r="P485" s="1"/>
      <c r="Q485" s="1"/>
      <c r="R485" s="1"/>
      <c r="S485" s="1"/>
      <c r="T485" s="1"/>
      <c r="U485" s="2"/>
      <c r="V485" s="1"/>
      <c r="W485" s="1"/>
      <c r="X485" s="1"/>
      <c r="Y485" s="1"/>
      <c r="Z485" s="1"/>
    </row>
    <row r="486" spans="1:26" ht="24.75" customHeight="1">
      <c r="A486" s="1"/>
      <c r="B486" s="1"/>
      <c r="C486" s="1"/>
      <c r="D486" s="1"/>
      <c r="E486" s="1"/>
      <c r="F486" s="1"/>
      <c r="G486" s="1"/>
      <c r="H486" s="1"/>
      <c r="I486" s="1"/>
      <c r="J486" s="1"/>
      <c r="K486" s="1"/>
      <c r="L486" s="1"/>
      <c r="M486" s="1"/>
      <c r="N486" s="1"/>
      <c r="O486" s="1"/>
      <c r="P486" s="1"/>
      <c r="Q486" s="1"/>
      <c r="R486" s="1"/>
      <c r="S486" s="1"/>
      <c r="T486" s="1"/>
      <c r="U486" s="2"/>
      <c r="V486" s="1"/>
      <c r="W486" s="1"/>
      <c r="X486" s="1"/>
      <c r="Y486" s="1"/>
      <c r="Z486" s="1"/>
    </row>
    <row r="487" spans="1:26" ht="24.75" customHeight="1">
      <c r="A487" s="1"/>
      <c r="B487" s="1"/>
      <c r="C487" s="1"/>
      <c r="D487" s="1"/>
      <c r="E487" s="1"/>
      <c r="F487" s="1"/>
      <c r="G487" s="1"/>
      <c r="H487" s="1"/>
      <c r="I487" s="1"/>
      <c r="J487" s="1"/>
      <c r="K487" s="1"/>
      <c r="L487" s="1"/>
      <c r="M487" s="1"/>
      <c r="N487" s="1"/>
      <c r="O487" s="1"/>
      <c r="P487" s="1"/>
      <c r="Q487" s="1"/>
      <c r="R487" s="1"/>
      <c r="S487" s="1"/>
      <c r="T487" s="1"/>
      <c r="U487" s="2"/>
      <c r="V487" s="1"/>
      <c r="W487" s="1"/>
      <c r="X487" s="1"/>
      <c r="Y487" s="1"/>
      <c r="Z487" s="1"/>
    </row>
    <row r="488" spans="1:26" ht="24.75" customHeight="1">
      <c r="A488" s="1"/>
      <c r="B488" s="1"/>
      <c r="C488" s="1"/>
      <c r="D488" s="1"/>
      <c r="E488" s="1"/>
      <c r="F488" s="1"/>
      <c r="G488" s="1"/>
      <c r="H488" s="1"/>
      <c r="I488" s="1"/>
      <c r="J488" s="1"/>
      <c r="K488" s="1"/>
      <c r="L488" s="1"/>
      <c r="M488" s="1"/>
      <c r="N488" s="1"/>
      <c r="O488" s="1"/>
      <c r="P488" s="1"/>
      <c r="Q488" s="1"/>
      <c r="R488" s="1"/>
      <c r="S488" s="1"/>
      <c r="T488" s="1"/>
      <c r="U488" s="2"/>
      <c r="V488" s="1"/>
      <c r="W488" s="1"/>
      <c r="X488" s="1"/>
      <c r="Y488" s="1"/>
      <c r="Z488" s="1"/>
    </row>
    <row r="489" spans="1:26" ht="24.75" customHeight="1">
      <c r="A489" s="1"/>
      <c r="B489" s="1"/>
      <c r="C489" s="1"/>
      <c r="D489" s="1"/>
      <c r="E489" s="1"/>
      <c r="F489" s="1"/>
      <c r="G489" s="1"/>
      <c r="H489" s="1"/>
      <c r="I489" s="1"/>
      <c r="J489" s="1"/>
      <c r="K489" s="1"/>
      <c r="L489" s="1"/>
      <c r="M489" s="1"/>
      <c r="N489" s="1"/>
      <c r="O489" s="1"/>
      <c r="P489" s="1"/>
      <c r="Q489" s="1"/>
      <c r="R489" s="1"/>
      <c r="S489" s="1"/>
      <c r="T489" s="1"/>
      <c r="U489" s="2"/>
      <c r="V489" s="1"/>
      <c r="W489" s="1"/>
      <c r="X489" s="1"/>
      <c r="Y489" s="1"/>
      <c r="Z489" s="1"/>
    </row>
    <row r="490" spans="1:26" ht="24.75" customHeight="1">
      <c r="A490" s="1"/>
      <c r="B490" s="1"/>
      <c r="C490" s="1"/>
      <c r="D490" s="1"/>
      <c r="E490" s="1"/>
      <c r="F490" s="1"/>
      <c r="G490" s="1"/>
      <c r="H490" s="1"/>
      <c r="I490" s="1"/>
      <c r="J490" s="1"/>
      <c r="K490" s="1"/>
      <c r="L490" s="1"/>
      <c r="M490" s="1"/>
      <c r="N490" s="1"/>
      <c r="O490" s="1"/>
      <c r="P490" s="1"/>
      <c r="Q490" s="1"/>
      <c r="R490" s="1"/>
      <c r="S490" s="1"/>
      <c r="T490" s="1"/>
      <c r="U490" s="2"/>
      <c r="V490" s="1"/>
      <c r="W490" s="1"/>
      <c r="X490" s="1"/>
      <c r="Y490" s="1"/>
      <c r="Z490" s="1"/>
    </row>
    <row r="491" spans="1:26" ht="24.75" customHeight="1">
      <c r="A491" s="1"/>
      <c r="B491" s="1"/>
      <c r="C491" s="1"/>
      <c r="D491" s="1"/>
      <c r="E491" s="1"/>
      <c r="F491" s="1"/>
      <c r="G491" s="1"/>
      <c r="H491" s="1"/>
      <c r="I491" s="1"/>
      <c r="J491" s="1"/>
      <c r="K491" s="1"/>
      <c r="L491" s="1"/>
      <c r="M491" s="1"/>
      <c r="N491" s="1"/>
      <c r="O491" s="1"/>
      <c r="P491" s="1"/>
      <c r="Q491" s="1"/>
      <c r="R491" s="1"/>
      <c r="S491" s="1"/>
      <c r="T491" s="1"/>
      <c r="U491" s="2"/>
      <c r="V491" s="1"/>
      <c r="W491" s="1"/>
      <c r="X491" s="1"/>
      <c r="Y491" s="1"/>
      <c r="Z491" s="1"/>
    </row>
    <row r="492" spans="1:26" ht="24.75" customHeight="1">
      <c r="A492" s="1"/>
      <c r="B492" s="1"/>
      <c r="C492" s="1"/>
      <c r="D492" s="1"/>
      <c r="E492" s="1"/>
      <c r="F492" s="1"/>
      <c r="G492" s="1"/>
      <c r="H492" s="1"/>
      <c r="I492" s="1"/>
      <c r="J492" s="1"/>
      <c r="K492" s="1"/>
      <c r="L492" s="1"/>
      <c r="M492" s="1"/>
      <c r="N492" s="1"/>
      <c r="O492" s="1"/>
      <c r="P492" s="1"/>
      <c r="Q492" s="1"/>
      <c r="R492" s="1"/>
      <c r="S492" s="1"/>
      <c r="T492" s="1"/>
      <c r="U492" s="2"/>
      <c r="V492" s="1"/>
      <c r="W492" s="1"/>
      <c r="X492" s="1"/>
      <c r="Y492" s="1"/>
      <c r="Z492" s="1"/>
    </row>
    <row r="493" spans="1:26" ht="24.75" customHeight="1">
      <c r="A493" s="1"/>
      <c r="B493" s="1"/>
      <c r="C493" s="1"/>
      <c r="D493" s="1"/>
      <c r="E493" s="1"/>
      <c r="F493" s="1"/>
      <c r="G493" s="1"/>
      <c r="H493" s="1"/>
      <c r="I493" s="1"/>
      <c r="J493" s="1"/>
      <c r="K493" s="1"/>
      <c r="L493" s="1"/>
      <c r="M493" s="1"/>
      <c r="N493" s="1"/>
      <c r="O493" s="1"/>
      <c r="P493" s="1"/>
      <c r="Q493" s="1"/>
      <c r="R493" s="1"/>
      <c r="S493" s="1"/>
      <c r="T493" s="1"/>
      <c r="U493" s="2"/>
      <c r="V493" s="1"/>
      <c r="W493" s="1"/>
      <c r="X493" s="1"/>
      <c r="Y493" s="1"/>
      <c r="Z493" s="1"/>
    </row>
    <row r="494" spans="1:26" ht="24.75" customHeight="1">
      <c r="A494" s="1"/>
      <c r="B494" s="1"/>
      <c r="C494" s="1"/>
      <c r="D494" s="1"/>
      <c r="E494" s="1"/>
      <c r="F494" s="1"/>
      <c r="G494" s="1"/>
      <c r="H494" s="1"/>
      <c r="I494" s="1"/>
      <c r="J494" s="1"/>
      <c r="K494" s="1"/>
      <c r="L494" s="1"/>
      <c r="M494" s="1"/>
      <c r="N494" s="1"/>
      <c r="O494" s="1"/>
      <c r="P494" s="1"/>
      <c r="Q494" s="1"/>
      <c r="R494" s="1"/>
      <c r="S494" s="1"/>
      <c r="T494" s="1"/>
      <c r="U494" s="2"/>
      <c r="V494" s="1"/>
      <c r="W494" s="1"/>
      <c r="X494" s="1"/>
      <c r="Y494" s="1"/>
      <c r="Z494" s="1"/>
    </row>
    <row r="495" spans="1:26" ht="24.75" customHeight="1">
      <c r="A495" s="1"/>
      <c r="B495" s="1"/>
      <c r="C495" s="1"/>
      <c r="D495" s="1"/>
      <c r="E495" s="1"/>
      <c r="F495" s="1"/>
      <c r="G495" s="1"/>
      <c r="H495" s="1"/>
      <c r="I495" s="1"/>
      <c r="J495" s="1"/>
      <c r="K495" s="1"/>
      <c r="L495" s="1"/>
      <c r="M495" s="1"/>
      <c r="N495" s="1"/>
      <c r="O495" s="1"/>
      <c r="P495" s="1"/>
      <c r="Q495" s="1"/>
      <c r="R495" s="1"/>
      <c r="S495" s="1"/>
      <c r="T495" s="1"/>
      <c r="U495" s="2"/>
      <c r="V495" s="1"/>
      <c r="W495" s="1"/>
      <c r="X495" s="1"/>
      <c r="Y495" s="1"/>
      <c r="Z495" s="1"/>
    </row>
    <row r="496" spans="1:26" ht="24.75" customHeight="1">
      <c r="A496" s="1"/>
      <c r="B496" s="1"/>
      <c r="C496" s="1"/>
      <c r="D496" s="1"/>
      <c r="E496" s="1"/>
      <c r="F496" s="1"/>
      <c r="G496" s="1"/>
      <c r="H496" s="1"/>
      <c r="I496" s="1"/>
      <c r="J496" s="1"/>
      <c r="K496" s="1"/>
      <c r="L496" s="1"/>
      <c r="M496" s="1"/>
      <c r="N496" s="1"/>
      <c r="O496" s="1"/>
      <c r="P496" s="1"/>
      <c r="Q496" s="1"/>
      <c r="R496" s="1"/>
      <c r="S496" s="1"/>
      <c r="T496" s="1"/>
      <c r="U496" s="2"/>
      <c r="V496" s="1"/>
      <c r="W496" s="1"/>
      <c r="X496" s="1"/>
      <c r="Y496" s="1"/>
      <c r="Z496" s="1"/>
    </row>
    <row r="497" spans="1:26" ht="24.75" customHeight="1">
      <c r="A497" s="1"/>
      <c r="B497" s="1"/>
      <c r="C497" s="1"/>
      <c r="D497" s="1"/>
      <c r="E497" s="1"/>
      <c r="F497" s="1"/>
      <c r="G497" s="1"/>
      <c r="H497" s="1"/>
      <c r="I497" s="1"/>
      <c r="J497" s="1"/>
      <c r="K497" s="1"/>
      <c r="L497" s="1"/>
      <c r="M497" s="1"/>
      <c r="N497" s="1"/>
      <c r="O497" s="1"/>
      <c r="P497" s="1"/>
      <c r="Q497" s="1"/>
      <c r="R497" s="1"/>
      <c r="S497" s="1"/>
      <c r="T497" s="1"/>
      <c r="U497" s="2"/>
      <c r="V497" s="1"/>
      <c r="W497" s="1"/>
      <c r="X497" s="1"/>
      <c r="Y497" s="1"/>
      <c r="Z497" s="1"/>
    </row>
    <row r="498" spans="1:26" ht="24.75" customHeight="1">
      <c r="A498" s="1"/>
      <c r="B498" s="1"/>
      <c r="C498" s="1"/>
      <c r="D498" s="1"/>
      <c r="E498" s="1"/>
      <c r="F498" s="1"/>
      <c r="G498" s="1"/>
      <c r="H498" s="1"/>
      <c r="I498" s="1"/>
      <c r="J498" s="1"/>
      <c r="K498" s="1"/>
      <c r="L498" s="1"/>
      <c r="M498" s="1"/>
      <c r="N498" s="1"/>
      <c r="O498" s="1"/>
      <c r="P498" s="1"/>
      <c r="Q498" s="1"/>
      <c r="R498" s="1"/>
      <c r="S498" s="1"/>
      <c r="T498" s="1"/>
      <c r="U498" s="2"/>
      <c r="V498" s="1"/>
      <c r="W498" s="1"/>
      <c r="X498" s="1"/>
      <c r="Y498" s="1"/>
      <c r="Z498" s="1"/>
    </row>
    <row r="499" spans="1:26" ht="24.75" customHeight="1">
      <c r="A499" s="1"/>
      <c r="B499" s="1"/>
      <c r="C499" s="1"/>
      <c r="D499" s="1"/>
      <c r="E499" s="1"/>
      <c r="F499" s="1"/>
      <c r="G499" s="1"/>
      <c r="H499" s="1"/>
      <c r="I499" s="1"/>
      <c r="J499" s="1"/>
      <c r="K499" s="1"/>
      <c r="L499" s="1"/>
      <c r="M499" s="1"/>
      <c r="N499" s="1"/>
      <c r="O499" s="1"/>
      <c r="P499" s="1"/>
      <c r="Q499" s="1"/>
      <c r="R499" s="1"/>
      <c r="S499" s="1"/>
      <c r="T499" s="1"/>
      <c r="U499" s="2"/>
      <c r="V499" s="1"/>
      <c r="W499" s="1"/>
      <c r="X499" s="1"/>
      <c r="Y499" s="1"/>
      <c r="Z499" s="1"/>
    </row>
    <row r="500" spans="1:26" ht="24.75" customHeight="1">
      <c r="A500" s="1"/>
      <c r="B500" s="1"/>
      <c r="C500" s="1"/>
      <c r="D500" s="1"/>
      <c r="E500" s="1"/>
      <c r="F500" s="1"/>
      <c r="G500" s="1"/>
      <c r="H500" s="1"/>
      <c r="I500" s="1"/>
      <c r="J500" s="1"/>
      <c r="K500" s="1"/>
      <c r="L500" s="1"/>
      <c r="M500" s="1"/>
      <c r="N500" s="1"/>
      <c r="O500" s="1"/>
      <c r="P500" s="1"/>
      <c r="Q500" s="1"/>
      <c r="R500" s="1"/>
      <c r="S500" s="1"/>
      <c r="T500" s="1"/>
      <c r="U500" s="2"/>
      <c r="V500" s="1"/>
      <c r="W500" s="1"/>
      <c r="X500" s="1"/>
      <c r="Y500" s="1"/>
      <c r="Z500" s="1"/>
    </row>
    <row r="501" spans="1:26" ht="24.75" customHeight="1">
      <c r="A501" s="1"/>
      <c r="B501" s="1"/>
      <c r="C501" s="1"/>
      <c r="D501" s="1"/>
      <c r="E501" s="1"/>
      <c r="F501" s="1"/>
      <c r="G501" s="1"/>
      <c r="H501" s="1"/>
      <c r="I501" s="1"/>
      <c r="J501" s="1"/>
      <c r="K501" s="1"/>
      <c r="L501" s="1"/>
      <c r="M501" s="1"/>
      <c r="N501" s="1"/>
      <c r="O501" s="1"/>
      <c r="P501" s="1"/>
      <c r="Q501" s="1"/>
      <c r="R501" s="1"/>
      <c r="S501" s="1"/>
      <c r="T501" s="1"/>
      <c r="U501" s="2"/>
      <c r="V501" s="1"/>
      <c r="W501" s="1"/>
      <c r="X501" s="1"/>
      <c r="Y501" s="1"/>
      <c r="Z501" s="1"/>
    </row>
    <row r="502" spans="1:26" ht="24.75" customHeight="1">
      <c r="A502" s="1"/>
      <c r="B502" s="1"/>
      <c r="C502" s="1"/>
      <c r="D502" s="1"/>
      <c r="E502" s="1"/>
      <c r="F502" s="1"/>
      <c r="G502" s="1"/>
      <c r="H502" s="1"/>
      <c r="I502" s="1"/>
      <c r="J502" s="1"/>
      <c r="K502" s="1"/>
      <c r="L502" s="1"/>
      <c r="M502" s="1"/>
      <c r="N502" s="1"/>
      <c r="O502" s="1"/>
      <c r="P502" s="1"/>
      <c r="Q502" s="1"/>
      <c r="R502" s="1"/>
      <c r="S502" s="1"/>
      <c r="T502" s="1"/>
      <c r="U502" s="2"/>
      <c r="V502" s="1"/>
      <c r="W502" s="1"/>
      <c r="X502" s="1"/>
      <c r="Y502" s="1"/>
      <c r="Z502" s="1"/>
    </row>
    <row r="503" spans="1:26" ht="24.75" customHeight="1">
      <c r="A503" s="1"/>
      <c r="B503" s="1"/>
      <c r="C503" s="1"/>
      <c r="D503" s="1"/>
      <c r="E503" s="1"/>
      <c r="F503" s="1"/>
      <c r="G503" s="1"/>
      <c r="H503" s="1"/>
      <c r="I503" s="1"/>
      <c r="J503" s="1"/>
      <c r="K503" s="1"/>
      <c r="L503" s="1"/>
      <c r="M503" s="1"/>
      <c r="N503" s="1"/>
      <c r="O503" s="1"/>
      <c r="P503" s="1"/>
      <c r="Q503" s="1"/>
      <c r="R503" s="1"/>
      <c r="S503" s="1"/>
      <c r="T503" s="1"/>
      <c r="U503" s="2"/>
      <c r="V503" s="1"/>
      <c r="W503" s="1"/>
      <c r="X503" s="1"/>
      <c r="Y503" s="1"/>
      <c r="Z503" s="1"/>
    </row>
    <row r="504" spans="1:26" ht="24.75" customHeight="1">
      <c r="A504" s="1"/>
      <c r="B504" s="1"/>
      <c r="C504" s="1"/>
      <c r="D504" s="1"/>
      <c r="E504" s="1"/>
      <c r="F504" s="1"/>
      <c r="G504" s="1"/>
      <c r="H504" s="1"/>
      <c r="I504" s="1"/>
      <c r="J504" s="1"/>
      <c r="K504" s="1"/>
      <c r="L504" s="1"/>
      <c r="M504" s="1"/>
      <c r="N504" s="1"/>
      <c r="O504" s="1"/>
      <c r="P504" s="1"/>
      <c r="Q504" s="1"/>
      <c r="R504" s="1"/>
      <c r="S504" s="1"/>
      <c r="T504" s="1"/>
      <c r="U504" s="2"/>
      <c r="V504" s="1"/>
      <c r="W504" s="1"/>
      <c r="X504" s="1"/>
      <c r="Y504" s="1"/>
      <c r="Z504" s="1"/>
    </row>
    <row r="505" spans="1:26" ht="24.75" customHeight="1">
      <c r="A505" s="1"/>
      <c r="B505" s="1"/>
      <c r="C505" s="1"/>
      <c r="D505" s="1"/>
      <c r="E505" s="1"/>
      <c r="F505" s="1"/>
      <c r="G505" s="1"/>
      <c r="H505" s="1"/>
      <c r="I505" s="1"/>
      <c r="J505" s="1"/>
      <c r="K505" s="1"/>
      <c r="L505" s="1"/>
      <c r="M505" s="1"/>
      <c r="N505" s="1"/>
      <c r="O505" s="1"/>
      <c r="P505" s="1"/>
      <c r="Q505" s="1"/>
      <c r="R505" s="1"/>
      <c r="S505" s="1"/>
      <c r="T505" s="1"/>
      <c r="U505" s="2"/>
      <c r="V505" s="1"/>
      <c r="W505" s="1"/>
      <c r="X505" s="1"/>
      <c r="Y505" s="1"/>
      <c r="Z505" s="1"/>
    </row>
    <row r="506" spans="1:26" ht="24.75" customHeight="1">
      <c r="A506" s="1"/>
      <c r="B506" s="1"/>
      <c r="C506" s="1"/>
      <c r="D506" s="1"/>
      <c r="E506" s="1"/>
      <c r="F506" s="1"/>
      <c r="G506" s="1"/>
      <c r="H506" s="1"/>
      <c r="I506" s="1"/>
      <c r="J506" s="1"/>
      <c r="K506" s="1"/>
      <c r="L506" s="1"/>
      <c r="M506" s="1"/>
      <c r="N506" s="1"/>
      <c r="O506" s="1"/>
      <c r="P506" s="1"/>
      <c r="Q506" s="1"/>
      <c r="R506" s="1"/>
      <c r="S506" s="1"/>
      <c r="T506" s="1"/>
      <c r="U506" s="2"/>
      <c r="V506" s="1"/>
      <c r="W506" s="1"/>
      <c r="X506" s="1"/>
      <c r="Y506" s="1"/>
      <c r="Z506" s="1"/>
    </row>
    <row r="507" spans="1:26" ht="24.75" customHeight="1">
      <c r="A507" s="1"/>
      <c r="B507" s="1"/>
      <c r="C507" s="1"/>
      <c r="D507" s="1"/>
      <c r="E507" s="1"/>
      <c r="F507" s="1"/>
      <c r="G507" s="1"/>
      <c r="H507" s="1"/>
      <c r="I507" s="1"/>
      <c r="J507" s="1"/>
      <c r="K507" s="1"/>
      <c r="L507" s="1"/>
      <c r="M507" s="1"/>
      <c r="N507" s="1"/>
      <c r="O507" s="1"/>
      <c r="P507" s="1"/>
      <c r="Q507" s="1"/>
      <c r="R507" s="1"/>
      <c r="S507" s="1"/>
      <c r="T507" s="1"/>
      <c r="U507" s="2"/>
      <c r="V507" s="1"/>
      <c r="W507" s="1"/>
      <c r="X507" s="1"/>
      <c r="Y507" s="1"/>
      <c r="Z507" s="1"/>
    </row>
    <row r="508" spans="1:26" ht="24.75" customHeight="1">
      <c r="A508" s="1"/>
      <c r="B508" s="1"/>
      <c r="C508" s="1"/>
      <c r="D508" s="1"/>
      <c r="E508" s="1"/>
      <c r="F508" s="1"/>
      <c r="G508" s="1"/>
      <c r="H508" s="1"/>
      <c r="I508" s="1"/>
      <c r="J508" s="1"/>
      <c r="K508" s="1"/>
      <c r="L508" s="1"/>
      <c r="M508" s="1"/>
      <c r="N508" s="1"/>
      <c r="O508" s="1"/>
      <c r="P508" s="1"/>
      <c r="Q508" s="1"/>
      <c r="R508" s="1"/>
      <c r="S508" s="1"/>
      <c r="T508" s="1"/>
      <c r="U508" s="2"/>
      <c r="V508" s="1"/>
      <c r="W508" s="1"/>
      <c r="X508" s="1"/>
      <c r="Y508" s="1"/>
      <c r="Z508" s="1"/>
    </row>
    <row r="509" spans="1:26" ht="24.75" customHeight="1">
      <c r="A509" s="1"/>
      <c r="B509" s="1"/>
      <c r="C509" s="1"/>
      <c r="D509" s="1"/>
      <c r="E509" s="1"/>
      <c r="F509" s="1"/>
      <c r="G509" s="1"/>
      <c r="H509" s="1"/>
      <c r="I509" s="1"/>
      <c r="J509" s="1"/>
      <c r="K509" s="1"/>
      <c r="L509" s="1"/>
      <c r="M509" s="1"/>
      <c r="N509" s="1"/>
      <c r="O509" s="1"/>
      <c r="P509" s="1"/>
      <c r="Q509" s="1"/>
      <c r="R509" s="1"/>
      <c r="S509" s="1"/>
      <c r="T509" s="1"/>
      <c r="U509" s="2"/>
      <c r="V509" s="1"/>
      <c r="W509" s="1"/>
      <c r="X509" s="1"/>
      <c r="Y509" s="1"/>
      <c r="Z509" s="1"/>
    </row>
    <row r="510" spans="1:26" ht="24.75" customHeight="1">
      <c r="A510" s="1"/>
      <c r="B510" s="1"/>
      <c r="C510" s="1"/>
      <c r="D510" s="1"/>
      <c r="E510" s="1"/>
      <c r="F510" s="1"/>
      <c r="G510" s="1"/>
      <c r="H510" s="1"/>
      <c r="I510" s="1"/>
      <c r="J510" s="1"/>
      <c r="K510" s="1"/>
      <c r="L510" s="1"/>
      <c r="M510" s="1"/>
      <c r="N510" s="1"/>
      <c r="O510" s="1"/>
      <c r="P510" s="1"/>
      <c r="Q510" s="1"/>
      <c r="R510" s="1"/>
      <c r="S510" s="1"/>
      <c r="T510" s="1"/>
      <c r="U510" s="2"/>
      <c r="V510" s="1"/>
      <c r="W510" s="1"/>
      <c r="X510" s="1"/>
      <c r="Y510" s="1"/>
      <c r="Z510" s="1"/>
    </row>
    <row r="511" spans="1:26" ht="24.75" customHeight="1">
      <c r="A511" s="1"/>
      <c r="B511" s="1"/>
      <c r="C511" s="1"/>
      <c r="D511" s="1"/>
      <c r="E511" s="1"/>
      <c r="F511" s="1"/>
      <c r="G511" s="1"/>
      <c r="H511" s="1"/>
      <c r="I511" s="1"/>
      <c r="J511" s="1"/>
      <c r="K511" s="1"/>
      <c r="L511" s="1"/>
      <c r="M511" s="1"/>
      <c r="N511" s="1"/>
      <c r="O511" s="1"/>
      <c r="P511" s="1"/>
      <c r="Q511" s="1"/>
      <c r="R511" s="1"/>
      <c r="S511" s="1"/>
      <c r="T511" s="1"/>
      <c r="U511" s="2"/>
      <c r="V511" s="1"/>
      <c r="W511" s="1"/>
      <c r="X511" s="1"/>
      <c r="Y511" s="1"/>
      <c r="Z511" s="1"/>
    </row>
    <row r="512" spans="1:26" ht="24.75" customHeight="1">
      <c r="A512" s="1"/>
      <c r="B512" s="1"/>
      <c r="C512" s="1"/>
      <c r="D512" s="1"/>
      <c r="E512" s="1"/>
      <c r="F512" s="1"/>
      <c r="G512" s="1"/>
      <c r="H512" s="1"/>
      <c r="I512" s="1"/>
      <c r="J512" s="1"/>
      <c r="K512" s="1"/>
      <c r="L512" s="1"/>
      <c r="M512" s="1"/>
      <c r="N512" s="1"/>
      <c r="O512" s="1"/>
      <c r="P512" s="1"/>
      <c r="Q512" s="1"/>
      <c r="R512" s="1"/>
      <c r="S512" s="1"/>
      <c r="T512" s="1"/>
      <c r="U512" s="2"/>
      <c r="V512" s="1"/>
      <c r="W512" s="1"/>
      <c r="X512" s="1"/>
      <c r="Y512" s="1"/>
      <c r="Z512" s="1"/>
    </row>
    <row r="513" spans="1:26" ht="24.75" customHeight="1">
      <c r="A513" s="1"/>
      <c r="B513" s="1"/>
      <c r="C513" s="1"/>
      <c r="D513" s="1"/>
      <c r="E513" s="1"/>
      <c r="F513" s="1"/>
      <c r="G513" s="1"/>
      <c r="H513" s="1"/>
      <c r="I513" s="1"/>
      <c r="J513" s="1"/>
      <c r="K513" s="1"/>
      <c r="L513" s="1"/>
      <c r="M513" s="1"/>
      <c r="N513" s="1"/>
      <c r="O513" s="1"/>
      <c r="P513" s="1"/>
      <c r="Q513" s="1"/>
      <c r="R513" s="1"/>
      <c r="S513" s="1"/>
      <c r="T513" s="1"/>
      <c r="U513" s="2"/>
      <c r="V513" s="1"/>
      <c r="W513" s="1"/>
      <c r="X513" s="1"/>
      <c r="Y513" s="1"/>
      <c r="Z513" s="1"/>
    </row>
    <row r="514" spans="1:26" ht="24.75" customHeight="1">
      <c r="A514" s="1"/>
      <c r="B514" s="1"/>
      <c r="C514" s="1"/>
      <c r="D514" s="1"/>
      <c r="E514" s="1"/>
      <c r="F514" s="1"/>
      <c r="G514" s="1"/>
      <c r="H514" s="1"/>
      <c r="I514" s="1"/>
      <c r="J514" s="1"/>
      <c r="K514" s="1"/>
      <c r="L514" s="1"/>
      <c r="M514" s="1"/>
      <c r="N514" s="1"/>
      <c r="O514" s="1"/>
      <c r="P514" s="1"/>
      <c r="Q514" s="1"/>
      <c r="R514" s="1"/>
      <c r="S514" s="1"/>
      <c r="T514" s="1"/>
      <c r="U514" s="2"/>
      <c r="V514" s="1"/>
      <c r="W514" s="1"/>
      <c r="X514" s="1"/>
      <c r="Y514" s="1"/>
      <c r="Z514" s="1"/>
    </row>
    <row r="515" spans="1:26" ht="24.75" customHeight="1">
      <c r="A515" s="1"/>
      <c r="B515" s="1"/>
      <c r="C515" s="1"/>
      <c r="D515" s="1"/>
      <c r="E515" s="1"/>
      <c r="F515" s="1"/>
      <c r="G515" s="1"/>
      <c r="H515" s="1"/>
      <c r="I515" s="1"/>
      <c r="J515" s="1"/>
      <c r="K515" s="1"/>
      <c r="L515" s="1"/>
      <c r="M515" s="1"/>
      <c r="N515" s="1"/>
      <c r="O515" s="1"/>
      <c r="P515" s="1"/>
      <c r="Q515" s="1"/>
      <c r="R515" s="1"/>
      <c r="S515" s="1"/>
      <c r="T515" s="1"/>
      <c r="U515" s="2"/>
      <c r="V515" s="1"/>
      <c r="W515" s="1"/>
      <c r="X515" s="1"/>
      <c r="Y515" s="1"/>
      <c r="Z515" s="1"/>
    </row>
    <row r="516" spans="1:26" ht="24.75" customHeight="1">
      <c r="A516" s="1"/>
      <c r="B516" s="1"/>
      <c r="C516" s="1"/>
      <c r="D516" s="1"/>
      <c r="E516" s="1"/>
      <c r="F516" s="1"/>
      <c r="G516" s="1"/>
      <c r="H516" s="1"/>
      <c r="I516" s="1"/>
      <c r="J516" s="1"/>
      <c r="K516" s="1"/>
      <c r="L516" s="1"/>
      <c r="M516" s="1"/>
      <c r="N516" s="1"/>
      <c r="O516" s="1"/>
      <c r="P516" s="1"/>
      <c r="Q516" s="1"/>
      <c r="R516" s="1"/>
      <c r="S516" s="1"/>
      <c r="T516" s="1"/>
      <c r="U516" s="2"/>
      <c r="V516" s="1"/>
      <c r="W516" s="1"/>
      <c r="X516" s="1"/>
      <c r="Y516" s="1"/>
      <c r="Z516" s="1"/>
    </row>
    <row r="517" spans="1:26" ht="24.75" customHeight="1">
      <c r="A517" s="1"/>
      <c r="B517" s="1"/>
      <c r="C517" s="1"/>
      <c r="D517" s="1"/>
      <c r="E517" s="1"/>
      <c r="F517" s="1"/>
      <c r="G517" s="1"/>
      <c r="H517" s="1"/>
      <c r="I517" s="1"/>
      <c r="J517" s="1"/>
      <c r="K517" s="1"/>
      <c r="L517" s="1"/>
      <c r="M517" s="1"/>
      <c r="N517" s="1"/>
      <c r="O517" s="1"/>
      <c r="P517" s="1"/>
      <c r="Q517" s="1"/>
      <c r="R517" s="1"/>
      <c r="S517" s="1"/>
      <c r="T517" s="1"/>
      <c r="U517" s="2"/>
      <c r="V517" s="1"/>
      <c r="W517" s="1"/>
      <c r="X517" s="1"/>
      <c r="Y517" s="1"/>
      <c r="Z517" s="1"/>
    </row>
    <row r="518" spans="1:26" ht="24.75" customHeight="1">
      <c r="A518" s="1"/>
      <c r="B518" s="1"/>
      <c r="C518" s="1"/>
      <c r="D518" s="1"/>
      <c r="E518" s="1"/>
      <c r="F518" s="1"/>
      <c r="G518" s="1"/>
      <c r="H518" s="1"/>
      <c r="I518" s="1"/>
      <c r="J518" s="1"/>
      <c r="K518" s="1"/>
      <c r="L518" s="1"/>
      <c r="M518" s="1"/>
      <c r="N518" s="1"/>
      <c r="O518" s="1"/>
      <c r="P518" s="1"/>
      <c r="Q518" s="1"/>
      <c r="R518" s="1"/>
      <c r="S518" s="1"/>
      <c r="T518" s="1"/>
      <c r="U518" s="2"/>
      <c r="V518" s="1"/>
      <c r="W518" s="1"/>
      <c r="X518" s="1"/>
      <c r="Y518" s="1"/>
      <c r="Z518" s="1"/>
    </row>
    <row r="519" spans="1:26" ht="24.75" customHeight="1">
      <c r="A519" s="1"/>
      <c r="B519" s="1"/>
      <c r="C519" s="1"/>
      <c r="D519" s="1"/>
      <c r="E519" s="1"/>
      <c r="F519" s="1"/>
      <c r="G519" s="1"/>
      <c r="H519" s="1"/>
      <c r="I519" s="1"/>
      <c r="J519" s="1"/>
      <c r="K519" s="1"/>
      <c r="L519" s="1"/>
      <c r="M519" s="1"/>
      <c r="N519" s="1"/>
      <c r="O519" s="1"/>
      <c r="P519" s="1"/>
      <c r="Q519" s="1"/>
      <c r="R519" s="1"/>
      <c r="S519" s="1"/>
      <c r="T519" s="1"/>
      <c r="U519" s="2"/>
      <c r="V519" s="1"/>
      <c r="W519" s="1"/>
      <c r="X519" s="1"/>
      <c r="Y519" s="1"/>
      <c r="Z519" s="1"/>
    </row>
    <row r="520" spans="1:26" ht="24.75" customHeight="1">
      <c r="A520" s="1"/>
      <c r="B520" s="1"/>
      <c r="C520" s="1"/>
      <c r="D520" s="1"/>
      <c r="E520" s="1"/>
      <c r="F520" s="1"/>
      <c r="G520" s="1"/>
      <c r="H520" s="1"/>
      <c r="I520" s="1"/>
      <c r="J520" s="1"/>
      <c r="K520" s="1"/>
      <c r="L520" s="1"/>
      <c r="M520" s="1"/>
      <c r="N520" s="1"/>
      <c r="O520" s="1"/>
      <c r="P520" s="1"/>
      <c r="Q520" s="1"/>
      <c r="R520" s="1"/>
      <c r="S520" s="1"/>
      <c r="T520" s="1"/>
      <c r="U520" s="2"/>
      <c r="V520" s="1"/>
      <c r="W520" s="1"/>
      <c r="X520" s="1"/>
      <c r="Y520" s="1"/>
      <c r="Z520" s="1"/>
    </row>
    <row r="521" spans="1:26" ht="24.75" customHeight="1">
      <c r="A521" s="1"/>
      <c r="B521" s="1"/>
      <c r="C521" s="1"/>
      <c r="D521" s="1"/>
      <c r="E521" s="1"/>
      <c r="F521" s="1"/>
      <c r="G521" s="1"/>
      <c r="H521" s="1"/>
      <c r="I521" s="1"/>
      <c r="J521" s="1"/>
      <c r="K521" s="1"/>
      <c r="L521" s="1"/>
      <c r="M521" s="1"/>
      <c r="N521" s="1"/>
      <c r="O521" s="1"/>
      <c r="P521" s="1"/>
      <c r="Q521" s="1"/>
      <c r="R521" s="1"/>
      <c r="S521" s="1"/>
      <c r="T521" s="1"/>
      <c r="U521" s="2"/>
      <c r="V521" s="1"/>
      <c r="W521" s="1"/>
      <c r="X521" s="1"/>
      <c r="Y521" s="1"/>
      <c r="Z521" s="1"/>
    </row>
    <row r="522" spans="1:26" ht="24.75" customHeight="1">
      <c r="A522" s="1"/>
      <c r="B522" s="1"/>
      <c r="C522" s="1"/>
      <c r="D522" s="1"/>
      <c r="E522" s="1"/>
      <c r="F522" s="1"/>
      <c r="G522" s="1"/>
      <c r="H522" s="1"/>
      <c r="I522" s="1"/>
      <c r="J522" s="1"/>
      <c r="K522" s="1"/>
      <c r="L522" s="1"/>
      <c r="M522" s="1"/>
      <c r="N522" s="1"/>
      <c r="O522" s="1"/>
      <c r="P522" s="1"/>
      <c r="Q522" s="1"/>
      <c r="R522" s="1"/>
      <c r="S522" s="1"/>
      <c r="T522" s="1"/>
      <c r="U522" s="2"/>
      <c r="V522" s="1"/>
      <c r="W522" s="1"/>
      <c r="X522" s="1"/>
      <c r="Y522" s="1"/>
      <c r="Z522" s="1"/>
    </row>
    <row r="523" spans="1:26" ht="24.75" customHeight="1">
      <c r="A523" s="1"/>
      <c r="B523" s="1"/>
      <c r="C523" s="1"/>
      <c r="D523" s="1"/>
      <c r="E523" s="1"/>
      <c r="F523" s="1"/>
      <c r="G523" s="1"/>
      <c r="H523" s="1"/>
      <c r="I523" s="1"/>
      <c r="J523" s="1"/>
      <c r="K523" s="1"/>
      <c r="L523" s="1"/>
      <c r="M523" s="1"/>
      <c r="N523" s="1"/>
      <c r="O523" s="1"/>
      <c r="P523" s="1"/>
      <c r="Q523" s="1"/>
      <c r="R523" s="1"/>
      <c r="S523" s="1"/>
      <c r="T523" s="1"/>
      <c r="U523" s="2"/>
      <c r="V523" s="1"/>
      <c r="W523" s="1"/>
      <c r="X523" s="1"/>
      <c r="Y523" s="1"/>
      <c r="Z523" s="1"/>
    </row>
    <row r="524" spans="1:26" ht="24.75" customHeight="1">
      <c r="A524" s="1"/>
      <c r="B524" s="1"/>
      <c r="C524" s="1"/>
      <c r="D524" s="1"/>
      <c r="E524" s="1"/>
      <c r="F524" s="1"/>
      <c r="G524" s="1"/>
      <c r="H524" s="1"/>
      <c r="I524" s="1"/>
      <c r="J524" s="1"/>
      <c r="K524" s="1"/>
      <c r="L524" s="1"/>
      <c r="M524" s="1"/>
      <c r="N524" s="1"/>
      <c r="O524" s="1"/>
      <c r="P524" s="1"/>
      <c r="Q524" s="1"/>
      <c r="R524" s="1"/>
      <c r="S524" s="1"/>
      <c r="T524" s="1"/>
      <c r="U524" s="2"/>
      <c r="V524" s="1"/>
      <c r="W524" s="1"/>
      <c r="X524" s="1"/>
      <c r="Y524" s="1"/>
      <c r="Z524" s="1"/>
    </row>
    <row r="525" spans="1:26" ht="24.75" customHeight="1">
      <c r="A525" s="1"/>
      <c r="B525" s="1"/>
      <c r="C525" s="1"/>
      <c r="D525" s="1"/>
      <c r="E525" s="1"/>
      <c r="F525" s="1"/>
      <c r="G525" s="1"/>
      <c r="H525" s="1"/>
      <c r="I525" s="1"/>
      <c r="J525" s="1"/>
      <c r="K525" s="1"/>
      <c r="L525" s="1"/>
      <c r="M525" s="1"/>
      <c r="N525" s="1"/>
      <c r="O525" s="1"/>
      <c r="P525" s="1"/>
      <c r="Q525" s="1"/>
      <c r="R525" s="1"/>
      <c r="S525" s="1"/>
      <c r="T525" s="1"/>
      <c r="U525" s="2"/>
      <c r="V525" s="1"/>
      <c r="W525" s="1"/>
      <c r="X525" s="1"/>
      <c r="Y525" s="1"/>
      <c r="Z525" s="1"/>
    </row>
    <row r="526" spans="1:26" ht="24.75" customHeight="1">
      <c r="A526" s="1"/>
      <c r="B526" s="1"/>
      <c r="C526" s="1"/>
      <c r="D526" s="1"/>
      <c r="E526" s="1"/>
      <c r="F526" s="1"/>
      <c r="G526" s="1"/>
      <c r="H526" s="1"/>
      <c r="I526" s="1"/>
      <c r="J526" s="1"/>
      <c r="K526" s="1"/>
      <c r="L526" s="1"/>
      <c r="M526" s="1"/>
      <c r="N526" s="1"/>
      <c r="O526" s="1"/>
      <c r="P526" s="1"/>
      <c r="Q526" s="1"/>
      <c r="R526" s="1"/>
      <c r="S526" s="1"/>
      <c r="T526" s="1"/>
      <c r="U526" s="2"/>
      <c r="V526" s="1"/>
      <c r="W526" s="1"/>
      <c r="X526" s="1"/>
      <c r="Y526" s="1"/>
      <c r="Z526" s="1"/>
    </row>
    <row r="527" spans="1:26" ht="24.75" customHeight="1">
      <c r="A527" s="1"/>
      <c r="B527" s="1"/>
      <c r="C527" s="1"/>
      <c r="D527" s="1"/>
      <c r="E527" s="1"/>
      <c r="F527" s="1"/>
      <c r="G527" s="1"/>
      <c r="H527" s="1"/>
      <c r="I527" s="1"/>
      <c r="J527" s="1"/>
      <c r="K527" s="1"/>
      <c r="L527" s="1"/>
      <c r="M527" s="1"/>
      <c r="N527" s="1"/>
      <c r="O527" s="1"/>
      <c r="P527" s="1"/>
      <c r="Q527" s="1"/>
      <c r="R527" s="1"/>
      <c r="S527" s="1"/>
      <c r="T527" s="1"/>
      <c r="U527" s="2"/>
      <c r="V527" s="1"/>
      <c r="W527" s="1"/>
      <c r="X527" s="1"/>
      <c r="Y527" s="1"/>
      <c r="Z527" s="1"/>
    </row>
    <row r="528" spans="1:26" ht="24.75" customHeight="1">
      <c r="A528" s="1"/>
      <c r="B528" s="1"/>
      <c r="C528" s="1"/>
      <c r="D528" s="1"/>
      <c r="E528" s="1"/>
      <c r="F528" s="1"/>
      <c r="G528" s="1"/>
      <c r="H528" s="1"/>
      <c r="I528" s="1"/>
      <c r="J528" s="1"/>
      <c r="K528" s="1"/>
      <c r="L528" s="1"/>
      <c r="M528" s="1"/>
      <c r="N528" s="1"/>
      <c r="O528" s="1"/>
      <c r="P528" s="1"/>
      <c r="Q528" s="1"/>
      <c r="R528" s="1"/>
      <c r="S528" s="1"/>
      <c r="T528" s="1"/>
      <c r="U528" s="2"/>
      <c r="V528" s="1"/>
      <c r="W528" s="1"/>
      <c r="X528" s="1"/>
      <c r="Y528" s="1"/>
      <c r="Z528" s="1"/>
    </row>
    <row r="529" spans="1:26" ht="24.75" customHeight="1">
      <c r="A529" s="1"/>
      <c r="B529" s="1"/>
      <c r="C529" s="1"/>
      <c r="D529" s="1"/>
      <c r="E529" s="1"/>
      <c r="F529" s="1"/>
      <c r="G529" s="1"/>
      <c r="H529" s="1"/>
      <c r="I529" s="1"/>
      <c r="J529" s="1"/>
      <c r="K529" s="1"/>
      <c r="L529" s="1"/>
      <c r="M529" s="1"/>
      <c r="N529" s="1"/>
      <c r="O529" s="1"/>
      <c r="P529" s="1"/>
      <c r="Q529" s="1"/>
      <c r="R529" s="1"/>
      <c r="S529" s="1"/>
      <c r="T529" s="1"/>
      <c r="U529" s="2"/>
      <c r="V529" s="1"/>
      <c r="W529" s="1"/>
      <c r="X529" s="1"/>
      <c r="Y529" s="1"/>
      <c r="Z529" s="1"/>
    </row>
    <row r="530" spans="1:26" ht="24.75" customHeight="1">
      <c r="A530" s="1"/>
      <c r="B530" s="1"/>
      <c r="C530" s="1"/>
      <c r="D530" s="1"/>
      <c r="E530" s="1"/>
      <c r="F530" s="1"/>
      <c r="G530" s="1"/>
      <c r="H530" s="1"/>
      <c r="I530" s="1"/>
      <c r="J530" s="1"/>
      <c r="K530" s="1"/>
      <c r="L530" s="1"/>
      <c r="M530" s="1"/>
      <c r="N530" s="1"/>
      <c r="O530" s="1"/>
      <c r="P530" s="1"/>
      <c r="Q530" s="1"/>
      <c r="R530" s="1"/>
      <c r="S530" s="1"/>
      <c r="T530" s="1"/>
      <c r="U530" s="2"/>
      <c r="V530" s="1"/>
      <c r="W530" s="1"/>
      <c r="X530" s="1"/>
      <c r="Y530" s="1"/>
      <c r="Z530" s="1"/>
    </row>
    <row r="531" spans="1:26" ht="24.75" customHeight="1">
      <c r="A531" s="1"/>
      <c r="B531" s="1"/>
      <c r="C531" s="1"/>
      <c r="D531" s="1"/>
      <c r="E531" s="1"/>
      <c r="F531" s="1"/>
      <c r="G531" s="1"/>
      <c r="H531" s="1"/>
      <c r="I531" s="1"/>
      <c r="J531" s="1"/>
      <c r="K531" s="1"/>
      <c r="L531" s="1"/>
      <c r="M531" s="1"/>
      <c r="N531" s="1"/>
      <c r="O531" s="1"/>
      <c r="P531" s="1"/>
      <c r="Q531" s="1"/>
      <c r="R531" s="1"/>
      <c r="S531" s="1"/>
      <c r="T531" s="1"/>
      <c r="U531" s="2"/>
      <c r="V531" s="1"/>
      <c r="W531" s="1"/>
      <c r="X531" s="1"/>
      <c r="Y531" s="1"/>
      <c r="Z531" s="1"/>
    </row>
    <row r="532" spans="1:26" ht="24.75" customHeight="1">
      <c r="A532" s="1"/>
      <c r="B532" s="1"/>
      <c r="C532" s="1"/>
      <c r="D532" s="1"/>
      <c r="E532" s="1"/>
      <c r="F532" s="1"/>
      <c r="G532" s="1"/>
      <c r="H532" s="1"/>
      <c r="I532" s="1"/>
      <c r="J532" s="1"/>
      <c r="K532" s="1"/>
      <c r="L532" s="1"/>
      <c r="M532" s="1"/>
      <c r="N532" s="1"/>
      <c r="O532" s="1"/>
      <c r="P532" s="1"/>
      <c r="Q532" s="1"/>
      <c r="R532" s="1"/>
      <c r="S532" s="1"/>
      <c r="T532" s="1"/>
      <c r="U532" s="2"/>
      <c r="V532" s="1"/>
      <c r="W532" s="1"/>
      <c r="X532" s="1"/>
      <c r="Y532" s="1"/>
      <c r="Z532" s="1"/>
    </row>
    <row r="533" spans="1:26" ht="24.75" customHeight="1">
      <c r="A533" s="1"/>
      <c r="B533" s="1"/>
      <c r="C533" s="1"/>
      <c r="D533" s="1"/>
      <c r="E533" s="1"/>
      <c r="F533" s="1"/>
      <c r="G533" s="1"/>
      <c r="H533" s="1"/>
      <c r="I533" s="1"/>
      <c r="J533" s="1"/>
      <c r="K533" s="1"/>
      <c r="L533" s="1"/>
      <c r="M533" s="1"/>
      <c r="N533" s="1"/>
      <c r="O533" s="1"/>
      <c r="P533" s="1"/>
      <c r="Q533" s="1"/>
      <c r="R533" s="1"/>
      <c r="S533" s="1"/>
      <c r="T533" s="1"/>
      <c r="U533" s="2"/>
      <c r="V533" s="1"/>
      <c r="W533" s="1"/>
      <c r="X533" s="1"/>
      <c r="Y533" s="1"/>
      <c r="Z533" s="1"/>
    </row>
    <row r="534" spans="1:26" ht="24.75" customHeight="1">
      <c r="A534" s="1"/>
      <c r="B534" s="1"/>
      <c r="C534" s="1"/>
      <c r="D534" s="1"/>
      <c r="E534" s="1"/>
      <c r="F534" s="1"/>
      <c r="G534" s="1"/>
      <c r="H534" s="1"/>
      <c r="I534" s="1"/>
      <c r="J534" s="1"/>
      <c r="K534" s="1"/>
      <c r="L534" s="1"/>
      <c r="M534" s="1"/>
      <c r="N534" s="1"/>
      <c r="O534" s="1"/>
      <c r="P534" s="1"/>
      <c r="Q534" s="1"/>
      <c r="R534" s="1"/>
      <c r="S534" s="1"/>
      <c r="T534" s="1"/>
      <c r="U534" s="2"/>
      <c r="V534" s="1"/>
      <c r="W534" s="1"/>
      <c r="X534" s="1"/>
      <c r="Y534" s="1"/>
      <c r="Z534" s="1"/>
    </row>
    <row r="535" spans="1:26" ht="24.75" customHeight="1">
      <c r="A535" s="1"/>
      <c r="B535" s="1"/>
      <c r="C535" s="1"/>
      <c r="D535" s="1"/>
      <c r="E535" s="1"/>
      <c r="F535" s="1"/>
      <c r="G535" s="1"/>
      <c r="H535" s="1"/>
      <c r="I535" s="1"/>
      <c r="J535" s="1"/>
      <c r="K535" s="1"/>
      <c r="L535" s="1"/>
      <c r="M535" s="1"/>
      <c r="N535" s="1"/>
      <c r="O535" s="1"/>
      <c r="P535" s="1"/>
      <c r="Q535" s="1"/>
      <c r="R535" s="1"/>
      <c r="S535" s="1"/>
      <c r="T535" s="1"/>
      <c r="U535" s="2"/>
      <c r="V535" s="1"/>
      <c r="W535" s="1"/>
      <c r="X535" s="1"/>
      <c r="Y535" s="1"/>
      <c r="Z535" s="1"/>
    </row>
    <row r="536" spans="1:26" ht="24.75" customHeight="1">
      <c r="A536" s="1"/>
      <c r="B536" s="1"/>
      <c r="C536" s="1"/>
      <c r="D536" s="1"/>
      <c r="E536" s="1"/>
      <c r="F536" s="1"/>
      <c r="G536" s="1"/>
      <c r="H536" s="1"/>
      <c r="I536" s="1"/>
      <c r="J536" s="1"/>
      <c r="K536" s="1"/>
      <c r="L536" s="1"/>
      <c r="M536" s="1"/>
      <c r="N536" s="1"/>
      <c r="O536" s="1"/>
      <c r="P536" s="1"/>
      <c r="Q536" s="1"/>
      <c r="R536" s="1"/>
      <c r="S536" s="1"/>
      <c r="T536" s="1"/>
      <c r="U536" s="2"/>
      <c r="V536" s="1"/>
      <c r="W536" s="1"/>
      <c r="X536" s="1"/>
      <c r="Y536" s="1"/>
      <c r="Z536" s="1"/>
    </row>
    <row r="537" spans="1:26" ht="24.75" customHeight="1">
      <c r="A537" s="1"/>
      <c r="B537" s="1"/>
      <c r="C537" s="1"/>
      <c r="D537" s="1"/>
      <c r="E537" s="1"/>
      <c r="F537" s="1"/>
      <c r="G537" s="1"/>
      <c r="H537" s="1"/>
      <c r="I537" s="1"/>
      <c r="J537" s="1"/>
      <c r="K537" s="1"/>
      <c r="L537" s="1"/>
      <c r="M537" s="1"/>
      <c r="N537" s="1"/>
      <c r="O537" s="1"/>
      <c r="P537" s="1"/>
      <c r="Q537" s="1"/>
      <c r="R537" s="1"/>
      <c r="S537" s="1"/>
      <c r="T537" s="1"/>
      <c r="U537" s="2"/>
      <c r="V537" s="1"/>
      <c r="W537" s="1"/>
      <c r="X537" s="1"/>
      <c r="Y537" s="1"/>
      <c r="Z537" s="1"/>
    </row>
    <row r="538" spans="1:26" ht="24.75" customHeight="1">
      <c r="A538" s="1"/>
      <c r="B538" s="1"/>
      <c r="C538" s="1"/>
      <c r="D538" s="1"/>
      <c r="E538" s="1"/>
      <c r="F538" s="1"/>
      <c r="G538" s="1"/>
      <c r="H538" s="1"/>
      <c r="I538" s="1"/>
      <c r="J538" s="1"/>
      <c r="K538" s="1"/>
      <c r="L538" s="1"/>
      <c r="M538" s="1"/>
      <c r="N538" s="1"/>
      <c r="O538" s="1"/>
      <c r="P538" s="1"/>
      <c r="Q538" s="1"/>
      <c r="R538" s="1"/>
      <c r="S538" s="1"/>
      <c r="T538" s="1"/>
      <c r="U538" s="2"/>
      <c r="V538" s="1"/>
      <c r="W538" s="1"/>
      <c r="X538" s="1"/>
      <c r="Y538" s="1"/>
      <c r="Z538" s="1"/>
    </row>
    <row r="539" spans="1:26" ht="24.75" customHeight="1">
      <c r="A539" s="1"/>
      <c r="B539" s="1"/>
      <c r="C539" s="1"/>
      <c r="D539" s="1"/>
      <c r="E539" s="1"/>
      <c r="F539" s="1"/>
      <c r="G539" s="1"/>
      <c r="H539" s="1"/>
      <c r="I539" s="1"/>
      <c r="J539" s="1"/>
      <c r="K539" s="1"/>
      <c r="L539" s="1"/>
      <c r="M539" s="1"/>
      <c r="N539" s="1"/>
      <c r="O539" s="1"/>
      <c r="P539" s="1"/>
      <c r="Q539" s="1"/>
      <c r="R539" s="1"/>
      <c r="S539" s="1"/>
      <c r="T539" s="1"/>
      <c r="U539" s="2"/>
      <c r="V539" s="1"/>
      <c r="W539" s="1"/>
      <c r="X539" s="1"/>
      <c r="Y539" s="1"/>
      <c r="Z539" s="1"/>
    </row>
    <row r="540" spans="1:26" ht="24.75" customHeight="1">
      <c r="A540" s="1"/>
      <c r="B540" s="1"/>
      <c r="C540" s="1"/>
      <c r="D540" s="1"/>
      <c r="E540" s="1"/>
      <c r="F540" s="1"/>
      <c r="G540" s="1"/>
      <c r="H540" s="1"/>
      <c r="I540" s="1"/>
      <c r="J540" s="1"/>
      <c r="K540" s="1"/>
      <c r="L540" s="1"/>
      <c r="M540" s="1"/>
      <c r="N540" s="1"/>
      <c r="O540" s="1"/>
      <c r="P540" s="1"/>
      <c r="Q540" s="1"/>
      <c r="R540" s="1"/>
      <c r="S540" s="1"/>
      <c r="T540" s="1"/>
      <c r="U540" s="2"/>
      <c r="V540" s="1"/>
      <c r="W540" s="1"/>
      <c r="X540" s="1"/>
      <c r="Y540" s="1"/>
      <c r="Z540" s="1"/>
    </row>
    <row r="541" spans="1:26" ht="24.75" customHeight="1">
      <c r="A541" s="1"/>
      <c r="B541" s="1"/>
      <c r="C541" s="1"/>
      <c r="D541" s="1"/>
      <c r="E541" s="1"/>
      <c r="F541" s="1"/>
      <c r="G541" s="1"/>
      <c r="H541" s="1"/>
      <c r="I541" s="1"/>
      <c r="J541" s="1"/>
      <c r="K541" s="1"/>
      <c r="L541" s="1"/>
      <c r="M541" s="1"/>
      <c r="N541" s="1"/>
      <c r="O541" s="1"/>
      <c r="P541" s="1"/>
      <c r="Q541" s="1"/>
      <c r="R541" s="1"/>
      <c r="S541" s="1"/>
      <c r="T541" s="1"/>
      <c r="U541" s="2"/>
      <c r="V541" s="1"/>
      <c r="W541" s="1"/>
      <c r="X541" s="1"/>
      <c r="Y541" s="1"/>
      <c r="Z541" s="1"/>
    </row>
    <row r="542" spans="1:26" ht="24.75" customHeight="1">
      <c r="A542" s="1"/>
      <c r="B542" s="1"/>
      <c r="C542" s="1"/>
      <c r="D542" s="1"/>
      <c r="E542" s="1"/>
      <c r="F542" s="1"/>
      <c r="G542" s="1"/>
      <c r="H542" s="1"/>
      <c r="I542" s="1"/>
      <c r="J542" s="1"/>
      <c r="K542" s="1"/>
      <c r="L542" s="1"/>
      <c r="M542" s="1"/>
      <c r="N542" s="1"/>
      <c r="O542" s="1"/>
      <c r="P542" s="1"/>
      <c r="Q542" s="1"/>
      <c r="R542" s="1"/>
      <c r="S542" s="1"/>
      <c r="T542" s="1"/>
      <c r="U542" s="2"/>
      <c r="V542" s="1"/>
      <c r="W542" s="1"/>
      <c r="X542" s="1"/>
      <c r="Y542" s="1"/>
      <c r="Z542" s="1"/>
    </row>
    <row r="543" spans="1:26" ht="24.75" customHeight="1">
      <c r="A543" s="1"/>
      <c r="B543" s="1"/>
      <c r="C543" s="1"/>
      <c r="D543" s="1"/>
      <c r="E543" s="1"/>
      <c r="F543" s="1"/>
      <c r="G543" s="1"/>
      <c r="H543" s="1"/>
      <c r="I543" s="1"/>
      <c r="J543" s="1"/>
      <c r="K543" s="1"/>
      <c r="L543" s="1"/>
      <c r="M543" s="1"/>
      <c r="N543" s="1"/>
      <c r="O543" s="1"/>
      <c r="P543" s="1"/>
      <c r="Q543" s="1"/>
      <c r="R543" s="1"/>
      <c r="S543" s="1"/>
      <c r="T543" s="1"/>
      <c r="U543" s="2"/>
      <c r="V543" s="1"/>
      <c r="W543" s="1"/>
      <c r="X543" s="1"/>
      <c r="Y543" s="1"/>
      <c r="Z543" s="1"/>
    </row>
    <row r="544" spans="1:26" ht="24.75" customHeight="1">
      <c r="A544" s="1"/>
      <c r="B544" s="1"/>
      <c r="C544" s="1"/>
      <c r="D544" s="1"/>
      <c r="E544" s="1"/>
      <c r="F544" s="1"/>
      <c r="G544" s="1"/>
      <c r="H544" s="1"/>
      <c r="I544" s="1"/>
      <c r="J544" s="1"/>
      <c r="K544" s="1"/>
      <c r="L544" s="1"/>
      <c r="M544" s="1"/>
      <c r="N544" s="1"/>
      <c r="O544" s="1"/>
      <c r="P544" s="1"/>
      <c r="Q544" s="1"/>
      <c r="R544" s="1"/>
      <c r="S544" s="1"/>
      <c r="T544" s="1"/>
      <c r="U544" s="2"/>
      <c r="V544" s="1"/>
      <c r="W544" s="1"/>
      <c r="X544" s="1"/>
      <c r="Y544" s="1"/>
      <c r="Z544" s="1"/>
    </row>
    <row r="545" spans="1:26" ht="24.75" customHeight="1">
      <c r="A545" s="1"/>
      <c r="B545" s="1"/>
      <c r="C545" s="1"/>
      <c r="D545" s="1"/>
      <c r="E545" s="1"/>
      <c r="F545" s="1"/>
      <c r="G545" s="1"/>
      <c r="H545" s="1"/>
      <c r="I545" s="1"/>
      <c r="J545" s="1"/>
      <c r="K545" s="1"/>
      <c r="L545" s="1"/>
      <c r="M545" s="1"/>
      <c r="N545" s="1"/>
      <c r="O545" s="1"/>
      <c r="P545" s="1"/>
      <c r="Q545" s="1"/>
      <c r="R545" s="1"/>
      <c r="S545" s="1"/>
      <c r="T545" s="1"/>
      <c r="U545" s="2"/>
      <c r="V545" s="1"/>
      <c r="W545" s="1"/>
      <c r="X545" s="1"/>
      <c r="Y545" s="1"/>
      <c r="Z545" s="1"/>
    </row>
    <row r="546" spans="1:26" ht="24.75" customHeight="1">
      <c r="A546" s="1"/>
      <c r="B546" s="1"/>
      <c r="C546" s="1"/>
      <c r="D546" s="1"/>
      <c r="E546" s="1"/>
      <c r="F546" s="1"/>
      <c r="G546" s="1"/>
      <c r="H546" s="1"/>
      <c r="I546" s="1"/>
      <c r="J546" s="1"/>
      <c r="K546" s="1"/>
      <c r="L546" s="1"/>
      <c r="M546" s="1"/>
      <c r="N546" s="1"/>
      <c r="O546" s="1"/>
      <c r="P546" s="1"/>
      <c r="Q546" s="1"/>
      <c r="R546" s="1"/>
      <c r="S546" s="1"/>
      <c r="T546" s="1"/>
      <c r="U546" s="2"/>
      <c r="V546" s="1"/>
      <c r="W546" s="1"/>
      <c r="X546" s="1"/>
      <c r="Y546" s="1"/>
      <c r="Z546" s="1"/>
    </row>
    <row r="547" spans="1:26" ht="24.75" customHeight="1">
      <c r="A547" s="1"/>
      <c r="B547" s="1"/>
      <c r="C547" s="1"/>
      <c r="D547" s="1"/>
      <c r="E547" s="1"/>
      <c r="F547" s="1"/>
      <c r="G547" s="1"/>
      <c r="H547" s="1"/>
      <c r="I547" s="1"/>
      <c r="J547" s="1"/>
      <c r="K547" s="1"/>
      <c r="L547" s="1"/>
      <c r="M547" s="1"/>
      <c r="N547" s="1"/>
      <c r="O547" s="1"/>
      <c r="P547" s="1"/>
      <c r="Q547" s="1"/>
      <c r="R547" s="1"/>
      <c r="S547" s="1"/>
      <c r="T547" s="1"/>
      <c r="U547" s="2"/>
      <c r="V547" s="1"/>
      <c r="W547" s="1"/>
      <c r="X547" s="1"/>
      <c r="Y547" s="1"/>
      <c r="Z547" s="1"/>
    </row>
    <row r="548" spans="1:26" ht="24.75" customHeight="1">
      <c r="A548" s="1"/>
      <c r="B548" s="1"/>
      <c r="C548" s="1"/>
      <c r="D548" s="1"/>
      <c r="E548" s="1"/>
      <c r="F548" s="1"/>
      <c r="G548" s="1"/>
      <c r="H548" s="1"/>
      <c r="I548" s="1"/>
      <c r="J548" s="1"/>
      <c r="K548" s="1"/>
      <c r="L548" s="1"/>
      <c r="M548" s="1"/>
      <c r="N548" s="1"/>
      <c r="O548" s="1"/>
      <c r="P548" s="1"/>
      <c r="Q548" s="1"/>
      <c r="R548" s="1"/>
      <c r="S548" s="1"/>
      <c r="T548" s="1"/>
      <c r="U548" s="2"/>
      <c r="V548" s="1"/>
      <c r="W548" s="1"/>
      <c r="X548" s="1"/>
      <c r="Y548" s="1"/>
      <c r="Z548" s="1"/>
    </row>
    <row r="549" spans="1:26" ht="24.75" customHeight="1">
      <c r="A549" s="1"/>
      <c r="B549" s="1"/>
      <c r="C549" s="1"/>
      <c r="D549" s="1"/>
      <c r="E549" s="1"/>
      <c r="F549" s="1"/>
      <c r="G549" s="1"/>
      <c r="H549" s="1"/>
      <c r="I549" s="1"/>
      <c r="J549" s="1"/>
      <c r="K549" s="1"/>
      <c r="L549" s="1"/>
      <c r="M549" s="1"/>
      <c r="N549" s="1"/>
      <c r="O549" s="1"/>
      <c r="P549" s="1"/>
      <c r="Q549" s="1"/>
      <c r="R549" s="1"/>
      <c r="S549" s="1"/>
      <c r="T549" s="1"/>
      <c r="U549" s="2"/>
      <c r="V549" s="1"/>
      <c r="W549" s="1"/>
      <c r="X549" s="1"/>
      <c r="Y549" s="1"/>
      <c r="Z549" s="1"/>
    </row>
    <row r="550" spans="1:26" ht="24.75" customHeight="1">
      <c r="A550" s="1"/>
      <c r="B550" s="1"/>
      <c r="C550" s="1"/>
      <c r="D550" s="1"/>
      <c r="E550" s="1"/>
      <c r="F550" s="1"/>
      <c r="G550" s="1"/>
      <c r="H550" s="1"/>
      <c r="I550" s="1"/>
      <c r="J550" s="1"/>
      <c r="K550" s="1"/>
      <c r="L550" s="1"/>
      <c r="M550" s="1"/>
      <c r="N550" s="1"/>
      <c r="O550" s="1"/>
      <c r="P550" s="1"/>
      <c r="Q550" s="1"/>
      <c r="R550" s="1"/>
      <c r="S550" s="1"/>
      <c r="T550" s="1"/>
      <c r="U550" s="2"/>
      <c r="V550" s="1"/>
      <c r="W550" s="1"/>
      <c r="X550" s="1"/>
      <c r="Y550" s="1"/>
      <c r="Z550" s="1"/>
    </row>
    <row r="551" spans="1:26" ht="24.75" customHeight="1">
      <c r="A551" s="1"/>
      <c r="B551" s="1"/>
      <c r="C551" s="1"/>
      <c r="D551" s="1"/>
      <c r="E551" s="1"/>
      <c r="F551" s="1"/>
      <c r="G551" s="1"/>
      <c r="H551" s="1"/>
      <c r="I551" s="1"/>
      <c r="J551" s="1"/>
      <c r="K551" s="1"/>
      <c r="L551" s="1"/>
      <c r="M551" s="1"/>
      <c r="N551" s="1"/>
      <c r="O551" s="1"/>
      <c r="P551" s="1"/>
      <c r="Q551" s="1"/>
      <c r="R551" s="1"/>
      <c r="S551" s="1"/>
      <c r="T551" s="1"/>
      <c r="U551" s="2"/>
      <c r="V551" s="1"/>
      <c r="W551" s="1"/>
      <c r="X551" s="1"/>
      <c r="Y551" s="1"/>
      <c r="Z551" s="1"/>
    </row>
    <row r="552" spans="1:26" ht="24.75" customHeight="1">
      <c r="A552" s="1"/>
      <c r="B552" s="1"/>
      <c r="C552" s="1"/>
      <c r="D552" s="1"/>
      <c r="E552" s="1"/>
      <c r="F552" s="1"/>
      <c r="G552" s="1"/>
      <c r="H552" s="1"/>
      <c r="I552" s="1"/>
      <c r="J552" s="1"/>
      <c r="K552" s="1"/>
      <c r="L552" s="1"/>
      <c r="M552" s="1"/>
      <c r="N552" s="1"/>
      <c r="O552" s="1"/>
      <c r="P552" s="1"/>
      <c r="Q552" s="1"/>
      <c r="R552" s="1"/>
      <c r="S552" s="1"/>
      <c r="T552" s="1"/>
      <c r="U552" s="2"/>
      <c r="V552" s="1"/>
      <c r="W552" s="1"/>
      <c r="X552" s="1"/>
      <c r="Y552" s="1"/>
      <c r="Z552" s="1"/>
    </row>
    <row r="553" spans="1:26" ht="24.75" customHeight="1">
      <c r="A553" s="1"/>
      <c r="B553" s="1"/>
      <c r="C553" s="1"/>
      <c r="D553" s="1"/>
      <c r="E553" s="1"/>
      <c r="F553" s="1"/>
      <c r="G553" s="1"/>
      <c r="H553" s="1"/>
      <c r="I553" s="1"/>
      <c r="J553" s="1"/>
      <c r="K553" s="1"/>
      <c r="L553" s="1"/>
      <c r="M553" s="1"/>
      <c r="N553" s="1"/>
      <c r="O553" s="1"/>
      <c r="P553" s="1"/>
      <c r="Q553" s="1"/>
      <c r="R553" s="1"/>
      <c r="S553" s="1"/>
      <c r="T553" s="1"/>
      <c r="U553" s="2"/>
      <c r="V553" s="1"/>
      <c r="W553" s="1"/>
      <c r="X553" s="1"/>
      <c r="Y553" s="1"/>
      <c r="Z553" s="1"/>
    </row>
    <row r="554" spans="1:26" ht="24.75" customHeight="1">
      <c r="A554" s="1"/>
      <c r="B554" s="1"/>
      <c r="C554" s="1"/>
      <c r="D554" s="1"/>
      <c r="E554" s="1"/>
      <c r="F554" s="1"/>
      <c r="G554" s="1"/>
      <c r="H554" s="1"/>
      <c r="I554" s="1"/>
      <c r="J554" s="1"/>
      <c r="K554" s="1"/>
      <c r="L554" s="1"/>
      <c r="M554" s="1"/>
      <c r="N554" s="1"/>
      <c r="O554" s="1"/>
      <c r="P554" s="1"/>
      <c r="Q554" s="1"/>
      <c r="R554" s="1"/>
      <c r="S554" s="1"/>
      <c r="T554" s="1"/>
      <c r="U554" s="2"/>
      <c r="V554" s="1"/>
      <c r="W554" s="1"/>
      <c r="X554" s="1"/>
      <c r="Y554" s="1"/>
      <c r="Z554" s="1"/>
    </row>
    <row r="555" spans="1:26" ht="24.75" customHeight="1">
      <c r="A555" s="1"/>
      <c r="B555" s="1"/>
      <c r="C555" s="1"/>
      <c r="D555" s="1"/>
      <c r="E555" s="1"/>
      <c r="F555" s="1"/>
      <c r="G555" s="1"/>
      <c r="H555" s="1"/>
      <c r="I555" s="1"/>
      <c r="J555" s="1"/>
      <c r="K555" s="1"/>
      <c r="L555" s="1"/>
      <c r="M555" s="1"/>
      <c r="N555" s="1"/>
      <c r="O555" s="1"/>
      <c r="P555" s="1"/>
      <c r="Q555" s="1"/>
      <c r="R555" s="1"/>
      <c r="S555" s="1"/>
      <c r="T555" s="1"/>
      <c r="U555" s="2"/>
      <c r="V555" s="1"/>
      <c r="W555" s="1"/>
      <c r="X555" s="1"/>
      <c r="Y555" s="1"/>
      <c r="Z555" s="1"/>
    </row>
    <row r="556" spans="1:26" ht="24.75" customHeight="1">
      <c r="A556" s="1"/>
      <c r="B556" s="1"/>
      <c r="C556" s="1"/>
      <c r="D556" s="1"/>
      <c r="E556" s="1"/>
      <c r="F556" s="1"/>
      <c r="G556" s="1"/>
      <c r="H556" s="1"/>
      <c r="I556" s="1"/>
      <c r="J556" s="1"/>
      <c r="K556" s="1"/>
      <c r="L556" s="1"/>
      <c r="M556" s="1"/>
      <c r="N556" s="1"/>
      <c r="O556" s="1"/>
      <c r="P556" s="1"/>
      <c r="Q556" s="1"/>
      <c r="R556" s="1"/>
      <c r="S556" s="1"/>
      <c r="T556" s="1"/>
      <c r="U556" s="2"/>
      <c r="V556" s="1"/>
      <c r="W556" s="1"/>
      <c r="X556" s="1"/>
      <c r="Y556" s="1"/>
      <c r="Z556" s="1"/>
    </row>
    <row r="557" spans="1:26" ht="24.75" customHeight="1">
      <c r="A557" s="1"/>
      <c r="B557" s="1"/>
      <c r="C557" s="1"/>
      <c r="D557" s="1"/>
      <c r="E557" s="1"/>
      <c r="F557" s="1"/>
      <c r="G557" s="1"/>
      <c r="H557" s="1"/>
      <c r="I557" s="1"/>
      <c r="J557" s="1"/>
      <c r="K557" s="1"/>
      <c r="L557" s="1"/>
      <c r="M557" s="1"/>
      <c r="N557" s="1"/>
      <c r="O557" s="1"/>
      <c r="P557" s="1"/>
      <c r="Q557" s="1"/>
      <c r="R557" s="1"/>
      <c r="S557" s="1"/>
      <c r="T557" s="1"/>
      <c r="U557" s="2"/>
      <c r="V557" s="1"/>
      <c r="W557" s="1"/>
      <c r="X557" s="1"/>
      <c r="Y557" s="1"/>
      <c r="Z557" s="1"/>
    </row>
    <row r="558" spans="1:26" ht="24.75" customHeight="1">
      <c r="A558" s="1"/>
      <c r="B558" s="1"/>
      <c r="C558" s="1"/>
      <c r="D558" s="1"/>
      <c r="E558" s="1"/>
      <c r="F558" s="1"/>
      <c r="G558" s="1"/>
      <c r="H558" s="1"/>
      <c r="I558" s="1"/>
      <c r="J558" s="1"/>
      <c r="K558" s="1"/>
      <c r="L558" s="1"/>
      <c r="M558" s="1"/>
      <c r="N558" s="1"/>
      <c r="O558" s="1"/>
      <c r="P558" s="1"/>
      <c r="Q558" s="1"/>
      <c r="R558" s="1"/>
      <c r="S558" s="1"/>
      <c r="T558" s="1"/>
      <c r="U558" s="2"/>
      <c r="V558" s="1"/>
      <c r="W558" s="1"/>
      <c r="X558" s="1"/>
      <c r="Y558" s="1"/>
      <c r="Z558" s="1"/>
    </row>
    <row r="559" spans="1:26" ht="24.75" customHeight="1">
      <c r="A559" s="1"/>
      <c r="B559" s="1"/>
      <c r="C559" s="1"/>
      <c r="D559" s="1"/>
      <c r="E559" s="1"/>
      <c r="F559" s="1"/>
      <c r="G559" s="1"/>
      <c r="H559" s="1"/>
      <c r="I559" s="1"/>
      <c r="J559" s="1"/>
      <c r="K559" s="1"/>
      <c r="L559" s="1"/>
      <c r="M559" s="1"/>
      <c r="N559" s="1"/>
      <c r="O559" s="1"/>
      <c r="P559" s="1"/>
      <c r="Q559" s="1"/>
      <c r="R559" s="1"/>
      <c r="S559" s="1"/>
      <c r="T559" s="1"/>
      <c r="U559" s="2"/>
      <c r="V559" s="1"/>
      <c r="W559" s="1"/>
      <c r="X559" s="1"/>
      <c r="Y559" s="1"/>
      <c r="Z559" s="1"/>
    </row>
    <row r="560" spans="1:26" ht="24.75" customHeight="1">
      <c r="A560" s="1"/>
      <c r="B560" s="1"/>
      <c r="C560" s="1"/>
      <c r="D560" s="1"/>
      <c r="E560" s="1"/>
      <c r="F560" s="1"/>
      <c r="G560" s="1"/>
      <c r="H560" s="1"/>
      <c r="I560" s="1"/>
      <c r="J560" s="1"/>
      <c r="K560" s="1"/>
      <c r="L560" s="1"/>
      <c r="M560" s="1"/>
      <c r="N560" s="1"/>
      <c r="O560" s="1"/>
      <c r="P560" s="1"/>
      <c r="Q560" s="1"/>
      <c r="R560" s="1"/>
      <c r="S560" s="1"/>
      <c r="T560" s="1"/>
      <c r="U560" s="2"/>
      <c r="V560" s="1"/>
      <c r="W560" s="1"/>
      <c r="X560" s="1"/>
      <c r="Y560" s="1"/>
      <c r="Z560" s="1"/>
    </row>
    <row r="561" spans="1:26" ht="24.75" customHeight="1">
      <c r="A561" s="1"/>
      <c r="B561" s="1"/>
      <c r="C561" s="1"/>
      <c r="D561" s="1"/>
      <c r="E561" s="1"/>
      <c r="F561" s="1"/>
      <c r="G561" s="1"/>
      <c r="H561" s="1"/>
      <c r="I561" s="1"/>
      <c r="J561" s="1"/>
      <c r="K561" s="1"/>
      <c r="L561" s="1"/>
      <c r="M561" s="1"/>
      <c r="N561" s="1"/>
      <c r="O561" s="1"/>
      <c r="P561" s="1"/>
      <c r="Q561" s="1"/>
      <c r="R561" s="1"/>
      <c r="S561" s="1"/>
      <c r="T561" s="1"/>
      <c r="U561" s="2"/>
      <c r="V561" s="1"/>
      <c r="W561" s="1"/>
      <c r="X561" s="1"/>
      <c r="Y561" s="1"/>
      <c r="Z561" s="1"/>
    </row>
    <row r="562" spans="1:26" ht="24.75" customHeight="1">
      <c r="A562" s="1"/>
      <c r="B562" s="1"/>
      <c r="C562" s="1"/>
      <c r="D562" s="1"/>
      <c r="E562" s="1"/>
      <c r="F562" s="1"/>
      <c r="G562" s="1"/>
      <c r="H562" s="1"/>
      <c r="I562" s="1"/>
      <c r="J562" s="1"/>
      <c r="K562" s="1"/>
      <c r="L562" s="1"/>
      <c r="M562" s="1"/>
      <c r="N562" s="1"/>
      <c r="O562" s="1"/>
      <c r="P562" s="1"/>
      <c r="Q562" s="1"/>
      <c r="R562" s="1"/>
      <c r="S562" s="1"/>
      <c r="T562" s="1"/>
      <c r="U562" s="2"/>
      <c r="V562" s="1"/>
      <c r="W562" s="1"/>
      <c r="X562" s="1"/>
      <c r="Y562" s="1"/>
      <c r="Z562" s="1"/>
    </row>
    <row r="563" spans="1:26" ht="24.75" customHeight="1">
      <c r="A563" s="1"/>
      <c r="B563" s="1"/>
      <c r="C563" s="1"/>
      <c r="D563" s="1"/>
      <c r="E563" s="1"/>
      <c r="F563" s="1"/>
      <c r="G563" s="1"/>
      <c r="H563" s="1"/>
      <c r="I563" s="1"/>
      <c r="J563" s="1"/>
      <c r="K563" s="1"/>
      <c r="L563" s="1"/>
      <c r="M563" s="1"/>
      <c r="N563" s="1"/>
      <c r="O563" s="1"/>
      <c r="P563" s="1"/>
      <c r="Q563" s="1"/>
      <c r="R563" s="1"/>
      <c r="S563" s="1"/>
      <c r="T563" s="1"/>
      <c r="U563" s="2"/>
      <c r="V563" s="1"/>
      <c r="W563" s="1"/>
      <c r="X563" s="1"/>
      <c r="Y563" s="1"/>
      <c r="Z563" s="1"/>
    </row>
    <row r="564" spans="1:26" ht="24.75" customHeight="1">
      <c r="A564" s="1"/>
      <c r="B564" s="1"/>
      <c r="C564" s="1"/>
      <c r="D564" s="1"/>
      <c r="E564" s="1"/>
      <c r="F564" s="1"/>
      <c r="G564" s="1"/>
      <c r="H564" s="1"/>
      <c r="I564" s="1"/>
      <c r="J564" s="1"/>
      <c r="K564" s="1"/>
      <c r="L564" s="1"/>
      <c r="M564" s="1"/>
      <c r="N564" s="1"/>
      <c r="O564" s="1"/>
      <c r="P564" s="1"/>
      <c r="Q564" s="1"/>
      <c r="R564" s="1"/>
      <c r="S564" s="1"/>
      <c r="T564" s="1"/>
      <c r="U564" s="2"/>
      <c r="V564" s="1"/>
      <c r="W564" s="1"/>
      <c r="X564" s="1"/>
      <c r="Y564" s="1"/>
      <c r="Z564" s="1"/>
    </row>
    <row r="565" spans="1:26" ht="24.75" customHeight="1">
      <c r="A565" s="1"/>
      <c r="B565" s="1"/>
      <c r="C565" s="1"/>
      <c r="D565" s="1"/>
      <c r="E565" s="1"/>
      <c r="F565" s="1"/>
      <c r="G565" s="1"/>
      <c r="H565" s="1"/>
      <c r="I565" s="1"/>
      <c r="J565" s="1"/>
      <c r="K565" s="1"/>
      <c r="L565" s="1"/>
      <c r="M565" s="1"/>
      <c r="N565" s="1"/>
      <c r="O565" s="1"/>
      <c r="P565" s="1"/>
      <c r="Q565" s="1"/>
      <c r="R565" s="1"/>
      <c r="S565" s="1"/>
      <c r="T565" s="1"/>
      <c r="U565" s="2"/>
      <c r="V565" s="1"/>
      <c r="W565" s="1"/>
      <c r="X565" s="1"/>
      <c r="Y565" s="1"/>
      <c r="Z565" s="1"/>
    </row>
    <row r="566" spans="1:26" ht="24.75" customHeight="1">
      <c r="A566" s="1"/>
      <c r="B566" s="1"/>
      <c r="C566" s="1"/>
      <c r="D566" s="1"/>
      <c r="E566" s="1"/>
      <c r="F566" s="1"/>
      <c r="G566" s="1"/>
      <c r="H566" s="1"/>
      <c r="I566" s="1"/>
      <c r="J566" s="1"/>
      <c r="K566" s="1"/>
      <c r="L566" s="1"/>
      <c r="M566" s="1"/>
      <c r="N566" s="1"/>
      <c r="O566" s="1"/>
      <c r="P566" s="1"/>
      <c r="Q566" s="1"/>
      <c r="R566" s="1"/>
      <c r="S566" s="1"/>
      <c r="T566" s="1"/>
      <c r="U566" s="2"/>
      <c r="V566" s="1"/>
      <c r="W566" s="1"/>
      <c r="X566" s="1"/>
      <c r="Y566" s="1"/>
      <c r="Z566" s="1"/>
    </row>
    <row r="567" spans="1:26" ht="24.75" customHeight="1">
      <c r="A567" s="1"/>
      <c r="B567" s="1"/>
      <c r="C567" s="1"/>
      <c r="D567" s="1"/>
      <c r="E567" s="1"/>
      <c r="F567" s="1"/>
      <c r="G567" s="1"/>
      <c r="H567" s="1"/>
      <c r="I567" s="1"/>
      <c r="J567" s="1"/>
      <c r="K567" s="1"/>
      <c r="L567" s="1"/>
      <c r="M567" s="1"/>
      <c r="N567" s="1"/>
      <c r="O567" s="1"/>
      <c r="P567" s="1"/>
      <c r="Q567" s="1"/>
      <c r="R567" s="1"/>
      <c r="S567" s="1"/>
      <c r="T567" s="1"/>
      <c r="U567" s="2"/>
      <c r="V567" s="1"/>
      <c r="W567" s="1"/>
      <c r="X567" s="1"/>
      <c r="Y567" s="1"/>
      <c r="Z567" s="1"/>
    </row>
    <row r="568" spans="1:26" ht="24.75" customHeight="1">
      <c r="A568" s="1"/>
      <c r="B568" s="1"/>
      <c r="C568" s="1"/>
      <c r="D568" s="1"/>
      <c r="E568" s="1"/>
      <c r="F568" s="1"/>
      <c r="G568" s="1"/>
      <c r="H568" s="1"/>
      <c r="I568" s="1"/>
      <c r="J568" s="1"/>
      <c r="K568" s="1"/>
      <c r="L568" s="1"/>
      <c r="M568" s="1"/>
      <c r="N568" s="1"/>
      <c r="O568" s="1"/>
      <c r="P568" s="1"/>
      <c r="Q568" s="1"/>
      <c r="R568" s="1"/>
      <c r="S568" s="1"/>
      <c r="T568" s="1"/>
      <c r="U568" s="2"/>
      <c r="V568" s="1"/>
      <c r="W568" s="1"/>
      <c r="X568" s="1"/>
      <c r="Y568" s="1"/>
      <c r="Z568" s="1"/>
    </row>
    <row r="569" spans="1:26" ht="24.75" customHeight="1">
      <c r="A569" s="1"/>
      <c r="B569" s="1"/>
      <c r="C569" s="1"/>
      <c r="D569" s="1"/>
      <c r="E569" s="1"/>
      <c r="F569" s="1"/>
      <c r="G569" s="1"/>
      <c r="H569" s="1"/>
      <c r="I569" s="1"/>
      <c r="J569" s="1"/>
      <c r="K569" s="1"/>
      <c r="L569" s="1"/>
      <c r="M569" s="1"/>
      <c r="N569" s="1"/>
      <c r="O569" s="1"/>
      <c r="P569" s="1"/>
      <c r="Q569" s="1"/>
      <c r="R569" s="1"/>
      <c r="S569" s="1"/>
      <c r="T569" s="1"/>
      <c r="U569" s="2"/>
      <c r="V569" s="1"/>
      <c r="W569" s="1"/>
      <c r="X569" s="1"/>
      <c r="Y569" s="1"/>
      <c r="Z569" s="1"/>
    </row>
    <row r="570" spans="1:26" ht="24.75" customHeight="1">
      <c r="A570" s="1"/>
      <c r="B570" s="1"/>
      <c r="C570" s="1"/>
      <c r="D570" s="1"/>
      <c r="E570" s="1"/>
      <c r="F570" s="1"/>
      <c r="G570" s="1"/>
      <c r="H570" s="1"/>
      <c r="I570" s="1"/>
      <c r="J570" s="1"/>
      <c r="K570" s="1"/>
      <c r="L570" s="1"/>
      <c r="M570" s="1"/>
      <c r="N570" s="1"/>
      <c r="O570" s="1"/>
      <c r="P570" s="1"/>
      <c r="Q570" s="1"/>
      <c r="R570" s="1"/>
      <c r="S570" s="1"/>
      <c r="T570" s="1"/>
      <c r="U570" s="2"/>
      <c r="V570" s="1"/>
      <c r="W570" s="1"/>
      <c r="X570" s="1"/>
      <c r="Y570" s="1"/>
      <c r="Z570" s="1"/>
    </row>
    <row r="571" spans="1:26" ht="24.75" customHeight="1">
      <c r="A571" s="1"/>
      <c r="B571" s="1"/>
      <c r="C571" s="1"/>
      <c r="D571" s="1"/>
      <c r="E571" s="1"/>
      <c r="F571" s="1"/>
      <c r="G571" s="1"/>
      <c r="H571" s="1"/>
      <c r="I571" s="1"/>
      <c r="J571" s="1"/>
      <c r="K571" s="1"/>
      <c r="L571" s="1"/>
      <c r="M571" s="1"/>
      <c r="N571" s="1"/>
      <c r="O571" s="1"/>
      <c r="P571" s="1"/>
      <c r="Q571" s="1"/>
      <c r="R571" s="1"/>
      <c r="S571" s="1"/>
      <c r="T571" s="1"/>
      <c r="U571" s="2"/>
      <c r="V571" s="1"/>
      <c r="W571" s="1"/>
      <c r="X571" s="1"/>
      <c r="Y571" s="1"/>
      <c r="Z571" s="1"/>
    </row>
    <row r="572" spans="1:26" ht="24.75" customHeight="1">
      <c r="A572" s="1"/>
      <c r="B572" s="1"/>
      <c r="C572" s="1"/>
      <c r="D572" s="1"/>
      <c r="E572" s="1"/>
      <c r="F572" s="1"/>
      <c r="G572" s="1"/>
      <c r="H572" s="1"/>
      <c r="I572" s="1"/>
      <c r="J572" s="1"/>
      <c r="K572" s="1"/>
      <c r="L572" s="1"/>
      <c r="M572" s="1"/>
      <c r="N572" s="1"/>
      <c r="O572" s="1"/>
      <c r="P572" s="1"/>
      <c r="Q572" s="1"/>
      <c r="R572" s="1"/>
      <c r="S572" s="1"/>
      <c r="T572" s="1"/>
      <c r="U572" s="2"/>
      <c r="V572" s="1"/>
      <c r="W572" s="1"/>
      <c r="X572" s="1"/>
      <c r="Y572" s="1"/>
      <c r="Z572" s="1"/>
    </row>
    <row r="573" spans="1:26" ht="24.75" customHeight="1">
      <c r="A573" s="1"/>
      <c r="B573" s="1"/>
      <c r="C573" s="1"/>
      <c r="D573" s="1"/>
      <c r="E573" s="1"/>
      <c r="F573" s="1"/>
      <c r="G573" s="1"/>
      <c r="H573" s="1"/>
      <c r="I573" s="1"/>
      <c r="J573" s="1"/>
      <c r="K573" s="1"/>
      <c r="L573" s="1"/>
      <c r="M573" s="1"/>
      <c r="N573" s="1"/>
      <c r="O573" s="1"/>
      <c r="P573" s="1"/>
      <c r="Q573" s="1"/>
      <c r="R573" s="1"/>
      <c r="S573" s="1"/>
      <c r="T573" s="1"/>
      <c r="U573" s="2"/>
      <c r="V573" s="1"/>
      <c r="W573" s="1"/>
      <c r="X573" s="1"/>
      <c r="Y573" s="1"/>
      <c r="Z573" s="1"/>
    </row>
    <row r="574" spans="1:26" ht="24.75" customHeight="1">
      <c r="A574" s="1"/>
      <c r="B574" s="1"/>
      <c r="C574" s="1"/>
      <c r="D574" s="1"/>
      <c r="E574" s="1"/>
      <c r="F574" s="1"/>
      <c r="G574" s="1"/>
      <c r="H574" s="1"/>
      <c r="I574" s="1"/>
      <c r="J574" s="1"/>
      <c r="K574" s="1"/>
      <c r="L574" s="1"/>
      <c r="M574" s="1"/>
      <c r="N574" s="1"/>
      <c r="O574" s="1"/>
      <c r="P574" s="1"/>
      <c r="Q574" s="1"/>
      <c r="R574" s="1"/>
      <c r="S574" s="1"/>
      <c r="T574" s="1"/>
      <c r="U574" s="2"/>
      <c r="V574" s="1"/>
      <c r="W574" s="1"/>
      <c r="X574" s="1"/>
      <c r="Y574" s="1"/>
      <c r="Z574" s="1"/>
    </row>
    <row r="575" spans="1:26" ht="24.75" customHeight="1">
      <c r="A575" s="1"/>
      <c r="B575" s="1"/>
      <c r="C575" s="1"/>
      <c r="D575" s="1"/>
      <c r="E575" s="1"/>
      <c r="F575" s="1"/>
      <c r="G575" s="1"/>
      <c r="H575" s="1"/>
      <c r="I575" s="1"/>
      <c r="J575" s="1"/>
      <c r="K575" s="1"/>
      <c r="L575" s="1"/>
      <c r="M575" s="1"/>
      <c r="N575" s="1"/>
      <c r="O575" s="1"/>
      <c r="P575" s="1"/>
      <c r="Q575" s="1"/>
      <c r="R575" s="1"/>
      <c r="S575" s="1"/>
      <c r="T575" s="1"/>
      <c r="U575" s="2"/>
      <c r="V575" s="1"/>
      <c r="W575" s="1"/>
      <c r="X575" s="1"/>
      <c r="Y575" s="1"/>
      <c r="Z575" s="1"/>
    </row>
    <row r="576" spans="1:26" ht="24.75" customHeight="1">
      <c r="A576" s="1"/>
      <c r="B576" s="1"/>
      <c r="C576" s="1"/>
      <c r="D576" s="1"/>
      <c r="E576" s="1"/>
      <c r="F576" s="1"/>
      <c r="G576" s="1"/>
      <c r="H576" s="1"/>
      <c r="I576" s="1"/>
      <c r="J576" s="1"/>
      <c r="K576" s="1"/>
      <c r="L576" s="1"/>
      <c r="M576" s="1"/>
      <c r="N576" s="1"/>
      <c r="O576" s="1"/>
      <c r="P576" s="1"/>
      <c r="Q576" s="1"/>
      <c r="R576" s="1"/>
      <c r="S576" s="1"/>
      <c r="T576" s="1"/>
      <c r="U576" s="2"/>
      <c r="V576" s="1"/>
      <c r="W576" s="1"/>
      <c r="X576" s="1"/>
      <c r="Y576" s="1"/>
      <c r="Z576" s="1"/>
    </row>
    <row r="577" spans="1:26" ht="24.75" customHeight="1">
      <c r="A577" s="1"/>
      <c r="B577" s="1"/>
      <c r="C577" s="1"/>
      <c r="D577" s="1"/>
      <c r="E577" s="1"/>
      <c r="F577" s="1"/>
      <c r="G577" s="1"/>
      <c r="H577" s="1"/>
      <c r="I577" s="1"/>
      <c r="J577" s="1"/>
      <c r="K577" s="1"/>
      <c r="L577" s="1"/>
      <c r="M577" s="1"/>
      <c r="N577" s="1"/>
      <c r="O577" s="1"/>
      <c r="P577" s="1"/>
      <c r="Q577" s="1"/>
      <c r="R577" s="1"/>
      <c r="S577" s="1"/>
      <c r="T577" s="1"/>
      <c r="U577" s="2"/>
      <c r="V577" s="1"/>
      <c r="W577" s="1"/>
      <c r="X577" s="1"/>
      <c r="Y577" s="1"/>
      <c r="Z577" s="1"/>
    </row>
    <row r="578" spans="1:26" ht="24.75" customHeight="1">
      <c r="A578" s="1"/>
      <c r="B578" s="1"/>
      <c r="C578" s="1"/>
      <c r="D578" s="1"/>
      <c r="E578" s="1"/>
      <c r="F578" s="1"/>
      <c r="G578" s="1"/>
      <c r="H578" s="1"/>
      <c r="I578" s="1"/>
      <c r="J578" s="1"/>
      <c r="K578" s="1"/>
      <c r="L578" s="1"/>
      <c r="M578" s="1"/>
      <c r="N578" s="1"/>
      <c r="O578" s="1"/>
      <c r="P578" s="1"/>
      <c r="Q578" s="1"/>
      <c r="R578" s="1"/>
      <c r="S578" s="1"/>
      <c r="T578" s="1"/>
      <c r="U578" s="2"/>
      <c r="V578" s="1"/>
      <c r="W578" s="1"/>
      <c r="X578" s="1"/>
      <c r="Y578" s="1"/>
      <c r="Z578" s="1"/>
    </row>
    <row r="579" spans="1:26" ht="24.75" customHeight="1">
      <c r="A579" s="1"/>
      <c r="B579" s="1"/>
      <c r="C579" s="1"/>
      <c r="D579" s="1"/>
      <c r="E579" s="1"/>
      <c r="F579" s="1"/>
      <c r="G579" s="1"/>
      <c r="H579" s="1"/>
      <c r="I579" s="1"/>
      <c r="J579" s="1"/>
      <c r="K579" s="1"/>
      <c r="L579" s="1"/>
      <c r="M579" s="1"/>
      <c r="N579" s="1"/>
      <c r="O579" s="1"/>
      <c r="P579" s="1"/>
      <c r="Q579" s="1"/>
      <c r="R579" s="1"/>
      <c r="S579" s="1"/>
      <c r="T579" s="1"/>
      <c r="U579" s="2"/>
      <c r="V579" s="1"/>
      <c r="W579" s="1"/>
      <c r="X579" s="1"/>
      <c r="Y579" s="1"/>
      <c r="Z579" s="1"/>
    </row>
    <row r="580" spans="1:26" ht="24.75" customHeight="1">
      <c r="A580" s="1"/>
      <c r="B580" s="1"/>
      <c r="C580" s="1"/>
      <c r="D580" s="1"/>
      <c r="E580" s="1"/>
      <c r="F580" s="1"/>
      <c r="G580" s="1"/>
      <c r="H580" s="1"/>
      <c r="I580" s="1"/>
      <c r="J580" s="1"/>
      <c r="K580" s="1"/>
      <c r="L580" s="1"/>
      <c r="M580" s="1"/>
      <c r="N580" s="1"/>
      <c r="O580" s="1"/>
      <c r="P580" s="1"/>
      <c r="Q580" s="1"/>
      <c r="R580" s="1"/>
      <c r="S580" s="1"/>
      <c r="T580" s="1"/>
      <c r="U580" s="2"/>
      <c r="V580" s="1"/>
      <c r="W580" s="1"/>
      <c r="X580" s="1"/>
      <c r="Y580" s="1"/>
      <c r="Z580" s="1"/>
    </row>
    <row r="581" spans="1:26" ht="24.75" customHeight="1">
      <c r="A581" s="1"/>
      <c r="B581" s="1"/>
      <c r="C581" s="1"/>
      <c r="D581" s="1"/>
      <c r="E581" s="1"/>
      <c r="F581" s="1"/>
      <c r="G581" s="1"/>
      <c r="H581" s="1"/>
      <c r="I581" s="1"/>
      <c r="J581" s="1"/>
      <c r="K581" s="1"/>
      <c r="L581" s="1"/>
      <c r="M581" s="1"/>
      <c r="N581" s="1"/>
      <c r="O581" s="1"/>
      <c r="P581" s="1"/>
      <c r="Q581" s="1"/>
      <c r="R581" s="1"/>
      <c r="S581" s="1"/>
      <c r="T581" s="1"/>
      <c r="U581" s="2"/>
      <c r="V581" s="1"/>
      <c r="W581" s="1"/>
      <c r="X581" s="1"/>
      <c r="Y581" s="1"/>
      <c r="Z581" s="1"/>
    </row>
    <row r="582" spans="1:26" ht="24.75" customHeight="1">
      <c r="A582" s="1"/>
      <c r="B582" s="1"/>
      <c r="C582" s="1"/>
      <c r="D582" s="1"/>
      <c r="E582" s="1"/>
      <c r="F582" s="1"/>
      <c r="G582" s="1"/>
      <c r="H582" s="1"/>
      <c r="I582" s="1"/>
      <c r="J582" s="1"/>
      <c r="K582" s="1"/>
      <c r="L582" s="1"/>
      <c r="M582" s="1"/>
      <c r="N582" s="1"/>
      <c r="O582" s="1"/>
      <c r="P582" s="1"/>
      <c r="Q582" s="1"/>
      <c r="R582" s="1"/>
      <c r="S582" s="1"/>
      <c r="T582" s="1"/>
      <c r="U582" s="2"/>
      <c r="V582" s="1"/>
      <c r="W582" s="1"/>
      <c r="X582" s="1"/>
      <c r="Y582" s="1"/>
      <c r="Z582" s="1"/>
    </row>
    <row r="583" spans="1:26" ht="24.75" customHeight="1">
      <c r="A583" s="1"/>
      <c r="B583" s="1"/>
      <c r="C583" s="1"/>
      <c r="D583" s="1"/>
      <c r="E583" s="1"/>
      <c r="F583" s="1"/>
      <c r="G583" s="1"/>
      <c r="H583" s="1"/>
      <c r="I583" s="1"/>
      <c r="J583" s="1"/>
      <c r="K583" s="1"/>
      <c r="L583" s="1"/>
      <c r="M583" s="1"/>
      <c r="N583" s="1"/>
      <c r="O583" s="1"/>
      <c r="P583" s="1"/>
      <c r="Q583" s="1"/>
      <c r="R583" s="1"/>
      <c r="S583" s="1"/>
      <c r="T583" s="1"/>
      <c r="U583" s="2"/>
      <c r="V583" s="1"/>
      <c r="W583" s="1"/>
      <c r="X583" s="1"/>
      <c r="Y583" s="1"/>
      <c r="Z583" s="1"/>
    </row>
    <row r="584" spans="1:26" ht="24.75" customHeight="1">
      <c r="A584" s="1"/>
      <c r="B584" s="1"/>
      <c r="C584" s="1"/>
      <c r="D584" s="1"/>
      <c r="E584" s="1"/>
      <c r="F584" s="1"/>
      <c r="G584" s="1"/>
      <c r="H584" s="1"/>
      <c r="I584" s="1"/>
      <c r="J584" s="1"/>
      <c r="K584" s="1"/>
      <c r="L584" s="1"/>
      <c r="M584" s="1"/>
      <c r="N584" s="1"/>
      <c r="O584" s="1"/>
      <c r="P584" s="1"/>
      <c r="Q584" s="1"/>
      <c r="R584" s="1"/>
      <c r="S584" s="1"/>
      <c r="T584" s="1"/>
      <c r="U584" s="2"/>
      <c r="V584" s="1"/>
      <c r="W584" s="1"/>
      <c r="X584" s="1"/>
      <c r="Y584" s="1"/>
      <c r="Z584" s="1"/>
    </row>
    <row r="585" spans="1:26" ht="24.75" customHeight="1">
      <c r="A585" s="1"/>
      <c r="B585" s="1"/>
      <c r="C585" s="1"/>
      <c r="D585" s="1"/>
      <c r="E585" s="1"/>
      <c r="F585" s="1"/>
      <c r="G585" s="1"/>
      <c r="H585" s="1"/>
      <c r="I585" s="1"/>
      <c r="J585" s="1"/>
      <c r="K585" s="1"/>
      <c r="L585" s="1"/>
      <c r="M585" s="1"/>
      <c r="N585" s="1"/>
      <c r="O585" s="1"/>
      <c r="P585" s="1"/>
      <c r="Q585" s="1"/>
      <c r="R585" s="1"/>
      <c r="S585" s="1"/>
      <c r="T585" s="1"/>
      <c r="U585" s="2"/>
      <c r="V585" s="1"/>
      <c r="W585" s="1"/>
      <c r="X585" s="1"/>
      <c r="Y585" s="1"/>
      <c r="Z585" s="1"/>
    </row>
    <row r="586" spans="1:26" ht="24.75" customHeight="1">
      <c r="A586" s="1"/>
      <c r="B586" s="1"/>
      <c r="C586" s="1"/>
      <c r="D586" s="1"/>
      <c r="E586" s="1"/>
      <c r="F586" s="1"/>
      <c r="G586" s="1"/>
      <c r="H586" s="1"/>
      <c r="I586" s="1"/>
      <c r="J586" s="1"/>
      <c r="K586" s="1"/>
      <c r="L586" s="1"/>
      <c r="M586" s="1"/>
      <c r="N586" s="1"/>
      <c r="O586" s="1"/>
      <c r="P586" s="1"/>
      <c r="Q586" s="1"/>
      <c r="R586" s="1"/>
      <c r="S586" s="1"/>
      <c r="T586" s="1"/>
      <c r="U586" s="2"/>
      <c r="V586" s="1"/>
      <c r="W586" s="1"/>
      <c r="X586" s="1"/>
      <c r="Y586" s="1"/>
      <c r="Z586" s="1"/>
    </row>
    <row r="587" spans="1:26" ht="24.75" customHeight="1">
      <c r="A587" s="1"/>
      <c r="B587" s="1"/>
      <c r="C587" s="1"/>
      <c r="D587" s="1"/>
      <c r="E587" s="1"/>
      <c r="F587" s="1"/>
      <c r="G587" s="1"/>
      <c r="H587" s="1"/>
      <c r="I587" s="1"/>
      <c r="J587" s="1"/>
      <c r="K587" s="1"/>
      <c r="L587" s="1"/>
      <c r="M587" s="1"/>
      <c r="N587" s="1"/>
      <c r="O587" s="1"/>
      <c r="P587" s="1"/>
      <c r="Q587" s="1"/>
      <c r="R587" s="1"/>
      <c r="S587" s="1"/>
      <c r="T587" s="1"/>
      <c r="U587" s="2"/>
      <c r="V587" s="1"/>
      <c r="W587" s="1"/>
      <c r="X587" s="1"/>
      <c r="Y587" s="1"/>
      <c r="Z587" s="1"/>
    </row>
    <row r="588" spans="1:26" ht="24.75" customHeight="1">
      <c r="A588" s="1"/>
      <c r="B588" s="1"/>
      <c r="C588" s="1"/>
      <c r="D588" s="1"/>
      <c r="E588" s="1"/>
      <c r="F588" s="1"/>
      <c r="G588" s="1"/>
      <c r="H588" s="1"/>
      <c r="I588" s="1"/>
      <c r="J588" s="1"/>
      <c r="K588" s="1"/>
      <c r="L588" s="1"/>
      <c r="M588" s="1"/>
      <c r="N588" s="1"/>
      <c r="O588" s="1"/>
      <c r="P588" s="1"/>
      <c r="Q588" s="1"/>
      <c r="R588" s="1"/>
      <c r="S588" s="1"/>
      <c r="T588" s="1"/>
      <c r="U588" s="2"/>
      <c r="V588" s="1"/>
      <c r="W588" s="1"/>
      <c r="X588" s="1"/>
      <c r="Y588" s="1"/>
      <c r="Z588" s="1"/>
    </row>
    <row r="589" spans="1:26" ht="24.75" customHeight="1">
      <c r="A589" s="1"/>
      <c r="B589" s="1"/>
      <c r="C589" s="1"/>
      <c r="D589" s="1"/>
      <c r="E589" s="1"/>
      <c r="F589" s="1"/>
      <c r="G589" s="1"/>
      <c r="H589" s="1"/>
      <c r="I589" s="1"/>
      <c r="J589" s="1"/>
      <c r="K589" s="1"/>
      <c r="L589" s="1"/>
      <c r="M589" s="1"/>
      <c r="N589" s="1"/>
      <c r="O589" s="1"/>
      <c r="P589" s="1"/>
      <c r="Q589" s="1"/>
      <c r="R589" s="1"/>
      <c r="S589" s="1"/>
      <c r="T589" s="1"/>
      <c r="U589" s="2"/>
      <c r="V589" s="1"/>
      <c r="W589" s="1"/>
      <c r="X589" s="1"/>
      <c r="Y589" s="1"/>
      <c r="Z589" s="1"/>
    </row>
    <row r="590" spans="1:26" ht="24.75" customHeight="1">
      <c r="A590" s="1"/>
      <c r="B590" s="1"/>
      <c r="C590" s="1"/>
      <c r="D590" s="1"/>
      <c r="E590" s="1"/>
      <c r="F590" s="1"/>
      <c r="G590" s="1"/>
      <c r="H590" s="1"/>
      <c r="I590" s="1"/>
      <c r="J590" s="1"/>
      <c r="K590" s="1"/>
      <c r="L590" s="1"/>
      <c r="M590" s="1"/>
      <c r="N590" s="1"/>
      <c r="O590" s="1"/>
      <c r="P590" s="1"/>
      <c r="Q590" s="1"/>
      <c r="R590" s="1"/>
      <c r="S590" s="1"/>
      <c r="T590" s="1"/>
      <c r="U590" s="2"/>
      <c r="V590" s="1"/>
      <c r="W590" s="1"/>
      <c r="X590" s="1"/>
      <c r="Y590" s="1"/>
      <c r="Z590" s="1"/>
    </row>
    <row r="591" spans="1:26" ht="24.75" customHeight="1">
      <c r="A591" s="1"/>
      <c r="B591" s="1"/>
      <c r="C591" s="1"/>
      <c r="D591" s="1"/>
      <c r="E591" s="1"/>
      <c r="F591" s="1"/>
      <c r="G591" s="1"/>
      <c r="H591" s="1"/>
      <c r="I591" s="1"/>
      <c r="J591" s="1"/>
      <c r="K591" s="1"/>
      <c r="L591" s="1"/>
      <c r="M591" s="1"/>
      <c r="N591" s="1"/>
      <c r="O591" s="1"/>
      <c r="P591" s="1"/>
      <c r="Q591" s="1"/>
      <c r="R591" s="1"/>
      <c r="S591" s="1"/>
      <c r="T591" s="1"/>
      <c r="U591" s="2"/>
      <c r="V591" s="1"/>
      <c r="W591" s="1"/>
      <c r="X591" s="1"/>
      <c r="Y591" s="1"/>
      <c r="Z591" s="1"/>
    </row>
    <row r="592" spans="1:26" ht="24.75" customHeight="1">
      <c r="A592" s="1"/>
      <c r="B592" s="1"/>
      <c r="C592" s="1"/>
      <c r="D592" s="1"/>
      <c r="E592" s="1"/>
      <c r="F592" s="1"/>
      <c r="G592" s="1"/>
      <c r="H592" s="1"/>
      <c r="I592" s="1"/>
      <c r="J592" s="1"/>
      <c r="K592" s="1"/>
      <c r="L592" s="1"/>
      <c r="M592" s="1"/>
      <c r="N592" s="1"/>
      <c r="O592" s="1"/>
      <c r="P592" s="1"/>
      <c r="Q592" s="1"/>
      <c r="R592" s="1"/>
      <c r="S592" s="1"/>
      <c r="T592" s="1"/>
      <c r="U592" s="2"/>
      <c r="V592" s="1"/>
      <c r="W592" s="1"/>
      <c r="X592" s="1"/>
      <c r="Y592" s="1"/>
      <c r="Z592" s="1"/>
    </row>
    <row r="593" spans="1:26" ht="24.75" customHeight="1">
      <c r="A593" s="1"/>
      <c r="B593" s="1"/>
      <c r="C593" s="1"/>
      <c r="D593" s="1"/>
      <c r="E593" s="1"/>
      <c r="F593" s="1"/>
      <c r="G593" s="1"/>
      <c r="H593" s="1"/>
      <c r="I593" s="1"/>
      <c r="J593" s="1"/>
      <c r="K593" s="1"/>
      <c r="L593" s="1"/>
      <c r="M593" s="1"/>
      <c r="N593" s="1"/>
      <c r="O593" s="1"/>
      <c r="P593" s="1"/>
      <c r="Q593" s="1"/>
      <c r="R593" s="1"/>
      <c r="S593" s="1"/>
      <c r="T593" s="1"/>
      <c r="U593" s="2"/>
      <c r="V593" s="1"/>
      <c r="W593" s="1"/>
      <c r="X593" s="1"/>
      <c r="Y593" s="1"/>
      <c r="Z593" s="1"/>
    </row>
    <row r="594" spans="1:26" ht="24.75" customHeight="1">
      <c r="A594" s="1"/>
      <c r="B594" s="1"/>
      <c r="C594" s="1"/>
      <c r="D594" s="1"/>
      <c r="E594" s="1"/>
      <c r="F594" s="1"/>
      <c r="G594" s="1"/>
      <c r="H594" s="1"/>
      <c r="I594" s="1"/>
      <c r="J594" s="1"/>
      <c r="K594" s="1"/>
      <c r="L594" s="1"/>
      <c r="M594" s="1"/>
      <c r="N594" s="1"/>
      <c r="O594" s="1"/>
      <c r="P594" s="1"/>
      <c r="Q594" s="1"/>
      <c r="R594" s="1"/>
      <c r="S594" s="1"/>
      <c r="T594" s="1"/>
      <c r="U594" s="2"/>
      <c r="V594" s="1"/>
      <c r="W594" s="1"/>
      <c r="X594" s="1"/>
      <c r="Y594" s="1"/>
      <c r="Z594" s="1"/>
    </row>
    <row r="595" spans="1:26" ht="24.75" customHeight="1">
      <c r="A595" s="1"/>
      <c r="B595" s="1"/>
      <c r="C595" s="1"/>
      <c r="D595" s="1"/>
      <c r="E595" s="1"/>
      <c r="F595" s="1"/>
      <c r="G595" s="1"/>
      <c r="H595" s="1"/>
      <c r="I595" s="1"/>
      <c r="J595" s="1"/>
      <c r="K595" s="1"/>
      <c r="L595" s="1"/>
      <c r="M595" s="1"/>
      <c r="N595" s="1"/>
      <c r="O595" s="1"/>
      <c r="P595" s="1"/>
      <c r="Q595" s="1"/>
      <c r="R595" s="1"/>
      <c r="S595" s="1"/>
      <c r="T595" s="1"/>
      <c r="U595" s="2"/>
      <c r="V595" s="1"/>
      <c r="W595" s="1"/>
      <c r="X595" s="1"/>
      <c r="Y595" s="1"/>
      <c r="Z595" s="1"/>
    </row>
    <row r="596" spans="1:26" ht="24.75" customHeight="1">
      <c r="A596" s="1"/>
      <c r="B596" s="1"/>
      <c r="C596" s="1"/>
      <c r="D596" s="1"/>
      <c r="E596" s="1"/>
      <c r="F596" s="1"/>
      <c r="G596" s="1"/>
      <c r="H596" s="1"/>
      <c r="I596" s="1"/>
      <c r="J596" s="1"/>
      <c r="K596" s="1"/>
      <c r="L596" s="1"/>
      <c r="M596" s="1"/>
      <c r="N596" s="1"/>
      <c r="O596" s="1"/>
      <c r="P596" s="1"/>
      <c r="Q596" s="1"/>
      <c r="R596" s="1"/>
      <c r="S596" s="1"/>
      <c r="T596" s="1"/>
      <c r="U596" s="2"/>
      <c r="V596" s="1"/>
      <c r="W596" s="1"/>
      <c r="X596" s="1"/>
      <c r="Y596" s="1"/>
      <c r="Z596" s="1"/>
    </row>
    <row r="597" spans="1:26" ht="24.75" customHeight="1">
      <c r="A597" s="1"/>
      <c r="B597" s="1"/>
      <c r="C597" s="1"/>
      <c r="D597" s="1"/>
      <c r="E597" s="1"/>
      <c r="F597" s="1"/>
      <c r="G597" s="1"/>
      <c r="H597" s="1"/>
      <c r="I597" s="1"/>
      <c r="J597" s="1"/>
      <c r="K597" s="1"/>
      <c r="L597" s="1"/>
      <c r="M597" s="1"/>
      <c r="N597" s="1"/>
      <c r="O597" s="1"/>
      <c r="P597" s="1"/>
      <c r="Q597" s="1"/>
      <c r="R597" s="1"/>
      <c r="S597" s="1"/>
      <c r="T597" s="1"/>
      <c r="U597" s="2"/>
      <c r="V597" s="1"/>
      <c r="W597" s="1"/>
      <c r="X597" s="1"/>
      <c r="Y597" s="1"/>
      <c r="Z597" s="1"/>
    </row>
    <row r="598" spans="1:26" ht="24.75" customHeight="1">
      <c r="A598" s="1"/>
      <c r="B598" s="1"/>
      <c r="C598" s="1"/>
      <c r="D598" s="1"/>
      <c r="E598" s="1"/>
      <c r="F598" s="1"/>
      <c r="G598" s="1"/>
      <c r="H598" s="1"/>
      <c r="I598" s="1"/>
      <c r="J598" s="1"/>
      <c r="K598" s="1"/>
      <c r="L598" s="1"/>
      <c r="M598" s="1"/>
      <c r="N598" s="1"/>
      <c r="O598" s="1"/>
      <c r="P598" s="1"/>
      <c r="Q598" s="1"/>
      <c r="R598" s="1"/>
      <c r="S598" s="1"/>
      <c r="T598" s="1"/>
      <c r="U598" s="2"/>
      <c r="V598" s="1"/>
      <c r="W598" s="1"/>
      <c r="X598" s="1"/>
      <c r="Y598" s="1"/>
      <c r="Z598" s="1"/>
    </row>
    <row r="599" spans="1:26" ht="24.75" customHeight="1">
      <c r="A599" s="1"/>
      <c r="B599" s="1"/>
      <c r="C599" s="1"/>
      <c r="D599" s="1"/>
      <c r="E599" s="1"/>
      <c r="F599" s="1"/>
      <c r="G599" s="1"/>
      <c r="H599" s="1"/>
      <c r="I599" s="1"/>
      <c r="J599" s="1"/>
      <c r="K599" s="1"/>
      <c r="L599" s="1"/>
      <c r="M599" s="1"/>
      <c r="N599" s="1"/>
      <c r="O599" s="1"/>
      <c r="P599" s="1"/>
      <c r="Q599" s="1"/>
      <c r="R599" s="1"/>
      <c r="S599" s="1"/>
      <c r="T599" s="1"/>
      <c r="U599" s="2"/>
      <c r="V599" s="1"/>
      <c r="W599" s="1"/>
      <c r="X599" s="1"/>
      <c r="Y599" s="1"/>
      <c r="Z599" s="1"/>
    </row>
    <row r="600" spans="1:26" ht="24.75" customHeight="1">
      <c r="A600" s="1"/>
      <c r="B600" s="1"/>
      <c r="C600" s="1"/>
      <c r="D600" s="1"/>
      <c r="E600" s="1"/>
      <c r="F600" s="1"/>
      <c r="G600" s="1"/>
      <c r="H600" s="1"/>
      <c r="I600" s="1"/>
      <c r="J600" s="1"/>
      <c r="K600" s="1"/>
      <c r="L600" s="1"/>
      <c r="M600" s="1"/>
      <c r="N600" s="1"/>
      <c r="O600" s="1"/>
      <c r="P600" s="1"/>
      <c r="Q600" s="1"/>
      <c r="R600" s="1"/>
      <c r="S600" s="1"/>
      <c r="T600" s="1"/>
      <c r="U600" s="2"/>
      <c r="V600" s="1"/>
      <c r="W600" s="1"/>
      <c r="X600" s="1"/>
      <c r="Y600" s="1"/>
      <c r="Z600" s="1"/>
    </row>
    <row r="601" spans="1:26" ht="24.75" customHeight="1">
      <c r="A601" s="1"/>
      <c r="B601" s="1"/>
      <c r="C601" s="1"/>
      <c r="D601" s="1"/>
      <c r="E601" s="1"/>
      <c r="F601" s="1"/>
      <c r="G601" s="1"/>
      <c r="H601" s="1"/>
      <c r="I601" s="1"/>
      <c r="J601" s="1"/>
      <c r="K601" s="1"/>
      <c r="L601" s="1"/>
      <c r="M601" s="1"/>
      <c r="N601" s="1"/>
      <c r="O601" s="1"/>
      <c r="P601" s="1"/>
      <c r="Q601" s="1"/>
      <c r="R601" s="1"/>
      <c r="S601" s="1"/>
      <c r="T601" s="1"/>
      <c r="U601" s="2"/>
      <c r="V601" s="1"/>
      <c r="W601" s="1"/>
      <c r="X601" s="1"/>
      <c r="Y601" s="1"/>
      <c r="Z601" s="1"/>
    </row>
    <row r="602" spans="1:26" ht="24.75" customHeight="1">
      <c r="A602" s="1"/>
      <c r="B602" s="1"/>
      <c r="C602" s="1"/>
      <c r="D602" s="1"/>
      <c r="E602" s="1"/>
      <c r="F602" s="1"/>
      <c r="G602" s="1"/>
      <c r="H602" s="1"/>
      <c r="I602" s="1"/>
      <c r="J602" s="1"/>
      <c r="K602" s="1"/>
      <c r="L602" s="1"/>
      <c r="M602" s="1"/>
      <c r="N602" s="1"/>
      <c r="O602" s="1"/>
      <c r="P602" s="1"/>
      <c r="Q602" s="1"/>
      <c r="R602" s="1"/>
      <c r="S602" s="1"/>
      <c r="T602" s="1"/>
      <c r="U602" s="2"/>
      <c r="V602" s="1"/>
      <c r="W602" s="1"/>
      <c r="X602" s="1"/>
      <c r="Y602" s="1"/>
      <c r="Z602" s="1"/>
    </row>
    <row r="603" spans="1:26" ht="24.75" customHeight="1">
      <c r="A603" s="1"/>
      <c r="B603" s="1"/>
      <c r="C603" s="1"/>
      <c r="D603" s="1"/>
      <c r="E603" s="1"/>
      <c r="F603" s="1"/>
      <c r="G603" s="1"/>
      <c r="H603" s="1"/>
      <c r="I603" s="1"/>
      <c r="J603" s="1"/>
      <c r="K603" s="1"/>
      <c r="L603" s="1"/>
      <c r="M603" s="1"/>
      <c r="N603" s="1"/>
      <c r="O603" s="1"/>
      <c r="P603" s="1"/>
      <c r="Q603" s="1"/>
      <c r="R603" s="1"/>
      <c r="S603" s="1"/>
      <c r="T603" s="1"/>
      <c r="U603" s="2"/>
      <c r="V603" s="1"/>
      <c r="W603" s="1"/>
      <c r="X603" s="1"/>
      <c r="Y603" s="1"/>
      <c r="Z603" s="1"/>
    </row>
    <row r="604" spans="1:26" ht="24.75" customHeight="1">
      <c r="A604" s="1"/>
      <c r="B604" s="1"/>
      <c r="C604" s="1"/>
      <c r="D604" s="1"/>
      <c r="E604" s="1"/>
      <c r="F604" s="1"/>
      <c r="G604" s="1"/>
      <c r="H604" s="1"/>
      <c r="I604" s="1"/>
      <c r="J604" s="1"/>
      <c r="K604" s="1"/>
      <c r="L604" s="1"/>
      <c r="M604" s="1"/>
      <c r="N604" s="1"/>
      <c r="O604" s="1"/>
      <c r="P604" s="1"/>
      <c r="Q604" s="1"/>
      <c r="R604" s="1"/>
      <c r="S604" s="1"/>
      <c r="T604" s="1"/>
      <c r="U604" s="2"/>
      <c r="V604" s="1"/>
      <c r="W604" s="1"/>
      <c r="X604" s="1"/>
      <c r="Y604" s="1"/>
      <c r="Z604" s="1"/>
    </row>
    <row r="605" spans="1:26" ht="24.75" customHeight="1">
      <c r="A605" s="1"/>
      <c r="B605" s="1"/>
      <c r="C605" s="1"/>
      <c r="D605" s="1"/>
      <c r="E605" s="1"/>
      <c r="F605" s="1"/>
      <c r="G605" s="1"/>
      <c r="H605" s="1"/>
      <c r="I605" s="1"/>
      <c r="J605" s="1"/>
      <c r="K605" s="1"/>
      <c r="L605" s="1"/>
      <c r="M605" s="1"/>
      <c r="N605" s="1"/>
      <c r="O605" s="1"/>
      <c r="P605" s="1"/>
      <c r="Q605" s="1"/>
      <c r="R605" s="1"/>
      <c r="S605" s="1"/>
      <c r="T605" s="1"/>
      <c r="U605" s="2"/>
      <c r="V605" s="1"/>
      <c r="W605" s="1"/>
      <c r="X605" s="1"/>
      <c r="Y605" s="1"/>
      <c r="Z605" s="1"/>
    </row>
    <row r="606" spans="1:26" ht="24.75" customHeight="1">
      <c r="A606" s="1"/>
      <c r="B606" s="1"/>
      <c r="C606" s="1"/>
      <c r="D606" s="1"/>
      <c r="E606" s="1"/>
      <c r="F606" s="1"/>
      <c r="G606" s="1"/>
      <c r="H606" s="1"/>
      <c r="I606" s="1"/>
      <c r="J606" s="1"/>
      <c r="K606" s="1"/>
      <c r="L606" s="1"/>
      <c r="M606" s="1"/>
      <c r="N606" s="1"/>
      <c r="O606" s="1"/>
      <c r="P606" s="1"/>
      <c r="Q606" s="1"/>
      <c r="R606" s="1"/>
      <c r="S606" s="1"/>
      <c r="T606" s="1"/>
      <c r="U606" s="2"/>
      <c r="V606" s="1"/>
      <c r="W606" s="1"/>
      <c r="X606" s="1"/>
      <c r="Y606" s="1"/>
      <c r="Z606" s="1"/>
    </row>
    <row r="607" spans="1:26" ht="24.75" customHeight="1">
      <c r="A607" s="1"/>
      <c r="B607" s="1"/>
      <c r="C607" s="1"/>
      <c r="D607" s="1"/>
      <c r="E607" s="1"/>
      <c r="F607" s="1"/>
      <c r="G607" s="1"/>
      <c r="H607" s="1"/>
      <c r="I607" s="1"/>
      <c r="J607" s="1"/>
      <c r="K607" s="1"/>
      <c r="L607" s="1"/>
      <c r="M607" s="1"/>
      <c r="N607" s="1"/>
      <c r="O607" s="1"/>
      <c r="P607" s="1"/>
      <c r="Q607" s="1"/>
      <c r="R607" s="1"/>
      <c r="S607" s="1"/>
      <c r="T607" s="1"/>
      <c r="U607" s="2"/>
      <c r="V607" s="1"/>
      <c r="W607" s="1"/>
      <c r="X607" s="1"/>
      <c r="Y607" s="1"/>
      <c r="Z607" s="1"/>
    </row>
    <row r="608" spans="1:26" ht="24.75" customHeight="1">
      <c r="A608" s="1"/>
      <c r="B608" s="1"/>
      <c r="C608" s="1"/>
      <c r="D608" s="1"/>
      <c r="E608" s="1"/>
      <c r="F608" s="1"/>
      <c r="G608" s="1"/>
      <c r="H608" s="1"/>
      <c r="I608" s="1"/>
      <c r="J608" s="1"/>
      <c r="K608" s="1"/>
      <c r="L608" s="1"/>
      <c r="M608" s="1"/>
      <c r="N608" s="1"/>
      <c r="O608" s="1"/>
      <c r="P608" s="1"/>
      <c r="Q608" s="1"/>
      <c r="R608" s="1"/>
      <c r="S608" s="1"/>
      <c r="T608" s="1"/>
      <c r="U608" s="2"/>
      <c r="V608" s="1"/>
      <c r="W608" s="1"/>
      <c r="X608" s="1"/>
      <c r="Y608" s="1"/>
      <c r="Z608" s="1"/>
    </row>
    <row r="609" spans="1:26" ht="24.75" customHeight="1">
      <c r="A609" s="1"/>
      <c r="B609" s="1"/>
      <c r="C609" s="1"/>
      <c r="D609" s="1"/>
      <c r="E609" s="1"/>
      <c r="F609" s="1"/>
      <c r="G609" s="1"/>
      <c r="H609" s="1"/>
      <c r="I609" s="1"/>
      <c r="J609" s="1"/>
      <c r="K609" s="1"/>
      <c r="L609" s="1"/>
      <c r="M609" s="1"/>
      <c r="N609" s="1"/>
      <c r="O609" s="1"/>
      <c r="P609" s="1"/>
      <c r="Q609" s="1"/>
      <c r="R609" s="1"/>
      <c r="S609" s="1"/>
      <c r="T609" s="1"/>
      <c r="U609" s="2"/>
      <c r="V609" s="1"/>
      <c r="W609" s="1"/>
      <c r="X609" s="1"/>
      <c r="Y609" s="1"/>
      <c r="Z609" s="1"/>
    </row>
    <row r="610" spans="1:26" ht="24.75" customHeight="1">
      <c r="A610" s="1"/>
      <c r="B610" s="1"/>
      <c r="C610" s="1"/>
      <c r="D610" s="1"/>
      <c r="E610" s="1"/>
      <c r="F610" s="1"/>
      <c r="G610" s="1"/>
      <c r="H610" s="1"/>
      <c r="I610" s="1"/>
      <c r="J610" s="1"/>
      <c r="K610" s="1"/>
      <c r="L610" s="1"/>
      <c r="M610" s="1"/>
      <c r="N610" s="1"/>
      <c r="O610" s="1"/>
      <c r="P610" s="1"/>
      <c r="Q610" s="1"/>
      <c r="R610" s="1"/>
      <c r="S610" s="1"/>
      <c r="T610" s="1"/>
      <c r="U610" s="2"/>
      <c r="V610" s="1"/>
      <c r="W610" s="1"/>
      <c r="X610" s="1"/>
      <c r="Y610" s="1"/>
      <c r="Z610" s="1"/>
    </row>
    <row r="611" spans="1:26" ht="24.75" customHeight="1">
      <c r="A611" s="1"/>
      <c r="B611" s="1"/>
      <c r="C611" s="1"/>
      <c r="D611" s="1"/>
      <c r="E611" s="1"/>
      <c r="F611" s="1"/>
      <c r="G611" s="1"/>
      <c r="H611" s="1"/>
      <c r="I611" s="1"/>
      <c r="J611" s="1"/>
      <c r="K611" s="1"/>
      <c r="L611" s="1"/>
      <c r="M611" s="1"/>
      <c r="N611" s="1"/>
      <c r="O611" s="1"/>
      <c r="P611" s="1"/>
      <c r="Q611" s="1"/>
      <c r="R611" s="1"/>
      <c r="S611" s="1"/>
      <c r="T611" s="1"/>
      <c r="U611" s="2"/>
      <c r="V611" s="1"/>
      <c r="W611" s="1"/>
      <c r="X611" s="1"/>
      <c r="Y611" s="1"/>
      <c r="Z611" s="1"/>
    </row>
    <row r="612" spans="1:26" ht="24.75" customHeight="1">
      <c r="A612" s="1"/>
      <c r="B612" s="1"/>
      <c r="C612" s="1"/>
      <c r="D612" s="1"/>
      <c r="E612" s="1"/>
      <c r="F612" s="1"/>
      <c r="G612" s="1"/>
      <c r="H612" s="1"/>
      <c r="I612" s="1"/>
      <c r="J612" s="1"/>
      <c r="K612" s="1"/>
      <c r="L612" s="1"/>
      <c r="M612" s="1"/>
      <c r="N612" s="1"/>
      <c r="O612" s="1"/>
      <c r="P612" s="1"/>
      <c r="Q612" s="1"/>
      <c r="R612" s="1"/>
      <c r="S612" s="1"/>
      <c r="T612" s="1"/>
      <c r="U612" s="2"/>
      <c r="V612" s="1"/>
      <c r="W612" s="1"/>
      <c r="X612" s="1"/>
      <c r="Y612" s="1"/>
      <c r="Z612" s="1"/>
    </row>
    <row r="613" spans="1:26" ht="24.75" customHeight="1">
      <c r="A613" s="1"/>
      <c r="B613" s="1"/>
      <c r="C613" s="1"/>
      <c r="D613" s="1"/>
      <c r="E613" s="1"/>
      <c r="F613" s="1"/>
      <c r="G613" s="1"/>
      <c r="H613" s="1"/>
      <c r="I613" s="1"/>
      <c r="J613" s="1"/>
      <c r="K613" s="1"/>
      <c r="L613" s="1"/>
      <c r="M613" s="1"/>
      <c r="N613" s="1"/>
      <c r="O613" s="1"/>
      <c r="P613" s="1"/>
      <c r="Q613" s="1"/>
      <c r="R613" s="1"/>
      <c r="S613" s="1"/>
      <c r="T613" s="1"/>
      <c r="U613" s="2"/>
      <c r="V613" s="1"/>
      <c r="W613" s="1"/>
      <c r="X613" s="1"/>
      <c r="Y613" s="1"/>
      <c r="Z613" s="1"/>
    </row>
    <row r="614" spans="1:26" ht="24.75" customHeight="1">
      <c r="A614" s="1"/>
      <c r="B614" s="1"/>
      <c r="C614" s="1"/>
      <c r="D614" s="1"/>
      <c r="E614" s="1"/>
      <c r="F614" s="1"/>
      <c r="G614" s="1"/>
      <c r="H614" s="1"/>
      <c r="I614" s="1"/>
      <c r="J614" s="1"/>
      <c r="K614" s="1"/>
      <c r="L614" s="1"/>
      <c r="M614" s="1"/>
      <c r="N614" s="1"/>
      <c r="O614" s="1"/>
      <c r="P614" s="1"/>
      <c r="Q614" s="1"/>
      <c r="R614" s="1"/>
      <c r="S614" s="1"/>
      <c r="T614" s="1"/>
      <c r="U614" s="2"/>
      <c r="V614" s="1"/>
      <c r="W614" s="1"/>
      <c r="X614" s="1"/>
      <c r="Y614" s="1"/>
      <c r="Z614" s="1"/>
    </row>
    <row r="615" spans="1:26" ht="24.75" customHeight="1">
      <c r="A615" s="1"/>
      <c r="B615" s="1"/>
      <c r="C615" s="1"/>
      <c r="D615" s="1"/>
      <c r="E615" s="1"/>
      <c r="F615" s="1"/>
      <c r="G615" s="1"/>
      <c r="H615" s="1"/>
      <c r="I615" s="1"/>
      <c r="J615" s="1"/>
      <c r="K615" s="1"/>
      <c r="L615" s="1"/>
      <c r="M615" s="1"/>
      <c r="N615" s="1"/>
      <c r="O615" s="1"/>
      <c r="P615" s="1"/>
      <c r="Q615" s="1"/>
      <c r="R615" s="1"/>
      <c r="S615" s="1"/>
      <c r="T615" s="1"/>
      <c r="U615" s="2"/>
      <c r="V615" s="1"/>
      <c r="W615" s="1"/>
      <c r="X615" s="1"/>
      <c r="Y615" s="1"/>
      <c r="Z615" s="1"/>
    </row>
    <row r="616" spans="1:26" ht="24.75" customHeight="1">
      <c r="A616" s="1"/>
      <c r="B616" s="1"/>
      <c r="C616" s="1"/>
      <c r="D616" s="1"/>
      <c r="E616" s="1"/>
      <c r="F616" s="1"/>
      <c r="G616" s="1"/>
      <c r="H616" s="1"/>
      <c r="I616" s="1"/>
      <c r="J616" s="1"/>
      <c r="K616" s="1"/>
      <c r="L616" s="1"/>
      <c r="M616" s="1"/>
      <c r="N616" s="1"/>
      <c r="O616" s="1"/>
      <c r="P616" s="1"/>
      <c r="Q616" s="1"/>
      <c r="R616" s="1"/>
      <c r="S616" s="1"/>
      <c r="T616" s="1"/>
      <c r="U616" s="2"/>
      <c r="V616" s="1"/>
      <c r="W616" s="1"/>
      <c r="X616" s="1"/>
      <c r="Y616" s="1"/>
      <c r="Z616" s="1"/>
    </row>
    <row r="617" spans="1:26" ht="24.75" customHeight="1">
      <c r="A617" s="1"/>
      <c r="B617" s="1"/>
      <c r="C617" s="1"/>
      <c r="D617" s="1"/>
      <c r="E617" s="1"/>
      <c r="F617" s="1"/>
      <c r="G617" s="1"/>
      <c r="H617" s="1"/>
      <c r="I617" s="1"/>
      <c r="J617" s="1"/>
      <c r="K617" s="1"/>
      <c r="L617" s="1"/>
      <c r="M617" s="1"/>
      <c r="N617" s="1"/>
      <c r="O617" s="1"/>
      <c r="P617" s="1"/>
      <c r="Q617" s="1"/>
      <c r="R617" s="1"/>
      <c r="S617" s="1"/>
      <c r="T617" s="1"/>
      <c r="U617" s="2"/>
      <c r="V617" s="1"/>
      <c r="W617" s="1"/>
      <c r="X617" s="1"/>
      <c r="Y617" s="1"/>
      <c r="Z617" s="1"/>
    </row>
    <row r="618" spans="1:26" ht="24.75" customHeight="1">
      <c r="A618" s="1"/>
      <c r="B618" s="1"/>
      <c r="C618" s="1"/>
      <c r="D618" s="1"/>
      <c r="E618" s="1"/>
      <c r="F618" s="1"/>
      <c r="G618" s="1"/>
      <c r="H618" s="1"/>
      <c r="I618" s="1"/>
      <c r="J618" s="1"/>
      <c r="K618" s="1"/>
      <c r="L618" s="1"/>
      <c r="M618" s="1"/>
      <c r="N618" s="1"/>
      <c r="O618" s="1"/>
      <c r="P618" s="1"/>
      <c r="Q618" s="1"/>
      <c r="R618" s="1"/>
      <c r="S618" s="1"/>
      <c r="T618" s="1"/>
      <c r="U618" s="2"/>
      <c r="V618" s="1"/>
      <c r="W618" s="1"/>
      <c r="X618" s="1"/>
      <c r="Y618" s="1"/>
      <c r="Z618" s="1"/>
    </row>
    <row r="619" spans="1:26" ht="24.75" customHeight="1">
      <c r="A619" s="1"/>
      <c r="B619" s="1"/>
      <c r="C619" s="1"/>
      <c r="D619" s="1"/>
      <c r="E619" s="1"/>
      <c r="F619" s="1"/>
      <c r="G619" s="1"/>
      <c r="H619" s="1"/>
      <c r="I619" s="1"/>
      <c r="J619" s="1"/>
      <c r="K619" s="1"/>
      <c r="L619" s="1"/>
      <c r="M619" s="1"/>
      <c r="N619" s="1"/>
      <c r="O619" s="1"/>
      <c r="P619" s="1"/>
      <c r="Q619" s="1"/>
      <c r="R619" s="1"/>
      <c r="S619" s="1"/>
      <c r="T619" s="1"/>
      <c r="U619" s="2"/>
      <c r="V619" s="1"/>
      <c r="W619" s="1"/>
      <c r="X619" s="1"/>
      <c r="Y619" s="1"/>
      <c r="Z619" s="1"/>
    </row>
    <row r="620" spans="1:26" ht="24.75" customHeight="1">
      <c r="A620" s="1"/>
      <c r="B620" s="1"/>
      <c r="C620" s="1"/>
      <c r="D620" s="1"/>
      <c r="E620" s="1"/>
      <c r="F620" s="1"/>
      <c r="G620" s="1"/>
      <c r="H620" s="1"/>
      <c r="I620" s="1"/>
      <c r="J620" s="1"/>
      <c r="K620" s="1"/>
      <c r="L620" s="1"/>
      <c r="M620" s="1"/>
      <c r="N620" s="1"/>
      <c r="O620" s="1"/>
      <c r="P620" s="1"/>
      <c r="Q620" s="1"/>
      <c r="R620" s="1"/>
      <c r="S620" s="1"/>
      <c r="T620" s="1"/>
      <c r="U620" s="2"/>
      <c r="V620" s="1"/>
      <c r="W620" s="1"/>
      <c r="X620" s="1"/>
      <c r="Y620" s="1"/>
      <c r="Z620" s="1"/>
    </row>
    <row r="621" spans="1:26" ht="24.75" customHeight="1">
      <c r="A621" s="1"/>
      <c r="B621" s="1"/>
      <c r="C621" s="1"/>
      <c r="D621" s="1"/>
      <c r="E621" s="1"/>
      <c r="F621" s="1"/>
      <c r="G621" s="1"/>
      <c r="H621" s="1"/>
      <c r="I621" s="1"/>
      <c r="J621" s="1"/>
      <c r="K621" s="1"/>
      <c r="L621" s="1"/>
      <c r="M621" s="1"/>
      <c r="N621" s="1"/>
      <c r="O621" s="1"/>
      <c r="P621" s="1"/>
      <c r="Q621" s="1"/>
      <c r="R621" s="1"/>
      <c r="S621" s="1"/>
      <c r="T621" s="1"/>
      <c r="U621" s="2"/>
      <c r="V621" s="1"/>
      <c r="W621" s="1"/>
      <c r="X621" s="1"/>
      <c r="Y621" s="1"/>
      <c r="Z621" s="1"/>
    </row>
    <row r="622" spans="1:26" ht="24.75" customHeight="1">
      <c r="A622" s="1"/>
      <c r="B622" s="1"/>
      <c r="C622" s="1"/>
      <c r="D622" s="1"/>
      <c r="E622" s="1"/>
      <c r="F622" s="1"/>
      <c r="G622" s="1"/>
      <c r="H622" s="1"/>
      <c r="I622" s="1"/>
      <c r="J622" s="1"/>
      <c r="K622" s="1"/>
      <c r="L622" s="1"/>
      <c r="M622" s="1"/>
      <c r="N622" s="1"/>
      <c r="O622" s="1"/>
      <c r="P622" s="1"/>
      <c r="Q622" s="1"/>
      <c r="R622" s="1"/>
      <c r="S622" s="1"/>
      <c r="T622" s="1"/>
      <c r="U622" s="2"/>
      <c r="V622" s="1"/>
      <c r="W622" s="1"/>
      <c r="X622" s="1"/>
      <c r="Y622" s="1"/>
      <c r="Z622" s="1"/>
    </row>
    <row r="623" spans="1:26" ht="24.75" customHeight="1">
      <c r="A623" s="1"/>
      <c r="B623" s="1"/>
      <c r="C623" s="1"/>
      <c r="D623" s="1"/>
      <c r="E623" s="1"/>
      <c r="F623" s="1"/>
      <c r="G623" s="1"/>
      <c r="H623" s="1"/>
      <c r="I623" s="1"/>
      <c r="J623" s="1"/>
      <c r="K623" s="1"/>
      <c r="L623" s="1"/>
      <c r="M623" s="1"/>
      <c r="N623" s="1"/>
      <c r="O623" s="1"/>
      <c r="P623" s="1"/>
      <c r="Q623" s="1"/>
      <c r="R623" s="1"/>
      <c r="S623" s="1"/>
      <c r="T623" s="1"/>
      <c r="U623" s="2"/>
      <c r="V623" s="1"/>
      <c r="W623" s="1"/>
      <c r="X623" s="1"/>
      <c r="Y623" s="1"/>
      <c r="Z623" s="1"/>
    </row>
    <row r="624" spans="1:26" ht="24.75" customHeight="1">
      <c r="A624" s="1"/>
      <c r="B624" s="1"/>
      <c r="C624" s="1"/>
      <c r="D624" s="1"/>
      <c r="E624" s="1"/>
      <c r="F624" s="1"/>
      <c r="G624" s="1"/>
      <c r="H624" s="1"/>
      <c r="I624" s="1"/>
      <c r="J624" s="1"/>
      <c r="K624" s="1"/>
      <c r="L624" s="1"/>
      <c r="M624" s="1"/>
      <c r="N624" s="1"/>
      <c r="O624" s="1"/>
      <c r="P624" s="1"/>
      <c r="Q624" s="1"/>
      <c r="R624" s="1"/>
      <c r="S624" s="1"/>
      <c r="T624" s="1"/>
      <c r="U624" s="2"/>
      <c r="V624" s="1"/>
      <c r="W624" s="1"/>
      <c r="X624" s="1"/>
      <c r="Y624" s="1"/>
      <c r="Z624" s="1"/>
    </row>
    <row r="625" spans="1:26" ht="24.75" customHeight="1">
      <c r="A625" s="1"/>
      <c r="B625" s="1"/>
      <c r="C625" s="1"/>
      <c r="D625" s="1"/>
      <c r="E625" s="1"/>
      <c r="F625" s="1"/>
      <c r="G625" s="1"/>
      <c r="H625" s="1"/>
      <c r="I625" s="1"/>
      <c r="J625" s="1"/>
      <c r="K625" s="1"/>
      <c r="L625" s="1"/>
      <c r="M625" s="1"/>
      <c r="N625" s="1"/>
      <c r="O625" s="1"/>
      <c r="P625" s="1"/>
      <c r="Q625" s="1"/>
      <c r="R625" s="1"/>
      <c r="S625" s="1"/>
      <c r="T625" s="1"/>
      <c r="U625" s="2"/>
      <c r="V625" s="1"/>
      <c r="W625" s="1"/>
      <c r="X625" s="1"/>
      <c r="Y625" s="1"/>
      <c r="Z625" s="1"/>
    </row>
    <row r="626" spans="1:26" ht="24.75" customHeight="1">
      <c r="A626" s="1"/>
      <c r="B626" s="1"/>
      <c r="C626" s="1"/>
      <c r="D626" s="1"/>
      <c r="E626" s="1"/>
      <c r="F626" s="1"/>
      <c r="G626" s="1"/>
      <c r="H626" s="1"/>
      <c r="I626" s="1"/>
      <c r="J626" s="1"/>
      <c r="K626" s="1"/>
      <c r="L626" s="1"/>
      <c r="M626" s="1"/>
      <c r="N626" s="1"/>
      <c r="O626" s="1"/>
      <c r="P626" s="1"/>
      <c r="Q626" s="1"/>
      <c r="R626" s="1"/>
      <c r="S626" s="1"/>
      <c r="T626" s="1"/>
      <c r="U626" s="2"/>
      <c r="V626" s="1"/>
      <c r="W626" s="1"/>
      <c r="X626" s="1"/>
      <c r="Y626" s="1"/>
      <c r="Z626" s="1"/>
    </row>
    <row r="627" spans="1:26" ht="24.75" customHeight="1">
      <c r="A627" s="1"/>
      <c r="B627" s="1"/>
      <c r="C627" s="1"/>
      <c r="D627" s="1"/>
      <c r="E627" s="1"/>
      <c r="F627" s="1"/>
      <c r="G627" s="1"/>
      <c r="H627" s="1"/>
      <c r="I627" s="1"/>
      <c r="J627" s="1"/>
      <c r="K627" s="1"/>
      <c r="L627" s="1"/>
      <c r="M627" s="1"/>
      <c r="N627" s="1"/>
      <c r="O627" s="1"/>
      <c r="P627" s="1"/>
      <c r="Q627" s="1"/>
      <c r="R627" s="1"/>
      <c r="S627" s="1"/>
      <c r="T627" s="1"/>
      <c r="U627" s="2"/>
      <c r="V627" s="1"/>
      <c r="W627" s="1"/>
      <c r="X627" s="1"/>
      <c r="Y627" s="1"/>
      <c r="Z627" s="1"/>
    </row>
    <row r="628" spans="1:26" ht="24.75" customHeight="1">
      <c r="A628" s="1"/>
      <c r="B628" s="1"/>
      <c r="C628" s="1"/>
      <c r="D628" s="1"/>
      <c r="E628" s="1"/>
      <c r="F628" s="1"/>
      <c r="G628" s="1"/>
      <c r="H628" s="1"/>
      <c r="I628" s="1"/>
      <c r="J628" s="1"/>
      <c r="K628" s="1"/>
      <c r="L628" s="1"/>
      <c r="M628" s="1"/>
      <c r="N628" s="1"/>
      <c r="O628" s="1"/>
      <c r="P628" s="1"/>
      <c r="Q628" s="1"/>
      <c r="R628" s="1"/>
      <c r="S628" s="1"/>
      <c r="T628" s="1"/>
      <c r="U628" s="2"/>
      <c r="V628" s="1"/>
      <c r="W628" s="1"/>
      <c r="X628" s="1"/>
      <c r="Y628" s="1"/>
      <c r="Z628" s="1"/>
    </row>
    <row r="629" spans="1:26" ht="24.75" customHeight="1">
      <c r="A629" s="1"/>
      <c r="B629" s="1"/>
      <c r="C629" s="1"/>
      <c r="D629" s="1"/>
      <c r="E629" s="1"/>
      <c r="F629" s="1"/>
      <c r="G629" s="1"/>
      <c r="H629" s="1"/>
      <c r="I629" s="1"/>
      <c r="J629" s="1"/>
      <c r="K629" s="1"/>
      <c r="L629" s="1"/>
      <c r="M629" s="1"/>
      <c r="N629" s="1"/>
      <c r="O629" s="1"/>
      <c r="P629" s="1"/>
      <c r="Q629" s="1"/>
      <c r="R629" s="1"/>
      <c r="S629" s="1"/>
      <c r="T629" s="1"/>
      <c r="U629" s="2"/>
      <c r="V629" s="1"/>
      <c r="W629" s="1"/>
      <c r="X629" s="1"/>
      <c r="Y629" s="1"/>
      <c r="Z629" s="1"/>
    </row>
    <row r="630" spans="1:26" ht="24.75" customHeight="1">
      <c r="A630" s="1"/>
      <c r="B630" s="1"/>
      <c r="C630" s="1"/>
      <c r="D630" s="1"/>
      <c r="E630" s="1"/>
      <c r="F630" s="1"/>
      <c r="G630" s="1"/>
      <c r="H630" s="1"/>
      <c r="I630" s="1"/>
      <c r="J630" s="1"/>
      <c r="K630" s="1"/>
      <c r="L630" s="1"/>
      <c r="M630" s="1"/>
      <c r="N630" s="1"/>
      <c r="O630" s="1"/>
      <c r="P630" s="1"/>
      <c r="Q630" s="1"/>
      <c r="R630" s="1"/>
      <c r="S630" s="1"/>
      <c r="T630" s="1"/>
      <c r="U630" s="2"/>
      <c r="V630" s="1"/>
      <c r="W630" s="1"/>
      <c r="X630" s="1"/>
      <c r="Y630" s="1"/>
      <c r="Z630" s="1"/>
    </row>
    <row r="631" spans="1:26" ht="24.75" customHeight="1">
      <c r="A631" s="1"/>
      <c r="B631" s="1"/>
      <c r="C631" s="1"/>
      <c r="D631" s="1"/>
      <c r="E631" s="1"/>
      <c r="F631" s="1"/>
      <c r="G631" s="1"/>
      <c r="H631" s="1"/>
      <c r="I631" s="1"/>
      <c r="J631" s="1"/>
      <c r="K631" s="1"/>
      <c r="L631" s="1"/>
      <c r="M631" s="1"/>
      <c r="N631" s="1"/>
      <c r="O631" s="1"/>
      <c r="P631" s="1"/>
      <c r="Q631" s="1"/>
      <c r="R631" s="1"/>
      <c r="S631" s="1"/>
      <c r="T631" s="1"/>
      <c r="U631" s="2"/>
      <c r="V631" s="1"/>
      <c r="W631" s="1"/>
      <c r="X631" s="1"/>
      <c r="Y631" s="1"/>
      <c r="Z631" s="1"/>
    </row>
    <row r="632" spans="1:26" ht="24.75" customHeight="1">
      <c r="A632" s="1"/>
      <c r="B632" s="1"/>
      <c r="C632" s="1"/>
      <c r="D632" s="1"/>
      <c r="E632" s="1"/>
      <c r="F632" s="1"/>
      <c r="G632" s="1"/>
      <c r="H632" s="1"/>
      <c r="I632" s="1"/>
      <c r="J632" s="1"/>
      <c r="K632" s="1"/>
      <c r="L632" s="1"/>
      <c r="M632" s="1"/>
      <c r="N632" s="1"/>
      <c r="O632" s="1"/>
      <c r="P632" s="1"/>
      <c r="Q632" s="1"/>
      <c r="R632" s="1"/>
      <c r="S632" s="1"/>
      <c r="T632" s="1"/>
      <c r="U632" s="2"/>
      <c r="V632" s="1"/>
      <c r="W632" s="1"/>
      <c r="X632" s="1"/>
      <c r="Y632" s="1"/>
      <c r="Z632" s="1"/>
    </row>
    <row r="633" spans="1:26" ht="24.75" customHeight="1">
      <c r="A633" s="1"/>
      <c r="B633" s="1"/>
      <c r="C633" s="1"/>
      <c r="D633" s="1"/>
      <c r="E633" s="1"/>
      <c r="F633" s="1"/>
      <c r="G633" s="1"/>
      <c r="H633" s="1"/>
      <c r="I633" s="1"/>
      <c r="J633" s="1"/>
      <c r="K633" s="1"/>
      <c r="L633" s="1"/>
      <c r="M633" s="1"/>
      <c r="N633" s="1"/>
      <c r="O633" s="1"/>
      <c r="P633" s="1"/>
      <c r="Q633" s="1"/>
      <c r="R633" s="1"/>
      <c r="S633" s="1"/>
      <c r="T633" s="1"/>
      <c r="U633" s="2"/>
      <c r="V633" s="1"/>
      <c r="W633" s="1"/>
      <c r="X633" s="1"/>
      <c r="Y633" s="1"/>
      <c r="Z633" s="1"/>
    </row>
    <row r="634" spans="1:26" ht="24.75" customHeight="1">
      <c r="A634" s="1"/>
      <c r="B634" s="1"/>
      <c r="C634" s="1"/>
      <c r="D634" s="1"/>
      <c r="E634" s="1"/>
      <c r="F634" s="1"/>
      <c r="G634" s="1"/>
      <c r="H634" s="1"/>
      <c r="I634" s="1"/>
      <c r="J634" s="1"/>
      <c r="K634" s="1"/>
      <c r="L634" s="1"/>
      <c r="M634" s="1"/>
      <c r="N634" s="1"/>
      <c r="O634" s="1"/>
      <c r="P634" s="1"/>
      <c r="Q634" s="1"/>
      <c r="R634" s="1"/>
      <c r="S634" s="1"/>
      <c r="T634" s="1"/>
      <c r="U634" s="2"/>
      <c r="V634" s="1"/>
      <c r="W634" s="1"/>
      <c r="X634" s="1"/>
      <c r="Y634" s="1"/>
      <c r="Z634" s="1"/>
    </row>
    <row r="635" spans="1:26" ht="24.75" customHeight="1">
      <c r="A635" s="1"/>
      <c r="B635" s="1"/>
      <c r="C635" s="1"/>
      <c r="D635" s="1"/>
      <c r="E635" s="1"/>
      <c r="F635" s="1"/>
      <c r="G635" s="1"/>
      <c r="H635" s="1"/>
      <c r="I635" s="1"/>
      <c r="J635" s="1"/>
      <c r="K635" s="1"/>
      <c r="L635" s="1"/>
      <c r="M635" s="1"/>
      <c r="N635" s="1"/>
      <c r="O635" s="1"/>
      <c r="P635" s="1"/>
      <c r="Q635" s="1"/>
      <c r="R635" s="1"/>
      <c r="S635" s="1"/>
      <c r="T635" s="1"/>
      <c r="U635" s="2"/>
      <c r="V635" s="1"/>
      <c r="W635" s="1"/>
      <c r="X635" s="1"/>
      <c r="Y635" s="1"/>
      <c r="Z635" s="1"/>
    </row>
    <row r="636" spans="1:26" ht="24.75" customHeight="1">
      <c r="A636" s="1"/>
      <c r="B636" s="1"/>
      <c r="C636" s="1"/>
      <c r="D636" s="1"/>
      <c r="E636" s="1"/>
      <c r="F636" s="1"/>
      <c r="G636" s="1"/>
      <c r="H636" s="1"/>
      <c r="I636" s="1"/>
      <c r="J636" s="1"/>
      <c r="K636" s="1"/>
      <c r="L636" s="1"/>
      <c r="M636" s="1"/>
      <c r="N636" s="1"/>
      <c r="O636" s="1"/>
      <c r="P636" s="1"/>
      <c r="Q636" s="1"/>
      <c r="R636" s="1"/>
      <c r="S636" s="1"/>
      <c r="T636" s="1"/>
      <c r="U636" s="2"/>
      <c r="V636" s="1"/>
      <c r="W636" s="1"/>
      <c r="X636" s="1"/>
      <c r="Y636" s="1"/>
      <c r="Z636" s="1"/>
    </row>
    <row r="637" spans="1:26" ht="24.75" customHeight="1">
      <c r="A637" s="1"/>
      <c r="B637" s="1"/>
      <c r="C637" s="1"/>
      <c r="D637" s="1"/>
      <c r="E637" s="1"/>
      <c r="F637" s="1"/>
      <c r="G637" s="1"/>
      <c r="H637" s="1"/>
      <c r="I637" s="1"/>
      <c r="J637" s="1"/>
      <c r="K637" s="1"/>
      <c r="L637" s="1"/>
      <c r="M637" s="1"/>
      <c r="N637" s="1"/>
      <c r="O637" s="1"/>
      <c r="P637" s="1"/>
      <c r="Q637" s="1"/>
      <c r="R637" s="1"/>
      <c r="S637" s="1"/>
      <c r="T637" s="1"/>
      <c r="U637" s="2"/>
      <c r="V637" s="1"/>
      <c r="W637" s="1"/>
      <c r="X637" s="1"/>
      <c r="Y637" s="1"/>
      <c r="Z637" s="1"/>
    </row>
    <row r="638" spans="1:26" ht="24.75" customHeight="1">
      <c r="A638" s="1"/>
      <c r="B638" s="1"/>
      <c r="C638" s="1"/>
      <c r="D638" s="1"/>
      <c r="E638" s="1"/>
      <c r="F638" s="1"/>
      <c r="G638" s="1"/>
      <c r="H638" s="1"/>
      <c r="I638" s="1"/>
      <c r="J638" s="1"/>
      <c r="K638" s="1"/>
      <c r="L638" s="1"/>
      <c r="M638" s="1"/>
      <c r="N638" s="1"/>
      <c r="O638" s="1"/>
      <c r="P638" s="1"/>
      <c r="Q638" s="1"/>
      <c r="R638" s="1"/>
      <c r="S638" s="1"/>
      <c r="T638" s="1"/>
      <c r="U638" s="2"/>
      <c r="V638" s="1"/>
      <c r="W638" s="1"/>
      <c r="X638" s="1"/>
      <c r="Y638" s="1"/>
      <c r="Z638" s="1"/>
    </row>
    <row r="639" spans="1:26" ht="24.75" customHeight="1">
      <c r="A639" s="1"/>
      <c r="B639" s="1"/>
      <c r="C639" s="1"/>
      <c r="D639" s="1"/>
      <c r="E639" s="1"/>
      <c r="F639" s="1"/>
      <c r="G639" s="1"/>
      <c r="H639" s="1"/>
      <c r="I639" s="1"/>
      <c r="J639" s="1"/>
      <c r="K639" s="1"/>
      <c r="L639" s="1"/>
      <c r="M639" s="1"/>
      <c r="N639" s="1"/>
      <c r="O639" s="1"/>
      <c r="P639" s="1"/>
      <c r="Q639" s="1"/>
      <c r="R639" s="1"/>
      <c r="S639" s="1"/>
      <c r="T639" s="1"/>
      <c r="U639" s="2"/>
      <c r="V639" s="1"/>
      <c r="W639" s="1"/>
      <c r="X639" s="1"/>
      <c r="Y639" s="1"/>
      <c r="Z639" s="1"/>
    </row>
    <row r="640" spans="1:26" ht="24.75" customHeight="1">
      <c r="A640" s="1"/>
      <c r="B640" s="1"/>
      <c r="C640" s="1"/>
      <c r="D640" s="1"/>
      <c r="E640" s="1"/>
      <c r="F640" s="1"/>
      <c r="G640" s="1"/>
      <c r="H640" s="1"/>
      <c r="I640" s="1"/>
      <c r="J640" s="1"/>
      <c r="K640" s="1"/>
      <c r="L640" s="1"/>
      <c r="M640" s="1"/>
      <c r="N640" s="1"/>
      <c r="O640" s="1"/>
      <c r="P640" s="1"/>
      <c r="Q640" s="1"/>
      <c r="R640" s="1"/>
      <c r="S640" s="1"/>
      <c r="T640" s="1"/>
      <c r="U640" s="2"/>
      <c r="V640" s="1"/>
      <c r="W640" s="1"/>
      <c r="X640" s="1"/>
      <c r="Y640" s="1"/>
      <c r="Z640" s="1"/>
    </row>
    <row r="641" spans="1:26" ht="24.75" customHeight="1">
      <c r="A641" s="1"/>
      <c r="B641" s="1"/>
      <c r="C641" s="1"/>
      <c r="D641" s="1"/>
      <c r="E641" s="1"/>
      <c r="F641" s="1"/>
      <c r="G641" s="1"/>
      <c r="H641" s="1"/>
      <c r="I641" s="1"/>
      <c r="J641" s="1"/>
      <c r="K641" s="1"/>
      <c r="L641" s="1"/>
      <c r="M641" s="1"/>
      <c r="N641" s="1"/>
      <c r="O641" s="1"/>
      <c r="P641" s="1"/>
      <c r="Q641" s="1"/>
      <c r="R641" s="1"/>
      <c r="S641" s="1"/>
      <c r="T641" s="1"/>
      <c r="U641" s="2"/>
      <c r="V641" s="1"/>
      <c r="W641" s="1"/>
      <c r="X641" s="1"/>
      <c r="Y641" s="1"/>
      <c r="Z641" s="1"/>
    </row>
    <row r="642" spans="1:26" ht="24.75" customHeight="1">
      <c r="A642" s="1"/>
      <c r="B642" s="1"/>
      <c r="C642" s="1"/>
      <c r="D642" s="1"/>
      <c r="E642" s="1"/>
      <c r="F642" s="1"/>
      <c r="G642" s="1"/>
      <c r="H642" s="1"/>
      <c r="I642" s="1"/>
      <c r="J642" s="1"/>
      <c r="K642" s="1"/>
      <c r="L642" s="1"/>
      <c r="M642" s="1"/>
      <c r="N642" s="1"/>
      <c r="O642" s="1"/>
      <c r="P642" s="1"/>
      <c r="Q642" s="1"/>
      <c r="R642" s="1"/>
      <c r="S642" s="1"/>
      <c r="T642" s="1"/>
      <c r="U642" s="2"/>
      <c r="V642" s="1"/>
      <c r="W642" s="1"/>
      <c r="X642" s="1"/>
      <c r="Y642" s="1"/>
      <c r="Z642" s="1"/>
    </row>
    <row r="643" spans="1:26" ht="24.75" customHeight="1">
      <c r="A643" s="1"/>
      <c r="B643" s="1"/>
      <c r="C643" s="1"/>
      <c r="D643" s="1"/>
      <c r="E643" s="1"/>
      <c r="F643" s="1"/>
      <c r="G643" s="1"/>
      <c r="H643" s="1"/>
      <c r="I643" s="1"/>
      <c r="J643" s="1"/>
      <c r="K643" s="1"/>
      <c r="L643" s="1"/>
      <c r="M643" s="1"/>
      <c r="N643" s="1"/>
      <c r="O643" s="1"/>
      <c r="P643" s="1"/>
      <c r="Q643" s="1"/>
      <c r="R643" s="1"/>
      <c r="S643" s="1"/>
      <c r="T643" s="1"/>
      <c r="U643" s="2"/>
      <c r="V643" s="1"/>
      <c r="W643" s="1"/>
      <c r="X643" s="1"/>
      <c r="Y643" s="1"/>
      <c r="Z643" s="1"/>
    </row>
    <row r="644" spans="1:26" ht="24.75" customHeight="1">
      <c r="A644" s="1"/>
      <c r="B644" s="1"/>
      <c r="C644" s="1"/>
      <c r="D644" s="1"/>
      <c r="E644" s="1"/>
      <c r="F644" s="1"/>
      <c r="G644" s="1"/>
      <c r="H644" s="1"/>
      <c r="I644" s="1"/>
      <c r="J644" s="1"/>
      <c r="K644" s="1"/>
      <c r="L644" s="1"/>
      <c r="M644" s="1"/>
      <c r="N644" s="1"/>
      <c r="O644" s="1"/>
      <c r="P644" s="1"/>
      <c r="Q644" s="1"/>
      <c r="R644" s="1"/>
      <c r="S644" s="1"/>
      <c r="T644" s="1"/>
      <c r="U644" s="2"/>
      <c r="V644" s="1"/>
      <c r="W644" s="1"/>
      <c r="X644" s="1"/>
      <c r="Y644" s="1"/>
      <c r="Z644" s="1"/>
    </row>
    <row r="645" spans="1:26" ht="24.75" customHeight="1">
      <c r="A645" s="1"/>
      <c r="B645" s="1"/>
      <c r="C645" s="1"/>
      <c r="D645" s="1"/>
      <c r="E645" s="1"/>
      <c r="F645" s="1"/>
      <c r="G645" s="1"/>
      <c r="H645" s="1"/>
      <c r="I645" s="1"/>
      <c r="J645" s="1"/>
      <c r="K645" s="1"/>
      <c r="L645" s="1"/>
      <c r="M645" s="1"/>
      <c r="N645" s="1"/>
      <c r="O645" s="1"/>
      <c r="P645" s="1"/>
      <c r="Q645" s="1"/>
      <c r="R645" s="1"/>
      <c r="S645" s="1"/>
      <c r="T645" s="1"/>
      <c r="U645" s="2"/>
      <c r="V645" s="1"/>
      <c r="W645" s="1"/>
      <c r="X645" s="1"/>
      <c r="Y645" s="1"/>
      <c r="Z645" s="1"/>
    </row>
    <row r="646" spans="1:26" ht="24.75" customHeight="1">
      <c r="A646" s="1"/>
      <c r="B646" s="1"/>
      <c r="C646" s="1"/>
      <c r="D646" s="1"/>
      <c r="E646" s="1"/>
      <c r="F646" s="1"/>
      <c r="G646" s="1"/>
      <c r="H646" s="1"/>
      <c r="I646" s="1"/>
      <c r="J646" s="1"/>
      <c r="K646" s="1"/>
      <c r="L646" s="1"/>
      <c r="M646" s="1"/>
      <c r="N646" s="1"/>
      <c r="O646" s="1"/>
      <c r="P646" s="1"/>
      <c r="Q646" s="1"/>
      <c r="R646" s="1"/>
      <c r="S646" s="1"/>
      <c r="T646" s="1"/>
      <c r="U646" s="2"/>
      <c r="V646" s="1"/>
      <c r="W646" s="1"/>
      <c r="X646" s="1"/>
      <c r="Y646" s="1"/>
      <c r="Z646" s="1"/>
    </row>
    <row r="647" spans="1:26" ht="24.75" customHeight="1">
      <c r="A647" s="1"/>
      <c r="B647" s="1"/>
      <c r="C647" s="1"/>
      <c r="D647" s="1"/>
      <c r="E647" s="1"/>
      <c r="F647" s="1"/>
      <c r="G647" s="1"/>
      <c r="H647" s="1"/>
      <c r="I647" s="1"/>
      <c r="J647" s="1"/>
      <c r="K647" s="1"/>
      <c r="L647" s="1"/>
      <c r="M647" s="1"/>
      <c r="N647" s="1"/>
      <c r="O647" s="1"/>
      <c r="P647" s="1"/>
      <c r="Q647" s="1"/>
      <c r="R647" s="1"/>
      <c r="S647" s="1"/>
      <c r="T647" s="1"/>
      <c r="U647" s="2"/>
      <c r="V647" s="1"/>
      <c r="W647" s="1"/>
      <c r="X647" s="1"/>
      <c r="Y647" s="1"/>
      <c r="Z647" s="1"/>
    </row>
    <row r="648" spans="1:26" ht="24.75" customHeight="1">
      <c r="A648" s="1"/>
      <c r="B648" s="1"/>
      <c r="C648" s="1"/>
      <c r="D648" s="1"/>
      <c r="E648" s="1"/>
      <c r="F648" s="1"/>
      <c r="G648" s="1"/>
      <c r="H648" s="1"/>
      <c r="I648" s="1"/>
      <c r="J648" s="1"/>
      <c r="K648" s="1"/>
      <c r="L648" s="1"/>
      <c r="M648" s="1"/>
      <c r="N648" s="1"/>
      <c r="O648" s="1"/>
      <c r="P648" s="1"/>
      <c r="Q648" s="1"/>
      <c r="R648" s="1"/>
      <c r="S648" s="1"/>
      <c r="T648" s="1"/>
      <c r="U648" s="2"/>
      <c r="V648" s="1"/>
      <c r="W648" s="1"/>
      <c r="X648" s="1"/>
      <c r="Y648" s="1"/>
      <c r="Z648" s="1"/>
    </row>
    <row r="649" spans="1:26" ht="24.75" customHeight="1">
      <c r="A649" s="1"/>
      <c r="B649" s="1"/>
      <c r="C649" s="1"/>
      <c r="D649" s="1"/>
      <c r="E649" s="1"/>
      <c r="F649" s="1"/>
      <c r="G649" s="1"/>
      <c r="H649" s="1"/>
      <c r="I649" s="1"/>
      <c r="J649" s="1"/>
      <c r="K649" s="1"/>
      <c r="L649" s="1"/>
      <c r="M649" s="1"/>
      <c r="N649" s="1"/>
      <c r="O649" s="1"/>
      <c r="P649" s="1"/>
      <c r="Q649" s="1"/>
      <c r="R649" s="1"/>
      <c r="S649" s="1"/>
      <c r="T649" s="1"/>
      <c r="U649" s="2"/>
      <c r="V649" s="1"/>
      <c r="W649" s="1"/>
      <c r="X649" s="1"/>
      <c r="Y649" s="1"/>
      <c r="Z649" s="1"/>
    </row>
    <row r="650" spans="1:26" ht="24.75" customHeight="1">
      <c r="A650" s="1"/>
      <c r="B650" s="1"/>
      <c r="C650" s="1"/>
      <c r="D650" s="1"/>
      <c r="E650" s="1"/>
      <c r="F650" s="1"/>
      <c r="G650" s="1"/>
      <c r="H650" s="1"/>
      <c r="I650" s="1"/>
      <c r="J650" s="1"/>
      <c r="K650" s="1"/>
      <c r="L650" s="1"/>
      <c r="M650" s="1"/>
      <c r="N650" s="1"/>
      <c r="O650" s="1"/>
      <c r="P650" s="1"/>
      <c r="Q650" s="1"/>
      <c r="R650" s="1"/>
      <c r="S650" s="1"/>
      <c r="T650" s="1"/>
      <c r="U650" s="2"/>
      <c r="V650" s="1"/>
      <c r="W650" s="1"/>
      <c r="X650" s="1"/>
      <c r="Y650" s="1"/>
      <c r="Z650" s="1"/>
    </row>
    <row r="651" spans="1:26" ht="24.75" customHeight="1">
      <c r="A651" s="1"/>
      <c r="B651" s="1"/>
      <c r="C651" s="1"/>
      <c r="D651" s="1"/>
      <c r="E651" s="1"/>
      <c r="F651" s="1"/>
      <c r="G651" s="1"/>
      <c r="H651" s="1"/>
      <c r="I651" s="1"/>
      <c r="J651" s="1"/>
      <c r="K651" s="1"/>
      <c r="L651" s="1"/>
      <c r="M651" s="1"/>
      <c r="N651" s="1"/>
      <c r="O651" s="1"/>
      <c r="P651" s="1"/>
      <c r="Q651" s="1"/>
      <c r="R651" s="1"/>
      <c r="S651" s="1"/>
      <c r="T651" s="1"/>
      <c r="U651" s="2"/>
      <c r="V651" s="1"/>
      <c r="W651" s="1"/>
      <c r="X651" s="1"/>
      <c r="Y651" s="1"/>
      <c r="Z651" s="1"/>
    </row>
    <row r="652" spans="1:26" ht="24.75" customHeight="1">
      <c r="A652" s="1"/>
      <c r="B652" s="1"/>
      <c r="C652" s="1"/>
      <c r="D652" s="1"/>
      <c r="E652" s="1"/>
      <c r="F652" s="1"/>
      <c r="G652" s="1"/>
      <c r="H652" s="1"/>
      <c r="I652" s="1"/>
      <c r="J652" s="1"/>
      <c r="K652" s="1"/>
      <c r="L652" s="1"/>
      <c r="M652" s="1"/>
      <c r="N652" s="1"/>
      <c r="O652" s="1"/>
      <c r="P652" s="1"/>
      <c r="Q652" s="1"/>
      <c r="R652" s="1"/>
      <c r="S652" s="1"/>
      <c r="T652" s="1"/>
      <c r="U652" s="2"/>
      <c r="V652" s="1"/>
      <c r="W652" s="1"/>
      <c r="X652" s="1"/>
      <c r="Y652" s="1"/>
      <c r="Z652" s="1"/>
    </row>
    <row r="653" spans="1:26" ht="24.75" customHeight="1">
      <c r="A653" s="1"/>
      <c r="B653" s="1"/>
      <c r="C653" s="1"/>
      <c r="D653" s="1"/>
      <c r="E653" s="1"/>
      <c r="F653" s="1"/>
      <c r="G653" s="1"/>
      <c r="H653" s="1"/>
      <c r="I653" s="1"/>
      <c r="J653" s="1"/>
      <c r="K653" s="1"/>
      <c r="L653" s="1"/>
      <c r="M653" s="1"/>
      <c r="N653" s="1"/>
      <c r="O653" s="1"/>
      <c r="P653" s="1"/>
      <c r="Q653" s="1"/>
      <c r="R653" s="1"/>
      <c r="S653" s="1"/>
      <c r="T653" s="1"/>
      <c r="U653" s="2"/>
      <c r="V653" s="1"/>
      <c r="W653" s="1"/>
      <c r="X653" s="1"/>
      <c r="Y653" s="1"/>
      <c r="Z653" s="1"/>
    </row>
    <row r="654" spans="1:26" ht="24.75" customHeight="1">
      <c r="A654" s="1"/>
      <c r="B654" s="1"/>
      <c r="C654" s="1"/>
      <c r="D654" s="1"/>
      <c r="E654" s="1"/>
      <c r="F654" s="1"/>
      <c r="G654" s="1"/>
      <c r="H654" s="1"/>
      <c r="I654" s="1"/>
      <c r="J654" s="1"/>
      <c r="K654" s="1"/>
      <c r="L654" s="1"/>
      <c r="M654" s="1"/>
      <c r="N654" s="1"/>
      <c r="O654" s="1"/>
      <c r="P654" s="1"/>
      <c r="Q654" s="1"/>
      <c r="R654" s="1"/>
      <c r="S654" s="1"/>
      <c r="T654" s="1"/>
      <c r="U654" s="2"/>
      <c r="V654" s="1"/>
      <c r="W654" s="1"/>
      <c r="X654" s="1"/>
      <c r="Y654" s="1"/>
      <c r="Z654" s="1"/>
    </row>
    <row r="655" spans="1:26" ht="24.75" customHeight="1">
      <c r="A655" s="1"/>
      <c r="B655" s="1"/>
      <c r="C655" s="1"/>
      <c r="D655" s="1"/>
      <c r="E655" s="1"/>
      <c r="F655" s="1"/>
      <c r="G655" s="1"/>
      <c r="H655" s="1"/>
      <c r="I655" s="1"/>
      <c r="J655" s="1"/>
      <c r="K655" s="1"/>
      <c r="L655" s="1"/>
      <c r="M655" s="1"/>
      <c r="N655" s="1"/>
      <c r="O655" s="1"/>
      <c r="P655" s="1"/>
      <c r="Q655" s="1"/>
      <c r="R655" s="1"/>
      <c r="S655" s="1"/>
      <c r="T655" s="1"/>
      <c r="U655" s="2"/>
      <c r="V655" s="1"/>
      <c r="W655" s="1"/>
      <c r="X655" s="1"/>
      <c r="Y655" s="1"/>
      <c r="Z655" s="1"/>
    </row>
    <row r="656" spans="1:26" ht="24.75" customHeight="1">
      <c r="A656" s="1"/>
      <c r="B656" s="1"/>
      <c r="C656" s="1"/>
      <c r="D656" s="1"/>
      <c r="E656" s="1"/>
      <c r="F656" s="1"/>
      <c r="G656" s="1"/>
      <c r="H656" s="1"/>
      <c r="I656" s="1"/>
      <c r="J656" s="1"/>
      <c r="K656" s="1"/>
      <c r="L656" s="1"/>
      <c r="M656" s="1"/>
      <c r="N656" s="1"/>
      <c r="O656" s="1"/>
      <c r="P656" s="1"/>
      <c r="Q656" s="1"/>
      <c r="R656" s="1"/>
      <c r="S656" s="1"/>
      <c r="T656" s="1"/>
      <c r="U656" s="2"/>
      <c r="V656" s="1"/>
      <c r="W656" s="1"/>
      <c r="X656" s="1"/>
      <c r="Y656" s="1"/>
      <c r="Z656" s="1"/>
    </row>
    <row r="657" spans="1:26" ht="24.75" customHeight="1">
      <c r="A657" s="1"/>
      <c r="B657" s="1"/>
      <c r="C657" s="1"/>
      <c r="D657" s="1"/>
      <c r="E657" s="1"/>
      <c r="F657" s="1"/>
      <c r="G657" s="1"/>
      <c r="H657" s="1"/>
      <c r="I657" s="1"/>
      <c r="J657" s="1"/>
      <c r="K657" s="1"/>
      <c r="L657" s="1"/>
      <c r="M657" s="1"/>
      <c r="N657" s="1"/>
      <c r="O657" s="1"/>
      <c r="P657" s="1"/>
      <c r="Q657" s="1"/>
      <c r="R657" s="1"/>
      <c r="S657" s="1"/>
      <c r="T657" s="1"/>
      <c r="U657" s="2"/>
      <c r="V657" s="1"/>
      <c r="W657" s="1"/>
      <c r="X657" s="1"/>
      <c r="Y657" s="1"/>
      <c r="Z657" s="1"/>
    </row>
    <row r="658" spans="1:26" ht="24.75" customHeight="1">
      <c r="A658" s="1"/>
      <c r="B658" s="1"/>
      <c r="C658" s="1"/>
      <c r="D658" s="1"/>
      <c r="E658" s="1"/>
      <c r="F658" s="1"/>
      <c r="G658" s="1"/>
      <c r="H658" s="1"/>
      <c r="I658" s="1"/>
      <c r="J658" s="1"/>
      <c r="K658" s="1"/>
      <c r="L658" s="1"/>
      <c r="M658" s="1"/>
      <c r="N658" s="1"/>
      <c r="O658" s="1"/>
      <c r="P658" s="1"/>
      <c r="Q658" s="1"/>
      <c r="R658" s="1"/>
      <c r="S658" s="1"/>
      <c r="T658" s="1"/>
      <c r="U658" s="2"/>
      <c r="V658" s="1"/>
      <c r="W658" s="1"/>
      <c r="X658" s="1"/>
      <c r="Y658" s="1"/>
      <c r="Z658" s="1"/>
    </row>
    <row r="659" spans="1:26" ht="24.75" customHeight="1">
      <c r="A659" s="1"/>
      <c r="B659" s="1"/>
      <c r="C659" s="1"/>
      <c r="D659" s="1"/>
      <c r="E659" s="1"/>
      <c r="F659" s="1"/>
      <c r="G659" s="1"/>
      <c r="H659" s="1"/>
      <c r="I659" s="1"/>
      <c r="J659" s="1"/>
      <c r="K659" s="1"/>
      <c r="L659" s="1"/>
      <c r="M659" s="1"/>
      <c r="N659" s="1"/>
      <c r="O659" s="1"/>
      <c r="P659" s="1"/>
      <c r="Q659" s="1"/>
      <c r="R659" s="1"/>
      <c r="S659" s="1"/>
      <c r="T659" s="1"/>
      <c r="U659" s="2"/>
      <c r="V659" s="1"/>
      <c r="W659" s="1"/>
      <c r="X659" s="1"/>
      <c r="Y659" s="1"/>
      <c r="Z659" s="1"/>
    </row>
    <row r="660" spans="1:26" ht="24.75" customHeight="1">
      <c r="A660" s="1"/>
      <c r="B660" s="1"/>
      <c r="C660" s="1"/>
      <c r="D660" s="1"/>
      <c r="E660" s="1"/>
      <c r="F660" s="1"/>
      <c r="G660" s="1"/>
      <c r="H660" s="1"/>
      <c r="I660" s="1"/>
      <c r="J660" s="1"/>
      <c r="K660" s="1"/>
      <c r="L660" s="1"/>
      <c r="M660" s="1"/>
      <c r="N660" s="1"/>
      <c r="O660" s="1"/>
      <c r="P660" s="1"/>
      <c r="Q660" s="1"/>
      <c r="R660" s="1"/>
      <c r="S660" s="1"/>
      <c r="T660" s="1"/>
      <c r="U660" s="2"/>
      <c r="V660" s="1"/>
      <c r="W660" s="1"/>
      <c r="X660" s="1"/>
      <c r="Y660" s="1"/>
      <c r="Z660" s="1"/>
    </row>
    <row r="661" spans="1:26" ht="24.75" customHeight="1">
      <c r="A661" s="1"/>
      <c r="B661" s="1"/>
      <c r="C661" s="1"/>
      <c r="D661" s="1"/>
      <c r="E661" s="1"/>
      <c r="F661" s="1"/>
      <c r="G661" s="1"/>
      <c r="H661" s="1"/>
      <c r="I661" s="1"/>
      <c r="J661" s="1"/>
      <c r="K661" s="1"/>
      <c r="L661" s="1"/>
      <c r="M661" s="1"/>
      <c r="N661" s="1"/>
      <c r="O661" s="1"/>
      <c r="P661" s="1"/>
      <c r="Q661" s="1"/>
      <c r="R661" s="1"/>
      <c r="S661" s="1"/>
      <c r="T661" s="1"/>
      <c r="U661" s="2"/>
      <c r="V661" s="1"/>
      <c r="W661" s="1"/>
      <c r="X661" s="1"/>
      <c r="Y661" s="1"/>
      <c r="Z661" s="1"/>
    </row>
    <row r="662" spans="1:26" ht="24.75" customHeight="1">
      <c r="A662" s="1"/>
      <c r="B662" s="1"/>
      <c r="C662" s="1"/>
      <c r="D662" s="1"/>
      <c r="E662" s="1"/>
      <c r="F662" s="1"/>
      <c r="G662" s="1"/>
      <c r="H662" s="1"/>
      <c r="I662" s="1"/>
      <c r="J662" s="1"/>
      <c r="K662" s="1"/>
      <c r="L662" s="1"/>
      <c r="M662" s="1"/>
      <c r="N662" s="1"/>
      <c r="O662" s="1"/>
      <c r="P662" s="1"/>
      <c r="Q662" s="1"/>
      <c r="R662" s="1"/>
      <c r="S662" s="1"/>
      <c r="T662" s="1"/>
      <c r="U662" s="2"/>
      <c r="V662" s="1"/>
      <c r="W662" s="1"/>
      <c r="X662" s="1"/>
      <c r="Y662" s="1"/>
      <c r="Z662" s="1"/>
    </row>
    <row r="663" spans="1:26" ht="24.75" customHeight="1">
      <c r="A663" s="1"/>
      <c r="B663" s="1"/>
      <c r="C663" s="1"/>
      <c r="D663" s="1"/>
      <c r="E663" s="1"/>
      <c r="F663" s="1"/>
      <c r="G663" s="1"/>
      <c r="H663" s="1"/>
      <c r="I663" s="1"/>
      <c r="J663" s="1"/>
      <c r="K663" s="1"/>
      <c r="L663" s="1"/>
      <c r="M663" s="1"/>
      <c r="N663" s="1"/>
      <c r="O663" s="1"/>
      <c r="P663" s="1"/>
      <c r="Q663" s="1"/>
      <c r="R663" s="1"/>
      <c r="S663" s="1"/>
      <c r="T663" s="1"/>
      <c r="U663" s="2"/>
      <c r="V663" s="1"/>
      <c r="W663" s="1"/>
      <c r="X663" s="1"/>
      <c r="Y663" s="1"/>
      <c r="Z663" s="1"/>
    </row>
    <row r="664" spans="1:26" ht="24.75" customHeight="1">
      <c r="A664" s="1"/>
      <c r="B664" s="1"/>
      <c r="C664" s="1"/>
      <c r="D664" s="1"/>
      <c r="E664" s="1"/>
      <c r="F664" s="1"/>
      <c r="G664" s="1"/>
      <c r="H664" s="1"/>
      <c r="I664" s="1"/>
      <c r="J664" s="1"/>
      <c r="K664" s="1"/>
      <c r="L664" s="1"/>
      <c r="M664" s="1"/>
      <c r="N664" s="1"/>
      <c r="O664" s="1"/>
      <c r="P664" s="1"/>
      <c r="Q664" s="1"/>
      <c r="R664" s="1"/>
      <c r="S664" s="1"/>
      <c r="T664" s="1"/>
      <c r="U664" s="2"/>
      <c r="V664" s="1"/>
      <c r="W664" s="1"/>
      <c r="X664" s="1"/>
      <c r="Y664" s="1"/>
      <c r="Z664" s="1"/>
    </row>
    <row r="665" spans="1:26" ht="24.75" customHeight="1">
      <c r="A665" s="1"/>
      <c r="B665" s="1"/>
      <c r="C665" s="1"/>
      <c r="D665" s="1"/>
      <c r="E665" s="1"/>
      <c r="F665" s="1"/>
      <c r="G665" s="1"/>
      <c r="H665" s="1"/>
      <c r="I665" s="1"/>
      <c r="J665" s="1"/>
      <c r="K665" s="1"/>
      <c r="L665" s="1"/>
      <c r="M665" s="1"/>
      <c r="N665" s="1"/>
      <c r="O665" s="1"/>
      <c r="P665" s="1"/>
      <c r="Q665" s="1"/>
      <c r="R665" s="1"/>
      <c r="S665" s="1"/>
      <c r="T665" s="1"/>
      <c r="U665" s="2"/>
      <c r="V665" s="1"/>
      <c r="W665" s="1"/>
      <c r="X665" s="1"/>
      <c r="Y665" s="1"/>
      <c r="Z665" s="1"/>
    </row>
    <row r="666" spans="1:26" ht="24.75" customHeight="1">
      <c r="A666" s="1"/>
      <c r="B666" s="1"/>
      <c r="C666" s="1"/>
      <c r="D666" s="1"/>
      <c r="E666" s="1"/>
      <c r="F666" s="1"/>
      <c r="G666" s="1"/>
      <c r="H666" s="1"/>
      <c r="I666" s="1"/>
      <c r="J666" s="1"/>
      <c r="K666" s="1"/>
      <c r="L666" s="1"/>
      <c r="M666" s="1"/>
      <c r="N666" s="1"/>
      <c r="O666" s="1"/>
      <c r="P666" s="1"/>
      <c r="Q666" s="1"/>
      <c r="R666" s="1"/>
      <c r="S666" s="1"/>
      <c r="T666" s="1"/>
      <c r="U666" s="2"/>
      <c r="V666" s="1"/>
      <c r="W666" s="1"/>
      <c r="X666" s="1"/>
      <c r="Y666" s="1"/>
      <c r="Z666" s="1"/>
    </row>
    <row r="667" spans="1:26" ht="24.75" customHeight="1">
      <c r="A667" s="1"/>
      <c r="B667" s="1"/>
      <c r="C667" s="1"/>
      <c r="D667" s="1"/>
      <c r="E667" s="1"/>
      <c r="F667" s="1"/>
      <c r="G667" s="1"/>
      <c r="H667" s="1"/>
      <c r="I667" s="1"/>
      <c r="J667" s="1"/>
      <c r="K667" s="1"/>
      <c r="L667" s="1"/>
      <c r="M667" s="1"/>
      <c r="N667" s="1"/>
      <c r="O667" s="1"/>
      <c r="P667" s="1"/>
      <c r="Q667" s="1"/>
      <c r="R667" s="1"/>
      <c r="S667" s="1"/>
      <c r="T667" s="1"/>
      <c r="U667" s="2"/>
      <c r="V667" s="1"/>
      <c r="W667" s="1"/>
      <c r="X667" s="1"/>
      <c r="Y667" s="1"/>
      <c r="Z667" s="1"/>
    </row>
    <row r="668" spans="1:26" ht="24.75" customHeight="1">
      <c r="A668" s="1"/>
      <c r="B668" s="1"/>
      <c r="C668" s="1"/>
      <c r="D668" s="1"/>
      <c r="E668" s="1"/>
      <c r="F668" s="1"/>
      <c r="G668" s="1"/>
      <c r="H668" s="1"/>
      <c r="I668" s="1"/>
      <c r="J668" s="1"/>
      <c r="K668" s="1"/>
      <c r="L668" s="1"/>
      <c r="M668" s="1"/>
      <c r="N668" s="1"/>
      <c r="O668" s="1"/>
      <c r="P668" s="1"/>
      <c r="Q668" s="1"/>
      <c r="R668" s="1"/>
      <c r="S668" s="1"/>
      <c r="T668" s="1"/>
      <c r="U668" s="2"/>
      <c r="V668" s="1"/>
      <c r="W668" s="1"/>
      <c r="X668" s="1"/>
      <c r="Y668" s="1"/>
      <c r="Z668" s="1"/>
    </row>
    <row r="669" spans="1:26" ht="24.75" customHeight="1">
      <c r="A669" s="1"/>
      <c r="B669" s="1"/>
      <c r="C669" s="1"/>
      <c r="D669" s="1"/>
      <c r="E669" s="1"/>
      <c r="F669" s="1"/>
      <c r="G669" s="1"/>
      <c r="H669" s="1"/>
      <c r="I669" s="1"/>
      <c r="J669" s="1"/>
      <c r="K669" s="1"/>
      <c r="L669" s="1"/>
      <c r="M669" s="1"/>
      <c r="N669" s="1"/>
      <c r="O669" s="1"/>
      <c r="P669" s="1"/>
      <c r="Q669" s="1"/>
      <c r="R669" s="1"/>
      <c r="S669" s="1"/>
      <c r="T669" s="1"/>
      <c r="U669" s="2"/>
      <c r="V669" s="1"/>
      <c r="W669" s="1"/>
      <c r="X669" s="1"/>
      <c r="Y669" s="1"/>
      <c r="Z669" s="1"/>
    </row>
    <row r="670" spans="1:26" ht="24.75" customHeight="1">
      <c r="A670" s="1"/>
      <c r="B670" s="1"/>
      <c r="C670" s="1"/>
      <c r="D670" s="1"/>
      <c r="E670" s="1"/>
      <c r="F670" s="1"/>
      <c r="G670" s="1"/>
      <c r="H670" s="1"/>
      <c r="I670" s="1"/>
      <c r="J670" s="1"/>
      <c r="K670" s="1"/>
      <c r="L670" s="1"/>
      <c r="M670" s="1"/>
      <c r="N670" s="1"/>
      <c r="O670" s="1"/>
      <c r="P670" s="1"/>
      <c r="Q670" s="1"/>
      <c r="R670" s="1"/>
      <c r="S670" s="1"/>
      <c r="T670" s="1"/>
      <c r="U670" s="2"/>
      <c r="V670" s="1"/>
      <c r="W670" s="1"/>
      <c r="X670" s="1"/>
      <c r="Y670" s="1"/>
      <c r="Z670" s="1"/>
    </row>
    <row r="671" spans="1:26" ht="24.75" customHeight="1">
      <c r="A671" s="1"/>
      <c r="B671" s="1"/>
      <c r="C671" s="1"/>
      <c r="D671" s="1"/>
      <c r="E671" s="1"/>
      <c r="F671" s="1"/>
      <c r="G671" s="1"/>
      <c r="H671" s="1"/>
      <c r="I671" s="1"/>
      <c r="J671" s="1"/>
      <c r="K671" s="1"/>
      <c r="L671" s="1"/>
      <c r="M671" s="1"/>
      <c r="N671" s="1"/>
      <c r="O671" s="1"/>
      <c r="P671" s="1"/>
      <c r="Q671" s="1"/>
      <c r="R671" s="1"/>
      <c r="S671" s="1"/>
      <c r="T671" s="1"/>
      <c r="U671" s="2"/>
      <c r="V671" s="1"/>
      <c r="W671" s="1"/>
      <c r="X671" s="1"/>
      <c r="Y671" s="1"/>
      <c r="Z671" s="1"/>
    </row>
    <row r="672" spans="1:26" ht="24.75" customHeight="1">
      <c r="A672" s="1"/>
      <c r="B672" s="1"/>
      <c r="C672" s="1"/>
      <c r="D672" s="1"/>
      <c r="E672" s="1"/>
      <c r="F672" s="1"/>
      <c r="G672" s="1"/>
      <c r="H672" s="1"/>
      <c r="I672" s="1"/>
      <c r="J672" s="1"/>
      <c r="K672" s="1"/>
      <c r="L672" s="1"/>
      <c r="M672" s="1"/>
      <c r="N672" s="1"/>
      <c r="O672" s="1"/>
      <c r="P672" s="1"/>
      <c r="Q672" s="1"/>
      <c r="R672" s="1"/>
      <c r="S672" s="1"/>
      <c r="T672" s="1"/>
      <c r="U672" s="2"/>
      <c r="V672" s="1"/>
      <c r="W672" s="1"/>
      <c r="X672" s="1"/>
      <c r="Y672" s="1"/>
      <c r="Z672" s="1"/>
    </row>
    <row r="673" spans="1:26" ht="24.75" customHeight="1">
      <c r="A673" s="1"/>
      <c r="B673" s="1"/>
      <c r="C673" s="1"/>
      <c r="D673" s="1"/>
      <c r="E673" s="1"/>
      <c r="F673" s="1"/>
      <c r="G673" s="1"/>
      <c r="H673" s="1"/>
      <c r="I673" s="1"/>
      <c r="J673" s="1"/>
      <c r="K673" s="1"/>
      <c r="L673" s="1"/>
      <c r="M673" s="1"/>
      <c r="N673" s="1"/>
      <c r="O673" s="1"/>
      <c r="P673" s="1"/>
      <c r="Q673" s="1"/>
      <c r="R673" s="1"/>
      <c r="S673" s="1"/>
      <c r="T673" s="1"/>
      <c r="U673" s="2"/>
      <c r="V673" s="1"/>
      <c r="W673" s="1"/>
      <c r="X673" s="1"/>
      <c r="Y673" s="1"/>
      <c r="Z673" s="1"/>
    </row>
    <row r="674" spans="1:26" ht="24.75" customHeight="1">
      <c r="A674" s="1"/>
      <c r="B674" s="1"/>
      <c r="C674" s="1"/>
      <c r="D674" s="1"/>
      <c r="E674" s="1"/>
      <c r="F674" s="1"/>
      <c r="G674" s="1"/>
      <c r="H674" s="1"/>
      <c r="I674" s="1"/>
      <c r="J674" s="1"/>
      <c r="K674" s="1"/>
      <c r="L674" s="1"/>
      <c r="M674" s="1"/>
      <c r="N674" s="1"/>
      <c r="O674" s="1"/>
      <c r="P674" s="1"/>
      <c r="Q674" s="1"/>
      <c r="R674" s="1"/>
      <c r="S674" s="1"/>
      <c r="T674" s="1"/>
      <c r="U674" s="2"/>
      <c r="V674" s="1"/>
      <c r="W674" s="1"/>
      <c r="X674" s="1"/>
      <c r="Y674" s="1"/>
      <c r="Z674" s="1"/>
    </row>
    <row r="675" spans="1:26" ht="24.75" customHeight="1">
      <c r="A675" s="1"/>
      <c r="B675" s="1"/>
      <c r="C675" s="1"/>
      <c r="D675" s="1"/>
      <c r="E675" s="1"/>
      <c r="F675" s="1"/>
      <c r="G675" s="1"/>
      <c r="H675" s="1"/>
      <c r="I675" s="1"/>
      <c r="J675" s="1"/>
      <c r="K675" s="1"/>
      <c r="L675" s="1"/>
      <c r="M675" s="1"/>
      <c r="N675" s="1"/>
      <c r="O675" s="1"/>
      <c r="P675" s="1"/>
      <c r="Q675" s="1"/>
      <c r="R675" s="1"/>
      <c r="S675" s="1"/>
      <c r="T675" s="1"/>
      <c r="U675" s="2"/>
      <c r="V675" s="1"/>
      <c r="W675" s="1"/>
      <c r="X675" s="1"/>
      <c r="Y675" s="1"/>
      <c r="Z675" s="1"/>
    </row>
    <row r="676" spans="1:26" ht="24.75" customHeight="1">
      <c r="A676" s="1"/>
      <c r="B676" s="1"/>
      <c r="C676" s="1"/>
      <c r="D676" s="1"/>
      <c r="E676" s="1"/>
      <c r="F676" s="1"/>
      <c r="G676" s="1"/>
      <c r="H676" s="1"/>
      <c r="I676" s="1"/>
      <c r="J676" s="1"/>
      <c r="K676" s="1"/>
      <c r="L676" s="1"/>
      <c r="M676" s="1"/>
      <c r="N676" s="1"/>
      <c r="O676" s="1"/>
      <c r="P676" s="1"/>
      <c r="Q676" s="1"/>
      <c r="R676" s="1"/>
      <c r="S676" s="1"/>
      <c r="T676" s="1"/>
      <c r="U676" s="2"/>
      <c r="V676" s="1"/>
      <c r="W676" s="1"/>
      <c r="X676" s="1"/>
      <c r="Y676" s="1"/>
      <c r="Z676" s="1"/>
    </row>
    <row r="677" spans="1:26" ht="24.75" customHeight="1">
      <c r="A677" s="1"/>
      <c r="B677" s="1"/>
      <c r="C677" s="1"/>
      <c r="D677" s="1"/>
      <c r="E677" s="1"/>
      <c r="F677" s="1"/>
      <c r="G677" s="1"/>
      <c r="H677" s="1"/>
      <c r="I677" s="1"/>
      <c r="J677" s="1"/>
      <c r="K677" s="1"/>
      <c r="L677" s="1"/>
      <c r="M677" s="1"/>
      <c r="N677" s="1"/>
      <c r="O677" s="1"/>
      <c r="P677" s="1"/>
      <c r="Q677" s="1"/>
      <c r="R677" s="1"/>
      <c r="S677" s="1"/>
      <c r="T677" s="1"/>
      <c r="U677" s="2"/>
      <c r="V677" s="1"/>
      <c r="W677" s="1"/>
      <c r="X677" s="1"/>
      <c r="Y677" s="1"/>
      <c r="Z677" s="1"/>
    </row>
    <row r="678" spans="1:26" ht="24.75" customHeight="1">
      <c r="A678" s="1"/>
      <c r="B678" s="1"/>
      <c r="C678" s="1"/>
      <c r="D678" s="1"/>
      <c r="E678" s="1"/>
      <c r="F678" s="1"/>
      <c r="G678" s="1"/>
      <c r="H678" s="1"/>
      <c r="I678" s="1"/>
      <c r="J678" s="1"/>
      <c r="K678" s="1"/>
      <c r="L678" s="1"/>
      <c r="M678" s="1"/>
      <c r="N678" s="1"/>
      <c r="O678" s="1"/>
      <c r="P678" s="1"/>
      <c r="Q678" s="1"/>
      <c r="R678" s="1"/>
      <c r="S678" s="1"/>
      <c r="T678" s="1"/>
      <c r="U678" s="2"/>
      <c r="V678" s="1"/>
      <c r="W678" s="1"/>
      <c r="X678" s="1"/>
      <c r="Y678" s="1"/>
      <c r="Z678" s="1"/>
    </row>
    <row r="679" spans="1:26" ht="24.75" customHeight="1">
      <c r="A679" s="1"/>
      <c r="B679" s="1"/>
      <c r="C679" s="1"/>
      <c r="D679" s="1"/>
      <c r="E679" s="1"/>
      <c r="F679" s="1"/>
      <c r="G679" s="1"/>
      <c r="H679" s="1"/>
      <c r="I679" s="1"/>
      <c r="J679" s="1"/>
      <c r="K679" s="1"/>
      <c r="L679" s="1"/>
      <c r="M679" s="1"/>
      <c r="N679" s="1"/>
      <c r="O679" s="1"/>
      <c r="P679" s="1"/>
      <c r="Q679" s="1"/>
      <c r="R679" s="1"/>
      <c r="S679" s="1"/>
      <c r="T679" s="1"/>
      <c r="U679" s="2"/>
      <c r="V679" s="1"/>
      <c r="W679" s="1"/>
      <c r="X679" s="1"/>
      <c r="Y679" s="1"/>
      <c r="Z679" s="1"/>
    </row>
    <row r="680" spans="1:26" ht="24.75" customHeight="1">
      <c r="A680" s="1"/>
      <c r="B680" s="1"/>
      <c r="C680" s="1"/>
      <c r="D680" s="1"/>
      <c r="E680" s="1"/>
      <c r="F680" s="1"/>
      <c r="G680" s="1"/>
      <c r="H680" s="1"/>
      <c r="I680" s="1"/>
      <c r="J680" s="1"/>
      <c r="K680" s="1"/>
      <c r="L680" s="1"/>
      <c r="M680" s="1"/>
      <c r="N680" s="1"/>
      <c r="O680" s="1"/>
      <c r="P680" s="1"/>
      <c r="Q680" s="1"/>
      <c r="R680" s="1"/>
      <c r="S680" s="1"/>
      <c r="T680" s="1"/>
      <c r="U680" s="2"/>
      <c r="V680" s="1"/>
      <c r="W680" s="1"/>
      <c r="X680" s="1"/>
      <c r="Y680" s="1"/>
      <c r="Z680" s="1"/>
    </row>
    <row r="681" spans="1:26" ht="24.75" customHeight="1">
      <c r="A681" s="1"/>
      <c r="B681" s="1"/>
      <c r="C681" s="1"/>
      <c r="D681" s="1"/>
      <c r="E681" s="1"/>
      <c r="F681" s="1"/>
      <c r="G681" s="1"/>
      <c r="H681" s="1"/>
      <c r="I681" s="1"/>
      <c r="J681" s="1"/>
      <c r="K681" s="1"/>
      <c r="L681" s="1"/>
      <c r="M681" s="1"/>
      <c r="N681" s="1"/>
      <c r="O681" s="1"/>
      <c r="P681" s="1"/>
      <c r="Q681" s="1"/>
      <c r="R681" s="1"/>
      <c r="S681" s="1"/>
      <c r="T681" s="1"/>
      <c r="U681" s="2"/>
      <c r="V681" s="1"/>
      <c r="W681" s="1"/>
      <c r="X681" s="1"/>
      <c r="Y681" s="1"/>
      <c r="Z681" s="1"/>
    </row>
    <row r="682" spans="1:26" ht="24.75" customHeight="1">
      <c r="A682" s="1"/>
      <c r="B682" s="1"/>
      <c r="C682" s="1"/>
      <c r="D682" s="1"/>
      <c r="E682" s="1"/>
      <c r="F682" s="1"/>
      <c r="G682" s="1"/>
      <c r="H682" s="1"/>
      <c r="I682" s="1"/>
      <c r="J682" s="1"/>
      <c r="K682" s="1"/>
      <c r="L682" s="1"/>
      <c r="M682" s="1"/>
      <c r="N682" s="1"/>
      <c r="O682" s="1"/>
      <c r="P682" s="1"/>
      <c r="Q682" s="1"/>
      <c r="R682" s="1"/>
      <c r="S682" s="1"/>
      <c r="T682" s="1"/>
      <c r="U682" s="2"/>
      <c r="V682" s="1"/>
      <c r="W682" s="1"/>
      <c r="X682" s="1"/>
      <c r="Y682" s="1"/>
      <c r="Z682" s="1"/>
    </row>
    <row r="683" spans="1:26" ht="24.75" customHeight="1">
      <c r="A683" s="1"/>
      <c r="B683" s="1"/>
      <c r="C683" s="1"/>
      <c r="D683" s="1"/>
      <c r="E683" s="1"/>
      <c r="F683" s="1"/>
      <c r="G683" s="1"/>
      <c r="H683" s="1"/>
      <c r="I683" s="1"/>
      <c r="J683" s="1"/>
      <c r="K683" s="1"/>
      <c r="L683" s="1"/>
      <c r="M683" s="1"/>
      <c r="N683" s="1"/>
      <c r="O683" s="1"/>
      <c r="P683" s="1"/>
      <c r="Q683" s="1"/>
      <c r="R683" s="1"/>
      <c r="S683" s="1"/>
      <c r="T683" s="1"/>
      <c r="U683" s="2"/>
      <c r="V683" s="1"/>
      <c r="W683" s="1"/>
      <c r="X683" s="1"/>
      <c r="Y683" s="1"/>
      <c r="Z683" s="1"/>
    </row>
    <row r="684" spans="1:26" ht="24.75" customHeight="1">
      <c r="A684" s="1"/>
      <c r="B684" s="1"/>
      <c r="C684" s="1"/>
      <c r="D684" s="1"/>
      <c r="E684" s="1"/>
      <c r="F684" s="1"/>
      <c r="G684" s="1"/>
      <c r="H684" s="1"/>
      <c r="I684" s="1"/>
      <c r="J684" s="1"/>
      <c r="K684" s="1"/>
      <c r="L684" s="1"/>
      <c r="M684" s="1"/>
      <c r="N684" s="1"/>
      <c r="O684" s="1"/>
      <c r="P684" s="1"/>
      <c r="Q684" s="1"/>
      <c r="R684" s="1"/>
      <c r="S684" s="1"/>
      <c r="T684" s="1"/>
      <c r="U684" s="2"/>
      <c r="V684" s="1"/>
      <c r="W684" s="1"/>
      <c r="X684" s="1"/>
      <c r="Y684" s="1"/>
      <c r="Z684" s="1"/>
    </row>
    <row r="685" spans="1:26" ht="24.75" customHeight="1">
      <c r="A685" s="1"/>
      <c r="B685" s="1"/>
      <c r="C685" s="1"/>
      <c r="D685" s="1"/>
      <c r="E685" s="1"/>
      <c r="F685" s="1"/>
      <c r="G685" s="1"/>
      <c r="H685" s="1"/>
      <c r="I685" s="1"/>
      <c r="J685" s="1"/>
      <c r="K685" s="1"/>
      <c r="L685" s="1"/>
      <c r="M685" s="1"/>
      <c r="N685" s="1"/>
      <c r="O685" s="1"/>
      <c r="P685" s="1"/>
      <c r="Q685" s="1"/>
      <c r="R685" s="1"/>
      <c r="S685" s="1"/>
      <c r="T685" s="1"/>
      <c r="U685" s="2"/>
      <c r="V685" s="1"/>
      <c r="W685" s="1"/>
      <c r="X685" s="1"/>
      <c r="Y685" s="1"/>
      <c r="Z685" s="1"/>
    </row>
    <row r="686" spans="1:26" ht="24.75" customHeight="1">
      <c r="A686" s="1"/>
      <c r="B686" s="1"/>
      <c r="C686" s="1"/>
      <c r="D686" s="1"/>
      <c r="E686" s="1"/>
      <c r="F686" s="1"/>
      <c r="G686" s="1"/>
      <c r="H686" s="1"/>
      <c r="I686" s="1"/>
      <c r="J686" s="1"/>
      <c r="K686" s="1"/>
      <c r="L686" s="1"/>
      <c r="M686" s="1"/>
      <c r="N686" s="1"/>
      <c r="O686" s="1"/>
      <c r="P686" s="1"/>
      <c r="Q686" s="1"/>
      <c r="R686" s="1"/>
      <c r="S686" s="1"/>
      <c r="T686" s="1"/>
      <c r="U686" s="2"/>
      <c r="V686" s="1"/>
      <c r="W686" s="1"/>
      <c r="X686" s="1"/>
      <c r="Y686" s="1"/>
      <c r="Z686" s="1"/>
    </row>
    <row r="687" spans="1:26" ht="24.75" customHeight="1">
      <c r="A687" s="1"/>
      <c r="B687" s="1"/>
      <c r="C687" s="1"/>
      <c r="D687" s="1"/>
      <c r="E687" s="1"/>
      <c r="F687" s="1"/>
      <c r="G687" s="1"/>
      <c r="H687" s="1"/>
      <c r="I687" s="1"/>
      <c r="J687" s="1"/>
      <c r="K687" s="1"/>
      <c r="L687" s="1"/>
      <c r="M687" s="1"/>
      <c r="N687" s="1"/>
      <c r="O687" s="1"/>
      <c r="P687" s="1"/>
      <c r="Q687" s="1"/>
      <c r="R687" s="1"/>
      <c r="S687" s="1"/>
      <c r="T687" s="1"/>
      <c r="U687" s="2"/>
      <c r="V687" s="1"/>
      <c r="W687" s="1"/>
      <c r="X687" s="1"/>
      <c r="Y687" s="1"/>
      <c r="Z687" s="1"/>
    </row>
    <row r="688" spans="1:26" ht="24.75" customHeight="1">
      <c r="A688" s="1"/>
      <c r="B688" s="1"/>
      <c r="C688" s="1"/>
      <c r="D688" s="1"/>
      <c r="E688" s="1"/>
      <c r="F688" s="1"/>
      <c r="G688" s="1"/>
      <c r="H688" s="1"/>
      <c r="I688" s="1"/>
      <c r="J688" s="1"/>
      <c r="K688" s="1"/>
      <c r="L688" s="1"/>
      <c r="M688" s="1"/>
      <c r="N688" s="1"/>
      <c r="O688" s="1"/>
      <c r="P688" s="1"/>
      <c r="Q688" s="1"/>
      <c r="R688" s="1"/>
      <c r="S688" s="1"/>
      <c r="T688" s="1"/>
      <c r="U688" s="2"/>
      <c r="V688" s="1"/>
      <c r="W688" s="1"/>
      <c r="X688" s="1"/>
      <c r="Y688" s="1"/>
      <c r="Z688" s="1"/>
    </row>
    <row r="689" spans="1:26" ht="24.75" customHeight="1">
      <c r="A689" s="1"/>
      <c r="B689" s="1"/>
      <c r="C689" s="1"/>
      <c r="D689" s="1"/>
      <c r="E689" s="1"/>
      <c r="F689" s="1"/>
      <c r="G689" s="1"/>
      <c r="H689" s="1"/>
      <c r="I689" s="1"/>
      <c r="J689" s="1"/>
      <c r="K689" s="1"/>
      <c r="L689" s="1"/>
      <c r="M689" s="1"/>
      <c r="N689" s="1"/>
      <c r="O689" s="1"/>
      <c r="P689" s="1"/>
      <c r="Q689" s="1"/>
      <c r="R689" s="1"/>
      <c r="S689" s="1"/>
      <c r="T689" s="1"/>
      <c r="U689" s="2"/>
      <c r="V689" s="1"/>
      <c r="W689" s="1"/>
      <c r="X689" s="1"/>
      <c r="Y689" s="1"/>
      <c r="Z689" s="1"/>
    </row>
    <row r="690" spans="1:26" ht="24.75" customHeight="1">
      <c r="A690" s="1"/>
      <c r="B690" s="1"/>
      <c r="C690" s="1"/>
      <c r="D690" s="1"/>
      <c r="E690" s="1"/>
      <c r="F690" s="1"/>
      <c r="G690" s="1"/>
      <c r="H690" s="1"/>
      <c r="I690" s="1"/>
      <c r="J690" s="1"/>
      <c r="K690" s="1"/>
      <c r="L690" s="1"/>
      <c r="M690" s="1"/>
      <c r="N690" s="1"/>
      <c r="O690" s="1"/>
      <c r="P690" s="1"/>
      <c r="Q690" s="1"/>
      <c r="R690" s="1"/>
      <c r="S690" s="1"/>
      <c r="T690" s="1"/>
      <c r="U690" s="2"/>
      <c r="V690" s="1"/>
      <c r="W690" s="1"/>
      <c r="X690" s="1"/>
      <c r="Y690" s="1"/>
      <c r="Z690" s="1"/>
    </row>
    <row r="691" spans="1:26" ht="24.75" customHeight="1">
      <c r="A691" s="1"/>
      <c r="B691" s="1"/>
      <c r="C691" s="1"/>
      <c r="D691" s="1"/>
      <c r="E691" s="1"/>
      <c r="F691" s="1"/>
      <c r="G691" s="1"/>
      <c r="H691" s="1"/>
      <c r="I691" s="1"/>
      <c r="J691" s="1"/>
      <c r="K691" s="1"/>
      <c r="L691" s="1"/>
      <c r="M691" s="1"/>
      <c r="N691" s="1"/>
      <c r="O691" s="1"/>
      <c r="P691" s="1"/>
      <c r="Q691" s="1"/>
      <c r="R691" s="1"/>
      <c r="S691" s="1"/>
      <c r="T691" s="1"/>
      <c r="U691" s="2"/>
      <c r="V691" s="1"/>
      <c r="W691" s="1"/>
      <c r="X691" s="1"/>
      <c r="Y691" s="1"/>
      <c r="Z691" s="1"/>
    </row>
    <row r="692" spans="1:26" ht="24.75" customHeight="1">
      <c r="A692" s="1"/>
      <c r="B692" s="1"/>
      <c r="C692" s="1"/>
      <c r="D692" s="1"/>
      <c r="E692" s="1"/>
      <c r="F692" s="1"/>
      <c r="G692" s="1"/>
      <c r="H692" s="1"/>
      <c r="I692" s="1"/>
      <c r="J692" s="1"/>
      <c r="K692" s="1"/>
      <c r="L692" s="1"/>
      <c r="M692" s="1"/>
      <c r="N692" s="1"/>
      <c r="O692" s="1"/>
      <c r="P692" s="1"/>
      <c r="Q692" s="1"/>
      <c r="R692" s="1"/>
      <c r="S692" s="1"/>
      <c r="T692" s="1"/>
      <c r="U692" s="2"/>
      <c r="V692" s="1"/>
      <c r="W692" s="1"/>
      <c r="X692" s="1"/>
      <c r="Y692" s="1"/>
      <c r="Z692" s="1"/>
    </row>
    <row r="693" spans="1:26" ht="24.75" customHeight="1">
      <c r="A693" s="1"/>
      <c r="B693" s="1"/>
      <c r="C693" s="1"/>
      <c r="D693" s="1"/>
      <c r="E693" s="1"/>
      <c r="F693" s="1"/>
      <c r="G693" s="1"/>
      <c r="H693" s="1"/>
      <c r="I693" s="1"/>
      <c r="J693" s="1"/>
      <c r="K693" s="1"/>
      <c r="L693" s="1"/>
      <c r="M693" s="1"/>
      <c r="N693" s="1"/>
      <c r="O693" s="1"/>
      <c r="P693" s="1"/>
      <c r="Q693" s="1"/>
      <c r="R693" s="1"/>
      <c r="S693" s="1"/>
      <c r="T693" s="1"/>
      <c r="U693" s="2"/>
      <c r="V693" s="1"/>
      <c r="W693" s="1"/>
      <c r="X693" s="1"/>
      <c r="Y693" s="1"/>
      <c r="Z693" s="1"/>
    </row>
    <row r="694" spans="1:26" ht="24.75" customHeight="1">
      <c r="A694" s="1"/>
      <c r="B694" s="1"/>
      <c r="C694" s="1"/>
      <c r="D694" s="1"/>
      <c r="E694" s="1"/>
      <c r="F694" s="1"/>
      <c r="G694" s="1"/>
      <c r="H694" s="1"/>
      <c r="I694" s="1"/>
      <c r="J694" s="1"/>
      <c r="K694" s="1"/>
      <c r="L694" s="1"/>
      <c r="M694" s="1"/>
      <c r="N694" s="1"/>
      <c r="O694" s="1"/>
      <c r="P694" s="1"/>
      <c r="Q694" s="1"/>
      <c r="R694" s="1"/>
      <c r="S694" s="1"/>
      <c r="T694" s="1"/>
      <c r="U694" s="2"/>
      <c r="V694" s="1"/>
      <c r="W694" s="1"/>
      <c r="X694" s="1"/>
      <c r="Y694" s="1"/>
      <c r="Z694" s="1"/>
    </row>
    <row r="695" spans="1:26" ht="24.75" customHeight="1">
      <c r="A695" s="1"/>
      <c r="B695" s="1"/>
      <c r="C695" s="1"/>
      <c r="D695" s="1"/>
      <c r="E695" s="1"/>
      <c r="F695" s="1"/>
      <c r="G695" s="1"/>
      <c r="H695" s="1"/>
      <c r="I695" s="1"/>
      <c r="J695" s="1"/>
      <c r="K695" s="1"/>
      <c r="L695" s="1"/>
      <c r="M695" s="1"/>
      <c r="N695" s="1"/>
      <c r="O695" s="1"/>
      <c r="P695" s="1"/>
      <c r="Q695" s="1"/>
      <c r="R695" s="1"/>
      <c r="S695" s="1"/>
      <c r="T695" s="1"/>
      <c r="U695" s="2"/>
      <c r="V695" s="1"/>
      <c r="W695" s="1"/>
      <c r="X695" s="1"/>
      <c r="Y695" s="1"/>
      <c r="Z695" s="1"/>
    </row>
    <row r="696" spans="1:26" ht="24.75" customHeight="1">
      <c r="A696" s="1"/>
      <c r="B696" s="1"/>
      <c r="C696" s="1"/>
      <c r="D696" s="1"/>
      <c r="E696" s="1"/>
      <c r="F696" s="1"/>
      <c r="G696" s="1"/>
      <c r="H696" s="1"/>
      <c r="I696" s="1"/>
      <c r="J696" s="1"/>
      <c r="K696" s="1"/>
      <c r="L696" s="1"/>
      <c r="M696" s="1"/>
      <c r="N696" s="1"/>
      <c r="O696" s="1"/>
      <c r="P696" s="1"/>
      <c r="Q696" s="1"/>
      <c r="R696" s="1"/>
      <c r="S696" s="1"/>
      <c r="T696" s="1"/>
      <c r="U696" s="2"/>
      <c r="V696" s="1"/>
      <c r="W696" s="1"/>
      <c r="X696" s="1"/>
      <c r="Y696" s="1"/>
      <c r="Z696" s="1"/>
    </row>
    <row r="697" spans="1:26" ht="24.75" customHeight="1">
      <c r="A697" s="1"/>
      <c r="B697" s="1"/>
      <c r="C697" s="1"/>
      <c r="D697" s="1"/>
      <c r="E697" s="1"/>
      <c r="F697" s="1"/>
      <c r="G697" s="1"/>
      <c r="H697" s="1"/>
      <c r="I697" s="1"/>
      <c r="J697" s="1"/>
      <c r="K697" s="1"/>
      <c r="L697" s="1"/>
      <c r="M697" s="1"/>
      <c r="N697" s="1"/>
      <c r="O697" s="1"/>
      <c r="P697" s="1"/>
      <c r="Q697" s="1"/>
      <c r="R697" s="1"/>
      <c r="S697" s="1"/>
      <c r="T697" s="1"/>
      <c r="U697" s="2"/>
      <c r="V697" s="1"/>
      <c r="W697" s="1"/>
      <c r="X697" s="1"/>
      <c r="Y697" s="1"/>
      <c r="Z697" s="1"/>
    </row>
    <row r="698" spans="1:26" ht="24.75" customHeight="1">
      <c r="A698" s="1"/>
      <c r="B698" s="1"/>
      <c r="C698" s="1"/>
      <c r="D698" s="1"/>
      <c r="E698" s="1"/>
      <c r="F698" s="1"/>
      <c r="G698" s="1"/>
      <c r="H698" s="1"/>
      <c r="I698" s="1"/>
      <c r="J698" s="1"/>
      <c r="K698" s="1"/>
      <c r="L698" s="1"/>
      <c r="M698" s="1"/>
      <c r="N698" s="1"/>
      <c r="O698" s="1"/>
      <c r="P698" s="1"/>
      <c r="Q698" s="1"/>
      <c r="R698" s="1"/>
      <c r="S698" s="1"/>
      <c r="T698" s="1"/>
      <c r="U698" s="2"/>
      <c r="V698" s="1"/>
      <c r="W698" s="1"/>
      <c r="X698" s="1"/>
      <c r="Y698" s="1"/>
      <c r="Z698" s="1"/>
    </row>
    <row r="699" spans="1:26" ht="24.75" customHeight="1">
      <c r="A699" s="1"/>
      <c r="B699" s="1"/>
      <c r="C699" s="1"/>
      <c r="D699" s="1"/>
      <c r="E699" s="1"/>
      <c r="F699" s="1"/>
      <c r="G699" s="1"/>
      <c r="H699" s="1"/>
      <c r="I699" s="1"/>
      <c r="J699" s="1"/>
      <c r="K699" s="1"/>
      <c r="L699" s="1"/>
      <c r="M699" s="1"/>
      <c r="N699" s="1"/>
      <c r="O699" s="1"/>
      <c r="P699" s="1"/>
      <c r="Q699" s="1"/>
      <c r="R699" s="1"/>
      <c r="S699" s="1"/>
      <c r="T699" s="1"/>
      <c r="U699" s="2"/>
      <c r="V699" s="1"/>
      <c r="W699" s="1"/>
      <c r="X699" s="1"/>
      <c r="Y699" s="1"/>
      <c r="Z699" s="1"/>
    </row>
    <row r="700" spans="1:26" ht="24.75" customHeight="1">
      <c r="A700" s="1"/>
      <c r="B700" s="1"/>
      <c r="C700" s="1"/>
      <c r="D700" s="1"/>
      <c r="E700" s="1"/>
      <c r="F700" s="1"/>
      <c r="G700" s="1"/>
      <c r="H700" s="1"/>
      <c r="I700" s="1"/>
      <c r="J700" s="1"/>
      <c r="K700" s="1"/>
      <c r="L700" s="1"/>
      <c r="M700" s="1"/>
      <c r="N700" s="1"/>
      <c r="O700" s="1"/>
      <c r="P700" s="1"/>
      <c r="Q700" s="1"/>
      <c r="R700" s="1"/>
      <c r="S700" s="1"/>
      <c r="T700" s="1"/>
      <c r="U700" s="2"/>
      <c r="V700" s="1"/>
      <c r="W700" s="1"/>
      <c r="X700" s="1"/>
      <c r="Y700" s="1"/>
      <c r="Z700" s="1"/>
    </row>
    <row r="701" spans="1:26" ht="24.75" customHeight="1">
      <c r="A701" s="1"/>
      <c r="B701" s="1"/>
      <c r="C701" s="1"/>
      <c r="D701" s="1"/>
      <c r="E701" s="1"/>
      <c r="F701" s="1"/>
      <c r="G701" s="1"/>
      <c r="H701" s="1"/>
      <c r="I701" s="1"/>
      <c r="J701" s="1"/>
      <c r="K701" s="1"/>
      <c r="L701" s="1"/>
      <c r="M701" s="1"/>
      <c r="N701" s="1"/>
      <c r="O701" s="1"/>
      <c r="P701" s="1"/>
      <c r="Q701" s="1"/>
      <c r="R701" s="1"/>
      <c r="S701" s="1"/>
      <c r="T701" s="1"/>
      <c r="U701" s="2"/>
      <c r="V701" s="1"/>
      <c r="W701" s="1"/>
      <c r="X701" s="1"/>
      <c r="Y701" s="1"/>
      <c r="Z701" s="1"/>
    </row>
    <row r="702" spans="1:26" ht="24.75" customHeight="1">
      <c r="A702" s="1"/>
      <c r="B702" s="1"/>
      <c r="C702" s="1"/>
      <c r="D702" s="1"/>
      <c r="E702" s="1"/>
      <c r="F702" s="1"/>
      <c r="G702" s="1"/>
      <c r="H702" s="1"/>
      <c r="I702" s="1"/>
      <c r="J702" s="1"/>
      <c r="K702" s="1"/>
      <c r="L702" s="1"/>
      <c r="M702" s="1"/>
      <c r="N702" s="1"/>
      <c r="O702" s="1"/>
      <c r="P702" s="1"/>
      <c r="Q702" s="1"/>
      <c r="R702" s="1"/>
      <c r="S702" s="1"/>
      <c r="T702" s="1"/>
      <c r="U702" s="2"/>
      <c r="V702" s="1"/>
      <c r="W702" s="1"/>
      <c r="X702" s="1"/>
      <c r="Y702" s="1"/>
      <c r="Z702" s="1"/>
    </row>
    <row r="703" spans="1:26" ht="24.75" customHeight="1">
      <c r="A703" s="1"/>
      <c r="B703" s="1"/>
      <c r="C703" s="1"/>
      <c r="D703" s="1"/>
      <c r="E703" s="1"/>
      <c r="F703" s="1"/>
      <c r="G703" s="1"/>
      <c r="H703" s="1"/>
      <c r="I703" s="1"/>
      <c r="J703" s="1"/>
      <c r="K703" s="1"/>
      <c r="L703" s="1"/>
      <c r="M703" s="1"/>
      <c r="N703" s="1"/>
      <c r="O703" s="1"/>
      <c r="P703" s="1"/>
      <c r="Q703" s="1"/>
      <c r="R703" s="1"/>
      <c r="S703" s="1"/>
      <c r="T703" s="1"/>
      <c r="U703" s="2"/>
      <c r="V703" s="1"/>
      <c r="W703" s="1"/>
      <c r="X703" s="1"/>
      <c r="Y703" s="1"/>
      <c r="Z703" s="1"/>
    </row>
    <row r="704" spans="1:26" ht="24.75" customHeight="1">
      <c r="A704" s="1"/>
      <c r="B704" s="1"/>
      <c r="C704" s="1"/>
      <c r="D704" s="1"/>
      <c r="E704" s="1"/>
      <c r="F704" s="1"/>
      <c r="G704" s="1"/>
      <c r="H704" s="1"/>
      <c r="I704" s="1"/>
      <c r="J704" s="1"/>
      <c r="K704" s="1"/>
      <c r="L704" s="1"/>
      <c r="M704" s="1"/>
      <c r="N704" s="1"/>
      <c r="O704" s="1"/>
      <c r="P704" s="1"/>
      <c r="Q704" s="1"/>
      <c r="R704" s="1"/>
      <c r="S704" s="1"/>
      <c r="T704" s="1"/>
      <c r="U704" s="2"/>
      <c r="V704" s="1"/>
      <c r="W704" s="1"/>
      <c r="X704" s="1"/>
      <c r="Y704" s="1"/>
      <c r="Z704" s="1"/>
    </row>
    <row r="705" spans="1:26" ht="24.75" customHeight="1">
      <c r="A705" s="1"/>
      <c r="B705" s="1"/>
      <c r="C705" s="1"/>
      <c r="D705" s="1"/>
      <c r="E705" s="1"/>
      <c r="F705" s="1"/>
      <c r="G705" s="1"/>
      <c r="H705" s="1"/>
      <c r="I705" s="1"/>
      <c r="J705" s="1"/>
      <c r="K705" s="1"/>
      <c r="L705" s="1"/>
      <c r="M705" s="1"/>
      <c r="N705" s="1"/>
      <c r="O705" s="1"/>
      <c r="P705" s="1"/>
      <c r="Q705" s="1"/>
      <c r="R705" s="1"/>
      <c r="S705" s="1"/>
      <c r="T705" s="1"/>
      <c r="U705" s="2"/>
      <c r="V705" s="1"/>
      <c r="W705" s="1"/>
      <c r="X705" s="1"/>
      <c r="Y705" s="1"/>
      <c r="Z705" s="1"/>
    </row>
    <row r="706" spans="1:26" ht="24.75" customHeight="1">
      <c r="A706" s="1"/>
      <c r="B706" s="1"/>
      <c r="C706" s="1"/>
      <c r="D706" s="1"/>
      <c r="E706" s="1"/>
      <c r="F706" s="1"/>
      <c r="G706" s="1"/>
      <c r="H706" s="1"/>
      <c r="I706" s="1"/>
      <c r="J706" s="1"/>
      <c r="K706" s="1"/>
      <c r="L706" s="1"/>
      <c r="M706" s="1"/>
      <c r="N706" s="1"/>
      <c r="O706" s="1"/>
      <c r="P706" s="1"/>
      <c r="Q706" s="1"/>
      <c r="R706" s="1"/>
      <c r="S706" s="1"/>
      <c r="T706" s="1"/>
      <c r="U706" s="2"/>
      <c r="V706" s="1"/>
      <c r="W706" s="1"/>
      <c r="X706" s="1"/>
      <c r="Y706" s="1"/>
      <c r="Z706" s="1"/>
    </row>
    <row r="707" spans="1:26" ht="24.75" customHeight="1">
      <c r="A707" s="1"/>
      <c r="B707" s="1"/>
      <c r="C707" s="1"/>
      <c r="D707" s="1"/>
      <c r="E707" s="1"/>
      <c r="F707" s="1"/>
      <c r="G707" s="1"/>
      <c r="H707" s="1"/>
      <c r="I707" s="1"/>
      <c r="J707" s="1"/>
      <c r="K707" s="1"/>
      <c r="L707" s="1"/>
      <c r="M707" s="1"/>
      <c r="N707" s="1"/>
      <c r="O707" s="1"/>
      <c r="P707" s="1"/>
      <c r="Q707" s="1"/>
      <c r="R707" s="1"/>
      <c r="S707" s="1"/>
      <c r="T707" s="1"/>
      <c r="U707" s="2"/>
      <c r="V707" s="1"/>
      <c r="W707" s="1"/>
      <c r="X707" s="1"/>
      <c r="Y707" s="1"/>
      <c r="Z707" s="1"/>
    </row>
    <row r="708" spans="1:26" ht="24.75" customHeight="1">
      <c r="A708" s="1"/>
      <c r="B708" s="1"/>
      <c r="C708" s="1"/>
      <c r="D708" s="1"/>
      <c r="E708" s="1"/>
      <c r="F708" s="1"/>
      <c r="G708" s="1"/>
      <c r="H708" s="1"/>
      <c r="I708" s="1"/>
      <c r="J708" s="1"/>
      <c r="K708" s="1"/>
      <c r="L708" s="1"/>
      <c r="M708" s="1"/>
      <c r="N708" s="1"/>
      <c r="O708" s="1"/>
      <c r="P708" s="1"/>
      <c r="Q708" s="1"/>
      <c r="R708" s="1"/>
      <c r="S708" s="1"/>
      <c r="T708" s="1"/>
      <c r="U708" s="2"/>
      <c r="V708" s="1"/>
      <c r="W708" s="1"/>
      <c r="X708" s="1"/>
      <c r="Y708" s="1"/>
      <c r="Z708" s="1"/>
    </row>
    <row r="709" spans="1:26" ht="24.75" customHeight="1">
      <c r="A709" s="1"/>
      <c r="B709" s="1"/>
      <c r="C709" s="1"/>
      <c r="D709" s="1"/>
      <c r="E709" s="1"/>
      <c r="F709" s="1"/>
      <c r="G709" s="1"/>
      <c r="H709" s="1"/>
      <c r="I709" s="1"/>
      <c r="J709" s="1"/>
      <c r="K709" s="1"/>
      <c r="L709" s="1"/>
      <c r="M709" s="1"/>
      <c r="N709" s="1"/>
      <c r="O709" s="1"/>
      <c r="P709" s="1"/>
      <c r="Q709" s="1"/>
      <c r="R709" s="1"/>
      <c r="S709" s="1"/>
      <c r="T709" s="1"/>
      <c r="U709" s="2"/>
      <c r="V709" s="1"/>
      <c r="W709" s="1"/>
      <c r="X709" s="1"/>
      <c r="Y709" s="1"/>
      <c r="Z709" s="1"/>
    </row>
    <row r="710" spans="1:26" ht="24.75" customHeight="1">
      <c r="A710" s="1"/>
      <c r="B710" s="1"/>
      <c r="C710" s="1"/>
      <c r="D710" s="1"/>
      <c r="E710" s="1"/>
      <c r="F710" s="1"/>
      <c r="G710" s="1"/>
      <c r="H710" s="1"/>
      <c r="I710" s="1"/>
      <c r="J710" s="1"/>
      <c r="K710" s="1"/>
      <c r="L710" s="1"/>
      <c r="M710" s="1"/>
      <c r="N710" s="1"/>
      <c r="O710" s="1"/>
      <c r="P710" s="1"/>
      <c r="Q710" s="1"/>
      <c r="R710" s="1"/>
      <c r="S710" s="1"/>
      <c r="T710" s="1"/>
      <c r="U710" s="2"/>
      <c r="V710" s="1"/>
      <c r="W710" s="1"/>
      <c r="X710" s="1"/>
      <c r="Y710" s="1"/>
      <c r="Z710" s="1"/>
    </row>
    <row r="711" spans="1:26" ht="24.75" customHeight="1">
      <c r="A711" s="1"/>
      <c r="B711" s="1"/>
      <c r="C711" s="1"/>
      <c r="D711" s="1"/>
      <c r="E711" s="1"/>
      <c r="F711" s="1"/>
      <c r="G711" s="1"/>
      <c r="H711" s="1"/>
      <c r="I711" s="1"/>
      <c r="J711" s="1"/>
      <c r="K711" s="1"/>
      <c r="L711" s="1"/>
      <c r="M711" s="1"/>
      <c r="N711" s="1"/>
      <c r="O711" s="1"/>
      <c r="P711" s="1"/>
      <c r="Q711" s="1"/>
      <c r="R711" s="1"/>
      <c r="S711" s="1"/>
      <c r="T711" s="1"/>
      <c r="U711" s="2"/>
      <c r="V711" s="1"/>
      <c r="W711" s="1"/>
      <c r="X711" s="1"/>
      <c r="Y711" s="1"/>
      <c r="Z711" s="1"/>
    </row>
    <row r="712" spans="1:26" ht="24.75" customHeight="1">
      <c r="A712" s="1"/>
      <c r="B712" s="1"/>
      <c r="C712" s="1"/>
      <c r="D712" s="1"/>
      <c r="E712" s="1"/>
      <c r="F712" s="1"/>
      <c r="G712" s="1"/>
      <c r="H712" s="1"/>
      <c r="I712" s="1"/>
      <c r="J712" s="1"/>
      <c r="K712" s="1"/>
      <c r="L712" s="1"/>
      <c r="M712" s="1"/>
      <c r="N712" s="1"/>
      <c r="O712" s="1"/>
      <c r="P712" s="1"/>
      <c r="Q712" s="1"/>
      <c r="R712" s="1"/>
      <c r="S712" s="1"/>
      <c r="T712" s="1"/>
      <c r="U712" s="2"/>
      <c r="V712" s="1"/>
      <c r="W712" s="1"/>
      <c r="X712" s="1"/>
      <c r="Y712" s="1"/>
      <c r="Z712" s="1"/>
    </row>
    <row r="713" spans="1:26" ht="24.75" customHeight="1">
      <c r="A713" s="1"/>
      <c r="B713" s="1"/>
      <c r="C713" s="1"/>
      <c r="D713" s="1"/>
      <c r="E713" s="1"/>
      <c r="F713" s="1"/>
      <c r="G713" s="1"/>
      <c r="H713" s="1"/>
      <c r="I713" s="1"/>
      <c r="J713" s="1"/>
      <c r="K713" s="1"/>
      <c r="L713" s="1"/>
      <c r="M713" s="1"/>
      <c r="N713" s="1"/>
      <c r="O713" s="1"/>
      <c r="P713" s="1"/>
      <c r="Q713" s="1"/>
      <c r="R713" s="1"/>
      <c r="S713" s="1"/>
      <c r="T713" s="1"/>
      <c r="U713" s="2"/>
      <c r="V713" s="1"/>
      <c r="W713" s="1"/>
      <c r="X713" s="1"/>
      <c r="Y713" s="1"/>
      <c r="Z713" s="1"/>
    </row>
    <row r="714" spans="1:26" ht="24.75" customHeight="1">
      <c r="A714" s="1"/>
      <c r="B714" s="1"/>
      <c r="C714" s="1"/>
      <c r="D714" s="1"/>
      <c r="E714" s="1"/>
      <c r="F714" s="1"/>
      <c r="G714" s="1"/>
      <c r="H714" s="1"/>
      <c r="I714" s="1"/>
      <c r="J714" s="1"/>
      <c r="K714" s="1"/>
      <c r="L714" s="1"/>
      <c r="M714" s="1"/>
      <c r="N714" s="1"/>
      <c r="O714" s="1"/>
      <c r="P714" s="1"/>
      <c r="Q714" s="1"/>
      <c r="R714" s="1"/>
      <c r="S714" s="1"/>
      <c r="T714" s="1"/>
      <c r="U714" s="2"/>
      <c r="V714" s="1"/>
      <c r="W714" s="1"/>
      <c r="X714" s="1"/>
      <c r="Y714" s="1"/>
      <c r="Z714" s="1"/>
    </row>
    <row r="715" spans="1:26" ht="24.75" customHeight="1">
      <c r="A715" s="1"/>
      <c r="B715" s="1"/>
      <c r="C715" s="1"/>
      <c r="D715" s="1"/>
      <c r="E715" s="1"/>
      <c r="F715" s="1"/>
      <c r="G715" s="1"/>
      <c r="H715" s="1"/>
      <c r="I715" s="1"/>
      <c r="J715" s="1"/>
      <c r="K715" s="1"/>
      <c r="L715" s="1"/>
      <c r="M715" s="1"/>
      <c r="N715" s="1"/>
      <c r="O715" s="1"/>
      <c r="P715" s="1"/>
      <c r="Q715" s="1"/>
      <c r="R715" s="1"/>
      <c r="S715" s="1"/>
      <c r="T715" s="1"/>
      <c r="U715" s="2"/>
      <c r="V715" s="1"/>
      <c r="W715" s="1"/>
      <c r="X715" s="1"/>
      <c r="Y715" s="1"/>
      <c r="Z715" s="1"/>
    </row>
    <row r="716" spans="1:26" ht="24.75" customHeight="1">
      <c r="A716" s="1"/>
      <c r="B716" s="1"/>
      <c r="C716" s="1"/>
      <c r="D716" s="1"/>
      <c r="E716" s="1"/>
      <c r="F716" s="1"/>
      <c r="G716" s="1"/>
      <c r="H716" s="1"/>
      <c r="I716" s="1"/>
      <c r="J716" s="1"/>
      <c r="K716" s="1"/>
      <c r="L716" s="1"/>
      <c r="M716" s="1"/>
      <c r="N716" s="1"/>
      <c r="O716" s="1"/>
      <c r="P716" s="1"/>
      <c r="Q716" s="1"/>
      <c r="R716" s="1"/>
      <c r="S716" s="1"/>
      <c r="T716" s="1"/>
      <c r="U716" s="2"/>
      <c r="V716" s="1"/>
      <c r="W716" s="1"/>
      <c r="X716" s="1"/>
      <c r="Y716" s="1"/>
      <c r="Z716" s="1"/>
    </row>
    <row r="717" spans="1:26" ht="24.75" customHeight="1">
      <c r="A717" s="1"/>
      <c r="B717" s="1"/>
      <c r="C717" s="1"/>
      <c r="D717" s="1"/>
      <c r="E717" s="1"/>
      <c r="F717" s="1"/>
      <c r="G717" s="1"/>
      <c r="H717" s="1"/>
      <c r="I717" s="1"/>
      <c r="J717" s="1"/>
      <c r="K717" s="1"/>
      <c r="L717" s="1"/>
      <c r="M717" s="1"/>
      <c r="N717" s="1"/>
      <c r="O717" s="1"/>
      <c r="P717" s="1"/>
      <c r="Q717" s="1"/>
      <c r="R717" s="1"/>
      <c r="S717" s="1"/>
      <c r="T717" s="1"/>
      <c r="U717" s="2"/>
      <c r="V717" s="1"/>
      <c r="W717" s="1"/>
      <c r="X717" s="1"/>
      <c r="Y717" s="1"/>
      <c r="Z717" s="1"/>
    </row>
    <row r="718" spans="1:26" ht="24.75" customHeight="1">
      <c r="A718" s="1"/>
      <c r="B718" s="1"/>
      <c r="C718" s="1"/>
      <c r="D718" s="1"/>
      <c r="E718" s="1"/>
      <c r="F718" s="1"/>
      <c r="G718" s="1"/>
      <c r="H718" s="1"/>
      <c r="I718" s="1"/>
      <c r="J718" s="1"/>
      <c r="K718" s="1"/>
      <c r="L718" s="1"/>
      <c r="M718" s="1"/>
      <c r="N718" s="1"/>
      <c r="O718" s="1"/>
      <c r="P718" s="1"/>
      <c r="Q718" s="1"/>
      <c r="R718" s="1"/>
      <c r="S718" s="1"/>
      <c r="T718" s="1"/>
      <c r="U718" s="2"/>
      <c r="V718" s="1"/>
      <c r="W718" s="1"/>
      <c r="X718" s="1"/>
      <c r="Y718" s="1"/>
      <c r="Z718" s="1"/>
    </row>
    <row r="719" spans="1:26" ht="24.75" customHeight="1">
      <c r="A719" s="1"/>
      <c r="B719" s="1"/>
      <c r="C719" s="1"/>
      <c r="D719" s="1"/>
      <c r="E719" s="1"/>
      <c r="F719" s="1"/>
      <c r="G719" s="1"/>
      <c r="H719" s="1"/>
      <c r="I719" s="1"/>
      <c r="J719" s="1"/>
      <c r="K719" s="1"/>
      <c r="L719" s="1"/>
      <c r="M719" s="1"/>
      <c r="N719" s="1"/>
      <c r="O719" s="1"/>
      <c r="P719" s="1"/>
      <c r="Q719" s="1"/>
      <c r="R719" s="1"/>
      <c r="S719" s="1"/>
      <c r="T719" s="1"/>
      <c r="U719" s="2"/>
      <c r="V719" s="1"/>
      <c r="W719" s="1"/>
      <c r="X719" s="1"/>
      <c r="Y719" s="1"/>
      <c r="Z719" s="1"/>
    </row>
    <row r="720" spans="1:26" ht="24.75" customHeight="1">
      <c r="A720" s="1"/>
      <c r="B720" s="1"/>
      <c r="C720" s="1"/>
      <c r="D720" s="1"/>
      <c r="E720" s="1"/>
      <c r="F720" s="1"/>
      <c r="G720" s="1"/>
      <c r="H720" s="1"/>
      <c r="I720" s="1"/>
      <c r="J720" s="1"/>
      <c r="K720" s="1"/>
      <c r="L720" s="1"/>
      <c r="M720" s="1"/>
      <c r="N720" s="1"/>
      <c r="O720" s="1"/>
      <c r="P720" s="1"/>
      <c r="Q720" s="1"/>
      <c r="R720" s="1"/>
      <c r="S720" s="1"/>
      <c r="T720" s="1"/>
      <c r="U720" s="2"/>
      <c r="V720" s="1"/>
      <c r="W720" s="1"/>
      <c r="X720" s="1"/>
      <c r="Y720" s="1"/>
      <c r="Z720" s="1"/>
    </row>
    <row r="721" spans="1:26" ht="24.75" customHeight="1">
      <c r="A721" s="1"/>
      <c r="B721" s="1"/>
      <c r="C721" s="1"/>
      <c r="D721" s="1"/>
      <c r="E721" s="1"/>
      <c r="F721" s="1"/>
      <c r="G721" s="1"/>
      <c r="H721" s="1"/>
      <c r="I721" s="1"/>
      <c r="J721" s="1"/>
      <c r="K721" s="1"/>
      <c r="L721" s="1"/>
      <c r="M721" s="1"/>
      <c r="N721" s="1"/>
      <c r="O721" s="1"/>
      <c r="P721" s="1"/>
      <c r="Q721" s="1"/>
      <c r="R721" s="1"/>
      <c r="S721" s="1"/>
      <c r="T721" s="1"/>
      <c r="U721" s="2"/>
      <c r="V721" s="1"/>
      <c r="W721" s="1"/>
      <c r="X721" s="1"/>
      <c r="Y721" s="1"/>
      <c r="Z721" s="1"/>
    </row>
    <row r="722" spans="1:26" ht="24.75" customHeight="1">
      <c r="A722" s="1"/>
      <c r="B722" s="1"/>
      <c r="C722" s="1"/>
      <c r="D722" s="1"/>
      <c r="E722" s="1"/>
      <c r="F722" s="1"/>
      <c r="G722" s="1"/>
      <c r="H722" s="1"/>
      <c r="I722" s="1"/>
      <c r="J722" s="1"/>
      <c r="K722" s="1"/>
      <c r="L722" s="1"/>
      <c r="M722" s="1"/>
      <c r="N722" s="1"/>
      <c r="O722" s="1"/>
      <c r="P722" s="1"/>
      <c r="Q722" s="1"/>
      <c r="R722" s="1"/>
      <c r="S722" s="1"/>
      <c r="T722" s="1"/>
      <c r="U722" s="2"/>
      <c r="V722" s="1"/>
      <c r="W722" s="1"/>
      <c r="X722" s="1"/>
      <c r="Y722" s="1"/>
      <c r="Z722" s="1"/>
    </row>
    <row r="723" spans="1:26" ht="24.75" customHeight="1">
      <c r="A723" s="1"/>
      <c r="B723" s="1"/>
      <c r="C723" s="1"/>
      <c r="D723" s="1"/>
      <c r="E723" s="1"/>
      <c r="F723" s="1"/>
      <c r="G723" s="1"/>
      <c r="H723" s="1"/>
      <c r="I723" s="1"/>
      <c r="J723" s="1"/>
      <c r="K723" s="1"/>
      <c r="L723" s="1"/>
      <c r="M723" s="1"/>
      <c r="N723" s="1"/>
      <c r="O723" s="1"/>
      <c r="P723" s="1"/>
      <c r="Q723" s="1"/>
      <c r="R723" s="1"/>
      <c r="S723" s="1"/>
      <c r="T723" s="1"/>
      <c r="U723" s="2"/>
      <c r="V723" s="1"/>
      <c r="W723" s="1"/>
      <c r="X723" s="1"/>
      <c r="Y723" s="1"/>
      <c r="Z723" s="1"/>
    </row>
    <row r="724" spans="1:26" ht="24.75" customHeight="1">
      <c r="A724" s="1"/>
      <c r="B724" s="1"/>
      <c r="C724" s="1"/>
      <c r="D724" s="1"/>
      <c r="E724" s="1"/>
      <c r="F724" s="1"/>
      <c r="G724" s="1"/>
      <c r="H724" s="1"/>
      <c r="I724" s="1"/>
      <c r="J724" s="1"/>
      <c r="K724" s="1"/>
      <c r="L724" s="1"/>
      <c r="M724" s="1"/>
      <c r="N724" s="1"/>
      <c r="O724" s="1"/>
      <c r="P724" s="1"/>
      <c r="Q724" s="1"/>
      <c r="R724" s="1"/>
      <c r="S724" s="1"/>
      <c r="T724" s="1"/>
      <c r="U724" s="2"/>
      <c r="V724" s="1"/>
      <c r="W724" s="1"/>
      <c r="X724" s="1"/>
      <c r="Y724" s="1"/>
      <c r="Z724" s="1"/>
    </row>
    <row r="725" spans="1:26" ht="24.75" customHeight="1">
      <c r="A725" s="1"/>
      <c r="B725" s="1"/>
      <c r="C725" s="1"/>
      <c r="D725" s="1"/>
      <c r="E725" s="1"/>
      <c r="F725" s="1"/>
      <c r="G725" s="1"/>
      <c r="H725" s="1"/>
      <c r="I725" s="1"/>
      <c r="J725" s="1"/>
      <c r="K725" s="1"/>
      <c r="L725" s="1"/>
      <c r="M725" s="1"/>
      <c r="N725" s="1"/>
      <c r="O725" s="1"/>
      <c r="P725" s="1"/>
      <c r="Q725" s="1"/>
      <c r="R725" s="1"/>
      <c r="S725" s="1"/>
      <c r="T725" s="1"/>
      <c r="U725" s="2"/>
      <c r="V725" s="1"/>
      <c r="W725" s="1"/>
      <c r="X725" s="1"/>
      <c r="Y725" s="1"/>
      <c r="Z725" s="1"/>
    </row>
    <row r="726" spans="1:26" ht="24.75" customHeight="1">
      <c r="A726" s="1"/>
      <c r="B726" s="1"/>
      <c r="C726" s="1"/>
      <c r="D726" s="1"/>
      <c r="E726" s="1"/>
      <c r="F726" s="1"/>
      <c r="G726" s="1"/>
      <c r="H726" s="1"/>
      <c r="I726" s="1"/>
      <c r="J726" s="1"/>
      <c r="K726" s="1"/>
      <c r="L726" s="1"/>
      <c r="M726" s="1"/>
      <c r="N726" s="1"/>
      <c r="O726" s="1"/>
      <c r="P726" s="1"/>
      <c r="Q726" s="1"/>
      <c r="R726" s="1"/>
      <c r="S726" s="1"/>
      <c r="T726" s="1"/>
      <c r="U726" s="2"/>
      <c r="V726" s="1"/>
      <c r="W726" s="1"/>
      <c r="X726" s="1"/>
      <c r="Y726" s="1"/>
      <c r="Z726" s="1"/>
    </row>
    <row r="727" spans="1:26" ht="24.75" customHeight="1">
      <c r="A727" s="1"/>
      <c r="B727" s="1"/>
      <c r="C727" s="1"/>
      <c r="D727" s="1"/>
      <c r="E727" s="1"/>
      <c r="F727" s="1"/>
      <c r="G727" s="1"/>
      <c r="H727" s="1"/>
      <c r="I727" s="1"/>
      <c r="J727" s="1"/>
      <c r="K727" s="1"/>
      <c r="L727" s="1"/>
      <c r="M727" s="1"/>
      <c r="N727" s="1"/>
      <c r="O727" s="1"/>
      <c r="P727" s="1"/>
      <c r="Q727" s="1"/>
      <c r="R727" s="1"/>
      <c r="S727" s="1"/>
      <c r="T727" s="1"/>
      <c r="U727" s="2"/>
      <c r="V727" s="1"/>
      <c r="W727" s="1"/>
      <c r="X727" s="1"/>
      <c r="Y727" s="1"/>
      <c r="Z727" s="1"/>
    </row>
    <row r="728" spans="1:26" ht="24.75" customHeight="1">
      <c r="A728" s="1"/>
      <c r="B728" s="1"/>
      <c r="C728" s="1"/>
      <c r="D728" s="1"/>
      <c r="E728" s="1"/>
      <c r="F728" s="1"/>
      <c r="G728" s="1"/>
      <c r="H728" s="1"/>
      <c r="I728" s="1"/>
      <c r="J728" s="1"/>
      <c r="K728" s="1"/>
      <c r="L728" s="1"/>
      <c r="M728" s="1"/>
      <c r="N728" s="1"/>
      <c r="O728" s="1"/>
      <c r="P728" s="1"/>
      <c r="Q728" s="1"/>
      <c r="R728" s="1"/>
      <c r="S728" s="1"/>
      <c r="T728" s="1"/>
      <c r="U728" s="2"/>
      <c r="V728" s="1"/>
      <c r="W728" s="1"/>
      <c r="X728" s="1"/>
      <c r="Y728" s="1"/>
      <c r="Z728" s="1"/>
    </row>
    <row r="729" spans="1:26" ht="24.75" customHeight="1">
      <c r="A729" s="1"/>
      <c r="B729" s="1"/>
      <c r="C729" s="1"/>
      <c r="D729" s="1"/>
      <c r="E729" s="1"/>
      <c r="F729" s="1"/>
      <c r="G729" s="1"/>
      <c r="H729" s="1"/>
      <c r="I729" s="1"/>
      <c r="J729" s="1"/>
      <c r="K729" s="1"/>
      <c r="L729" s="1"/>
      <c r="M729" s="1"/>
      <c r="N729" s="1"/>
      <c r="O729" s="1"/>
      <c r="P729" s="1"/>
      <c r="Q729" s="1"/>
      <c r="R729" s="1"/>
      <c r="S729" s="1"/>
      <c r="T729" s="1"/>
      <c r="U729" s="2"/>
      <c r="V729" s="1"/>
      <c r="W729" s="1"/>
      <c r="X729" s="1"/>
      <c r="Y729" s="1"/>
      <c r="Z729" s="1"/>
    </row>
    <row r="730" spans="1:26" ht="24.75" customHeight="1">
      <c r="A730" s="1"/>
      <c r="B730" s="1"/>
      <c r="C730" s="1"/>
      <c r="D730" s="1"/>
      <c r="E730" s="1"/>
      <c r="F730" s="1"/>
      <c r="G730" s="1"/>
      <c r="H730" s="1"/>
      <c r="I730" s="1"/>
      <c r="J730" s="1"/>
      <c r="K730" s="1"/>
      <c r="L730" s="1"/>
      <c r="M730" s="1"/>
      <c r="N730" s="1"/>
      <c r="O730" s="1"/>
      <c r="P730" s="1"/>
      <c r="Q730" s="1"/>
      <c r="R730" s="1"/>
      <c r="S730" s="1"/>
      <c r="T730" s="1"/>
      <c r="U730" s="2"/>
      <c r="V730" s="1"/>
      <c r="W730" s="1"/>
      <c r="X730" s="1"/>
      <c r="Y730" s="1"/>
      <c r="Z730" s="1"/>
    </row>
    <row r="731" spans="1:26" ht="24.75" customHeight="1">
      <c r="A731" s="1"/>
      <c r="B731" s="1"/>
      <c r="C731" s="1"/>
      <c r="D731" s="1"/>
      <c r="E731" s="1"/>
      <c r="F731" s="1"/>
      <c r="G731" s="1"/>
      <c r="H731" s="1"/>
      <c r="I731" s="1"/>
      <c r="J731" s="1"/>
      <c r="K731" s="1"/>
      <c r="L731" s="1"/>
      <c r="M731" s="1"/>
      <c r="N731" s="1"/>
      <c r="O731" s="1"/>
      <c r="P731" s="1"/>
      <c r="Q731" s="1"/>
      <c r="R731" s="1"/>
      <c r="S731" s="1"/>
      <c r="T731" s="1"/>
      <c r="U731" s="2"/>
      <c r="V731" s="1"/>
      <c r="W731" s="1"/>
      <c r="X731" s="1"/>
      <c r="Y731" s="1"/>
      <c r="Z731" s="1"/>
    </row>
    <row r="732" spans="1:26" ht="24.75" customHeight="1">
      <c r="A732" s="1"/>
      <c r="B732" s="1"/>
      <c r="C732" s="1"/>
      <c r="D732" s="1"/>
      <c r="E732" s="1"/>
      <c r="F732" s="1"/>
      <c r="G732" s="1"/>
      <c r="H732" s="1"/>
      <c r="I732" s="1"/>
      <c r="J732" s="1"/>
      <c r="K732" s="1"/>
      <c r="L732" s="1"/>
      <c r="M732" s="1"/>
      <c r="N732" s="1"/>
      <c r="O732" s="1"/>
      <c r="P732" s="1"/>
      <c r="Q732" s="1"/>
      <c r="R732" s="1"/>
      <c r="S732" s="1"/>
      <c r="T732" s="1"/>
      <c r="U732" s="2"/>
      <c r="V732" s="1"/>
      <c r="W732" s="1"/>
      <c r="X732" s="1"/>
      <c r="Y732" s="1"/>
      <c r="Z732" s="1"/>
    </row>
    <row r="733" spans="1:26" ht="24.75" customHeight="1">
      <c r="A733" s="1"/>
      <c r="B733" s="1"/>
      <c r="C733" s="1"/>
      <c r="D733" s="1"/>
      <c r="E733" s="1"/>
      <c r="F733" s="1"/>
      <c r="G733" s="1"/>
      <c r="H733" s="1"/>
      <c r="I733" s="1"/>
      <c r="J733" s="1"/>
      <c r="K733" s="1"/>
      <c r="L733" s="1"/>
      <c r="M733" s="1"/>
      <c r="N733" s="1"/>
      <c r="O733" s="1"/>
      <c r="P733" s="1"/>
      <c r="Q733" s="1"/>
      <c r="R733" s="1"/>
      <c r="S733" s="1"/>
      <c r="T733" s="1"/>
      <c r="U733" s="2"/>
      <c r="V733" s="1"/>
      <c r="W733" s="1"/>
      <c r="X733" s="1"/>
      <c r="Y733" s="1"/>
      <c r="Z733" s="1"/>
    </row>
    <row r="734" spans="1:26" ht="24.75" customHeight="1">
      <c r="A734" s="1"/>
      <c r="B734" s="1"/>
      <c r="C734" s="1"/>
      <c r="D734" s="1"/>
      <c r="E734" s="1"/>
      <c r="F734" s="1"/>
      <c r="G734" s="1"/>
      <c r="H734" s="1"/>
      <c r="I734" s="1"/>
      <c r="J734" s="1"/>
      <c r="K734" s="1"/>
      <c r="L734" s="1"/>
      <c r="M734" s="1"/>
      <c r="N734" s="1"/>
      <c r="O734" s="1"/>
      <c r="P734" s="1"/>
      <c r="Q734" s="1"/>
      <c r="R734" s="1"/>
      <c r="S734" s="1"/>
      <c r="T734" s="1"/>
      <c r="U734" s="2"/>
      <c r="V734" s="1"/>
      <c r="W734" s="1"/>
      <c r="X734" s="1"/>
      <c r="Y734" s="1"/>
      <c r="Z734" s="1"/>
    </row>
    <row r="735" spans="1:26" ht="24.75" customHeight="1">
      <c r="A735" s="1"/>
      <c r="B735" s="1"/>
      <c r="C735" s="1"/>
      <c r="D735" s="1"/>
      <c r="E735" s="1"/>
      <c r="F735" s="1"/>
      <c r="G735" s="1"/>
      <c r="H735" s="1"/>
      <c r="I735" s="1"/>
      <c r="J735" s="1"/>
      <c r="K735" s="1"/>
      <c r="L735" s="1"/>
      <c r="M735" s="1"/>
      <c r="N735" s="1"/>
      <c r="O735" s="1"/>
      <c r="P735" s="1"/>
      <c r="Q735" s="1"/>
      <c r="R735" s="1"/>
      <c r="S735" s="1"/>
      <c r="T735" s="1"/>
      <c r="U735" s="2"/>
      <c r="V735" s="1"/>
      <c r="W735" s="1"/>
      <c r="X735" s="1"/>
      <c r="Y735" s="1"/>
      <c r="Z735" s="1"/>
    </row>
    <row r="736" spans="1:26" ht="24.75" customHeight="1">
      <c r="A736" s="1"/>
      <c r="B736" s="1"/>
      <c r="C736" s="1"/>
      <c r="D736" s="1"/>
      <c r="E736" s="1"/>
      <c r="F736" s="1"/>
      <c r="G736" s="1"/>
      <c r="H736" s="1"/>
      <c r="I736" s="1"/>
      <c r="J736" s="1"/>
      <c r="K736" s="1"/>
      <c r="L736" s="1"/>
      <c r="M736" s="1"/>
      <c r="N736" s="1"/>
      <c r="O736" s="1"/>
      <c r="P736" s="1"/>
      <c r="Q736" s="1"/>
      <c r="R736" s="1"/>
      <c r="S736" s="1"/>
      <c r="T736" s="1"/>
      <c r="U736" s="2"/>
      <c r="V736" s="1"/>
      <c r="W736" s="1"/>
      <c r="X736" s="1"/>
      <c r="Y736" s="1"/>
      <c r="Z736" s="1"/>
    </row>
    <row r="737" spans="1:26" ht="24.75" customHeight="1">
      <c r="A737" s="1"/>
      <c r="B737" s="1"/>
      <c r="C737" s="1"/>
      <c r="D737" s="1"/>
      <c r="E737" s="1"/>
      <c r="F737" s="1"/>
      <c r="G737" s="1"/>
      <c r="H737" s="1"/>
      <c r="I737" s="1"/>
      <c r="J737" s="1"/>
      <c r="K737" s="1"/>
      <c r="L737" s="1"/>
      <c r="M737" s="1"/>
      <c r="N737" s="1"/>
      <c r="O737" s="1"/>
      <c r="P737" s="1"/>
      <c r="Q737" s="1"/>
      <c r="R737" s="1"/>
      <c r="S737" s="1"/>
      <c r="T737" s="1"/>
      <c r="U737" s="2"/>
      <c r="V737" s="1"/>
      <c r="W737" s="1"/>
      <c r="X737" s="1"/>
      <c r="Y737" s="1"/>
      <c r="Z737" s="1"/>
    </row>
    <row r="738" spans="1:26" ht="24.75" customHeight="1">
      <c r="A738" s="1"/>
      <c r="B738" s="1"/>
      <c r="C738" s="1"/>
      <c r="D738" s="1"/>
      <c r="E738" s="1"/>
      <c r="F738" s="1"/>
      <c r="G738" s="1"/>
      <c r="H738" s="1"/>
      <c r="I738" s="1"/>
      <c r="J738" s="1"/>
      <c r="K738" s="1"/>
      <c r="L738" s="1"/>
      <c r="M738" s="1"/>
      <c r="N738" s="1"/>
      <c r="O738" s="1"/>
      <c r="P738" s="1"/>
      <c r="Q738" s="1"/>
      <c r="R738" s="1"/>
      <c r="S738" s="1"/>
      <c r="T738" s="1"/>
      <c r="U738" s="2"/>
      <c r="V738" s="1"/>
      <c r="W738" s="1"/>
      <c r="X738" s="1"/>
      <c r="Y738" s="1"/>
      <c r="Z738" s="1"/>
    </row>
    <row r="739" spans="1:26" ht="24.75" customHeight="1">
      <c r="A739" s="1"/>
      <c r="B739" s="1"/>
      <c r="C739" s="1"/>
      <c r="D739" s="1"/>
      <c r="E739" s="1"/>
      <c r="F739" s="1"/>
      <c r="G739" s="1"/>
      <c r="H739" s="1"/>
      <c r="I739" s="1"/>
      <c r="J739" s="1"/>
      <c r="K739" s="1"/>
      <c r="L739" s="1"/>
      <c r="M739" s="1"/>
      <c r="N739" s="1"/>
      <c r="O739" s="1"/>
      <c r="P739" s="1"/>
      <c r="Q739" s="1"/>
      <c r="R739" s="1"/>
      <c r="S739" s="1"/>
      <c r="T739" s="1"/>
      <c r="U739" s="2"/>
      <c r="V739" s="1"/>
      <c r="W739" s="1"/>
      <c r="X739" s="1"/>
      <c r="Y739" s="1"/>
      <c r="Z739" s="1"/>
    </row>
    <row r="740" spans="1:26" ht="24.75" customHeight="1">
      <c r="A740" s="1"/>
      <c r="B740" s="1"/>
      <c r="C740" s="1"/>
      <c r="D740" s="1"/>
      <c r="E740" s="1"/>
      <c r="F740" s="1"/>
      <c r="G740" s="1"/>
      <c r="H740" s="1"/>
      <c r="I740" s="1"/>
      <c r="J740" s="1"/>
      <c r="K740" s="1"/>
      <c r="L740" s="1"/>
      <c r="M740" s="1"/>
      <c r="N740" s="1"/>
      <c r="O740" s="1"/>
      <c r="P740" s="1"/>
      <c r="Q740" s="1"/>
      <c r="R740" s="1"/>
      <c r="S740" s="1"/>
      <c r="T740" s="1"/>
      <c r="U740" s="2"/>
      <c r="V740" s="1"/>
      <c r="W740" s="1"/>
      <c r="X740" s="1"/>
      <c r="Y740" s="1"/>
      <c r="Z740" s="1"/>
    </row>
    <row r="741" spans="1:26" ht="24.75" customHeight="1">
      <c r="A741" s="1"/>
      <c r="B741" s="1"/>
      <c r="C741" s="1"/>
      <c r="D741" s="1"/>
      <c r="E741" s="1"/>
      <c r="F741" s="1"/>
      <c r="G741" s="1"/>
      <c r="H741" s="1"/>
      <c r="I741" s="1"/>
      <c r="J741" s="1"/>
      <c r="K741" s="1"/>
      <c r="L741" s="1"/>
      <c r="M741" s="1"/>
      <c r="N741" s="1"/>
      <c r="O741" s="1"/>
      <c r="P741" s="1"/>
      <c r="Q741" s="1"/>
      <c r="R741" s="1"/>
      <c r="S741" s="1"/>
      <c r="T741" s="1"/>
      <c r="U741" s="2"/>
      <c r="V741" s="1"/>
      <c r="W741" s="1"/>
      <c r="X741" s="1"/>
      <c r="Y741" s="1"/>
      <c r="Z741" s="1"/>
    </row>
    <row r="742" spans="1:26" ht="24.75" customHeight="1">
      <c r="A742" s="1"/>
      <c r="B742" s="1"/>
      <c r="C742" s="1"/>
      <c r="D742" s="1"/>
      <c r="E742" s="1"/>
      <c r="F742" s="1"/>
      <c r="G742" s="1"/>
      <c r="H742" s="1"/>
      <c r="I742" s="1"/>
      <c r="J742" s="1"/>
      <c r="K742" s="1"/>
      <c r="L742" s="1"/>
      <c r="M742" s="1"/>
      <c r="N742" s="1"/>
      <c r="O742" s="1"/>
      <c r="P742" s="1"/>
      <c r="Q742" s="1"/>
      <c r="R742" s="1"/>
      <c r="S742" s="1"/>
      <c r="T742" s="1"/>
      <c r="U742" s="2"/>
      <c r="V742" s="1"/>
      <c r="W742" s="1"/>
      <c r="X742" s="1"/>
      <c r="Y742" s="1"/>
      <c r="Z742" s="1"/>
    </row>
    <row r="743" spans="1:26" ht="24.75" customHeight="1">
      <c r="A743" s="1"/>
      <c r="B743" s="1"/>
      <c r="C743" s="1"/>
      <c r="D743" s="1"/>
      <c r="E743" s="1"/>
      <c r="F743" s="1"/>
      <c r="G743" s="1"/>
      <c r="H743" s="1"/>
      <c r="I743" s="1"/>
      <c r="J743" s="1"/>
      <c r="K743" s="1"/>
      <c r="L743" s="1"/>
      <c r="M743" s="1"/>
      <c r="N743" s="1"/>
      <c r="O743" s="1"/>
      <c r="P743" s="1"/>
      <c r="Q743" s="1"/>
      <c r="R743" s="1"/>
      <c r="S743" s="1"/>
      <c r="T743" s="1"/>
      <c r="U743" s="2"/>
      <c r="V743" s="1"/>
      <c r="W743" s="1"/>
      <c r="X743" s="1"/>
      <c r="Y743" s="1"/>
      <c r="Z743" s="1"/>
    </row>
    <row r="744" spans="1:26" ht="24.75" customHeight="1">
      <c r="A744" s="1"/>
      <c r="B744" s="1"/>
      <c r="C744" s="1"/>
      <c r="D744" s="1"/>
      <c r="E744" s="1"/>
      <c r="F744" s="1"/>
      <c r="G744" s="1"/>
      <c r="H744" s="1"/>
      <c r="I744" s="1"/>
      <c r="J744" s="1"/>
      <c r="K744" s="1"/>
      <c r="L744" s="1"/>
      <c r="M744" s="1"/>
      <c r="N744" s="1"/>
      <c r="O744" s="1"/>
      <c r="P744" s="1"/>
      <c r="Q744" s="1"/>
      <c r="R744" s="1"/>
      <c r="S744" s="1"/>
      <c r="T744" s="1"/>
      <c r="U744" s="2"/>
      <c r="V744" s="1"/>
      <c r="W744" s="1"/>
      <c r="X744" s="1"/>
      <c r="Y744" s="1"/>
      <c r="Z744" s="1"/>
    </row>
    <row r="745" spans="1:26" ht="24.75" customHeight="1">
      <c r="A745" s="1"/>
      <c r="B745" s="1"/>
      <c r="C745" s="1"/>
      <c r="D745" s="1"/>
      <c r="E745" s="1"/>
      <c r="F745" s="1"/>
      <c r="G745" s="1"/>
      <c r="H745" s="1"/>
      <c r="I745" s="1"/>
      <c r="J745" s="1"/>
      <c r="K745" s="1"/>
      <c r="L745" s="1"/>
      <c r="M745" s="1"/>
      <c r="N745" s="1"/>
      <c r="O745" s="1"/>
      <c r="P745" s="1"/>
      <c r="Q745" s="1"/>
      <c r="R745" s="1"/>
      <c r="S745" s="1"/>
      <c r="T745" s="1"/>
      <c r="U745" s="2"/>
      <c r="V745" s="1"/>
      <c r="W745" s="1"/>
      <c r="X745" s="1"/>
      <c r="Y745" s="1"/>
      <c r="Z745" s="1"/>
    </row>
    <row r="746" spans="1:26" ht="24.75" customHeight="1">
      <c r="A746" s="1"/>
      <c r="B746" s="1"/>
      <c r="C746" s="1"/>
      <c r="D746" s="1"/>
      <c r="E746" s="1"/>
      <c r="F746" s="1"/>
      <c r="G746" s="1"/>
      <c r="H746" s="1"/>
      <c r="I746" s="1"/>
      <c r="J746" s="1"/>
      <c r="K746" s="1"/>
      <c r="L746" s="1"/>
      <c r="M746" s="1"/>
      <c r="N746" s="1"/>
      <c r="O746" s="1"/>
      <c r="P746" s="1"/>
      <c r="Q746" s="1"/>
      <c r="R746" s="1"/>
      <c r="S746" s="1"/>
      <c r="T746" s="1"/>
      <c r="U746" s="2"/>
      <c r="V746" s="1"/>
      <c r="W746" s="1"/>
      <c r="X746" s="1"/>
      <c r="Y746" s="1"/>
      <c r="Z746" s="1"/>
    </row>
    <row r="747" spans="1:26" ht="24.75" customHeight="1">
      <c r="A747" s="1"/>
      <c r="B747" s="1"/>
      <c r="C747" s="1"/>
      <c r="D747" s="1"/>
      <c r="E747" s="1"/>
      <c r="F747" s="1"/>
      <c r="G747" s="1"/>
      <c r="H747" s="1"/>
      <c r="I747" s="1"/>
      <c r="J747" s="1"/>
      <c r="K747" s="1"/>
      <c r="L747" s="1"/>
      <c r="M747" s="1"/>
      <c r="N747" s="1"/>
      <c r="O747" s="1"/>
      <c r="P747" s="1"/>
      <c r="Q747" s="1"/>
      <c r="R747" s="1"/>
      <c r="S747" s="1"/>
      <c r="T747" s="1"/>
      <c r="U747" s="2"/>
      <c r="V747" s="1"/>
      <c r="W747" s="1"/>
      <c r="X747" s="1"/>
      <c r="Y747" s="1"/>
      <c r="Z747" s="1"/>
    </row>
    <row r="748" spans="1:26" ht="24.75" customHeight="1">
      <c r="A748" s="1"/>
      <c r="B748" s="1"/>
      <c r="C748" s="1"/>
      <c r="D748" s="1"/>
      <c r="E748" s="1"/>
      <c r="F748" s="1"/>
      <c r="G748" s="1"/>
      <c r="H748" s="1"/>
      <c r="I748" s="1"/>
      <c r="J748" s="1"/>
      <c r="K748" s="1"/>
      <c r="L748" s="1"/>
      <c r="M748" s="1"/>
      <c r="N748" s="1"/>
      <c r="O748" s="1"/>
      <c r="P748" s="1"/>
      <c r="Q748" s="1"/>
      <c r="R748" s="1"/>
      <c r="S748" s="1"/>
      <c r="T748" s="1"/>
      <c r="U748" s="2"/>
      <c r="V748" s="1"/>
      <c r="W748" s="1"/>
      <c r="X748" s="1"/>
      <c r="Y748" s="1"/>
      <c r="Z748" s="1"/>
    </row>
    <row r="749" spans="1:26" ht="24.75" customHeight="1">
      <c r="A749" s="1"/>
      <c r="B749" s="1"/>
      <c r="C749" s="1"/>
      <c r="D749" s="1"/>
      <c r="E749" s="1"/>
      <c r="F749" s="1"/>
      <c r="G749" s="1"/>
      <c r="H749" s="1"/>
      <c r="I749" s="1"/>
      <c r="J749" s="1"/>
      <c r="K749" s="1"/>
      <c r="L749" s="1"/>
      <c r="M749" s="1"/>
      <c r="N749" s="1"/>
      <c r="O749" s="1"/>
      <c r="P749" s="1"/>
      <c r="Q749" s="1"/>
      <c r="R749" s="1"/>
      <c r="S749" s="1"/>
      <c r="T749" s="1"/>
      <c r="U749" s="2"/>
      <c r="V749" s="1"/>
      <c r="W749" s="1"/>
      <c r="X749" s="1"/>
      <c r="Y749" s="1"/>
      <c r="Z749" s="1"/>
    </row>
    <row r="750" spans="1:26" ht="24.75" customHeight="1">
      <c r="A750" s="1"/>
      <c r="B750" s="1"/>
      <c r="C750" s="1"/>
      <c r="D750" s="1"/>
      <c r="E750" s="1"/>
      <c r="F750" s="1"/>
      <c r="G750" s="1"/>
      <c r="H750" s="1"/>
      <c r="I750" s="1"/>
      <c r="J750" s="1"/>
      <c r="K750" s="1"/>
      <c r="L750" s="1"/>
      <c r="M750" s="1"/>
      <c r="N750" s="1"/>
      <c r="O750" s="1"/>
      <c r="P750" s="1"/>
      <c r="Q750" s="1"/>
      <c r="R750" s="1"/>
      <c r="S750" s="1"/>
      <c r="T750" s="1"/>
      <c r="U750" s="2"/>
      <c r="V750" s="1"/>
      <c r="W750" s="1"/>
      <c r="X750" s="1"/>
      <c r="Y750" s="1"/>
      <c r="Z750" s="1"/>
    </row>
    <row r="751" spans="1:26" ht="24.75" customHeight="1">
      <c r="A751" s="1"/>
      <c r="B751" s="1"/>
      <c r="C751" s="1"/>
      <c r="D751" s="1"/>
      <c r="E751" s="1"/>
      <c r="F751" s="1"/>
      <c r="G751" s="1"/>
      <c r="H751" s="1"/>
      <c r="I751" s="1"/>
      <c r="J751" s="1"/>
      <c r="K751" s="1"/>
      <c r="L751" s="1"/>
      <c r="M751" s="1"/>
      <c r="N751" s="1"/>
      <c r="O751" s="1"/>
      <c r="P751" s="1"/>
      <c r="Q751" s="1"/>
      <c r="R751" s="1"/>
      <c r="S751" s="1"/>
      <c r="T751" s="1"/>
      <c r="U751" s="2"/>
      <c r="V751" s="1"/>
      <c r="W751" s="1"/>
      <c r="X751" s="1"/>
      <c r="Y751" s="1"/>
      <c r="Z751" s="1"/>
    </row>
    <row r="752" spans="1:26" ht="24.75" customHeight="1">
      <c r="A752" s="1"/>
      <c r="B752" s="1"/>
      <c r="C752" s="1"/>
      <c r="D752" s="1"/>
      <c r="E752" s="1"/>
      <c r="F752" s="1"/>
      <c r="G752" s="1"/>
      <c r="H752" s="1"/>
      <c r="I752" s="1"/>
      <c r="J752" s="1"/>
      <c r="K752" s="1"/>
      <c r="L752" s="1"/>
      <c r="M752" s="1"/>
      <c r="N752" s="1"/>
      <c r="O752" s="1"/>
      <c r="P752" s="1"/>
      <c r="Q752" s="1"/>
      <c r="R752" s="1"/>
      <c r="S752" s="1"/>
      <c r="T752" s="1"/>
      <c r="U752" s="2"/>
      <c r="V752" s="1"/>
      <c r="W752" s="1"/>
      <c r="X752" s="1"/>
      <c r="Y752" s="1"/>
      <c r="Z752" s="1"/>
    </row>
    <row r="753" spans="1:26" ht="24.75" customHeight="1">
      <c r="A753" s="1"/>
      <c r="B753" s="1"/>
      <c r="C753" s="1"/>
      <c r="D753" s="1"/>
      <c r="E753" s="1"/>
      <c r="F753" s="1"/>
      <c r="G753" s="1"/>
      <c r="H753" s="1"/>
      <c r="I753" s="1"/>
      <c r="J753" s="1"/>
      <c r="K753" s="1"/>
      <c r="L753" s="1"/>
      <c r="M753" s="1"/>
      <c r="N753" s="1"/>
      <c r="O753" s="1"/>
      <c r="P753" s="1"/>
      <c r="Q753" s="1"/>
      <c r="R753" s="1"/>
      <c r="S753" s="1"/>
      <c r="T753" s="1"/>
      <c r="U753" s="2"/>
      <c r="V753" s="1"/>
      <c r="W753" s="1"/>
      <c r="X753" s="1"/>
      <c r="Y753" s="1"/>
      <c r="Z753" s="1"/>
    </row>
    <row r="754" spans="1:26" ht="24.75" customHeight="1">
      <c r="A754" s="1"/>
      <c r="B754" s="1"/>
      <c r="C754" s="1"/>
      <c r="D754" s="1"/>
      <c r="E754" s="1"/>
      <c r="F754" s="1"/>
      <c r="G754" s="1"/>
      <c r="H754" s="1"/>
      <c r="I754" s="1"/>
      <c r="J754" s="1"/>
      <c r="K754" s="1"/>
      <c r="L754" s="1"/>
      <c r="M754" s="1"/>
      <c r="N754" s="1"/>
      <c r="O754" s="1"/>
      <c r="P754" s="1"/>
      <c r="Q754" s="1"/>
      <c r="R754" s="1"/>
      <c r="S754" s="1"/>
      <c r="T754" s="1"/>
      <c r="U754" s="2"/>
      <c r="V754" s="1"/>
      <c r="W754" s="1"/>
      <c r="X754" s="1"/>
      <c r="Y754" s="1"/>
      <c r="Z754" s="1"/>
    </row>
    <row r="755" spans="1:26" ht="24.75" customHeight="1">
      <c r="A755" s="1"/>
      <c r="B755" s="1"/>
      <c r="C755" s="1"/>
      <c r="D755" s="1"/>
      <c r="E755" s="1"/>
      <c r="F755" s="1"/>
      <c r="G755" s="1"/>
      <c r="H755" s="1"/>
      <c r="I755" s="1"/>
      <c r="J755" s="1"/>
      <c r="K755" s="1"/>
      <c r="L755" s="1"/>
      <c r="M755" s="1"/>
      <c r="N755" s="1"/>
      <c r="O755" s="1"/>
      <c r="P755" s="1"/>
      <c r="Q755" s="1"/>
      <c r="R755" s="1"/>
      <c r="S755" s="1"/>
      <c r="T755" s="1"/>
      <c r="U755" s="2"/>
      <c r="V755" s="1"/>
      <c r="W755" s="1"/>
      <c r="X755" s="1"/>
      <c r="Y755" s="1"/>
      <c r="Z755" s="1"/>
    </row>
    <row r="756" spans="1:26" ht="24.75" customHeight="1">
      <c r="A756" s="1"/>
      <c r="B756" s="1"/>
      <c r="C756" s="1"/>
      <c r="D756" s="1"/>
      <c r="E756" s="1"/>
      <c r="F756" s="1"/>
      <c r="G756" s="1"/>
      <c r="H756" s="1"/>
      <c r="I756" s="1"/>
      <c r="J756" s="1"/>
      <c r="K756" s="1"/>
      <c r="L756" s="1"/>
      <c r="M756" s="1"/>
      <c r="N756" s="1"/>
      <c r="O756" s="1"/>
      <c r="P756" s="1"/>
      <c r="Q756" s="1"/>
      <c r="R756" s="1"/>
      <c r="S756" s="1"/>
      <c r="T756" s="1"/>
      <c r="U756" s="2"/>
      <c r="V756" s="1"/>
      <c r="W756" s="1"/>
      <c r="X756" s="1"/>
      <c r="Y756" s="1"/>
      <c r="Z756" s="1"/>
    </row>
    <row r="757" spans="1:26" ht="24.75" customHeight="1">
      <c r="A757" s="1"/>
      <c r="B757" s="1"/>
      <c r="C757" s="1"/>
      <c r="D757" s="1"/>
      <c r="E757" s="1"/>
      <c r="F757" s="1"/>
      <c r="G757" s="1"/>
      <c r="H757" s="1"/>
      <c r="I757" s="1"/>
      <c r="J757" s="1"/>
      <c r="K757" s="1"/>
      <c r="L757" s="1"/>
      <c r="M757" s="1"/>
      <c r="N757" s="1"/>
      <c r="O757" s="1"/>
      <c r="P757" s="1"/>
      <c r="Q757" s="1"/>
      <c r="R757" s="1"/>
      <c r="S757" s="1"/>
      <c r="T757" s="1"/>
      <c r="U757" s="2"/>
      <c r="V757" s="1"/>
      <c r="W757" s="1"/>
      <c r="X757" s="1"/>
      <c r="Y757" s="1"/>
      <c r="Z757" s="1"/>
    </row>
    <row r="758" spans="1:26" ht="24.75" customHeight="1">
      <c r="A758" s="1"/>
      <c r="B758" s="1"/>
      <c r="C758" s="1"/>
      <c r="D758" s="1"/>
      <c r="E758" s="1"/>
      <c r="F758" s="1"/>
      <c r="G758" s="1"/>
      <c r="H758" s="1"/>
      <c r="I758" s="1"/>
      <c r="J758" s="1"/>
      <c r="K758" s="1"/>
      <c r="L758" s="1"/>
      <c r="M758" s="1"/>
      <c r="N758" s="1"/>
      <c r="O758" s="1"/>
      <c r="P758" s="1"/>
      <c r="Q758" s="1"/>
      <c r="R758" s="1"/>
      <c r="S758" s="1"/>
      <c r="T758" s="1"/>
      <c r="U758" s="2"/>
      <c r="V758" s="1"/>
      <c r="W758" s="1"/>
      <c r="X758" s="1"/>
      <c r="Y758" s="1"/>
      <c r="Z758" s="1"/>
    </row>
    <row r="759" spans="1:26" ht="24.75" customHeight="1">
      <c r="A759" s="1"/>
      <c r="B759" s="1"/>
      <c r="C759" s="1"/>
      <c r="D759" s="1"/>
      <c r="E759" s="1"/>
      <c r="F759" s="1"/>
      <c r="G759" s="1"/>
      <c r="H759" s="1"/>
      <c r="I759" s="1"/>
      <c r="J759" s="1"/>
      <c r="K759" s="1"/>
      <c r="L759" s="1"/>
      <c r="M759" s="1"/>
      <c r="N759" s="1"/>
      <c r="O759" s="1"/>
      <c r="P759" s="1"/>
      <c r="Q759" s="1"/>
      <c r="R759" s="1"/>
      <c r="S759" s="1"/>
      <c r="T759" s="1"/>
      <c r="U759" s="2"/>
      <c r="V759" s="1"/>
      <c r="W759" s="1"/>
      <c r="X759" s="1"/>
      <c r="Y759" s="1"/>
      <c r="Z759" s="1"/>
    </row>
    <row r="760" spans="1:26" ht="24.75" customHeight="1">
      <c r="A760" s="1"/>
      <c r="B760" s="1"/>
      <c r="C760" s="1"/>
      <c r="D760" s="1"/>
      <c r="E760" s="1"/>
      <c r="F760" s="1"/>
      <c r="G760" s="1"/>
      <c r="H760" s="1"/>
      <c r="I760" s="1"/>
      <c r="J760" s="1"/>
      <c r="K760" s="1"/>
      <c r="L760" s="1"/>
      <c r="M760" s="1"/>
      <c r="N760" s="1"/>
      <c r="O760" s="1"/>
      <c r="P760" s="1"/>
      <c r="Q760" s="1"/>
      <c r="R760" s="1"/>
      <c r="S760" s="1"/>
      <c r="T760" s="1"/>
      <c r="U760" s="2"/>
      <c r="V760" s="1"/>
      <c r="W760" s="1"/>
      <c r="X760" s="1"/>
      <c r="Y760" s="1"/>
      <c r="Z760" s="1"/>
    </row>
    <row r="761" spans="1:26" ht="24.75" customHeight="1">
      <c r="A761" s="1"/>
      <c r="B761" s="1"/>
      <c r="C761" s="1"/>
      <c r="D761" s="1"/>
      <c r="E761" s="1"/>
      <c r="F761" s="1"/>
      <c r="G761" s="1"/>
      <c r="H761" s="1"/>
      <c r="I761" s="1"/>
      <c r="J761" s="1"/>
      <c r="K761" s="1"/>
      <c r="L761" s="1"/>
      <c r="M761" s="1"/>
      <c r="N761" s="1"/>
      <c r="O761" s="1"/>
      <c r="P761" s="1"/>
      <c r="Q761" s="1"/>
      <c r="R761" s="1"/>
      <c r="S761" s="1"/>
      <c r="T761" s="1"/>
      <c r="U761" s="2"/>
      <c r="V761" s="1"/>
      <c r="W761" s="1"/>
      <c r="X761" s="1"/>
      <c r="Y761" s="1"/>
      <c r="Z761" s="1"/>
    </row>
    <row r="762" spans="1:26" ht="24.75" customHeight="1">
      <c r="A762" s="1"/>
      <c r="B762" s="1"/>
      <c r="C762" s="1"/>
      <c r="D762" s="1"/>
      <c r="E762" s="1"/>
      <c r="F762" s="1"/>
      <c r="G762" s="1"/>
      <c r="H762" s="1"/>
      <c r="I762" s="1"/>
      <c r="J762" s="1"/>
      <c r="K762" s="1"/>
      <c r="L762" s="1"/>
      <c r="M762" s="1"/>
      <c r="N762" s="1"/>
      <c r="O762" s="1"/>
      <c r="P762" s="1"/>
      <c r="Q762" s="1"/>
      <c r="R762" s="1"/>
      <c r="S762" s="1"/>
      <c r="T762" s="1"/>
      <c r="U762" s="2"/>
      <c r="V762" s="1"/>
      <c r="W762" s="1"/>
      <c r="X762" s="1"/>
      <c r="Y762" s="1"/>
      <c r="Z762" s="1"/>
    </row>
    <row r="763" spans="1:26" ht="24.75" customHeight="1">
      <c r="A763" s="1"/>
      <c r="B763" s="1"/>
      <c r="C763" s="1"/>
      <c r="D763" s="1"/>
      <c r="E763" s="1"/>
      <c r="F763" s="1"/>
      <c r="G763" s="1"/>
      <c r="H763" s="1"/>
      <c r="I763" s="1"/>
      <c r="J763" s="1"/>
      <c r="K763" s="1"/>
      <c r="L763" s="1"/>
      <c r="M763" s="1"/>
      <c r="N763" s="1"/>
      <c r="O763" s="1"/>
      <c r="P763" s="1"/>
      <c r="Q763" s="1"/>
      <c r="R763" s="1"/>
      <c r="S763" s="1"/>
      <c r="T763" s="1"/>
      <c r="U763" s="2"/>
      <c r="V763" s="1"/>
      <c r="W763" s="1"/>
      <c r="X763" s="1"/>
      <c r="Y763" s="1"/>
      <c r="Z763" s="1"/>
    </row>
    <row r="764" spans="1:26" ht="24.75" customHeight="1">
      <c r="A764" s="1"/>
      <c r="B764" s="1"/>
      <c r="C764" s="1"/>
      <c r="D764" s="1"/>
      <c r="E764" s="1"/>
      <c r="F764" s="1"/>
      <c r="G764" s="1"/>
      <c r="H764" s="1"/>
      <c r="I764" s="1"/>
      <c r="J764" s="1"/>
      <c r="K764" s="1"/>
      <c r="L764" s="1"/>
      <c r="M764" s="1"/>
      <c r="N764" s="1"/>
      <c r="O764" s="1"/>
      <c r="P764" s="1"/>
      <c r="Q764" s="1"/>
      <c r="R764" s="1"/>
      <c r="S764" s="1"/>
      <c r="T764" s="1"/>
      <c r="U764" s="2"/>
      <c r="V764" s="1"/>
      <c r="W764" s="1"/>
      <c r="X764" s="1"/>
      <c r="Y764" s="1"/>
      <c r="Z764" s="1"/>
    </row>
    <row r="765" spans="1:26" ht="24.75" customHeight="1">
      <c r="A765" s="1"/>
      <c r="B765" s="1"/>
      <c r="C765" s="1"/>
      <c r="D765" s="1"/>
      <c r="E765" s="1"/>
      <c r="F765" s="1"/>
      <c r="G765" s="1"/>
      <c r="H765" s="1"/>
      <c r="I765" s="1"/>
      <c r="J765" s="1"/>
      <c r="K765" s="1"/>
      <c r="L765" s="1"/>
      <c r="M765" s="1"/>
      <c r="N765" s="1"/>
      <c r="O765" s="1"/>
      <c r="P765" s="1"/>
      <c r="Q765" s="1"/>
      <c r="R765" s="1"/>
      <c r="S765" s="1"/>
      <c r="T765" s="1"/>
      <c r="U765" s="2"/>
      <c r="V765" s="1"/>
      <c r="W765" s="1"/>
      <c r="X765" s="1"/>
      <c r="Y765" s="1"/>
      <c r="Z765" s="1"/>
    </row>
    <row r="766" spans="1:26" ht="24.75" customHeight="1">
      <c r="A766" s="1"/>
      <c r="B766" s="1"/>
      <c r="C766" s="1"/>
      <c r="D766" s="1"/>
      <c r="E766" s="1"/>
      <c r="F766" s="1"/>
      <c r="G766" s="1"/>
      <c r="H766" s="1"/>
      <c r="I766" s="1"/>
      <c r="J766" s="1"/>
      <c r="K766" s="1"/>
      <c r="L766" s="1"/>
      <c r="M766" s="1"/>
      <c r="N766" s="1"/>
      <c r="O766" s="1"/>
      <c r="P766" s="1"/>
      <c r="Q766" s="1"/>
      <c r="R766" s="1"/>
      <c r="S766" s="1"/>
      <c r="T766" s="1"/>
      <c r="U766" s="2"/>
      <c r="V766" s="1"/>
      <c r="W766" s="1"/>
      <c r="X766" s="1"/>
      <c r="Y766" s="1"/>
      <c r="Z766" s="1"/>
    </row>
    <row r="767" spans="1:26" ht="24.75" customHeight="1">
      <c r="A767" s="1"/>
      <c r="B767" s="1"/>
      <c r="C767" s="1"/>
      <c r="D767" s="1"/>
      <c r="E767" s="1"/>
      <c r="F767" s="1"/>
      <c r="G767" s="1"/>
      <c r="H767" s="1"/>
      <c r="I767" s="1"/>
      <c r="J767" s="1"/>
      <c r="K767" s="1"/>
      <c r="L767" s="1"/>
      <c r="M767" s="1"/>
      <c r="N767" s="1"/>
      <c r="O767" s="1"/>
      <c r="P767" s="1"/>
      <c r="Q767" s="1"/>
      <c r="R767" s="1"/>
      <c r="S767" s="1"/>
      <c r="T767" s="1"/>
      <c r="U767" s="2"/>
      <c r="V767" s="1"/>
      <c r="W767" s="1"/>
      <c r="X767" s="1"/>
      <c r="Y767" s="1"/>
      <c r="Z767" s="1"/>
    </row>
    <row r="768" spans="1:26" ht="24.75" customHeight="1">
      <c r="A768" s="1"/>
      <c r="B768" s="1"/>
      <c r="C768" s="1"/>
      <c r="D768" s="1"/>
      <c r="E768" s="1"/>
      <c r="F768" s="1"/>
      <c r="G768" s="1"/>
      <c r="H768" s="1"/>
      <c r="I768" s="1"/>
      <c r="J768" s="1"/>
      <c r="K768" s="1"/>
      <c r="L768" s="1"/>
      <c r="M768" s="1"/>
      <c r="N768" s="1"/>
      <c r="O768" s="1"/>
      <c r="P768" s="1"/>
      <c r="Q768" s="1"/>
      <c r="R768" s="1"/>
      <c r="S768" s="1"/>
      <c r="T768" s="1"/>
      <c r="U768" s="2"/>
      <c r="V768" s="1"/>
      <c r="W768" s="1"/>
      <c r="X768" s="1"/>
      <c r="Y768" s="1"/>
      <c r="Z768" s="1"/>
    </row>
    <row r="769" spans="1:26" ht="24.75" customHeight="1">
      <c r="A769" s="1"/>
      <c r="B769" s="1"/>
      <c r="C769" s="1"/>
      <c r="D769" s="1"/>
      <c r="E769" s="1"/>
      <c r="F769" s="1"/>
      <c r="G769" s="1"/>
      <c r="H769" s="1"/>
      <c r="I769" s="1"/>
      <c r="J769" s="1"/>
      <c r="K769" s="1"/>
      <c r="L769" s="1"/>
      <c r="M769" s="1"/>
      <c r="N769" s="1"/>
      <c r="O769" s="1"/>
      <c r="P769" s="1"/>
      <c r="Q769" s="1"/>
      <c r="R769" s="1"/>
      <c r="S769" s="1"/>
      <c r="T769" s="1"/>
      <c r="U769" s="2"/>
      <c r="V769" s="1"/>
      <c r="W769" s="1"/>
      <c r="X769" s="1"/>
      <c r="Y769" s="1"/>
      <c r="Z769" s="1"/>
    </row>
    <row r="770" spans="1:26" ht="24.75" customHeight="1">
      <c r="A770" s="1"/>
      <c r="B770" s="1"/>
      <c r="C770" s="1"/>
      <c r="D770" s="1"/>
      <c r="E770" s="1"/>
      <c r="F770" s="1"/>
      <c r="G770" s="1"/>
      <c r="H770" s="1"/>
      <c r="I770" s="1"/>
      <c r="J770" s="1"/>
      <c r="K770" s="1"/>
      <c r="L770" s="1"/>
      <c r="M770" s="1"/>
      <c r="N770" s="1"/>
      <c r="O770" s="1"/>
      <c r="P770" s="1"/>
      <c r="Q770" s="1"/>
      <c r="R770" s="1"/>
      <c r="S770" s="1"/>
      <c r="T770" s="1"/>
      <c r="U770" s="2"/>
      <c r="V770" s="1"/>
      <c r="W770" s="1"/>
      <c r="X770" s="1"/>
      <c r="Y770" s="1"/>
      <c r="Z770" s="1"/>
    </row>
    <row r="771" spans="1:26" ht="24.75" customHeight="1">
      <c r="A771" s="1"/>
      <c r="B771" s="1"/>
      <c r="C771" s="1"/>
      <c r="D771" s="1"/>
      <c r="E771" s="1"/>
      <c r="F771" s="1"/>
      <c r="G771" s="1"/>
      <c r="H771" s="1"/>
      <c r="I771" s="1"/>
      <c r="J771" s="1"/>
      <c r="K771" s="1"/>
      <c r="L771" s="1"/>
      <c r="M771" s="1"/>
      <c r="N771" s="1"/>
      <c r="O771" s="1"/>
      <c r="P771" s="1"/>
      <c r="Q771" s="1"/>
      <c r="R771" s="1"/>
      <c r="S771" s="1"/>
      <c r="T771" s="1"/>
      <c r="U771" s="2"/>
      <c r="V771" s="1"/>
      <c r="W771" s="1"/>
      <c r="X771" s="1"/>
      <c r="Y771" s="1"/>
      <c r="Z771" s="1"/>
    </row>
    <row r="772" spans="1:26" ht="24.75" customHeight="1">
      <c r="A772" s="1"/>
      <c r="B772" s="1"/>
      <c r="C772" s="1"/>
      <c r="D772" s="1"/>
      <c r="E772" s="1"/>
      <c r="F772" s="1"/>
      <c r="G772" s="1"/>
      <c r="H772" s="1"/>
      <c r="I772" s="1"/>
      <c r="J772" s="1"/>
      <c r="K772" s="1"/>
      <c r="L772" s="1"/>
      <c r="M772" s="1"/>
      <c r="N772" s="1"/>
      <c r="O772" s="1"/>
      <c r="P772" s="1"/>
      <c r="Q772" s="1"/>
      <c r="R772" s="1"/>
      <c r="S772" s="1"/>
      <c r="T772" s="1"/>
      <c r="U772" s="2"/>
      <c r="V772" s="1"/>
      <c r="W772" s="1"/>
      <c r="X772" s="1"/>
      <c r="Y772" s="1"/>
      <c r="Z772" s="1"/>
    </row>
    <row r="773" spans="1:26" ht="24.75" customHeight="1">
      <c r="A773" s="1"/>
      <c r="B773" s="1"/>
      <c r="C773" s="1"/>
      <c r="D773" s="1"/>
      <c r="E773" s="1"/>
      <c r="F773" s="1"/>
      <c r="G773" s="1"/>
      <c r="H773" s="1"/>
      <c r="I773" s="1"/>
      <c r="J773" s="1"/>
      <c r="K773" s="1"/>
      <c r="L773" s="1"/>
      <c r="M773" s="1"/>
      <c r="N773" s="1"/>
      <c r="O773" s="1"/>
      <c r="P773" s="1"/>
      <c r="Q773" s="1"/>
      <c r="R773" s="1"/>
      <c r="S773" s="1"/>
      <c r="T773" s="1"/>
      <c r="U773" s="2"/>
      <c r="V773" s="1"/>
      <c r="W773" s="1"/>
      <c r="X773" s="1"/>
      <c r="Y773" s="1"/>
      <c r="Z773" s="1"/>
    </row>
    <row r="774" spans="1:26" ht="24.75" customHeight="1">
      <c r="A774" s="1"/>
      <c r="B774" s="1"/>
      <c r="C774" s="1"/>
      <c r="D774" s="1"/>
      <c r="E774" s="1"/>
      <c r="F774" s="1"/>
      <c r="G774" s="1"/>
      <c r="H774" s="1"/>
      <c r="I774" s="1"/>
      <c r="J774" s="1"/>
      <c r="K774" s="1"/>
      <c r="L774" s="1"/>
      <c r="M774" s="1"/>
      <c r="N774" s="1"/>
      <c r="O774" s="1"/>
      <c r="P774" s="1"/>
      <c r="Q774" s="1"/>
      <c r="R774" s="1"/>
      <c r="S774" s="1"/>
      <c r="T774" s="1"/>
      <c r="U774" s="2"/>
      <c r="V774" s="1"/>
      <c r="W774" s="1"/>
      <c r="X774" s="1"/>
      <c r="Y774" s="1"/>
      <c r="Z774" s="1"/>
    </row>
    <row r="775" spans="1:26" ht="24.75" customHeight="1">
      <c r="A775" s="1"/>
      <c r="B775" s="1"/>
      <c r="C775" s="1"/>
      <c r="D775" s="1"/>
      <c r="E775" s="1"/>
      <c r="F775" s="1"/>
      <c r="G775" s="1"/>
      <c r="H775" s="1"/>
      <c r="I775" s="1"/>
      <c r="J775" s="1"/>
      <c r="K775" s="1"/>
      <c r="L775" s="1"/>
      <c r="M775" s="1"/>
      <c r="N775" s="1"/>
      <c r="O775" s="1"/>
      <c r="P775" s="1"/>
      <c r="Q775" s="1"/>
      <c r="R775" s="1"/>
      <c r="S775" s="1"/>
      <c r="T775" s="1"/>
      <c r="U775" s="2"/>
      <c r="V775" s="1"/>
      <c r="W775" s="1"/>
      <c r="X775" s="1"/>
      <c r="Y775" s="1"/>
      <c r="Z775" s="1"/>
    </row>
    <row r="776" spans="1:26" ht="24.75" customHeight="1">
      <c r="A776" s="1"/>
      <c r="B776" s="1"/>
      <c r="C776" s="1"/>
      <c r="D776" s="1"/>
      <c r="E776" s="1"/>
      <c r="F776" s="1"/>
      <c r="G776" s="1"/>
      <c r="H776" s="1"/>
      <c r="I776" s="1"/>
      <c r="J776" s="1"/>
      <c r="K776" s="1"/>
      <c r="L776" s="1"/>
      <c r="M776" s="1"/>
      <c r="N776" s="1"/>
      <c r="O776" s="1"/>
      <c r="P776" s="1"/>
      <c r="Q776" s="1"/>
      <c r="R776" s="1"/>
      <c r="S776" s="1"/>
      <c r="T776" s="1"/>
      <c r="U776" s="2"/>
      <c r="V776" s="1"/>
      <c r="W776" s="1"/>
      <c r="X776" s="1"/>
      <c r="Y776" s="1"/>
      <c r="Z776" s="1"/>
    </row>
    <row r="777" spans="1:26" ht="24.75" customHeight="1">
      <c r="A777" s="1"/>
      <c r="B777" s="1"/>
      <c r="C777" s="1"/>
      <c r="D777" s="1"/>
      <c r="E777" s="1"/>
      <c r="F777" s="1"/>
      <c r="G777" s="1"/>
      <c r="H777" s="1"/>
      <c r="I777" s="1"/>
      <c r="J777" s="1"/>
      <c r="K777" s="1"/>
      <c r="L777" s="1"/>
      <c r="M777" s="1"/>
      <c r="N777" s="1"/>
      <c r="O777" s="1"/>
      <c r="P777" s="1"/>
      <c r="Q777" s="1"/>
      <c r="R777" s="1"/>
      <c r="S777" s="1"/>
      <c r="T777" s="1"/>
      <c r="U777" s="2"/>
      <c r="V777" s="1"/>
      <c r="W777" s="1"/>
      <c r="X777" s="1"/>
      <c r="Y777" s="1"/>
      <c r="Z777" s="1"/>
    </row>
    <row r="778" spans="1:26" ht="24.75" customHeight="1">
      <c r="A778" s="1"/>
      <c r="B778" s="1"/>
      <c r="C778" s="1"/>
      <c r="D778" s="1"/>
      <c r="E778" s="1"/>
      <c r="F778" s="1"/>
      <c r="G778" s="1"/>
      <c r="H778" s="1"/>
      <c r="I778" s="1"/>
      <c r="J778" s="1"/>
      <c r="K778" s="1"/>
      <c r="L778" s="1"/>
      <c r="M778" s="1"/>
      <c r="N778" s="1"/>
      <c r="O778" s="1"/>
      <c r="P778" s="1"/>
      <c r="Q778" s="1"/>
      <c r="R778" s="1"/>
      <c r="S778" s="1"/>
      <c r="T778" s="1"/>
      <c r="U778" s="2"/>
      <c r="V778" s="1"/>
      <c r="W778" s="1"/>
      <c r="X778" s="1"/>
      <c r="Y778" s="1"/>
      <c r="Z778" s="1"/>
    </row>
    <row r="779" spans="1:26" ht="24.75" customHeight="1">
      <c r="A779" s="1"/>
      <c r="B779" s="1"/>
      <c r="C779" s="1"/>
      <c r="D779" s="1"/>
      <c r="E779" s="1"/>
      <c r="F779" s="1"/>
      <c r="G779" s="1"/>
      <c r="H779" s="1"/>
      <c r="I779" s="1"/>
      <c r="J779" s="1"/>
      <c r="K779" s="1"/>
      <c r="L779" s="1"/>
      <c r="M779" s="1"/>
      <c r="N779" s="1"/>
      <c r="O779" s="1"/>
      <c r="P779" s="1"/>
      <c r="Q779" s="1"/>
      <c r="R779" s="1"/>
      <c r="S779" s="1"/>
      <c r="T779" s="1"/>
      <c r="U779" s="2"/>
      <c r="V779" s="1"/>
      <c r="W779" s="1"/>
      <c r="X779" s="1"/>
      <c r="Y779" s="1"/>
      <c r="Z779" s="1"/>
    </row>
    <row r="780" spans="1:26" ht="24.75" customHeight="1">
      <c r="A780" s="1"/>
      <c r="B780" s="1"/>
      <c r="C780" s="1"/>
      <c r="D780" s="1"/>
      <c r="E780" s="1"/>
      <c r="F780" s="1"/>
      <c r="G780" s="1"/>
      <c r="H780" s="1"/>
      <c r="I780" s="1"/>
      <c r="J780" s="1"/>
      <c r="K780" s="1"/>
      <c r="L780" s="1"/>
      <c r="M780" s="1"/>
      <c r="N780" s="1"/>
      <c r="O780" s="1"/>
      <c r="P780" s="1"/>
      <c r="Q780" s="1"/>
      <c r="R780" s="1"/>
      <c r="S780" s="1"/>
      <c r="T780" s="1"/>
      <c r="U780" s="2"/>
      <c r="V780" s="1"/>
      <c r="W780" s="1"/>
      <c r="X780" s="1"/>
      <c r="Y780" s="1"/>
      <c r="Z780" s="1"/>
    </row>
    <row r="781" spans="1:26" ht="24.75" customHeight="1">
      <c r="A781" s="1"/>
      <c r="B781" s="1"/>
      <c r="C781" s="1"/>
      <c r="D781" s="1"/>
      <c r="E781" s="1"/>
      <c r="F781" s="1"/>
      <c r="G781" s="1"/>
      <c r="H781" s="1"/>
      <c r="I781" s="1"/>
      <c r="J781" s="1"/>
      <c r="K781" s="1"/>
      <c r="L781" s="1"/>
      <c r="M781" s="1"/>
      <c r="N781" s="1"/>
      <c r="O781" s="1"/>
      <c r="P781" s="1"/>
      <c r="Q781" s="1"/>
      <c r="R781" s="1"/>
      <c r="S781" s="1"/>
      <c r="T781" s="1"/>
      <c r="U781" s="2"/>
      <c r="V781" s="1"/>
      <c r="W781" s="1"/>
      <c r="X781" s="1"/>
      <c r="Y781" s="1"/>
      <c r="Z781" s="1"/>
    </row>
    <row r="782" spans="1:26" ht="24.75" customHeight="1">
      <c r="A782" s="1"/>
      <c r="B782" s="1"/>
      <c r="C782" s="1"/>
      <c r="D782" s="1"/>
      <c r="E782" s="1"/>
      <c r="F782" s="1"/>
      <c r="G782" s="1"/>
      <c r="H782" s="1"/>
      <c r="I782" s="1"/>
      <c r="J782" s="1"/>
      <c r="K782" s="1"/>
      <c r="L782" s="1"/>
      <c r="M782" s="1"/>
      <c r="N782" s="1"/>
      <c r="O782" s="1"/>
      <c r="P782" s="1"/>
      <c r="Q782" s="1"/>
      <c r="R782" s="1"/>
      <c r="S782" s="1"/>
      <c r="T782" s="1"/>
      <c r="U782" s="2"/>
      <c r="V782" s="1"/>
      <c r="W782" s="1"/>
      <c r="X782" s="1"/>
      <c r="Y782" s="1"/>
      <c r="Z782" s="1"/>
    </row>
    <row r="783" spans="1:26" ht="24.75" customHeight="1">
      <c r="A783" s="1"/>
      <c r="B783" s="1"/>
      <c r="C783" s="1"/>
      <c r="D783" s="1"/>
      <c r="E783" s="1"/>
      <c r="F783" s="1"/>
      <c r="G783" s="1"/>
      <c r="H783" s="1"/>
      <c r="I783" s="1"/>
      <c r="J783" s="1"/>
      <c r="K783" s="1"/>
      <c r="L783" s="1"/>
      <c r="M783" s="1"/>
      <c r="N783" s="1"/>
      <c r="O783" s="1"/>
      <c r="P783" s="1"/>
      <c r="Q783" s="1"/>
      <c r="R783" s="1"/>
      <c r="S783" s="1"/>
      <c r="T783" s="1"/>
      <c r="U783" s="2"/>
      <c r="V783" s="1"/>
      <c r="W783" s="1"/>
      <c r="X783" s="1"/>
      <c r="Y783" s="1"/>
      <c r="Z783" s="1"/>
    </row>
    <row r="784" spans="1:26" ht="24.75" customHeight="1">
      <c r="A784" s="1"/>
      <c r="B784" s="1"/>
      <c r="C784" s="1"/>
      <c r="D784" s="1"/>
      <c r="E784" s="1"/>
      <c r="F784" s="1"/>
      <c r="G784" s="1"/>
      <c r="H784" s="1"/>
      <c r="I784" s="1"/>
      <c r="J784" s="1"/>
      <c r="K784" s="1"/>
      <c r="L784" s="1"/>
      <c r="M784" s="1"/>
      <c r="N784" s="1"/>
      <c r="O784" s="1"/>
      <c r="P784" s="1"/>
      <c r="Q784" s="1"/>
      <c r="R784" s="1"/>
      <c r="S784" s="1"/>
      <c r="T784" s="1"/>
      <c r="U784" s="2"/>
      <c r="V784" s="1"/>
      <c r="W784" s="1"/>
      <c r="X784" s="1"/>
      <c r="Y784" s="1"/>
      <c r="Z784" s="1"/>
    </row>
    <row r="785" spans="1:26" ht="24.75" customHeight="1">
      <c r="A785" s="1"/>
      <c r="B785" s="1"/>
      <c r="C785" s="1"/>
      <c r="D785" s="1"/>
      <c r="E785" s="1"/>
      <c r="F785" s="1"/>
      <c r="G785" s="1"/>
      <c r="H785" s="1"/>
      <c r="I785" s="1"/>
      <c r="J785" s="1"/>
      <c r="K785" s="1"/>
      <c r="L785" s="1"/>
      <c r="M785" s="1"/>
      <c r="N785" s="1"/>
      <c r="O785" s="1"/>
      <c r="P785" s="1"/>
      <c r="Q785" s="1"/>
      <c r="R785" s="1"/>
      <c r="S785" s="1"/>
      <c r="T785" s="1"/>
      <c r="U785" s="2"/>
      <c r="V785" s="1"/>
      <c r="W785" s="1"/>
      <c r="X785" s="1"/>
      <c r="Y785" s="1"/>
      <c r="Z785" s="1"/>
    </row>
    <row r="786" spans="1:26" ht="24.75" customHeight="1">
      <c r="A786" s="1"/>
      <c r="B786" s="1"/>
      <c r="C786" s="1"/>
      <c r="D786" s="1"/>
      <c r="E786" s="1"/>
      <c r="F786" s="1"/>
      <c r="G786" s="1"/>
      <c r="H786" s="1"/>
      <c r="I786" s="1"/>
      <c r="J786" s="1"/>
      <c r="K786" s="1"/>
      <c r="L786" s="1"/>
      <c r="M786" s="1"/>
      <c r="N786" s="1"/>
      <c r="O786" s="1"/>
      <c r="P786" s="1"/>
      <c r="Q786" s="1"/>
      <c r="R786" s="1"/>
      <c r="S786" s="1"/>
      <c r="T786" s="1"/>
      <c r="U786" s="2"/>
      <c r="V786" s="1"/>
      <c r="W786" s="1"/>
      <c r="X786" s="1"/>
      <c r="Y786" s="1"/>
      <c r="Z786" s="1"/>
    </row>
    <row r="787" spans="1:26" ht="24.75" customHeight="1">
      <c r="A787" s="1"/>
      <c r="B787" s="1"/>
      <c r="C787" s="1"/>
      <c r="D787" s="1"/>
      <c r="E787" s="1"/>
      <c r="F787" s="1"/>
      <c r="G787" s="1"/>
      <c r="H787" s="1"/>
      <c r="I787" s="1"/>
      <c r="J787" s="1"/>
      <c r="K787" s="1"/>
      <c r="L787" s="1"/>
      <c r="M787" s="1"/>
      <c r="N787" s="1"/>
      <c r="O787" s="1"/>
      <c r="P787" s="1"/>
      <c r="Q787" s="1"/>
      <c r="R787" s="1"/>
      <c r="S787" s="1"/>
      <c r="T787" s="1"/>
      <c r="U787" s="2"/>
      <c r="V787" s="1"/>
      <c r="W787" s="1"/>
      <c r="X787" s="1"/>
      <c r="Y787" s="1"/>
      <c r="Z787" s="1"/>
    </row>
    <row r="788" spans="1:26" ht="24.75" customHeight="1">
      <c r="A788" s="1"/>
      <c r="B788" s="1"/>
      <c r="C788" s="1"/>
      <c r="D788" s="1"/>
      <c r="E788" s="1"/>
      <c r="F788" s="1"/>
      <c r="G788" s="1"/>
      <c r="H788" s="1"/>
      <c r="I788" s="1"/>
      <c r="J788" s="1"/>
      <c r="K788" s="1"/>
      <c r="L788" s="1"/>
      <c r="M788" s="1"/>
      <c r="N788" s="1"/>
      <c r="O788" s="1"/>
      <c r="P788" s="1"/>
      <c r="Q788" s="1"/>
      <c r="R788" s="1"/>
      <c r="S788" s="1"/>
      <c r="T788" s="1"/>
      <c r="U788" s="2"/>
      <c r="V788" s="1"/>
      <c r="W788" s="1"/>
      <c r="X788" s="1"/>
      <c r="Y788" s="1"/>
      <c r="Z788" s="1"/>
    </row>
    <row r="789" spans="1:26" ht="24.75" customHeight="1">
      <c r="A789" s="1"/>
      <c r="B789" s="1"/>
      <c r="C789" s="1"/>
      <c r="D789" s="1"/>
      <c r="E789" s="1"/>
      <c r="F789" s="1"/>
      <c r="G789" s="1"/>
      <c r="H789" s="1"/>
      <c r="I789" s="1"/>
      <c r="J789" s="1"/>
      <c r="K789" s="1"/>
      <c r="L789" s="1"/>
      <c r="M789" s="1"/>
      <c r="N789" s="1"/>
      <c r="O789" s="1"/>
      <c r="P789" s="1"/>
      <c r="Q789" s="1"/>
      <c r="R789" s="1"/>
      <c r="S789" s="1"/>
      <c r="T789" s="1"/>
      <c r="U789" s="2"/>
      <c r="V789" s="1"/>
      <c r="W789" s="1"/>
      <c r="X789" s="1"/>
      <c r="Y789" s="1"/>
      <c r="Z789" s="1"/>
    </row>
    <row r="790" spans="1:26" ht="24.75" customHeight="1">
      <c r="A790" s="1"/>
      <c r="B790" s="1"/>
      <c r="C790" s="1"/>
      <c r="D790" s="1"/>
      <c r="E790" s="1"/>
      <c r="F790" s="1"/>
      <c r="G790" s="1"/>
      <c r="H790" s="1"/>
      <c r="I790" s="1"/>
      <c r="J790" s="1"/>
      <c r="K790" s="1"/>
      <c r="L790" s="1"/>
      <c r="M790" s="1"/>
      <c r="N790" s="1"/>
      <c r="O790" s="1"/>
      <c r="P790" s="1"/>
      <c r="Q790" s="1"/>
      <c r="R790" s="1"/>
      <c r="S790" s="1"/>
      <c r="T790" s="1"/>
      <c r="U790" s="2"/>
      <c r="V790" s="1"/>
      <c r="W790" s="1"/>
      <c r="X790" s="1"/>
      <c r="Y790" s="1"/>
      <c r="Z790" s="1"/>
    </row>
    <row r="791" spans="1:26" ht="24.75" customHeight="1">
      <c r="A791" s="1"/>
      <c r="B791" s="1"/>
      <c r="C791" s="1"/>
      <c r="D791" s="1"/>
      <c r="E791" s="1"/>
      <c r="F791" s="1"/>
      <c r="G791" s="1"/>
      <c r="H791" s="1"/>
      <c r="I791" s="1"/>
      <c r="J791" s="1"/>
      <c r="K791" s="1"/>
      <c r="L791" s="1"/>
      <c r="M791" s="1"/>
      <c r="N791" s="1"/>
      <c r="O791" s="1"/>
      <c r="P791" s="1"/>
      <c r="Q791" s="1"/>
      <c r="R791" s="1"/>
      <c r="S791" s="1"/>
      <c r="T791" s="1"/>
      <c r="U791" s="2"/>
      <c r="V791" s="1"/>
      <c r="W791" s="1"/>
      <c r="X791" s="1"/>
      <c r="Y791" s="1"/>
      <c r="Z791" s="1"/>
    </row>
    <row r="792" spans="1:26" ht="24.75" customHeight="1">
      <c r="A792" s="1"/>
      <c r="B792" s="1"/>
      <c r="C792" s="1"/>
      <c r="D792" s="1"/>
      <c r="E792" s="1"/>
      <c r="F792" s="1"/>
      <c r="G792" s="1"/>
      <c r="H792" s="1"/>
      <c r="I792" s="1"/>
      <c r="J792" s="1"/>
      <c r="K792" s="1"/>
      <c r="L792" s="1"/>
      <c r="M792" s="1"/>
      <c r="N792" s="1"/>
      <c r="O792" s="1"/>
      <c r="P792" s="1"/>
      <c r="Q792" s="1"/>
      <c r="R792" s="1"/>
      <c r="S792" s="1"/>
      <c r="T792" s="1"/>
      <c r="U792" s="2"/>
      <c r="V792" s="1"/>
      <c r="W792" s="1"/>
      <c r="X792" s="1"/>
      <c r="Y792" s="1"/>
      <c r="Z792" s="1"/>
    </row>
    <row r="793" spans="1:26" ht="24.75" customHeight="1">
      <c r="A793" s="1"/>
      <c r="B793" s="1"/>
      <c r="C793" s="1"/>
      <c r="D793" s="1"/>
      <c r="E793" s="1"/>
      <c r="F793" s="1"/>
      <c r="G793" s="1"/>
      <c r="H793" s="1"/>
      <c r="I793" s="1"/>
      <c r="J793" s="1"/>
      <c r="K793" s="1"/>
      <c r="L793" s="1"/>
      <c r="M793" s="1"/>
      <c r="N793" s="1"/>
      <c r="O793" s="1"/>
      <c r="P793" s="1"/>
      <c r="Q793" s="1"/>
      <c r="R793" s="1"/>
      <c r="S793" s="1"/>
      <c r="T793" s="1"/>
      <c r="U793" s="2"/>
      <c r="V793" s="1"/>
      <c r="W793" s="1"/>
      <c r="X793" s="1"/>
      <c r="Y793" s="1"/>
      <c r="Z793" s="1"/>
    </row>
    <row r="794" spans="1:26" ht="24.75" customHeight="1">
      <c r="A794" s="1"/>
      <c r="B794" s="1"/>
      <c r="C794" s="1"/>
      <c r="D794" s="1"/>
      <c r="E794" s="1"/>
      <c r="F794" s="1"/>
      <c r="G794" s="1"/>
      <c r="H794" s="1"/>
      <c r="I794" s="1"/>
      <c r="J794" s="1"/>
      <c r="K794" s="1"/>
      <c r="L794" s="1"/>
      <c r="M794" s="1"/>
      <c r="N794" s="1"/>
      <c r="O794" s="1"/>
      <c r="P794" s="1"/>
      <c r="Q794" s="1"/>
      <c r="R794" s="1"/>
      <c r="S794" s="1"/>
      <c r="T794" s="1"/>
      <c r="U794" s="2"/>
      <c r="V794" s="1"/>
      <c r="W794" s="1"/>
      <c r="X794" s="1"/>
      <c r="Y794" s="1"/>
      <c r="Z794" s="1"/>
    </row>
    <row r="795" spans="1:26" ht="24.75" customHeight="1">
      <c r="A795" s="1"/>
      <c r="B795" s="1"/>
      <c r="C795" s="1"/>
      <c r="D795" s="1"/>
      <c r="E795" s="1"/>
      <c r="F795" s="1"/>
      <c r="G795" s="1"/>
      <c r="H795" s="1"/>
      <c r="I795" s="1"/>
      <c r="J795" s="1"/>
      <c r="K795" s="1"/>
      <c r="L795" s="1"/>
      <c r="M795" s="1"/>
      <c r="N795" s="1"/>
      <c r="O795" s="1"/>
      <c r="P795" s="1"/>
      <c r="Q795" s="1"/>
      <c r="R795" s="1"/>
      <c r="S795" s="1"/>
      <c r="T795" s="1"/>
      <c r="U795" s="2"/>
      <c r="V795" s="1"/>
      <c r="W795" s="1"/>
      <c r="X795" s="1"/>
      <c r="Y795" s="1"/>
      <c r="Z795" s="1"/>
    </row>
    <row r="796" spans="1:26" ht="24.75" customHeight="1">
      <c r="A796" s="1"/>
      <c r="B796" s="1"/>
      <c r="C796" s="1"/>
      <c r="D796" s="1"/>
      <c r="E796" s="1"/>
      <c r="F796" s="1"/>
      <c r="G796" s="1"/>
      <c r="H796" s="1"/>
      <c r="I796" s="1"/>
      <c r="J796" s="1"/>
      <c r="K796" s="1"/>
      <c r="L796" s="1"/>
      <c r="M796" s="1"/>
      <c r="N796" s="1"/>
      <c r="O796" s="1"/>
      <c r="P796" s="1"/>
      <c r="Q796" s="1"/>
      <c r="R796" s="1"/>
      <c r="S796" s="1"/>
      <c r="T796" s="1"/>
      <c r="U796" s="2"/>
      <c r="V796" s="1"/>
      <c r="W796" s="1"/>
      <c r="X796" s="1"/>
      <c r="Y796" s="1"/>
      <c r="Z796" s="1"/>
    </row>
    <row r="797" spans="1:26" ht="24.75" customHeight="1">
      <c r="A797" s="1"/>
      <c r="B797" s="1"/>
      <c r="C797" s="1"/>
      <c r="D797" s="1"/>
      <c r="E797" s="1"/>
      <c r="F797" s="1"/>
      <c r="G797" s="1"/>
      <c r="H797" s="1"/>
      <c r="I797" s="1"/>
      <c r="J797" s="1"/>
      <c r="K797" s="1"/>
      <c r="L797" s="1"/>
      <c r="M797" s="1"/>
      <c r="N797" s="1"/>
      <c r="O797" s="1"/>
      <c r="P797" s="1"/>
      <c r="Q797" s="1"/>
      <c r="R797" s="1"/>
      <c r="S797" s="1"/>
      <c r="T797" s="1"/>
      <c r="U797" s="2"/>
      <c r="V797" s="1"/>
      <c r="W797" s="1"/>
      <c r="X797" s="1"/>
      <c r="Y797" s="1"/>
      <c r="Z797" s="1"/>
    </row>
    <row r="798" spans="1:26" ht="24.75" customHeight="1">
      <c r="A798" s="1"/>
      <c r="B798" s="1"/>
      <c r="C798" s="1"/>
      <c r="D798" s="1"/>
      <c r="E798" s="1"/>
      <c r="F798" s="1"/>
      <c r="G798" s="1"/>
      <c r="H798" s="1"/>
      <c r="I798" s="1"/>
      <c r="J798" s="1"/>
      <c r="K798" s="1"/>
      <c r="L798" s="1"/>
      <c r="M798" s="1"/>
      <c r="N798" s="1"/>
      <c r="O798" s="1"/>
      <c r="P798" s="1"/>
      <c r="Q798" s="1"/>
      <c r="R798" s="1"/>
      <c r="S798" s="1"/>
      <c r="T798" s="1"/>
      <c r="U798" s="2"/>
      <c r="V798" s="1"/>
      <c r="W798" s="1"/>
      <c r="X798" s="1"/>
      <c r="Y798" s="1"/>
      <c r="Z798" s="1"/>
    </row>
    <row r="799" spans="1:26" ht="24.75" customHeight="1">
      <c r="A799" s="1"/>
      <c r="B799" s="1"/>
      <c r="C799" s="1"/>
      <c r="D799" s="1"/>
      <c r="E799" s="1"/>
      <c r="F799" s="1"/>
      <c r="G799" s="1"/>
      <c r="H799" s="1"/>
      <c r="I799" s="1"/>
      <c r="J799" s="1"/>
      <c r="K799" s="1"/>
      <c r="L799" s="1"/>
      <c r="M799" s="1"/>
      <c r="N799" s="1"/>
      <c r="O799" s="1"/>
      <c r="P799" s="1"/>
      <c r="Q799" s="1"/>
      <c r="R799" s="1"/>
      <c r="S799" s="1"/>
      <c r="T799" s="1"/>
      <c r="U799" s="2"/>
      <c r="V799" s="1"/>
      <c r="W799" s="1"/>
      <c r="X799" s="1"/>
      <c r="Y799" s="1"/>
      <c r="Z799" s="1"/>
    </row>
    <row r="800" spans="1:26" ht="24.75" customHeight="1">
      <c r="A800" s="1"/>
      <c r="B800" s="1"/>
      <c r="C800" s="1"/>
      <c r="D800" s="1"/>
      <c r="E800" s="1"/>
      <c r="F800" s="1"/>
      <c r="G800" s="1"/>
      <c r="H800" s="1"/>
      <c r="I800" s="1"/>
      <c r="J800" s="1"/>
      <c r="K800" s="1"/>
      <c r="L800" s="1"/>
      <c r="M800" s="1"/>
      <c r="N800" s="1"/>
      <c r="O800" s="1"/>
      <c r="P800" s="1"/>
      <c r="Q800" s="1"/>
      <c r="R800" s="1"/>
      <c r="S800" s="1"/>
      <c r="T800" s="1"/>
      <c r="U800" s="2"/>
      <c r="V800" s="1"/>
      <c r="W800" s="1"/>
      <c r="X800" s="1"/>
      <c r="Y800" s="1"/>
      <c r="Z800" s="1"/>
    </row>
    <row r="801" spans="1:26" ht="24.75" customHeight="1">
      <c r="A801" s="1"/>
      <c r="B801" s="1"/>
      <c r="C801" s="1"/>
      <c r="D801" s="1"/>
      <c r="E801" s="1"/>
      <c r="F801" s="1"/>
      <c r="G801" s="1"/>
      <c r="H801" s="1"/>
      <c r="I801" s="1"/>
      <c r="J801" s="1"/>
      <c r="K801" s="1"/>
      <c r="L801" s="1"/>
      <c r="M801" s="1"/>
      <c r="N801" s="1"/>
      <c r="O801" s="1"/>
      <c r="P801" s="1"/>
      <c r="Q801" s="1"/>
      <c r="R801" s="1"/>
      <c r="S801" s="1"/>
      <c r="T801" s="1"/>
      <c r="U801" s="2"/>
      <c r="V801" s="1"/>
      <c r="W801" s="1"/>
      <c r="X801" s="1"/>
      <c r="Y801" s="1"/>
      <c r="Z801" s="1"/>
    </row>
    <row r="802" spans="1:26" ht="24.75" customHeight="1">
      <c r="A802" s="1"/>
      <c r="B802" s="1"/>
      <c r="C802" s="1"/>
      <c r="D802" s="1"/>
      <c r="E802" s="1"/>
      <c r="F802" s="1"/>
      <c r="G802" s="1"/>
      <c r="H802" s="1"/>
      <c r="I802" s="1"/>
      <c r="J802" s="1"/>
      <c r="K802" s="1"/>
      <c r="L802" s="1"/>
      <c r="M802" s="1"/>
      <c r="N802" s="1"/>
      <c r="O802" s="1"/>
      <c r="P802" s="1"/>
      <c r="Q802" s="1"/>
      <c r="R802" s="1"/>
      <c r="S802" s="1"/>
      <c r="T802" s="1"/>
      <c r="U802" s="2"/>
      <c r="V802" s="1"/>
      <c r="W802" s="1"/>
      <c r="X802" s="1"/>
      <c r="Y802" s="1"/>
      <c r="Z802" s="1"/>
    </row>
    <row r="803" spans="1:26" ht="24.75" customHeight="1">
      <c r="A803" s="1"/>
      <c r="B803" s="1"/>
      <c r="C803" s="1"/>
      <c r="D803" s="1"/>
      <c r="E803" s="1"/>
      <c r="F803" s="1"/>
      <c r="G803" s="1"/>
      <c r="H803" s="1"/>
      <c r="I803" s="1"/>
      <c r="J803" s="1"/>
      <c r="K803" s="1"/>
      <c r="L803" s="1"/>
      <c r="M803" s="1"/>
      <c r="N803" s="1"/>
      <c r="O803" s="1"/>
      <c r="P803" s="1"/>
      <c r="Q803" s="1"/>
      <c r="R803" s="1"/>
      <c r="S803" s="1"/>
      <c r="T803" s="1"/>
      <c r="U803" s="2"/>
      <c r="V803" s="1"/>
      <c r="W803" s="1"/>
      <c r="X803" s="1"/>
      <c r="Y803" s="1"/>
      <c r="Z803" s="1"/>
    </row>
    <row r="804" spans="1:26" ht="24.75" customHeight="1">
      <c r="A804" s="1"/>
      <c r="B804" s="1"/>
      <c r="C804" s="1"/>
      <c r="D804" s="1"/>
      <c r="E804" s="1"/>
      <c r="F804" s="1"/>
      <c r="G804" s="1"/>
      <c r="H804" s="1"/>
      <c r="I804" s="1"/>
      <c r="J804" s="1"/>
      <c r="K804" s="1"/>
      <c r="L804" s="1"/>
      <c r="M804" s="1"/>
      <c r="N804" s="1"/>
      <c r="O804" s="1"/>
      <c r="P804" s="1"/>
      <c r="Q804" s="1"/>
      <c r="R804" s="1"/>
      <c r="S804" s="1"/>
      <c r="T804" s="1"/>
      <c r="U804" s="2"/>
      <c r="V804" s="1"/>
      <c r="W804" s="1"/>
      <c r="X804" s="1"/>
      <c r="Y804" s="1"/>
      <c r="Z804" s="1"/>
    </row>
    <row r="805" spans="1:26" ht="24.75" customHeight="1">
      <c r="A805" s="1"/>
      <c r="B805" s="1"/>
      <c r="C805" s="1"/>
      <c r="D805" s="1"/>
      <c r="E805" s="1"/>
      <c r="F805" s="1"/>
      <c r="G805" s="1"/>
      <c r="H805" s="1"/>
      <c r="I805" s="1"/>
      <c r="J805" s="1"/>
      <c r="K805" s="1"/>
      <c r="L805" s="1"/>
      <c r="M805" s="1"/>
      <c r="N805" s="1"/>
      <c r="O805" s="1"/>
      <c r="P805" s="1"/>
      <c r="Q805" s="1"/>
      <c r="R805" s="1"/>
      <c r="S805" s="1"/>
      <c r="T805" s="1"/>
      <c r="U805" s="2"/>
      <c r="V805" s="1"/>
      <c r="W805" s="1"/>
      <c r="X805" s="1"/>
      <c r="Y805" s="1"/>
      <c r="Z805" s="1"/>
    </row>
    <row r="806" spans="1:26" ht="24.75" customHeight="1">
      <c r="A806" s="1"/>
      <c r="B806" s="1"/>
      <c r="C806" s="1"/>
      <c r="D806" s="1"/>
      <c r="E806" s="1"/>
      <c r="F806" s="1"/>
      <c r="G806" s="1"/>
      <c r="H806" s="1"/>
      <c r="I806" s="1"/>
      <c r="J806" s="1"/>
      <c r="K806" s="1"/>
      <c r="L806" s="1"/>
      <c r="M806" s="1"/>
      <c r="N806" s="1"/>
      <c r="O806" s="1"/>
      <c r="P806" s="1"/>
      <c r="Q806" s="1"/>
      <c r="R806" s="1"/>
      <c r="S806" s="1"/>
      <c r="T806" s="1"/>
      <c r="U806" s="2"/>
      <c r="V806" s="1"/>
      <c r="W806" s="1"/>
      <c r="X806" s="1"/>
      <c r="Y806" s="1"/>
      <c r="Z806" s="1"/>
    </row>
    <row r="807" spans="1:26" ht="24.75" customHeight="1">
      <c r="A807" s="1"/>
      <c r="B807" s="1"/>
      <c r="C807" s="1"/>
      <c r="D807" s="1"/>
      <c r="E807" s="1"/>
      <c r="F807" s="1"/>
      <c r="G807" s="1"/>
      <c r="H807" s="1"/>
      <c r="I807" s="1"/>
      <c r="J807" s="1"/>
      <c r="K807" s="1"/>
      <c r="L807" s="1"/>
      <c r="M807" s="1"/>
      <c r="N807" s="1"/>
      <c r="O807" s="1"/>
      <c r="P807" s="1"/>
      <c r="Q807" s="1"/>
      <c r="R807" s="1"/>
      <c r="S807" s="1"/>
      <c r="T807" s="1"/>
      <c r="U807" s="2"/>
      <c r="V807" s="1"/>
      <c r="W807" s="1"/>
      <c r="X807" s="1"/>
      <c r="Y807" s="1"/>
      <c r="Z807" s="1"/>
    </row>
    <row r="808" spans="1:26" ht="24.75" customHeight="1">
      <c r="A808" s="1"/>
      <c r="B808" s="1"/>
      <c r="C808" s="1"/>
      <c r="D808" s="1"/>
      <c r="E808" s="1"/>
      <c r="F808" s="1"/>
      <c r="G808" s="1"/>
      <c r="H808" s="1"/>
      <c r="I808" s="1"/>
      <c r="J808" s="1"/>
      <c r="K808" s="1"/>
      <c r="L808" s="1"/>
      <c r="M808" s="1"/>
      <c r="N808" s="1"/>
      <c r="O808" s="1"/>
      <c r="P808" s="1"/>
      <c r="Q808" s="1"/>
      <c r="R808" s="1"/>
      <c r="S808" s="1"/>
      <c r="T808" s="1"/>
      <c r="U808" s="2"/>
      <c r="V808" s="1"/>
      <c r="W808" s="1"/>
      <c r="X808" s="1"/>
      <c r="Y808" s="1"/>
      <c r="Z808" s="1"/>
    </row>
    <row r="809" spans="1:26" ht="24.75" customHeight="1">
      <c r="A809" s="1"/>
      <c r="B809" s="1"/>
      <c r="C809" s="1"/>
      <c r="D809" s="1"/>
      <c r="E809" s="1"/>
      <c r="F809" s="1"/>
      <c r="G809" s="1"/>
      <c r="H809" s="1"/>
      <c r="I809" s="1"/>
      <c r="J809" s="1"/>
      <c r="K809" s="1"/>
      <c r="L809" s="1"/>
      <c r="M809" s="1"/>
      <c r="N809" s="1"/>
      <c r="O809" s="1"/>
      <c r="P809" s="1"/>
      <c r="Q809" s="1"/>
      <c r="R809" s="1"/>
      <c r="S809" s="1"/>
      <c r="T809" s="1"/>
      <c r="U809" s="2"/>
      <c r="V809" s="1"/>
      <c r="W809" s="1"/>
      <c r="X809" s="1"/>
      <c r="Y809" s="1"/>
      <c r="Z809" s="1"/>
    </row>
    <row r="810" spans="1:26" ht="24.75" customHeight="1">
      <c r="A810" s="1"/>
      <c r="B810" s="1"/>
      <c r="C810" s="1"/>
      <c r="D810" s="1"/>
      <c r="E810" s="1"/>
      <c r="F810" s="1"/>
      <c r="G810" s="1"/>
      <c r="H810" s="1"/>
      <c r="I810" s="1"/>
      <c r="J810" s="1"/>
      <c r="K810" s="1"/>
      <c r="L810" s="1"/>
      <c r="M810" s="1"/>
      <c r="N810" s="1"/>
      <c r="O810" s="1"/>
      <c r="P810" s="1"/>
      <c r="Q810" s="1"/>
      <c r="R810" s="1"/>
      <c r="S810" s="1"/>
      <c r="T810" s="1"/>
      <c r="U810" s="2"/>
      <c r="V810" s="1"/>
      <c r="W810" s="1"/>
      <c r="X810" s="1"/>
      <c r="Y810" s="1"/>
      <c r="Z810" s="1"/>
    </row>
    <row r="811" spans="1:26" ht="24.75" customHeight="1">
      <c r="A811" s="1"/>
      <c r="B811" s="1"/>
      <c r="C811" s="1"/>
      <c r="D811" s="1"/>
      <c r="E811" s="1"/>
      <c r="F811" s="1"/>
      <c r="G811" s="1"/>
      <c r="H811" s="1"/>
      <c r="I811" s="1"/>
      <c r="J811" s="1"/>
      <c r="K811" s="1"/>
      <c r="L811" s="1"/>
      <c r="M811" s="1"/>
      <c r="N811" s="1"/>
      <c r="O811" s="1"/>
      <c r="P811" s="1"/>
      <c r="Q811" s="1"/>
      <c r="R811" s="1"/>
      <c r="S811" s="1"/>
      <c r="T811" s="1"/>
      <c r="U811" s="2"/>
      <c r="V811" s="1"/>
      <c r="W811" s="1"/>
      <c r="X811" s="1"/>
      <c r="Y811" s="1"/>
      <c r="Z811" s="1"/>
    </row>
    <row r="812" spans="1:26" ht="24.75" customHeight="1">
      <c r="A812" s="1"/>
      <c r="B812" s="1"/>
      <c r="C812" s="1"/>
      <c r="D812" s="1"/>
      <c r="E812" s="1"/>
      <c r="F812" s="1"/>
      <c r="G812" s="1"/>
      <c r="H812" s="1"/>
      <c r="I812" s="1"/>
      <c r="J812" s="1"/>
      <c r="K812" s="1"/>
      <c r="L812" s="1"/>
      <c r="M812" s="1"/>
      <c r="N812" s="1"/>
      <c r="O812" s="1"/>
      <c r="P812" s="1"/>
      <c r="Q812" s="1"/>
      <c r="R812" s="1"/>
      <c r="S812" s="1"/>
      <c r="T812" s="1"/>
      <c r="U812" s="2"/>
      <c r="V812" s="1"/>
      <c r="W812" s="1"/>
      <c r="X812" s="1"/>
      <c r="Y812" s="1"/>
      <c r="Z812" s="1"/>
    </row>
    <row r="813" spans="1:26" ht="24.75" customHeight="1">
      <c r="A813" s="1"/>
      <c r="B813" s="1"/>
      <c r="C813" s="1"/>
      <c r="D813" s="1"/>
      <c r="E813" s="1"/>
      <c r="F813" s="1"/>
      <c r="G813" s="1"/>
      <c r="H813" s="1"/>
      <c r="I813" s="1"/>
      <c r="J813" s="1"/>
      <c r="K813" s="1"/>
      <c r="L813" s="1"/>
      <c r="M813" s="1"/>
      <c r="N813" s="1"/>
      <c r="O813" s="1"/>
      <c r="P813" s="1"/>
      <c r="Q813" s="1"/>
      <c r="R813" s="1"/>
      <c r="S813" s="1"/>
      <c r="T813" s="1"/>
      <c r="U813" s="2"/>
      <c r="V813" s="1"/>
      <c r="W813" s="1"/>
      <c r="X813" s="1"/>
      <c r="Y813" s="1"/>
      <c r="Z813" s="1"/>
    </row>
    <row r="814" spans="1:26" ht="24.75" customHeight="1">
      <c r="A814" s="1"/>
      <c r="B814" s="1"/>
      <c r="C814" s="1"/>
      <c r="D814" s="1"/>
      <c r="E814" s="1"/>
      <c r="F814" s="1"/>
      <c r="G814" s="1"/>
      <c r="H814" s="1"/>
      <c r="I814" s="1"/>
      <c r="J814" s="1"/>
      <c r="K814" s="1"/>
      <c r="L814" s="1"/>
      <c r="M814" s="1"/>
      <c r="N814" s="1"/>
      <c r="O814" s="1"/>
      <c r="P814" s="1"/>
      <c r="Q814" s="1"/>
      <c r="R814" s="1"/>
      <c r="S814" s="1"/>
      <c r="T814" s="1"/>
      <c r="U814" s="2"/>
      <c r="V814" s="1"/>
      <c r="W814" s="1"/>
      <c r="X814" s="1"/>
      <c r="Y814" s="1"/>
      <c r="Z814" s="1"/>
    </row>
    <row r="815" spans="1:26" ht="24.75" customHeight="1">
      <c r="A815" s="1"/>
      <c r="B815" s="1"/>
      <c r="C815" s="1"/>
      <c r="D815" s="1"/>
      <c r="E815" s="1"/>
      <c r="F815" s="1"/>
      <c r="G815" s="1"/>
      <c r="H815" s="1"/>
      <c r="I815" s="1"/>
      <c r="J815" s="1"/>
      <c r="K815" s="1"/>
      <c r="L815" s="1"/>
      <c r="M815" s="1"/>
      <c r="N815" s="1"/>
      <c r="O815" s="1"/>
      <c r="P815" s="1"/>
      <c r="Q815" s="1"/>
      <c r="R815" s="1"/>
      <c r="S815" s="1"/>
      <c r="T815" s="1"/>
      <c r="U815" s="2"/>
      <c r="V815" s="1"/>
      <c r="W815" s="1"/>
      <c r="X815" s="1"/>
      <c r="Y815" s="1"/>
      <c r="Z815" s="1"/>
    </row>
    <row r="816" spans="1:26" ht="24.75" customHeight="1">
      <c r="A816" s="1"/>
      <c r="B816" s="1"/>
      <c r="C816" s="1"/>
      <c r="D816" s="1"/>
      <c r="E816" s="1"/>
      <c r="F816" s="1"/>
      <c r="G816" s="1"/>
      <c r="H816" s="1"/>
      <c r="I816" s="1"/>
      <c r="J816" s="1"/>
      <c r="K816" s="1"/>
      <c r="L816" s="1"/>
      <c r="M816" s="1"/>
      <c r="N816" s="1"/>
      <c r="O816" s="1"/>
      <c r="P816" s="1"/>
      <c r="Q816" s="1"/>
      <c r="R816" s="1"/>
      <c r="S816" s="1"/>
      <c r="T816" s="1"/>
      <c r="U816" s="2"/>
      <c r="V816" s="1"/>
      <c r="W816" s="1"/>
      <c r="X816" s="1"/>
      <c r="Y816" s="1"/>
      <c r="Z816" s="1"/>
    </row>
    <row r="817" spans="1:26" ht="24.75" customHeight="1">
      <c r="A817" s="1"/>
      <c r="B817" s="1"/>
      <c r="C817" s="1"/>
      <c r="D817" s="1"/>
      <c r="E817" s="1"/>
      <c r="F817" s="1"/>
      <c r="G817" s="1"/>
      <c r="H817" s="1"/>
      <c r="I817" s="1"/>
      <c r="J817" s="1"/>
      <c r="K817" s="1"/>
      <c r="L817" s="1"/>
      <c r="M817" s="1"/>
      <c r="N817" s="1"/>
      <c r="O817" s="1"/>
      <c r="P817" s="1"/>
      <c r="Q817" s="1"/>
      <c r="R817" s="1"/>
      <c r="S817" s="1"/>
      <c r="T817" s="1"/>
      <c r="U817" s="2"/>
      <c r="V817" s="1"/>
      <c r="W817" s="1"/>
      <c r="X817" s="1"/>
      <c r="Y817" s="1"/>
      <c r="Z817" s="1"/>
    </row>
    <row r="818" spans="1:26" ht="24.75" customHeight="1">
      <c r="A818" s="1"/>
      <c r="B818" s="1"/>
      <c r="C818" s="1"/>
      <c r="D818" s="1"/>
      <c r="E818" s="1"/>
      <c r="F818" s="1"/>
      <c r="G818" s="1"/>
      <c r="H818" s="1"/>
      <c r="I818" s="1"/>
      <c r="J818" s="1"/>
      <c r="K818" s="1"/>
      <c r="L818" s="1"/>
      <c r="M818" s="1"/>
      <c r="N818" s="1"/>
      <c r="O818" s="1"/>
      <c r="P818" s="1"/>
      <c r="Q818" s="1"/>
      <c r="R818" s="1"/>
      <c r="S818" s="1"/>
      <c r="T818" s="1"/>
      <c r="U818" s="2"/>
      <c r="V818" s="1"/>
      <c r="W818" s="1"/>
      <c r="X818" s="1"/>
      <c r="Y818" s="1"/>
      <c r="Z818" s="1"/>
    </row>
    <row r="819" spans="1:26" ht="24.75" customHeight="1">
      <c r="A819" s="1"/>
      <c r="B819" s="1"/>
      <c r="C819" s="1"/>
      <c r="D819" s="1"/>
      <c r="E819" s="1"/>
      <c r="F819" s="1"/>
      <c r="G819" s="1"/>
      <c r="H819" s="1"/>
      <c r="I819" s="1"/>
      <c r="J819" s="1"/>
      <c r="K819" s="1"/>
      <c r="L819" s="1"/>
      <c r="M819" s="1"/>
      <c r="N819" s="1"/>
      <c r="O819" s="1"/>
      <c r="P819" s="1"/>
      <c r="Q819" s="1"/>
      <c r="R819" s="1"/>
      <c r="S819" s="1"/>
      <c r="T819" s="1"/>
      <c r="U819" s="2"/>
      <c r="V819" s="1"/>
      <c r="W819" s="1"/>
      <c r="X819" s="1"/>
      <c r="Y819" s="1"/>
      <c r="Z819" s="1"/>
    </row>
    <row r="820" spans="1:26" ht="24.75" customHeight="1">
      <c r="A820" s="1"/>
      <c r="B820" s="1"/>
      <c r="C820" s="1"/>
      <c r="D820" s="1"/>
      <c r="E820" s="1"/>
      <c r="F820" s="1"/>
      <c r="G820" s="1"/>
      <c r="H820" s="1"/>
      <c r="I820" s="1"/>
      <c r="J820" s="1"/>
      <c r="K820" s="1"/>
      <c r="L820" s="1"/>
      <c r="M820" s="1"/>
      <c r="N820" s="1"/>
      <c r="O820" s="1"/>
      <c r="P820" s="1"/>
      <c r="Q820" s="1"/>
      <c r="R820" s="1"/>
      <c r="S820" s="1"/>
      <c r="T820" s="1"/>
      <c r="U820" s="2"/>
      <c r="V820" s="1"/>
      <c r="W820" s="1"/>
      <c r="X820" s="1"/>
      <c r="Y820" s="1"/>
      <c r="Z820" s="1"/>
    </row>
    <row r="821" spans="1:26" ht="24.75" customHeight="1">
      <c r="A821" s="1"/>
      <c r="B821" s="1"/>
      <c r="C821" s="1"/>
      <c r="D821" s="1"/>
      <c r="E821" s="1"/>
      <c r="F821" s="1"/>
      <c r="G821" s="1"/>
      <c r="H821" s="1"/>
      <c r="I821" s="1"/>
      <c r="J821" s="1"/>
      <c r="K821" s="1"/>
      <c r="L821" s="1"/>
      <c r="M821" s="1"/>
      <c r="N821" s="1"/>
      <c r="O821" s="1"/>
      <c r="P821" s="1"/>
      <c r="Q821" s="1"/>
      <c r="R821" s="1"/>
      <c r="S821" s="1"/>
      <c r="T821" s="1"/>
      <c r="U821" s="2"/>
      <c r="V821" s="1"/>
      <c r="W821" s="1"/>
      <c r="X821" s="1"/>
      <c r="Y821" s="1"/>
      <c r="Z821" s="1"/>
    </row>
    <row r="822" spans="1:26" ht="24.75" customHeight="1">
      <c r="A822" s="1"/>
      <c r="B822" s="1"/>
      <c r="C822" s="1"/>
      <c r="D822" s="1"/>
      <c r="E822" s="1"/>
      <c r="F822" s="1"/>
      <c r="G822" s="1"/>
      <c r="H822" s="1"/>
      <c r="I822" s="1"/>
      <c r="J822" s="1"/>
      <c r="K822" s="1"/>
      <c r="L822" s="1"/>
      <c r="M822" s="1"/>
      <c r="N822" s="1"/>
      <c r="O822" s="1"/>
      <c r="P822" s="1"/>
      <c r="Q822" s="1"/>
      <c r="R822" s="1"/>
      <c r="S822" s="1"/>
      <c r="T822" s="1"/>
      <c r="U822" s="2"/>
      <c r="V822" s="1"/>
      <c r="W822" s="1"/>
      <c r="X822" s="1"/>
      <c r="Y822" s="1"/>
      <c r="Z822" s="1"/>
    </row>
    <row r="823" spans="1:26" ht="24.75" customHeight="1">
      <c r="A823" s="1"/>
      <c r="B823" s="1"/>
      <c r="C823" s="1"/>
      <c r="D823" s="1"/>
      <c r="E823" s="1"/>
      <c r="F823" s="1"/>
      <c r="G823" s="1"/>
      <c r="H823" s="1"/>
      <c r="I823" s="1"/>
      <c r="J823" s="1"/>
      <c r="K823" s="1"/>
      <c r="L823" s="1"/>
      <c r="M823" s="1"/>
      <c r="N823" s="1"/>
      <c r="O823" s="1"/>
      <c r="P823" s="1"/>
      <c r="Q823" s="1"/>
      <c r="R823" s="1"/>
      <c r="S823" s="1"/>
      <c r="T823" s="1"/>
      <c r="U823" s="2"/>
      <c r="V823" s="1"/>
      <c r="W823" s="1"/>
      <c r="X823" s="1"/>
      <c r="Y823" s="1"/>
      <c r="Z823" s="1"/>
    </row>
    <row r="824" spans="1:26" ht="24.75" customHeight="1">
      <c r="A824" s="1"/>
      <c r="B824" s="1"/>
      <c r="C824" s="1"/>
      <c r="D824" s="1"/>
      <c r="E824" s="1"/>
      <c r="F824" s="1"/>
      <c r="G824" s="1"/>
      <c r="H824" s="1"/>
      <c r="I824" s="1"/>
      <c r="J824" s="1"/>
      <c r="K824" s="1"/>
      <c r="L824" s="1"/>
      <c r="M824" s="1"/>
      <c r="N824" s="1"/>
      <c r="O824" s="1"/>
      <c r="P824" s="1"/>
      <c r="Q824" s="1"/>
      <c r="R824" s="1"/>
      <c r="S824" s="1"/>
      <c r="T824" s="1"/>
      <c r="U824" s="2"/>
      <c r="V824" s="1"/>
      <c r="W824" s="1"/>
      <c r="X824" s="1"/>
      <c r="Y824" s="1"/>
      <c r="Z824" s="1"/>
    </row>
    <row r="825" spans="1:26" ht="24.75" customHeight="1">
      <c r="A825" s="1"/>
      <c r="B825" s="1"/>
      <c r="C825" s="1"/>
      <c r="D825" s="1"/>
      <c r="E825" s="1"/>
      <c r="F825" s="1"/>
      <c r="G825" s="1"/>
      <c r="H825" s="1"/>
      <c r="I825" s="1"/>
      <c r="J825" s="1"/>
      <c r="K825" s="1"/>
      <c r="L825" s="1"/>
      <c r="M825" s="1"/>
      <c r="N825" s="1"/>
      <c r="O825" s="1"/>
      <c r="P825" s="1"/>
      <c r="Q825" s="1"/>
      <c r="R825" s="1"/>
      <c r="S825" s="1"/>
      <c r="T825" s="1"/>
      <c r="U825" s="2"/>
      <c r="V825" s="1"/>
      <c r="W825" s="1"/>
      <c r="X825" s="1"/>
      <c r="Y825" s="1"/>
      <c r="Z825" s="1"/>
    </row>
    <row r="826" spans="1:26" ht="24.75" customHeight="1">
      <c r="A826" s="1"/>
      <c r="B826" s="1"/>
      <c r="C826" s="1"/>
      <c r="D826" s="1"/>
      <c r="E826" s="1"/>
      <c r="F826" s="1"/>
      <c r="G826" s="1"/>
      <c r="H826" s="1"/>
      <c r="I826" s="1"/>
      <c r="J826" s="1"/>
      <c r="K826" s="1"/>
      <c r="L826" s="1"/>
      <c r="M826" s="1"/>
      <c r="N826" s="1"/>
      <c r="O826" s="1"/>
      <c r="P826" s="1"/>
      <c r="Q826" s="1"/>
      <c r="R826" s="1"/>
      <c r="S826" s="1"/>
      <c r="T826" s="1"/>
      <c r="U826" s="2"/>
      <c r="V826" s="1"/>
      <c r="W826" s="1"/>
      <c r="X826" s="1"/>
      <c r="Y826" s="1"/>
      <c r="Z826" s="1"/>
    </row>
    <row r="827" spans="1:26" ht="24.75" customHeight="1">
      <c r="A827" s="1"/>
      <c r="B827" s="1"/>
      <c r="C827" s="1"/>
      <c r="D827" s="1"/>
      <c r="E827" s="1"/>
      <c r="F827" s="1"/>
      <c r="G827" s="1"/>
      <c r="H827" s="1"/>
      <c r="I827" s="1"/>
      <c r="J827" s="1"/>
      <c r="K827" s="1"/>
      <c r="L827" s="1"/>
      <c r="M827" s="1"/>
      <c r="N827" s="1"/>
      <c r="O827" s="1"/>
      <c r="P827" s="1"/>
      <c r="Q827" s="1"/>
      <c r="R827" s="1"/>
      <c r="S827" s="1"/>
      <c r="T827" s="1"/>
      <c r="U827" s="2"/>
      <c r="V827" s="1"/>
      <c r="W827" s="1"/>
      <c r="X827" s="1"/>
      <c r="Y827" s="1"/>
      <c r="Z827" s="1"/>
    </row>
    <row r="828" spans="1:26" ht="24.75" customHeight="1">
      <c r="A828" s="1"/>
      <c r="B828" s="1"/>
      <c r="C828" s="1"/>
      <c r="D828" s="1"/>
      <c r="E828" s="1"/>
      <c r="F828" s="1"/>
      <c r="G828" s="1"/>
      <c r="H828" s="1"/>
      <c r="I828" s="1"/>
      <c r="J828" s="1"/>
      <c r="K828" s="1"/>
      <c r="L828" s="1"/>
      <c r="M828" s="1"/>
      <c r="N828" s="1"/>
      <c r="O828" s="1"/>
      <c r="P828" s="1"/>
      <c r="Q828" s="1"/>
      <c r="R828" s="1"/>
      <c r="S828" s="1"/>
      <c r="T828" s="1"/>
      <c r="U828" s="2"/>
      <c r="V828" s="1"/>
      <c r="W828" s="1"/>
      <c r="X828" s="1"/>
      <c r="Y828" s="1"/>
      <c r="Z828" s="1"/>
    </row>
    <row r="829" spans="1:26" ht="24.75" customHeight="1">
      <c r="A829" s="1"/>
      <c r="B829" s="1"/>
      <c r="C829" s="1"/>
      <c r="D829" s="1"/>
      <c r="E829" s="1"/>
      <c r="F829" s="1"/>
      <c r="G829" s="1"/>
      <c r="H829" s="1"/>
      <c r="I829" s="1"/>
      <c r="J829" s="1"/>
      <c r="K829" s="1"/>
      <c r="L829" s="1"/>
      <c r="M829" s="1"/>
      <c r="N829" s="1"/>
      <c r="O829" s="1"/>
      <c r="P829" s="1"/>
      <c r="Q829" s="1"/>
      <c r="R829" s="1"/>
      <c r="S829" s="1"/>
      <c r="T829" s="1"/>
      <c r="U829" s="2"/>
      <c r="V829" s="1"/>
      <c r="W829" s="1"/>
      <c r="X829" s="1"/>
      <c r="Y829" s="1"/>
      <c r="Z829" s="1"/>
    </row>
    <row r="830" spans="1:26" ht="24.75" customHeight="1">
      <c r="A830" s="1"/>
      <c r="B830" s="1"/>
      <c r="C830" s="1"/>
      <c r="D830" s="1"/>
      <c r="E830" s="1"/>
      <c r="F830" s="1"/>
      <c r="G830" s="1"/>
      <c r="H830" s="1"/>
      <c r="I830" s="1"/>
      <c r="J830" s="1"/>
      <c r="K830" s="1"/>
      <c r="L830" s="1"/>
      <c r="M830" s="1"/>
      <c r="N830" s="1"/>
      <c r="O830" s="1"/>
      <c r="P830" s="1"/>
      <c r="Q830" s="1"/>
      <c r="R830" s="1"/>
      <c r="S830" s="1"/>
      <c r="T830" s="1"/>
      <c r="U830" s="2"/>
      <c r="V830" s="1"/>
      <c r="W830" s="1"/>
      <c r="X830" s="1"/>
      <c r="Y830" s="1"/>
      <c r="Z830" s="1"/>
    </row>
    <row r="831" spans="1:26" ht="24.75" customHeight="1">
      <c r="A831" s="1"/>
      <c r="B831" s="1"/>
      <c r="C831" s="1"/>
      <c r="D831" s="1"/>
      <c r="E831" s="1"/>
      <c r="F831" s="1"/>
      <c r="G831" s="1"/>
      <c r="H831" s="1"/>
      <c r="I831" s="1"/>
      <c r="J831" s="1"/>
      <c r="K831" s="1"/>
      <c r="L831" s="1"/>
      <c r="M831" s="1"/>
      <c r="N831" s="1"/>
      <c r="O831" s="1"/>
      <c r="P831" s="1"/>
      <c r="Q831" s="1"/>
      <c r="R831" s="1"/>
      <c r="S831" s="1"/>
      <c r="T831" s="1"/>
      <c r="U831" s="2"/>
      <c r="V831" s="1"/>
      <c r="W831" s="1"/>
      <c r="X831" s="1"/>
      <c r="Y831" s="1"/>
      <c r="Z831" s="1"/>
    </row>
    <row r="832" spans="1:26" ht="24.75" customHeight="1">
      <c r="A832" s="1"/>
      <c r="B832" s="1"/>
      <c r="C832" s="1"/>
      <c r="D832" s="1"/>
      <c r="E832" s="1"/>
      <c r="F832" s="1"/>
      <c r="G832" s="1"/>
      <c r="H832" s="1"/>
      <c r="I832" s="1"/>
      <c r="J832" s="1"/>
      <c r="K832" s="1"/>
      <c r="L832" s="1"/>
      <c r="M832" s="1"/>
      <c r="N832" s="1"/>
      <c r="O832" s="1"/>
      <c r="P832" s="1"/>
      <c r="Q832" s="1"/>
      <c r="R832" s="1"/>
      <c r="S832" s="1"/>
      <c r="T832" s="1"/>
      <c r="U832" s="2"/>
      <c r="V832" s="1"/>
      <c r="W832" s="1"/>
      <c r="X832" s="1"/>
      <c r="Y832" s="1"/>
      <c r="Z832" s="1"/>
    </row>
    <row r="833" spans="1:26" ht="24.75" customHeight="1">
      <c r="A833" s="1"/>
      <c r="B833" s="1"/>
      <c r="C833" s="1"/>
      <c r="D833" s="1"/>
      <c r="E833" s="1"/>
      <c r="F833" s="1"/>
      <c r="G833" s="1"/>
      <c r="H833" s="1"/>
      <c r="I833" s="1"/>
      <c r="J833" s="1"/>
      <c r="K833" s="1"/>
      <c r="L833" s="1"/>
      <c r="M833" s="1"/>
      <c r="N833" s="1"/>
      <c r="O833" s="1"/>
      <c r="P833" s="1"/>
      <c r="Q833" s="1"/>
      <c r="R833" s="1"/>
      <c r="S833" s="1"/>
      <c r="T833" s="1"/>
      <c r="U833" s="2"/>
      <c r="V833" s="1"/>
      <c r="W833" s="1"/>
      <c r="X833" s="1"/>
      <c r="Y833" s="1"/>
      <c r="Z833" s="1"/>
    </row>
    <row r="834" spans="1:26" ht="24.75" customHeight="1">
      <c r="A834" s="1"/>
      <c r="B834" s="1"/>
      <c r="C834" s="1"/>
      <c r="D834" s="1"/>
      <c r="E834" s="1"/>
      <c r="F834" s="1"/>
      <c r="G834" s="1"/>
      <c r="H834" s="1"/>
      <c r="I834" s="1"/>
      <c r="J834" s="1"/>
      <c r="K834" s="1"/>
      <c r="L834" s="1"/>
      <c r="M834" s="1"/>
      <c r="N834" s="1"/>
      <c r="O834" s="1"/>
      <c r="P834" s="1"/>
      <c r="Q834" s="1"/>
      <c r="R834" s="1"/>
      <c r="S834" s="1"/>
      <c r="T834" s="1"/>
      <c r="U834" s="2"/>
      <c r="V834" s="1"/>
      <c r="W834" s="1"/>
      <c r="X834" s="1"/>
      <c r="Y834" s="1"/>
      <c r="Z834" s="1"/>
    </row>
    <row r="835" spans="1:26" ht="24.75" customHeight="1">
      <c r="A835" s="1"/>
      <c r="B835" s="1"/>
      <c r="C835" s="1"/>
      <c r="D835" s="1"/>
      <c r="E835" s="1"/>
      <c r="F835" s="1"/>
      <c r="G835" s="1"/>
      <c r="H835" s="1"/>
      <c r="I835" s="1"/>
      <c r="J835" s="1"/>
      <c r="K835" s="1"/>
      <c r="L835" s="1"/>
      <c r="M835" s="1"/>
      <c r="N835" s="1"/>
      <c r="O835" s="1"/>
      <c r="P835" s="1"/>
      <c r="Q835" s="1"/>
      <c r="R835" s="1"/>
      <c r="S835" s="1"/>
      <c r="T835" s="1"/>
      <c r="U835" s="2"/>
      <c r="V835" s="1"/>
      <c r="W835" s="1"/>
      <c r="X835" s="1"/>
      <c r="Y835" s="1"/>
      <c r="Z835" s="1"/>
    </row>
    <row r="836" spans="1:26" ht="24.75" customHeight="1">
      <c r="A836" s="1"/>
      <c r="B836" s="1"/>
      <c r="C836" s="1"/>
      <c r="D836" s="1"/>
      <c r="E836" s="1"/>
      <c r="F836" s="1"/>
      <c r="G836" s="1"/>
      <c r="H836" s="1"/>
      <c r="I836" s="1"/>
      <c r="J836" s="1"/>
      <c r="K836" s="1"/>
      <c r="L836" s="1"/>
      <c r="M836" s="1"/>
      <c r="N836" s="1"/>
      <c r="O836" s="1"/>
      <c r="P836" s="1"/>
      <c r="Q836" s="1"/>
      <c r="R836" s="1"/>
      <c r="S836" s="1"/>
      <c r="T836" s="1"/>
      <c r="U836" s="2"/>
      <c r="V836" s="1"/>
      <c r="W836" s="1"/>
      <c r="X836" s="1"/>
      <c r="Y836" s="1"/>
      <c r="Z836" s="1"/>
    </row>
    <row r="837" spans="1:26" ht="24.75" customHeight="1">
      <c r="A837" s="1"/>
      <c r="B837" s="1"/>
      <c r="C837" s="1"/>
      <c r="D837" s="1"/>
      <c r="E837" s="1"/>
      <c r="F837" s="1"/>
      <c r="G837" s="1"/>
      <c r="H837" s="1"/>
      <c r="I837" s="1"/>
      <c r="J837" s="1"/>
      <c r="K837" s="1"/>
      <c r="L837" s="1"/>
      <c r="M837" s="1"/>
      <c r="N837" s="1"/>
      <c r="O837" s="1"/>
      <c r="P837" s="1"/>
      <c r="Q837" s="1"/>
      <c r="R837" s="1"/>
      <c r="S837" s="1"/>
      <c r="T837" s="1"/>
      <c r="U837" s="2"/>
      <c r="V837" s="1"/>
      <c r="W837" s="1"/>
      <c r="X837" s="1"/>
      <c r="Y837" s="1"/>
      <c r="Z837" s="1"/>
    </row>
    <row r="838" spans="1:26" ht="24.75" customHeight="1">
      <c r="A838" s="1"/>
      <c r="B838" s="1"/>
      <c r="C838" s="1"/>
      <c r="D838" s="1"/>
      <c r="E838" s="1"/>
      <c r="F838" s="1"/>
      <c r="G838" s="1"/>
      <c r="H838" s="1"/>
      <c r="I838" s="1"/>
      <c r="J838" s="1"/>
      <c r="K838" s="1"/>
      <c r="L838" s="1"/>
      <c r="M838" s="1"/>
      <c r="N838" s="1"/>
      <c r="O838" s="1"/>
      <c r="P838" s="1"/>
      <c r="Q838" s="1"/>
      <c r="R838" s="1"/>
      <c r="S838" s="1"/>
      <c r="T838" s="1"/>
      <c r="U838" s="2"/>
      <c r="V838" s="1"/>
      <c r="W838" s="1"/>
      <c r="X838" s="1"/>
      <c r="Y838" s="1"/>
      <c r="Z838" s="1"/>
    </row>
    <row r="839" spans="1:26" ht="24.75" customHeight="1">
      <c r="A839" s="1"/>
      <c r="B839" s="1"/>
      <c r="C839" s="1"/>
      <c r="D839" s="1"/>
      <c r="E839" s="1"/>
      <c r="F839" s="1"/>
      <c r="G839" s="1"/>
      <c r="H839" s="1"/>
      <c r="I839" s="1"/>
      <c r="J839" s="1"/>
      <c r="K839" s="1"/>
      <c r="L839" s="1"/>
      <c r="M839" s="1"/>
      <c r="N839" s="1"/>
      <c r="O839" s="1"/>
      <c r="P839" s="1"/>
      <c r="Q839" s="1"/>
      <c r="R839" s="1"/>
      <c r="S839" s="1"/>
      <c r="T839" s="1"/>
      <c r="U839" s="2"/>
      <c r="V839" s="1"/>
      <c r="W839" s="1"/>
      <c r="X839" s="1"/>
      <c r="Y839" s="1"/>
      <c r="Z839" s="1"/>
    </row>
    <row r="840" spans="1:26" ht="24.75" customHeight="1">
      <c r="A840" s="1"/>
      <c r="B840" s="1"/>
      <c r="C840" s="1"/>
      <c r="D840" s="1"/>
      <c r="E840" s="1"/>
      <c r="F840" s="1"/>
      <c r="G840" s="1"/>
      <c r="H840" s="1"/>
      <c r="I840" s="1"/>
      <c r="J840" s="1"/>
      <c r="K840" s="1"/>
      <c r="L840" s="1"/>
      <c r="M840" s="1"/>
      <c r="N840" s="1"/>
      <c r="O840" s="1"/>
      <c r="P840" s="1"/>
      <c r="Q840" s="1"/>
      <c r="R840" s="1"/>
      <c r="S840" s="1"/>
      <c r="T840" s="1"/>
      <c r="U840" s="2"/>
      <c r="V840" s="1"/>
      <c r="W840" s="1"/>
      <c r="X840" s="1"/>
      <c r="Y840" s="1"/>
      <c r="Z840" s="1"/>
    </row>
    <row r="841" spans="1:26" ht="24.75" customHeight="1">
      <c r="A841" s="1"/>
      <c r="B841" s="1"/>
      <c r="C841" s="1"/>
      <c r="D841" s="1"/>
      <c r="E841" s="1"/>
      <c r="F841" s="1"/>
      <c r="G841" s="1"/>
      <c r="H841" s="1"/>
      <c r="I841" s="1"/>
      <c r="J841" s="1"/>
      <c r="K841" s="1"/>
      <c r="L841" s="1"/>
      <c r="M841" s="1"/>
      <c r="N841" s="1"/>
      <c r="O841" s="1"/>
      <c r="P841" s="1"/>
      <c r="Q841" s="1"/>
      <c r="R841" s="1"/>
      <c r="S841" s="1"/>
      <c r="T841" s="1"/>
      <c r="U841" s="2"/>
      <c r="V841" s="1"/>
      <c r="W841" s="1"/>
      <c r="X841" s="1"/>
      <c r="Y841" s="1"/>
      <c r="Z841" s="1"/>
    </row>
    <row r="842" spans="1:26" ht="24.75" customHeight="1">
      <c r="A842" s="1"/>
      <c r="B842" s="1"/>
      <c r="C842" s="1"/>
      <c r="D842" s="1"/>
      <c r="E842" s="1"/>
      <c r="F842" s="1"/>
      <c r="G842" s="1"/>
      <c r="H842" s="1"/>
      <c r="I842" s="1"/>
      <c r="J842" s="1"/>
      <c r="K842" s="1"/>
      <c r="L842" s="1"/>
      <c r="M842" s="1"/>
      <c r="N842" s="1"/>
      <c r="O842" s="1"/>
      <c r="P842" s="1"/>
      <c r="Q842" s="1"/>
      <c r="R842" s="1"/>
      <c r="S842" s="1"/>
      <c r="T842" s="1"/>
      <c r="U842" s="2"/>
      <c r="V842" s="1"/>
      <c r="W842" s="1"/>
      <c r="X842" s="1"/>
      <c r="Y842" s="1"/>
      <c r="Z842" s="1"/>
    </row>
    <row r="843" spans="1:26" ht="24.75" customHeight="1">
      <c r="A843" s="1"/>
      <c r="B843" s="1"/>
      <c r="C843" s="1"/>
      <c r="D843" s="1"/>
      <c r="E843" s="1"/>
      <c r="F843" s="1"/>
      <c r="G843" s="1"/>
      <c r="H843" s="1"/>
      <c r="I843" s="1"/>
      <c r="J843" s="1"/>
      <c r="K843" s="1"/>
      <c r="L843" s="1"/>
      <c r="M843" s="1"/>
      <c r="N843" s="1"/>
      <c r="O843" s="1"/>
      <c r="P843" s="1"/>
      <c r="Q843" s="1"/>
      <c r="R843" s="1"/>
      <c r="S843" s="1"/>
      <c r="T843" s="1"/>
      <c r="U843" s="2"/>
      <c r="V843" s="1"/>
      <c r="W843" s="1"/>
      <c r="X843" s="1"/>
      <c r="Y843" s="1"/>
      <c r="Z843" s="1"/>
    </row>
    <row r="844" spans="1:26" ht="24.75" customHeight="1">
      <c r="A844" s="1"/>
      <c r="B844" s="1"/>
      <c r="C844" s="1"/>
      <c r="D844" s="1"/>
      <c r="E844" s="1"/>
      <c r="F844" s="1"/>
      <c r="G844" s="1"/>
      <c r="H844" s="1"/>
      <c r="I844" s="1"/>
      <c r="J844" s="1"/>
      <c r="K844" s="1"/>
      <c r="L844" s="1"/>
      <c r="M844" s="1"/>
      <c r="N844" s="1"/>
      <c r="O844" s="1"/>
      <c r="P844" s="1"/>
      <c r="Q844" s="1"/>
      <c r="R844" s="1"/>
      <c r="S844" s="1"/>
      <c r="T844" s="1"/>
      <c r="U844" s="2"/>
      <c r="V844" s="1"/>
      <c r="W844" s="1"/>
      <c r="X844" s="1"/>
      <c r="Y844" s="1"/>
      <c r="Z844" s="1"/>
    </row>
    <row r="845" spans="1:26" ht="24.75" customHeight="1">
      <c r="A845" s="1"/>
      <c r="B845" s="1"/>
      <c r="C845" s="1"/>
      <c r="D845" s="1"/>
      <c r="E845" s="1"/>
      <c r="F845" s="1"/>
      <c r="G845" s="1"/>
      <c r="H845" s="1"/>
      <c r="I845" s="1"/>
      <c r="J845" s="1"/>
      <c r="K845" s="1"/>
      <c r="L845" s="1"/>
      <c r="M845" s="1"/>
      <c r="N845" s="1"/>
      <c r="O845" s="1"/>
      <c r="P845" s="1"/>
      <c r="Q845" s="1"/>
      <c r="R845" s="1"/>
      <c r="S845" s="1"/>
      <c r="T845" s="1"/>
      <c r="U845" s="2"/>
      <c r="V845" s="1"/>
      <c r="W845" s="1"/>
      <c r="X845" s="1"/>
      <c r="Y845" s="1"/>
      <c r="Z845" s="1"/>
    </row>
    <row r="846" spans="1:26" ht="24.75" customHeight="1">
      <c r="A846" s="1"/>
      <c r="B846" s="1"/>
      <c r="C846" s="1"/>
      <c r="D846" s="1"/>
      <c r="E846" s="1"/>
      <c r="F846" s="1"/>
      <c r="G846" s="1"/>
      <c r="H846" s="1"/>
      <c r="I846" s="1"/>
      <c r="J846" s="1"/>
      <c r="K846" s="1"/>
      <c r="L846" s="1"/>
      <c r="M846" s="1"/>
      <c r="N846" s="1"/>
      <c r="O846" s="1"/>
      <c r="P846" s="1"/>
      <c r="Q846" s="1"/>
      <c r="R846" s="1"/>
      <c r="S846" s="1"/>
      <c r="T846" s="1"/>
      <c r="U846" s="2"/>
      <c r="V846" s="1"/>
      <c r="W846" s="1"/>
      <c r="X846" s="1"/>
      <c r="Y846" s="1"/>
      <c r="Z846" s="1"/>
    </row>
    <row r="847" spans="1:26" ht="24.75" customHeight="1">
      <c r="A847" s="1"/>
      <c r="B847" s="1"/>
      <c r="C847" s="1"/>
      <c r="D847" s="1"/>
      <c r="E847" s="1"/>
      <c r="F847" s="1"/>
      <c r="G847" s="1"/>
      <c r="H847" s="1"/>
      <c r="I847" s="1"/>
      <c r="J847" s="1"/>
      <c r="K847" s="1"/>
      <c r="L847" s="1"/>
      <c r="M847" s="1"/>
      <c r="N847" s="1"/>
      <c r="O847" s="1"/>
      <c r="P847" s="1"/>
      <c r="Q847" s="1"/>
      <c r="R847" s="1"/>
      <c r="S847" s="1"/>
      <c r="T847" s="1"/>
      <c r="U847" s="2"/>
      <c r="V847" s="1"/>
      <c r="W847" s="1"/>
      <c r="X847" s="1"/>
      <c r="Y847" s="1"/>
      <c r="Z847" s="1"/>
    </row>
    <row r="848" spans="1:26" ht="24.75" customHeight="1">
      <c r="A848" s="1"/>
      <c r="B848" s="1"/>
      <c r="C848" s="1"/>
      <c r="D848" s="1"/>
      <c r="E848" s="1"/>
      <c r="F848" s="1"/>
      <c r="G848" s="1"/>
      <c r="H848" s="1"/>
      <c r="I848" s="1"/>
      <c r="J848" s="1"/>
      <c r="K848" s="1"/>
      <c r="L848" s="1"/>
      <c r="M848" s="1"/>
      <c r="N848" s="1"/>
      <c r="O848" s="1"/>
      <c r="P848" s="1"/>
      <c r="Q848" s="1"/>
      <c r="R848" s="1"/>
      <c r="S848" s="1"/>
      <c r="T848" s="1"/>
      <c r="U848" s="2"/>
      <c r="V848" s="1"/>
      <c r="W848" s="1"/>
      <c r="X848" s="1"/>
      <c r="Y848" s="1"/>
      <c r="Z848" s="1"/>
    </row>
    <row r="849" spans="1:26" ht="24.75" customHeight="1">
      <c r="A849" s="1"/>
      <c r="B849" s="1"/>
      <c r="C849" s="1"/>
      <c r="D849" s="1"/>
      <c r="E849" s="1"/>
      <c r="F849" s="1"/>
      <c r="G849" s="1"/>
      <c r="H849" s="1"/>
      <c r="I849" s="1"/>
      <c r="J849" s="1"/>
      <c r="K849" s="1"/>
      <c r="L849" s="1"/>
      <c r="M849" s="1"/>
      <c r="N849" s="1"/>
      <c r="O849" s="1"/>
      <c r="P849" s="1"/>
      <c r="Q849" s="1"/>
      <c r="R849" s="1"/>
      <c r="S849" s="1"/>
      <c r="T849" s="1"/>
      <c r="U849" s="2"/>
      <c r="V849" s="1"/>
      <c r="W849" s="1"/>
      <c r="X849" s="1"/>
      <c r="Y849" s="1"/>
      <c r="Z849" s="1"/>
    </row>
    <row r="850" spans="1:26" ht="24.75" customHeight="1">
      <c r="A850" s="1"/>
      <c r="B850" s="1"/>
      <c r="C850" s="1"/>
      <c r="D850" s="1"/>
      <c r="E850" s="1"/>
      <c r="F850" s="1"/>
      <c r="G850" s="1"/>
      <c r="H850" s="1"/>
      <c r="I850" s="1"/>
      <c r="J850" s="1"/>
      <c r="K850" s="1"/>
      <c r="L850" s="1"/>
      <c r="M850" s="1"/>
      <c r="N850" s="1"/>
      <c r="O850" s="1"/>
      <c r="P850" s="1"/>
      <c r="Q850" s="1"/>
      <c r="R850" s="1"/>
      <c r="S850" s="1"/>
      <c r="T850" s="1"/>
      <c r="U850" s="2"/>
      <c r="V850" s="1"/>
      <c r="W850" s="1"/>
      <c r="X850" s="1"/>
      <c r="Y850" s="1"/>
      <c r="Z850" s="1"/>
    </row>
    <row r="851" spans="1:26" ht="24.75" customHeight="1">
      <c r="A851" s="1"/>
      <c r="B851" s="1"/>
      <c r="C851" s="1"/>
      <c r="D851" s="1"/>
      <c r="E851" s="1"/>
      <c r="F851" s="1"/>
      <c r="G851" s="1"/>
      <c r="H851" s="1"/>
      <c r="I851" s="1"/>
      <c r="J851" s="1"/>
      <c r="K851" s="1"/>
      <c r="L851" s="1"/>
      <c r="M851" s="1"/>
      <c r="N851" s="1"/>
      <c r="O851" s="1"/>
      <c r="P851" s="1"/>
      <c r="Q851" s="1"/>
      <c r="R851" s="1"/>
      <c r="S851" s="1"/>
      <c r="T851" s="1"/>
      <c r="U851" s="2"/>
      <c r="V851" s="1"/>
      <c r="W851" s="1"/>
      <c r="X851" s="1"/>
      <c r="Y851" s="1"/>
      <c r="Z851" s="1"/>
    </row>
    <row r="852" spans="1:26" ht="24.75" customHeight="1">
      <c r="A852" s="1"/>
      <c r="B852" s="1"/>
      <c r="C852" s="1"/>
      <c r="D852" s="1"/>
      <c r="E852" s="1"/>
      <c r="F852" s="1"/>
      <c r="G852" s="1"/>
      <c r="H852" s="1"/>
      <c r="I852" s="1"/>
      <c r="J852" s="1"/>
      <c r="K852" s="1"/>
      <c r="L852" s="1"/>
      <c r="M852" s="1"/>
      <c r="N852" s="1"/>
      <c r="O852" s="1"/>
      <c r="P852" s="1"/>
      <c r="Q852" s="1"/>
      <c r="R852" s="1"/>
      <c r="S852" s="1"/>
      <c r="T852" s="1"/>
      <c r="U852" s="2"/>
      <c r="V852" s="1"/>
      <c r="W852" s="1"/>
      <c r="X852" s="1"/>
      <c r="Y852" s="1"/>
      <c r="Z852" s="1"/>
    </row>
    <row r="853" spans="1:26" ht="24.75" customHeight="1">
      <c r="A853" s="1"/>
      <c r="B853" s="1"/>
      <c r="C853" s="1"/>
      <c r="D853" s="1"/>
      <c r="E853" s="1"/>
      <c r="F853" s="1"/>
      <c r="G853" s="1"/>
      <c r="H853" s="1"/>
      <c r="I853" s="1"/>
      <c r="J853" s="1"/>
      <c r="K853" s="1"/>
      <c r="L853" s="1"/>
      <c r="M853" s="1"/>
      <c r="N853" s="1"/>
      <c r="O853" s="1"/>
      <c r="P853" s="1"/>
      <c r="Q853" s="1"/>
      <c r="R853" s="1"/>
      <c r="S853" s="1"/>
      <c r="T853" s="1"/>
      <c r="U853" s="2"/>
      <c r="V853" s="1"/>
      <c r="W853" s="1"/>
      <c r="X853" s="1"/>
      <c r="Y853" s="1"/>
      <c r="Z853" s="1"/>
    </row>
    <row r="854" spans="1:26" ht="24.75" customHeight="1">
      <c r="A854" s="1"/>
      <c r="B854" s="1"/>
      <c r="C854" s="1"/>
      <c r="D854" s="1"/>
      <c r="E854" s="1"/>
      <c r="F854" s="1"/>
      <c r="G854" s="1"/>
      <c r="H854" s="1"/>
      <c r="I854" s="1"/>
      <c r="J854" s="1"/>
      <c r="K854" s="1"/>
      <c r="L854" s="1"/>
      <c r="M854" s="1"/>
      <c r="N854" s="1"/>
      <c r="O854" s="1"/>
      <c r="P854" s="1"/>
      <c r="Q854" s="1"/>
      <c r="R854" s="1"/>
      <c r="S854" s="1"/>
      <c r="T854" s="1"/>
      <c r="U854" s="2"/>
      <c r="V854" s="1"/>
      <c r="W854" s="1"/>
      <c r="X854" s="1"/>
      <c r="Y854" s="1"/>
      <c r="Z854" s="1"/>
    </row>
    <row r="855" spans="1:26" ht="24.75" customHeight="1">
      <c r="A855" s="1"/>
      <c r="B855" s="1"/>
      <c r="C855" s="1"/>
      <c r="D855" s="1"/>
      <c r="E855" s="1"/>
      <c r="F855" s="1"/>
      <c r="G855" s="1"/>
      <c r="H855" s="1"/>
      <c r="I855" s="1"/>
      <c r="J855" s="1"/>
      <c r="K855" s="1"/>
      <c r="L855" s="1"/>
      <c r="M855" s="1"/>
      <c r="N855" s="1"/>
      <c r="O855" s="1"/>
      <c r="P855" s="1"/>
      <c r="Q855" s="1"/>
      <c r="R855" s="1"/>
      <c r="S855" s="1"/>
      <c r="T855" s="1"/>
      <c r="U855" s="2"/>
      <c r="V855" s="1"/>
      <c r="W855" s="1"/>
      <c r="X855" s="1"/>
      <c r="Y855" s="1"/>
      <c r="Z855" s="1"/>
    </row>
    <row r="856" spans="1:26" ht="24.75" customHeight="1">
      <c r="A856" s="1"/>
      <c r="B856" s="1"/>
      <c r="C856" s="1"/>
      <c r="D856" s="1"/>
      <c r="E856" s="1"/>
      <c r="F856" s="1"/>
      <c r="G856" s="1"/>
      <c r="H856" s="1"/>
      <c r="I856" s="1"/>
      <c r="J856" s="1"/>
      <c r="K856" s="1"/>
      <c r="L856" s="1"/>
      <c r="M856" s="1"/>
      <c r="N856" s="1"/>
      <c r="O856" s="1"/>
      <c r="P856" s="1"/>
      <c r="Q856" s="1"/>
      <c r="R856" s="1"/>
      <c r="S856" s="1"/>
      <c r="T856" s="1"/>
      <c r="U856" s="2"/>
      <c r="V856" s="1"/>
      <c r="W856" s="1"/>
      <c r="X856" s="1"/>
      <c r="Y856" s="1"/>
      <c r="Z856" s="1"/>
    </row>
    <row r="857" spans="1:26" ht="24.75" customHeight="1">
      <c r="A857" s="1"/>
      <c r="B857" s="1"/>
      <c r="C857" s="1"/>
      <c r="D857" s="1"/>
      <c r="E857" s="1"/>
      <c r="F857" s="1"/>
      <c r="G857" s="1"/>
      <c r="H857" s="1"/>
      <c r="I857" s="1"/>
      <c r="J857" s="1"/>
      <c r="K857" s="1"/>
      <c r="L857" s="1"/>
      <c r="M857" s="1"/>
      <c r="N857" s="1"/>
      <c r="O857" s="1"/>
      <c r="P857" s="1"/>
      <c r="Q857" s="1"/>
      <c r="R857" s="1"/>
      <c r="S857" s="1"/>
      <c r="T857" s="1"/>
      <c r="U857" s="2"/>
      <c r="V857" s="1"/>
      <c r="W857" s="1"/>
      <c r="X857" s="1"/>
      <c r="Y857" s="1"/>
      <c r="Z857" s="1"/>
    </row>
    <row r="858" spans="1:26" ht="24.75" customHeight="1">
      <c r="A858" s="1"/>
      <c r="B858" s="1"/>
      <c r="C858" s="1"/>
      <c r="D858" s="1"/>
      <c r="E858" s="1"/>
      <c r="F858" s="1"/>
      <c r="G858" s="1"/>
      <c r="H858" s="1"/>
      <c r="I858" s="1"/>
      <c r="J858" s="1"/>
      <c r="K858" s="1"/>
      <c r="L858" s="1"/>
      <c r="M858" s="1"/>
      <c r="N858" s="1"/>
      <c r="O858" s="1"/>
      <c r="P858" s="1"/>
      <c r="Q858" s="1"/>
      <c r="R858" s="1"/>
      <c r="S858" s="1"/>
      <c r="T858" s="1"/>
      <c r="U858" s="2"/>
      <c r="V858" s="1"/>
      <c r="W858" s="1"/>
      <c r="X858" s="1"/>
      <c r="Y858" s="1"/>
      <c r="Z858" s="1"/>
    </row>
    <row r="859" spans="1:26" ht="24.75" customHeight="1">
      <c r="A859" s="1"/>
      <c r="B859" s="1"/>
      <c r="C859" s="1"/>
      <c r="D859" s="1"/>
      <c r="E859" s="1"/>
      <c r="F859" s="1"/>
      <c r="G859" s="1"/>
      <c r="H859" s="1"/>
      <c r="I859" s="1"/>
      <c r="J859" s="1"/>
      <c r="K859" s="1"/>
      <c r="L859" s="1"/>
      <c r="M859" s="1"/>
      <c r="N859" s="1"/>
      <c r="O859" s="1"/>
      <c r="P859" s="1"/>
      <c r="Q859" s="1"/>
      <c r="R859" s="1"/>
      <c r="S859" s="1"/>
      <c r="T859" s="1"/>
      <c r="U859" s="2"/>
      <c r="V859" s="1"/>
      <c r="W859" s="1"/>
      <c r="X859" s="1"/>
      <c r="Y859" s="1"/>
      <c r="Z859" s="1"/>
    </row>
    <row r="860" spans="1:26" ht="24.75" customHeight="1">
      <c r="A860" s="1"/>
      <c r="B860" s="1"/>
      <c r="C860" s="1"/>
      <c r="D860" s="1"/>
      <c r="E860" s="1"/>
      <c r="F860" s="1"/>
      <c r="G860" s="1"/>
      <c r="H860" s="1"/>
      <c r="I860" s="1"/>
      <c r="J860" s="1"/>
      <c r="K860" s="1"/>
      <c r="L860" s="1"/>
      <c r="M860" s="1"/>
      <c r="N860" s="1"/>
      <c r="O860" s="1"/>
      <c r="P860" s="1"/>
      <c r="Q860" s="1"/>
      <c r="R860" s="1"/>
      <c r="S860" s="1"/>
      <c r="T860" s="1"/>
      <c r="U860" s="2"/>
      <c r="V860" s="1"/>
      <c r="W860" s="1"/>
      <c r="X860" s="1"/>
      <c r="Y860" s="1"/>
      <c r="Z860" s="1"/>
    </row>
    <row r="861" spans="1:26" ht="24.75" customHeight="1">
      <c r="A861" s="1"/>
      <c r="B861" s="1"/>
      <c r="C861" s="1"/>
      <c r="D861" s="1"/>
      <c r="E861" s="1"/>
      <c r="F861" s="1"/>
      <c r="G861" s="1"/>
      <c r="H861" s="1"/>
      <c r="I861" s="1"/>
      <c r="J861" s="1"/>
      <c r="K861" s="1"/>
      <c r="L861" s="1"/>
      <c r="M861" s="1"/>
      <c r="N861" s="1"/>
      <c r="O861" s="1"/>
      <c r="P861" s="1"/>
      <c r="Q861" s="1"/>
      <c r="R861" s="1"/>
      <c r="S861" s="1"/>
      <c r="T861" s="1"/>
      <c r="U861" s="2"/>
      <c r="V861" s="1"/>
      <c r="W861" s="1"/>
      <c r="X861" s="1"/>
      <c r="Y861" s="1"/>
      <c r="Z861" s="1"/>
    </row>
    <row r="862" spans="1:26" ht="24.75" customHeight="1">
      <c r="A862" s="1"/>
      <c r="B862" s="1"/>
      <c r="C862" s="1"/>
      <c r="D862" s="1"/>
      <c r="E862" s="1"/>
      <c r="F862" s="1"/>
      <c r="G862" s="1"/>
      <c r="H862" s="1"/>
      <c r="I862" s="1"/>
      <c r="J862" s="1"/>
      <c r="K862" s="1"/>
      <c r="L862" s="1"/>
      <c r="M862" s="1"/>
      <c r="N862" s="1"/>
      <c r="O862" s="1"/>
      <c r="P862" s="1"/>
      <c r="Q862" s="1"/>
      <c r="R862" s="1"/>
      <c r="S862" s="1"/>
      <c r="T862" s="1"/>
      <c r="U862" s="2"/>
      <c r="V862" s="1"/>
      <c r="W862" s="1"/>
      <c r="X862" s="1"/>
      <c r="Y862" s="1"/>
      <c r="Z862" s="1"/>
    </row>
    <row r="863" spans="1:26" ht="24.75" customHeight="1">
      <c r="A863" s="1"/>
      <c r="B863" s="1"/>
      <c r="C863" s="1"/>
      <c r="D863" s="1"/>
      <c r="E863" s="1"/>
      <c r="F863" s="1"/>
      <c r="G863" s="1"/>
      <c r="H863" s="1"/>
      <c r="I863" s="1"/>
      <c r="J863" s="1"/>
      <c r="K863" s="1"/>
      <c r="L863" s="1"/>
      <c r="M863" s="1"/>
      <c r="N863" s="1"/>
      <c r="O863" s="1"/>
      <c r="P863" s="1"/>
      <c r="Q863" s="1"/>
      <c r="R863" s="1"/>
      <c r="S863" s="1"/>
      <c r="T863" s="1"/>
      <c r="U863" s="2"/>
      <c r="V863" s="1"/>
      <c r="W863" s="1"/>
      <c r="X863" s="1"/>
      <c r="Y863" s="1"/>
      <c r="Z863" s="1"/>
    </row>
    <row r="864" spans="1:26" ht="24.75" customHeight="1">
      <c r="A864" s="1"/>
      <c r="B864" s="1"/>
      <c r="C864" s="1"/>
      <c r="D864" s="1"/>
      <c r="E864" s="1"/>
      <c r="F864" s="1"/>
      <c r="G864" s="1"/>
      <c r="H864" s="1"/>
      <c r="I864" s="1"/>
      <c r="J864" s="1"/>
      <c r="K864" s="1"/>
      <c r="L864" s="1"/>
      <c r="M864" s="1"/>
      <c r="N864" s="1"/>
      <c r="O864" s="1"/>
      <c r="P864" s="1"/>
      <c r="Q864" s="1"/>
      <c r="R864" s="1"/>
      <c r="S864" s="1"/>
      <c r="T864" s="1"/>
      <c r="U864" s="2"/>
      <c r="V864" s="1"/>
      <c r="W864" s="1"/>
      <c r="X864" s="1"/>
      <c r="Y864" s="1"/>
      <c r="Z864" s="1"/>
    </row>
    <row r="865" spans="1:26" ht="24.75" customHeight="1">
      <c r="A865" s="1"/>
      <c r="B865" s="1"/>
      <c r="C865" s="1"/>
      <c r="D865" s="1"/>
      <c r="E865" s="1"/>
      <c r="F865" s="1"/>
      <c r="G865" s="1"/>
      <c r="H865" s="1"/>
      <c r="I865" s="1"/>
      <c r="J865" s="1"/>
      <c r="K865" s="1"/>
      <c r="L865" s="1"/>
      <c r="M865" s="1"/>
      <c r="N865" s="1"/>
      <c r="O865" s="1"/>
      <c r="P865" s="1"/>
      <c r="Q865" s="1"/>
      <c r="R865" s="1"/>
      <c r="S865" s="1"/>
      <c r="T865" s="1"/>
      <c r="U865" s="2"/>
      <c r="V865" s="1"/>
      <c r="W865" s="1"/>
      <c r="X865" s="1"/>
      <c r="Y865" s="1"/>
      <c r="Z865" s="1"/>
    </row>
    <row r="866" spans="1:26" ht="24.75" customHeight="1">
      <c r="A866" s="1"/>
      <c r="B866" s="1"/>
      <c r="C866" s="1"/>
      <c r="D866" s="1"/>
      <c r="E866" s="1"/>
      <c r="F866" s="1"/>
      <c r="G866" s="1"/>
      <c r="H866" s="1"/>
      <c r="I866" s="1"/>
      <c r="J866" s="1"/>
      <c r="K866" s="1"/>
      <c r="L866" s="1"/>
      <c r="M866" s="1"/>
      <c r="N866" s="1"/>
      <c r="O866" s="1"/>
      <c r="P866" s="1"/>
      <c r="Q866" s="1"/>
      <c r="R866" s="1"/>
      <c r="S866" s="1"/>
      <c r="T866" s="1"/>
      <c r="U866" s="2"/>
      <c r="V866" s="1"/>
      <c r="W866" s="1"/>
      <c r="X866" s="1"/>
      <c r="Y866" s="1"/>
      <c r="Z866" s="1"/>
    </row>
    <row r="867" spans="1:26" ht="24.75" customHeight="1">
      <c r="A867" s="1"/>
      <c r="B867" s="1"/>
      <c r="C867" s="1"/>
      <c r="D867" s="1"/>
      <c r="E867" s="1"/>
      <c r="F867" s="1"/>
      <c r="G867" s="1"/>
      <c r="H867" s="1"/>
      <c r="I867" s="1"/>
      <c r="J867" s="1"/>
      <c r="K867" s="1"/>
      <c r="L867" s="1"/>
      <c r="M867" s="1"/>
      <c r="N867" s="1"/>
      <c r="O867" s="1"/>
      <c r="P867" s="1"/>
      <c r="Q867" s="1"/>
      <c r="R867" s="1"/>
      <c r="S867" s="1"/>
      <c r="T867" s="1"/>
      <c r="U867" s="2"/>
      <c r="V867" s="1"/>
      <c r="W867" s="1"/>
      <c r="X867" s="1"/>
      <c r="Y867" s="1"/>
      <c r="Z867" s="1"/>
    </row>
    <row r="868" spans="1:26" ht="24.75" customHeight="1">
      <c r="A868" s="1"/>
      <c r="B868" s="1"/>
      <c r="C868" s="1"/>
      <c r="D868" s="1"/>
      <c r="E868" s="1"/>
      <c r="F868" s="1"/>
      <c r="G868" s="1"/>
      <c r="H868" s="1"/>
      <c r="I868" s="1"/>
      <c r="J868" s="1"/>
      <c r="K868" s="1"/>
      <c r="L868" s="1"/>
      <c r="M868" s="1"/>
      <c r="N868" s="1"/>
      <c r="O868" s="1"/>
      <c r="P868" s="1"/>
      <c r="Q868" s="1"/>
      <c r="R868" s="1"/>
      <c r="S868" s="1"/>
      <c r="T868" s="1"/>
      <c r="U868" s="2"/>
      <c r="V868" s="1"/>
      <c r="W868" s="1"/>
      <c r="X868" s="1"/>
      <c r="Y868" s="1"/>
      <c r="Z868" s="1"/>
    </row>
    <row r="869" spans="1:26" ht="24.75" customHeight="1">
      <c r="A869" s="1"/>
      <c r="B869" s="1"/>
      <c r="C869" s="1"/>
      <c r="D869" s="1"/>
      <c r="E869" s="1"/>
      <c r="F869" s="1"/>
      <c r="G869" s="1"/>
      <c r="H869" s="1"/>
      <c r="I869" s="1"/>
      <c r="J869" s="1"/>
      <c r="K869" s="1"/>
      <c r="L869" s="1"/>
      <c r="M869" s="1"/>
      <c r="N869" s="1"/>
      <c r="O869" s="1"/>
      <c r="P869" s="1"/>
      <c r="Q869" s="1"/>
      <c r="R869" s="1"/>
      <c r="S869" s="1"/>
      <c r="T869" s="1"/>
      <c r="U869" s="2"/>
      <c r="V869" s="1"/>
      <c r="W869" s="1"/>
      <c r="X869" s="1"/>
      <c r="Y869" s="1"/>
      <c r="Z869" s="1"/>
    </row>
    <row r="870" spans="1:26" ht="24.75" customHeight="1">
      <c r="A870" s="1"/>
      <c r="B870" s="1"/>
      <c r="C870" s="1"/>
      <c r="D870" s="1"/>
      <c r="E870" s="1"/>
      <c r="F870" s="1"/>
      <c r="G870" s="1"/>
      <c r="H870" s="1"/>
      <c r="I870" s="1"/>
      <c r="J870" s="1"/>
      <c r="K870" s="1"/>
      <c r="L870" s="1"/>
      <c r="M870" s="1"/>
      <c r="N870" s="1"/>
      <c r="O870" s="1"/>
      <c r="P870" s="1"/>
      <c r="Q870" s="1"/>
      <c r="R870" s="1"/>
      <c r="S870" s="1"/>
      <c r="T870" s="1"/>
      <c r="U870" s="2"/>
      <c r="V870" s="1"/>
      <c r="W870" s="1"/>
      <c r="X870" s="1"/>
      <c r="Y870" s="1"/>
      <c r="Z870" s="1"/>
    </row>
    <row r="871" spans="1:26" ht="24.75" customHeight="1">
      <c r="A871" s="1"/>
      <c r="B871" s="1"/>
      <c r="C871" s="1"/>
      <c r="D871" s="1"/>
      <c r="E871" s="1"/>
      <c r="F871" s="1"/>
      <c r="G871" s="1"/>
      <c r="H871" s="1"/>
      <c r="I871" s="1"/>
      <c r="J871" s="1"/>
      <c r="K871" s="1"/>
      <c r="L871" s="1"/>
      <c r="M871" s="1"/>
      <c r="N871" s="1"/>
      <c r="O871" s="1"/>
      <c r="P871" s="1"/>
      <c r="Q871" s="1"/>
      <c r="R871" s="1"/>
      <c r="S871" s="1"/>
      <c r="T871" s="1"/>
      <c r="U871" s="2"/>
      <c r="V871" s="1"/>
      <c r="W871" s="1"/>
      <c r="X871" s="1"/>
      <c r="Y871" s="1"/>
      <c r="Z871" s="1"/>
    </row>
    <row r="872" spans="1:26" ht="24.75" customHeight="1">
      <c r="A872" s="1"/>
      <c r="B872" s="1"/>
      <c r="C872" s="1"/>
      <c r="D872" s="1"/>
      <c r="E872" s="1"/>
      <c r="F872" s="1"/>
      <c r="G872" s="1"/>
      <c r="H872" s="1"/>
      <c r="I872" s="1"/>
      <c r="J872" s="1"/>
      <c r="K872" s="1"/>
      <c r="L872" s="1"/>
      <c r="M872" s="1"/>
      <c r="N872" s="1"/>
      <c r="O872" s="1"/>
      <c r="P872" s="1"/>
      <c r="Q872" s="1"/>
      <c r="R872" s="1"/>
      <c r="S872" s="1"/>
      <c r="T872" s="1"/>
      <c r="U872" s="2"/>
      <c r="V872" s="1"/>
      <c r="W872" s="1"/>
      <c r="X872" s="1"/>
      <c r="Y872" s="1"/>
      <c r="Z872" s="1"/>
    </row>
    <row r="873" spans="1:26" ht="24.75" customHeight="1">
      <c r="A873" s="1"/>
      <c r="B873" s="1"/>
      <c r="C873" s="1"/>
      <c r="D873" s="1"/>
      <c r="E873" s="1"/>
      <c r="F873" s="1"/>
      <c r="G873" s="1"/>
      <c r="H873" s="1"/>
      <c r="I873" s="1"/>
      <c r="J873" s="1"/>
      <c r="K873" s="1"/>
      <c r="L873" s="1"/>
      <c r="M873" s="1"/>
      <c r="N873" s="1"/>
      <c r="O873" s="1"/>
      <c r="P873" s="1"/>
      <c r="Q873" s="1"/>
      <c r="R873" s="1"/>
      <c r="S873" s="1"/>
      <c r="T873" s="1"/>
      <c r="U873" s="2"/>
      <c r="V873" s="1"/>
      <c r="W873" s="1"/>
      <c r="X873" s="1"/>
      <c r="Y873" s="1"/>
      <c r="Z873" s="1"/>
    </row>
    <row r="874" spans="1:26" ht="24.75" customHeight="1">
      <c r="A874" s="1"/>
      <c r="B874" s="1"/>
      <c r="C874" s="1"/>
      <c r="D874" s="1"/>
      <c r="E874" s="1"/>
      <c r="F874" s="1"/>
      <c r="G874" s="1"/>
      <c r="H874" s="1"/>
      <c r="I874" s="1"/>
      <c r="J874" s="1"/>
      <c r="K874" s="1"/>
      <c r="L874" s="1"/>
      <c r="M874" s="1"/>
      <c r="N874" s="1"/>
      <c r="O874" s="1"/>
      <c r="P874" s="1"/>
      <c r="Q874" s="1"/>
      <c r="R874" s="1"/>
      <c r="S874" s="1"/>
      <c r="T874" s="1"/>
      <c r="U874" s="2"/>
      <c r="V874" s="1"/>
      <c r="W874" s="1"/>
      <c r="X874" s="1"/>
      <c r="Y874" s="1"/>
      <c r="Z874" s="1"/>
    </row>
    <row r="875" spans="1:26" ht="24.75" customHeight="1">
      <c r="A875" s="1"/>
      <c r="B875" s="1"/>
      <c r="C875" s="1"/>
      <c r="D875" s="1"/>
      <c r="E875" s="1"/>
      <c r="F875" s="1"/>
      <c r="G875" s="1"/>
      <c r="H875" s="1"/>
      <c r="I875" s="1"/>
      <c r="J875" s="1"/>
      <c r="K875" s="1"/>
      <c r="L875" s="1"/>
      <c r="M875" s="1"/>
      <c r="N875" s="1"/>
      <c r="O875" s="1"/>
      <c r="P875" s="1"/>
      <c r="Q875" s="1"/>
      <c r="R875" s="1"/>
      <c r="S875" s="1"/>
      <c r="T875" s="1"/>
      <c r="U875" s="2"/>
      <c r="V875" s="1"/>
      <c r="W875" s="1"/>
      <c r="X875" s="1"/>
      <c r="Y875" s="1"/>
      <c r="Z875" s="1"/>
    </row>
    <row r="876" spans="1:26" ht="24.75" customHeight="1">
      <c r="A876" s="1"/>
      <c r="B876" s="1"/>
      <c r="C876" s="1"/>
      <c r="D876" s="1"/>
      <c r="E876" s="1"/>
      <c r="F876" s="1"/>
      <c r="G876" s="1"/>
      <c r="H876" s="1"/>
      <c r="I876" s="1"/>
      <c r="J876" s="1"/>
      <c r="K876" s="1"/>
      <c r="L876" s="1"/>
      <c r="M876" s="1"/>
      <c r="N876" s="1"/>
      <c r="O876" s="1"/>
      <c r="P876" s="1"/>
      <c r="Q876" s="1"/>
      <c r="R876" s="1"/>
      <c r="S876" s="1"/>
      <c r="T876" s="1"/>
      <c r="U876" s="2"/>
      <c r="V876" s="1"/>
      <c r="W876" s="1"/>
      <c r="X876" s="1"/>
      <c r="Y876" s="1"/>
      <c r="Z876" s="1"/>
    </row>
    <row r="877" spans="1:26" ht="24.75" customHeight="1">
      <c r="A877" s="1"/>
      <c r="B877" s="1"/>
      <c r="C877" s="1"/>
      <c r="D877" s="1"/>
      <c r="E877" s="1"/>
      <c r="F877" s="1"/>
      <c r="G877" s="1"/>
      <c r="H877" s="1"/>
      <c r="I877" s="1"/>
      <c r="J877" s="1"/>
      <c r="K877" s="1"/>
      <c r="L877" s="1"/>
      <c r="M877" s="1"/>
      <c r="N877" s="1"/>
      <c r="O877" s="1"/>
      <c r="P877" s="1"/>
      <c r="Q877" s="1"/>
      <c r="R877" s="1"/>
      <c r="S877" s="1"/>
      <c r="T877" s="1"/>
      <c r="U877" s="2"/>
      <c r="V877" s="1"/>
      <c r="W877" s="1"/>
      <c r="X877" s="1"/>
      <c r="Y877" s="1"/>
      <c r="Z877" s="1"/>
    </row>
    <row r="878" spans="1:26" ht="24.75" customHeight="1">
      <c r="A878" s="1"/>
      <c r="B878" s="1"/>
      <c r="C878" s="1"/>
      <c r="D878" s="1"/>
      <c r="E878" s="1"/>
      <c r="F878" s="1"/>
      <c r="G878" s="1"/>
      <c r="H878" s="1"/>
      <c r="I878" s="1"/>
      <c r="J878" s="1"/>
      <c r="K878" s="1"/>
      <c r="L878" s="1"/>
      <c r="M878" s="1"/>
      <c r="N878" s="1"/>
      <c r="O878" s="1"/>
      <c r="P878" s="1"/>
      <c r="Q878" s="1"/>
      <c r="R878" s="1"/>
      <c r="S878" s="1"/>
      <c r="T878" s="1"/>
      <c r="U878" s="2"/>
      <c r="V878" s="1"/>
      <c r="W878" s="1"/>
      <c r="X878" s="1"/>
      <c r="Y878" s="1"/>
      <c r="Z878" s="1"/>
    </row>
    <row r="879" spans="1:26" ht="24.75" customHeight="1">
      <c r="A879" s="1"/>
      <c r="B879" s="1"/>
      <c r="C879" s="1"/>
      <c r="D879" s="1"/>
      <c r="E879" s="1"/>
      <c r="F879" s="1"/>
      <c r="G879" s="1"/>
      <c r="H879" s="1"/>
      <c r="I879" s="1"/>
      <c r="J879" s="1"/>
      <c r="K879" s="1"/>
      <c r="L879" s="1"/>
      <c r="M879" s="1"/>
      <c r="N879" s="1"/>
      <c r="O879" s="1"/>
      <c r="P879" s="1"/>
      <c r="Q879" s="1"/>
      <c r="R879" s="1"/>
      <c r="S879" s="1"/>
      <c r="T879" s="1"/>
      <c r="U879" s="2"/>
      <c r="V879" s="1"/>
      <c r="W879" s="1"/>
      <c r="X879" s="1"/>
      <c r="Y879" s="1"/>
      <c r="Z879" s="1"/>
    </row>
    <row r="880" spans="1:26" ht="24.75" customHeight="1">
      <c r="A880" s="1"/>
      <c r="B880" s="1"/>
      <c r="C880" s="1"/>
      <c r="D880" s="1"/>
      <c r="E880" s="1"/>
      <c r="F880" s="1"/>
      <c r="G880" s="1"/>
      <c r="H880" s="1"/>
      <c r="I880" s="1"/>
      <c r="J880" s="1"/>
      <c r="K880" s="1"/>
      <c r="L880" s="1"/>
      <c r="M880" s="1"/>
      <c r="N880" s="1"/>
      <c r="O880" s="1"/>
      <c r="P880" s="1"/>
      <c r="Q880" s="1"/>
      <c r="R880" s="1"/>
      <c r="S880" s="1"/>
      <c r="T880" s="1"/>
      <c r="U880" s="2"/>
      <c r="V880" s="1"/>
      <c r="W880" s="1"/>
      <c r="X880" s="1"/>
      <c r="Y880" s="1"/>
      <c r="Z880" s="1"/>
    </row>
    <row r="881" spans="1:26" ht="24.75" customHeight="1">
      <c r="A881" s="1"/>
      <c r="B881" s="1"/>
      <c r="C881" s="1"/>
      <c r="D881" s="1"/>
      <c r="E881" s="1"/>
      <c r="F881" s="1"/>
      <c r="G881" s="1"/>
      <c r="H881" s="1"/>
      <c r="I881" s="1"/>
      <c r="J881" s="1"/>
      <c r="K881" s="1"/>
      <c r="L881" s="1"/>
      <c r="M881" s="1"/>
      <c r="N881" s="1"/>
      <c r="O881" s="1"/>
      <c r="P881" s="1"/>
      <c r="Q881" s="1"/>
      <c r="R881" s="1"/>
      <c r="S881" s="1"/>
      <c r="T881" s="1"/>
      <c r="U881" s="2"/>
      <c r="V881" s="1"/>
      <c r="W881" s="1"/>
      <c r="X881" s="1"/>
      <c r="Y881" s="1"/>
      <c r="Z881" s="1"/>
    </row>
    <row r="882" spans="1:26" ht="24.75" customHeight="1">
      <c r="A882" s="1"/>
      <c r="B882" s="1"/>
      <c r="C882" s="1"/>
      <c r="D882" s="1"/>
      <c r="E882" s="1"/>
      <c r="F882" s="1"/>
      <c r="G882" s="1"/>
      <c r="H882" s="1"/>
      <c r="I882" s="1"/>
      <c r="J882" s="1"/>
      <c r="K882" s="1"/>
      <c r="L882" s="1"/>
      <c r="M882" s="1"/>
      <c r="N882" s="1"/>
      <c r="O882" s="1"/>
      <c r="P882" s="1"/>
      <c r="Q882" s="1"/>
      <c r="R882" s="1"/>
      <c r="S882" s="1"/>
      <c r="T882" s="1"/>
      <c r="U882" s="2"/>
      <c r="V882" s="1"/>
      <c r="W882" s="1"/>
      <c r="X882" s="1"/>
      <c r="Y882" s="1"/>
      <c r="Z882" s="1"/>
    </row>
    <row r="883" spans="1:26" ht="24.75" customHeight="1">
      <c r="A883" s="1"/>
      <c r="B883" s="1"/>
      <c r="C883" s="1"/>
      <c r="D883" s="1"/>
      <c r="E883" s="1"/>
      <c r="F883" s="1"/>
      <c r="G883" s="1"/>
      <c r="H883" s="1"/>
      <c r="I883" s="1"/>
      <c r="J883" s="1"/>
      <c r="K883" s="1"/>
      <c r="L883" s="1"/>
      <c r="M883" s="1"/>
      <c r="N883" s="1"/>
      <c r="O883" s="1"/>
      <c r="P883" s="1"/>
      <c r="Q883" s="1"/>
      <c r="R883" s="1"/>
      <c r="S883" s="1"/>
      <c r="T883" s="1"/>
      <c r="U883" s="2"/>
      <c r="V883" s="1"/>
      <c r="W883" s="1"/>
      <c r="X883" s="1"/>
      <c r="Y883" s="1"/>
      <c r="Z883" s="1"/>
    </row>
    <row r="884" spans="1:26" ht="24.75" customHeight="1">
      <c r="A884" s="1"/>
      <c r="B884" s="1"/>
      <c r="C884" s="1"/>
      <c r="D884" s="1"/>
      <c r="E884" s="1"/>
      <c r="F884" s="1"/>
      <c r="G884" s="1"/>
      <c r="H884" s="1"/>
      <c r="I884" s="1"/>
      <c r="J884" s="1"/>
      <c r="K884" s="1"/>
      <c r="L884" s="1"/>
      <c r="M884" s="1"/>
      <c r="N884" s="1"/>
      <c r="O884" s="1"/>
      <c r="P884" s="1"/>
      <c r="Q884" s="1"/>
      <c r="R884" s="1"/>
      <c r="S884" s="1"/>
      <c r="T884" s="1"/>
      <c r="U884" s="2"/>
      <c r="V884" s="1"/>
      <c r="W884" s="1"/>
      <c r="X884" s="1"/>
      <c r="Y884" s="1"/>
      <c r="Z884" s="1"/>
    </row>
    <row r="885" spans="1:26" ht="24.75" customHeight="1">
      <c r="A885" s="1"/>
      <c r="B885" s="1"/>
      <c r="C885" s="1"/>
      <c r="D885" s="1"/>
      <c r="E885" s="1"/>
      <c r="F885" s="1"/>
      <c r="G885" s="1"/>
      <c r="H885" s="1"/>
      <c r="I885" s="1"/>
      <c r="J885" s="1"/>
      <c r="K885" s="1"/>
      <c r="L885" s="1"/>
      <c r="M885" s="1"/>
      <c r="N885" s="1"/>
      <c r="O885" s="1"/>
      <c r="P885" s="1"/>
      <c r="Q885" s="1"/>
      <c r="R885" s="1"/>
      <c r="S885" s="1"/>
      <c r="T885" s="1"/>
      <c r="U885" s="2"/>
      <c r="V885" s="1"/>
      <c r="W885" s="1"/>
      <c r="X885" s="1"/>
      <c r="Y885" s="1"/>
      <c r="Z885" s="1"/>
    </row>
    <row r="886" spans="1:26" ht="24.75" customHeight="1">
      <c r="A886" s="1"/>
      <c r="B886" s="1"/>
      <c r="C886" s="1"/>
      <c r="D886" s="1"/>
      <c r="E886" s="1"/>
      <c r="F886" s="1"/>
      <c r="G886" s="1"/>
      <c r="H886" s="1"/>
      <c r="I886" s="1"/>
      <c r="J886" s="1"/>
      <c r="K886" s="1"/>
      <c r="L886" s="1"/>
      <c r="M886" s="1"/>
      <c r="N886" s="1"/>
      <c r="O886" s="1"/>
      <c r="P886" s="1"/>
      <c r="Q886" s="1"/>
      <c r="R886" s="1"/>
      <c r="S886" s="1"/>
      <c r="T886" s="1"/>
      <c r="U886" s="2"/>
      <c r="V886" s="1"/>
      <c r="W886" s="1"/>
      <c r="X886" s="1"/>
      <c r="Y886" s="1"/>
      <c r="Z886" s="1"/>
    </row>
    <row r="887" spans="1:26" ht="24.75" customHeight="1">
      <c r="A887" s="1"/>
      <c r="B887" s="1"/>
      <c r="C887" s="1"/>
      <c r="D887" s="1"/>
      <c r="E887" s="1"/>
      <c r="F887" s="1"/>
      <c r="G887" s="1"/>
      <c r="H887" s="1"/>
      <c r="I887" s="1"/>
      <c r="J887" s="1"/>
      <c r="K887" s="1"/>
      <c r="L887" s="1"/>
      <c r="M887" s="1"/>
      <c r="N887" s="1"/>
      <c r="O887" s="1"/>
      <c r="P887" s="1"/>
      <c r="Q887" s="1"/>
      <c r="R887" s="1"/>
      <c r="S887" s="1"/>
      <c r="T887" s="1"/>
      <c r="U887" s="2"/>
      <c r="V887" s="1"/>
      <c r="W887" s="1"/>
      <c r="X887" s="1"/>
      <c r="Y887" s="1"/>
      <c r="Z887" s="1"/>
    </row>
    <row r="888" spans="1:26" ht="24.75" customHeight="1">
      <c r="A888" s="1"/>
      <c r="B888" s="1"/>
      <c r="C888" s="1"/>
      <c r="D888" s="1"/>
      <c r="E888" s="1"/>
      <c r="F888" s="1"/>
      <c r="G888" s="1"/>
      <c r="H888" s="1"/>
      <c r="I888" s="1"/>
      <c r="J888" s="1"/>
      <c r="K888" s="1"/>
      <c r="L888" s="1"/>
      <c r="M888" s="1"/>
      <c r="N888" s="1"/>
      <c r="O888" s="1"/>
      <c r="P888" s="1"/>
      <c r="Q888" s="1"/>
      <c r="R888" s="1"/>
      <c r="S888" s="1"/>
      <c r="T888" s="1"/>
      <c r="U888" s="2"/>
      <c r="V888" s="1"/>
      <c r="W888" s="1"/>
      <c r="X888" s="1"/>
      <c r="Y888" s="1"/>
      <c r="Z888" s="1"/>
    </row>
    <row r="889" spans="1:26" ht="24.75" customHeight="1">
      <c r="A889" s="1"/>
      <c r="B889" s="1"/>
      <c r="C889" s="1"/>
      <c r="D889" s="1"/>
      <c r="E889" s="1"/>
      <c r="F889" s="1"/>
      <c r="G889" s="1"/>
      <c r="H889" s="1"/>
      <c r="I889" s="1"/>
      <c r="J889" s="1"/>
      <c r="K889" s="1"/>
      <c r="L889" s="1"/>
      <c r="M889" s="1"/>
      <c r="N889" s="1"/>
      <c r="O889" s="1"/>
      <c r="P889" s="1"/>
      <c r="Q889" s="1"/>
      <c r="R889" s="1"/>
      <c r="S889" s="1"/>
      <c r="T889" s="1"/>
      <c r="U889" s="2"/>
      <c r="V889" s="1"/>
      <c r="W889" s="1"/>
      <c r="X889" s="1"/>
      <c r="Y889" s="1"/>
      <c r="Z889" s="1"/>
    </row>
    <row r="890" spans="1:26" ht="24.75" customHeight="1">
      <c r="A890" s="1"/>
      <c r="B890" s="1"/>
      <c r="C890" s="1"/>
      <c r="D890" s="1"/>
      <c r="E890" s="1"/>
      <c r="F890" s="1"/>
      <c r="G890" s="1"/>
      <c r="H890" s="1"/>
      <c r="I890" s="1"/>
      <c r="J890" s="1"/>
      <c r="K890" s="1"/>
      <c r="L890" s="1"/>
      <c r="M890" s="1"/>
      <c r="N890" s="1"/>
      <c r="O890" s="1"/>
      <c r="P890" s="1"/>
      <c r="Q890" s="1"/>
      <c r="R890" s="1"/>
      <c r="S890" s="1"/>
      <c r="T890" s="1"/>
      <c r="U890" s="2"/>
      <c r="V890" s="1"/>
      <c r="W890" s="1"/>
      <c r="X890" s="1"/>
      <c r="Y890" s="1"/>
      <c r="Z890" s="1"/>
    </row>
    <row r="891" spans="1:26" ht="24.75" customHeight="1">
      <c r="A891" s="1"/>
      <c r="B891" s="1"/>
      <c r="C891" s="1"/>
      <c r="D891" s="1"/>
      <c r="E891" s="1"/>
      <c r="F891" s="1"/>
      <c r="G891" s="1"/>
      <c r="H891" s="1"/>
      <c r="I891" s="1"/>
      <c r="J891" s="1"/>
      <c r="K891" s="1"/>
      <c r="L891" s="1"/>
      <c r="M891" s="1"/>
      <c r="N891" s="1"/>
      <c r="O891" s="1"/>
      <c r="P891" s="1"/>
      <c r="Q891" s="1"/>
      <c r="R891" s="1"/>
      <c r="S891" s="1"/>
      <c r="T891" s="1"/>
      <c r="U891" s="2"/>
      <c r="V891" s="1"/>
      <c r="W891" s="1"/>
      <c r="X891" s="1"/>
      <c r="Y891" s="1"/>
      <c r="Z891" s="1"/>
    </row>
    <row r="892" spans="1:26" ht="24.75" customHeight="1">
      <c r="A892" s="1"/>
      <c r="B892" s="1"/>
      <c r="C892" s="1"/>
      <c r="D892" s="1"/>
      <c r="E892" s="1"/>
      <c r="F892" s="1"/>
      <c r="G892" s="1"/>
      <c r="H892" s="1"/>
      <c r="I892" s="1"/>
      <c r="J892" s="1"/>
      <c r="K892" s="1"/>
      <c r="L892" s="1"/>
      <c r="M892" s="1"/>
      <c r="N892" s="1"/>
      <c r="O892" s="1"/>
      <c r="P892" s="1"/>
      <c r="Q892" s="1"/>
      <c r="R892" s="1"/>
      <c r="S892" s="1"/>
      <c r="T892" s="1"/>
      <c r="U892" s="2"/>
      <c r="V892" s="1"/>
      <c r="W892" s="1"/>
      <c r="X892" s="1"/>
      <c r="Y892" s="1"/>
      <c r="Z892" s="1"/>
    </row>
    <row r="893" spans="1:26" ht="24.75" customHeight="1">
      <c r="A893" s="1"/>
      <c r="B893" s="1"/>
      <c r="C893" s="1"/>
      <c r="D893" s="1"/>
      <c r="E893" s="1"/>
      <c r="F893" s="1"/>
      <c r="G893" s="1"/>
      <c r="H893" s="1"/>
      <c r="I893" s="1"/>
      <c r="J893" s="1"/>
      <c r="K893" s="1"/>
      <c r="L893" s="1"/>
      <c r="M893" s="1"/>
      <c r="N893" s="1"/>
      <c r="O893" s="1"/>
      <c r="P893" s="1"/>
      <c r="Q893" s="1"/>
      <c r="R893" s="1"/>
      <c r="S893" s="1"/>
      <c r="T893" s="1"/>
      <c r="U893" s="2"/>
      <c r="V893" s="1"/>
      <c r="W893" s="1"/>
      <c r="X893" s="1"/>
      <c r="Y893" s="1"/>
      <c r="Z893" s="1"/>
    </row>
    <row r="894" spans="1:26" ht="24.75" customHeight="1">
      <c r="A894" s="1"/>
      <c r="B894" s="1"/>
      <c r="C894" s="1"/>
      <c r="D894" s="1"/>
      <c r="E894" s="1"/>
      <c r="F894" s="1"/>
      <c r="G894" s="1"/>
      <c r="H894" s="1"/>
      <c r="I894" s="1"/>
      <c r="J894" s="1"/>
      <c r="K894" s="1"/>
      <c r="L894" s="1"/>
      <c r="M894" s="1"/>
      <c r="N894" s="1"/>
      <c r="O894" s="1"/>
      <c r="P894" s="1"/>
      <c r="Q894" s="1"/>
      <c r="R894" s="1"/>
      <c r="S894" s="1"/>
      <c r="T894" s="1"/>
      <c r="U894" s="2"/>
      <c r="V894" s="1"/>
      <c r="W894" s="1"/>
      <c r="X894" s="1"/>
      <c r="Y894" s="1"/>
      <c r="Z894" s="1"/>
    </row>
    <row r="895" spans="1:26" ht="24.75" customHeight="1">
      <c r="A895" s="1"/>
      <c r="B895" s="1"/>
      <c r="C895" s="1"/>
      <c r="D895" s="1"/>
      <c r="E895" s="1"/>
      <c r="F895" s="1"/>
      <c r="G895" s="1"/>
      <c r="H895" s="1"/>
      <c r="I895" s="1"/>
      <c r="J895" s="1"/>
      <c r="K895" s="1"/>
      <c r="L895" s="1"/>
      <c r="M895" s="1"/>
      <c r="N895" s="1"/>
      <c r="O895" s="1"/>
      <c r="P895" s="1"/>
      <c r="Q895" s="1"/>
      <c r="R895" s="1"/>
      <c r="S895" s="1"/>
      <c r="T895" s="1"/>
      <c r="U895" s="2"/>
      <c r="V895" s="1"/>
      <c r="W895" s="1"/>
      <c r="X895" s="1"/>
      <c r="Y895" s="1"/>
      <c r="Z895" s="1"/>
    </row>
    <row r="896" spans="1:26" ht="24.75" customHeight="1">
      <c r="A896" s="1"/>
      <c r="B896" s="1"/>
      <c r="C896" s="1"/>
      <c r="D896" s="1"/>
      <c r="E896" s="1"/>
      <c r="F896" s="1"/>
      <c r="G896" s="1"/>
      <c r="H896" s="1"/>
      <c r="I896" s="1"/>
      <c r="J896" s="1"/>
      <c r="K896" s="1"/>
      <c r="L896" s="1"/>
      <c r="M896" s="1"/>
      <c r="N896" s="1"/>
      <c r="O896" s="1"/>
      <c r="P896" s="1"/>
      <c r="Q896" s="1"/>
      <c r="R896" s="1"/>
      <c r="S896" s="1"/>
      <c r="T896" s="1"/>
      <c r="U896" s="2"/>
      <c r="V896" s="1"/>
      <c r="W896" s="1"/>
      <c r="X896" s="1"/>
      <c r="Y896" s="1"/>
      <c r="Z896" s="1"/>
    </row>
    <row r="897" spans="1:26" ht="24.75" customHeight="1">
      <c r="A897" s="1"/>
      <c r="B897" s="1"/>
      <c r="C897" s="1"/>
      <c r="D897" s="1"/>
      <c r="E897" s="1"/>
      <c r="F897" s="1"/>
      <c r="G897" s="1"/>
      <c r="H897" s="1"/>
      <c r="I897" s="1"/>
      <c r="J897" s="1"/>
      <c r="K897" s="1"/>
      <c r="L897" s="1"/>
      <c r="M897" s="1"/>
      <c r="N897" s="1"/>
      <c r="O897" s="1"/>
      <c r="P897" s="1"/>
      <c r="Q897" s="1"/>
      <c r="R897" s="1"/>
      <c r="S897" s="1"/>
      <c r="T897" s="1"/>
      <c r="U897" s="2"/>
      <c r="V897" s="1"/>
      <c r="W897" s="1"/>
      <c r="X897" s="1"/>
      <c r="Y897" s="1"/>
      <c r="Z897" s="1"/>
    </row>
    <row r="898" spans="1:26" ht="24.75" customHeight="1">
      <c r="A898" s="1"/>
      <c r="B898" s="1"/>
      <c r="C898" s="1"/>
      <c r="D898" s="1"/>
      <c r="E898" s="1"/>
      <c r="F898" s="1"/>
      <c r="G898" s="1"/>
      <c r="H898" s="1"/>
      <c r="I898" s="1"/>
      <c r="J898" s="1"/>
      <c r="K898" s="1"/>
      <c r="L898" s="1"/>
      <c r="M898" s="1"/>
      <c r="N898" s="1"/>
      <c r="O898" s="1"/>
      <c r="P898" s="1"/>
      <c r="Q898" s="1"/>
      <c r="R898" s="1"/>
      <c r="S898" s="1"/>
      <c r="T898" s="1"/>
      <c r="U898" s="2"/>
      <c r="V898" s="1"/>
      <c r="W898" s="1"/>
      <c r="X898" s="1"/>
      <c r="Y898" s="1"/>
      <c r="Z898" s="1"/>
    </row>
    <row r="899" spans="1:26" ht="24.75" customHeight="1">
      <c r="A899" s="1"/>
      <c r="B899" s="1"/>
      <c r="C899" s="1"/>
      <c r="D899" s="1"/>
      <c r="E899" s="1"/>
      <c r="F899" s="1"/>
      <c r="G899" s="1"/>
      <c r="H899" s="1"/>
      <c r="I899" s="1"/>
      <c r="J899" s="1"/>
      <c r="K899" s="1"/>
      <c r="L899" s="1"/>
      <c r="M899" s="1"/>
      <c r="N899" s="1"/>
      <c r="O899" s="1"/>
      <c r="P899" s="1"/>
      <c r="Q899" s="1"/>
      <c r="R899" s="1"/>
      <c r="S899" s="1"/>
      <c r="T899" s="1"/>
      <c r="U899" s="2"/>
      <c r="V899" s="1"/>
      <c r="W899" s="1"/>
      <c r="X899" s="1"/>
      <c r="Y899" s="1"/>
      <c r="Z899" s="1"/>
    </row>
    <row r="900" spans="1:26" ht="24.75" customHeight="1">
      <c r="A900" s="1"/>
      <c r="B900" s="1"/>
      <c r="C900" s="1"/>
      <c r="D900" s="1"/>
      <c r="E900" s="1"/>
      <c r="F900" s="1"/>
      <c r="G900" s="1"/>
      <c r="H900" s="1"/>
      <c r="I900" s="1"/>
      <c r="J900" s="1"/>
      <c r="K900" s="1"/>
      <c r="L900" s="1"/>
      <c r="M900" s="1"/>
      <c r="N900" s="1"/>
      <c r="O900" s="1"/>
      <c r="P900" s="1"/>
      <c r="Q900" s="1"/>
      <c r="R900" s="1"/>
      <c r="S900" s="1"/>
      <c r="T900" s="1"/>
      <c r="U900" s="2"/>
      <c r="V900" s="1"/>
      <c r="W900" s="1"/>
      <c r="X900" s="1"/>
      <c r="Y900" s="1"/>
      <c r="Z900" s="1"/>
    </row>
    <row r="901" spans="1:26" ht="24.75" customHeight="1">
      <c r="A901" s="1"/>
      <c r="B901" s="1"/>
      <c r="C901" s="1"/>
      <c r="D901" s="1"/>
      <c r="E901" s="1"/>
      <c r="F901" s="1"/>
      <c r="G901" s="1"/>
      <c r="H901" s="1"/>
      <c r="I901" s="1"/>
      <c r="J901" s="1"/>
      <c r="K901" s="1"/>
      <c r="L901" s="1"/>
      <c r="M901" s="1"/>
      <c r="N901" s="1"/>
      <c r="O901" s="1"/>
      <c r="P901" s="1"/>
      <c r="Q901" s="1"/>
      <c r="R901" s="1"/>
      <c r="S901" s="1"/>
      <c r="T901" s="1"/>
      <c r="U901" s="2"/>
      <c r="V901" s="1"/>
      <c r="W901" s="1"/>
      <c r="X901" s="1"/>
      <c r="Y901" s="1"/>
      <c r="Z901" s="1"/>
    </row>
    <row r="902" spans="1:26" ht="24.75" customHeight="1">
      <c r="A902" s="1"/>
      <c r="B902" s="1"/>
      <c r="C902" s="1"/>
      <c r="D902" s="1"/>
      <c r="E902" s="1"/>
      <c r="F902" s="1"/>
      <c r="G902" s="1"/>
      <c r="H902" s="1"/>
      <c r="I902" s="1"/>
      <c r="J902" s="1"/>
      <c r="K902" s="1"/>
      <c r="L902" s="1"/>
      <c r="M902" s="1"/>
      <c r="N902" s="1"/>
      <c r="O902" s="1"/>
      <c r="P902" s="1"/>
      <c r="Q902" s="1"/>
      <c r="R902" s="1"/>
      <c r="S902" s="1"/>
      <c r="T902" s="1"/>
      <c r="U902" s="2"/>
      <c r="V902" s="1"/>
      <c r="W902" s="1"/>
      <c r="X902" s="1"/>
      <c r="Y902" s="1"/>
      <c r="Z902" s="1"/>
    </row>
    <row r="903" spans="1:26" ht="24.75" customHeight="1">
      <c r="A903" s="1"/>
      <c r="B903" s="1"/>
      <c r="C903" s="1"/>
      <c r="D903" s="1"/>
      <c r="E903" s="1"/>
      <c r="F903" s="1"/>
      <c r="G903" s="1"/>
      <c r="H903" s="1"/>
      <c r="I903" s="1"/>
      <c r="J903" s="1"/>
      <c r="K903" s="1"/>
      <c r="L903" s="1"/>
      <c r="M903" s="1"/>
      <c r="N903" s="1"/>
      <c r="O903" s="1"/>
      <c r="P903" s="1"/>
      <c r="Q903" s="1"/>
      <c r="R903" s="1"/>
      <c r="S903" s="1"/>
      <c r="T903" s="1"/>
      <c r="U903" s="2"/>
      <c r="V903" s="1"/>
      <c r="W903" s="1"/>
      <c r="X903" s="1"/>
      <c r="Y903" s="1"/>
      <c r="Z903" s="1"/>
    </row>
    <row r="904" spans="1:26" ht="24.75" customHeight="1">
      <c r="A904" s="1"/>
      <c r="B904" s="1"/>
      <c r="C904" s="1"/>
      <c r="D904" s="1"/>
      <c r="E904" s="1"/>
      <c r="F904" s="1"/>
      <c r="G904" s="1"/>
      <c r="H904" s="1"/>
      <c r="I904" s="1"/>
      <c r="J904" s="1"/>
      <c r="K904" s="1"/>
      <c r="L904" s="1"/>
      <c r="M904" s="1"/>
      <c r="N904" s="1"/>
      <c r="O904" s="1"/>
      <c r="P904" s="1"/>
      <c r="Q904" s="1"/>
      <c r="R904" s="1"/>
      <c r="S904" s="1"/>
      <c r="T904" s="1"/>
      <c r="U904" s="2"/>
      <c r="V904" s="1"/>
      <c r="W904" s="1"/>
      <c r="X904" s="1"/>
      <c r="Y904" s="1"/>
      <c r="Z904" s="1"/>
    </row>
    <row r="905" spans="1:26" ht="24.75" customHeight="1">
      <c r="A905" s="1"/>
      <c r="B905" s="1"/>
      <c r="C905" s="1"/>
      <c r="D905" s="1"/>
      <c r="E905" s="1"/>
      <c r="F905" s="1"/>
      <c r="G905" s="1"/>
      <c r="H905" s="1"/>
      <c r="I905" s="1"/>
      <c r="J905" s="1"/>
      <c r="K905" s="1"/>
      <c r="L905" s="1"/>
      <c r="M905" s="1"/>
      <c r="N905" s="1"/>
      <c r="O905" s="1"/>
      <c r="P905" s="1"/>
      <c r="Q905" s="1"/>
      <c r="R905" s="1"/>
      <c r="S905" s="1"/>
      <c r="T905" s="1"/>
      <c r="U905" s="2"/>
      <c r="V905" s="1"/>
      <c r="W905" s="1"/>
      <c r="X905" s="1"/>
      <c r="Y905" s="1"/>
      <c r="Z905" s="1"/>
    </row>
    <row r="906" spans="1:26" ht="24.75" customHeight="1">
      <c r="A906" s="1"/>
      <c r="B906" s="1"/>
      <c r="C906" s="1"/>
      <c r="D906" s="1"/>
      <c r="E906" s="1"/>
      <c r="F906" s="1"/>
      <c r="G906" s="1"/>
      <c r="H906" s="1"/>
      <c r="I906" s="1"/>
      <c r="J906" s="1"/>
      <c r="K906" s="1"/>
      <c r="L906" s="1"/>
      <c r="M906" s="1"/>
      <c r="N906" s="1"/>
      <c r="O906" s="1"/>
      <c r="P906" s="1"/>
      <c r="Q906" s="1"/>
      <c r="R906" s="1"/>
      <c r="S906" s="1"/>
      <c r="T906" s="1"/>
      <c r="U906" s="2"/>
      <c r="V906" s="1"/>
      <c r="W906" s="1"/>
      <c r="X906" s="1"/>
      <c r="Y906" s="1"/>
      <c r="Z906" s="1"/>
    </row>
    <row r="907" spans="1:26" ht="24.75" customHeight="1">
      <c r="A907" s="1"/>
      <c r="B907" s="1"/>
      <c r="C907" s="1"/>
      <c r="D907" s="1"/>
      <c r="E907" s="1"/>
      <c r="F907" s="1"/>
      <c r="G907" s="1"/>
      <c r="H907" s="1"/>
      <c r="I907" s="1"/>
      <c r="J907" s="1"/>
      <c r="K907" s="1"/>
      <c r="L907" s="1"/>
      <c r="M907" s="1"/>
      <c r="N907" s="1"/>
      <c r="O907" s="1"/>
      <c r="P907" s="1"/>
      <c r="Q907" s="1"/>
      <c r="R907" s="1"/>
      <c r="S907" s="1"/>
      <c r="T907" s="1"/>
      <c r="U907" s="2"/>
      <c r="V907" s="1"/>
      <c r="W907" s="1"/>
      <c r="X907" s="1"/>
      <c r="Y907" s="1"/>
      <c r="Z907" s="1"/>
    </row>
    <row r="908" spans="1:26" ht="24.75" customHeight="1">
      <c r="A908" s="1"/>
      <c r="B908" s="1"/>
      <c r="C908" s="1"/>
      <c r="D908" s="1"/>
      <c r="E908" s="1"/>
      <c r="F908" s="1"/>
      <c r="G908" s="1"/>
      <c r="H908" s="1"/>
      <c r="I908" s="1"/>
      <c r="J908" s="1"/>
      <c r="K908" s="1"/>
      <c r="L908" s="1"/>
      <c r="M908" s="1"/>
      <c r="N908" s="1"/>
      <c r="O908" s="1"/>
      <c r="P908" s="1"/>
      <c r="Q908" s="1"/>
      <c r="R908" s="1"/>
      <c r="S908" s="1"/>
      <c r="T908" s="1"/>
      <c r="U908" s="2"/>
      <c r="V908" s="1"/>
      <c r="W908" s="1"/>
      <c r="X908" s="1"/>
      <c r="Y908" s="1"/>
      <c r="Z908" s="1"/>
    </row>
    <row r="909" spans="1:26" ht="24.75" customHeight="1">
      <c r="A909" s="1"/>
      <c r="B909" s="1"/>
      <c r="C909" s="1"/>
      <c r="D909" s="1"/>
      <c r="E909" s="1"/>
      <c r="F909" s="1"/>
      <c r="G909" s="1"/>
      <c r="H909" s="1"/>
      <c r="I909" s="1"/>
      <c r="J909" s="1"/>
      <c r="K909" s="1"/>
      <c r="L909" s="1"/>
      <c r="M909" s="1"/>
      <c r="N909" s="1"/>
      <c r="O909" s="1"/>
      <c r="P909" s="1"/>
      <c r="Q909" s="1"/>
      <c r="R909" s="1"/>
      <c r="S909" s="1"/>
      <c r="T909" s="1"/>
      <c r="U909" s="2"/>
      <c r="V909" s="1"/>
      <c r="W909" s="1"/>
      <c r="X909" s="1"/>
      <c r="Y909" s="1"/>
      <c r="Z909" s="1"/>
    </row>
    <row r="910" spans="1:26" ht="24.75" customHeight="1">
      <c r="A910" s="1"/>
      <c r="B910" s="1"/>
      <c r="C910" s="1"/>
      <c r="D910" s="1"/>
      <c r="E910" s="1"/>
      <c r="F910" s="1"/>
      <c r="G910" s="1"/>
      <c r="H910" s="1"/>
      <c r="I910" s="1"/>
      <c r="J910" s="1"/>
      <c r="K910" s="1"/>
      <c r="L910" s="1"/>
      <c r="M910" s="1"/>
      <c r="N910" s="1"/>
      <c r="O910" s="1"/>
      <c r="P910" s="1"/>
      <c r="Q910" s="1"/>
      <c r="R910" s="1"/>
      <c r="S910" s="1"/>
      <c r="T910" s="1"/>
      <c r="U910" s="2"/>
      <c r="V910" s="1"/>
      <c r="W910" s="1"/>
      <c r="X910" s="1"/>
      <c r="Y910" s="1"/>
      <c r="Z910" s="1"/>
    </row>
    <row r="911" spans="1:26" ht="24.75" customHeight="1">
      <c r="A911" s="1"/>
      <c r="B911" s="1"/>
      <c r="C911" s="1"/>
      <c r="D911" s="1"/>
      <c r="E911" s="1"/>
      <c r="F911" s="1"/>
      <c r="G911" s="1"/>
      <c r="H911" s="1"/>
      <c r="I911" s="1"/>
      <c r="J911" s="1"/>
      <c r="K911" s="1"/>
      <c r="L911" s="1"/>
      <c r="M911" s="1"/>
      <c r="N911" s="1"/>
      <c r="O911" s="1"/>
      <c r="P911" s="1"/>
      <c r="Q911" s="1"/>
      <c r="R911" s="1"/>
      <c r="S911" s="1"/>
      <c r="T911" s="1"/>
      <c r="U911" s="2"/>
      <c r="V911" s="1"/>
      <c r="W911" s="1"/>
      <c r="X911" s="1"/>
      <c r="Y911" s="1"/>
      <c r="Z911" s="1"/>
    </row>
    <row r="912" spans="1:26" ht="24.75" customHeight="1">
      <c r="A912" s="1"/>
      <c r="B912" s="1"/>
      <c r="C912" s="1"/>
      <c r="D912" s="1"/>
      <c r="E912" s="1"/>
      <c r="F912" s="1"/>
      <c r="G912" s="1"/>
      <c r="H912" s="1"/>
      <c r="I912" s="1"/>
      <c r="J912" s="1"/>
      <c r="K912" s="1"/>
      <c r="L912" s="1"/>
      <c r="M912" s="1"/>
      <c r="N912" s="1"/>
      <c r="O912" s="1"/>
      <c r="P912" s="1"/>
      <c r="Q912" s="1"/>
      <c r="R912" s="1"/>
      <c r="S912" s="1"/>
      <c r="T912" s="1"/>
      <c r="U912" s="2"/>
      <c r="V912" s="1"/>
      <c r="W912" s="1"/>
      <c r="X912" s="1"/>
      <c r="Y912" s="1"/>
      <c r="Z912" s="1"/>
    </row>
    <row r="913" spans="1:26" ht="24.75" customHeight="1">
      <c r="A913" s="1"/>
      <c r="B913" s="1"/>
      <c r="C913" s="1"/>
      <c r="D913" s="1"/>
      <c r="E913" s="1"/>
      <c r="F913" s="1"/>
      <c r="G913" s="1"/>
      <c r="H913" s="1"/>
      <c r="I913" s="1"/>
      <c r="J913" s="1"/>
      <c r="K913" s="1"/>
      <c r="L913" s="1"/>
      <c r="M913" s="1"/>
      <c r="N913" s="1"/>
      <c r="O913" s="1"/>
      <c r="P913" s="1"/>
      <c r="Q913" s="1"/>
      <c r="R913" s="1"/>
      <c r="S913" s="1"/>
      <c r="T913" s="1"/>
      <c r="U913" s="2"/>
      <c r="V913" s="1"/>
      <c r="W913" s="1"/>
      <c r="X913" s="1"/>
      <c r="Y913" s="1"/>
      <c r="Z913" s="1"/>
    </row>
    <row r="914" spans="1:26" ht="24.75" customHeight="1">
      <c r="A914" s="1"/>
      <c r="B914" s="1"/>
      <c r="C914" s="1"/>
      <c r="D914" s="1"/>
      <c r="E914" s="1"/>
      <c r="F914" s="1"/>
      <c r="G914" s="1"/>
      <c r="H914" s="1"/>
      <c r="I914" s="1"/>
      <c r="J914" s="1"/>
      <c r="K914" s="1"/>
      <c r="L914" s="1"/>
      <c r="M914" s="1"/>
      <c r="N914" s="1"/>
      <c r="O914" s="1"/>
      <c r="P914" s="1"/>
      <c r="Q914" s="1"/>
      <c r="R914" s="1"/>
      <c r="S914" s="1"/>
      <c r="T914" s="1"/>
      <c r="U914" s="2"/>
      <c r="V914" s="1"/>
      <c r="W914" s="1"/>
      <c r="X914" s="1"/>
      <c r="Y914" s="1"/>
      <c r="Z914" s="1"/>
    </row>
    <row r="915" spans="1:26" ht="24.75" customHeight="1">
      <c r="A915" s="1"/>
      <c r="B915" s="1"/>
      <c r="C915" s="1"/>
      <c r="D915" s="1"/>
      <c r="E915" s="1"/>
      <c r="F915" s="1"/>
      <c r="G915" s="1"/>
      <c r="H915" s="1"/>
      <c r="I915" s="1"/>
      <c r="J915" s="1"/>
      <c r="K915" s="1"/>
      <c r="L915" s="1"/>
      <c r="M915" s="1"/>
      <c r="N915" s="1"/>
      <c r="O915" s="1"/>
      <c r="P915" s="1"/>
      <c r="Q915" s="1"/>
      <c r="R915" s="1"/>
      <c r="S915" s="1"/>
      <c r="T915" s="1"/>
      <c r="U915" s="2"/>
      <c r="V915" s="1"/>
      <c r="W915" s="1"/>
      <c r="X915" s="1"/>
      <c r="Y915" s="1"/>
      <c r="Z915" s="1"/>
    </row>
    <row r="916" spans="1:26" ht="24.75" customHeight="1">
      <c r="A916" s="1"/>
      <c r="B916" s="1"/>
      <c r="C916" s="1"/>
      <c r="D916" s="1"/>
      <c r="E916" s="1"/>
      <c r="F916" s="1"/>
      <c r="G916" s="1"/>
      <c r="H916" s="1"/>
      <c r="I916" s="1"/>
      <c r="J916" s="1"/>
      <c r="K916" s="1"/>
      <c r="L916" s="1"/>
      <c r="M916" s="1"/>
      <c r="N916" s="1"/>
      <c r="O916" s="1"/>
      <c r="P916" s="1"/>
      <c r="Q916" s="1"/>
      <c r="R916" s="1"/>
      <c r="S916" s="1"/>
      <c r="T916" s="1"/>
      <c r="U916" s="2"/>
      <c r="V916" s="1"/>
      <c r="W916" s="1"/>
      <c r="X916" s="1"/>
      <c r="Y916" s="1"/>
      <c r="Z916" s="1"/>
    </row>
    <row r="917" spans="1:26" ht="24.75" customHeight="1">
      <c r="A917" s="1"/>
      <c r="B917" s="1"/>
      <c r="C917" s="1"/>
      <c r="D917" s="1"/>
      <c r="E917" s="1"/>
      <c r="F917" s="1"/>
      <c r="G917" s="1"/>
      <c r="H917" s="1"/>
      <c r="I917" s="1"/>
      <c r="J917" s="1"/>
      <c r="K917" s="1"/>
      <c r="L917" s="1"/>
      <c r="M917" s="1"/>
      <c r="N917" s="1"/>
      <c r="O917" s="1"/>
      <c r="P917" s="1"/>
      <c r="Q917" s="1"/>
      <c r="R917" s="1"/>
      <c r="S917" s="1"/>
      <c r="T917" s="1"/>
      <c r="U917" s="2"/>
      <c r="V917" s="1"/>
      <c r="W917" s="1"/>
      <c r="X917" s="1"/>
      <c r="Y917" s="1"/>
      <c r="Z917" s="1"/>
    </row>
    <row r="918" spans="1:26" ht="24.75" customHeight="1">
      <c r="A918" s="1"/>
      <c r="B918" s="1"/>
      <c r="C918" s="1"/>
      <c r="D918" s="1"/>
      <c r="E918" s="1"/>
      <c r="F918" s="1"/>
      <c r="G918" s="1"/>
      <c r="H918" s="1"/>
      <c r="I918" s="1"/>
      <c r="J918" s="1"/>
      <c r="K918" s="1"/>
      <c r="L918" s="1"/>
      <c r="M918" s="1"/>
      <c r="N918" s="1"/>
      <c r="O918" s="1"/>
      <c r="P918" s="1"/>
      <c r="Q918" s="1"/>
      <c r="R918" s="1"/>
      <c r="S918" s="1"/>
      <c r="T918" s="1"/>
      <c r="U918" s="2"/>
      <c r="V918" s="1"/>
      <c r="W918" s="1"/>
      <c r="X918" s="1"/>
      <c r="Y918" s="1"/>
      <c r="Z918" s="1"/>
    </row>
    <row r="919" spans="1:26" ht="24.75" customHeight="1">
      <c r="A919" s="1"/>
      <c r="B919" s="1"/>
      <c r="C919" s="1"/>
      <c r="D919" s="1"/>
      <c r="E919" s="1"/>
      <c r="F919" s="1"/>
      <c r="G919" s="1"/>
      <c r="H919" s="1"/>
      <c r="I919" s="1"/>
      <c r="J919" s="1"/>
      <c r="K919" s="1"/>
      <c r="L919" s="1"/>
      <c r="M919" s="1"/>
      <c r="N919" s="1"/>
      <c r="O919" s="1"/>
      <c r="P919" s="1"/>
      <c r="Q919" s="1"/>
      <c r="R919" s="1"/>
      <c r="S919" s="1"/>
      <c r="T919" s="1"/>
      <c r="U919" s="2"/>
      <c r="V919" s="1"/>
      <c r="W919" s="1"/>
      <c r="X919" s="1"/>
      <c r="Y919" s="1"/>
      <c r="Z919" s="1"/>
    </row>
    <row r="920" spans="1:26" ht="24.75" customHeight="1">
      <c r="A920" s="1"/>
      <c r="B920" s="1"/>
      <c r="C920" s="1"/>
      <c r="D920" s="1"/>
      <c r="E920" s="1"/>
      <c r="F920" s="1"/>
      <c r="G920" s="1"/>
      <c r="H920" s="1"/>
      <c r="I920" s="1"/>
      <c r="J920" s="1"/>
      <c r="K920" s="1"/>
      <c r="L920" s="1"/>
      <c r="M920" s="1"/>
      <c r="N920" s="1"/>
      <c r="O920" s="1"/>
      <c r="P920" s="1"/>
      <c r="Q920" s="1"/>
      <c r="R920" s="1"/>
      <c r="S920" s="1"/>
      <c r="T920" s="1"/>
      <c r="U920" s="2"/>
      <c r="V920" s="1"/>
      <c r="W920" s="1"/>
      <c r="X920" s="1"/>
      <c r="Y920" s="1"/>
      <c r="Z920" s="1"/>
    </row>
    <row r="921" spans="1:26" ht="24.75" customHeight="1">
      <c r="A921" s="1"/>
      <c r="B921" s="1"/>
      <c r="C921" s="1"/>
      <c r="D921" s="1"/>
      <c r="E921" s="1"/>
      <c r="F921" s="1"/>
      <c r="G921" s="1"/>
      <c r="H921" s="1"/>
      <c r="I921" s="1"/>
      <c r="J921" s="1"/>
      <c r="K921" s="1"/>
      <c r="L921" s="1"/>
      <c r="M921" s="1"/>
      <c r="N921" s="1"/>
      <c r="O921" s="1"/>
      <c r="P921" s="1"/>
      <c r="Q921" s="1"/>
      <c r="R921" s="1"/>
      <c r="S921" s="1"/>
      <c r="T921" s="1"/>
      <c r="U921" s="2"/>
      <c r="V921" s="1"/>
      <c r="W921" s="1"/>
      <c r="X921" s="1"/>
      <c r="Y921" s="1"/>
      <c r="Z921" s="1"/>
    </row>
    <row r="922" spans="1:26" ht="24.75" customHeight="1">
      <c r="A922" s="1"/>
      <c r="B922" s="1"/>
      <c r="C922" s="1"/>
      <c r="D922" s="1"/>
      <c r="E922" s="1"/>
      <c r="F922" s="1"/>
      <c r="G922" s="1"/>
      <c r="H922" s="1"/>
      <c r="I922" s="1"/>
      <c r="J922" s="1"/>
      <c r="K922" s="1"/>
      <c r="L922" s="1"/>
      <c r="M922" s="1"/>
      <c r="N922" s="1"/>
      <c r="O922" s="1"/>
      <c r="P922" s="1"/>
      <c r="Q922" s="1"/>
      <c r="R922" s="1"/>
      <c r="S922" s="1"/>
      <c r="T922" s="1"/>
      <c r="U922" s="2"/>
      <c r="V922" s="1"/>
      <c r="W922" s="1"/>
      <c r="X922" s="1"/>
      <c r="Y922" s="1"/>
      <c r="Z922" s="1"/>
    </row>
    <row r="923" spans="1:26" ht="24.75" customHeight="1">
      <c r="A923" s="1"/>
      <c r="B923" s="1"/>
      <c r="C923" s="1"/>
      <c r="D923" s="1"/>
      <c r="E923" s="1"/>
      <c r="F923" s="1"/>
      <c r="G923" s="1"/>
      <c r="H923" s="1"/>
      <c r="I923" s="1"/>
      <c r="J923" s="1"/>
      <c r="K923" s="1"/>
      <c r="L923" s="1"/>
      <c r="M923" s="1"/>
      <c r="N923" s="1"/>
      <c r="O923" s="1"/>
      <c r="P923" s="1"/>
      <c r="Q923" s="1"/>
      <c r="R923" s="1"/>
      <c r="S923" s="1"/>
      <c r="T923" s="1"/>
      <c r="U923" s="2"/>
      <c r="V923" s="1"/>
      <c r="W923" s="1"/>
      <c r="X923" s="1"/>
      <c r="Y923" s="1"/>
      <c r="Z923" s="1"/>
    </row>
    <row r="924" spans="1:26" ht="24.75" customHeight="1">
      <c r="A924" s="1"/>
      <c r="B924" s="1"/>
      <c r="C924" s="1"/>
      <c r="D924" s="1"/>
      <c r="E924" s="1"/>
      <c r="F924" s="1"/>
      <c r="G924" s="1"/>
      <c r="H924" s="1"/>
      <c r="I924" s="1"/>
      <c r="J924" s="1"/>
      <c r="K924" s="1"/>
      <c r="L924" s="1"/>
      <c r="M924" s="1"/>
      <c r="N924" s="1"/>
      <c r="O924" s="1"/>
      <c r="P924" s="1"/>
      <c r="Q924" s="1"/>
      <c r="R924" s="1"/>
      <c r="S924" s="1"/>
      <c r="T924" s="1"/>
      <c r="U924" s="2"/>
      <c r="V924" s="1"/>
      <c r="W924" s="1"/>
      <c r="X924" s="1"/>
      <c r="Y924" s="1"/>
      <c r="Z924" s="1"/>
    </row>
    <row r="925" spans="1:26" ht="24.75" customHeight="1">
      <c r="A925" s="1"/>
      <c r="B925" s="1"/>
      <c r="C925" s="1"/>
      <c r="D925" s="1"/>
      <c r="E925" s="1"/>
      <c r="F925" s="1"/>
      <c r="G925" s="1"/>
      <c r="H925" s="1"/>
      <c r="I925" s="1"/>
      <c r="J925" s="1"/>
      <c r="K925" s="1"/>
      <c r="L925" s="1"/>
      <c r="M925" s="1"/>
      <c r="N925" s="1"/>
      <c r="O925" s="1"/>
      <c r="P925" s="1"/>
      <c r="Q925" s="1"/>
      <c r="R925" s="1"/>
      <c r="S925" s="1"/>
      <c r="T925" s="1"/>
      <c r="U925" s="2"/>
      <c r="V925" s="1"/>
      <c r="W925" s="1"/>
      <c r="X925" s="1"/>
      <c r="Y925" s="1"/>
      <c r="Z925" s="1"/>
    </row>
    <row r="926" spans="1:26" ht="24.75" customHeight="1">
      <c r="A926" s="1"/>
      <c r="B926" s="1"/>
      <c r="C926" s="1"/>
      <c r="D926" s="1"/>
      <c r="E926" s="1"/>
      <c r="F926" s="1"/>
      <c r="G926" s="1"/>
      <c r="H926" s="1"/>
      <c r="I926" s="1"/>
      <c r="J926" s="1"/>
      <c r="K926" s="1"/>
      <c r="L926" s="1"/>
      <c r="M926" s="1"/>
      <c r="N926" s="1"/>
      <c r="O926" s="1"/>
      <c r="P926" s="1"/>
      <c r="Q926" s="1"/>
      <c r="R926" s="1"/>
      <c r="S926" s="1"/>
      <c r="T926" s="1"/>
      <c r="U926" s="2"/>
      <c r="V926" s="1"/>
      <c r="W926" s="1"/>
      <c r="X926" s="1"/>
      <c r="Y926" s="1"/>
      <c r="Z926" s="1"/>
    </row>
    <row r="927" spans="1:26" ht="24.75" customHeight="1">
      <c r="A927" s="1"/>
      <c r="B927" s="1"/>
      <c r="C927" s="1"/>
      <c r="D927" s="1"/>
      <c r="E927" s="1"/>
      <c r="F927" s="1"/>
      <c r="G927" s="1"/>
      <c r="H927" s="1"/>
      <c r="I927" s="1"/>
      <c r="J927" s="1"/>
      <c r="K927" s="1"/>
      <c r="L927" s="1"/>
      <c r="M927" s="1"/>
      <c r="N927" s="1"/>
      <c r="O927" s="1"/>
      <c r="P927" s="1"/>
      <c r="Q927" s="1"/>
      <c r="R927" s="1"/>
      <c r="S927" s="1"/>
      <c r="T927" s="1"/>
      <c r="U927" s="2"/>
      <c r="V927" s="1"/>
      <c r="W927" s="1"/>
      <c r="X927" s="1"/>
      <c r="Y927" s="1"/>
      <c r="Z927" s="1"/>
    </row>
    <row r="928" spans="1:26" ht="24.75" customHeight="1">
      <c r="A928" s="1"/>
      <c r="B928" s="1"/>
      <c r="C928" s="1"/>
      <c r="D928" s="1"/>
      <c r="E928" s="1"/>
      <c r="F928" s="1"/>
      <c r="G928" s="1"/>
      <c r="H928" s="1"/>
      <c r="I928" s="1"/>
      <c r="J928" s="1"/>
      <c r="K928" s="1"/>
      <c r="L928" s="1"/>
      <c r="M928" s="1"/>
      <c r="N928" s="1"/>
      <c r="O928" s="1"/>
      <c r="P928" s="1"/>
      <c r="Q928" s="1"/>
      <c r="R928" s="1"/>
      <c r="S928" s="1"/>
      <c r="T928" s="1"/>
      <c r="U928" s="2"/>
      <c r="V928" s="1"/>
      <c r="W928" s="1"/>
      <c r="X928" s="1"/>
      <c r="Y928" s="1"/>
      <c r="Z928" s="1"/>
    </row>
    <row r="929" spans="1:26" ht="24.75" customHeight="1">
      <c r="A929" s="1"/>
      <c r="B929" s="1"/>
      <c r="C929" s="1"/>
      <c r="D929" s="1"/>
      <c r="E929" s="1"/>
      <c r="F929" s="1"/>
      <c r="G929" s="1"/>
      <c r="H929" s="1"/>
      <c r="I929" s="1"/>
      <c r="J929" s="1"/>
      <c r="K929" s="1"/>
      <c r="L929" s="1"/>
      <c r="M929" s="1"/>
      <c r="N929" s="1"/>
      <c r="O929" s="1"/>
      <c r="P929" s="1"/>
      <c r="Q929" s="1"/>
      <c r="R929" s="1"/>
      <c r="S929" s="1"/>
      <c r="T929" s="1"/>
      <c r="U929" s="2"/>
      <c r="V929" s="1"/>
      <c r="W929" s="1"/>
      <c r="X929" s="1"/>
      <c r="Y929" s="1"/>
      <c r="Z929" s="1"/>
    </row>
    <row r="930" spans="1:26" ht="24.75" customHeight="1">
      <c r="A930" s="1"/>
      <c r="B930" s="1"/>
      <c r="C930" s="1"/>
      <c r="D930" s="1"/>
      <c r="E930" s="1"/>
      <c r="F930" s="1"/>
      <c r="G930" s="1"/>
      <c r="H930" s="1"/>
      <c r="I930" s="1"/>
      <c r="J930" s="1"/>
      <c r="K930" s="1"/>
      <c r="L930" s="1"/>
      <c r="M930" s="1"/>
      <c r="N930" s="1"/>
      <c r="O930" s="1"/>
      <c r="P930" s="1"/>
      <c r="Q930" s="1"/>
      <c r="R930" s="1"/>
      <c r="S930" s="1"/>
      <c r="T930" s="1"/>
      <c r="U930" s="2"/>
      <c r="V930" s="1"/>
      <c r="W930" s="1"/>
      <c r="X930" s="1"/>
      <c r="Y930" s="1"/>
      <c r="Z930" s="1"/>
    </row>
    <row r="931" spans="1:26" ht="24.75" customHeight="1">
      <c r="A931" s="1"/>
      <c r="B931" s="1"/>
      <c r="C931" s="1"/>
      <c r="D931" s="1"/>
      <c r="E931" s="1"/>
      <c r="F931" s="1"/>
      <c r="G931" s="1"/>
      <c r="H931" s="1"/>
      <c r="I931" s="1"/>
      <c r="J931" s="1"/>
      <c r="K931" s="1"/>
      <c r="L931" s="1"/>
      <c r="M931" s="1"/>
      <c r="N931" s="1"/>
      <c r="O931" s="1"/>
      <c r="P931" s="1"/>
      <c r="Q931" s="1"/>
      <c r="R931" s="1"/>
      <c r="S931" s="1"/>
      <c r="T931" s="1"/>
      <c r="U931" s="2"/>
      <c r="V931" s="1"/>
      <c r="W931" s="1"/>
      <c r="X931" s="1"/>
      <c r="Y931" s="1"/>
      <c r="Z931" s="1"/>
    </row>
    <row r="932" spans="1:26" ht="24.75" customHeight="1">
      <c r="A932" s="1"/>
      <c r="B932" s="1"/>
      <c r="C932" s="1"/>
      <c r="D932" s="1"/>
      <c r="E932" s="1"/>
      <c r="F932" s="1"/>
      <c r="G932" s="1"/>
      <c r="H932" s="1"/>
      <c r="I932" s="1"/>
      <c r="J932" s="1"/>
      <c r="K932" s="1"/>
      <c r="L932" s="1"/>
      <c r="M932" s="1"/>
      <c r="N932" s="1"/>
      <c r="O932" s="1"/>
      <c r="P932" s="1"/>
      <c r="Q932" s="1"/>
      <c r="R932" s="1"/>
      <c r="S932" s="1"/>
      <c r="T932" s="1"/>
      <c r="U932" s="2"/>
      <c r="V932" s="1"/>
      <c r="W932" s="1"/>
      <c r="X932" s="1"/>
      <c r="Y932" s="1"/>
      <c r="Z932" s="1"/>
    </row>
    <row r="933" spans="1:26" ht="24.75" customHeight="1">
      <c r="A933" s="1"/>
      <c r="B933" s="1"/>
      <c r="C933" s="1"/>
      <c r="D933" s="1"/>
      <c r="E933" s="1"/>
      <c r="F933" s="1"/>
      <c r="G933" s="1"/>
      <c r="H933" s="1"/>
      <c r="I933" s="1"/>
      <c r="J933" s="1"/>
      <c r="K933" s="1"/>
      <c r="L933" s="1"/>
      <c r="M933" s="1"/>
      <c r="N933" s="1"/>
      <c r="O933" s="1"/>
      <c r="P933" s="1"/>
      <c r="Q933" s="1"/>
      <c r="R933" s="1"/>
      <c r="S933" s="1"/>
      <c r="T933" s="1"/>
      <c r="U933" s="2"/>
      <c r="V933" s="1"/>
      <c r="W933" s="1"/>
      <c r="X933" s="1"/>
      <c r="Y933" s="1"/>
      <c r="Z933" s="1"/>
    </row>
    <row r="934" spans="1:26" ht="24.75" customHeight="1">
      <c r="A934" s="1"/>
      <c r="B934" s="1"/>
      <c r="C934" s="1"/>
      <c r="D934" s="1"/>
      <c r="E934" s="1"/>
      <c r="F934" s="1"/>
      <c r="G934" s="1"/>
      <c r="H934" s="1"/>
      <c r="I934" s="1"/>
      <c r="J934" s="1"/>
      <c r="K934" s="1"/>
      <c r="L934" s="1"/>
      <c r="M934" s="1"/>
      <c r="N934" s="1"/>
      <c r="O934" s="1"/>
      <c r="P934" s="1"/>
      <c r="Q934" s="1"/>
      <c r="R934" s="1"/>
      <c r="S934" s="1"/>
      <c r="T934" s="1"/>
      <c r="U934" s="2"/>
      <c r="V934" s="1"/>
      <c r="W934" s="1"/>
      <c r="X934" s="1"/>
      <c r="Y934" s="1"/>
      <c r="Z934" s="1"/>
    </row>
    <row r="935" spans="1:26" ht="24.75" customHeight="1">
      <c r="A935" s="1"/>
      <c r="B935" s="1"/>
      <c r="C935" s="1"/>
      <c r="D935" s="1"/>
      <c r="E935" s="1"/>
      <c r="F935" s="1"/>
      <c r="G935" s="1"/>
      <c r="H935" s="1"/>
      <c r="I935" s="1"/>
      <c r="J935" s="1"/>
      <c r="K935" s="1"/>
      <c r="L935" s="1"/>
      <c r="M935" s="1"/>
      <c r="N935" s="1"/>
      <c r="O935" s="1"/>
      <c r="P935" s="1"/>
      <c r="Q935" s="1"/>
      <c r="R935" s="1"/>
      <c r="S935" s="1"/>
      <c r="T935" s="1"/>
      <c r="U935" s="2"/>
      <c r="V935" s="1"/>
      <c r="W935" s="1"/>
      <c r="X935" s="1"/>
      <c r="Y935" s="1"/>
      <c r="Z935" s="1"/>
    </row>
    <row r="936" spans="1:26" ht="24.75" customHeight="1">
      <c r="A936" s="1"/>
      <c r="B936" s="1"/>
      <c r="C936" s="1"/>
      <c r="D936" s="1"/>
      <c r="E936" s="1"/>
      <c r="F936" s="1"/>
      <c r="G936" s="1"/>
      <c r="H936" s="1"/>
      <c r="I936" s="1"/>
      <c r="J936" s="1"/>
      <c r="K936" s="1"/>
      <c r="L936" s="1"/>
      <c r="M936" s="1"/>
      <c r="N936" s="1"/>
      <c r="O936" s="1"/>
      <c r="P936" s="1"/>
      <c r="Q936" s="1"/>
      <c r="R936" s="1"/>
      <c r="S936" s="1"/>
      <c r="T936" s="1"/>
      <c r="U936" s="2"/>
      <c r="V936" s="1"/>
      <c r="W936" s="1"/>
      <c r="X936" s="1"/>
      <c r="Y936" s="1"/>
      <c r="Z936" s="1"/>
    </row>
    <row r="937" spans="1:26" ht="24.75" customHeight="1">
      <c r="A937" s="1"/>
      <c r="B937" s="1"/>
      <c r="C937" s="1"/>
      <c r="D937" s="1"/>
      <c r="E937" s="1"/>
      <c r="F937" s="1"/>
      <c r="G937" s="1"/>
      <c r="H937" s="1"/>
      <c r="I937" s="1"/>
      <c r="J937" s="1"/>
      <c r="K937" s="1"/>
      <c r="L937" s="1"/>
      <c r="M937" s="1"/>
      <c r="N937" s="1"/>
      <c r="O937" s="1"/>
      <c r="P937" s="1"/>
      <c r="Q937" s="1"/>
      <c r="R937" s="1"/>
      <c r="S937" s="1"/>
      <c r="T937" s="1"/>
      <c r="U937" s="2"/>
      <c r="V937" s="1"/>
      <c r="W937" s="1"/>
      <c r="X937" s="1"/>
      <c r="Y937" s="1"/>
      <c r="Z937" s="1"/>
    </row>
    <row r="938" spans="1:26" ht="24.75" customHeight="1">
      <c r="A938" s="1"/>
      <c r="B938" s="1"/>
      <c r="C938" s="1"/>
      <c r="D938" s="1"/>
      <c r="E938" s="1"/>
      <c r="F938" s="1"/>
      <c r="G938" s="1"/>
      <c r="H938" s="1"/>
      <c r="I938" s="1"/>
      <c r="J938" s="1"/>
      <c r="K938" s="1"/>
      <c r="L938" s="1"/>
      <c r="M938" s="1"/>
      <c r="N938" s="1"/>
      <c r="O938" s="1"/>
      <c r="P938" s="1"/>
      <c r="Q938" s="1"/>
      <c r="R938" s="1"/>
      <c r="S938" s="1"/>
      <c r="T938" s="1"/>
      <c r="U938" s="2"/>
      <c r="V938" s="1"/>
      <c r="W938" s="1"/>
      <c r="X938" s="1"/>
      <c r="Y938" s="1"/>
      <c r="Z938" s="1"/>
    </row>
    <row r="939" spans="1:26" ht="24.75" customHeight="1">
      <c r="A939" s="1"/>
      <c r="B939" s="1"/>
      <c r="C939" s="1"/>
      <c r="D939" s="1"/>
      <c r="E939" s="1"/>
      <c r="F939" s="1"/>
      <c r="G939" s="1"/>
      <c r="H939" s="1"/>
      <c r="I939" s="1"/>
      <c r="J939" s="1"/>
      <c r="K939" s="1"/>
      <c r="L939" s="1"/>
      <c r="M939" s="1"/>
      <c r="N939" s="1"/>
      <c r="O939" s="1"/>
      <c r="P939" s="1"/>
      <c r="Q939" s="1"/>
      <c r="R939" s="1"/>
      <c r="S939" s="1"/>
      <c r="T939" s="1"/>
      <c r="U939" s="2"/>
      <c r="V939" s="1"/>
      <c r="W939" s="1"/>
      <c r="X939" s="1"/>
      <c r="Y939" s="1"/>
      <c r="Z939" s="1"/>
    </row>
    <row r="940" spans="1:26" ht="24.75" customHeight="1">
      <c r="A940" s="1"/>
      <c r="B940" s="1"/>
      <c r="C940" s="1"/>
      <c r="D940" s="1"/>
      <c r="E940" s="1"/>
      <c r="F940" s="1"/>
      <c r="G940" s="1"/>
      <c r="H940" s="1"/>
      <c r="I940" s="1"/>
      <c r="J940" s="1"/>
      <c r="K940" s="1"/>
      <c r="L940" s="1"/>
      <c r="M940" s="1"/>
      <c r="N940" s="1"/>
      <c r="O940" s="1"/>
      <c r="P940" s="1"/>
      <c r="Q940" s="1"/>
      <c r="R940" s="1"/>
      <c r="S940" s="1"/>
      <c r="T940" s="1"/>
      <c r="U940" s="2"/>
      <c r="V940" s="1"/>
      <c r="W940" s="1"/>
      <c r="X940" s="1"/>
      <c r="Y940" s="1"/>
      <c r="Z940" s="1"/>
    </row>
    <row r="941" spans="1:26" ht="24.75" customHeight="1">
      <c r="A941" s="1"/>
      <c r="B941" s="1"/>
      <c r="C941" s="1"/>
      <c r="D941" s="1"/>
      <c r="E941" s="1"/>
      <c r="F941" s="1"/>
      <c r="G941" s="1"/>
      <c r="H941" s="1"/>
      <c r="I941" s="1"/>
      <c r="J941" s="1"/>
      <c r="K941" s="1"/>
      <c r="L941" s="1"/>
      <c r="M941" s="1"/>
      <c r="N941" s="1"/>
      <c r="O941" s="1"/>
      <c r="P941" s="1"/>
      <c r="Q941" s="1"/>
      <c r="R941" s="1"/>
      <c r="S941" s="1"/>
      <c r="T941" s="1"/>
      <c r="U941" s="2"/>
      <c r="V941" s="1"/>
      <c r="W941" s="1"/>
      <c r="X941" s="1"/>
      <c r="Y941" s="1"/>
      <c r="Z941" s="1"/>
    </row>
    <row r="942" spans="1:26" ht="24.75" customHeight="1">
      <c r="A942" s="1"/>
      <c r="B942" s="1"/>
      <c r="C942" s="1"/>
      <c r="D942" s="1"/>
      <c r="E942" s="1"/>
      <c r="F942" s="1"/>
      <c r="G942" s="1"/>
      <c r="H942" s="1"/>
      <c r="I942" s="1"/>
      <c r="J942" s="1"/>
      <c r="K942" s="1"/>
      <c r="L942" s="1"/>
      <c r="M942" s="1"/>
      <c r="N942" s="1"/>
      <c r="O942" s="1"/>
      <c r="P942" s="1"/>
      <c r="Q942" s="1"/>
      <c r="R942" s="1"/>
      <c r="S942" s="1"/>
      <c r="T942" s="1"/>
      <c r="U942" s="2"/>
      <c r="V942" s="1"/>
      <c r="W942" s="1"/>
      <c r="X942" s="1"/>
      <c r="Y942" s="1"/>
      <c r="Z942" s="1"/>
    </row>
    <row r="943" spans="1:26" ht="24.75" customHeight="1">
      <c r="A943" s="1"/>
      <c r="B943" s="1"/>
      <c r="C943" s="1"/>
      <c r="D943" s="1"/>
      <c r="E943" s="1"/>
      <c r="F943" s="1"/>
      <c r="G943" s="1"/>
      <c r="H943" s="1"/>
      <c r="I943" s="1"/>
      <c r="J943" s="1"/>
      <c r="K943" s="1"/>
      <c r="L943" s="1"/>
      <c r="M943" s="1"/>
      <c r="N943" s="1"/>
      <c r="O943" s="1"/>
      <c r="P943" s="1"/>
      <c r="Q943" s="1"/>
      <c r="R943" s="1"/>
      <c r="S943" s="1"/>
      <c r="T943" s="1"/>
      <c r="U943" s="2"/>
      <c r="V943" s="1"/>
      <c r="W943" s="1"/>
      <c r="X943" s="1"/>
      <c r="Y943" s="1"/>
      <c r="Z943" s="1"/>
    </row>
    <row r="944" spans="1:26" ht="24.75" customHeight="1">
      <c r="A944" s="1"/>
      <c r="B944" s="1"/>
      <c r="C944" s="1"/>
      <c r="D944" s="1"/>
      <c r="E944" s="1"/>
      <c r="F944" s="1"/>
      <c r="G944" s="1"/>
      <c r="H944" s="1"/>
      <c r="I944" s="1"/>
      <c r="J944" s="1"/>
      <c r="K944" s="1"/>
      <c r="L944" s="1"/>
      <c r="M944" s="1"/>
      <c r="N944" s="1"/>
      <c r="O944" s="1"/>
      <c r="P944" s="1"/>
      <c r="Q944" s="1"/>
      <c r="R944" s="1"/>
      <c r="S944" s="1"/>
      <c r="T944" s="1"/>
      <c r="U944" s="2"/>
      <c r="V944" s="1"/>
      <c r="W944" s="1"/>
      <c r="X944" s="1"/>
      <c r="Y944" s="1"/>
      <c r="Z944" s="1"/>
    </row>
    <row r="945" spans="1:26" ht="24.75" customHeight="1">
      <c r="A945" s="1"/>
      <c r="B945" s="1"/>
      <c r="C945" s="1"/>
      <c r="D945" s="1"/>
      <c r="E945" s="1"/>
      <c r="F945" s="1"/>
      <c r="G945" s="1"/>
      <c r="H945" s="1"/>
      <c r="I945" s="1"/>
      <c r="J945" s="1"/>
      <c r="K945" s="1"/>
      <c r="L945" s="1"/>
      <c r="M945" s="1"/>
      <c r="N945" s="1"/>
      <c r="O945" s="1"/>
      <c r="P945" s="1"/>
      <c r="Q945" s="1"/>
      <c r="R945" s="1"/>
      <c r="S945" s="1"/>
      <c r="T945" s="1"/>
      <c r="U945" s="2"/>
      <c r="V945" s="1"/>
      <c r="W945" s="1"/>
      <c r="X945" s="1"/>
      <c r="Y945" s="1"/>
      <c r="Z945" s="1"/>
    </row>
    <row r="946" spans="1:26" ht="24.75" customHeight="1">
      <c r="A946" s="1"/>
      <c r="B946" s="1"/>
      <c r="C946" s="1"/>
      <c r="D946" s="1"/>
      <c r="E946" s="1"/>
      <c r="F946" s="1"/>
      <c r="G946" s="1"/>
      <c r="H946" s="1"/>
      <c r="I946" s="1"/>
      <c r="J946" s="1"/>
      <c r="K946" s="1"/>
      <c r="L946" s="1"/>
      <c r="M946" s="1"/>
      <c r="N946" s="1"/>
      <c r="O946" s="1"/>
      <c r="P946" s="1"/>
      <c r="Q946" s="1"/>
      <c r="R946" s="1"/>
      <c r="S946" s="1"/>
      <c r="T946" s="1"/>
      <c r="U946" s="2"/>
      <c r="V946" s="1"/>
      <c r="W946" s="1"/>
      <c r="X946" s="1"/>
      <c r="Y946" s="1"/>
      <c r="Z946" s="1"/>
    </row>
    <row r="947" spans="1:26" ht="24.75" customHeight="1">
      <c r="A947" s="1"/>
      <c r="B947" s="1"/>
      <c r="C947" s="1"/>
      <c r="D947" s="1"/>
      <c r="E947" s="1"/>
      <c r="F947" s="1"/>
      <c r="G947" s="1"/>
      <c r="H947" s="1"/>
      <c r="I947" s="1"/>
      <c r="J947" s="1"/>
      <c r="K947" s="1"/>
      <c r="L947" s="1"/>
      <c r="M947" s="1"/>
      <c r="N947" s="1"/>
      <c r="O947" s="1"/>
      <c r="P947" s="1"/>
      <c r="Q947" s="1"/>
      <c r="R947" s="1"/>
      <c r="S947" s="1"/>
      <c r="T947" s="1"/>
      <c r="U947" s="2"/>
      <c r="V947" s="1"/>
      <c r="W947" s="1"/>
      <c r="X947" s="1"/>
      <c r="Y947" s="1"/>
      <c r="Z947" s="1"/>
    </row>
    <row r="948" spans="1:26" ht="24.75" customHeight="1">
      <c r="A948" s="1"/>
      <c r="B948" s="1"/>
      <c r="C948" s="1"/>
      <c r="D948" s="1"/>
      <c r="E948" s="1"/>
      <c r="F948" s="1"/>
      <c r="G948" s="1"/>
      <c r="H948" s="1"/>
      <c r="I948" s="1"/>
      <c r="J948" s="1"/>
      <c r="K948" s="1"/>
      <c r="L948" s="1"/>
      <c r="M948" s="1"/>
      <c r="N948" s="1"/>
      <c r="O948" s="1"/>
      <c r="P948" s="1"/>
      <c r="Q948" s="1"/>
      <c r="R948" s="1"/>
      <c r="S948" s="1"/>
      <c r="T948" s="1"/>
      <c r="U948" s="2"/>
      <c r="V948" s="1"/>
      <c r="W948" s="1"/>
      <c r="X948" s="1"/>
      <c r="Y948" s="1"/>
      <c r="Z948" s="1"/>
    </row>
    <row r="949" spans="1:26" ht="24.75" customHeight="1">
      <c r="A949" s="1"/>
      <c r="B949" s="1"/>
      <c r="C949" s="1"/>
      <c r="D949" s="1"/>
      <c r="E949" s="1"/>
      <c r="F949" s="1"/>
      <c r="G949" s="1"/>
      <c r="H949" s="1"/>
      <c r="I949" s="1"/>
      <c r="J949" s="1"/>
      <c r="K949" s="1"/>
      <c r="L949" s="1"/>
      <c r="M949" s="1"/>
      <c r="N949" s="1"/>
      <c r="O949" s="1"/>
      <c r="P949" s="1"/>
      <c r="Q949" s="1"/>
      <c r="R949" s="1"/>
      <c r="S949" s="1"/>
      <c r="T949" s="1"/>
      <c r="U949" s="2"/>
      <c r="V949" s="1"/>
      <c r="W949" s="1"/>
      <c r="X949" s="1"/>
      <c r="Y949" s="1"/>
      <c r="Z949" s="1"/>
    </row>
    <row r="950" spans="1:26" ht="24.75" customHeight="1">
      <c r="A950" s="1"/>
      <c r="B950" s="1"/>
      <c r="C950" s="1"/>
      <c r="D950" s="1"/>
      <c r="E950" s="1"/>
      <c r="F950" s="1"/>
      <c r="G950" s="1"/>
      <c r="H950" s="1"/>
      <c r="I950" s="1"/>
      <c r="J950" s="1"/>
      <c r="K950" s="1"/>
      <c r="L950" s="1"/>
      <c r="M950" s="1"/>
      <c r="N950" s="1"/>
      <c r="O950" s="1"/>
      <c r="P950" s="1"/>
      <c r="Q950" s="1"/>
      <c r="R950" s="1"/>
      <c r="S950" s="1"/>
      <c r="T950" s="1"/>
      <c r="U950" s="2"/>
      <c r="V950" s="1"/>
      <c r="W950" s="1"/>
      <c r="X950" s="1"/>
      <c r="Y950" s="1"/>
      <c r="Z950" s="1"/>
    </row>
    <row r="951" spans="1:26" ht="24.75" customHeight="1">
      <c r="A951" s="1"/>
      <c r="B951" s="1"/>
      <c r="C951" s="1"/>
      <c r="D951" s="1"/>
      <c r="E951" s="1"/>
      <c r="F951" s="1"/>
      <c r="G951" s="1"/>
      <c r="H951" s="1"/>
      <c r="I951" s="1"/>
      <c r="J951" s="1"/>
      <c r="K951" s="1"/>
      <c r="L951" s="1"/>
      <c r="M951" s="1"/>
      <c r="N951" s="1"/>
      <c r="O951" s="1"/>
      <c r="P951" s="1"/>
      <c r="Q951" s="1"/>
      <c r="R951" s="1"/>
      <c r="S951" s="1"/>
      <c r="T951" s="1"/>
      <c r="U951" s="2"/>
      <c r="V951" s="1"/>
      <c r="W951" s="1"/>
      <c r="X951" s="1"/>
      <c r="Y951" s="1"/>
      <c r="Z951" s="1"/>
    </row>
    <row r="952" spans="1:26" ht="24.75" customHeight="1">
      <c r="A952" s="1"/>
      <c r="B952" s="1"/>
      <c r="C952" s="1"/>
      <c r="D952" s="1"/>
      <c r="E952" s="1"/>
      <c r="F952" s="1"/>
      <c r="G952" s="1"/>
      <c r="H952" s="1"/>
      <c r="I952" s="1"/>
      <c r="J952" s="1"/>
      <c r="K952" s="1"/>
      <c r="L952" s="1"/>
      <c r="M952" s="1"/>
      <c r="N952" s="1"/>
      <c r="O952" s="1"/>
      <c r="P952" s="1"/>
      <c r="Q952" s="1"/>
      <c r="R952" s="1"/>
      <c r="S952" s="1"/>
      <c r="T952" s="1"/>
      <c r="U952" s="2"/>
      <c r="V952" s="1"/>
      <c r="W952" s="1"/>
      <c r="X952" s="1"/>
      <c r="Y952" s="1"/>
      <c r="Z952" s="1"/>
    </row>
    <row r="953" spans="1:26" ht="24.75" customHeight="1">
      <c r="A953" s="1"/>
      <c r="B953" s="1"/>
      <c r="C953" s="1"/>
      <c r="D953" s="1"/>
      <c r="E953" s="1"/>
      <c r="F953" s="1"/>
      <c r="G953" s="1"/>
      <c r="H953" s="1"/>
      <c r="I953" s="1"/>
      <c r="J953" s="1"/>
      <c r="K953" s="1"/>
      <c r="L953" s="1"/>
      <c r="M953" s="1"/>
      <c r="N953" s="1"/>
      <c r="O953" s="1"/>
      <c r="P953" s="1"/>
      <c r="Q953" s="1"/>
      <c r="R953" s="1"/>
      <c r="S953" s="1"/>
      <c r="T953" s="1"/>
      <c r="U953" s="2"/>
      <c r="V953" s="1"/>
      <c r="W953" s="1"/>
      <c r="X953" s="1"/>
      <c r="Y953" s="1"/>
      <c r="Z953" s="1"/>
    </row>
    <row r="954" spans="1:26" ht="24.75" customHeight="1">
      <c r="A954" s="1"/>
      <c r="B954" s="1"/>
      <c r="C954" s="1"/>
      <c r="D954" s="1"/>
      <c r="E954" s="1"/>
      <c r="F954" s="1"/>
      <c r="G954" s="1"/>
      <c r="H954" s="1"/>
      <c r="I954" s="1"/>
      <c r="J954" s="1"/>
      <c r="K954" s="1"/>
      <c r="L954" s="1"/>
      <c r="M954" s="1"/>
      <c r="N954" s="1"/>
      <c r="O954" s="1"/>
      <c r="P954" s="1"/>
      <c r="Q954" s="1"/>
      <c r="R954" s="1"/>
      <c r="S954" s="1"/>
      <c r="T954" s="1"/>
      <c r="U954" s="2"/>
      <c r="V954" s="1"/>
      <c r="W954" s="1"/>
      <c r="X954" s="1"/>
      <c r="Y954" s="1"/>
      <c r="Z954" s="1"/>
    </row>
    <row r="955" spans="1:26" ht="24.75" customHeight="1">
      <c r="A955" s="1"/>
      <c r="B955" s="1"/>
      <c r="C955" s="1"/>
      <c r="D955" s="1"/>
      <c r="E955" s="1"/>
      <c r="F955" s="1"/>
      <c r="G955" s="1"/>
      <c r="H955" s="1"/>
      <c r="I955" s="1"/>
      <c r="J955" s="1"/>
      <c r="K955" s="1"/>
      <c r="L955" s="1"/>
      <c r="M955" s="1"/>
      <c r="N955" s="1"/>
      <c r="O955" s="1"/>
      <c r="P955" s="1"/>
      <c r="Q955" s="1"/>
      <c r="R955" s="1"/>
      <c r="S955" s="1"/>
      <c r="T955" s="1"/>
      <c r="U955" s="2"/>
      <c r="V955" s="1"/>
      <c r="W955" s="1"/>
      <c r="X955" s="1"/>
      <c r="Y955" s="1"/>
      <c r="Z955" s="1"/>
    </row>
    <row r="956" spans="1:26" ht="24.75" customHeight="1">
      <c r="A956" s="1"/>
      <c r="B956" s="1"/>
      <c r="C956" s="1"/>
      <c r="D956" s="1"/>
      <c r="E956" s="1"/>
      <c r="F956" s="1"/>
      <c r="G956" s="1"/>
      <c r="H956" s="1"/>
      <c r="I956" s="1"/>
      <c r="J956" s="1"/>
      <c r="K956" s="1"/>
      <c r="L956" s="1"/>
      <c r="M956" s="1"/>
      <c r="N956" s="1"/>
      <c r="O956" s="1"/>
      <c r="P956" s="1"/>
      <c r="Q956" s="1"/>
      <c r="R956" s="1"/>
      <c r="S956" s="1"/>
      <c r="T956" s="1"/>
      <c r="U956" s="2"/>
      <c r="V956" s="1"/>
      <c r="W956" s="1"/>
      <c r="X956" s="1"/>
      <c r="Y956" s="1"/>
      <c r="Z956" s="1"/>
    </row>
    <row r="957" spans="1:26" ht="24.75" customHeight="1">
      <c r="A957" s="1"/>
      <c r="B957" s="1"/>
      <c r="C957" s="1"/>
      <c r="D957" s="1"/>
      <c r="E957" s="1"/>
      <c r="F957" s="1"/>
      <c r="G957" s="1"/>
      <c r="H957" s="1"/>
      <c r="I957" s="1"/>
      <c r="J957" s="1"/>
      <c r="K957" s="1"/>
      <c r="L957" s="1"/>
      <c r="M957" s="1"/>
      <c r="N957" s="1"/>
      <c r="O957" s="1"/>
      <c r="P957" s="1"/>
      <c r="Q957" s="1"/>
      <c r="R957" s="1"/>
      <c r="S957" s="1"/>
      <c r="T957" s="1"/>
      <c r="U957" s="2"/>
      <c r="V957" s="1"/>
      <c r="W957" s="1"/>
      <c r="X957" s="1"/>
      <c r="Y957" s="1"/>
      <c r="Z957" s="1"/>
    </row>
    <row r="958" spans="1:26" ht="24.75" customHeight="1">
      <c r="A958" s="1"/>
      <c r="B958" s="1"/>
      <c r="C958" s="1"/>
      <c r="D958" s="1"/>
      <c r="E958" s="1"/>
      <c r="F958" s="1"/>
      <c r="G958" s="1"/>
      <c r="H958" s="1"/>
      <c r="I958" s="1"/>
      <c r="J958" s="1"/>
      <c r="K958" s="1"/>
      <c r="L958" s="1"/>
      <c r="M958" s="1"/>
      <c r="N958" s="1"/>
      <c r="O958" s="1"/>
      <c r="P958" s="1"/>
      <c r="Q958" s="1"/>
      <c r="R958" s="1"/>
      <c r="S958" s="1"/>
      <c r="T958" s="1"/>
      <c r="U958" s="2"/>
      <c r="V958" s="1"/>
      <c r="W958" s="1"/>
      <c r="X958" s="1"/>
      <c r="Y958" s="1"/>
      <c r="Z958" s="1"/>
    </row>
    <row r="959" spans="1:26" ht="24.75" customHeight="1">
      <c r="A959" s="1"/>
      <c r="B959" s="1"/>
      <c r="C959" s="1"/>
      <c r="D959" s="1"/>
      <c r="E959" s="1"/>
      <c r="F959" s="1"/>
      <c r="G959" s="1"/>
      <c r="H959" s="1"/>
      <c r="I959" s="1"/>
      <c r="J959" s="1"/>
      <c r="K959" s="1"/>
      <c r="L959" s="1"/>
      <c r="M959" s="1"/>
      <c r="N959" s="1"/>
      <c r="O959" s="1"/>
      <c r="P959" s="1"/>
      <c r="Q959" s="1"/>
      <c r="R959" s="1"/>
      <c r="S959" s="1"/>
      <c r="T959" s="1"/>
      <c r="U959" s="2"/>
      <c r="V959" s="1"/>
      <c r="W959" s="1"/>
      <c r="X959" s="1"/>
      <c r="Y959" s="1"/>
      <c r="Z959" s="1"/>
    </row>
    <row r="960" spans="1:26" ht="24.75" customHeight="1">
      <c r="A960" s="1"/>
      <c r="B960" s="1"/>
      <c r="C960" s="1"/>
      <c r="D960" s="1"/>
      <c r="E960" s="1"/>
      <c r="F960" s="1"/>
      <c r="G960" s="1"/>
      <c r="H960" s="1"/>
      <c r="I960" s="1"/>
      <c r="J960" s="1"/>
      <c r="K960" s="1"/>
      <c r="L960" s="1"/>
      <c r="M960" s="1"/>
      <c r="N960" s="1"/>
      <c r="O960" s="1"/>
      <c r="P960" s="1"/>
      <c r="Q960" s="1"/>
      <c r="R960" s="1"/>
      <c r="S960" s="1"/>
      <c r="T960" s="1"/>
      <c r="U960" s="2"/>
      <c r="V960" s="1"/>
      <c r="W960" s="1"/>
      <c r="X960" s="1"/>
      <c r="Y960" s="1"/>
      <c r="Z960" s="1"/>
    </row>
    <row r="961" spans="1:26" ht="24.75" customHeight="1">
      <c r="A961" s="1"/>
      <c r="B961" s="1"/>
      <c r="C961" s="1"/>
      <c r="D961" s="1"/>
      <c r="E961" s="1"/>
      <c r="F961" s="1"/>
      <c r="G961" s="1"/>
      <c r="H961" s="1"/>
      <c r="I961" s="1"/>
      <c r="J961" s="1"/>
      <c r="K961" s="1"/>
      <c r="L961" s="1"/>
      <c r="M961" s="1"/>
      <c r="N961" s="1"/>
      <c r="O961" s="1"/>
      <c r="P961" s="1"/>
      <c r="Q961" s="1"/>
      <c r="R961" s="1"/>
      <c r="S961" s="1"/>
      <c r="T961" s="1"/>
      <c r="U961" s="2"/>
      <c r="V961" s="1"/>
      <c r="W961" s="1"/>
      <c r="X961" s="1"/>
      <c r="Y961" s="1"/>
      <c r="Z961" s="1"/>
    </row>
    <row r="962" spans="1:26" ht="24.75" customHeight="1">
      <c r="A962" s="1"/>
      <c r="B962" s="1"/>
      <c r="C962" s="1"/>
      <c r="D962" s="1"/>
      <c r="E962" s="1"/>
      <c r="F962" s="1"/>
      <c r="G962" s="1"/>
      <c r="H962" s="1"/>
      <c r="I962" s="1"/>
      <c r="J962" s="1"/>
      <c r="K962" s="1"/>
      <c r="L962" s="1"/>
      <c r="M962" s="1"/>
      <c r="N962" s="1"/>
      <c r="O962" s="1"/>
      <c r="P962" s="1"/>
      <c r="Q962" s="1"/>
      <c r="R962" s="1"/>
      <c r="S962" s="1"/>
      <c r="T962" s="1"/>
      <c r="U962" s="2"/>
      <c r="V962" s="1"/>
      <c r="W962" s="1"/>
      <c r="X962" s="1"/>
      <c r="Y962" s="1"/>
      <c r="Z962" s="1"/>
    </row>
    <row r="963" spans="1:26" ht="24.75" customHeight="1">
      <c r="A963" s="1"/>
      <c r="B963" s="1"/>
      <c r="C963" s="1"/>
      <c r="D963" s="1"/>
      <c r="E963" s="1"/>
      <c r="F963" s="1"/>
      <c r="G963" s="1"/>
      <c r="H963" s="1"/>
      <c r="I963" s="1"/>
      <c r="J963" s="1"/>
      <c r="K963" s="1"/>
      <c r="L963" s="1"/>
      <c r="M963" s="1"/>
      <c r="N963" s="1"/>
      <c r="O963" s="1"/>
      <c r="P963" s="1"/>
      <c r="Q963" s="1"/>
      <c r="R963" s="1"/>
      <c r="S963" s="1"/>
      <c r="T963" s="1"/>
      <c r="U963" s="2"/>
      <c r="V963" s="1"/>
      <c r="W963" s="1"/>
      <c r="X963" s="1"/>
      <c r="Y963" s="1"/>
      <c r="Z963" s="1"/>
    </row>
    <row r="964" spans="1:26" ht="24.75" customHeight="1">
      <c r="A964" s="1"/>
      <c r="B964" s="1"/>
      <c r="C964" s="1"/>
      <c r="D964" s="1"/>
      <c r="E964" s="1"/>
      <c r="F964" s="1"/>
      <c r="G964" s="1"/>
      <c r="H964" s="1"/>
      <c r="I964" s="1"/>
      <c r="J964" s="1"/>
      <c r="K964" s="1"/>
      <c r="L964" s="1"/>
      <c r="M964" s="1"/>
      <c r="N964" s="1"/>
      <c r="O964" s="1"/>
      <c r="P964" s="1"/>
      <c r="Q964" s="1"/>
      <c r="R964" s="1"/>
      <c r="S964" s="1"/>
      <c r="T964" s="1"/>
      <c r="U964" s="2"/>
      <c r="V964" s="1"/>
      <c r="W964" s="1"/>
      <c r="X964" s="1"/>
      <c r="Y964" s="1"/>
      <c r="Z964" s="1"/>
    </row>
    <row r="965" spans="1:26" ht="24.75" customHeight="1">
      <c r="A965" s="1"/>
      <c r="B965" s="1"/>
      <c r="C965" s="1"/>
      <c r="D965" s="1"/>
      <c r="E965" s="1"/>
      <c r="F965" s="1"/>
      <c r="G965" s="1"/>
      <c r="H965" s="1"/>
      <c r="I965" s="1"/>
      <c r="J965" s="1"/>
      <c r="K965" s="1"/>
      <c r="L965" s="1"/>
      <c r="M965" s="1"/>
      <c r="N965" s="1"/>
      <c r="O965" s="1"/>
      <c r="P965" s="1"/>
      <c r="Q965" s="1"/>
      <c r="R965" s="1"/>
      <c r="S965" s="1"/>
      <c r="T965" s="1"/>
      <c r="U965" s="2"/>
      <c r="V965" s="1"/>
      <c r="W965" s="1"/>
      <c r="X965" s="1"/>
      <c r="Y965" s="1"/>
      <c r="Z965" s="1"/>
    </row>
    <row r="966" spans="1:26" ht="24.75" customHeight="1">
      <c r="A966" s="1"/>
      <c r="B966" s="1"/>
      <c r="C966" s="1"/>
      <c r="D966" s="1"/>
      <c r="E966" s="1"/>
      <c r="F966" s="1"/>
      <c r="G966" s="1"/>
      <c r="H966" s="1"/>
      <c r="I966" s="1"/>
      <c r="J966" s="1"/>
      <c r="K966" s="1"/>
      <c r="L966" s="1"/>
      <c r="M966" s="1"/>
      <c r="N966" s="1"/>
      <c r="O966" s="1"/>
      <c r="P966" s="1"/>
      <c r="Q966" s="1"/>
      <c r="R966" s="1"/>
      <c r="S966" s="1"/>
      <c r="T966" s="1"/>
      <c r="U966" s="2"/>
      <c r="V966" s="1"/>
      <c r="W966" s="1"/>
      <c r="X966" s="1"/>
      <c r="Y966" s="1"/>
      <c r="Z966" s="1"/>
    </row>
    <row r="967" spans="1:26" ht="24.75" customHeight="1">
      <c r="A967" s="1"/>
      <c r="B967" s="1"/>
      <c r="C967" s="1"/>
      <c r="D967" s="1"/>
      <c r="E967" s="1"/>
      <c r="F967" s="1"/>
      <c r="G967" s="1"/>
      <c r="H967" s="1"/>
      <c r="I967" s="1"/>
      <c r="J967" s="1"/>
      <c r="K967" s="1"/>
      <c r="L967" s="1"/>
      <c r="M967" s="1"/>
      <c r="N967" s="1"/>
      <c r="O967" s="1"/>
      <c r="P967" s="1"/>
      <c r="Q967" s="1"/>
      <c r="R967" s="1"/>
      <c r="S967" s="1"/>
      <c r="T967" s="1"/>
      <c r="U967" s="2"/>
      <c r="V967" s="1"/>
      <c r="W967" s="1"/>
      <c r="X967" s="1"/>
      <c r="Y967" s="1"/>
      <c r="Z967" s="1"/>
    </row>
    <row r="968" spans="1:26" ht="24.75" customHeight="1">
      <c r="A968" s="1"/>
      <c r="B968" s="1"/>
      <c r="C968" s="1"/>
      <c r="D968" s="1"/>
      <c r="E968" s="1"/>
      <c r="F968" s="1"/>
      <c r="G968" s="1"/>
      <c r="H968" s="1"/>
      <c r="I968" s="1"/>
      <c r="J968" s="1"/>
      <c r="K968" s="1"/>
      <c r="L968" s="1"/>
      <c r="M968" s="1"/>
      <c r="N968" s="1"/>
      <c r="O968" s="1"/>
      <c r="P968" s="1"/>
      <c r="Q968" s="1"/>
      <c r="R968" s="1"/>
      <c r="S968" s="1"/>
      <c r="T968" s="1"/>
      <c r="U968" s="2"/>
      <c r="V968" s="1"/>
      <c r="W968" s="1"/>
      <c r="X968" s="1"/>
      <c r="Y968" s="1"/>
      <c r="Z968" s="1"/>
    </row>
    <row r="969" spans="1:26" ht="24.75" customHeight="1">
      <c r="A969" s="1"/>
      <c r="B969" s="1"/>
      <c r="C969" s="1"/>
      <c r="D969" s="1"/>
      <c r="E969" s="1"/>
      <c r="F969" s="1"/>
      <c r="G969" s="1"/>
      <c r="H969" s="1"/>
      <c r="I969" s="1"/>
      <c r="J969" s="1"/>
      <c r="K969" s="1"/>
      <c r="L969" s="1"/>
      <c r="M969" s="1"/>
      <c r="N969" s="1"/>
      <c r="O969" s="1"/>
      <c r="P969" s="1"/>
      <c r="Q969" s="1"/>
      <c r="R969" s="1"/>
      <c r="S969" s="1"/>
      <c r="T969" s="1"/>
      <c r="U969" s="2"/>
      <c r="V969" s="1"/>
      <c r="W969" s="1"/>
      <c r="X969" s="1"/>
      <c r="Y969" s="1"/>
      <c r="Z969" s="1"/>
    </row>
    <row r="970" spans="1:26" ht="24.75" customHeight="1">
      <c r="A970" s="1"/>
      <c r="B970" s="1"/>
      <c r="C970" s="1"/>
      <c r="D970" s="1"/>
      <c r="E970" s="1"/>
      <c r="F970" s="1"/>
      <c r="G970" s="1"/>
      <c r="H970" s="1"/>
      <c r="I970" s="1"/>
      <c r="J970" s="1"/>
      <c r="K970" s="1"/>
      <c r="L970" s="1"/>
      <c r="M970" s="1"/>
      <c r="N970" s="1"/>
      <c r="O970" s="1"/>
      <c r="P970" s="1"/>
      <c r="Q970" s="1"/>
      <c r="R970" s="1"/>
      <c r="S970" s="1"/>
      <c r="T970" s="1"/>
      <c r="U970" s="2"/>
      <c r="V970" s="1"/>
      <c r="W970" s="1"/>
      <c r="X970" s="1"/>
      <c r="Y970" s="1"/>
      <c r="Z970" s="1"/>
    </row>
    <row r="971" spans="1:26" ht="24.75" customHeight="1">
      <c r="A971" s="1"/>
      <c r="B971" s="1"/>
      <c r="C971" s="1"/>
      <c r="D971" s="1"/>
      <c r="E971" s="1"/>
      <c r="F971" s="1"/>
      <c r="G971" s="1"/>
      <c r="H971" s="1"/>
      <c r="I971" s="1"/>
      <c r="J971" s="1"/>
      <c r="K971" s="1"/>
      <c r="L971" s="1"/>
      <c r="M971" s="1"/>
      <c r="N971" s="1"/>
      <c r="O971" s="1"/>
      <c r="P971" s="1"/>
      <c r="Q971" s="1"/>
      <c r="R971" s="1"/>
      <c r="S971" s="1"/>
      <c r="T971" s="1"/>
      <c r="U971" s="2"/>
      <c r="V971" s="1"/>
      <c r="W971" s="1"/>
      <c r="X971" s="1"/>
      <c r="Y971" s="1"/>
      <c r="Z971" s="1"/>
    </row>
    <row r="972" spans="1:26" ht="24.75" customHeight="1">
      <c r="A972" s="1"/>
      <c r="B972" s="1"/>
      <c r="C972" s="1"/>
      <c r="D972" s="1"/>
      <c r="E972" s="1"/>
      <c r="F972" s="1"/>
      <c r="G972" s="1"/>
      <c r="H972" s="1"/>
      <c r="I972" s="1"/>
      <c r="J972" s="1"/>
      <c r="K972" s="1"/>
      <c r="L972" s="1"/>
      <c r="M972" s="1"/>
      <c r="N972" s="1"/>
      <c r="O972" s="1"/>
      <c r="P972" s="1"/>
      <c r="Q972" s="1"/>
      <c r="R972" s="1"/>
      <c r="S972" s="1"/>
      <c r="T972" s="1"/>
      <c r="U972" s="2"/>
      <c r="V972" s="1"/>
      <c r="W972" s="1"/>
      <c r="X972" s="1"/>
      <c r="Y972" s="1"/>
      <c r="Z972" s="1"/>
    </row>
    <row r="973" spans="1:26" ht="24.75" customHeight="1">
      <c r="A973" s="1"/>
      <c r="B973" s="1"/>
      <c r="C973" s="1"/>
      <c r="D973" s="1"/>
      <c r="E973" s="1"/>
      <c r="F973" s="1"/>
      <c r="G973" s="1"/>
      <c r="H973" s="1"/>
      <c r="I973" s="1"/>
      <c r="J973" s="1"/>
      <c r="K973" s="1"/>
      <c r="L973" s="1"/>
      <c r="M973" s="1"/>
      <c r="N973" s="1"/>
      <c r="O973" s="1"/>
      <c r="P973" s="1"/>
      <c r="Q973" s="1"/>
      <c r="R973" s="1"/>
      <c r="S973" s="1"/>
      <c r="T973" s="1"/>
      <c r="U973" s="2"/>
      <c r="V973" s="1"/>
      <c r="W973" s="1"/>
      <c r="X973" s="1"/>
      <c r="Y973" s="1"/>
      <c r="Z973" s="1"/>
    </row>
    <row r="974" spans="1:26" ht="24.75" customHeight="1">
      <c r="A974" s="1"/>
      <c r="B974" s="1"/>
      <c r="C974" s="1"/>
      <c r="D974" s="1"/>
      <c r="E974" s="1"/>
      <c r="F974" s="1"/>
      <c r="G974" s="1"/>
      <c r="H974" s="1"/>
      <c r="I974" s="1"/>
      <c r="J974" s="1"/>
      <c r="K974" s="1"/>
      <c r="L974" s="1"/>
      <c r="M974" s="1"/>
      <c r="N974" s="1"/>
      <c r="O974" s="1"/>
      <c r="P974" s="1"/>
      <c r="Q974" s="1"/>
      <c r="R974" s="1"/>
      <c r="S974" s="1"/>
      <c r="T974" s="1"/>
      <c r="U974" s="2"/>
      <c r="V974" s="1"/>
      <c r="W974" s="1"/>
      <c r="X974" s="1"/>
      <c r="Y974" s="1"/>
      <c r="Z974" s="1"/>
    </row>
    <row r="975" spans="1:26" ht="24.75" customHeight="1">
      <c r="A975" s="1"/>
      <c r="B975" s="1"/>
      <c r="C975" s="1"/>
      <c r="D975" s="1"/>
      <c r="E975" s="1"/>
      <c r="F975" s="1"/>
      <c r="G975" s="1"/>
      <c r="H975" s="1"/>
      <c r="I975" s="1"/>
      <c r="J975" s="1"/>
      <c r="K975" s="1"/>
      <c r="L975" s="1"/>
      <c r="M975" s="1"/>
      <c r="N975" s="1"/>
      <c r="O975" s="1"/>
      <c r="P975" s="1"/>
      <c r="Q975" s="1"/>
      <c r="R975" s="1"/>
      <c r="S975" s="1"/>
      <c r="T975" s="1"/>
      <c r="U975" s="2"/>
      <c r="V975" s="1"/>
      <c r="W975" s="1"/>
      <c r="X975" s="1"/>
      <c r="Y975" s="1"/>
      <c r="Z975" s="1"/>
    </row>
    <row r="976" spans="1:26" ht="24.75" customHeight="1">
      <c r="A976" s="1"/>
      <c r="B976" s="1"/>
      <c r="C976" s="1"/>
      <c r="D976" s="1"/>
      <c r="E976" s="1"/>
      <c r="F976" s="1"/>
      <c r="G976" s="1"/>
      <c r="H976" s="1"/>
      <c r="I976" s="1"/>
      <c r="J976" s="1"/>
      <c r="K976" s="1"/>
      <c r="L976" s="1"/>
      <c r="M976" s="1"/>
      <c r="N976" s="1"/>
      <c r="O976" s="1"/>
      <c r="P976" s="1"/>
      <c r="Q976" s="1"/>
      <c r="R976" s="1"/>
      <c r="S976" s="1"/>
      <c r="T976" s="1"/>
      <c r="U976" s="2"/>
      <c r="V976" s="1"/>
      <c r="W976" s="1"/>
      <c r="X976" s="1"/>
      <c r="Y976" s="1"/>
      <c r="Z976" s="1"/>
    </row>
    <row r="977" spans="1:26" ht="24.75" customHeight="1">
      <c r="A977" s="1"/>
      <c r="B977" s="1"/>
      <c r="C977" s="1"/>
      <c r="D977" s="1"/>
      <c r="E977" s="1"/>
      <c r="F977" s="1"/>
      <c r="G977" s="1"/>
      <c r="H977" s="1"/>
      <c r="I977" s="1"/>
      <c r="J977" s="1"/>
      <c r="K977" s="1"/>
      <c r="L977" s="1"/>
      <c r="M977" s="1"/>
      <c r="N977" s="1"/>
      <c r="O977" s="1"/>
      <c r="P977" s="1"/>
      <c r="Q977" s="1"/>
      <c r="R977" s="1"/>
      <c r="S977" s="1"/>
      <c r="T977" s="1"/>
      <c r="U977" s="2"/>
      <c r="V977" s="1"/>
      <c r="W977" s="1"/>
      <c r="X977" s="1"/>
      <c r="Y977" s="1"/>
      <c r="Z977" s="1"/>
    </row>
    <row r="978" spans="1:26" ht="24.75" customHeight="1">
      <c r="A978" s="1"/>
      <c r="B978" s="1"/>
      <c r="C978" s="1"/>
      <c r="D978" s="1"/>
      <c r="E978" s="1"/>
      <c r="F978" s="1"/>
      <c r="G978" s="1"/>
      <c r="H978" s="1"/>
      <c r="I978" s="1"/>
      <c r="J978" s="1"/>
      <c r="K978" s="1"/>
      <c r="L978" s="1"/>
      <c r="M978" s="1"/>
      <c r="N978" s="1"/>
      <c r="O978" s="1"/>
      <c r="P978" s="1"/>
      <c r="Q978" s="1"/>
      <c r="R978" s="1"/>
      <c r="S978" s="1"/>
      <c r="T978" s="1"/>
      <c r="U978" s="2"/>
      <c r="V978" s="1"/>
      <c r="W978" s="1"/>
      <c r="X978" s="1"/>
      <c r="Y978" s="1"/>
      <c r="Z978" s="1"/>
    </row>
    <row r="979" spans="1:26" ht="24.75" customHeight="1">
      <c r="A979" s="1"/>
      <c r="B979" s="1"/>
      <c r="C979" s="1"/>
      <c r="D979" s="1"/>
      <c r="E979" s="1"/>
      <c r="F979" s="1"/>
      <c r="G979" s="1"/>
      <c r="H979" s="1"/>
      <c r="I979" s="1"/>
      <c r="J979" s="1"/>
      <c r="K979" s="1"/>
      <c r="L979" s="1"/>
      <c r="M979" s="1"/>
      <c r="N979" s="1"/>
      <c r="O979" s="1"/>
      <c r="P979" s="1"/>
      <c r="Q979" s="1"/>
      <c r="R979" s="1"/>
      <c r="S979" s="1"/>
      <c r="T979" s="1"/>
      <c r="U979" s="2"/>
      <c r="V979" s="1"/>
      <c r="W979" s="1"/>
      <c r="X979" s="1"/>
      <c r="Y979" s="1"/>
      <c r="Z979" s="1"/>
    </row>
    <row r="980" spans="1:26" ht="24.75" customHeight="1">
      <c r="A980" s="1"/>
      <c r="B980" s="1"/>
      <c r="C980" s="1"/>
      <c r="D980" s="1"/>
      <c r="E980" s="1"/>
      <c r="F980" s="1"/>
      <c r="G980" s="1"/>
      <c r="H980" s="1"/>
      <c r="I980" s="1"/>
      <c r="J980" s="1"/>
      <c r="K980" s="1"/>
      <c r="L980" s="1"/>
      <c r="M980" s="1"/>
      <c r="N980" s="1"/>
      <c r="O980" s="1"/>
      <c r="P980" s="1"/>
      <c r="Q980" s="1"/>
      <c r="R980" s="1"/>
      <c r="S980" s="1"/>
      <c r="T980" s="1"/>
      <c r="U980" s="2"/>
      <c r="V980" s="1"/>
      <c r="W980" s="1"/>
      <c r="X980" s="1"/>
      <c r="Y980" s="1"/>
      <c r="Z980" s="1"/>
    </row>
    <row r="981" spans="1:26" ht="24.75" customHeight="1">
      <c r="A981" s="1"/>
      <c r="B981" s="1"/>
      <c r="C981" s="1"/>
      <c r="D981" s="1"/>
      <c r="E981" s="1"/>
      <c r="F981" s="1"/>
      <c r="G981" s="1"/>
      <c r="H981" s="1"/>
      <c r="I981" s="1"/>
      <c r="J981" s="1"/>
      <c r="K981" s="1"/>
      <c r="L981" s="1"/>
      <c r="M981" s="1"/>
      <c r="N981" s="1"/>
      <c r="O981" s="1"/>
      <c r="P981" s="1"/>
      <c r="Q981" s="1"/>
      <c r="R981" s="1"/>
      <c r="S981" s="1"/>
      <c r="T981" s="1"/>
      <c r="U981" s="2"/>
      <c r="V981" s="1"/>
      <c r="W981" s="1"/>
      <c r="X981" s="1"/>
      <c r="Y981" s="1"/>
      <c r="Z981" s="1"/>
    </row>
    <row r="982" spans="1:26" ht="24.75" customHeight="1">
      <c r="A982" s="1"/>
      <c r="B982" s="1"/>
      <c r="C982" s="1"/>
      <c r="D982" s="1"/>
      <c r="E982" s="1"/>
      <c r="F982" s="1"/>
      <c r="G982" s="1"/>
      <c r="H982" s="1"/>
      <c r="I982" s="1"/>
      <c r="J982" s="1"/>
      <c r="K982" s="1"/>
      <c r="L982" s="1"/>
      <c r="M982" s="1"/>
      <c r="N982" s="1"/>
      <c r="O982" s="1"/>
      <c r="P982" s="1"/>
      <c r="Q982" s="1"/>
      <c r="R982" s="1"/>
      <c r="S982" s="1"/>
      <c r="T982" s="1"/>
      <c r="U982" s="2"/>
      <c r="V982" s="1"/>
      <c r="W982" s="1"/>
      <c r="X982" s="1"/>
      <c r="Y982" s="1"/>
      <c r="Z982" s="1"/>
    </row>
    <row r="983" spans="1:26" ht="24.75" customHeight="1">
      <c r="A983" s="1"/>
      <c r="B983" s="1"/>
      <c r="C983" s="1"/>
      <c r="D983" s="1"/>
      <c r="E983" s="1"/>
      <c r="F983" s="1"/>
      <c r="G983" s="1"/>
      <c r="H983" s="1"/>
      <c r="I983" s="1"/>
      <c r="J983" s="1"/>
      <c r="K983" s="1"/>
      <c r="L983" s="1"/>
      <c r="M983" s="1"/>
      <c r="N983" s="1"/>
      <c r="O983" s="1"/>
      <c r="P983" s="1"/>
      <c r="Q983" s="1"/>
      <c r="R983" s="1"/>
      <c r="S983" s="1"/>
      <c r="T983" s="1"/>
      <c r="U983" s="2"/>
      <c r="V983" s="1"/>
      <c r="W983" s="1"/>
      <c r="X983" s="1"/>
      <c r="Y983" s="1"/>
      <c r="Z983" s="1"/>
    </row>
    <row r="984" spans="1:26" ht="24.75" customHeight="1">
      <c r="A984" s="1"/>
      <c r="B984" s="1"/>
      <c r="C984" s="1"/>
      <c r="D984" s="1"/>
      <c r="E984" s="1"/>
      <c r="F984" s="1"/>
      <c r="G984" s="1"/>
      <c r="H984" s="1"/>
      <c r="I984" s="1"/>
      <c r="J984" s="1"/>
      <c r="K984" s="1"/>
      <c r="L984" s="1"/>
      <c r="M984" s="1"/>
      <c r="N984" s="1"/>
      <c r="O984" s="1"/>
      <c r="P984" s="1"/>
      <c r="Q984" s="1"/>
      <c r="R984" s="1"/>
      <c r="S984" s="1"/>
      <c r="T984" s="1"/>
      <c r="U984" s="2"/>
      <c r="V984" s="1"/>
      <c r="W984" s="1"/>
      <c r="X984" s="1"/>
      <c r="Y984" s="1"/>
      <c r="Z984" s="1"/>
    </row>
    <row r="985" spans="1:26" ht="24.75" customHeight="1">
      <c r="A985" s="1"/>
      <c r="B985" s="1"/>
      <c r="C985" s="1"/>
      <c r="D985" s="1"/>
      <c r="E985" s="1"/>
      <c r="F985" s="1"/>
      <c r="G985" s="1"/>
      <c r="H985" s="1"/>
      <c r="I985" s="1"/>
      <c r="J985" s="1"/>
      <c r="K985" s="1"/>
      <c r="L985" s="1"/>
      <c r="M985" s="1"/>
      <c r="N985" s="1"/>
      <c r="O985" s="1"/>
      <c r="P985" s="1"/>
      <c r="Q985" s="1"/>
      <c r="R985" s="1"/>
      <c r="S985" s="1"/>
      <c r="T985" s="1"/>
      <c r="U985" s="2"/>
      <c r="V985" s="1"/>
      <c r="W985" s="1"/>
      <c r="X985" s="1"/>
      <c r="Y985" s="1"/>
      <c r="Z985" s="1"/>
    </row>
    <row r="986" spans="1:26" ht="24.75" customHeight="1">
      <c r="A986" s="1"/>
      <c r="B986" s="1"/>
      <c r="C986" s="1"/>
      <c r="D986" s="1"/>
      <c r="E986" s="1"/>
      <c r="F986" s="1"/>
      <c r="G986" s="1"/>
      <c r="H986" s="1"/>
      <c r="I986" s="1"/>
      <c r="J986" s="1"/>
      <c r="K986" s="1"/>
      <c r="L986" s="1"/>
      <c r="M986" s="1"/>
      <c r="N986" s="1"/>
      <c r="O986" s="1"/>
      <c r="P986" s="1"/>
      <c r="Q986" s="1"/>
      <c r="R986" s="1"/>
      <c r="S986" s="1"/>
      <c r="T986" s="1"/>
      <c r="U986" s="2"/>
      <c r="V986" s="1"/>
      <c r="W986" s="1"/>
      <c r="X986" s="1"/>
      <c r="Y986" s="1"/>
      <c r="Z986" s="1"/>
    </row>
    <row r="987" spans="1:26" ht="24.75" customHeight="1">
      <c r="A987" s="1"/>
      <c r="B987" s="1"/>
      <c r="C987" s="1"/>
      <c r="D987" s="1"/>
      <c r="E987" s="1"/>
      <c r="F987" s="1"/>
      <c r="G987" s="1"/>
      <c r="H987" s="1"/>
      <c r="I987" s="1"/>
      <c r="J987" s="1"/>
      <c r="K987" s="1"/>
      <c r="L987" s="1"/>
      <c r="M987" s="1"/>
      <c r="N987" s="1"/>
      <c r="O987" s="1"/>
      <c r="P987" s="1"/>
      <c r="Q987" s="1"/>
      <c r="R987" s="1"/>
      <c r="S987" s="1"/>
      <c r="T987" s="1"/>
      <c r="U987" s="2"/>
      <c r="V987" s="1"/>
      <c r="W987" s="1"/>
      <c r="X987" s="1"/>
      <c r="Y987" s="1"/>
      <c r="Z987" s="1"/>
    </row>
    <row r="988" spans="1:26" ht="24.75" customHeight="1">
      <c r="A988" s="1"/>
      <c r="B988" s="1"/>
      <c r="C988" s="1"/>
      <c r="D988" s="1"/>
      <c r="E988" s="1"/>
      <c r="F988" s="1"/>
      <c r="G988" s="1"/>
      <c r="H988" s="1"/>
      <c r="I988" s="1"/>
      <c r="J988" s="1"/>
      <c r="K988" s="1"/>
      <c r="L988" s="1"/>
      <c r="M988" s="1"/>
      <c r="N988" s="1"/>
      <c r="O988" s="1"/>
      <c r="P988" s="1"/>
      <c r="Q988" s="1"/>
      <c r="R988" s="1"/>
      <c r="S988" s="1"/>
      <c r="T988" s="1"/>
      <c r="U988" s="2"/>
      <c r="V988" s="1"/>
      <c r="W988" s="1"/>
      <c r="X988" s="1"/>
      <c r="Y988" s="1"/>
      <c r="Z988" s="1"/>
    </row>
    <row r="989" spans="1:26" ht="24.75" customHeight="1">
      <c r="A989" s="1"/>
      <c r="B989" s="1"/>
      <c r="C989" s="1"/>
      <c r="D989" s="1"/>
      <c r="E989" s="1"/>
      <c r="F989" s="1"/>
      <c r="G989" s="1"/>
      <c r="H989" s="1"/>
      <c r="I989" s="1"/>
      <c r="J989" s="1"/>
      <c r="K989" s="1"/>
      <c r="L989" s="1"/>
      <c r="M989" s="1"/>
      <c r="N989" s="1"/>
      <c r="O989" s="1"/>
      <c r="P989" s="1"/>
      <c r="Q989" s="1"/>
      <c r="R989" s="1"/>
      <c r="S989" s="1"/>
      <c r="T989" s="1"/>
      <c r="U989" s="2"/>
      <c r="V989" s="1"/>
      <c r="W989" s="1"/>
      <c r="X989" s="1"/>
      <c r="Y989" s="1"/>
      <c r="Z989" s="1"/>
    </row>
    <row r="990" spans="1:26" ht="24.75" customHeight="1">
      <c r="A990" s="1"/>
      <c r="B990" s="1"/>
      <c r="C990" s="1"/>
      <c r="D990" s="1"/>
      <c r="E990" s="1"/>
      <c r="F990" s="1"/>
      <c r="G990" s="1"/>
      <c r="H990" s="1"/>
      <c r="I990" s="1"/>
      <c r="J990" s="1"/>
      <c r="K990" s="1"/>
      <c r="L990" s="1"/>
      <c r="M990" s="1"/>
      <c r="N990" s="1"/>
      <c r="O990" s="1"/>
      <c r="P990" s="1"/>
      <c r="Q990" s="1"/>
      <c r="R990" s="1"/>
      <c r="S990" s="1"/>
      <c r="T990" s="1"/>
      <c r="U990" s="2"/>
      <c r="V990" s="1"/>
      <c r="W990" s="1"/>
      <c r="X990" s="1"/>
      <c r="Y990" s="1"/>
      <c r="Z990" s="1"/>
    </row>
    <row r="991" spans="1:26" ht="24.75" customHeight="1">
      <c r="A991" s="1"/>
      <c r="B991" s="1"/>
      <c r="C991" s="1"/>
      <c r="D991" s="1"/>
      <c r="E991" s="1"/>
      <c r="F991" s="1"/>
      <c r="G991" s="1"/>
      <c r="H991" s="1"/>
      <c r="I991" s="1"/>
      <c r="J991" s="1"/>
      <c r="K991" s="1"/>
      <c r="L991" s="1"/>
      <c r="M991" s="1"/>
      <c r="N991" s="1"/>
      <c r="O991" s="1"/>
      <c r="P991" s="1"/>
      <c r="Q991" s="1"/>
      <c r="R991" s="1"/>
      <c r="S991" s="1"/>
      <c r="T991" s="1"/>
      <c r="U991" s="2"/>
      <c r="V991" s="1"/>
      <c r="W991" s="1"/>
      <c r="X991" s="1"/>
      <c r="Y991" s="1"/>
      <c r="Z991" s="1"/>
    </row>
    <row r="992" spans="1:26" ht="24.75" customHeight="1">
      <c r="A992" s="1"/>
      <c r="B992" s="1"/>
      <c r="C992" s="1"/>
      <c r="D992" s="1"/>
      <c r="E992" s="1"/>
      <c r="F992" s="1"/>
      <c r="G992" s="1"/>
      <c r="H992" s="1"/>
      <c r="I992" s="1"/>
      <c r="J992" s="1"/>
      <c r="K992" s="1"/>
      <c r="L992" s="1"/>
      <c r="M992" s="1"/>
      <c r="N992" s="1"/>
      <c r="O992" s="1"/>
      <c r="P992" s="1"/>
      <c r="Q992" s="1"/>
      <c r="R992" s="1"/>
      <c r="S992" s="1"/>
      <c r="T992" s="1"/>
      <c r="U992" s="2"/>
      <c r="V992" s="1"/>
      <c r="W992" s="1"/>
      <c r="X992" s="1"/>
      <c r="Y992" s="1"/>
      <c r="Z992" s="1"/>
    </row>
    <row r="993" spans="1:26" ht="24.75" customHeight="1">
      <c r="A993" s="1"/>
      <c r="B993" s="1"/>
      <c r="C993" s="1"/>
      <c r="D993" s="1"/>
      <c r="E993" s="1"/>
      <c r="F993" s="1"/>
      <c r="G993" s="1"/>
      <c r="H993" s="1"/>
      <c r="I993" s="1"/>
      <c r="J993" s="1"/>
      <c r="K993" s="1"/>
      <c r="L993" s="1"/>
      <c r="M993" s="1"/>
      <c r="N993" s="1"/>
      <c r="O993" s="1"/>
      <c r="P993" s="1"/>
      <c r="Q993" s="1"/>
      <c r="R993" s="1"/>
      <c r="S993" s="1"/>
      <c r="T993" s="1"/>
      <c r="U993" s="2"/>
      <c r="V993" s="1"/>
      <c r="W993" s="1"/>
      <c r="X993" s="1"/>
      <c r="Y993" s="1"/>
      <c r="Z993" s="1"/>
    </row>
    <row r="994" spans="1:26" ht="24.75" customHeight="1">
      <c r="A994" s="1"/>
      <c r="B994" s="1"/>
      <c r="C994" s="1"/>
      <c r="D994" s="1"/>
      <c r="E994" s="1"/>
      <c r="F994" s="1"/>
      <c r="G994" s="1"/>
      <c r="H994" s="1"/>
      <c r="I994" s="1"/>
      <c r="J994" s="1"/>
      <c r="K994" s="1"/>
      <c r="L994" s="1"/>
      <c r="M994" s="1"/>
      <c r="N994" s="1"/>
      <c r="O994" s="1"/>
      <c r="P994" s="1"/>
      <c r="Q994" s="1"/>
      <c r="R994" s="1"/>
      <c r="S994" s="1"/>
      <c r="T994" s="1"/>
      <c r="U994" s="2"/>
      <c r="V994" s="1"/>
      <c r="W994" s="1"/>
      <c r="X994" s="1"/>
      <c r="Y994" s="1"/>
      <c r="Z994" s="1"/>
    </row>
    <row r="995" spans="1:26" ht="24.75" customHeight="1">
      <c r="A995" s="1"/>
      <c r="B995" s="1"/>
      <c r="C995" s="1"/>
      <c r="D995" s="1"/>
      <c r="E995" s="1"/>
      <c r="F995" s="1"/>
      <c r="G995" s="1"/>
      <c r="H995" s="1"/>
      <c r="I995" s="1"/>
      <c r="J995" s="1"/>
      <c r="K995" s="1"/>
      <c r="L995" s="1"/>
      <c r="M995" s="1"/>
      <c r="N995" s="1"/>
      <c r="O995" s="1"/>
      <c r="P995" s="1"/>
      <c r="Q995" s="1"/>
      <c r="R995" s="1"/>
      <c r="S995" s="1"/>
      <c r="T995" s="1"/>
      <c r="U995" s="2"/>
      <c r="V995" s="1"/>
      <c r="W995" s="1"/>
      <c r="X995" s="1"/>
      <c r="Y995" s="1"/>
      <c r="Z995" s="1"/>
    </row>
    <row r="996" spans="1:26" ht="24.75" customHeight="1">
      <c r="A996" s="1"/>
      <c r="B996" s="1"/>
      <c r="C996" s="1"/>
      <c r="D996" s="1"/>
      <c r="E996" s="1"/>
      <c r="F996" s="1"/>
      <c r="G996" s="1"/>
      <c r="H996" s="1"/>
      <c r="I996" s="1"/>
      <c r="J996" s="1"/>
      <c r="K996" s="1"/>
      <c r="L996" s="1"/>
      <c r="M996" s="1"/>
      <c r="N996" s="1"/>
      <c r="O996" s="1"/>
      <c r="P996" s="1"/>
      <c r="Q996" s="1"/>
      <c r="R996" s="1"/>
      <c r="S996" s="1"/>
      <c r="T996" s="1"/>
      <c r="U996" s="2"/>
      <c r="V996" s="1"/>
      <c r="W996" s="1"/>
      <c r="X996" s="1"/>
      <c r="Y996" s="1"/>
      <c r="Z996" s="1"/>
    </row>
    <row r="997" spans="1:26" ht="24.75" customHeight="1">
      <c r="A997" s="1"/>
      <c r="B997" s="1"/>
      <c r="C997" s="1"/>
      <c r="D997" s="1"/>
      <c r="E997" s="1"/>
      <c r="F997" s="1"/>
      <c r="G997" s="1"/>
      <c r="H997" s="1"/>
      <c r="I997" s="1"/>
      <c r="J997" s="1"/>
      <c r="K997" s="1"/>
      <c r="L997" s="1"/>
      <c r="M997" s="1"/>
      <c r="N997" s="1"/>
      <c r="O997" s="1"/>
      <c r="P997" s="1"/>
      <c r="Q997" s="1"/>
      <c r="R997" s="1"/>
      <c r="S997" s="1"/>
      <c r="T997" s="1"/>
      <c r="U997" s="2"/>
      <c r="V997" s="1"/>
      <c r="W997" s="1"/>
      <c r="X997" s="1"/>
      <c r="Y997" s="1"/>
      <c r="Z997" s="1"/>
    </row>
    <row r="998" spans="1:26" ht="24.75" customHeight="1">
      <c r="A998" s="1"/>
      <c r="B998" s="1"/>
      <c r="C998" s="1"/>
      <c r="D998" s="1"/>
      <c r="E998" s="1"/>
      <c r="F998" s="1"/>
      <c r="G998" s="1"/>
      <c r="H998" s="1"/>
      <c r="I998" s="1"/>
      <c r="J998" s="1"/>
      <c r="K998" s="1"/>
      <c r="L998" s="1"/>
      <c r="M998" s="1"/>
      <c r="N998" s="1"/>
      <c r="O998" s="1"/>
      <c r="P998" s="1"/>
      <c r="Q998" s="1"/>
      <c r="R998" s="1"/>
      <c r="S998" s="1"/>
      <c r="T998" s="1"/>
      <c r="U998" s="2"/>
      <c r="V998" s="1"/>
      <c r="W998" s="1"/>
      <c r="X998" s="1"/>
      <c r="Y998" s="1"/>
      <c r="Z998" s="1"/>
    </row>
    <row r="999" spans="1:26" ht="24.75" customHeight="1">
      <c r="A999" s="1"/>
      <c r="B999" s="1"/>
      <c r="C999" s="1"/>
      <c r="D999" s="1"/>
      <c r="E999" s="1"/>
      <c r="F999" s="1"/>
      <c r="G999" s="1"/>
      <c r="H999" s="1"/>
      <c r="I999" s="1"/>
      <c r="J999" s="1"/>
      <c r="K999" s="1"/>
      <c r="L999" s="1"/>
      <c r="M999" s="1"/>
      <c r="N999" s="1"/>
      <c r="O999" s="1"/>
      <c r="P999" s="1"/>
      <c r="Q999" s="1"/>
      <c r="R999" s="1"/>
      <c r="S999" s="1"/>
      <c r="T999" s="1"/>
      <c r="U999" s="2"/>
      <c r="V999" s="1"/>
      <c r="W999" s="1"/>
      <c r="X999" s="1"/>
      <c r="Y999" s="1"/>
      <c r="Z999" s="1"/>
    </row>
    <row r="1000" spans="1:26" ht="24.75" customHeight="1">
      <c r="A1000" s="1"/>
      <c r="B1000" s="1"/>
      <c r="C1000" s="1"/>
      <c r="D1000" s="1"/>
      <c r="E1000" s="1"/>
      <c r="F1000" s="1"/>
      <c r="G1000" s="1"/>
      <c r="H1000" s="1"/>
      <c r="I1000" s="1"/>
      <c r="J1000" s="1"/>
      <c r="K1000" s="1"/>
      <c r="L1000" s="1"/>
      <c r="M1000" s="1"/>
      <c r="N1000" s="1"/>
      <c r="O1000" s="1"/>
      <c r="P1000" s="1"/>
      <c r="Q1000" s="1"/>
      <c r="R1000" s="1"/>
      <c r="S1000" s="1"/>
      <c r="T1000" s="1"/>
      <c r="U1000" s="2"/>
      <c r="V1000" s="1"/>
      <c r="W1000" s="1"/>
      <c r="X1000" s="1"/>
      <c r="Y1000" s="1"/>
      <c r="Z1000" s="1"/>
    </row>
  </sheetData>
  <mergeCells count="101">
    <mergeCell ref="B204:B206"/>
    <mergeCell ref="C204:C206"/>
    <mergeCell ref="B209:D209"/>
    <mergeCell ref="A210:D210"/>
    <mergeCell ref="A135:A158"/>
    <mergeCell ref="B135:B136"/>
    <mergeCell ref="B138:B144"/>
    <mergeCell ref="B145:B146"/>
    <mergeCell ref="B147:B149"/>
    <mergeCell ref="B158:D158"/>
    <mergeCell ref="A159:A209"/>
    <mergeCell ref="C135:C136"/>
    <mergeCell ref="C138:C144"/>
    <mergeCell ref="C145:C146"/>
    <mergeCell ref="C147:C149"/>
    <mergeCell ref="C150:C153"/>
    <mergeCell ref="B173:B179"/>
    <mergeCell ref="C173:C179"/>
    <mergeCell ref="B180:B183"/>
    <mergeCell ref="C180:C183"/>
    <mergeCell ref="B184:B186"/>
    <mergeCell ref="C184:C186"/>
    <mergeCell ref="B187:B192"/>
    <mergeCell ref="C187:C192"/>
    <mergeCell ref="B150:B153"/>
    <mergeCell ref="B159:B162"/>
    <mergeCell ref="C159:C162"/>
    <mergeCell ref="B163:B167"/>
    <mergeCell ref="C163:C167"/>
    <mergeCell ref="B168:B172"/>
    <mergeCell ref="C168:C172"/>
    <mergeCell ref="B202:B203"/>
    <mergeCell ref="C202:C203"/>
    <mergeCell ref="B194:B199"/>
    <mergeCell ref="C194:C199"/>
    <mergeCell ref="B200:B201"/>
    <mergeCell ref="C200:C201"/>
    <mergeCell ref="C94:C103"/>
    <mergeCell ref="B104:B105"/>
    <mergeCell ref="C104:C105"/>
    <mergeCell ref="B106:B110"/>
    <mergeCell ref="C106:C110"/>
    <mergeCell ref="B111:B113"/>
    <mergeCell ref="C111:C113"/>
    <mergeCell ref="B94:B103"/>
    <mergeCell ref="A94:A134"/>
    <mergeCell ref="B114:B118"/>
    <mergeCell ref="C114:C118"/>
    <mergeCell ref="B119:B120"/>
    <mergeCell ref="C119:C120"/>
    <mergeCell ref="B122:B125"/>
    <mergeCell ref="C122:C125"/>
    <mergeCell ref="B128:B130"/>
    <mergeCell ref="C128:C130"/>
    <mergeCell ref="B131:B132"/>
    <mergeCell ref="C131:C132"/>
    <mergeCell ref="B134:D134"/>
    <mergeCell ref="B79:B85"/>
    <mergeCell ref="C79:C85"/>
    <mergeCell ref="B75:B78"/>
    <mergeCell ref="B57:B66"/>
    <mergeCell ref="C57:C66"/>
    <mergeCell ref="A69:A93"/>
    <mergeCell ref="B70:B74"/>
    <mergeCell ref="C70:C74"/>
    <mergeCell ref="C75:C78"/>
    <mergeCell ref="B86:B89"/>
    <mergeCell ref="C86:C89"/>
    <mergeCell ref="B93:D93"/>
    <mergeCell ref="B47:B56"/>
    <mergeCell ref="C47:C56"/>
    <mergeCell ref="C6:C23"/>
    <mergeCell ref="B24:B25"/>
    <mergeCell ref="C24:C25"/>
    <mergeCell ref="Q4:Q5"/>
    <mergeCell ref="R4:R5"/>
    <mergeCell ref="S4:S5"/>
    <mergeCell ref="A1:E1"/>
    <mergeCell ref="A4:A5"/>
    <mergeCell ref="C4:C5"/>
    <mergeCell ref="D4:D5"/>
    <mergeCell ref="E4:E5"/>
    <mergeCell ref="F4:F5"/>
    <mergeCell ref="A6:A68"/>
    <mergeCell ref="B68:D68"/>
    <mergeCell ref="B4:B5"/>
    <mergeCell ref="B6:B23"/>
    <mergeCell ref="B26:B36"/>
    <mergeCell ref="C26:C36"/>
    <mergeCell ref="B37:B39"/>
    <mergeCell ref="C37:C39"/>
    <mergeCell ref="B40:B46"/>
    <mergeCell ref="U4:U5"/>
    <mergeCell ref="G4:H4"/>
    <mergeCell ref="I4:I5"/>
    <mergeCell ref="J4:L4"/>
    <mergeCell ref="M4:M5"/>
    <mergeCell ref="N4:N5"/>
    <mergeCell ref="O4:O5"/>
    <mergeCell ref="P4:P5"/>
    <mergeCell ref="C40:C46"/>
  </mergeCells>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dimension ref="A1:Z1000"/>
  <sheetViews>
    <sheetView workbookViewId="0">
      <pane xSplit="3" ySplit="5" topLeftCell="D84" activePane="bottomRight" state="frozen"/>
      <selection pane="topRight" activeCell="D1" sqref="D1"/>
      <selection pane="bottomLeft" activeCell="A6" sqref="A6"/>
      <selection pane="bottomRight" activeCell="K89" sqref="K89"/>
    </sheetView>
  </sheetViews>
  <sheetFormatPr defaultColWidth="14.42578125" defaultRowHeight="15" customHeight="1"/>
  <cols>
    <col min="1" max="1" width="6.7109375" style="3" customWidth="1"/>
    <col min="2" max="2" width="7.28515625" style="3" customWidth="1"/>
    <col min="3" max="3" width="11.28515625" style="3" customWidth="1"/>
    <col min="4" max="4" width="5.85546875" style="3" customWidth="1"/>
    <col min="5" max="5" width="35.85546875" style="3" customWidth="1"/>
    <col min="6" max="6" width="7.42578125" style="3" customWidth="1"/>
    <col min="7" max="7" width="10.7109375" style="3" customWidth="1"/>
    <col min="8" max="8" width="8.28515625" style="3" customWidth="1"/>
    <col min="9" max="9" width="10.5703125" style="3" customWidth="1"/>
    <col min="10" max="10" width="11.85546875" style="3" customWidth="1"/>
    <col min="11" max="11" width="9.28515625" style="3" customWidth="1"/>
    <col min="12" max="12" width="6.7109375" style="3" customWidth="1"/>
    <col min="13" max="13" width="9" style="3" customWidth="1"/>
    <col min="14" max="14" width="9.7109375" style="3" customWidth="1"/>
    <col min="15" max="15" width="7.7109375" style="3" customWidth="1"/>
    <col min="16" max="16" width="9.85546875" style="3" customWidth="1"/>
    <col min="17" max="17" width="10.5703125" style="3" customWidth="1"/>
    <col min="18" max="18" width="9.42578125" style="3" customWidth="1"/>
    <col min="19" max="19" width="10.42578125" style="3" customWidth="1"/>
    <col min="20" max="20" width="15.7109375" style="3" customWidth="1"/>
    <col min="21" max="21" width="47.85546875" style="21" customWidth="1"/>
    <col min="22" max="16384" width="14.42578125" style="3"/>
  </cols>
  <sheetData>
    <row r="1" spans="1:26" ht="24.75" customHeight="1">
      <c r="A1" s="172" t="s">
        <v>379</v>
      </c>
      <c r="B1" s="173"/>
      <c r="C1" s="173"/>
      <c r="D1" s="173"/>
      <c r="E1" s="174"/>
      <c r="F1" s="1"/>
      <c r="G1" s="1"/>
      <c r="H1" s="1"/>
      <c r="I1" s="1"/>
      <c r="J1" s="1"/>
      <c r="K1" s="1"/>
      <c r="L1" s="1"/>
      <c r="M1" s="1"/>
      <c r="N1" s="1"/>
      <c r="O1" s="1"/>
      <c r="P1" s="1"/>
      <c r="Q1" s="1"/>
      <c r="R1" s="1"/>
      <c r="S1" s="1"/>
      <c r="T1" s="1"/>
      <c r="U1" s="2"/>
      <c r="V1" s="1"/>
      <c r="W1" s="1"/>
      <c r="X1" s="1"/>
      <c r="Y1" s="1"/>
      <c r="Z1" s="1"/>
    </row>
    <row r="2" spans="1:26" ht="24.75" hidden="1" customHeight="1">
      <c r="A2" s="1"/>
      <c r="B2" s="1"/>
      <c r="C2" s="1"/>
      <c r="D2" s="1"/>
      <c r="E2" s="1"/>
      <c r="F2" s="1"/>
      <c r="G2" s="1"/>
      <c r="H2" s="1"/>
      <c r="I2" s="1"/>
      <c r="J2" s="1"/>
      <c r="K2" s="1"/>
      <c r="L2" s="1"/>
      <c r="M2" s="1"/>
      <c r="N2" s="1"/>
      <c r="O2" s="1"/>
      <c r="P2" s="1"/>
      <c r="Q2" s="1"/>
      <c r="R2" s="1"/>
      <c r="S2" s="1"/>
      <c r="T2" s="1"/>
      <c r="U2" s="2"/>
      <c r="V2" s="1"/>
      <c r="W2" s="1"/>
      <c r="X2" s="1"/>
      <c r="Y2" s="1"/>
      <c r="Z2" s="1"/>
    </row>
    <row r="3" spans="1:26" ht="24.75" hidden="1" customHeight="1">
      <c r="A3" s="1"/>
      <c r="B3" s="4"/>
      <c r="C3" s="4"/>
      <c r="D3" s="4"/>
      <c r="E3" s="4"/>
      <c r="F3" s="4"/>
      <c r="G3" s="4"/>
      <c r="H3" s="4"/>
      <c r="I3" s="4"/>
      <c r="J3" s="4"/>
      <c r="K3" s="4"/>
      <c r="L3" s="4"/>
      <c r="M3" s="4"/>
      <c r="N3" s="4"/>
      <c r="O3" s="4"/>
      <c r="P3" s="4"/>
      <c r="Q3" s="4"/>
      <c r="R3" s="4"/>
      <c r="S3" s="4"/>
      <c r="T3" s="4"/>
      <c r="U3" s="60" t="s">
        <v>1</v>
      </c>
      <c r="V3" s="1"/>
      <c r="W3" s="1"/>
      <c r="X3" s="1"/>
      <c r="Y3" s="1"/>
      <c r="Z3" s="1"/>
    </row>
    <row r="4" spans="1:26" ht="24.75" customHeight="1">
      <c r="A4" s="168" t="s">
        <v>2</v>
      </c>
      <c r="B4" s="168" t="s">
        <v>3</v>
      </c>
      <c r="C4" s="168" t="s">
        <v>4</v>
      </c>
      <c r="D4" s="168" t="s">
        <v>5</v>
      </c>
      <c r="E4" s="168" t="s">
        <v>6</v>
      </c>
      <c r="F4" s="168" t="s">
        <v>7</v>
      </c>
      <c r="G4" s="166" t="s">
        <v>8</v>
      </c>
      <c r="H4" s="167"/>
      <c r="I4" s="168" t="s">
        <v>9</v>
      </c>
      <c r="J4" s="166" t="s">
        <v>10</v>
      </c>
      <c r="K4" s="170"/>
      <c r="L4" s="167"/>
      <c r="M4" s="168" t="s">
        <v>570</v>
      </c>
      <c r="N4" s="168" t="s">
        <v>11</v>
      </c>
      <c r="O4" s="168" t="s">
        <v>12</v>
      </c>
      <c r="P4" s="168" t="s">
        <v>380</v>
      </c>
      <c r="Q4" s="168" t="s">
        <v>14</v>
      </c>
      <c r="R4" s="168" t="s">
        <v>15</v>
      </c>
      <c r="S4" s="168" t="s">
        <v>16</v>
      </c>
      <c r="T4" s="5" t="s">
        <v>597</v>
      </c>
      <c r="U4" s="164" t="s">
        <v>17</v>
      </c>
      <c r="V4" s="1"/>
      <c r="W4" s="1"/>
      <c r="X4" s="1"/>
      <c r="Y4" s="1"/>
      <c r="Z4" s="1"/>
    </row>
    <row r="5" spans="1:26" ht="24.75" customHeight="1">
      <c r="A5" s="169"/>
      <c r="B5" s="169"/>
      <c r="C5" s="169"/>
      <c r="D5" s="169"/>
      <c r="E5" s="169"/>
      <c r="F5" s="169"/>
      <c r="G5" s="5" t="s">
        <v>18</v>
      </c>
      <c r="H5" s="5" t="s">
        <v>19</v>
      </c>
      <c r="I5" s="169"/>
      <c r="J5" s="5" t="s">
        <v>571</v>
      </c>
      <c r="K5" s="5" t="s">
        <v>20</v>
      </c>
      <c r="L5" s="5" t="s">
        <v>21</v>
      </c>
      <c r="M5" s="169"/>
      <c r="N5" s="169"/>
      <c r="O5" s="169"/>
      <c r="P5" s="169"/>
      <c r="Q5" s="169"/>
      <c r="R5" s="169"/>
      <c r="S5" s="169"/>
      <c r="T5" s="5" t="s">
        <v>22</v>
      </c>
      <c r="U5" s="169"/>
      <c r="V5" s="1"/>
      <c r="W5" s="1"/>
      <c r="X5" s="1"/>
      <c r="Y5" s="1"/>
      <c r="Z5" s="1"/>
    </row>
    <row r="6" spans="1:26" ht="24.75" customHeight="1">
      <c r="A6" s="175" t="s">
        <v>23</v>
      </c>
      <c r="B6" s="168" t="s">
        <v>24</v>
      </c>
      <c r="C6" s="168" t="s">
        <v>25</v>
      </c>
      <c r="D6" s="5">
        <v>1</v>
      </c>
      <c r="E6" s="5" t="s">
        <v>26</v>
      </c>
      <c r="F6" s="5"/>
      <c r="G6" s="5"/>
      <c r="H6" s="5"/>
      <c r="I6" s="5"/>
      <c r="J6" s="5"/>
      <c r="K6" s="5"/>
      <c r="L6" s="5"/>
      <c r="M6" s="5"/>
      <c r="N6" s="5"/>
      <c r="O6" s="5"/>
      <c r="P6" s="5"/>
      <c r="Q6" s="5"/>
      <c r="R6" s="5"/>
      <c r="S6" s="5"/>
      <c r="T6" s="6">
        <f t="shared" ref="T6:T69" si="0">SUM(F6:S6)</f>
        <v>0</v>
      </c>
      <c r="U6" s="9"/>
      <c r="V6" s="1"/>
      <c r="W6" s="1"/>
      <c r="X6" s="1"/>
      <c r="Y6" s="1"/>
      <c r="Z6" s="1"/>
    </row>
    <row r="7" spans="1:26" ht="24.75" customHeight="1">
      <c r="A7" s="171"/>
      <c r="B7" s="171"/>
      <c r="C7" s="171"/>
      <c r="D7" s="5">
        <v>2</v>
      </c>
      <c r="E7" s="5" t="s">
        <v>27</v>
      </c>
      <c r="F7" s="5"/>
      <c r="G7" s="5"/>
      <c r="H7" s="5"/>
      <c r="I7" s="5"/>
      <c r="J7" s="5"/>
      <c r="K7" s="6">
        <v>37.04</v>
      </c>
      <c r="L7" s="5"/>
      <c r="M7" s="5"/>
      <c r="N7" s="5"/>
      <c r="O7" s="5"/>
      <c r="P7" s="8">
        <v>1.75</v>
      </c>
      <c r="Q7" s="5"/>
      <c r="R7" s="5"/>
      <c r="S7" s="5"/>
      <c r="T7" s="6">
        <f t="shared" si="0"/>
        <v>38.79</v>
      </c>
      <c r="U7" s="9" t="s">
        <v>28</v>
      </c>
      <c r="V7" s="1"/>
      <c r="W7" s="1"/>
      <c r="X7" s="1"/>
      <c r="Y7" s="1"/>
      <c r="Z7" s="1"/>
    </row>
    <row r="8" spans="1:26" ht="24.75" customHeight="1">
      <c r="A8" s="171"/>
      <c r="B8" s="171"/>
      <c r="C8" s="171"/>
      <c r="D8" s="5">
        <v>3</v>
      </c>
      <c r="E8" s="5" t="s">
        <v>29</v>
      </c>
      <c r="F8" s="8">
        <v>25.2</v>
      </c>
      <c r="G8" s="5"/>
      <c r="H8" s="5"/>
      <c r="I8" s="5"/>
      <c r="J8" s="5"/>
      <c r="K8" s="5"/>
      <c r="L8" s="5"/>
      <c r="M8" s="5"/>
      <c r="N8" s="5"/>
      <c r="O8" s="8">
        <v>20.11</v>
      </c>
      <c r="P8" s="5"/>
      <c r="Q8" s="5"/>
      <c r="R8" s="8">
        <v>1.1499999999999999</v>
      </c>
      <c r="S8" s="5"/>
      <c r="T8" s="6">
        <f t="shared" si="0"/>
        <v>46.46</v>
      </c>
      <c r="U8" s="9" t="s">
        <v>30</v>
      </c>
      <c r="V8" s="1"/>
      <c r="W8" s="1"/>
      <c r="X8" s="1"/>
      <c r="Y8" s="1"/>
      <c r="Z8" s="1"/>
    </row>
    <row r="9" spans="1:26" ht="24.75" customHeight="1">
      <c r="A9" s="171"/>
      <c r="B9" s="171"/>
      <c r="C9" s="171"/>
      <c r="D9" s="5">
        <v>4</v>
      </c>
      <c r="E9" s="5" t="s">
        <v>31</v>
      </c>
      <c r="F9" s="5"/>
      <c r="G9" s="5"/>
      <c r="H9" s="5"/>
      <c r="I9" s="5"/>
      <c r="J9" s="5"/>
      <c r="K9" s="5"/>
      <c r="L9" s="5"/>
      <c r="M9" s="6">
        <v>12.63</v>
      </c>
      <c r="N9" s="5"/>
      <c r="O9" s="5"/>
      <c r="P9" s="8">
        <v>0.63</v>
      </c>
      <c r="Q9" s="5"/>
      <c r="R9" s="5"/>
      <c r="S9" s="5"/>
      <c r="T9" s="6">
        <f t="shared" si="0"/>
        <v>13.260000000000002</v>
      </c>
      <c r="U9" s="9" t="s">
        <v>32</v>
      </c>
      <c r="V9" s="1"/>
      <c r="W9" s="1"/>
      <c r="X9" s="1"/>
      <c r="Y9" s="1"/>
      <c r="Z9" s="1"/>
    </row>
    <row r="10" spans="1:26" ht="24.75" customHeight="1">
      <c r="A10" s="171"/>
      <c r="B10" s="171"/>
      <c r="C10" s="171"/>
      <c r="D10" s="5">
        <v>5</v>
      </c>
      <c r="E10" s="5" t="s">
        <v>33</v>
      </c>
      <c r="F10" s="5"/>
      <c r="G10" s="5"/>
      <c r="H10" s="5"/>
      <c r="I10" s="5"/>
      <c r="J10" s="5"/>
      <c r="K10" s="5"/>
      <c r="L10" s="5"/>
      <c r="M10" s="5"/>
      <c r="N10" s="5"/>
      <c r="O10" s="5"/>
      <c r="P10" s="6">
        <v>21.05</v>
      </c>
      <c r="Q10" s="5"/>
      <c r="R10" s="5"/>
      <c r="S10" s="5"/>
      <c r="T10" s="6">
        <f t="shared" si="0"/>
        <v>21.05</v>
      </c>
      <c r="U10" s="9" t="s">
        <v>34</v>
      </c>
      <c r="V10" s="1"/>
      <c r="W10" s="1"/>
      <c r="X10" s="1"/>
      <c r="Y10" s="1"/>
      <c r="Z10" s="1"/>
    </row>
    <row r="11" spans="1:26" ht="43.5" customHeight="1">
      <c r="A11" s="171"/>
      <c r="B11" s="171"/>
      <c r="C11" s="171"/>
      <c r="D11" s="5">
        <v>6</v>
      </c>
      <c r="E11" s="5" t="s">
        <v>35</v>
      </c>
      <c r="F11" s="5"/>
      <c r="G11" s="5"/>
      <c r="H11" s="5"/>
      <c r="I11" s="5"/>
      <c r="J11" s="5"/>
      <c r="K11" s="5"/>
      <c r="L11" s="5"/>
      <c r="M11" s="5"/>
      <c r="N11" s="8"/>
      <c r="O11" s="5"/>
      <c r="P11" s="8">
        <v>1</v>
      </c>
      <c r="Q11" s="5"/>
      <c r="R11" s="5"/>
      <c r="S11" s="5"/>
      <c r="T11" s="6">
        <f t="shared" si="0"/>
        <v>1</v>
      </c>
      <c r="U11" s="9" t="s">
        <v>36</v>
      </c>
      <c r="V11" s="1"/>
      <c r="W11" s="1"/>
      <c r="X11" s="1"/>
      <c r="Y11" s="1"/>
      <c r="Z11" s="1"/>
    </row>
    <row r="12" spans="1:26" ht="24.75" customHeight="1">
      <c r="A12" s="171"/>
      <c r="B12" s="171"/>
      <c r="C12" s="171"/>
      <c r="D12" s="5">
        <v>7</v>
      </c>
      <c r="E12" s="5" t="s">
        <v>37</v>
      </c>
      <c r="F12" s="5"/>
      <c r="G12" s="5"/>
      <c r="H12" s="5"/>
      <c r="I12" s="5"/>
      <c r="J12" s="5"/>
      <c r="K12" s="5"/>
      <c r="L12" s="5"/>
      <c r="M12" s="5"/>
      <c r="N12" s="5"/>
      <c r="O12" s="5"/>
      <c r="P12" s="8">
        <v>0.06</v>
      </c>
      <c r="Q12" s="8"/>
      <c r="R12" s="5"/>
      <c r="S12" s="5"/>
      <c r="T12" s="6">
        <f t="shared" si="0"/>
        <v>0.06</v>
      </c>
      <c r="U12" s="9" t="s">
        <v>38</v>
      </c>
      <c r="V12" s="1"/>
      <c r="W12" s="1"/>
      <c r="X12" s="1"/>
      <c r="Y12" s="1"/>
      <c r="Z12" s="1"/>
    </row>
    <row r="13" spans="1:26" ht="24.75" customHeight="1">
      <c r="A13" s="171"/>
      <c r="B13" s="171"/>
      <c r="C13" s="171"/>
      <c r="D13" s="5">
        <v>8</v>
      </c>
      <c r="E13" s="5" t="s">
        <v>39</v>
      </c>
      <c r="F13" s="5"/>
      <c r="G13" s="5"/>
      <c r="H13" s="5"/>
      <c r="I13" s="5"/>
      <c r="J13" s="5"/>
      <c r="K13" s="5"/>
      <c r="L13" s="5"/>
      <c r="M13" s="5"/>
      <c r="N13" s="6"/>
      <c r="O13" s="5"/>
      <c r="P13" s="5"/>
      <c r="Q13" s="5"/>
      <c r="R13" s="5"/>
      <c r="S13" s="5"/>
      <c r="T13" s="6">
        <f t="shared" si="0"/>
        <v>0</v>
      </c>
      <c r="U13" s="9"/>
      <c r="V13" s="1"/>
      <c r="W13" s="1"/>
      <c r="X13" s="1"/>
      <c r="Y13" s="1"/>
      <c r="Z13" s="1"/>
    </row>
    <row r="14" spans="1:26" ht="24.75" customHeight="1">
      <c r="A14" s="171"/>
      <c r="B14" s="171"/>
      <c r="C14" s="171"/>
      <c r="D14" s="5">
        <v>9</v>
      </c>
      <c r="E14" s="5" t="s">
        <v>40</v>
      </c>
      <c r="F14" s="5"/>
      <c r="G14" s="5"/>
      <c r="H14" s="5"/>
      <c r="I14" s="5"/>
      <c r="J14" s="5"/>
      <c r="K14" s="5"/>
      <c r="L14" s="5"/>
      <c r="M14" s="5"/>
      <c r="N14" s="6">
        <v>0.18</v>
      </c>
      <c r="O14" s="5"/>
      <c r="P14" s="5"/>
      <c r="Q14" s="8"/>
      <c r="R14" s="5"/>
      <c r="S14" s="8">
        <v>0.35</v>
      </c>
      <c r="T14" s="6">
        <f t="shared" si="0"/>
        <v>0.53</v>
      </c>
      <c r="U14" s="9" t="s">
        <v>41</v>
      </c>
      <c r="V14" s="1"/>
      <c r="W14" s="1"/>
      <c r="X14" s="1"/>
      <c r="Y14" s="1"/>
      <c r="Z14" s="1"/>
    </row>
    <row r="15" spans="1:26" ht="24.75" customHeight="1">
      <c r="A15" s="171"/>
      <c r="B15" s="171"/>
      <c r="C15" s="171"/>
      <c r="D15" s="5">
        <v>10</v>
      </c>
      <c r="E15" s="5" t="s">
        <v>42</v>
      </c>
      <c r="F15" s="5"/>
      <c r="G15" s="5"/>
      <c r="H15" s="5"/>
      <c r="I15" s="6"/>
      <c r="J15" s="5"/>
      <c r="K15" s="5"/>
      <c r="L15" s="5"/>
      <c r="M15" s="5"/>
      <c r="N15" s="6">
        <v>0.45750000000000002</v>
      </c>
      <c r="O15" s="5"/>
      <c r="P15" s="5"/>
      <c r="Q15" s="5"/>
      <c r="R15" s="5"/>
      <c r="S15" s="5"/>
      <c r="T15" s="6">
        <f t="shared" si="0"/>
        <v>0.45750000000000002</v>
      </c>
      <c r="U15" s="10" t="s">
        <v>43</v>
      </c>
      <c r="V15" s="1"/>
      <c r="W15" s="1"/>
      <c r="X15" s="1"/>
      <c r="Y15" s="1"/>
      <c r="Z15" s="1"/>
    </row>
    <row r="16" spans="1:26" ht="24.75" customHeight="1">
      <c r="A16" s="171"/>
      <c r="B16" s="171"/>
      <c r="C16" s="171"/>
      <c r="D16" s="5">
        <v>11</v>
      </c>
      <c r="E16" s="5" t="s">
        <v>44</v>
      </c>
      <c r="F16" s="5"/>
      <c r="G16" s="8"/>
      <c r="H16" s="8"/>
      <c r="I16" s="5"/>
      <c r="J16" s="5"/>
      <c r="K16" s="5"/>
      <c r="L16" s="5"/>
      <c r="M16" s="5"/>
      <c r="N16" s="5"/>
      <c r="O16" s="5"/>
      <c r="P16" s="5"/>
      <c r="Q16" s="5"/>
      <c r="R16" s="5"/>
      <c r="S16" s="5"/>
      <c r="T16" s="6">
        <f t="shared" si="0"/>
        <v>0</v>
      </c>
      <c r="U16" s="9"/>
      <c r="V16" s="1"/>
      <c r="W16" s="1"/>
      <c r="X16" s="1"/>
      <c r="Y16" s="1"/>
      <c r="Z16" s="1"/>
    </row>
    <row r="17" spans="1:26" ht="24.75" customHeight="1">
      <c r="A17" s="171"/>
      <c r="B17" s="171"/>
      <c r="C17" s="171"/>
      <c r="D17" s="5">
        <v>12</v>
      </c>
      <c r="E17" s="5" t="s">
        <v>45</v>
      </c>
      <c r="F17" s="5"/>
      <c r="G17" s="5"/>
      <c r="H17" s="5"/>
      <c r="I17" s="5"/>
      <c r="J17" s="5"/>
      <c r="K17" s="5"/>
      <c r="L17" s="5"/>
      <c r="M17" s="5"/>
      <c r="N17" s="6">
        <v>3.4950000000000001</v>
      </c>
      <c r="O17" s="5"/>
      <c r="P17" s="5"/>
      <c r="Q17" s="5"/>
      <c r="R17" s="5"/>
      <c r="S17" s="5"/>
      <c r="T17" s="6">
        <f t="shared" si="0"/>
        <v>3.4950000000000001</v>
      </c>
      <c r="U17" s="9" t="s">
        <v>46</v>
      </c>
      <c r="V17" s="1"/>
      <c r="W17" s="1"/>
      <c r="X17" s="1"/>
      <c r="Y17" s="1"/>
      <c r="Z17" s="1"/>
    </row>
    <row r="18" spans="1:26" ht="24.75" customHeight="1">
      <c r="A18" s="171"/>
      <c r="B18" s="171"/>
      <c r="C18" s="171"/>
      <c r="D18" s="5">
        <v>13</v>
      </c>
      <c r="E18" s="5" t="s">
        <v>47</v>
      </c>
      <c r="F18" s="5"/>
      <c r="G18" s="5"/>
      <c r="H18" s="5"/>
      <c r="I18" s="5"/>
      <c r="J18" s="5"/>
      <c r="K18" s="5"/>
      <c r="L18" s="5"/>
      <c r="M18" s="5"/>
      <c r="N18" s="5"/>
      <c r="O18" s="5"/>
      <c r="P18" s="8"/>
      <c r="Q18" s="5"/>
      <c r="R18" s="5"/>
      <c r="S18" s="5"/>
      <c r="T18" s="6">
        <f t="shared" si="0"/>
        <v>0</v>
      </c>
      <c r="U18" s="9"/>
      <c r="V18" s="1"/>
      <c r="W18" s="1"/>
      <c r="X18" s="1"/>
      <c r="Y18" s="1"/>
      <c r="Z18" s="1"/>
    </row>
    <row r="19" spans="1:26" ht="24.75" customHeight="1">
      <c r="A19" s="171"/>
      <c r="B19" s="171"/>
      <c r="C19" s="171"/>
      <c r="D19" s="5">
        <v>14</v>
      </c>
      <c r="E19" s="5" t="s">
        <v>48</v>
      </c>
      <c r="F19" s="5"/>
      <c r="G19" s="5"/>
      <c r="H19" s="5"/>
      <c r="I19" s="5"/>
      <c r="J19" s="5"/>
      <c r="K19" s="5"/>
      <c r="L19" s="5"/>
      <c r="M19" s="5"/>
      <c r="N19" s="5"/>
      <c r="O19" s="5"/>
      <c r="P19" s="5"/>
      <c r="Q19" s="5"/>
      <c r="R19" s="5"/>
      <c r="S19" s="5"/>
      <c r="T19" s="6">
        <f t="shared" si="0"/>
        <v>0</v>
      </c>
      <c r="U19" s="9"/>
      <c r="V19" s="1"/>
      <c r="W19" s="1"/>
      <c r="X19" s="1"/>
      <c r="Y19" s="1"/>
      <c r="Z19" s="1"/>
    </row>
    <row r="20" spans="1:26" ht="24.75" customHeight="1">
      <c r="A20" s="171"/>
      <c r="B20" s="171"/>
      <c r="C20" s="171"/>
      <c r="D20" s="5">
        <v>15</v>
      </c>
      <c r="E20" s="5" t="s">
        <v>49</v>
      </c>
      <c r="F20" s="5"/>
      <c r="G20" s="5"/>
      <c r="H20" s="5"/>
      <c r="I20" s="8">
        <v>8</v>
      </c>
      <c r="J20" s="5"/>
      <c r="K20" s="5"/>
      <c r="L20" s="5"/>
      <c r="M20" s="5"/>
      <c r="N20" s="6">
        <v>0.74785000000000001</v>
      </c>
      <c r="O20" s="5"/>
      <c r="P20" s="8"/>
      <c r="Q20" s="8"/>
      <c r="R20" s="5"/>
      <c r="S20" s="5"/>
      <c r="T20" s="6">
        <f t="shared" si="0"/>
        <v>8.7478499999999997</v>
      </c>
      <c r="U20" s="9" t="s">
        <v>50</v>
      </c>
      <c r="V20" s="1"/>
      <c r="W20" s="1"/>
      <c r="X20" s="1"/>
      <c r="Y20" s="1"/>
      <c r="Z20" s="1"/>
    </row>
    <row r="21" spans="1:26" ht="24.75" customHeight="1">
      <c r="A21" s="171"/>
      <c r="B21" s="171"/>
      <c r="C21" s="171"/>
      <c r="D21" s="5">
        <v>16</v>
      </c>
      <c r="E21" s="5" t="s">
        <v>51</v>
      </c>
      <c r="F21" s="5"/>
      <c r="G21" s="5"/>
      <c r="H21" s="5"/>
      <c r="I21" s="5"/>
      <c r="J21" s="5"/>
      <c r="K21" s="5"/>
      <c r="L21" s="5"/>
      <c r="M21" s="5"/>
      <c r="N21" s="5"/>
      <c r="O21" s="5"/>
      <c r="P21" s="5"/>
      <c r="Q21" s="5"/>
      <c r="R21" s="5"/>
      <c r="S21" s="5"/>
      <c r="T21" s="6">
        <f t="shared" si="0"/>
        <v>0</v>
      </c>
      <c r="U21" s="9"/>
      <c r="V21" s="1"/>
      <c r="W21" s="1"/>
      <c r="X21" s="1"/>
      <c r="Y21" s="1"/>
      <c r="Z21" s="1"/>
    </row>
    <row r="22" spans="1:26" ht="24.75" customHeight="1">
      <c r="A22" s="171"/>
      <c r="B22" s="171"/>
      <c r="C22" s="171"/>
      <c r="D22" s="5">
        <v>17</v>
      </c>
      <c r="E22" s="5" t="s">
        <v>52</v>
      </c>
      <c r="F22" s="5"/>
      <c r="G22" s="5"/>
      <c r="H22" s="5"/>
      <c r="I22" s="6"/>
      <c r="J22" s="5"/>
      <c r="K22" s="5"/>
      <c r="L22" s="5"/>
      <c r="M22" s="5"/>
      <c r="N22" s="6">
        <v>0.92100000000000004</v>
      </c>
      <c r="O22" s="5"/>
      <c r="P22" s="8">
        <v>1.95</v>
      </c>
      <c r="Q22" s="6">
        <v>3.1</v>
      </c>
      <c r="R22" s="5"/>
      <c r="S22" s="8"/>
      <c r="T22" s="6">
        <f t="shared" si="0"/>
        <v>5.9710000000000001</v>
      </c>
      <c r="U22" s="9" t="s">
        <v>492</v>
      </c>
      <c r="V22" s="1"/>
      <c r="W22" s="1"/>
      <c r="X22" s="1"/>
      <c r="Y22" s="1"/>
      <c r="Z22" s="1"/>
    </row>
    <row r="23" spans="1:26" ht="24.75" customHeight="1">
      <c r="A23" s="171"/>
      <c r="B23" s="169"/>
      <c r="C23" s="169"/>
      <c r="D23" s="5">
        <v>18</v>
      </c>
      <c r="E23" s="5" t="s">
        <v>54</v>
      </c>
      <c r="F23" s="5"/>
      <c r="G23" s="5"/>
      <c r="H23" s="5"/>
      <c r="I23" s="5"/>
      <c r="J23" s="5"/>
      <c r="K23" s="5"/>
      <c r="L23" s="5"/>
      <c r="M23" s="5"/>
      <c r="N23" s="5"/>
      <c r="O23" s="5"/>
      <c r="P23" s="8">
        <f>0.795+0.15</f>
        <v>0.94500000000000006</v>
      </c>
      <c r="Q23" s="8"/>
      <c r="R23" s="5"/>
      <c r="S23" s="8"/>
      <c r="T23" s="6">
        <f t="shared" si="0"/>
        <v>0.94500000000000006</v>
      </c>
      <c r="U23" s="9" t="s">
        <v>55</v>
      </c>
      <c r="V23" s="1"/>
      <c r="W23" s="1"/>
      <c r="X23" s="1"/>
      <c r="Y23" s="1"/>
      <c r="Z23" s="1"/>
    </row>
    <row r="24" spans="1:26" ht="24.75" customHeight="1">
      <c r="A24" s="171"/>
      <c r="B24" s="168" t="s">
        <v>56</v>
      </c>
      <c r="C24" s="168" t="s">
        <v>57</v>
      </c>
      <c r="D24" s="5">
        <v>19</v>
      </c>
      <c r="E24" s="5" t="s">
        <v>57</v>
      </c>
      <c r="F24" s="5"/>
      <c r="G24" s="5"/>
      <c r="H24" s="5"/>
      <c r="I24" s="5"/>
      <c r="J24" s="5"/>
      <c r="K24" s="5"/>
      <c r="L24" s="5"/>
      <c r="M24" s="5"/>
      <c r="N24" s="5"/>
      <c r="O24" s="5"/>
      <c r="P24" s="5"/>
      <c r="Q24" s="5"/>
      <c r="R24" s="5"/>
      <c r="S24" s="5"/>
      <c r="T24" s="6">
        <f t="shared" si="0"/>
        <v>0</v>
      </c>
      <c r="U24" s="9"/>
      <c r="V24" s="1"/>
      <c r="W24" s="1"/>
      <c r="X24" s="1"/>
      <c r="Y24" s="1"/>
      <c r="Z24" s="1"/>
    </row>
    <row r="25" spans="1:26" ht="24.75" customHeight="1">
      <c r="A25" s="171"/>
      <c r="B25" s="169"/>
      <c r="C25" s="169"/>
      <c r="D25" s="5">
        <v>20</v>
      </c>
      <c r="E25" s="5" t="s">
        <v>58</v>
      </c>
      <c r="F25" s="5"/>
      <c r="G25" s="5"/>
      <c r="H25" s="5"/>
      <c r="I25" s="5"/>
      <c r="J25" s="5"/>
      <c r="K25" s="5"/>
      <c r="L25" s="5"/>
      <c r="M25" s="5"/>
      <c r="N25" s="5"/>
      <c r="O25" s="5"/>
      <c r="P25" s="5"/>
      <c r="Q25" s="6">
        <v>1</v>
      </c>
      <c r="R25" s="5"/>
      <c r="S25" s="5"/>
      <c r="T25" s="6">
        <f t="shared" si="0"/>
        <v>1</v>
      </c>
      <c r="U25" s="9" t="s">
        <v>359</v>
      </c>
      <c r="V25" s="1"/>
      <c r="W25" s="1"/>
      <c r="X25" s="1"/>
      <c r="Y25" s="1"/>
      <c r="Z25" s="1"/>
    </row>
    <row r="26" spans="1:26" ht="24.75" customHeight="1">
      <c r="A26" s="171"/>
      <c r="B26" s="168" t="s">
        <v>60</v>
      </c>
      <c r="C26" s="168" t="s">
        <v>61</v>
      </c>
      <c r="D26" s="5">
        <v>21</v>
      </c>
      <c r="E26" s="5" t="s">
        <v>62</v>
      </c>
      <c r="F26" s="123"/>
      <c r="G26" s="123"/>
      <c r="H26" s="124"/>
      <c r="I26" s="125">
        <f>2.975</f>
        <v>2.9750000000000001</v>
      </c>
      <c r="J26" s="123"/>
      <c r="K26" s="125"/>
      <c r="L26" s="123"/>
      <c r="M26" s="123"/>
      <c r="N26" s="125">
        <f>0.992+0.4565+0.325+1</f>
        <v>2.7735000000000003</v>
      </c>
      <c r="O26" s="123"/>
      <c r="P26" s="124">
        <f>11.52+3.276</f>
        <v>14.795999999999999</v>
      </c>
      <c r="Q26" s="124">
        <f>0.2125</f>
        <v>0.21249999999999999</v>
      </c>
      <c r="R26" s="125">
        <f>0.5+0.2975</f>
        <v>0.79749999999999999</v>
      </c>
      <c r="S26" s="123"/>
      <c r="T26" s="125">
        <f t="shared" ref="T26:T36" si="1">SUM(F26:S26)</f>
        <v>21.554499999999997</v>
      </c>
      <c r="U26" s="9" t="s">
        <v>65</v>
      </c>
      <c r="V26" s="1"/>
      <c r="W26" s="1"/>
      <c r="X26" s="1"/>
      <c r="Y26" s="1"/>
      <c r="Z26" s="1"/>
    </row>
    <row r="27" spans="1:26" ht="24.75" customHeight="1">
      <c r="A27" s="171"/>
      <c r="B27" s="171"/>
      <c r="C27" s="171"/>
      <c r="D27" s="5">
        <v>22</v>
      </c>
      <c r="E27" s="5" t="s">
        <v>64</v>
      </c>
      <c r="F27" s="124"/>
      <c r="G27" s="123"/>
      <c r="H27" s="124"/>
      <c r="I27" s="125"/>
      <c r="J27" s="123"/>
      <c r="K27" s="123"/>
      <c r="L27" s="123"/>
      <c r="M27" s="124">
        <v>0.75</v>
      </c>
      <c r="N27" s="123"/>
      <c r="O27" s="123"/>
      <c r="P27" s="124">
        <v>251.2</v>
      </c>
      <c r="Q27" s="124"/>
      <c r="R27" s="125"/>
      <c r="S27" s="123"/>
      <c r="T27" s="125">
        <f t="shared" si="1"/>
        <v>251.95</v>
      </c>
      <c r="U27" s="9" t="s">
        <v>65</v>
      </c>
      <c r="V27" s="1"/>
      <c r="W27" s="1"/>
      <c r="X27" s="1"/>
      <c r="Y27" s="1"/>
      <c r="Z27" s="1"/>
    </row>
    <row r="28" spans="1:26" ht="24.75" customHeight="1">
      <c r="A28" s="171"/>
      <c r="B28" s="171"/>
      <c r="C28" s="171"/>
      <c r="D28" s="5">
        <v>23</v>
      </c>
      <c r="E28" s="5" t="s">
        <v>66</v>
      </c>
      <c r="F28" s="123"/>
      <c r="G28" s="123"/>
      <c r="H28" s="123"/>
      <c r="I28" s="123"/>
      <c r="J28" s="123"/>
      <c r="K28" s="125"/>
      <c r="L28" s="123"/>
      <c r="M28" s="123"/>
      <c r="N28" s="123"/>
      <c r="O28" s="124">
        <f>39.294+2.38</f>
        <v>41.673999999999999</v>
      </c>
      <c r="P28" s="123"/>
      <c r="Q28" s="124"/>
      <c r="R28" s="123"/>
      <c r="S28" s="123"/>
      <c r="T28" s="125">
        <f t="shared" si="1"/>
        <v>41.673999999999999</v>
      </c>
      <c r="U28" s="9" t="s">
        <v>65</v>
      </c>
      <c r="V28" s="1"/>
      <c r="W28" s="1"/>
      <c r="X28" s="1"/>
      <c r="Y28" s="1"/>
      <c r="Z28" s="1"/>
    </row>
    <row r="29" spans="1:26" ht="24.75" customHeight="1">
      <c r="A29" s="171"/>
      <c r="B29" s="171"/>
      <c r="C29" s="171"/>
      <c r="D29" s="5">
        <v>24</v>
      </c>
      <c r="E29" s="5" t="s">
        <v>67</v>
      </c>
      <c r="F29" s="123"/>
      <c r="G29" s="123"/>
      <c r="H29" s="124"/>
      <c r="I29" s="123"/>
      <c r="J29" s="123"/>
      <c r="K29" s="123"/>
      <c r="L29" s="123"/>
      <c r="M29" s="123"/>
      <c r="N29" s="125">
        <f>1.72+1.72+1+1</f>
        <v>5.4399999999999995</v>
      </c>
      <c r="O29" s="124"/>
      <c r="P29" s="123">
        <f>3+15+0.8+7</f>
        <v>25.8</v>
      </c>
      <c r="Q29" s="125"/>
      <c r="R29" s="123"/>
      <c r="S29" s="123"/>
      <c r="T29" s="125">
        <f t="shared" si="1"/>
        <v>31.240000000000002</v>
      </c>
      <c r="U29" s="9" t="s">
        <v>360</v>
      </c>
      <c r="V29" s="1"/>
      <c r="W29" s="1"/>
      <c r="X29" s="1"/>
      <c r="Y29" s="1"/>
      <c r="Z29" s="1"/>
    </row>
    <row r="30" spans="1:26" ht="24.75" customHeight="1">
      <c r="A30" s="171"/>
      <c r="B30" s="171"/>
      <c r="C30" s="171"/>
      <c r="D30" s="5">
        <v>25</v>
      </c>
      <c r="E30" s="5" t="s">
        <v>69</v>
      </c>
      <c r="F30" s="123"/>
      <c r="G30" s="123"/>
      <c r="H30" s="123"/>
      <c r="I30" s="123"/>
      <c r="J30" s="123"/>
      <c r="K30" s="123"/>
      <c r="L30" s="123"/>
      <c r="M30" s="123"/>
      <c r="N30" s="125">
        <v>0.5</v>
      </c>
      <c r="O30" s="123"/>
      <c r="P30" s="123"/>
      <c r="Q30" s="123"/>
      <c r="R30" s="123"/>
      <c r="S30" s="123"/>
      <c r="T30" s="125">
        <f t="shared" si="1"/>
        <v>0.5</v>
      </c>
      <c r="U30" s="9" t="s">
        <v>65</v>
      </c>
      <c r="V30" s="1"/>
      <c r="W30" s="1"/>
      <c r="X30" s="1"/>
      <c r="Y30" s="1"/>
      <c r="Z30" s="1"/>
    </row>
    <row r="31" spans="1:26" ht="24.75" customHeight="1">
      <c r="A31" s="171"/>
      <c r="B31" s="171"/>
      <c r="C31" s="171"/>
      <c r="D31" s="5">
        <v>26</v>
      </c>
      <c r="E31" s="5" t="s">
        <v>70</v>
      </c>
      <c r="F31" s="123"/>
      <c r="G31" s="123"/>
      <c r="H31" s="123"/>
      <c r="I31" s="125"/>
      <c r="J31" s="123"/>
      <c r="K31" s="123"/>
      <c r="L31" s="123"/>
      <c r="M31" s="123"/>
      <c r="N31" s="125">
        <v>3.48</v>
      </c>
      <c r="O31" s="123"/>
      <c r="P31" s="123"/>
      <c r="Q31" s="125"/>
      <c r="R31" s="124"/>
      <c r="S31" s="123"/>
      <c r="T31" s="125">
        <f t="shared" si="1"/>
        <v>3.48</v>
      </c>
      <c r="U31" s="9" t="s">
        <v>360</v>
      </c>
      <c r="V31" s="1"/>
      <c r="W31" s="1"/>
      <c r="X31" s="1"/>
      <c r="Y31" s="1"/>
      <c r="Z31" s="1"/>
    </row>
    <row r="32" spans="1:26" ht="24.75" customHeight="1">
      <c r="A32" s="171"/>
      <c r="B32" s="171"/>
      <c r="C32" s="171"/>
      <c r="D32" s="5">
        <v>27</v>
      </c>
      <c r="E32" s="5" t="s">
        <v>72</v>
      </c>
      <c r="F32" s="123"/>
      <c r="G32" s="123"/>
      <c r="H32" s="124"/>
      <c r="I32" s="125"/>
      <c r="J32" s="123"/>
      <c r="K32" s="123"/>
      <c r="L32" s="123"/>
      <c r="M32" s="123"/>
      <c r="N32" s="125"/>
      <c r="O32" s="124"/>
      <c r="P32" s="124"/>
      <c r="Q32" s="123"/>
      <c r="R32" s="123"/>
      <c r="S32" s="123"/>
      <c r="T32" s="125">
        <f t="shared" si="1"/>
        <v>0</v>
      </c>
      <c r="U32" s="9"/>
      <c r="V32" s="1"/>
      <c r="W32" s="1"/>
      <c r="X32" s="1"/>
      <c r="Y32" s="1"/>
      <c r="Z32" s="1"/>
    </row>
    <row r="33" spans="1:26" ht="24.75" customHeight="1">
      <c r="A33" s="171"/>
      <c r="B33" s="171"/>
      <c r="C33" s="171"/>
      <c r="D33" s="5">
        <v>28</v>
      </c>
      <c r="E33" s="5" t="s">
        <v>31</v>
      </c>
      <c r="F33" s="123"/>
      <c r="G33" s="123"/>
      <c r="H33" s="123"/>
      <c r="I33" s="123"/>
      <c r="J33" s="123"/>
      <c r="K33" s="125">
        <v>1.262</v>
      </c>
      <c r="L33" s="123"/>
      <c r="M33" s="125">
        <v>1.262</v>
      </c>
      <c r="N33" s="123"/>
      <c r="O33" s="123"/>
      <c r="P33" s="123"/>
      <c r="Q33" s="123"/>
      <c r="R33" s="123"/>
      <c r="S33" s="123"/>
      <c r="T33" s="125">
        <f t="shared" si="1"/>
        <v>2.524</v>
      </c>
      <c r="U33" s="9" t="s">
        <v>65</v>
      </c>
      <c r="V33" s="1"/>
      <c r="W33" s="1"/>
      <c r="X33" s="1"/>
      <c r="Y33" s="1"/>
      <c r="Z33" s="1"/>
    </row>
    <row r="34" spans="1:26" ht="24.75" customHeight="1">
      <c r="A34" s="171"/>
      <c r="B34" s="171"/>
      <c r="C34" s="171"/>
      <c r="D34" s="5">
        <v>29</v>
      </c>
      <c r="E34" s="5" t="s">
        <v>33</v>
      </c>
      <c r="F34" s="123"/>
      <c r="G34" s="123"/>
      <c r="H34" s="123"/>
      <c r="I34" s="123"/>
      <c r="J34" s="123"/>
      <c r="K34" s="123"/>
      <c r="L34" s="123"/>
      <c r="M34" s="123"/>
      <c r="N34" s="123"/>
      <c r="O34" s="123"/>
      <c r="P34" s="125">
        <v>3.1549999999999998</v>
      </c>
      <c r="Q34" s="123"/>
      <c r="R34" s="123"/>
      <c r="S34" s="123"/>
      <c r="T34" s="125">
        <f t="shared" si="1"/>
        <v>3.1549999999999998</v>
      </c>
      <c r="U34" s="9" t="s">
        <v>65</v>
      </c>
      <c r="V34" s="1"/>
      <c r="W34" s="1"/>
      <c r="X34" s="1"/>
      <c r="Y34" s="1"/>
      <c r="Z34" s="1"/>
    </row>
    <row r="35" spans="1:26" ht="24.75" customHeight="1">
      <c r="A35" s="171"/>
      <c r="B35" s="171"/>
      <c r="C35" s="171"/>
      <c r="D35" s="5">
        <v>30</v>
      </c>
      <c r="E35" s="5" t="s">
        <v>73</v>
      </c>
      <c r="F35" s="123"/>
      <c r="G35" s="123"/>
      <c r="H35" s="123"/>
      <c r="I35" s="125"/>
      <c r="J35" s="123"/>
      <c r="K35" s="123"/>
      <c r="L35" s="123"/>
      <c r="M35" s="123"/>
      <c r="N35" s="123"/>
      <c r="O35" s="123"/>
      <c r="P35" s="123"/>
      <c r="Q35" s="125">
        <v>5</v>
      </c>
      <c r="R35" s="124">
        <v>1.57</v>
      </c>
      <c r="S35" s="123"/>
      <c r="T35" s="125">
        <f t="shared" si="1"/>
        <v>6.57</v>
      </c>
      <c r="U35" s="9" t="s">
        <v>360</v>
      </c>
      <c r="V35" s="1"/>
      <c r="W35" s="1"/>
      <c r="X35" s="1"/>
      <c r="Y35" s="1"/>
      <c r="Z35" s="1"/>
    </row>
    <row r="36" spans="1:26" ht="24.75" customHeight="1">
      <c r="A36" s="171"/>
      <c r="B36" s="169"/>
      <c r="C36" s="169"/>
      <c r="D36" s="5">
        <v>31</v>
      </c>
      <c r="E36" s="5" t="s">
        <v>54</v>
      </c>
      <c r="F36" s="123"/>
      <c r="G36" s="123"/>
      <c r="H36" s="123"/>
      <c r="I36" s="123"/>
      <c r="J36" s="123"/>
      <c r="K36" s="123"/>
      <c r="L36" s="123"/>
      <c r="M36" s="123"/>
      <c r="N36" s="123"/>
      <c r="O36" s="123"/>
      <c r="P36" s="123"/>
      <c r="Q36" s="123"/>
      <c r="R36" s="123"/>
      <c r="S36" s="123"/>
      <c r="T36" s="125">
        <f t="shared" si="1"/>
        <v>0</v>
      </c>
      <c r="U36" s="9"/>
      <c r="V36" s="1"/>
      <c r="W36" s="1"/>
      <c r="X36" s="1"/>
      <c r="Y36" s="1"/>
      <c r="Z36" s="1"/>
    </row>
    <row r="37" spans="1:26" ht="24.75" customHeight="1">
      <c r="A37" s="171"/>
      <c r="B37" s="168" t="s">
        <v>75</v>
      </c>
      <c r="C37" s="168" t="s">
        <v>76</v>
      </c>
      <c r="D37" s="5">
        <v>32</v>
      </c>
      <c r="E37" s="5" t="s">
        <v>77</v>
      </c>
      <c r="F37" s="5"/>
      <c r="G37" s="5"/>
      <c r="H37" s="5"/>
      <c r="I37" s="6"/>
      <c r="J37" s="5"/>
      <c r="K37" s="5"/>
      <c r="L37" s="5"/>
      <c r="M37" s="6"/>
      <c r="N37" s="6">
        <v>1.87</v>
      </c>
      <c r="O37" s="8">
        <v>117.28</v>
      </c>
      <c r="P37" s="8">
        <v>14.64</v>
      </c>
      <c r="Q37" s="6">
        <v>2</v>
      </c>
      <c r="R37" s="8">
        <v>4.8739999999999997</v>
      </c>
      <c r="S37" s="5"/>
      <c r="T37" s="6">
        <f t="shared" si="0"/>
        <v>140.66400000000002</v>
      </c>
      <c r="U37" s="9" t="s">
        <v>361</v>
      </c>
      <c r="V37" s="1"/>
      <c r="W37" s="1"/>
      <c r="X37" s="1"/>
      <c r="Y37" s="1"/>
      <c r="Z37" s="1"/>
    </row>
    <row r="38" spans="1:26" ht="24.75" customHeight="1">
      <c r="A38" s="171"/>
      <c r="B38" s="171"/>
      <c r="C38" s="171"/>
      <c r="D38" s="5">
        <v>33</v>
      </c>
      <c r="E38" s="5" t="s">
        <v>79</v>
      </c>
      <c r="F38" s="5"/>
      <c r="G38" s="5"/>
      <c r="H38" s="5"/>
      <c r="I38" s="5"/>
      <c r="J38" s="5"/>
      <c r="K38" s="5"/>
      <c r="L38" s="5"/>
      <c r="M38" s="5"/>
      <c r="N38" s="5"/>
      <c r="O38" s="5"/>
      <c r="P38" s="5"/>
      <c r="Q38" s="5"/>
      <c r="R38" s="5"/>
      <c r="S38" s="5"/>
      <c r="T38" s="6">
        <f t="shared" si="0"/>
        <v>0</v>
      </c>
      <c r="U38" s="9"/>
      <c r="V38" s="1"/>
      <c r="W38" s="1"/>
      <c r="X38" s="1"/>
      <c r="Y38" s="1"/>
      <c r="Z38" s="1"/>
    </row>
    <row r="39" spans="1:26" ht="24.75" customHeight="1">
      <c r="A39" s="171"/>
      <c r="B39" s="169"/>
      <c r="C39" s="169"/>
      <c r="D39" s="5">
        <v>34</v>
      </c>
      <c r="E39" s="5" t="s">
        <v>80</v>
      </c>
      <c r="F39" s="5"/>
      <c r="G39" s="5"/>
      <c r="H39" s="5"/>
      <c r="I39" s="5"/>
      <c r="J39" s="5"/>
      <c r="K39" s="5"/>
      <c r="L39" s="5"/>
      <c r="M39" s="5"/>
      <c r="N39" s="6"/>
      <c r="O39" s="5"/>
      <c r="P39" s="8"/>
      <c r="Q39" s="5"/>
      <c r="R39" s="5"/>
      <c r="S39" s="5"/>
      <c r="T39" s="6">
        <f t="shared" si="0"/>
        <v>0</v>
      </c>
      <c r="U39" s="9"/>
      <c r="V39" s="1"/>
      <c r="W39" s="1"/>
      <c r="X39" s="1"/>
      <c r="Y39" s="1"/>
      <c r="Z39" s="1"/>
    </row>
    <row r="40" spans="1:26" ht="24.75" customHeight="1">
      <c r="A40" s="171"/>
      <c r="B40" s="168" t="s">
        <v>81</v>
      </c>
      <c r="C40" s="168" t="s">
        <v>82</v>
      </c>
      <c r="D40" s="5">
        <v>35</v>
      </c>
      <c r="E40" s="5" t="s">
        <v>83</v>
      </c>
      <c r="F40" s="5"/>
      <c r="G40" s="5"/>
      <c r="H40" s="5"/>
      <c r="I40" s="27"/>
      <c r="J40" s="5"/>
      <c r="K40" s="5"/>
      <c r="L40" s="5"/>
      <c r="M40" s="5"/>
      <c r="N40" s="6">
        <v>2.75</v>
      </c>
      <c r="O40" s="5"/>
      <c r="P40" s="8">
        <v>2.88</v>
      </c>
      <c r="Q40" s="8"/>
      <c r="R40" s="5">
        <v>0.1</v>
      </c>
      <c r="S40" s="5"/>
      <c r="T40" s="6">
        <f t="shared" si="0"/>
        <v>5.7299999999999995</v>
      </c>
      <c r="U40" s="9" t="s">
        <v>617</v>
      </c>
      <c r="V40" s="1"/>
      <c r="W40" s="1"/>
      <c r="X40" s="1"/>
      <c r="Y40" s="1"/>
      <c r="Z40" s="1"/>
    </row>
    <row r="41" spans="1:26" ht="24.75" customHeight="1">
      <c r="A41" s="171"/>
      <c r="B41" s="171"/>
      <c r="C41" s="171"/>
      <c r="D41" s="5">
        <v>36</v>
      </c>
      <c r="E41" s="5" t="s">
        <v>84</v>
      </c>
      <c r="F41" s="5"/>
      <c r="G41" s="5"/>
      <c r="H41" s="5"/>
      <c r="I41" s="5"/>
      <c r="J41" s="5"/>
      <c r="K41" s="6"/>
      <c r="L41" s="5"/>
      <c r="M41" s="5"/>
      <c r="N41" s="6">
        <v>0.65</v>
      </c>
      <c r="O41" s="5"/>
      <c r="P41" s="5"/>
      <c r="Q41" s="5"/>
      <c r="R41" s="5"/>
      <c r="S41" s="5"/>
      <c r="T41" s="6">
        <f t="shared" si="0"/>
        <v>0.65</v>
      </c>
      <c r="U41" s="9" t="s">
        <v>493</v>
      </c>
      <c r="V41" s="1"/>
      <c r="W41" s="1"/>
      <c r="X41" s="1"/>
      <c r="Y41" s="1"/>
      <c r="Z41" s="1"/>
    </row>
    <row r="42" spans="1:26" ht="24.75" customHeight="1">
      <c r="A42" s="171"/>
      <c r="B42" s="171"/>
      <c r="C42" s="171"/>
      <c r="D42" s="5">
        <v>37</v>
      </c>
      <c r="E42" s="5" t="s">
        <v>86</v>
      </c>
      <c r="F42" s="5"/>
      <c r="G42" s="5"/>
      <c r="H42" s="5"/>
      <c r="I42" s="5"/>
      <c r="J42" s="5"/>
      <c r="K42" s="6"/>
      <c r="L42" s="5"/>
      <c r="M42" s="5"/>
      <c r="N42" s="5"/>
      <c r="O42" s="5"/>
      <c r="P42" s="5"/>
      <c r="Q42" s="5"/>
      <c r="R42" s="5"/>
      <c r="S42" s="5"/>
      <c r="T42" s="6">
        <f t="shared" si="0"/>
        <v>0</v>
      </c>
      <c r="U42" s="9"/>
      <c r="V42" s="1"/>
      <c r="W42" s="1"/>
      <c r="X42" s="1"/>
      <c r="Y42" s="1"/>
      <c r="Z42" s="1"/>
    </row>
    <row r="43" spans="1:26" ht="24.75" customHeight="1">
      <c r="A43" s="171"/>
      <c r="B43" s="171"/>
      <c r="C43" s="171"/>
      <c r="D43" s="5">
        <v>38</v>
      </c>
      <c r="E43" s="5" t="s">
        <v>87</v>
      </c>
      <c r="F43" s="5"/>
      <c r="G43" s="5"/>
      <c r="H43" s="5"/>
      <c r="I43" s="5"/>
      <c r="J43" s="5"/>
      <c r="K43" s="5"/>
      <c r="L43" s="5"/>
      <c r="M43" s="5"/>
      <c r="N43" s="6">
        <v>3.9249999999999998</v>
      </c>
      <c r="O43" s="8">
        <v>0.38400000000000001</v>
      </c>
      <c r="P43" s="8">
        <v>9.6</v>
      </c>
      <c r="Q43" s="8">
        <v>0.7</v>
      </c>
      <c r="R43" s="5">
        <v>1</v>
      </c>
      <c r="S43" s="5"/>
      <c r="T43" s="6">
        <f t="shared" si="0"/>
        <v>15.608999999999998</v>
      </c>
      <c r="U43" s="9" t="s">
        <v>618</v>
      </c>
      <c r="V43" s="1"/>
      <c r="W43" s="1"/>
      <c r="X43" s="1"/>
      <c r="Y43" s="1"/>
      <c r="Z43" s="1"/>
    </row>
    <row r="44" spans="1:26" ht="24.75" customHeight="1">
      <c r="A44" s="171"/>
      <c r="B44" s="171"/>
      <c r="C44" s="171"/>
      <c r="D44" s="5">
        <v>39</v>
      </c>
      <c r="E44" s="5" t="s">
        <v>88</v>
      </c>
      <c r="F44" s="5"/>
      <c r="G44" s="5"/>
      <c r="H44" s="5"/>
      <c r="I44" s="5"/>
      <c r="J44" s="5"/>
      <c r="K44" s="5"/>
      <c r="L44" s="5"/>
      <c r="M44" s="5"/>
      <c r="N44" s="5"/>
      <c r="O44" s="5"/>
      <c r="P44" s="8">
        <v>0.87</v>
      </c>
      <c r="Q44" s="8">
        <v>15.5</v>
      </c>
      <c r="R44" s="5"/>
      <c r="S44" s="5"/>
      <c r="T44" s="6">
        <f t="shared" si="0"/>
        <v>16.37</v>
      </c>
      <c r="U44" s="9" t="s">
        <v>619</v>
      </c>
      <c r="V44" s="1"/>
      <c r="W44" s="1"/>
      <c r="X44" s="1"/>
      <c r="Y44" s="1"/>
      <c r="Z44" s="1"/>
    </row>
    <row r="45" spans="1:26" ht="85.5" customHeight="1">
      <c r="A45" s="171"/>
      <c r="B45" s="171"/>
      <c r="C45" s="171"/>
      <c r="D45" s="5">
        <v>40</v>
      </c>
      <c r="E45" s="5" t="s">
        <v>89</v>
      </c>
      <c r="F45" s="5"/>
      <c r="G45" s="5"/>
      <c r="H45" s="5"/>
      <c r="I45" s="5"/>
      <c r="J45" s="5"/>
      <c r="K45" s="5"/>
      <c r="L45" s="5"/>
      <c r="M45" s="5"/>
      <c r="N45" s="6">
        <v>0.10920000000000001</v>
      </c>
      <c r="O45" s="5"/>
      <c r="P45" s="8">
        <v>0.15</v>
      </c>
      <c r="Q45" s="6">
        <v>0.47</v>
      </c>
      <c r="R45" s="8">
        <v>2</v>
      </c>
      <c r="S45" s="5"/>
      <c r="T45" s="6">
        <f t="shared" si="0"/>
        <v>2.7292000000000001</v>
      </c>
      <c r="U45" s="9" t="s">
        <v>822</v>
      </c>
      <c r="V45" s="1"/>
      <c r="W45" s="1"/>
      <c r="X45" s="1"/>
      <c r="Y45" s="1"/>
      <c r="Z45" s="1"/>
    </row>
    <row r="46" spans="1:26" ht="24.75" customHeight="1">
      <c r="A46" s="171"/>
      <c r="B46" s="169"/>
      <c r="C46" s="169"/>
      <c r="D46" s="5">
        <v>41</v>
      </c>
      <c r="E46" s="5" t="s">
        <v>54</v>
      </c>
      <c r="F46" s="5"/>
      <c r="G46" s="5"/>
      <c r="H46" s="5"/>
      <c r="I46" s="5"/>
      <c r="J46" s="5"/>
      <c r="K46" s="5"/>
      <c r="L46" s="5"/>
      <c r="M46" s="5"/>
      <c r="N46" s="5"/>
      <c r="O46" s="5"/>
      <c r="P46" s="5"/>
      <c r="Q46" s="5"/>
      <c r="R46" s="5"/>
      <c r="S46" s="5"/>
      <c r="T46" s="6">
        <f t="shared" si="0"/>
        <v>0</v>
      </c>
      <c r="U46" s="9"/>
      <c r="V46" s="1"/>
      <c r="W46" s="1"/>
      <c r="X46" s="1"/>
      <c r="Y46" s="1"/>
      <c r="Z46" s="1"/>
    </row>
    <row r="47" spans="1:26" ht="24.75" customHeight="1">
      <c r="A47" s="171"/>
      <c r="B47" s="168" t="s">
        <v>90</v>
      </c>
      <c r="C47" s="168" t="s">
        <v>91</v>
      </c>
      <c r="D47" s="5">
        <v>42</v>
      </c>
      <c r="E47" s="5" t="s">
        <v>92</v>
      </c>
      <c r="F47" s="8">
        <v>12.64</v>
      </c>
      <c r="G47" s="5"/>
      <c r="H47" s="5"/>
      <c r="I47" s="6"/>
      <c r="J47" s="5"/>
      <c r="K47" s="5"/>
      <c r="L47" s="5"/>
      <c r="M47" s="5"/>
      <c r="N47" s="6">
        <v>1.37</v>
      </c>
      <c r="O47" s="5"/>
      <c r="P47" s="8">
        <v>1.1000000000000001</v>
      </c>
      <c r="Q47" s="5"/>
      <c r="R47" s="5"/>
      <c r="S47" s="5"/>
      <c r="T47" s="6">
        <f t="shared" si="0"/>
        <v>15.110000000000001</v>
      </c>
      <c r="U47" s="9"/>
      <c r="V47" s="1"/>
      <c r="W47" s="1"/>
      <c r="X47" s="1"/>
      <c r="Y47" s="1"/>
      <c r="Z47" s="1"/>
    </row>
    <row r="48" spans="1:26" ht="24.75" customHeight="1">
      <c r="A48" s="171"/>
      <c r="B48" s="171"/>
      <c r="C48" s="171"/>
      <c r="D48" s="5">
        <v>43</v>
      </c>
      <c r="E48" s="5" t="s">
        <v>93</v>
      </c>
      <c r="F48" s="8">
        <v>0.6</v>
      </c>
      <c r="G48" s="5"/>
      <c r="H48" s="5"/>
      <c r="I48" s="6"/>
      <c r="J48" s="5"/>
      <c r="K48" s="5"/>
      <c r="L48" s="5"/>
      <c r="M48" s="5"/>
      <c r="N48" s="6">
        <v>0.45750000000000002</v>
      </c>
      <c r="O48" s="5"/>
      <c r="P48" s="8">
        <v>1.6</v>
      </c>
      <c r="Q48" s="5"/>
      <c r="R48" s="5"/>
      <c r="S48" s="5"/>
      <c r="T48" s="6">
        <f t="shared" si="0"/>
        <v>2.6575000000000002</v>
      </c>
      <c r="U48" s="9"/>
      <c r="V48" s="1"/>
      <c r="W48" s="1"/>
      <c r="X48" s="1"/>
      <c r="Y48" s="1"/>
      <c r="Z48" s="1"/>
    </row>
    <row r="49" spans="1:26" ht="24.75" customHeight="1">
      <c r="A49" s="171"/>
      <c r="B49" s="171"/>
      <c r="C49" s="171"/>
      <c r="D49" s="5">
        <v>44</v>
      </c>
      <c r="E49" s="5" t="s">
        <v>94</v>
      </c>
      <c r="F49" s="8">
        <v>0.5</v>
      </c>
      <c r="G49" s="5"/>
      <c r="H49" s="5"/>
      <c r="I49" s="6"/>
      <c r="J49" s="5"/>
      <c r="K49" s="5"/>
      <c r="L49" s="5"/>
      <c r="M49" s="5"/>
      <c r="N49" s="6">
        <v>2.44</v>
      </c>
      <c r="O49" s="8">
        <v>0.31</v>
      </c>
      <c r="P49" s="8">
        <v>0.3</v>
      </c>
      <c r="Q49" s="5"/>
      <c r="R49" s="5"/>
      <c r="S49" s="5"/>
      <c r="T49" s="6">
        <f t="shared" si="0"/>
        <v>3.55</v>
      </c>
      <c r="U49" s="9" t="s">
        <v>494</v>
      </c>
      <c r="V49" s="1"/>
      <c r="W49" s="1"/>
      <c r="X49" s="1"/>
      <c r="Y49" s="1"/>
      <c r="Z49" s="1"/>
    </row>
    <row r="50" spans="1:26" ht="24.75" customHeight="1">
      <c r="A50" s="171"/>
      <c r="B50" s="171"/>
      <c r="C50" s="171"/>
      <c r="D50" s="5">
        <v>45</v>
      </c>
      <c r="E50" s="5" t="s">
        <v>96</v>
      </c>
      <c r="F50" s="8">
        <v>0.1</v>
      </c>
      <c r="G50" s="5"/>
      <c r="H50" s="5"/>
      <c r="I50" s="5"/>
      <c r="J50" s="5"/>
      <c r="K50" s="5"/>
      <c r="L50" s="5"/>
      <c r="M50" s="5"/>
      <c r="N50" s="6">
        <v>1</v>
      </c>
      <c r="O50" s="8">
        <v>0.1</v>
      </c>
      <c r="P50" s="5"/>
      <c r="Q50" s="5"/>
      <c r="R50" s="5"/>
      <c r="S50" s="5"/>
      <c r="T50" s="6">
        <f t="shared" si="0"/>
        <v>1.2000000000000002</v>
      </c>
      <c r="U50" s="9"/>
      <c r="V50" s="1"/>
      <c r="W50" s="1"/>
      <c r="X50" s="1"/>
      <c r="Y50" s="1"/>
      <c r="Z50" s="1"/>
    </row>
    <row r="51" spans="1:26" ht="24.75" customHeight="1">
      <c r="A51" s="171"/>
      <c r="B51" s="171"/>
      <c r="C51" s="171"/>
      <c r="D51" s="5">
        <v>46</v>
      </c>
      <c r="E51" s="5" t="s">
        <v>97</v>
      </c>
      <c r="F51" s="5"/>
      <c r="G51" s="5"/>
      <c r="H51" s="5"/>
      <c r="I51" s="5"/>
      <c r="J51" s="5"/>
      <c r="K51" s="5"/>
      <c r="L51" s="5"/>
      <c r="M51" s="5"/>
      <c r="N51" s="5"/>
      <c r="O51" s="5"/>
      <c r="P51" s="5"/>
      <c r="Q51" s="5"/>
      <c r="R51" s="5"/>
      <c r="S51" s="5"/>
      <c r="T51" s="6">
        <f t="shared" si="0"/>
        <v>0</v>
      </c>
      <c r="U51" s="9"/>
      <c r="V51" s="1"/>
      <c r="W51" s="1"/>
      <c r="X51" s="1"/>
      <c r="Y51" s="1"/>
      <c r="Z51" s="1"/>
    </row>
    <row r="52" spans="1:26" ht="24.75" customHeight="1">
      <c r="A52" s="171"/>
      <c r="B52" s="171"/>
      <c r="C52" s="171"/>
      <c r="D52" s="5">
        <v>47</v>
      </c>
      <c r="E52" s="5" t="s">
        <v>98</v>
      </c>
      <c r="F52" s="8">
        <v>2.7</v>
      </c>
      <c r="G52" s="5"/>
      <c r="H52" s="5"/>
      <c r="I52" s="5"/>
      <c r="J52" s="5"/>
      <c r="K52" s="5"/>
      <c r="L52" s="5"/>
      <c r="M52" s="5"/>
      <c r="N52" s="5"/>
      <c r="O52" s="5"/>
      <c r="P52" s="5"/>
      <c r="Q52" s="5"/>
      <c r="R52" s="5"/>
      <c r="S52" s="5"/>
      <c r="T52" s="6">
        <f t="shared" si="0"/>
        <v>2.7</v>
      </c>
      <c r="U52" s="9"/>
      <c r="V52" s="1"/>
      <c r="W52" s="1"/>
      <c r="X52" s="1"/>
      <c r="Y52" s="1"/>
      <c r="Z52" s="1"/>
    </row>
    <row r="53" spans="1:26" ht="24.75" customHeight="1">
      <c r="A53" s="171"/>
      <c r="B53" s="171"/>
      <c r="C53" s="171"/>
      <c r="D53" s="5">
        <v>48</v>
      </c>
      <c r="E53" s="5" t="s">
        <v>99</v>
      </c>
      <c r="F53" s="5"/>
      <c r="G53" s="5"/>
      <c r="H53" s="5"/>
      <c r="I53" s="5"/>
      <c r="J53" s="5"/>
      <c r="K53" s="5"/>
      <c r="L53" s="5"/>
      <c r="M53" s="5"/>
      <c r="N53" s="6">
        <v>0.1</v>
      </c>
      <c r="O53" s="5"/>
      <c r="P53" s="8"/>
      <c r="Q53" s="5"/>
      <c r="R53" s="5"/>
      <c r="S53" s="5"/>
      <c r="T53" s="6">
        <f t="shared" si="0"/>
        <v>0.1</v>
      </c>
      <c r="U53" s="9"/>
      <c r="V53" s="1"/>
      <c r="W53" s="1"/>
      <c r="X53" s="1"/>
      <c r="Y53" s="1"/>
      <c r="Z53" s="1"/>
    </row>
    <row r="54" spans="1:26" ht="24.75" customHeight="1">
      <c r="A54" s="171"/>
      <c r="B54" s="171"/>
      <c r="C54" s="171"/>
      <c r="D54" s="5">
        <v>49</v>
      </c>
      <c r="E54" s="5" t="s">
        <v>100</v>
      </c>
      <c r="F54" s="5"/>
      <c r="G54" s="5"/>
      <c r="H54" s="5"/>
      <c r="I54" s="5"/>
      <c r="J54" s="5"/>
      <c r="K54" s="5"/>
      <c r="L54" s="5"/>
      <c r="M54" s="5"/>
      <c r="N54" s="5"/>
      <c r="O54" s="5"/>
      <c r="P54" s="5"/>
      <c r="Q54" s="6">
        <v>1</v>
      </c>
      <c r="R54" s="8">
        <v>1.22</v>
      </c>
      <c r="S54" s="5"/>
      <c r="T54" s="6">
        <f t="shared" si="0"/>
        <v>2.2199999999999998</v>
      </c>
      <c r="U54" s="9" t="s">
        <v>310</v>
      </c>
      <c r="V54" s="1"/>
      <c r="W54" s="1"/>
      <c r="X54" s="1"/>
      <c r="Y54" s="1"/>
      <c r="Z54" s="1"/>
    </row>
    <row r="55" spans="1:26" ht="24.75" customHeight="1">
      <c r="A55" s="171"/>
      <c r="B55" s="171"/>
      <c r="C55" s="171"/>
      <c r="D55" s="5">
        <v>50</v>
      </c>
      <c r="E55" s="5" t="s">
        <v>102</v>
      </c>
      <c r="F55" s="5"/>
      <c r="G55" s="5"/>
      <c r="H55" s="5"/>
      <c r="I55" s="6"/>
      <c r="J55" s="5"/>
      <c r="K55" s="5"/>
      <c r="L55" s="5"/>
      <c r="M55" s="5"/>
      <c r="N55" s="6">
        <v>0.73</v>
      </c>
      <c r="O55" s="5"/>
      <c r="P55" s="8">
        <v>0.64</v>
      </c>
      <c r="Q55" s="6">
        <v>2.6</v>
      </c>
      <c r="R55" s="8">
        <v>0.113</v>
      </c>
      <c r="S55" s="5"/>
      <c r="T55" s="6">
        <f t="shared" si="0"/>
        <v>4.0830000000000002</v>
      </c>
      <c r="U55" s="9" t="s">
        <v>310</v>
      </c>
      <c r="V55" s="1"/>
      <c r="W55" s="1"/>
      <c r="X55" s="1"/>
      <c r="Y55" s="1"/>
      <c r="Z55" s="1"/>
    </row>
    <row r="56" spans="1:26" ht="24.75" customHeight="1">
      <c r="A56" s="171"/>
      <c r="B56" s="169"/>
      <c r="C56" s="169"/>
      <c r="D56" s="5">
        <v>51</v>
      </c>
      <c r="E56" s="5" t="s">
        <v>54</v>
      </c>
      <c r="F56" s="5"/>
      <c r="G56" s="5"/>
      <c r="H56" s="5"/>
      <c r="I56" s="5"/>
      <c r="J56" s="5"/>
      <c r="K56" s="5"/>
      <c r="L56" s="5"/>
      <c r="M56" s="5"/>
      <c r="N56" s="8"/>
      <c r="O56" s="5"/>
      <c r="P56" s="5">
        <v>1</v>
      </c>
      <c r="Q56" s="5"/>
      <c r="R56" s="5"/>
      <c r="S56" s="5"/>
      <c r="T56" s="6">
        <f t="shared" si="0"/>
        <v>1</v>
      </c>
      <c r="U56" s="9"/>
      <c r="V56" s="1"/>
      <c r="W56" s="1"/>
      <c r="X56" s="1"/>
      <c r="Y56" s="1"/>
      <c r="Z56" s="1"/>
    </row>
    <row r="57" spans="1:26" ht="24.75" customHeight="1">
      <c r="A57" s="171"/>
      <c r="B57" s="168" t="s">
        <v>103</v>
      </c>
      <c r="C57" s="168" t="s">
        <v>104</v>
      </c>
      <c r="D57" s="5">
        <v>52</v>
      </c>
      <c r="E57" s="5" t="s">
        <v>105</v>
      </c>
      <c r="F57" s="123"/>
      <c r="G57" s="123"/>
      <c r="H57" s="123"/>
      <c r="I57" s="125"/>
      <c r="J57" s="123"/>
      <c r="K57" s="125"/>
      <c r="L57" s="123"/>
      <c r="M57" s="123"/>
      <c r="N57" s="125">
        <v>2</v>
      </c>
      <c r="O57" s="124">
        <v>35.712000000000003</v>
      </c>
      <c r="P57" s="123"/>
      <c r="Q57" s="123"/>
      <c r="R57" s="123"/>
      <c r="S57" s="123"/>
      <c r="T57" s="125">
        <f t="shared" ref="T57:T66" si="2">SUM(F57:S57)</f>
        <v>37.712000000000003</v>
      </c>
      <c r="U57" s="9" t="s">
        <v>65</v>
      </c>
      <c r="V57" s="1"/>
      <c r="W57" s="1"/>
      <c r="X57" s="1"/>
      <c r="Y57" s="1"/>
      <c r="Z57" s="1"/>
    </row>
    <row r="58" spans="1:26" ht="24.75" customHeight="1">
      <c r="A58" s="171"/>
      <c r="B58" s="171"/>
      <c r="C58" s="171"/>
      <c r="D58" s="5">
        <v>53</v>
      </c>
      <c r="E58" s="5" t="s">
        <v>106</v>
      </c>
      <c r="F58" s="123"/>
      <c r="G58" s="123"/>
      <c r="H58" s="123"/>
      <c r="I58" s="123"/>
      <c r="J58" s="123"/>
      <c r="K58" s="125"/>
      <c r="L58" s="123"/>
      <c r="M58" s="123"/>
      <c r="N58" s="125"/>
      <c r="O58" s="124">
        <v>3.97</v>
      </c>
      <c r="P58" s="123"/>
      <c r="Q58" s="124">
        <v>3</v>
      </c>
      <c r="R58" s="123"/>
      <c r="S58" s="123"/>
      <c r="T58" s="125">
        <f t="shared" si="2"/>
        <v>6.9700000000000006</v>
      </c>
      <c r="U58" s="9" t="s">
        <v>65</v>
      </c>
      <c r="V58" s="1"/>
      <c r="W58" s="1"/>
      <c r="X58" s="1"/>
      <c r="Y58" s="1"/>
      <c r="Z58" s="1"/>
    </row>
    <row r="59" spans="1:26" ht="24.75" customHeight="1">
      <c r="A59" s="171"/>
      <c r="B59" s="171"/>
      <c r="C59" s="171"/>
      <c r="D59" s="5">
        <v>54</v>
      </c>
      <c r="E59" s="5" t="s">
        <v>107</v>
      </c>
      <c r="F59" s="123"/>
      <c r="G59" s="123"/>
      <c r="H59" s="124"/>
      <c r="I59" s="123"/>
      <c r="J59" s="123"/>
      <c r="K59" s="123"/>
      <c r="L59" s="123"/>
      <c r="M59" s="123"/>
      <c r="N59" s="123"/>
      <c r="O59" s="124"/>
      <c r="P59" s="124"/>
      <c r="Q59" s="123"/>
      <c r="R59" s="123"/>
      <c r="S59" s="123"/>
      <c r="T59" s="125">
        <f t="shared" si="2"/>
        <v>0</v>
      </c>
      <c r="U59" s="9"/>
      <c r="V59" s="1"/>
      <c r="W59" s="1"/>
      <c r="X59" s="1"/>
      <c r="Y59" s="1"/>
      <c r="Z59" s="1"/>
    </row>
    <row r="60" spans="1:26" ht="24.75" customHeight="1">
      <c r="A60" s="171"/>
      <c r="B60" s="171"/>
      <c r="C60" s="171"/>
      <c r="D60" s="5">
        <v>55</v>
      </c>
      <c r="E60" s="5" t="s">
        <v>108</v>
      </c>
      <c r="F60" s="123"/>
      <c r="G60" s="123"/>
      <c r="H60" s="123"/>
      <c r="I60" s="123"/>
      <c r="J60" s="123"/>
      <c r="K60" s="125"/>
      <c r="L60" s="123"/>
      <c r="M60" s="123"/>
      <c r="N60" s="123"/>
      <c r="O60" s="123"/>
      <c r="P60" s="123"/>
      <c r="Q60" s="123"/>
      <c r="R60" s="123"/>
      <c r="S60" s="123"/>
      <c r="T60" s="125">
        <f t="shared" si="2"/>
        <v>0</v>
      </c>
      <c r="U60" s="9"/>
      <c r="V60" s="1"/>
      <c r="W60" s="1"/>
      <c r="X60" s="1"/>
      <c r="Y60" s="1"/>
      <c r="Z60" s="1"/>
    </row>
    <row r="61" spans="1:26" ht="24.75" customHeight="1">
      <c r="A61" s="171"/>
      <c r="B61" s="171"/>
      <c r="C61" s="171"/>
      <c r="D61" s="5">
        <v>56</v>
      </c>
      <c r="E61" s="5" t="s">
        <v>109</v>
      </c>
      <c r="F61" s="123"/>
      <c r="G61" s="123"/>
      <c r="H61" s="123"/>
      <c r="I61" s="123"/>
      <c r="J61" s="123"/>
      <c r="K61" s="123"/>
      <c r="L61" s="123"/>
      <c r="M61" s="123"/>
      <c r="N61" s="123"/>
      <c r="O61" s="124">
        <v>7.94</v>
      </c>
      <c r="P61" s="123"/>
      <c r="Q61" s="123"/>
      <c r="R61" s="123"/>
      <c r="S61" s="123"/>
      <c r="T61" s="125">
        <f t="shared" si="2"/>
        <v>7.94</v>
      </c>
      <c r="U61" s="9" t="s">
        <v>65</v>
      </c>
      <c r="V61" s="1"/>
      <c r="W61" s="1"/>
      <c r="X61" s="1"/>
      <c r="Y61" s="1"/>
      <c r="Z61" s="1"/>
    </row>
    <row r="62" spans="1:26" ht="24.75" customHeight="1">
      <c r="A62" s="171"/>
      <c r="B62" s="171"/>
      <c r="C62" s="171"/>
      <c r="D62" s="5">
        <v>57</v>
      </c>
      <c r="E62" s="5" t="s">
        <v>110</v>
      </c>
      <c r="F62" s="123"/>
      <c r="G62" s="123"/>
      <c r="H62" s="124"/>
      <c r="I62" s="123"/>
      <c r="J62" s="123"/>
      <c r="K62" s="123"/>
      <c r="L62" s="123"/>
      <c r="M62" s="125">
        <f>2.1+1.05</f>
        <v>3.1500000000000004</v>
      </c>
      <c r="N62" s="123"/>
      <c r="O62" s="123"/>
      <c r="P62" s="123"/>
      <c r="Q62" s="123"/>
      <c r="R62" s="123"/>
      <c r="S62" s="123"/>
      <c r="T62" s="125">
        <f t="shared" si="2"/>
        <v>3.1500000000000004</v>
      </c>
      <c r="U62" s="9" t="s">
        <v>65</v>
      </c>
      <c r="V62" s="1"/>
      <c r="W62" s="1"/>
      <c r="X62" s="1"/>
      <c r="Y62" s="1"/>
      <c r="Z62" s="1"/>
    </row>
    <row r="63" spans="1:26" ht="24.75" customHeight="1">
      <c r="A63" s="171"/>
      <c r="B63" s="171"/>
      <c r="C63" s="171"/>
      <c r="D63" s="5">
        <v>58</v>
      </c>
      <c r="E63" s="5" t="s">
        <v>111</v>
      </c>
      <c r="F63" s="123"/>
      <c r="G63" s="123"/>
      <c r="H63" s="123"/>
      <c r="I63" s="123"/>
      <c r="J63" s="123"/>
      <c r="K63" s="125"/>
      <c r="L63" s="123"/>
      <c r="M63" s="123"/>
      <c r="N63" s="123"/>
      <c r="O63" s="124">
        <v>1.98</v>
      </c>
      <c r="P63" s="123"/>
      <c r="Q63" s="124">
        <v>0.75</v>
      </c>
      <c r="R63" s="123"/>
      <c r="S63" s="123"/>
      <c r="T63" s="125">
        <f t="shared" si="2"/>
        <v>2.73</v>
      </c>
      <c r="U63" s="9" t="s">
        <v>65</v>
      </c>
      <c r="V63" s="1"/>
      <c r="W63" s="1"/>
      <c r="X63" s="1"/>
      <c r="Y63" s="1"/>
      <c r="Z63" s="1"/>
    </row>
    <row r="64" spans="1:26" ht="24.75" customHeight="1">
      <c r="A64" s="171"/>
      <c r="B64" s="171"/>
      <c r="C64" s="171"/>
      <c r="D64" s="5">
        <v>59</v>
      </c>
      <c r="E64" s="5" t="s">
        <v>112</v>
      </c>
      <c r="F64" s="123"/>
      <c r="G64" s="123"/>
      <c r="H64" s="123"/>
      <c r="I64" s="123"/>
      <c r="J64" s="123"/>
      <c r="K64" s="123"/>
      <c r="L64" s="123"/>
      <c r="M64" s="123"/>
      <c r="N64" s="123"/>
      <c r="O64" s="123"/>
      <c r="P64" s="123"/>
      <c r="Q64" s="123"/>
      <c r="R64" s="123"/>
      <c r="S64" s="123"/>
      <c r="T64" s="125">
        <f t="shared" si="2"/>
        <v>0</v>
      </c>
      <c r="U64" s="9"/>
      <c r="V64" s="1"/>
      <c r="W64" s="1"/>
      <c r="X64" s="1"/>
      <c r="Y64" s="1"/>
      <c r="Z64" s="1"/>
    </row>
    <row r="65" spans="1:26" ht="24.75" customHeight="1">
      <c r="A65" s="171"/>
      <c r="B65" s="171"/>
      <c r="C65" s="171"/>
      <c r="D65" s="5">
        <v>60</v>
      </c>
      <c r="E65" s="5" t="s">
        <v>113</v>
      </c>
      <c r="F65" s="123"/>
      <c r="G65" s="123"/>
      <c r="H65" s="123"/>
      <c r="I65" s="123"/>
      <c r="J65" s="123"/>
      <c r="K65" s="123"/>
      <c r="L65" s="123"/>
      <c r="M65" s="123"/>
      <c r="N65" s="123"/>
      <c r="O65" s="123"/>
      <c r="P65" s="123"/>
      <c r="Q65" s="123"/>
      <c r="R65" s="123"/>
      <c r="S65" s="123"/>
      <c r="T65" s="125">
        <f t="shared" si="2"/>
        <v>0</v>
      </c>
      <c r="U65" s="9"/>
      <c r="V65" s="1"/>
      <c r="W65" s="1"/>
      <c r="X65" s="1"/>
      <c r="Y65" s="1"/>
      <c r="Z65" s="1"/>
    </row>
    <row r="66" spans="1:26" ht="24.75" customHeight="1">
      <c r="A66" s="171"/>
      <c r="B66" s="169"/>
      <c r="C66" s="169"/>
      <c r="D66" s="5">
        <v>61</v>
      </c>
      <c r="E66" s="5" t="s">
        <v>54</v>
      </c>
      <c r="F66" s="123"/>
      <c r="G66" s="123"/>
      <c r="H66" s="123"/>
      <c r="I66" s="123"/>
      <c r="J66" s="123"/>
      <c r="K66" s="123"/>
      <c r="L66" s="123"/>
      <c r="M66" s="123"/>
      <c r="N66" s="123"/>
      <c r="O66" s="123"/>
      <c r="P66" s="123"/>
      <c r="Q66" s="123"/>
      <c r="R66" s="123"/>
      <c r="S66" s="123"/>
      <c r="T66" s="125">
        <f t="shared" si="2"/>
        <v>0</v>
      </c>
      <c r="U66" s="9"/>
      <c r="V66" s="1"/>
      <c r="W66" s="1"/>
      <c r="X66" s="1"/>
      <c r="Y66" s="1"/>
      <c r="Z66" s="1"/>
    </row>
    <row r="67" spans="1:26" ht="24.75" customHeight="1">
      <c r="A67" s="171"/>
      <c r="B67" s="5" t="s">
        <v>114</v>
      </c>
      <c r="C67" s="5" t="s">
        <v>115</v>
      </c>
      <c r="D67" s="5">
        <v>62</v>
      </c>
      <c r="E67" s="5" t="s">
        <v>116</v>
      </c>
      <c r="F67" s="5"/>
      <c r="G67" s="5"/>
      <c r="H67" s="5"/>
      <c r="I67" s="5"/>
      <c r="J67" s="5"/>
      <c r="K67" s="5"/>
      <c r="L67" s="5"/>
      <c r="M67" s="6"/>
      <c r="N67" s="5"/>
      <c r="O67" s="8">
        <v>1</v>
      </c>
      <c r="P67" s="8"/>
      <c r="Q67" s="6">
        <v>0.25</v>
      </c>
      <c r="R67" s="5"/>
      <c r="S67" s="8"/>
      <c r="T67" s="6">
        <f t="shared" si="0"/>
        <v>1.25</v>
      </c>
      <c r="U67" s="61" t="s">
        <v>577</v>
      </c>
      <c r="V67" s="1"/>
      <c r="W67" s="1"/>
      <c r="X67" s="1"/>
      <c r="Y67" s="1"/>
      <c r="Z67" s="1"/>
    </row>
    <row r="68" spans="1:26" ht="24.75" customHeight="1">
      <c r="A68" s="169"/>
      <c r="B68" s="176" t="s">
        <v>117</v>
      </c>
      <c r="C68" s="177"/>
      <c r="D68" s="178"/>
      <c r="E68" s="51"/>
      <c r="F68" s="51">
        <f t="shared" ref="F68:S68" si="3">SUM(F6:F67)</f>
        <v>41.740000000000009</v>
      </c>
      <c r="G68" s="51">
        <f t="shared" si="3"/>
        <v>0</v>
      </c>
      <c r="H68" s="51">
        <f t="shared" si="3"/>
        <v>0</v>
      </c>
      <c r="I68" s="51">
        <f t="shared" si="3"/>
        <v>10.975</v>
      </c>
      <c r="J68" s="51">
        <f t="shared" si="3"/>
        <v>0</v>
      </c>
      <c r="K68" s="51">
        <f t="shared" si="3"/>
        <v>38.302</v>
      </c>
      <c r="L68" s="51">
        <f t="shared" si="3"/>
        <v>0</v>
      </c>
      <c r="M68" s="51">
        <f t="shared" si="3"/>
        <v>17.792000000000002</v>
      </c>
      <c r="N68" s="51">
        <f t="shared" si="3"/>
        <v>35.396550000000005</v>
      </c>
      <c r="O68" s="51">
        <f t="shared" si="3"/>
        <v>230.45999999999998</v>
      </c>
      <c r="P68" s="51">
        <f t="shared" si="3"/>
        <v>355.11599999999999</v>
      </c>
      <c r="Q68" s="51">
        <f t="shared" si="3"/>
        <v>35.582499999999996</v>
      </c>
      <c r="R68" s="51">
        <f t="shared" si="3"/>
        <v>12.8245</v>
      </c>
      <c r="S68" s="51">
        <f t="shared" si="3"/>
        <v>0.35</v>
      </c>
      <c r="T68" s="6">
        <f t="shared" si="0"/>
        <v>778.53854999999987</v>
      </c>
      <c r="U68" s="9"/>
      <c r="V68" s="1"/>
      <c r="W68" s="1"/>
      <c r="X68" s="1"/>
      <c r="Y68" s="1"/>
      <c r="Z68" s="1"/>
    </row>
    <row r="69" spans="1:26" ht="39.75" customHeight="1">
      <c r="A69" s="175" t="s">
        <v>118</v>
      </c>
      <c r="B69" s="5" t="s">
        <v>119</v>
      </c>
      <c r="C69" s="5" t="s">
        <v>120</v>
      </c>
      <c r="D69" s="5">
        <v>63</v>
      </c>
      <c r="E69" s="5" t="s">
        <v>121</v>
      </c>
      <c r="F69" s="5"/>
      <c r="G69" s="5"/>
      <c r="H69" s="5"/>
      <c r="I69" s="5"/>
      <c r="J69" s="5"/>
      <c r="K69" s="5"/>
      <c r="L69" s="5"/>
      <c r="M69" s="8"/>
      <c r="N69" s="6">
        <v>10.25</v>
      </c>
      <c r="O69" s="5"/>
      <c r="P69" s="6"/>
      <c r="Q69" s="5"/>
      <c r="R69" s="8">
        <v>5</v>
      </c>
      <c r="S69" s="8">
        <v>2</v>
      </c>
      <c r="T69" s="6">
        <f t="shared" si="0"/>
        <v>17.25</v>
      </c>
      <c r="U69" s="9" t="s">
        <v>364</v>
      </c>
      <c r="V69" s="18"/>
      <c r="W69" s="1"/>
      <c r="X69" s="1"/>
      <c r="Y69" s="1"/>
      <c r="Z69" s="1"/>
    </row>
    <row r="70" spans="1:26" ht="39.75" customHeight="1">
      <c r="A70" s="171"/>
      <c r="B70" s="168" t="s">
        <v>122</v>
      </c>
      <c r="C70" s="168" t="s">
        <v>123</v>
      </c>
      <c r="D70" s="5">
        <v>64</v>
      </c>
      <c r="E70" s="5" t="s">
        <v>124</v>
      </c>
      <c r="F70" s="15"/>
      <c r="G70" s="15"/>
      <c r="H70" s="16"/>
      <c r="I70" s="17"/>
      <c r="J70" s="15"/>
      <c r="K70" s="17"/>
      <c r="L70" s="15"/>
      <c r="M70" s="15"/>
      <c r="N70" s="17">
        <v>7.64</v>
      </c>
      <c r="O70" s="16">
        <v>0.5625</v>
      </c>
      <c r="P70" s="17">
        <f>32.625+1.955</f>
        <v>34.58</v>
      </c>
      <c r="Q70" s="17">
        <f>0.4+0.5</f>
        <v>0.9</v>
      </c>
      <c r="R70" s="16">
        <v>2</v>
      </c>
      <c r="S70" s="16">
        <v>5</v>
      </c>
      <c r="T70" s="6">
        <f t="shared" ref="T70:T133" si="4">SUM(F70:S70)</f>
        <v>50.682499999999997</v>
      </c>
      <c r="U70" s="9" t="s">
        <v>464</v>
      </c>
      <c r="V70" s="18"/>
      <c r="W70" s="1"/>
      <c r="X70" s="1"/>
      <c r="Y70" s="1"/>
      <c r="Z70" s="1"/>
    </row>
    <row r="71" spans="1:26" ht="39.75" customHeight="1">
      <c r="A71" s="171"/>
      <c r="B71" s="171"/>
      <c r="C71" s="171"/>
      <c r="D71" s="5">
        <v>65</v>
      </c>
      <c r="E71" s="5" t="s">
        <v>126</v>
      </c>
      <c r="F71" s="15"/>
      <c r="G71" s="15"/>
      <c r="H71" s="15"/>
      <c r="I71" s="15"/>
      <c r="J71" s="15"/>
      <c r="K71" s="15"/>
      <c r="L71" s="15"/>
      <c r="M71" s="15"/>
      <c r="N71" s="17"/>
      <c r="O71" s="15"/>
      <c r="P71" s="16">
        <v>0.17</v>
      </c>
      <c r="Q71" s="15"/>
      <c r="R71" s="15"/>
      <c r="S71" s="16"/>
      <c r="T71" s="6">
        <f t="shared" si="4"/>
        <v>0.17</v>
      </c>
      <c r="U71" s="9" t="s">
        <v>366</v>
      </c>
      <c r="V71" s="1"/>
      <c r="W71" s="1"/>
      <c r="X71" s="1"/>
      <c r="Y71" s="1"/>
      <c r="Z71" s="1"/>
    </row>
    <row r="72" spans="1:26" ht="39.75" customHeight="1">
      <c r="A72" s="171"/>
      <c r="B72" s="171"/>
      <c r="C72" s="171"/>
      <c r="D72" s="5">
        <v>66</v>
      </c>
      <c r="E72" s="5" t="s">
        <v>128</v>
      </c>
      <c r="F72" s="15"/>
      <c r="G72" s="15"/>
      <c r="H72" s="15"/>
      <c r="I72" s="15"/>
      <c r="J72" s="15"/>
      <c r="K72" s="17"/>
      <c r="L72" s="15"/>
      <c r="M72" s="15"/>
      <c r="N72" s="17">
        <v>0.2</v>
      </c>
      <c r="O72" s="15"/>
      <c r="P72" s="16"/>
      <c r="Q72" s="17">
        <v>0.05</v>
      </c>
      <c r="R72" s="34">
        <v>0.15</v>
      </c>
      <c r="S72" s="15"/>
      <c r="T72" s="6">
        <f t="shared" si="4"/>
        <v>0.4</v>
      </c>
      <c r="U72" s="9" t="s">
        <v>129</v>
      </c>
      <c r="V72" s="1"/>
      <c r="W72" s="1"/>
      <c r="X72" s="1"/>
      <c r="Y72" s="1"/>
      <c r="Z72" s="1"/>
    </row>
    <row r="73" spans="1:26" ht="39.75" customHeight="1">
      <c r="A73" s="171"/>
      <c r="B73" s="171"/>
      <c r="C73" s="171"/>
      <c r="D73" s="5">
        <v>67</v>
      </c>
      <c r="E73" s="5" t="s">
        <v>131</v>
      </c>
      <c r="F73" s="15"/>
      <c r="G73" s="15"/>
      <c r="H73" s="15"/>
      <c r="I73" s="15">
        <v>1.2050000000000001</v>
      </c>
      <c r="J73" s="15"/>
      <c r="K73" s="17"/>
      <c r="L73" s="15"/>
      <c r="M73" s="15"/>
      <c r="N73" s="17">
        <v>0.6</v>
      </c>
      <c r="O73" s="15">
        <v>1.25</v>
      </c>
      <c r="P73" s="16">
        <v>2</v>
      </c>
      <c r="Q73" s="17">
        <v>0.64500000000000002</v>
      </c>
      <c r="R73" s="16">
        <v>2.75</v>
      </c>
      <c r="S73" s="16"/>
      <c r="T73" s="6">
        <f t="shared" si="4"/>
        <v>8.4499999999999993</v>
      </c>
      <c r="U73" s="9" t="s">
        <v>495</v>
      </c>
      <c r="V73" s="1"/>
      <c r="W73" s="1"/>
      <c r="X73" s="1"/>
      <c r="Y73" s="1"/>
      <c r="Z73" s="1"/>
    </row>
    <row r="74" spans="1:26" ht="39.75" customHeight="1">
      <c r="A74" s="171"/>
      <c r="B74" s="169"/>
      <c r="C74" s="169"/>
      <c r="D74" s="5">
        <v>68</v>
      </c>
      <c r="E74" s="5" t="s">
        <v>133</v>
      </c>
      <c r="F74" s="16"/>
      <c r="G74" s="15"/>
      <c r="H74" s="15"/>
      <c r="I74" s="17"/>
      <c r="J74" s="15"/>
      <c r="K74" s="17"/>
      <c r="L74" s="15"/>
      <c r="M74" s="15"/>
      <c r="N74" s="17">
        <v>1.1000000000000001</v>
      </c>
      <c r="O74" s="16"/>
      <c r="P74" s="16">
        <f>3.435</f>
        <v>3.4350000000000001</v>
      </c>
      <c r="Q74" s="17">
        <v>3.5</v>
      </c>
      <c r="R74" s="16">
        <v>5.7</v>
      </c>
      <c r="S74" s="16">
        <v>6.4</v>
      </c>
      <c r="T74" s="6">
        <f t="shared" si="4"/>
        <v>20.134999999999998</v>
      </c>
      <c r="U74" s="9" t="s">
        <v>134</v>
      </c>
      <c r="V74" s="1"/>
      <c r="W74" s="1"/>
      <c r="X74" s="1"/>
      <c r="Y74" s="1"/>
      <c r="Z74" s="1"/>
    </row>
    <row r="75" spans="1:26" ht="39.75" customHeight="1">
      <c r="A75" s="171"/>
      <c r="B75" s="168" t="s">
        <v>136</v>
      </c>
      <c r="C75" s="168" t="s">
        <v>137</v>
      </c>
      <c r="D75" s="5">
        <v>69</v>
      </c>
      <c r="E75" s="5" t="s">
        <v>138</v>
      </c>
      <c r="F75" s="20"/>
      <c r="G75" s="20"/>
      <c r="H75" s="20"/>
      <c r="I75" s="20"/>
      <c r="J75" s="20"/>
      <c r="K75" s="20"/>
      <c r="L75" s="20"/>
      <c r="M75" s="20">
        <v>0.68</v>
      </c>
      <c r="N75" s="20"/>
      <c r="O75" s="20">
        <v>52.164000000000001</v>
      </c>
      <c r="P75" s="20">
        <v>0.9</v>
      </c>
      <c r="Q75" s="20"/>
      <c r="R75" s="20"/>
      <c r="S75" s="20"/>
      <c r="T75" s="6">
        <f t="shared" si="4"/>
        <v>53.744</v>
      </c>
      <c r="U75" s="10" t="s">
        <v>496</v>
      </c>
      <c r="V75" s="1"/>
      <c r="W75" s="1"/>
      <c r="X75" s="1"/>
      <c r="Y75" s="1"/>
      <c r="Z75" s="1"/>
    </row>
    <row r="76" spans="1:26" ht="39.75" customHeight="1">
      <c r="A76" s="171"/>
      <c r="B76" s="171"/>
      <c r="C76" s="171"/>
      <c r="D76" s="5">
        <v>70</v>
      </c>
      <c r="E76" s="5" t="s">
        <v>140</v>
      </c>
      <c r="F76" s="20"/>
      <c r="G76" s="20"/>
      <c r="H76" s="20"/>
      <c r="I76" s="22">
        <v>0.36399999999999999</v>
      </c>
      <c r="J76" s="20"/>
      <c r="K76" s="20"/>
      <c r="L76" s="20"/>
      <c r="M76" s="20"/>
      <c r="N76" s="20"/>
      <c r="O76" s="20"/>
      <c r="P76" s="20">
        <v>0.3</v>
      </c>
      <c r="Q76" s="20"/>
      <c r="R76" s="20"/>
      <c r="S76" s="20"/>
      <c r="T76" s="6">
        <f t="shared" si="4"/>
        <v>0.66399999999999992</v>
      </c>
      <c r="U76" s="46" t="s">
        <v>400</v>
      </c>
      <c r="V76" s="1"/>
      <c r="W76" s="1"/>
      <c r="X76" s="1"/>
      <c r="Y76" s="1"/>
      <c r="Z76" s="1"/>
    </row>
    <row r="77" spans="1:26" ht="39.75" customHeight="1">
      <c r="A77" s="171"/>
      <c r="B77" s="171"/>
      <c r="C77" s="171"/>
      <c r="D77" s="5">
        <v>71</v>
      </c>
      <c r="E77" s="5" t="s">
        <v>142</v>
      </c>
      <c r="F77" s="20"/>
      <c r="G77" s="20"/>
      <c r="H77" s="20"/>
      <c r="I77" s="20"/>
      <c r="J77" s="20"/>
      <c r="K77" s="20"/>
      <c r="L77" s="20"/>
      <c r="M77" s="20"/>
      <c r="N77" s="20"/>
      <c r="O77" s="20"/>
      <c r="P77" s="20"/>
      <c r="Q77" s="20"/>
      <c r="R77" s="20"/>
      <c r="S77" s="20"/>
      <c r="T77" s="6">
        <f t="shared" si="4"/>
        <v>0</v>
      </c>
      <c r="U77" s="46"/>
      <c r="V77" s="1"/>
      <c r="W77" s="1"/>
      <c r="X77" s="1"/>
      <c r="Y77" s="1"/>
      <c r="Z77" s="1"/>
    </row>
    <row r="78" spans="1:26" ht="39.75" customHeight="1">
      <c r="A78" s="171"/>
      <c r="B78" s="169"/>
      <c r="C78" s="169"/>
      <c r="D78" s="5">
        <v>72</v>
      </c>
      <c r="E78" s="5" t="s">
        <v>143</v>
      </c>
      <c r="F78" s="20"/>
      <c r="G78" s="20"/>
      <c r="H78" s="20"/>
      <c r="I78" s="20"/>
      <c r="J78" s="20"/>
      <c r="K78" s="20"/>
      <c r="L78" s="20"/>
      <c r="M78" s="20"/>
      <c r="N78" s="20">
        <v>3.4950000000000001</v>
      </c>
      <c r="O78" s="20"/>
      <c r="P78" s="20"/>
      <c r="Q78" s="20">
        <v>2.6890000000000001</v>
      </c>
      <c r="R78" s="20">
        <v>2.87</v>
      </c>
      <c r="S78" s="20"/>
      <c r="T78" s="6">
        <f t="shared" si="4"/>
        <v>9.0540000000000003</v>
      </c>
      <c r="U78" s="46" t="s">
        <v>497</v>
      </c>
      <c r="V78" s="1"/>
      <c r="W78" s="1"/>
      <c r="X78" s="1"/>
      <c r="Y78" s="1"/>
      <c r="Z78" s="1"/>
    </row>
    <row r="79" spans="1:26" ht="39.75" customHeight="1">
      <c r="A79" s="171"/>
      <c r="B79" s="168" t="s">
        <v>145</v>
      </c>
      <c r="C79" s="168" t="s">
        <v>146</v>
      </c>
      <c r="D79" s="5">
        <v>73</v>
      </c>
      <c r="E79" s="5" t="s">
        <v>147</v>
      </c>
      <c r="F79" s="128">
        <v>6.3</v>
      </c>
      <c r="G79" s="128"/>
      <c r="H79" s="128">
        <v>2.5</v>
      </c>
      <c r="I79" s="128">
        <f>2.5+2.4+2+1.5</f>
        <v>8.4</v>
      </c>
      <c r="J79" s="112"/>
      <c r="K79" s="128">
        <f>3.2</f>
        <v>3.2</v>
      </c>
      <c r="L79" s="112"/>
      <c r="M79" s="128">
        <f>5.6+5.5</f>
        <v>11.1</v>
      </c>
      <c r="N79" s="128">
        <f>4.8+2.4+0.7</f>
        <v>7.8999999999999995</v>
      </c>
      <c r="O79" s="128"/>
      <c r="P79" s="128">
        <f>1.4+0.2+1.8</f>
        <v>3.4</v>
      </c>
      <c r="Q79" s="112"/>
      <c r="R79" s="128">
        <f>4.9+3.2+6+1.6+3.9+1.3</f>
        <v>20.900000000000002</v>
      </c>
      <c r="S79" s="128">
        <f>0.7</f>
        <v>0.7</v>
      </c>
      <c r="T79" s="129">
        <f>SUM(F79:S79)</f>
        <v>64.400000000000006</v>
      </c>
      <c r="U79" s="130" t="s">
        <v>802</v>
      </c>
      <c r="V79" s="1"/>
      <c r="W79" s="1"/>
      <c r="X79" s="1"/>
      <c r="Y79" s="1"/>
      <c r="Z79" s="1"/>
    </row>
    <row r="80" spans="1:26" ht="39.75" customHeight="1">
      <c r="A80" s="171"/>
      <c r="B80" s="171"/>
      <c r="C80" s="171"/>
      <c r="D80" s="5">
        <v>74</v>
      </c>
      <c r="E80" s="5" t="s">
        <v>148</v>
      </c>
      <c r="F80" s="128">
        <f>59+4.8</f>
        <v>63.8</v>
      </c>
      <c r="G80" s="128"/>
      <c r="H80" s="112"/>
      <c r="I80" s="112"/>
      <c r="J80" s="112"/>
      <c r="K80" s="112"/>
      <c r="L80" s="112"/>
      <c r="M80" s="112"/>
      <c r="N80" s="112"/>
      <c r="O80" s="112"/>
      <c r="P80" s="112"/>
      <c r="Q80" s="112"/>
      <c r="R80" s="112"/>
      <c r="S80" s="112"/>
      <c r="T80" s="129">
        <f t="shared" ref="T80:T84" si="5">SUM(F80:S80)</f>
        <v>63.8</v>
      </c>
      <c r="U80" s="130" t="s">
        <v>803</v>
      </c>
      <c r="V80" s="1"/>
      <c r="W80" s="1"/>
      <c r="X80" s="1"/>
      <c r="Y80" s="1"/>
      <c r="Z80" s="1"/>
    </row>
    <row r="81" spans="1:26" ht="39.75" customHeight="1">
      <c r="A81" s="171"/>
      <c r="B81" s="171"/>
      <c r="C81" s="171"/>
      <c r="D81" s="5">
        <v>75</v>
      </c>
      <c r="E81" s="5" t="s">
        <v>149</v>
      </c>
      <c r="F81" s="128">
        <f>4.6+2.3</f>
        <v>6.8999999999999995</v>
      </c>
      <c r="G81" s="128"/>
      <c r="H81" s="112"/>
      <c r="I81" s="112"/>
      <c r="J81" s="112"/>
      <c r="K81" s="112"/>
      <c r="L81" s="112"/>
      <c r="M81" s="112"/>
      <c r="N81" s="112"/>
      <c r="O81" s="112"/>
      <c r="P81" s="128">
        <f>3.8</f>
        <v>3.8</v>
      </c>
      <c r="Q81" s="112"/>
      <c r="R81" s="112"/>
      <c r="S81" s="112"/>
      <c r="T81" s="129">
        <f t="shared" si="5"/>
        <v>10.7</v>
      </c>
      <c r="U81" s="130" t="s">
        <v>804</v>
      </c>
      <c r="V81" s="1"/>
      <c r="W81" s="1"/>
      <c r="X81" s="1"/>
      <c r="Y81" s="1"/>
      <c r="Z81" s="1"/>
    </row>
    <row r="82" spans="1:26" ht="39.75" customHeight="1">
      <c r="A82" s="171"/>
      <c r="B82" s="171"/>
      <c r="C82" s="171"/>
      <c r="D82" s="5">
        <v>76</v>
      </c>
      <c r="E82" s="5" t="s">
        <v>150</v>
      </c>
      <c r="F82" s="112"/>
      <c r="G82" s="112"/>
      <c r="H82" s="112"/>
      <c r="I82" s="112"/>
      <c r="J82" s="112"/>
      <c r="K82" s="128"/>
      <c r="L82" s="112"/>
      <c r="M82" s="128">
        <v>2.2000000000000002</v>
      </c>
      <c r="N82" s="112"/>
      <c r="O82" s="112"/>
      <c r="P82" s="112"/>
      <c r="Q82" s="112"/>
      <c r="R82" s="112"/>
      <c r="S82" s="112"/>
      <c r="T82" s="129">
        <f t="shared" si="5"/>
        <v>2.2000000000000002</v>
      </c>
      <c r="U82" s="131" t="s">
        <v>747</v>
      </c>
      <c r="V82" s="1"/>
      <c r="W82" s="1"/>
      <c r="X82" s="1"/>
      <c r="Y82" s="1"/>
      <c r="Z82" s="1"/>
    </row>
    <row r="83" spans="1:26" ht="39.75" customHeight="1">
      <c r="A83" s="171"/>
      <c r="B83" s="171"/>
      <c r="C83" s="171"/>
      <c r="D83" s="5">
        <v>77</v>
      </c>
      <c r="E83" s="5" t="s">
        <v>151</v>
      </c>
      <c r="F83" s="128">
        <v>2.2000000000000002</v>
      </c>
      <c r="G83" s="128"/>
      <c r="H83" s="128">
        <v>1.5</v>
      </c>
      <c r="I83" s="128">
        <f>1+1</f>
        <v>2</v>
      </c>
      <c r="J83" s="112"/>
      <c r="K83" s="128">
        <f>2.3</f>
        <v>2.2999999999999998</v>
      </c>
      <c r="L83" s="112"/>
      <c r="M83" s="128"/>
      <c r="N83" s="128">
        <v>0.4</v>
      </c>
      <c r="O83" s="112"/>
      <c r="P83" s="112"/>
      <c r="Q83" s="112"/>
      <c r="R83" s="112"/>
      <c r="S83" s="128">
        <v>0.5</v>
      </c>
      <c r="T83" s="129">
        <f t="shared" si="5"/>
        <v>8.9</v>
      </c>
      <c r="U83" s="130" t="s">
        <v>805</v>
      </c>
      <c r="V83" s="1"/>
      <c r="W83" s="1"/>
      <c r="X83" s="1"/>
      <c r="Y83" s="1"/>
      <c r="Z83" s="1"/>
    </row>
    <row r="84" spans="1:26" ht="39.75" customHeight="1">
      <c r="A84" s="171"/>
      <c r="B84" s="171"/>
      <c r="C84" s="171"/>
      <c r="D84" s="5">
        <v>78</v>
      </c>
      <c r="E84" s="5" t="s">
        <v>152</v>
      </c>
      <c r="F84" s="112"/>
      <c r="G84" s="112"/>
      <c r="H84" s="112"/>
      <c r="I84" s="112"/>
      <c r="J84" s="112"/>
      <c r="K84" s="112"/>
      <c r="L84" s="112"/>
      <c r="M84" s="112"/>
      <c r="N84" s="112"/>
      <c r="O84" s="112"/>
      <c r="P84" s="112"/>
      <c r="Q84" s="128">
        <f>11.32+1.3</f>
        <v>12.620000000000001</v>
      </c>
      <c r="R84" s="112"/>
      <c r="S84" s="112"/>
      <c r="T84" s="129">
        <f t="shared" si="5"/>
        <v>12.620000000000001</v>
      </c>
      <c r="U84" s="130" t="s">
        <v>806</v>
      </c>
      <c r="V84" s="1"/>
      <c r="W84" s="1"/>
      <c r="X84" s="1"/>
      <c r="Y84" s="1"/>
      <c r="Z84" s="1"/>
    </row>
    <row r="85" spans="1:26" ht="39.75" customHeight="1">
      <c r="A85" s="171"/>
      <c r="B85" s="169"/>
      <c r="C85" s="169"/>
      <c r="D85" s="5">
        <v>79</v>
      </c>
      <c r="E85" s="5" t="s">
        <v>54</v>
      </c>
      <c r="F85" s="112"/>
      <c r="G85" s="112"/>
      <c r="H85" s="112"/>
      <c r="I85" s="112"/>
      <c r="J85" s="112"/>
      <c r="K85" s="112"/>
      <c r="L85" s="112"/>
      <c r="M85" s="112"/>
      <c r="N85" s="112"/>
      <c r="O85" s="112"/>
      <c r="P85" s="112"/>
      <c r="Q85" s="112"/>
      <c r="R85" s="112"/>
      <c r="S85" s="112"/>
      <c r="T85" s="129"/>
      <c r="U85" s="112"/>
      <c r="V85" s="1"/>
      <c r="W85" s="1"/>
      <c r="X85" s="1"/>
      <c r="Y85" s="1"/>
      <c r="Z85" s="1"/>
    </row>
    <row r="86" spans="1:26" ht="165.75" customHeight="1">
      <c r="A86" s="171"/>
      <c r="B86" s="168" t="s">
        <v>153</v>
      </c>
      <c r="C86" s="168" t="s">
        <v>154</v>
      </c>
      <c r="D86" s="5">
        <v>80</v>
      </c>
      <c r="E86" s="5" t="s">
        <v>155</v>
      </c>
      <c r="F86" s="5"/>
      <c r="G86" s="5"/>
      <c r="H86" s="5"/>
      <c r="I86" s="5"/>
      <c r="J86" s="5"/>
      <c r="K86" s="25"/>
      <c r="L86" s="5"/>
      <c r="M86" s="6"/>
      <c r="N86" s="5"/>
      <c r="O86" s="5"/>
      <c r="P86" s="8">
        <v>2.4</v>
      </c>
      <c r="Q86" s="6">
        <v>1</v>
      </c>
      <c r="R86" s="8"/>
      <c r="S86" s="5"/>
      <c r="T86" s="6">
        <f t="shared" si="4"/>
        <v>3.4</v>
      </c>
      <c r="U86" s="45" t="s">
        <v>498</v>
      </c>
      <c r="V86" s="1"/>
      <c r="W86" s="1"/>
      <c r="X86" s="1"/>
      <c r="Y86" s="1"/>
      <c r="Z86" s="1"/>
    </row>
    <row r="87" spans="1:26" ht="39.75" customHeight="1">
      <c r="A87" s="171"/>
      <c r="B87" s="171"/>
      <c r="C87" s="171"/>
      <c r="D87" s="5">
        <v>81</v>
      </c>
      <c r="E87" s="5" t="s">
        <v>156</v>
      </c>
      <c r="F87" s="5"/>
      <c r="G87" s="5"/>
      <c r="H87" s="5"/>
      <c r="I87" s="5"/>
      <c r="J87" s="5"/>
      <c r="K87" s="5"/>
      <c r="L87" s="5"/>
      <c r="M87" s="6"/>
      <c r="N87" s="6"/>
      <c r="O87" s="5"/>
      <c r="P87" s="8"/>
      <c r="Q87" s="8"/>
      <c r="R87" s="5"/>
      <c r="S87" s="5"/>
      <c r="T87" s="6">
        <f t="shared" si="4"/>
        <v>0</v>
      </c>
      <c r="U87" s="36"/>
      <c r="V87" s="1"/>
      <c r="W87" s="1"/>
      <c r="X87" s="1"/>
      <c r="Y87" s="1"/>
      <c r="Z87" s="1"/>
    </row>
    <row r="88" spans="1:26" ht="39.75" customHeight="1">
      <c r="A88" s="171"/>
      <c r="B88" s="171"/>
      <c r="C88" s="171"/>
      <c r="D88" s="5">
        <v>82</v>
      </c>
      <c r="E88" s="5" t="s">
        <v>157</v>
      </c>
      <c r="F88" s="5"/>
      <c r="G88" s="5"/>
      <c r="H88" s="5"/>
      <c r="I88" s="5"/>
      <c r="J88" s="5"/>
      <c r="K88" s="5"/>
      <c r="L88" s="5"/>
      <c r="M88" s="5"/>
      <c r="N88" s="5"/>
      <c r="O88" s="5"/>
      <c r="P88" s="8"/>
      <c r="Q88" s="5"/>
      <c r="R88" s="5"/>
      <c r="S88" s="5"/>
      <c r="T88" s="6">
        <f t="shared" si="4"/>
        <v>0</v>
      </c>
      <c r="U88" s="36"/>
      <c r="V88" s="1"/>
      <c r="W88" s="1"/>
      <c r="X88" s="1"/>
      <c r="Y88" s="1"/>
      <c r="Z88" s="1"/>
    </row>
    <row r="89" spans="1:26" ht="189" customHeight="1">
      <c r="A89" s="171"/>
      <c r="B89" s="169"/>
      <c r="C89" s="169"/>
      <c r="D89" s="5">
        <v>83</v>
      </c>
      <c r="E89" s="5" t="s">
        <v>158</v>
      </c>
      <c r="F89" s="5"/>
      <c r="G89" s="5"/>
      <c r="H89" s="5"/>
      <c r="I89" s="5"/>
      <c r="J89" s="5"/>
      <c r="K89" s="6">
        <v>2</v>
      </c>
      <c r="L89" s="5"/>
      <c r="M89" s="8"/>
      <c r="N89" s="6"/>
      <c r="O89" s="5"/>
      <c r="P89" s="8">
        <v>1.04</v>
      </c>
      <c r="Q89" s="6"/>
      <c r="R89" s="8"/>
      <c r="S89" s="5"/>
      <c r="T89" s="6">
        <f t="shared" si="4"/>
        <v>3.04</v>
      </c>
      <c r="U89" s="36" t="s">
        <v>499</v>
      </c>
      <c r="V89" s="1"/>
      <c r="W89" s="1"/>
      <c r="X89" s="1"/>
      <c r="Y89" s="1"/>
      <c r="Z89" s="1"/>
    </row>
    <row r="90" spans="1:26" ht="205.5" customHeight="1">
      <c r="A90" s="171"/>
      <c r="B90" s="5" t="s">
        <v>159</v>
      </c>
      <c r="C90" s="5" t="s">
        <v>160</v>
      </c>
      <c r="D90" s="5">
        <v>84</v>
      </c>
      <c r="E90" s="5" t="s">
        <v>161</v>
      </c>
      <c r="F90" s="5"/>
      <c r="G90" s="5"/>
      <c r="H90" s="5"/>
      <c r="I90" s="6"/>
      <c r="J90" s="5"/>
      <c r="K90" s="6"/>
      <c r="L90" s="5"/>
      <c r="M90" s="5"/>
      <c r="N90" s="6">
        <v>0.78</v>
      </c>
      <c r="O90" s="5"/>
      <c r="P90" s="5"/>
      <c r="Q90" s="6">
        <v>2.5</v>
      </c>
      <c r="R90" s="8">
        <v>0.2</v>
      </c>
      <c r="S90" s="5"/>
      <c r="T90" s="6">
        <f t="shared" si="4"/>
        <v>3.4800000000000004</v>
      </c>
      <c r="U90" s="9" t="s">
        <v>581</v>
      </c>
      <c r="V90" s="1"/>
      <c r="W90" s="1"/>
      <c r="X90" s="1"/>
      <c r="Y90" s="1"/>
      <c r="Z90" s="1"/>
    </row>
    <row r="91" spans="1:26" ht="51.75" customHeight="1">
      <c r="A91" s="171"/>
      <c r="B91" s="5" t="s">
        <v>162</v>
      </c>
      <c r="C91" s="5" t="s">
        <v>163</v>
      </c>
      <c r="D91" s="5">
        <v>85</v>
      </c>
      <c r="E91" s="5" t="s">
        <v>164</v>
      </c>
      <c r="F91" s="5"/>
      <c r="G91" s="5"/>
      <c r="H91" s="5"/>
      <c r="I91" s="5"/>
      <c r="J91" s="5"/>
      <c r="K91" s="6"/>
      <c r="L91" s="5"/>
      <c r="M91" s="5"/>
      <c r="N91" s="6">
        <v>0.2</v>
      </c>
      <c r="O91" s="5"/>
      <c r="P91" s="5"/>
      <c r="Q91" s="6">
        <v>1</v>
      </c>
      <c r="R91" s="8"/>
      <c r="S91" s="5"/>
      <c r="T91" s="6">
        <f t="shared" si="4"/>
        <v>1.2</v>
      </c>
      <c r="U91" s="9" t="s">
        <v>165</v>
      </c>
      <c r="V91" s="1"/>
      <c r="W91" s="1"/>
      <c r="X91" s="1"/>
      <c r="Y91" s="1"/>
      <c r="Z91" s="1"/>
    </row>
    <row r="92" spans="1:26" ht="39.75" customHeight="1">
      <c r="A92" s="171"/>
      <c r="B92" s="5" t="s">
        <v>166</v>
      </c>
      <c r="C92" s="5" t="s">
        <v>54</v>
      </c>
      <c r="D92" s="5">
        <v>86</v>
      </c>
      <c r="E92" s="5" t="s">
        <v>167</v>
      </c>
      <c r="F92" s="5"/>
      <c r="G92" s="5"/>
      <c r="H92" s="5"/>
      <c r="I92" s="5"/>
      <c r="J92" s="5"/>
      <c r="K92" s="5"/>
      <c r="L92" s="5"/>
      <c r="M92" s="5"/>
      <c r="N92" s="5"/>
      <c r="O92" s="5"/>
      <c r="P92" s="5"/>
      <c r="Q92" s="5"/>
      <c r="R92" s="5"/>
      <c r="S92" s="5"/>
      <c r="T92" s="6">
        <f t="shared" si="4"/>
        <v>0</v>
      </c>
      <c r="U92" s="9"/>
      <c r="V92" s="1"/>
      <c r="W92" s="1"/>
      <c r="X92" s="1"/>
      <c r="Y92" s="1"/>
      <c r="Z92" s="1"/>
    </row>
    <row r="93" spans="1:26" ht="39.75" customHeight="1">
      <c r="A93" s="169"/>
      <c r="B93" s="176" t="s">
        <v>168</v>
      </c>
      <c r="C93" s="177"/>
      <c r="D93" s="178"/>
      <c r="E93" s="51"/>
      <c r="F93" s="51">
        <f t="shared" ref="F93:S93" si="6">SUM(F69:F92)</f>
        <v>79.2</v>
      </c>
      <c r="G93" s="51">
        <f t="shared" si="6"/>
        <v>0</v>
      </c>
      <c r="H93" s="51">
        <f t="shared" si="6"/>
        <v>4</v>
      </c>
      <c r="I93" s="51">
        <f t="shared" si="6"/>
        <v>11.969000000000001</v>
      </c>
      <c r="J93" s="51">
        <f t="shared" si="6"/>
        <v>0</v>
      </c>
      <c r="K93" s="51">
        <f t="shared" si="6"/>
        <v>7.5</v>
      </c>
      <c r="L93" s="51">
        <f t="shared" si="6"/>
        <v>0</v>
      </c>
      <c r="M93" s="56">
        <f t="shared" si="6"/>
        <v>13.98</v>
      </c>
      <c r="N93" s="52">
        <f t="shared" si="6"/>
        <v>32.565000000000005</v>
      </c>
      <c r="O93" s="51">
        <f t="shared" si="6"/>
        <v>53.976500000000001</v>
      </c>
      <c r="P93" s="52">
        <f t="shared" si="6"/>
        <v>52.024999999999991</v>
      </c>
      <c r="Q93" s="51">
        <f t="shared" si="6"/>
        <v>24.904000000000003</v>
      </c>
      <c r="R93" s="56">
        <f t="shared" si="6"/>
        <v>39.570000000000007</v>
      </c>
      <c r="S93" s="56">
        <f t="shared" si="6"/>
        <v>14.6</v>
      </c>
      <c r="T93" s="52">
        <f t="shared" si="4"/>
        <v>334.28950000000003</v>
      </c>
      <c r="U93" s="9"/>
      <c r="V93" s="1"/>
      <c r="W93" s="1"/>
      <c r="X93" s="1"/>
      <c r="Y93" s="1"/>
      <c r="Z93" s="1"/>
    </row>
    <row r="94" spans="1:26" ht="39.75" customHeight="1">
      <c r="A94" s="175" t="s">
        <v>169</v>
      </c>
      <c r="B94" s="168" t="s">
        <v>170</v>
      </c>
      <c r="C94" s="168" t="s">
        <v>171</v>
      </c>
      <c r="D94" s="5">
        <v>87</v>
      </c>
      <c r="E94" s="5" t="s">
        <v>172</v>
      </c>
      <c r="F94" s="114">
        <v>0</v>
      </c>
      <c r="G94" s="114"/>
      <c r="H94" s="114"/>
      <c r="I94" s="114"/>
      <c r="J94" s="114"/>
      <c r="K94" s="115">
        <v>10</v>
      </c>
      <c r="L94" s="114"/>
      <c r="M94" s="114"/>
      <c r="N94" s="114"/>
      <c r="O94" s="114"/>
      <c r="P94" s="114"/>
      <c r="Q94" s="114"/>
      <c r="R94" s="114"/>
      <c r="S94" s="116"/>
      <c r="T94" s="117">
        <f>SUM(F94:S94)</f>
        <v>10</v>
      </c>
      <c r="U94" s="88" t="s">
        <v>731</v>
      </c>
      <c r="V94" s="1"/>
      <c r="W94" s="1"/>
      <c r="X94" s="1"/>
      <c r="Y94" s="1"/>
      <c r="Z94" s="1"/>
    </row>
    <row r="95" spans="1:26" ht="39.75" customHeight="1">
      <c r="A95" s="171"/>
      <c r="B95" s="171"/>
      <c r="C95" s="171"/>
      <c r="D95" s="5">
        <v>88</v>
      </c>
      <c r="E95" s="5" t="s">
        <v>173</v>
      </c>
      <c r="F95" s="114"/>
      <c r="G95" s="114"/>
      <c r="H95" s="114"/>
      <c r="I95" s="114"/>
      <c r="J95" s="114"/>
      <c r="K95" s="114"/>
      <c r="L95" s="114"/>
      <c r="M95" s="114"/>
      <c r="N95" s="114"/>
      <c r="O95" s="114"/>
      <c r="P95" s="118">
        <v>7</v>
      </c>
      <c r="Q95" s="114"/>
      <c r="R95" s="114"/>
      <c r="S95" s="116"/>
      <c r="T95" s="117">
        <f t="shared" ref="T95:T103" si="7">SUM(F95:S95)</f>
        <v>7</v>
      </c>
      <c r="U95" s="88" t="s">
        <v>500</v>
      </c>
      <c r="V95" s="1"/>
      <c r="W95" s="1"/>
      <c r="X95" s="1"/>
      <c r="Y95" s="1"/>
      <c r="Z95" s="1"/>
    </row>
    <row r="96" spans="1:26" ht="39.75" customHeight="1">
      <c r="A96" s="171"/>
      <c r="B96" s="171"/>
      <c r="C96" s="171"/>
      <c r="D96" s="5">
        <v>89</v>
      </c>
      <c r="E96" s="5" t="s">
        <v>174</v>
      </c>
      <c r="F96" s="114"/>
      <c r="G96" s="114"/>
      <c r="H96" s="114"/>
      <c r="I96" s="114"/>
      <c r="J96" s="114"/>
      <c r="K96" s="114"/>
      <c r="L96" s="114"/>
      <c r="M96" s="114"/>
      <c r="N96" s="114"/>
      <c r="O96" s="114"/>
      <c r="P96" s="114"/>
      <c r="Q96" s="114"/>
      <c r="R96" s="114"/>
      <c r="S96" s="116"/>
      <c r="T96" s="117">
        <f t="shared" si="7"/>
        <v>0</v>
      </c>
      <c r="U96" s="88"/>
      <c r="V96" s="1"/>
      <c r="W96" s="1"/>
      <c r="X96" s="1"/>
      <c r="Y96" s="1"/>
      <c r="Z96" s="1"/>
    </row>
    <row r="97" spans="1:26" ht="39.75" customHeight="1">
      <c r="A97" s="171"/>
      <c r="B97" s="171"/>
      <c r="C97" s="171"/>
      <c r="D97" s="5">
        <v>90</v>
      </c>
      <c r="E97" s="5" t="s">
        <v>175</v>
      </c>
      <c r="F97" s="114"/>
      <c r="G97" s="114"/>
      <c r="H97" s="114"/>
      <c r="I97" s="114"/>
      <c r="J97" s="114"/>
      <c r="K97" s="114"/>
      <c r="L97" s="114"/>
      <c r="M97" s="114"/>
      <c r="N97" s="114"/>
      <c r="O97" s="114"/>
      <c r="P97" s="118"/>
      <c r="Q97" s="114"/>
      <c r="R97" s="114"/>
      <c r="S97" s="116"/>
      <c r="T97" s="117">
        <f t="shared" si="7"/>
        <v>0</v>
      </c>
      <c r="U97" s="88"/>
      <c r="V97" s="1"/>
      <c r="W97" s="1"/>
      <c r="X97" s="1"/>
      <c r="Y97" s="1"/>
      <c r="Z97" s="1"/>
    </row>
    <row r="98" spans="1:26" ht="39.75" customHeight="1">
      <c r="A98" s="171"/>
      <c r="B98" s="171"/>
      <c r="C98" s="171"/>
      <c r="D98" s="5">
        <v>91</v>
      </c>
      <c r="E98" s="5" t="s">
        <v>176</v>
      </c>
      <c r="F98" s="114"/>
      <c r="G98" s="114"/>
      <c r="H98" s="114"/>
      <c r="I98" s="114"/>
      <c r="J98" s="114"/>
      <c r="K98" s="115">
        <v>0</v>
      </c>
      <c r="L98" s="114"/>
      <c r="M98" s="114"/>
      <c r="N98" s="114"/>
      <c r="O98" s="114"/>
      <c r="P98" s="118">
        <v>2</v>
      </c>
      <c r="Q98" s="114"/>
      <c r="R98" s="114"/>
      <c r="S98" s="116"/>
      <c r="T98" s="117">
        <f t="shared" si="7"/>
        <v>2</v>
      </c>
      <c r="U98" s="121" t="s">
        <v>469</v>
      </c>
      <c r="V98" s="1"/>
      <c r="W98" s="1"/>
      <c r="X98" s="1"/>
      <c r="Y98" s="1"/>
      <c r="Z98" s="1"/>
    </row>
    <row r="99" spans="1:26" ht="39.75" customHeight="1">
      <c r="A99" s="171"/>
      <c r="B99" s="171"/>
      <c r="C99" s="171"/>
      <c r="D99" s="5">
        <v>92</v>
      </c>
      <c r="E99" s="5" t="s">
        <v>178</v>
      </c>
      <c r="F99" s="114"/>
      <c r="G99" s="114"/>
      <c r="H99" s="114"/>
      <c r="I99" s="114"/>
      <c r="J99" s="114"/>
      <c r="K99" s="114"/>
      <c r="L99" s="114"/>
      <c r="M99" s="114"/>
      <c r="N99" s="114"/>
      <c r="O99" s="114"/>
      <c r="P99" s="118"/>
      <c r="Q99" s="114"/>
      <c r="R99" s="114"/>
      <c r="S99" s="116"/>
      <c r="T99" s="117">
        <f t="shared" si="7"/>
        <v>0</v>
      </c>
      <c r="U99" s="122"/>
      <c r="V99" s="1"/>
      <c r="W99" s="1"/>
      <c r="X99" s="1"/>
      <c r="Y99" s="1"/>
      <c r="Z99" s="1"/>
    </row>
    <row r="100" spans="1:26" ht="39.75" customHeight="1">
      <c r="A100" s="171"/>
      <c r="B100" s="171"/>
      <c r="C100" s="171"/>
      <c r="D100" s="5">
        <v>93</v>
      </c>
      <c r="E100" s="5" t="s">
        <v>180</v>
      </c>
      <c r="F100" s="114"/>
      <c r="G100" s="114"/>
      <c r="H100" s="114"/>
      <c r="I100" s="118"/>
      <c r="J100" s="114"/>
      <c r="K100" s="114"/>
      <c r="L100" s="114"/>
      <c r="M100" s="114"/>
      <c r="N100" s="114"/>
      <c r="O100" s="114"/>
      <c r="P100" s="114"/>
      <c r="Q100" s="114"/>
      <c r="R100" s="114"/>
      <c r="S100" s="116"/>
      <c r="T100" s="117">
        <f t="shared" si="7"/>
        <v>0</v>
      </c>
      <c r="U100" s="121"/>
      <c r="V100" s="1"/>
      <c r="W100" s="1"/>
      <c r="X100" s="1"/>
      <c r="Y100" s="1"/>
      <c r="Z100" s="1"/>
    </row>
    <row r="101" spans="1:26" ht="39.75" customHeight="1">
      <c r="A101" s="171"/>
      <c r="B101" s="171"/>
      <c r="C101" s="171"/>
      <c r="D101" s="5">
        <v>94</v>
      </c>
      <c r="E101" s="5" t="s">
        <v>181</v>
      </c>
      <c r="F101" s="114"/>
      <c r="G101" s="114"/>
      <c r="H101" s="114"/>
      <c r="I101" s="118"/>
      <c r="J101" s="114"/>
      <c r="K101" s="114"/>
      <c r="L101" s="114"/>
      <c r="M101" s="114"/>
      <c r="N101" s="114"/>
      <c r="O101" s="114"/>
      <c r="P101" s="114"/>
      <c r="Q101" s="114"/>
      <c r="R101" s="114"/>
      <c r="S101" s="116"/>
      <c r="T101" s="117">
        <f t="shared" si="7"/>
        <v>0</v>
      </c>
      <c r="U101" s="122"/>
      <c r="V101" s="1"/>
      <c r="W101" s="1"/>
      <c r="X101" s="1"/>
      <c r="Y101" s="1"/>
      <c r="Z101" s="1"/>
    </row>
    <row r="102" spans="1:26" ht="39.75" customHeight="1">
      <c r="A102" s="171"/>
      <c r="B102" s="171"/>
      <c r="C102" s="171"/>
      <c r="D102" s="5">
        <v>95</v>
      </c>
      <c r="E102" s="5" t="s">
        <v>182</v>
      </c>
      <c r="F102" s="114"/>
      <c r="G102" s="114"/>
      <c r="H102" s="118"/>
      <c r="I102" s="115">
        <v>10</v>
      </c>
      <c r="J102" s="114"/>
      <c r="K102" s="114"/>
      <c r="L102" s="114"/>
      <c r="M102" s="114"/>
      <c r="N102" s="114"/>
      <c r="O102" s="114"/>
      <c r="P102" s="114"/>
      <c r="Q102" s="114"/>
      <c r="R102" s="114"/>
      <c r="S102" s="116"/>
      <c r="T102" s="117">
        <f t="shared" si="7"/>
        <v>10</v>
      </c>
      <c r="U102" s="88" t="s">
        <v>713</v>
      </c>
      <c r="V102" s="1"/>
      <c r="W102" s="1"/>
      <c r="X102" s="1"/>
      <c r="Y102" s="1"/>
      <c r="Z102" s="1"/>
    </row>
    <row r="103" spans="1:26" ht="39.75" customHeight="1">
      <c r="A103" s="171"/>
      <c r="B103" s="169"/>
      <c r="C103" s="169"/>
      <c r="D103" s="5">
        <v>96</v>
      </c>
      <c r="E103" s="5" t="s">
        <v>183</v>
      </c>
      <c r="F103" s="114"/>
      <c r="G103" s="114"/>
      <c r="H103" s="114"/>
      <c r="I103" s="114"/>
      <c r="J103" s="114"/>
      <c r="K103" s="114"/>
      <c r="L103" s="114"/>
      <c r="M103" s="114"/>
      <c r="N103" s="115">
        <v>0</v>
      </c>
      <c r="O103" s="114"/>
      <c r="P103" s="114"/>
      <c r="Q103" s="115">
        <v>1</v>
      </c>
      <c r="R103" s="118">
        <v>1</v>
      </c>
      <c r="S103" s="116"/>
      <c r="T103" s="117">
        <f t="shared" si="7"/>
        <v>2</v>
      </c>
      <c r="U103" s="88" t="s">
        <v>421</v>
      </c>
      <c r="V103" s="1"/>
      <c r="W103" s="1"/>
      <c r="X103" s="1"/>
      <c r="Y103" s="1"/>
      <c r="Z103" s="1"/>
    </row>
    <row r="104" spans="1:26" ht="39.75" customHeight="1">
      <c r="A104" s="171"/>
      <c r="B104" s="168" t="s">
        <v>184</v>
      </c>
      <c r="C104" s="168" t="s">
        <v>185</v>
      </c>
      <c r="D104" s="5">
        <v>97</v>
      </c>
      <c r="E104" s="5" t="s">
        <v>186</v>
      </c>
      <c r="F104" s="5"/>
      <c r="G104" s="5"/>
      <c r="H104" s="5"/>
      <c r="I104" s="6"/>
      <c r="J104" s="5"/>
      <c r="K104" s="6"/>
      <c r="L104" s="5"/>
      <c r="M104" s="6">
        <v>2.86</v>
      </c>
      <c r="N104" s="6">
        <v>5.5</v>
      </c>
      <c r="O104" s="5"/>
      <c r="P104" s="8">
        <v>18.100000000000001</v>
      </c>
      <c r="Q104" s="6">
        <v>4</v>
      </c>
      <c r="R104" s="8">
        <v>17.55</v>
      </c>
      <c r="S104" s="5"/>
      <c r="T104" s="6">
        <f t="shared" si="4"/>
        <v>48.010000000000005</v>
      </c>
      <c r="U104" s="10" t="s">
        <v>373</v>
      </c>
      <c r="V104" s="1"/>
      <c r="W104" s="1"/>
      <c r="X104" s="1"/>
      <c r="Y104" s="1"/>
      <c r="Z104" s="1"/>
    </row>
    <row r="105" spans="1:26" ht="39.75" customHeight="1">
      <c r="A105" s="171"/>
      <c r="B105" s="169"/>
      <c r="C105" s="169"/>
      <c r="D105" s="5">
        <v>98</v>
      </c>
      <c r="E105" s="5" t="s">
        <v>54</v>
      </c>
      <c r="F105" s="5"/>
      <c r="G105" s="5"/>
      <c r="H105" s="5"/>
      <c r="I105" s="5"/>
      <c r="J105" s="5"/>
      <c r="K105" s="5"/>
      <c r="L105" s="5"/>
      <c r="M105" s="5"/>
      <c r="N105" s="5"/>
      <c r="O105" s="5"/>
      <c r="P105" s="5"/>
      <c r="Q105" s="5"/>
      <c r="R105" s="5"/>
      <c r="S105" s="5"/>
      <c r="T105" s="6">
        <f t="shared" si="4"/>
        <v>0</v>
      </c>
      <c r="U105" s="46"/>
      <c r="V105" s="1"/>
      <c r="W105" s="1"/>
      <c r="X105" s="1"/>
      <c r="Y105" s="1"/>
      <c r="Z105" s="1"/>
    </row>
    <row r="106" spans="1:26" ht="39.75" customHeight="1">
      <c r="A106" s="171"/>
      <c r="B106" s="168" t="s">
        <v>188</v>
      </c>
      <c r="C106" s="168" t="s">
        <v>189</v>
      </c>
      <c r="D106" s="5">
        <v>99</v>
      </c>
      <c r="E106" s="5" t="s">
        <v>190</v>
      </c>
      <c r="F106" s="5"/>
      <c r="G106" s="5"/>
      <c r="H106" s="8"/>
      <c r="I106" s="6">
        <v>2</v>
      </c>
      <c r="J106" s="5"/>
      <c r="K106" s="6"/>
      <c r="L106" s="5"/>
      <c r="M106" s="5"/>
      <c r="N106" s="6">
        <v>0.8</v>
      </c>
      <c r="O106" s="5"/>
      <c r="P106" s="5"/>
      <c r="Q106" s="6">
        <v>2</v>
      </c>
      <c r="R106" s="5"/>
      <c r="S106" s="5"/>
      <c r="T106" s="6">
        <f t="shared" si="4"/>
        <v>4.8</v>
      </c>
      <c r="U106" s="46" t="s">
        <v>374</v>
      </c>
      <c r="V106" s="1"/>
      <c r="W106" s="1"/>
      <c r="X106" s="1"/>
      <c r="Y106" s="1"/>
      <c r="Z106" s="1"/>
    </row>
    <row r="107" spans="1:26" ht="39.75" customHeight="1">
      <c r="A107" s="171"/>
      <c r="B107" s="171"/>
      <c r="C107" s="171"/>
      <c r="D107" s="5">
        <v>100</v>
      </c>
      <c r="E107" s="5" t="s">
        <v>192</v>
      </c>
      <c r="F107" s="5"/>
      <c r="G107" s="5"/>
      <c r="H107" s="5"/>
      <c r="I107" s="6">
        <v>0.5</v>
      </c>
      <c r="J107" s="5"/>
      <c r="K107" s="6"/>
      <c r="L107" s="5"/>
      <c r="M107" s="5"/>
      <c r="N107" s="5"/>
      <c r="O107" s="5"/>
      <c r="P107" s="5"/>
      <c r="Q107" s="5"/>
      <c r="R107" s="5"/>
      <c r="S107" s="5"/>
      <c r="T107" s="6">
        <f t="shared" si="4"/>
        <v>0.5</v>
      </c>
      <c r="U107" s="46" t="s">
        <v>193</v>
      </c>
      <c r="V107" s="1"/>
      <c r="W107" s="1"/>
      <c r="X107" s="1"/>
      <c r="Y107" s="1"/>
      <c r="Z107" s="1"/>
    </row>
    <row r="108" spans="1:26" ht="39.75" customHeight="1">
      <c r="A108" s="171"/>
      <c r="B108" s="171"/>
      <c r="C108" s="171"/>
      <c r="D108" s="5">
        <v>101</v>
      </c>
      <c r="E108" s="5" t="s">
        <v>194</v>
      </c>
      <c r="F108" s="5"/>
      <c r="G108" s="5"/>
      <c r="H108" s="5"/>
      <c r="I108" s="5"/>
      <c r="J108" s="5"/>
      <c r="K108" s="5"/>
      <c r="L108" s="5"/>
      <c r="M108" s="5"/>
      <c r="N108" s="5"/>
      <c r="O108" s="5"/>
      <c r="P108" s="5"/>
      <c r="Q108" s="5"/>
      <c r="R108" s="5"/>
      <c r="S108" s="5"/>
      <c r="T108" s="6">
        <f t="shared" si="4"/>
        <v>0</v>
      </c>
      <c r="U108" s="9"/>
      <c r="V108" s="1"/>
      <c r="W108" s="1"/>
      <c r="X108" s="1"/>
      <c r="Y108" s="1"/>
      <c r="Z108" s="1"/>
    </row>
    <row r="109" spans="1:26" ht="39.75" customHeight="1">
      <c r="A109" s="171"/>
      <c r="B109" s="171"/>
      <c r="C109" s="171"/>
      <c r="D109" s="5">
        <v>102</v>
      </c>
      <c r="E109" s="5" t="s">
        <v>195</v>
      </c>
      <c r="F109" s="5"/>
      <c r="G109" s="5"/>
      <c r="H109" s="5"/>
      <c r="I109" s="5"/>
      <c r="J109" s="5"/>
      <c r="K109" s="5"/>
      <c r="L109" s="5"/>
      <c r="M109" s="5"/>
      <c r="N109" s="5"/>
      <c r="O109" s="5"/>
      <c r="P109" s="5"/>
      <c r="Q109" s="6"/>
      <c r="R109" s="5"/>
      <c r="S109" s="5"/>
      <c r="T109" s="6">
        <f t="shared" si="4"/>
        <v>0</v>
      </c>
      <c r="U109" s="9"/>
      <c r="V109" s="1"/>
      <c r="W109" s="1"/>
      <c r="X109" s="1"/>
      <c r="Y109" s="1"/>
      <c r="Z109" s="1"/>
    </row>
    <row r="110" spans="1:26" ht="39.75" customHeight="1">
      <c r="A110" s="171"/>
      <c r="B110" s="169"/>
      <c r="C110" s="169"/>
      <c r="D110" s="5">
        <v>103</v>
      </c>
      <c r="E110" s="5" t="s">
        <v>54</v>
      </c>
      <c r="F110" s="5"/>
      <c r="G110" s="5"/>
      <c r="H110" s="5"/>
      <c r="I110" s="5"/>
      <c r="J110" s="5"/>
      <c r="K110" s="5"/>
      <c r="L110" s="5"/>
      <c r="M110" s="5"/>
      <c r="N110" s="5"/>
      <c r="O110" s="5"/>
      <c r="P110" s="8">
        <v>5</v>
      </c>
      <c r="Q110" s="5"/>
      <c r="R110" s="8"/>
      <c r="S110" s="8"/>
      <c r="T110" s="6">
        <f t="shared" si="4"/>
        <v>5</v>
      </c>
      <c r="U110" s="10" t="s">
        <v>196</v>
      </c>
      <c r="V110" s="1"/>
      <c r="W110" s="1"/>
      <c r="X110" s="1"/>
      <c r="Y110" s="1"/>
      <c r="Z110" s="1"/>
    </row>
    <row r="111" spans="1:26" ht="39.75" customHeight="1">
      <c r="A111" s="171"/>
      <c r="B111" s="168" t="s">
        <v>197</v>
      </c>
      <c r="C111" s="168" t="s">
        <v>198</v>
      </c>
      <c r="D111" s="5">
        <v>104</v>
      </c>
      <c r="E111" s="5" t="s">
        <v>199</v>
      </c>
      <c r="F111" s="5"/>
      <c r="G111" s="5"/>
      <c r="H111" s="5"/>
      <c r="I111" s="5"/>
      <c r="J111" s="5"/>
      <c r="K111" s="5"/>
      <c r="L111" s="5"/>
      <c r="M111" s="5"/>
      <c r="N111" s="8">
        <v>2</v>
      </c>
      <c r="O111" s="5"/>
      <c r="P111" s="8">
        <v>3</v>
      </c>
      <c r="Q111" s="8">
        <v>1</v>
      </c>
      <c r="R111" s="8"/>
      <c r="S111" s="8"/>
      <c r="T111" s="6">
        <f t="shared" si="4"/>
        <v>6</v>
      </c>
      <c r="U111" s="113" t="s">
        <v>691</v>
      </c>
      <c r="V111" s="1"/>
      <c r="W111" s="1"/>
      <c r="X111" s="1"/>
      <c r="Y111" s="1"/>
      <c r="Z111" s="1"/>
    </row>
    <row r="112" spans="1:26" ht="39.75" customHeight="1">
      <c r="A112" s="171"/>
      <c r="B112" s="171"/>
      <c r="C112" s="171"/>
      <c r="D112" s="5">
        <v>105</v>
      </c>
      <c r="E112" s="5" t="s">
        <v>200</v>
      </c>
      <c r="F112" s="5"/>
      <c r="G112" s="5"/>
      <c r="H112" s="5"/>
      <c r="I112" s="5"/>
      <c r="J112" s="5"/>
      <c r="K112" s="5"/>
      <c r="L112" s="5"/>
      <c r="M112" s="5"/>
      <c r="N112" s="5"/>
      <c r="O112" s="5"/>
      <c r="P112" s="5"/>
      <c r="Q112" s="5"/>
      <c r="R112" s="5"/>
      <c r="S112" s="5"/>
      <c r="T112" s="6">
        <f t="shared" si="4"/>
        <v>0</v>
      </c>
      <c r="U112" s="9"/>
      <c r="V112" s="1"/>
      <c r="W112" s="1"/>
      <c r="X112" s="1"/>
      <c r="Y112" s="1"/>
      <c r="Z112" s="1"/>
    </row>
    <row r="113" spans="1:26" ht="39.75" customHeight="1">
      <c r="A113" s="171"/>
      <c r="B113" s="169"/>
      <c r="C113" s="169"/>
      <c r="D113" s="5">
        <v>106</v>
      </c>
      <c r="E113" s="5" t="s">
        <v>201</v>
      </c>
      <c r="F113" s="5"/>
      <c r="G113" s="5"/>
      <c r="H113" s="5"/>
      <c r="I113" s="6"/>
      <c r="J113" s="5"/>
      <c r="K113" s="6"/>
      <c r="L113" s="5"/>
      <c r="M113" s="5"/>
      <c r="N113" s="6"/>
      <c r="O113" s="5"/>
      <c r="P113" s="8"/>
      <c r="Q113" s="6">
        <v>2</v>
      </c>
      <c r="R113" s="8">
        <v>3</v>
      </c>
      <c r="S113" s="8"/>
      <c r="T113" s="6">
        <f t="shared" si="4"/>
        <v>5</v>
      </c>
      <c r="U113" s="113" t="s">
        <v>689</v>
      </c>
      <c r="V113" s="1"/>
      <c r="W113" s="1"/>
      <c r="X113" s="1"/>
      <c r="Y113" s="1"/>
      <c r="Z113" s="1"/>
    </row>
    <row r="114" spans="1:26" ht="39.75" customHeight="1">
      <c r="A114" s="171"/>
      <c r="B114" s="168" t="s">
        <v>202</v>
      </c>
      <c r="C114" s="168" t="s">
        <v>203</v>
      </c>
      <c r="D114" s="5">
        <v>107</v>
      </c>
      <c r="E114" s="5" t="s">
        <v>204</v>
      </c>
      <c r="F114" s="5"/>
      <c r="G114" s="5"/>
      <c r="H114" s="5"/>
      <c r="I114" s="6"/>
      <c r="J114" s="5"/>
      <c r="K114" s="6"/>
      <c r="L114" s="5"/>
      <c r="M114" s="5"/>
      <c r="N114" s="6"/>
      <c r="O114" s="5"/>
      <c r="P114" s="8">
        <v>3.5</v>
      </c>
      <c r="Q114" s="5"/>
      <c r="R114" s="8"/>
      <c r="S114" s="5"/>
      <c r="T114" s="6">
        <f t="shared" si="4"/>
        <v>3.5</v>
      </c>
      <c r="U114" s="46" t="s">
        <v>205</v>
      </c>
      <c r="V114" s="1"/>
      <c r="W114" s="1"/>
      <c r="X114" s="1"/>
      <c r="Y114" s="1"/>
      <c r="Z114" s="1"/>
    </row>
    <row r="115" spans="1:26" ht="39.75" customHeight="1">
      <c r="A115" s="171"/>
      <c r="B115" s="171"/>
      <c r="C115" s="171"/>
      <c r="D115" s="5">
        <v>108</v>
      </c>
      <c r="E115" s="5" t="s">
        <v>206</v>
      </c>
      <c r="F115" s="5"/>
      <c r="G115" s="5"/>
      <c r="H115" s="5"/>
      <c r="I115" s="6"/>
      <c r="J115" s="5"/>
      <c r="K115" s="6"/>
      <c r="L115" s="5"/>
      <c r="M115" s="5"/>
      <c r="N115" s="5"/>
      <c r="O115" s="5"/>
      <c r="P115" s="8">
        <v>8</v>
      </c>
      <c r="Q115" s="5"/>
      <c r="R115" s="5"/>
      <c r="S115" s="5"/>
      <c r="T115" s="6">
        <f t="shared" si="4"/>
        <v>8</v>
      </c>
      <c r="U115" s="46" t="s">
        <v>207</v>
      </c>
      <c r="V115" s="1"/>
      <c r="W115" s="1"/>
      <c r="X115" s="1"/>
      <c r="Y115" s="1"/>
      <c r="Z115" s="1"/>
    </row>
    <row r="116" spans="1:26" ht="39.75" customHeight="1">
      <c r="A116" s="171"/>
      <c r="B116" s="171"/>
      <c r="C116" s="171"/>
      <c r="D116" s="5">
        <v>109</v>
      </c>
      <c r="E116" s="5" t="s">
        <v>208</v>
      </c>
      <c r="F116" s="5"/>
      <c r="G116" s="5"/>
      <c r="H116" s="8"/>
      <c r="I116" s="6"/>
      <c r="J116" s="5"/>
      <c r="K116" s="6"/>
      <c r="L116" s="5"/>
      <c r="M116" s="5"/>
      <c r="N116" s="5"/>
      <c r="O116" s="5"/>
      <c r="P116" s="5"/>
      <c r="Q116" s="5"/>
      <c r="R116" s="5"/>
      <c r="S116" s="5"/>
      <c r="T116" s="6">
        <f t="shared" si="4"/>
        <v>0</v>
      </c>
      <c r="U116" s="9"/>
      <c r="V116" s="1"/>
      <c r="W116" s="1"/>
      <c r="X116" s="1"/>
      <c r="Y116" s="1"/>
      <c r="Z116" s="1"/>
    </row>
    <row r="117" spans="1:26" ht="39.75" customHeight="1">
      <c r="A117" s="171"/>
      <c r="B117" s="171"/>
      <c r="C117" s="171"/>
      <c r="D117" s="5">
        <v>110</v>
      </c>
      <c r="E117" s="5" t="s">
        <v>209</v>
      </c>
      <c r="F117" s="5"/>
      <c r="G117" s="5"/>
      <c r="H117" s="5"/>
      <c r="I117" s="6"/>
      <c r="J117" s="5"/>
      <c r="K117" s="6"/>
      <c r="L117" s="5"/>
      <c r="M117" s="8"/>
      <c r="N117" s="6">
        <v>3</v>
      </c>
      <c r="O117" s="8">
        <v>11.904</v>
      </c>
      <c r="P117" s="6"/>
      <c r="Q117" s="8">
        <v>7</v>
      </c>
      <c r="R117" s="8">
        <v>11</v>
      </c>
      <c r="S117" s="5"/>
      <c r="T117" s="6">
        <f t="shared" si="4"/>
        <v>32.903999999999996</v>
      </c>
      <c r="U117" s="9" t="s">
        <v>375</v>
      </c>
      <c r="V117" s="1"/>
      <c r="W117" s="1"/>
      <c r="X117" s="1"/>
      <c r="Y117" s="1"/>
      <c r="Z117" s="1"/>
    </row>
    <row r="118" spans="1:26" ht="39.75" customHeight="1">
      <c r="A118" s="171"/>
      <c r="B118" s="169"/>
      <c r="C118" s="169"/>
      <c r="D118" s="5">
        <v>111</v>
      </c>
      <c r="E118" s="5" t="s">
        <v>54</v>
      </c>
      <c r="F118" s="5"/>
      <c r="G118" s="5"/>
      <c r="H118" s="5"/>
      <c r="I118" s="8"/>
      <c r="J118" s="5"/>
      <c r="K118" s="8"/>
      <c r="L118" s="5"/>
      <c r="M118" s="5">
        <v>6</v>
      </c>
      <c r="N118" s="5"/>
      <c r="O118" s="5"/>
      <c r="P118" s="8"/>
      <c r="Q118" s="6"/>
      <c r="R118" s="5"/>
      <c r="S118" s="8"/>
      <c r="T118" s="6">
        <f t="shared" si="4"/>
        <v>6</v>
      </c>
      <c r="U118" s="113" t="s">
        <v>683</v>
      </c>
      <c r="V118" s="1"/>
      <c r="W118" s="1"/>
      <c r="X118" s="1"/>
      <c r="Y118" s="1"/>
      <c r="Z118" s="1"/>
    </row>
    <row r="119" spans="1:26" ht="39.75" customHeight="1">
      <c r="A119" s="171"/>
      <c r="B119" s="168" t="s">
        <v>211</v>
      </c>
      <c r="C119" s="168" t="s">
        <v>212</v>
      </c>
      <c r="D119" s="5">
        <v>112</v>
      </c>
      <c r="E119" s="5" t="s">
        <v>213</v>
      </c>
      <c r="F119" s="5"/>
      <c r="G119" s="5"/>
      <c r="H119" s="5"/>
      <c r="I119" s="6"/>
      <c r="J119" s="5"/>
      <c r="K119" s="6"/>
      <c r="L119" s="5"/>
      <c r="M119" s="5"/>
      <c r="N119" s="5"/>
      <c r="O119" s="5"/>
      <c r="P119" s="5"/>
      <c r="Q119" s="6"/>
      <c r="R119" s="5"/>
      <c r="S119" s="5"/>
      <c r="T119" s="6">
        <f t="shared" si="4"/>
        <v>0</v>
      </c>
      <c r="U119" s="9"/>
      <c r="V119" s="1"/>
      <c r="W119" s="1"/>
      <c r="X119" s="1"/>
      <c r="Y119" s="1"/>
      <c r="Z119" s="1"/>
    </row>
    <row r="120" spans="1:26" ht="39.75" customHeight="1">
      <c r="A120" s="171"/>
      <c r="B120" s="169"/>
      <c r="C120" s="169"/>
      <c r="D120" s="5">
        <v>113</v>
      </c>
      <c r="E120" s="5" t="s">
        <v>214</v>
      </c>
      <c r="F120" s="5"/>
      <c r="G120" s="5"/>
      <c r="H120" s="5"/>
      <c r="I120" s="6"/>
      <c r="J120" s="5"/>
      <c r="K120" s="6"/>
      <c r="L120" s="5"/>
      <c r="M120" s="6"/>
      <c r="N120" s="6">
        <v>0.5</v>
      </c>
      <c r="O120" s="5"/>
      <c r="P120" s="5"/>
      <c r="Q120" s="6">
        <v>0.5</v>
      </c>
      <c r="R120" s="5"/>
      <c r="S120" s="5"/>
      <c r="T120" s="6">
        <f t="shared" si="4"/>
        <v>1</v>
      </c>
      <c r="U120" s="10" t="s">
        <v>215</v>
      </c>
      <c r="V120" s="1"/>
      <c r="W120" s="1"/>
      <c r="X120" s="1"/>
      <c r="Y120" s="1"/>
      <c r="Z120" s="1"/>
    </row>
    <row r="121" spans="1:26" ht="39.75" customHeight="1">
      <c r="A121" s="171"/>
      <c r="B121" s="5" t="s">
        <v>216</v>
      </c>
      <c r="C121" s="5" t="s">
        <v>217</v>
      </c>
      <c r="D121" s="5">
        <v>114</v>
      </c>
      <c r="E121" s="5" t="s">
        <v>218</v>
      </c>
      <c r="F121" s="5"/>
      <c r="G121" s="5"/>
      <c r="H121" s="8"/>
      <c r="I121" s="5"/>
      <c r="J121" s="5"/>
      <c r="K121" s="5"/>
      <c r="L121" s="5"/>
      <c r="M121" s="5"/>
      <c r="N121" s="8">
        <v>1.5</v>
      </c>
      <c r="O121" s="5"/>
      <c r="P121" s="8">
        <v>6.5</v>
      </c>
      <c r="Q121" s="6">
        <v>2</v>
      </c>
      <c r="R121" s="8">
        <v>1</v>
      </c>
      <c r="S121" s="8"/>
      <c r="T121" s="6">
        <f t="shared" si="4"/>
        <v>11</v>
      </c>
      <c r="U121" s="113" t="s">
        <v>681</v>
      </c>
      <c r="V121" s="1"/>
      <c r="W121" s="1"/>
      <c r="X121" s="1"/>
      <c r="Y121" s="1"/>
      <c r="Z121" s="1"/>
    </row>
    <row r="122" spans="1:26" ht="39.75" customHeight="1">
      <c r="A122" s="171"/>
      <c r="B122" s="168" t="s">
        <v>219</v>
      </c>
      <c r="C122" s="168" t="s">
        <v>220</v>
      </c>
      <c r="D122" s="5">
        <v>115</v>
      </c>
      <c r="E122" s="5" t="s">
        <v>221</v>
      </c>
      <c r="F122" s="5"/>
      <c r="G122" s="5"/>
      <c r="H122" s="5"/>
      <c r="I122" s="5"/>
      <c r="J122" s="5"/>
      <c r="K122" s="5"/>
      <c r="L122" s="5"/>
      <c r="M122" s="6"/>
      <c r="N122" s="5"/>
      <c r="O122" s="5"/>
      <c r="P122" s="5"/>
      <c r="Q122" s="5"/>
      <c r="R122" s="5"/>
      <c r="S122" s="5"/>
      <c r="T122" s="6">
        <f t="shared" si="4"/>
        <v>0</v>
      </c>
      <c r="U122" s="9"/>
      <c r="V122" s="1"/>
      <c r="W122" s="1"/>
      <c r="X122" s="1"/>
      <c r="Y122" s="1"/>
      <c r="Z122" s="1"/>
    </row>
    <row r="123" spans="1:26" ht="39.75" customHeight="1">
      <c r="A123" s="171"/>
      <c r="B123" s="171"/>
      <c r="C123" s="171"/>
      <c r="D123" s="5">
        <v>116</v>
      </c>
      <c r="E123" s="5" t="s">
        <v>222</v>
      </c>
      <c r="F123" s="5"/>
      <c r="G123" s="5"/>
      <c r="H123" s="5"/>
      <c r="I123" s="5"/>
      <c r="J123" s="5"/>
      <c r="K123" s="5"/>
      <c r="L123" s="5"/>
      <c r="M123" s="6">
        <v>17.670000000000002</v>
      </c>
      <c r="N123" s="5"/>
      <c r="O123" s="5"/>
      <c r="P123" s="5"/>
      <c r="Q123" s="6">
        <v>7.05</v>
      </c>
      <c r="R123" s="5"/>
      <c r="S123" s="5"/>
      <c r="T123" s="6">
        <f t="shared" si="4"/>
        <v>24.720000000000002</v>
      </c>
      <c r="U123" s="113" t="s">
        <v>679</v>
      </c>
      <c r="V123" s="1"/>
      <c r="W123" s="1"/>
      <c r="X123" s="1"/>
      <c r="Y123" s="1"/>
      <c r="Z123" s="1"/>
    </row>
    <row r="124" spans="1:26" ht="39.75" customHeight="1">
      <c r="A124" s="171"/>
      <c r="B124" s="171"/>
      <c r="C124" s="171"/>
      <c r="D124" s="5">
        <v>117</v>
      </c>
      <c r="E124" s="5" t="s">
        <v>224</v>
      </c>
      <c r="F124" s="5"/>
      <c r="G124" s="5"/>
      <c r="H124" s="5"/>
      <c r="I124" s="5"/>
      <c r="J124" s="5"/>
      <c r="K124" s="5"/>
      <c r="L124" s="5"/>
      <c r="M124" s="5"/>
      <c r="N124" s="5"/>
      <c r="O124" s="5"/>
      <c r="P124" s="5"/>
      <c r="Q124" s="5"/>
      <c r="R124" s="5"/>
      <c r="S124" s="5"/>
      <c r="T124" s="6">
        <f t="shared" si="4"/>
        <v>0</v>
      </c>
      <c r="U124" s="46"/>
      <c r="V124" s="1"/>
      <c r="W124" s="1"/>
      <c r="X124" s="1"/>
      <c r="Y124" s="1"/>
      <c r="Z124" s="1"/>
    </row>
    <row r="125" spans="1:26" ht="39.75" customHeight="1">
      <c r="A125" s="171"/>
      <c r="B125" s="169"/>
      <c r="C125" s="169"/>
      <c r="D125" s="5">
        <v>118</v>
      </c>
      <c r="E125" s="5" t="s">
        <v>54</v>
      </c>
      <c r="F125" s="5"/>
      <c r="G125" s="5"/>
      <c r="H125" s="5"/>
      <c r="I125" s="5"/>
      <c r="J125" s="5"/>
      <c r="K125" s="5"/>
      <c r="L125" s="5"/>
      <c r="M125" s="5"/>
      <c r="N125" s="5"/>
      <c r="O125" s="5"/>
      <c r="P125" s="5"/>
      <c r="Q125" s="6"/>
      <c r="R125" s="5"/>
      <c r="S125" s="5"/>
      <c r="T125" s="6">
        <f t="shared" si="4"/>
        <v>0</v>
      </c>
      <c r="U125" s="9"/>
      <c r="V125" s="1"/>
      <c r="W125" s="1"/>
      <c r="X125" s="1"/>
      <c r="Y125" s="1"/>
      <c r="Z125" s="1"/>
    </row>
    <row r="126" spans="1:26" ht="39.75" customHeight="1">
      <c r="A126" s="171"/>
      <c r="B126" s="5" t="s">
        <v>225</v>
      </c>
      <c r="C126" s="5" t="s">
        <v>226</v>
      </c>
      <c r="D126" s="5">
        <v>119</v>
      </c>
      <c r="E126" s="5" t="s">
        <v>227</v>
      </c>
      <c r="F126" s="5"/>
      <c r="G126" s="5"/>
      <c r="H126" s="8">
        <v>6</v>
      </c>
      <c r="I126" s="6">
        <v>1</v>
      </c>
      <c r="J126" s="5"/>
      <c r="K126" s="5"/>
      <c r="L126" s="5"/>
      <c r="M126" s="5"/>
      <c r="N126" s="6">
        <v>1</v>
      </c>
      <c r="O126" s="5"/>
      <c r="P126" s="8">
        <v>8</v>
      </c>
      <c r="Q126" s="6">
        <v>2</v>
      </c>
      <c r="R126" s="5"/>
      <c r="S126" s="5"/>
      <c r="T126" s="6">
        <f t="shared" si="4"/>
        <v>18</v>
      </c>
      <c r="U126" s="113" t="s">
        <v>678</v>
      </c>
      <c r="V126" s="1"/>
      <c r="W126" s="1"/>
      <c r="X126" s="1"/>
      <c r="Y126" s="1"/>
      <c r="Z126" s="1"/>
    </row>
    <row r="127" spans="1:26" ht="39.75" customHeight="1">
      <c r="A127" s="171"/>
      <c r="B127" s="5" t="s">
        <v>228</v>
      </c>
      <c r="C127" s="5" t="s">
        <v>229</v>
      </c>
      <c r="D127" s="5">
        <v>120</v>
      </c>
      <c r="E127" s="5" t="s">
        <v>230</v>
      </c>
      <c r="F127" s="5"/>
      <c r="G127" s="5"/>
      <c r="H127" s="5"/>
      <c r="I127" s="5"/>
      <c r="J127" s="5"/>
      <c r="K127" s="8"/>
      <c r="L127" s="5"/>
      <c r="M127" s="8"/>
      <c r="N127" s="6"/>
      <c r="O127" s="5"/>
      <c r="P127" s="8"/>
      <c r="Q127" s="6"/>
      <c r="R127" s="8"/>
      <c r="S127" s="5"/>
      <c r="T127" s="6">
        <f t="shared" si="4"/>
        <v>0</v>
      </c>
      <c r="U127" s="9"/>
      <c r="V127" s="1"/>
      <c r="W127" s="1"/>
      <c r="X127" s="1"/>
      <c r="Y127" s="1"/>
      <c r="Z127" s="1"/>
    </row>
    <row r="128" spans="1:26" ht="39.75" customHeight="1">
      <c r="A128" s="171"/>
      <c r="B128" s="168" t="s">
        <v>231</v>
      </c>
      <c r="C128" s="168" t="s">
        <v>232</v>
      </c>
      <c r="D128" s="5">
        <v>121</v>
      </c>
      <c r="E128" s="5" t="s">
        <v>233</v>
      </c>
      <c r="F128" s="5"/>
      <c r="G128" s="5"/>
      <c r="H128" s="5"/>
      <c r="I128" s="6"/>
      <c r="J128" s="5"/>
      <c r="K128" s="5"/>
      <c r="L128" s="5"/>
      <c r="M128" s="5"/>
      <c r="N128" s="5"/>
      <c r="O128" s="5"/>
      <c r="P128" s="5"/>
      <c r="Q128" s="5"/>
      <c r="R128" s="5"/>
      <c r="S128" s="5"/>
      <c r="T128" s="6">
        <f t="shared" si="4"/>
        <v>0</v>
      </c>
      <c r="U128" s="10"/>
      <c r="V128" s="18"/>
      <c r="W128" s="1"/>
      <c r="X128" s="1"/>
      <c r="Y128" s="1"/>
      <c r="Z128" s="1"/>
    </row>
    <row r="129" spans="1:26" ht="39.75" customHeight="1">
      <c r="A129" s="171"/>
      <c r="B129" s="171"/>
      <c r="C129" s="171"/>
      <c r="D129" s="5">
        <v>122</v>
      </c>
      <c r="E129" s="5" t="s">
        <v>234</v>
      </c>
      <c r="F129" s="5"/>
      <c r="G129" s="5"/>
      <c r="H129" s="5"/>
      <c r="I129" s="5"/>
      <c r="J129" s="5"/>
      <c r="K129" s="5"/>
      <c r="L129" s="5"/>
      <c r="M129" s="5"/>
      <c r="N129" s="5"/>
      <c r="O129" s="5"/>
      <c r="P129" s="5"/>
      <c r="Q129" s="5"/>
      <c r="R129" s="5"/>
      <c r="S129" s="5"/>
      <c r="T129" s="6">
        <f t="shared" si="4"/>
        <v>0</v>
      </c>
      <c r="U129" s="10"/>
      <c r="V129" s="18"/>
      <c r="W129" s="1"/>
      <c r="X129" s="1"/>
      <c r="Y129" s="1"/>
      <c r="Z129" s="1"/>
    </row>
    <row r="130" spans="1:26" ht="39.75" customHeight="1">
      <c r="A130" s="171"/>
      <c r="B130" s="169"/>
      <c r="C130" s="169"/>
      <c r="D130" s="5">
        <v>123</v>
      </c>
      <c r="E130" s="5" t="s">
        <v>235</v>
      </c>
      <c r="F130" s="5"/>
      <c r="G130" s="5"/>
      <c r="H130" s="5"/>
      <c r="I130" s="5"/>
      <c r="J130" s="5"/>
      <c r="K130" s="5"/>
      <c r="L130" s="5"/>
      <c r="M130" s="5"/>
      <c r="N130" s="5"/>
      <c r="O130" s="5"/>
      <c r="P130" s="8">
        <v>0</v>
      </c>
      <c r="Q130" s="6">
        <v>2</v>
      </c>
      <c r="R130" s="5"/>
      <c r="S130" s="5"/>
      <c r="T130" s="6">
        <f t="shared" si="4"/>
        <v>2</v>
      </c>
      <c r="U130" s="10" t="s">
        <v>236</v>
      </c>
      <c r="V130" s="18"/>
      <c r="W130" s="1"/>
      <c r="X130" s="1"/>
      <c r="Y130" s="1"/>
      <c r="Z130" s="1"/>
    </row>
    <row r="131" spans="1:26" ht="39.75" customHeight="1">
      <c r="A131" s="171"/>
      <c r="B131" s="168" t="s">
        <v>237</v>
      </c>
      <c r="C131" s="168" t="s">
        <v>238</v>
      </c>
      <c r="D131" s="5">
        <v>124</v>
      </c>
      <c r="E131" s="5" t="s">
        <v>239</v>
      </c>
      <c r="F131" s="5"/>
      <c r="G131" s="5"/>
      <c r="H131" s="8"/>
      <c r="I131" s="5"/>
      <c r="J131" s="5"/>
      <c r="K131" s="5"/>
      <c r="L131" s="5"/>
      <c r="M131" s="5"/>
      <c r="N131" s="5"/>
      <c r="O131" s="5"/>
      <c r="P131" s="5"/>
      <c r="Q131" s="8">
        <v>2</v>
      </c>
      <c r="R131" s="5"/>
      <c r="S131" s="5"/>
      <c r="T131" s="6">
        <f t="shared" si="4"/>
        <v>2</v>
      </c>
      <c r="U131" s="10" t="s">
        <v>240</v>
      </c>
      <c r="V131" s="1"/>
      <c r="W131" s="1"/>
      <c r="X131" s="1"/>
      <c r="Y131" s="1"/>
      <c r="Z131" s="1"/>
    </row>
    <row r="132" spans="1:26" ht="39.75" customHeight="1">
      <c r="A132" s="171"/>
      <c r="B132" s="169"/>
      <c r="C132" s="169"/>
      <c r="D132" s="5">
        <v>125</v>
      </c>
      <c r="E132" s="5" t="s">
        <v>241</v>
      </c>
      <c r="F132" s="5"/>
      <c r="G132" s="5"/>
      <c r="H132" s="8"/>
      <c r="I132" s="5"/>
      <c r="J132" s="5"/>
      <c r="K132" s="5"/>
      <c r="L132" s="5"/>
      <c r="M132" s="5"/>
      <c r="N132" s="5"/>
      <c r="O132" s="5"/>
      <c r="P132" s="5"/>
      <c r="Q132" s="5"/>
      <c r="R132" s="5"/>
      <c r="S132" s="5"/>
      <c r="T132" s="6">
        <f t="shared" si="4"/>
        <v>0</v>
      </c>
      <c r="U132" s="9"/>
      <c r="V132" s="1"/>
      <c r="W132" s="1"/>
      <c r="X132" s="1"/>
      <c r="Y132" s="1"/>
      <c r="Z132" s="1"/>
    </row>
    <row r="133" spans="1:26" ht="39.75" customHeight="1">
      <c r="A133" s="171"/>
      <c r="B133" s="5" t="s">
        <v>242</v>
      </c>
      <c r="C133" s="5" t="s">
        <v>243</v>
      </c>
      <c r="D133" s="5">
        <v>126</v>
      </c>
      <c r="E133" s="5" t="s">
        <v>167</v>
      </c>
      <c r="F133" s="5"/>
      <c r="G133" s="5"/>
      <c r="H133" s="5"/>
      <c r="I133" s="5"/>
      <c r="J133" s="5"/>
      <c r="K133" s="5"/>
      <c r="L133" s="5"/>
      <c r="M133" s="5"/>
      <c r="N133" s="5"/>
      <c r="O133" s="5"/>
      <c r="P133" s="5"/>
      <c r="Q133" s="5"/>
      <c r="R133" s="5"/>
      <c r="S133" s="5"/>
      <c r="T133" s="6">
        <f t="shared" si="4"/>
        <v>0</v>
      </c>
      <c r="U133" s="9"/>
      <c r="V133" s="1"/>
      <c r="W133" s="1"/>
      <c r="X133" s="1"/>
      <c r="Y133" s="1"/>
      <c r="Z133" s="1"/>
    </row>
    <row r="134" spans="1:26" ht="39.75" customHeight="1">
      <c r="A134" s="169"/>
      <c r="B134" s="176" t="s">
        <v>244</v>
      </c>
      <c r="C134" s="177"/>
      <c r="D134" s="178"/>
      <c r="E134" s="51"/>
      <c r="F134" s="51">
        <f t="shared" ref="F134:S134" si="8">SUM(F94:F133)</f>
        <v>0</v>
      </c>
      <c r="G134" s="51">
        <f t="shared" si="8"/>
        <v>0</v>
      </c>
      <c r="H134" s="51">
        <f t="shared" si="8"/>
        <v>6</v>
      </c>
      <c r="I134" s="51">
        <f t="shared" si="8"/>
        <v>13.5</v>
      </c>
      <c r="J134" s="51">
        <f t="shared" si="8"/>
        <v>0</v>
      </c>
      <c r="K134" s="52">
        <f t="shared" si="8"/>
        <v>10</v>
      </c>
      <c r="L134" s="51">
        <f t="shared" si="8"/>
        <v>0</v>
      </c>
      <c r="M134" s="51">
        <f t="shared" si="8"/>
        <v>26.53</v>
      </c>
      <c r="N134" s="51">
        <f t="shared" si="8"/>
        <v>14.3</v>
      </c>
      <c r="O134" s="51">
        <f t="shared" si="8"/>
        <v>11.904</v>
      </c>
      <c r="P134" s="51">
        <f t="shared" si="8"/>
        <v>61.1</v>
      </c>
      <c r="Q134" s="51">
        <f t="shared" si="8"/>
        <v>32.549999999999997</v>
      </c>
      <c r="R134" s="51">
        <f t="shared" si="8"/>
        <v>33.549999999999997</v>
      </c>
      <c r="S134" s="51">
        <f t="shared" si="8"/>
        <v>0</v>
      </c>
      <c r="T134" s="52">
        <f t="shared" ref="T134:T197" si="9">SUM(F134:S134)</f>
        <v>209.43400000000003</v>
      </c>
      <c r="U134" s="9"/>
      <c r="V134" s="1"/>
      <c r="W134" s="1"/>
      <c r="X134" s="1"/>
      <c r="Y134" s="1"/>
      <c r="Z134" s="1"/>
    </row>
    <row r="135" spans="1:26" ht="39.75" customHeight="1">
      <c r="A135" s="175" t="s">
        <v>245</v>
      </c>
      <c r="B135" s="168" t="s">
        <v>246</v>
      </c>
      <c r="C135" s="168" t="s">
        <v>247</v>
      </c>
      <c r="D135" s="5">
        <v>127</v>
      </c>
      <c r="E135" s="5" t="s">
        <v>248</v>
      </c>
      <c r="F135" s="98"/>
      <c r="G135" s="98"/>
      <c r="H135" s="98"/>
      <c r="I135" s="98"/>
      <c r="J135" s="98"/>
      <c r="K135" s="98"/>
      <c r="L135" s="98"/>
      <c r="M135" s="98"/>
      <c r="N135" s="98"/>
      <c r="O135" s="98"/>
      <c r="P135" s="98"/>
      <c r="Q135" s="98"/>
      <c r="R135" s="98"/>
      <c r="S135" s="98"/>
      <c r="T135" s="99">
        <f t="shared" ref="T135:T157" si="10">SUM(F135:S135)</f>
        <v>0</v>
      </c>
      <c r="U135" s="100"/>
      <c r="V135" s="1"/>
      <c r="W135" s="1"/>
      <c r="X135" s="1"/>
      <c r="Y135" s="1"/>
      <c r="Z135" s="1"/>
    </row>
    <row r="136" spans="1:26" ht="39.75" customHeight="1">
      <c r="A136" s="171"/>
      <c r="B136" s="169"/>
      <c r="C136" s="169"/>
      <c r="D136" s="5">
        <v>128</v>
      </c>
      <c r="E136" s="5" t="s">
        <v>249</v>
      </c>
      <c r="F136" s="98"/>
      <c r="G136" s="98"/>
      <c r="H136" s="98"/>
      <c r="I136" s="98"/>
      <c r="J136" s="98"/>
      <c r="K136" s="99"/>
      <c r="L136" s="98"/>
      <c r="M136" s="98"/>
      <c r="N136" s="99"/>
      <c r="O136" s="98"/>
      <c r="P136" s="99"/>
      <c r="Q136" s="99">
        <f>(8*0.75)+(8*0.1)</f>
        <v>6.8</v>
      </c>
      <c r="R136" s="98"/>
      <c r="S136" s="98"/>
      <c r="T136" s="99">
        <f t="shared" si="10"/>
        <v>6.8</v>
      </c>
      <c r="U136" s="101" t="s">
        <v>662</v>
      </c>
      <c r="V136" s="1"/>
      <c r="W136" s="1"/>
      <c r="X136" s="1"/>
      <c r="Y136" s="1"/>
      <c r="Z136" s="1"/>
    </row>
    <row r="137" spans="1:26" ht="39.75" customHeight="1">
      <c r="A137" s="171"/>
      <c r="B137" s="28"/>
      <c r="C137" s="28"/>
      <c r="D137" s="5">
        <v>129</v>
      </c>
      <c r="E137" s="5" t="s">
        <v>250</v>
      </c>
      <c r="F137" s="98"/>
      <c r="G137" s="98"/>
      <c r="H137" s="98"/>
      <c r="I137" s="98"/>
      <c r="J137" s="98"/>
      <c r="K137" s="98"/>
      <c r="L137" s="98"/>
      <c r="M137" s="98"/>
      <c r="N137" s="98"/>
      <c r="O137" s="98"/>
      <c r="P137" s="98"/>
      <c r="Q137" s="98"/>
      <c r="R137" s="98"/>
      <c r="S137" s="98"/>
      <c r="T137" s="99">
        <f t="shared" si="10"/>
        <v>0</v>
      </c>
      <c r="U137" s="100"/>
      <c r="V137" s="1"/>
      <c r="W137" s="1"/>
      <c r="X137" s="1"/>
      <c r="Y137" s="1"/>
      <c r="Z137" s="1"/>
    </row>
    <row r="138" spans="1:26" ht="39.75" customHeight="1">
      <c r="A138" s="171"/>
      <c r="B138" s="168" t="s">
        <v>251</v>
      </c>
      <c r="C138" s="168" t="s">
        <v>252</v>
      </c>
      <c r="D138" s="5">
        <v>130</v>
      </c>
      <c r="E138" s="5" t="s">
        <v>253</v>
      </c>
      <c r="F138" s="98"/>
      <c r="G138" s="98"/>
      <c r="H138" s="98"/>
      <c r="I138" s="98"/>
      <c r="J138" s="98"/>
      <c r="K138" s="98"/>
      <c r="L138" s="98"/>
      <c r="M138" s="98"/>
      <c r="N138" s="98"/>
      <c r="O138" s="98"/>
      <c r="P138" s="98"/>
      <c r="Q138" s="98"/>
      <c r="R138" s="98"/>
      <c r="S138" s="98"/>
      <c r="T138" s="99">
        <f t="shared" si="10"/>
        <v>0</v>
      </c>
      <c r="U138" s="100"/>
      <c r="V138" s="1"/>
      <c r="W138" s="1"/>
      <c r="X138" s="1"/>
      <c r="Y138" s="1"/>
      <c r="Z138" s="1"/>
    </row>
    <row r="139" spans="1:26" ht="39.75" customHeight="1">
      <c r="A139" s="171"/>
      <c r="B139" s="171"/>
      <c r="C139" s="171"/>
      <c r="D139" s="5">
        <v>131</v>
      </c>
      <c r="E139" s="5" t="s">
        <v>254</v>
      </c>
      <c r="F139" s="98"/>
      <c r="G139" s="98"/>
      <c r="H139" s="98"/>
      <c r="I139" s="98"/>
      <c r="J139" s="98"/>
      <c r="K139" s="98"/>
      <c r="L139" s="98"/>
      <c r="M139" s="98"/>
      <c r="N139" s="99">
        <f>0.01*72</f>
        <v>0.72</v>
      </c>
      <c r="O139" s="98"/>
      <c r="P139" s="98"/>
      <c r="Q139" s="98"/>
      <c r="R139" s="98"/>
      <c r="S139" s="98"/>
      <c r="T139" s="99">
        <f t="shared" si="10"/>
        <v>0.72</v>
      </c>
      <c r="U139" s="102" t="s">
        <v>667</v>
      </c>
      <c r="V139" s="1"/>
      <c r="W139" s="1"/>
      <c r="X139" s="1"/>
      <c r="Y139" s="1"/>
      <c r="Z139" s="1"/>
    </row>
    <row r="140" spans="1:26" ht="39.75" customHeight="1">
      <c r="A140" s="171"/>
      <c r="B140" s="171"/>
      <c r="C140" s="171"/>
      <c r="D140" s="5">
        <v>132</v>
      </c>
      <c r="E140" s="5" t="s">
        <v>255</v>
      </c>
      <c r="F140" s="98"/>
      <c r="G140" s="98"/>
      <c r="H140" s="98"/>
      <c r="I140" s="98"/>
      <c r="J140" s="98"/>
      <c r="K140" s="98"/>
      <c r="L140" s="98"/>
      <c r="M140" s="98"/>
      <c r="N140" s="98"/>
      <c r="O140" s="98"/>
      <c r="P140" s="98"/>
      <c r="Q140" s="98"/>
      <c r="R140" s="98"/>
      <c r="S140" s="98"/>
      <c r="T140" s="99">
        <f t="shared" si="10"/>
        <v>0</v>
      </c>
      <c r="U140" s="100"/>
      <c r="V140" s="1"/>
      <c r="W140" s="1"/>
      <c r="X140" s="1"/>
      <c r="Y140" s="1"/>
      <c r="Z140" s="1"/>
    </row>
    <row r="141" spans="1:26" ht="39.75" customHeight="1">
      <c r="A141" s="171"/>
      <c r="B141" s="171"/>
      <c r="C141" s="171"/>
      <c r="D141" s="5">
        <v>133</v>
      </c>
      <c r="E141" s="5" t="s">
        <v>256</v>
      </c>
      <c r="F141" s="98"/>
      <c r="G141" s="98"/>
      <c r="H141" s="98"/>
      <c r="I141" s="98"/>
      <c r="J141" s="98"/>
      <c r="K141" s="98"/>
      <c r="L141" s="98"/>
      <c r="M141" s="98"/>
      <c r="N141" s="98"/>
      <c r="O141" s="98"/>
      <c r="P141" s="98"/>
      <c r="Q141" s="98"/>
      <c r="R141" s="98"/>
      <c r="S141" s="98"/>
      <c r="T141" s="99">
        <f t="shared" si="10"/>
        <v>0</v>
      </c>
      <c r="U141" s="100"/>
      <c r="V141" s="1"/>
      <c r="W141" s="1"/>
      <c r="X141" s="1"/>
      <c r="Y141" s="1"/>
      <c r="Z141" s="1"/>
    </row>
    <row r="142" spans="1:26" ht="39.75" customHeight="1">
      <c r="A142" s="171"/>
      <c r="B142" s="171"/>
      <c r="C142" s="171"/>
      <c r="D142" s="5">
        <v>134</v>
      </c>
      <c r="E142" s="5" t="s">
        <v>257</v>
      </c>
      <c r="F142" s="98"/>
      <c r="G142" s="98"/>
      <c r="H142" s="98"/>
      <c r="I142" s="98"/>
      <c r="J142" s="98"/>
      <c r="K142" s="98"/>
      <c r="L142" s="98"/>
      <c r="M142" s="98"/>
      <c r="N142" s="98"/>
      <c r="O142" s="98"/>
      <c r="P142" s="99">
        <f>(30*0.005*12)+(30*0.0025*12)+(8*4*0.1)</f>
        <v>5.9</v>
      </c>
      <c r="Q142" s="98"/>
      <c r="R142" s="98"/>
      <c r="S142" s="98"/>
      <c r="T142" s="99">
        <f t="shared" si="10"/>
        <v>5.9</v>
      </c>
      <c r="U142" s="100" t="s">
        <v>258</v>
      </c>
      <c r="V142" s="1"/>
      <c r="W142" s="1"/>
      <c r="X142" s="1"/>
      <c r="Y142" s="1"/>
      <c r="Z142" s="1"/>
    </row>
    <row r="143" spans="1:26" ht="39.75" customHeight="1">
      <c r="A143" s="171"/>
      <c r="B143" s="171"/>
      <c r="C143" s="171"/>
      <c r="D143" s="5">
        <v>135</v>
      </c>
      <c r="E143" s="5" t="s">
        <v>259</v>
      </c>
      <c r="F143" s="98"/>
      <c r="G143" s="98"/>
      <c r="H143" s="98"/>
      <c r="I143" s="98"/>
      <c r="J143" s="98"/>
      <c r="K143" s="98"/>
      <c r="L143" s="98"/>
      <c r="M143" s="98"/>
      <c r="N143" s="98"/>
      <c r="O143" s="98"/>
      <c r="P143" s="98"/>
      <c r="Q143" s="98"/>
      <c r="R143" s="98"/>
      <c r="S143" s="98"/>
      <c r="T143" s="99">
        <f t="shared" si="10"/>
        <v>0</v>
      </c>
      <c r="U143" s="100"/>
      <c r="V143" s="1"/>
      <c r="W143" s="1"/>
      <c r="X143" s="1"/>
      <c r="Y143" s="1"/>
      <c r="Z143" s="1"/>
    </row>
    <row r="144" spans="1:26" ht="39.75" customHeight="1">
      <c r="A144" s="171"/>
      <c r="B144" s="169"/>
      <c r="C144" s="169"/>
      <c r="D144" s="5">
        <v>136</v>
      </c>
      <c r="E144" s="5" t="s">
        <v>260</v>
      </c>
      <c r="F144" s="98"/>
      <c r="G144" s="98"/>
      <c r="H144" s="98"/>
      <c r="I144" s="98"/>
      <c r="J144" s="98"/>
      <c r="K144" s="98"/>
      <c r="L144" s="98"/>
      <c r="M144" s="98"/>
      <c r="N144" s="98"/>
      <c r="O144" s="98"/>
      <c r="P144" s="99"/>
      <c r="Q144" s="98"/>
      <c r="R144" s="98"/>
      <c r="S144" s="98"/>
      <c r="T144" s="99">
        <f t="shared" si="10"/>
        <v>0</v>
      </c>
      <c r="U144" s="101"/>
      <c r="V144" s="1"/>
      <c r="W144" s="1"/>
      <c r="X144" s="1"/>
      <c r="Y144" s="1"/>
      <c r="Z144" s="1"/>
    </row>
    <row r="145" spans="1:26" ht="39.75" customHeight="1">
      <c r="A145" s="171"/>
      <c r="B145" s="168" t="s">
        <v>261</v>
      </c>
      <c r="C145" s="168" t="s">
        <v>262</v>
      </c>
      <c r="D145" s="5">
        <v>137</v>
      </c>
      <c r="E145" s="5" t="s">
        <v>263</v>
      </c>
      <c r="F145" s="98"/>
      <c r="G145" s="98"/>
      <c r="H145" s="98"/>
      <c r="I145" s="98"/>
      <c r="J145" s="98"/>
      <c r="K145" s="98"/>
      <c r="L145" s="98"/>
      <c r="M145" s="99"/>
      <c r="N145" s="98"/>
      <c r="O145" s="98"/>
      <c r="P145" s="99">
        <f>0.24*8</f>
        <v>1.92</v>
      </c>
      <c r="Q145" s="98"/>
      <c r="R145" s="98"/>
      <c r="S145" s="98"/>
      <c r="T145" s="99">
        <f t="shared" si="10"/>
        <v>1.92</v>
      </c>
      <c r="U145" s="101" t="s">
        <v>264</v>
      </c>
      <c r="V145" s="1"/>
      <c r="W145" s="1"/>
      <c r="X145" s="1"/>
      <c r="Y145" s="1"/>
      <c r="Z145" s="1"/>
    </row>
    <row r="146" spans="1:26" ht="39.75" customHeight="1">
      <c r="A146" s="171"/>
      <c r="B146" s="169"/>
      <c r="C146" s="169"/>
      <c r="D146" s="5">
        <v>138</v>
      </c>
      <c r="E146" s="5" t="s">
        <v>265</v>
      </c>
      <c r="F146" s="103"/>
      <c r="G146" s="103"/>
      <c r="H146" s="104"/>
      <c r="I146" s="104"/>
      <c r="J146" s="103"/>
      <c r="K146" s="104"/>
      <c r="L146" s="103"/>
      <c r="M146" s="104"/>
      <c r="N146" s="103"/>
      <c r="O146" s="103"/>
      <c r="P146" s="103"/>
      <c r="Q146" s="103"/>
      <c r="R146" s="103"/>
      <c r="S146" s="103"/>
      <c r="T146" s="104">
        <f t="shared" si="10"/>
        <v>0</v>
      </c>
      <c r="U146" s="105"/>
      <c r="V146" s="1"/>
      <c r="W146" s="1"/>
      <c r="X146" s="1"/>
      <c r="Y146" s="1"/>
      <c r="Z146" s="1"/>
    </row>
    <row r="147" spans="1:26" ht="39.75" customHeight="1">
      <c r="A147" s="171"/>
      <c r="B147" s="168" t="s">
        <v>266</v>
      </c>
      <c r="C147" s="168" t="s">
        <v>267</v>
      </c>
      <c r="D147" s="5">
        <v>139</v>
      </c>
      <c r="E147" s="5" t="s">
        <v>268</v>
      </c>
      <c r="F147" s="98"/>
      <c r="G147" s="98"/>
      <c r="H147" s="98"/>
      <c r="I147" s="98"/>
      <c r="J147" s="98"/>
      <c r="K147" s="98"/>
      <c r="L147" s="98"/>
      <c r="M147" s="98"/>
      <c r="N147" s="99"/>
      <c r="O147" s="98"/>
      <c r="P147" s="99">
        <v>8</v>
      </c>
      <c r="Q147" s="98"/>
      <c r="R147" s="99"/>
      <c r="S147" s="98"/>
      <c r="T147" s="99">
        <f t="shared" si="10"/>
        <v>8</v>
      </c>
      <c r="U147" s="101" t="s">
        <v>668</v>
      </c>
      <c r="V147" s="1"/>
      <c r="W147" s="1"/>
      <c r="X147" s="1"/>
      <c r="Y147" s="1"/>
      <c r="Z147" s="1"/>
    </row>
    <row r="148" spans="1:26" ht="39.75" customHeight="1">
      <c r="A148" s="171"/>
      <c r="B148" s="171"/>
      <c r="C148" s="171"/>
      <c r="D148" s="5">
        <v>140</v>
      </c>
      <c r="E148" s="5" t="s">
        <v>269</v>
      </c>
      <c r="F148" s="98"/>
      <c r="G148" s="98"/>
      <c r="H148" s="98"/>
      <c r="I148" s="98"/>
      <c r="J148" s="98"/>
      <c r="K148" s="98"/>
      <c r="L148" s="98"/>
      <c r="M148" s="98"/>
      <c r="N148" s="98"/>
      <c r="O148" s="98"/>
      <c r="P148" s="99">
        <f>8+(8*0.055)+(0.08*5)</f>
        <v>8.84</v>
      </c>
      <c r="Q148" s="98"/>
      <c r="R148" s="98"/>
      <c r="S148" s="98"/>
      <c r="T148" s="99">
        <f t="shared" si="10"/>
        <v>8.84</v>
      </c>
      <c r="U148" s="101" t="s">
        <v>666</v>
      </c>
      <c r="V148" s="1"/>
      <c r="W148" s="1"/>
      <c r="X148" s="1"/>
      <c r="Y148" s="1"/>
      <c r="Z148" s="1"/>
    </row>
    <row r="149" spans="1:26" ht="39.75" customHeight="1">
      <c r="A149" s="171"/>
      <c r="B149" s="169"/>
      <c r="C149" s="169"/>
      <c r="D149" s="5">
        <v>141</v>
      </c>
      <c r="E149" s="5" t="s">
        <v>270</v>
      </c>
      <c r="F149" s="98"/>
      <c r="G149" s="98"/>
      <c r="H149" s="98"/>
      <c r="I149" s="98"/>
      <c r="J149" s="98"/>
      <c r="K149" s="98"/>
      <c r="L149" s="98"/>
      <c r="M149" s="98"/>
      <c r="N149" s="98"/>
      <c r="O149" s="98"/>
      <c r="P149" s="98"/>
      <c r="Q149" s="98"/>
      <c r="R149" s="98"/>
      <c r="S149" s="98"/>
      <c r="T149" s="99">
        <f t="shared" si="10"/>
        <v>0</v>
      </c>
      <c r="U149" s="100"/>
      <c r="V149" s="1"/>
      <c r="W149" s="1"/>
      <c r="X149" s="1"/>
      <c r="Y149" s="1"/>
      <c r="Z149" s="1"/>
    </row>
    <row r="150" spans="1:26" ht="39.75" customHeight="1">
      <c r="A150" s="171"/>
      <c r="B150" s="168" t="s">
        <v>271</v>
      </c>
      <c r="C150" s="168" t="s">
        <v>272</v>
      </c>
      <c r="D150" s="5">
        <v>142</v>
      </c>
      <c r="E150" s="5" t="s">
        <v>273</v>
      </c>
      <c r="F150" s="98"/>
      <c r="G150" s="98"/>
      <c r="H150" s="98"/>
      <c r="I150" s="98"/>
      <c r="J150" s="98"/>
      <c r="K150" s="98"/>
      <c r="L150" s="98"/>
      <c r="M150" s="98"/>
      <c r="N150" s="98"/>
      <c r="O150" s="98"/>
      <c r="P150" s="98"/>
      <c r="Q150" s="98"/>
      <c r="R150" s="98">
        <v>327.71</v>
      </c>
      <c r="S150" s="98"/>
      <c r="T150" s="99">
        <f t="shared" si="10"/>
        <v>327.71</v>
      </c>
      <c r="U150" s="100"/>
      <c r="V150" s="1"/>
      <c r="W150" s="1"/>
      <c r="X150" s="1"/>
      <c r="Y150" s="1"/>
      <c r="Z150" s="1"/>
    </row>
    <row r="151" spans="1:26" ht="39.75" customHeight="1">
      <c r="A151" s="171"/>
      <c r="B151" s="171"/>
      <c r="C151" s="171"/>
      <c r="D151" s="5">
        <v>143</v>
      </c>
      <c r="E151" s="5" t="s">
        <v>274</v>
      </c>
      <c r="F151" s="98"/>
      <c r="G151" s="98"/>
      <c r="H151" s="98"/>
      <c r="I151" s="98"/>
      <c r="J151" s="98"/>
      <c r="K151" s="98"/>
      <c r="L151" s="98"/>
      <c r="M151" s="98"/>
      <c r="N151" s="98"/>
      <c r="O151" s="98"/>
      <c r="P151" s="98"/>
      <c r="Q151" s="98"/>
      <c r="R151" s="98"/>
      <c r="S151" s="98"/>
      <c r="T151" s="99">
        <f t="shared" si="10"/>
        <v>0</v>
      </c>
      <c r="U151" s="100"/>
      <c r="V151" s="1"/>
      <c r="W151" s="1"/>
      <c r="X151" s="1"/>
      <c r="Y151" s="1"/>
      <c r="Z151" s="1"/>
    </row>
    <row r="152" spans="1:26" ht="39.75" customHeight="1">
      <c r="A152" s="171"/>
      <c r="B152" s="171"/>
      <c r="C152" s="171"/>
      <c r="D152" s="5">
        <v>144</v>
      </c>
      <c r="E152" s="5" t="s">
        <v>275</v>
      </c>
      <c r="F152" s="98"/>
      <c r="G152" s="98"/>
      <c r="H152" s="98"/>
      <c r="I152" s="98"/>
      <c r="J152" s="98"/>
      <c r="K152" s="98"/>
      <c r="L152" s="98"/>
      <c r="M152" s="98"/>
      <c r="N152" s="98"/>
      <c r="O152" s="98"/>
      <c r="P152" s="98"/>
      <c r="Q152" s="98"/>
      <c r="R152" s="98"/>
      <c r="S152" s="98"/>
      <c r="T152" s="99">
        <f t="shared" si="10"/>
        <v>0</v>
      </c>
      <c r="U152" s="100"/>
      <c r="V152" s="1"/>
      <c r="W152" s="1"/>
      <c r="X152" s="1"/>
      <c r="Y152" s="1"/>
      <c r="Z152" s="1"/>
    </row>
    <row r="153" spans="1:26" ht="39.75" customHeight="1">
      <c r="A153" s="171"/>
      <c r="B153" s="169"/>
      <c r="C153" s="169"/>
      <c r="D153" s="5">
        <v>145</v>
      </c>
      <c r="E153" s="5" t="s">
        <v>276</v>
      </c>
      <c r="F153" s="98"/>
      <c r="G153" s="98"/>
      <c r="H153" s="98"/>
      <c r="I153" s="98"/>
      <c r="J153" s="98"/>
      <c r="K153" s="98"/>
      <c r="L153" s="98"/>
      <c r="M153" s="98"/>
      <c r="N153" s="98"/>
      <c r="O153" s="98"/>
      <c r="P153" s="98"/>
      <c r="Q153" s="98"/>
      <c r="R153" s="98"/>
      <c r="S153" s="98"/>
      <c r="T153" s="99">
        <f t="shared" si="10"/>
        <v>0</v>
      </c>
      <c r="U153" s="100"/>
      <c r="V153" s="1"/>
      <c r="W153" s="1"/>
      <c r="X153" s="1"/>
      <c r="Y153" s="1"/>
      <c r="Z153" s="1"/>
    </row>
    <row r="154" spans="1:26" ht="39.75" customHeight="1">
      <c r="A154" s="171"/>
      <c r="B154" s="5" t="s">
        <v>277</v>
      </c>
      <c r="C154" s="5" t="s">
        <v>278</v>
      </c>
      <c r="D154" s="5">
        <v>146</v>
      </c>
      <c r="E154" s="5" t="s">
        <v>279</v>
      </c>
      <c r="F154" s="98"/>
      <c r="G154" s="98"/>
      <c r="H154" s="98"/>
      <c r="I154" s="98"/>
      <c r="J154" s="98"/>
      <c r="K154" s="98"/>
      <c r="L154" s="98"/>
      <c r="M154" s="98"/>
      <c r="N154" s="98"/>
      <c r="O154" s="98"/>
      <c r="P154" s="98"/>
      <c r="Q154" s="98"/>
      <c r="R154" s="99">
        <v>5.4</v>
      </c>
      <c r="S154" s="98"/>
      <c r="T154" s="99">
        <f t="shared" si="10"/>
        <v>5.4</v>
      </c>
      <c r="U154" s="102" t="s">
        <v>280</v>
      </c>
      <c r="V154" s="1"/>
      <c r="W154" s="1"/>
      <c r="X154" s="1"/>
      <c r="Y154" s="1"/>
      <c r="Z154" s="1"/>
    </row>
    <row r="155" spans="1:26" ht="39.75" customHeight="1">
      <c r="A155" s="171"/>
      <c r="B155" s="5" t="s">
        <v>281</v>
      </c>
      <c r="C155" s="5" t="s">
        <v>282</v>
      </c>
      <c r="D155" s="5">
        <v>147</v>
      </c>
      <c r="E155" s="5" t="s">
        <v>149</v>
      </c>
      <c r="F155" s="98"/>
      <c r="G155" s="98"/>
      <c r="H155" s="98"/>
      <c r="I155" s="98"/>
      <c r="J155" s="98"/>
      <c r="K155" s="98"/>
      <c r="L155" s="98"/>
      <c r="M155" s="98"/>
      <c r="N155" s="98"/>
      <c r="O155" s="98"/>
      <c r="P155" s="98"/>
      <c r="Q155" s="98"/>
      <c r="R155" s="98"/>
      <c r="S155" s="98"/>
      <c r="T155" s="99">
        <f t="shared" si="10"/>
        <v>0</v>
      </c>
      <c r="U155" s="100"/>
      <c r="V155" s="1"/>
      <c r="W155" s="1"/>
      <c r="X155" s="1"/>
      <c r="Y155" s="1"/>
      <c r="Z155" s="1"/>
    </row>
    <row r="156" spans="1:26" ht="39.75" customHeight="1">
      <c r="A156" s="171"/>
      <c r="B156" s="5" t="s">
        <v>283</v>
      </c>
      <c r="C156" s="5" t="s">
        <v>284</v>
      </c>
      <c r="D156" s="5">
        <v>148</v>
      </c>
      <c r="E156" s="5" t="s">
        <v>285</v>
      </c>
      <c r="F156" s="98"/>
      <c r="G156" s="98"/>
      <c r="H156" s="98"/>
      <c r="I156" s="98"/>
      <c r="J156" s="98"/>
      <c r="K156" s="98"/>
      <c r="L156" s="98"/>
      <c r="M156" s="98"/>
      <c r="N156" s="99"/>
      <c r="O156" s="98"/>
      <c r="P156" s="99"/>
      <c r="Q156" s="98"/>
      <c r="R156" s="98"/>
      <c r="S156" s="98"/>
      <c r="T156" s="99">
        <f t="shared" si="10"/>
        <v>0</v>
      </c>
      <c r="U156" s="101"/>
      <c r="V156" s="1"/>
      <c r="W156" s="1"/>
      <c r="X156" s="1"/>
      <c r="Y156" s="1"/>
      <c r="Z156" s="1"/>
    </row>
    <row r="157" spans="1:26" ht="39.75" customHeight="1">
      <c r="A157" s="171"/>
      <c r="B157" s="5" t="s">
        <v>286</v>
      </c>
      <c r="C157" s="5" t="s">
        <v>287</v>
      </c>
      <c r="D157" s="5">
        <v>149</v>
      </c>
      <c r="E157" s="5" t="s">
        <v>288</v>
      </c>
      <c r="F157" s="106"/>
      <c r="G157" s="106"/>
      <c r="H157" s="106"/>
      <c r="I157" s="106"/>
      <c r="J157" s="106"/>
      <c r="K157" s="106"/>
      <c r="L157" s="106"/>
      <c r="M157" s="106"/>
      <c r="N157" s="106"/>
      <c r="O157" s="106"/>
      <c r="P157" s="99">
        <f>(7*1.75)+(1*1)+(0.05*72)</f>
        <v>16.850000000000001</v>
      </c>
      <c r="Q157" s="106"/>
      <c r="R157" s="106"/>
      <c r="S157" s="106"/>
      <c r="T157" s="99">
        <f t="shared" si="10"/>
        <v>16.850000000000001</v>
      </c>
      <c r="U157" s="101"/>
      <c r="V157" s="1"/>
      <c r="W157" s="1"/>
      <c r="X157" s="1"/>
      <c r="Y157" s="1"/>
      <c r="Z157" s="1"/>
    </row>
    <row r="158" spans="1:26" ht="39.75" customHeight="1">
      <c r="A158" s="169"/>
      <c r="B158" s="176" t="s">
        <v>289</v>
      </c>
      <c r="C158" s="177"/>
      <c r="D158" s="178"/>
      <c r="E158" s="51"/>
      <c r="F158" s="51">
        <f t="shared" ref="F158:S158" si="11">SUM(F135:F157)</f>
        <v>0</v>
      </c>
      <c r="G158" s="51">
        <f t="shared" si="11"/>
        <v>0</v>
      </c>
      <c r="H158" s="51">
        <f t="shared" si="11"/>
        <v>0</v>
      </c>
      <c r="I158" s="51">
        <f t="shared" si="11"/>
        <v>0</v>
      </c>
      <c r="J158" s="51">
        <f t="shared" si="11"/>
        <v>0</v>
      </c>
      <c r="K158" s="51">
        <f t="shared" si="11"/>
        <v>0</v>
      </c>
      <c r="L158" s="51">
        <f t="shared" si="11"/>
        <v>0</v>
      </c>
      <c r="M158" s="51">
        <f t="shared" si="11"/>
        <v>0</v>
      </c>
      <c r="N158" s="51">
        <f t="shared" si="11"/>
        <v>0.72</v>
      </c>
      <c r="O158" s="51">
        <f t="shared" si="11"/>
        <v>0</v>
      </c>
      <c r="P158" s="51">
        <f t="shared" si="11"/>
        <v>41.510000000000005</v>
      </c>
      <c r="Q158" s="51">
        <f t="shared" si="11"/>
        <v>6.8</v>
      </c>
      <c r="R158" s="51">
        <f t="shared" si="11"/>
        <v>333.10999999999996</v>
      </c>
      <c r="S158" s="51">
        <f t="shared" si="11"/>
        <v>0</v>
      </c>
      <c r="T158" s="52">
        <f t="shared" si="9"/>
        <v>382.14</v>
      </c>
      <c r="U158" s="9"/>
      <c r="V158" s="29"/>
      <c r="W158" s="29"/>
      <c r="X158" s="29"/>
      <c r="Y158" s="29"/>
      <c r="Z158" s="29"/>
    </row>
    <row r="159" spans="1:26" ht="39.75" customHeight="1">
      <c r="A159" s="175" t="s">
        <v>290</v>
      </c>
      <c r="B159" s="168" t="s">
        <v>291</v>
      </c>
      <c r="C159" s="168" t="s">
        <v>247</v>
      </c>
      <c r="D159" s="5">
        <v>150</v>
      </c>
      <c r="E159" s="5" t="s">
        <v>292</v>
      </c>
      <c r="F159" s="5"/>
      <c r="G159" s="8">
        <v>388.5</v>
      </c>
      <c r="H159" s="8">
        <v>518</v>
      </c>
      <c r="I159" s="5"/>
      <c r="J159" s="5"/>
      <c r="K159" s="5"/>
      <c r="L159" s="5"/>
      <c r="M159" s="5"/>
      <c r="N159" s="6">
        <v>2.5</v>
      </c>
      <c r="O159" s="5"/>
      <c r="P159" s="8"/>
      <c r="Q159" s="5"/>
      <c r="R159" s="5"/>
      <c r="S159" s="5"/>
      <c r="T159" s="6">
        <f t="shared" si="9"/>
        <v>909</v>
      </c>
      <c r="U159" s="62" t="s">
        <v>376</v>
      </c>
      <c r="V159" s="1"/>
      <c r="W159" s="1"/>
      <c r="X159" s="1"/>
      <c r="Y159" s="1"/>
      <c r="Z159" s="1"/>
    </row>
    <row r="160" spans="1:26" ht="39.75" customHeight="1">
      <c r="A160" s="171"/>
      <c r="B160" s="171"/>
      <c r="C160" s="171"/>
      <c r="D160" s="5">
        <v>151</v>
      </c>
      <c r="E160" s="5" t="s">
        <v>294</v>
      </c>
      <c r="F160" s="5"/>
      <c r="G160" s="8"/>
      <c r="H160" s="8"/>
      <c r="I160" s="6"/>
      <c r="J160" s="5"/>
      <c r="K160" s="5"/>
      <c r="L160" s="5"/>
      <c r="M160" s="5"/>
      <c r="N160" s="6"/>
      <c r="O160" s="8"/>
      <c r="P160" s="8"/>
      <c r="Q160" s="6"/>
      <c r="R160" s="8">
        <v>6</v>
      </c>
      <c r="S160" s="5"/>
      <c r="T160" s="6">
        <f t="shared" si="9"/>
        <v>6</v>
      </c>
      <c r="U160" s="9" t="s">
        <v>640</v>
      </c>
      <c r="V160" s="1"/>
      <c r="W160" s="1"/>
      <c r="X160" s="1"/>
      <c r="Y160" s="1"/>
      <c r="Z160" s="1"/>
    </row>
    <row r="161" spans="1:26" ht="39.75" customHeight="1">
      <c r="A161" s="171"/>
      <c r="B161" s="171"/>
      <c r="C161" s="171"/>
      <c r="D161" s="5">
        <v>152</v>
      </c>
      <c r="E161" s="5" t="s">
        <v>295</v>
      </c>
      <c r="F161" s="5"/>
      <c r="G161" s="5"/>
      <c r="H161" s="5"/>
      <c r="I161" s="5"/>
      <c r="J161" s="5"/>
      <c r="K161" s="5"/>
      <c r="L161" s="5"/>
      <c r="M161" s="5"/>
      <c r="N161" s="5"/>
      <c r="O161" s="5"/>
      <c r="P161" s="8">
        <v>15</v>
      </c>
      <c r="Q161" s="5"/>
      <c r="R161" s="5"/>
      <c r="S161" s="5"/>
      <c r="T161" s="6">
        <f t="shared" si="9"/>
        <v>15</v>
      </c>
      <c r="U161" s="9" t="s">
        <v>296</v>
      </c>
      <c r="V161" s="1"/>
      <c r="W161" s="1"/>
      <c r="X161" s="1"/>
      <c r="Y161" s="1"/>
      <c r="Z161" s="1"/>
    </row>
    <row r="162" spans="1:26" ht="39.75" customHeight="1">
      <c r="A162" s="171"/>
      <c r="B162" s="179"/>
      <c r="C162" s="179"/>
      <c r="D162" s="5">
        <v>153</v>
      </c>
      <c r="E162" s="5" t="s">
        <v>297</v>
      </c>
      <c r="F162" s="24"/>
      <c r="G162" s="24"/>
      <c r="H162" s="24"/>
      <c r="I162" s="24"/>
      <c r="J162" s="24"/>
      <c r="K162" s="24"/>
      <c r="L162" s="24"/>
      <c r="M162" s="24"/>
      <c r="N162" s="6"/>
      <c r="O162" s="24"/>
      <c r="P162" s="24"/>
      <c r="Q162" s="24"/>
      <c r="R162" s="24"/>
      <c r="S162" s="24"/>
      <c r="T162" s="6">
        <f t="shared" si="9"/>
        <v>0</v>
      </c>
      <c r="U162" s="9" t="s">
        <v>298</v>
      </c>
      <c r="V162" s="1"/>
      <c r="W162" s="1"/>
      <c r="X162" s="1"/>
      <c r="Y162" s="1"/>
      <c r="Z162" s="1"/>
    </row>
    <row r="163" spans="1:26" ht="39.75" customHeight="1">
      <c r="A163" s="171"/>
      <c r="B163" s="168" t="s">
        <v>299</v>
      </c>
      <c r="C163" s="168" t="s">
        <v>300</v>
      </c>
      <c r="D163" s="5">
        <v>154</v>
      </c>
      <c r="E163" s="5" t="s">
        <v>301</v>
      </c>
      <c r="F163" s="5"/>
      <c r="G163" s="5"/>
      <c r="H163" s="5"/>
      <c r="I163" s="5"/>
      <c r="J163" s="5"/>
      <c r="K163" s="6"/>
      <c r="L163" s="5"/>
      <c r="M163" s="6"/>
      <c r="N163" s="5"/>
      <c r="O163" s="5"/>
      <c r="P163" s="5"/>
      <c r="Q163" s="8"/>
      <c r="R163" s="5"/>
      <c r="S163" s="5"/>
      <c r="T163" s="6">
        <f t="shared" si="9"/>
        <v>0</v>
      </c>
      <c r="U163" s="9"/>
      <c r="V163" s="1"/>
      <c r="W163" s="1"/>
      <c r="X163" s="1"/>
      <c r="Y163" s="1"/>
      <c r="Z163" s="1"/>
    </row>
    <row r="164" spans="1:26" ht="39.75" customHeight="1">
      <c r="A164" s="171"/>
      <c r="B164" s="171"/>
      <c r="C164" s="171"/>
      <c r="D164" s="5">
        <v>155</v>
      </c>
      <c r="E164" s="5" t="s">
        <v>302</v>
      </c>
      <c r="F164" s="5"/>
      <c r="G164" s="5"/>
      <c r="H164" s="5"/>
      <c r="I164" s="5"/>
      <c r="J164" s="5"/>
      <c r="K164" s="5"/>
      <c r="L164" s="5"/>
      <c r="M164" s="5"/>
      <c r="N164" s="5"/>
      <c r="O164" s="5"/>
      <c r="P164" s="8"/>
      <c r="Q164" s="5"/>
      <c r="R164" s="5"/>
      <c r="S164" s="5"/>
      <c r="T164" s="6">
        <f t="shared" si="9"/>
        <v>0</v>
      </c>
      <c r="U164" s="9"/>
      <c r="V164" s="1"/>
      <c r="W164" s="1"/>
      <c r="X164" s="1"/>
      <c r="Y164" s="1"/>
      <c r="Z164" s="1"/>
    </row>
    <row r="165" spans="1:26" ht="39.75" customHeight="1">
      <c r="A165" s="171"/>
      <c r="B165" s="171"/>
      <c r="C165" s="171"/>
      <c r="D165" s="5">
        <v>156</v>
      </c>
      <c r="E165" s="5" t="s">
        <v>303</v>
      </c>
      <c r="F165" s="5"/>
      <c r="G165" s="5"/>
      <c r="H165" s="8"/>
      <c r="I165" s="6"/>
      <c r="J165" s="5"/>
      <c r="K165" s="5"/>
      <c r="L165" s="5"/>
      <c r="M165" s="5"/>
      <c r="N165" s="5"/>
      <c r="O165" s="5"/>
      <c r="P165" s="8">
        <v>3.2</v>
      </c>
      <c r="Q165" s="5"/>
      <c r="R165" s="5"/>
      <c r="S165" s="5"/>
      <c r="T165" s="6">
        <f t="shared" si="9"/>
        <v>3.2</v>
      </c>
      <c r="U165" s="9"/>
      <c r="V165" s="1"/>
      <c r="W165" s="1"/>
      <c r="X165" s="1"/>
      <c r="Y165" s="1"/>
      <c r="Z165" s="1"/>
    </row>
    <row r="166" spans="1:26" ht="39.75" customHeight="1">
      <c r="A166" s="171"/>
      <c r="B166" s="171"/>
      <c r="C166" s="171"/>
      <c r="D166" s="5">
        <v>157</v>
      </c>
      <c r="E166" s="5" t="s">
        <v>304</v>
      </c>
      <c r="F166" s="5"/>
      <c r="G166" s="5"/>
      <c r="H166" s="5"/>
      <c r="I166" s="5"/>
      <c r="J166" s="5"/>
      <c r="K166" s="5"/>
      <c r="L166" s="5"/>
      <c r="M166" s="5"/>
      <c r="N166" s="5"/>
      <c r="O166" s="5"/>
      <c r="P166" s="5"/>
      <c r="Q166" s="5"/>
      <c r="R166" s="5"/>
      <c r="S166" s="5"/>
      <c r="T166" s="6">
        <f t="shared" si="9"/>
        <v>0</v>
      </c>
      <c r="U166" s="9"/>
      <c r="V166" s="1"/>
      <c r="W166" s="1"/>
      <c r="X166" s="1"/>
      <c r="Y166" s="1"/>
      <c r="Z166" s="1"/>
    </row>
    <row r="167" spans="1:26" ht="39.75" customHeight="1">
      <c r="A167" s="171"/>
      <c r="B167" s="169"/>
      <c r="C167" s="169"/>
      <c r="D167" s="5">
        <v>158</v>
      </c>
      <c r="E167" s="5" t="s">
        <v>305</v>
      </c>
      <c r="F167" s="5"/>
      <c r="G167" s="5"/>
      <c r="H167" s="5"/>
      <c r="I167" s="5"/>
      <c r="J167" s="5"/>
      <c r="K167" s="5"/>
      <c r="L167" s="5"/>
      <c r="M167" s="5"/>
      <c r="N167" s="5"/>
      <c r="O167" s="5"/>
      <c r="P167" s="5"/>
      <c r="Q167" s="6"/>
      <c r="R167" s="5"/>
      <c r="S167" s="5"/>
      <c r="T167" s="6">
        <f t="shared" si="9"/>
        <v>0</v>
      </c>
      <c r="U167" s="9"/>
      <c r="V167" s="1"/>
      <c r="W167" s="1"/>
      <c r="X167" s="1"/>
      <c r="Y167" s="1"/>
      <c r="Z167" s="1"/>
    </row>
    <row r="168" spans="1:26" ht="39.75" customHeight="1">
      <c r="A168" s="171"/>
      <c r="B168" s="168" t="s">
        <v>306</v>
      </c>
      <c r="C168" s="168" t="s">
        <v>252</v>
      </c>
      <c r="D168" s="5">
        <v>159</v>
      </c>
      <c r="E168" s="5" t="s">
        <v>253</v>
      </c>
      <c r="F168" s="5"/>
      <c r="G168" s="5"/>
      <c r="H168" s="5"/>
      <c r="I168" s="5"/>
      <c r="J168" s="5"/>
      <c r="K168" s="6"/>
      <c r="L168" s="5"/>
      <c r="M168" s="5"/>
      <c r="N168" s="8">
        <v>28.5</v>
      </c>
      <c r="O168" s="8">
        <v>523.78</v>
      </c>
      <c r="P168" s="8">
        <v>53.23</v>
      </c>
      <c r="Q168" s="6">
        <v>3.98</v>
      </c>
      <c r="R168" s="5"/>
      <c r="S168" s="5"/>
      <c r="T168" s="6">
        <f t="shared" si="9"/>
        <v>609.49</v>
      </c>
      <c r="U168" s="12" t="s">
        <v>459</v>
      </c>
      <c r="V168" s="1"/>
      <c r="W168" s="1"/>
      <c r="X168" s="1"/>
      <c r="Y168" s="1"/>
      <c r="Z168" s="1"/>
    </row>
    <row r="169" spans="1:26" ht="39.75" customHeight="1">
      <c r="A169" s="171"/>
      <c r="B169" s="171"/>
      <c r="C169" s="171"/>
      <c r="D169" s="5">
        <v>160</v>
      </c>
      <c r="E169" s="5" t="s">
        <v>308</v>
      </c>
      <c r="F169" s="5"/>
      <c r="G169" s="5"/>
      <c r="H169" s="5"/>
      <c r="I169" s="5"/>
      <c r="J169" s="5"/>
      <c r="K169" s="5"/>
      <c r="L169" s="5"/>
      <c r="M169" s="5"/>
      <c r="N169" s="5"/>
      <c r="O169" s="5"/>
      <c r="P169" s="5"/>
      <c r="Q169" s="5"/>
      <c r="R169" s="5"/>
      <c r="S169" s="5"/>
      <c r="T169" s="6">
        <f t="shared" si="9"/>
        <v>0</v>
      </c>
      <c r="U169" s="9"/>
      <c r="V169" s="1"/>
      <c r="W169" s="1"/>
      <c r="X169" s="1"/>
      <c r="Y169" s="1"/>
      <c r="Z169" s="1"/>
    </row>
    <row r="170" spans="1:26" ht="39.75" customHeight="1">
      <c r="A170" s="171"/>
      <c r="B170" s="171"/>
      <c r="C170" s="171"/>
      <c r="D170" s="5">
        <v>161</v>
      </c>
      <c r="E170" s="5" t="s">
        <v>255</v>
      </c>
      <c r="F170" s="5"/>
      <c r="G170" s="5"/>
      <c r="H170" s="5"/>
      <c r="I170" s="5"/>
      <c r="J170" s="5"/>
      <c r="K170" s="5"/>
      <c r="L170" s="5"/>
      <c r="M170" s="5"/>
      <c r="N170" s="5"/>
      <c r="O170" s="5"/>
      <c r="P170" s="5"/>
      <c r="Q170" s="5"/>
      <c r="R170" s="5"/>
      <c r="S170" s="5"/>
      <c r="T170" s="6">
        <f t="shared" si="9"/>
        <v>0</v>
      </c>
      <c r="U170" s="9"/>
      <c r="V170" s="1"/>
      <c r="W170" s="1"/>
      <c r="X170" s="1"/>
      <c r="Y170" s="1"/>
      <c r="Z170" s="1"/>
    </row>
    <row r="171" spans="1:26" ht="39.75" customHeight="1">
      <c r="A171" s="171"/>
      <c r="B171" s="171"/>
      <c r="C171" s="171"/>
      <c r="D171" s="5">
        <v>162</v>
      </c>
      <c r="E171" s="5" t="s">
        <v>256</v>
      </c>
      <c r="F171" s="5"/>
      <c r="G171" s="5"/>
      <c r="H171" s="5"/>
      <c r="I171" s="5"/>
      <c r="J171" s="5"/>
      <c r="K171" s="5"/>
      <c r="L171" s="5"/>
      <c r="M171" s="5"/>
      <c r="N171" s="5"/>
      <c r="O171" s="5"/>
      <c r="P171" s="5"/>
      <c r="Q171" s="5"/>
      <c r="R171" s="5"/>
      <c r="S171" s="5"/>
      <c r="T171" s="6">
        <f t="shared" si="9"/>
        <v>0</v>
      </c>
      <c r="U171" s="9"/>
      <c r="V171" s="1"/>
      <c r="W171" s="1"/>
      <c r="X171" s="1"/>
      <c r="Y171" s="1"/>
      <c r="Z171" s="1"/>
    </row>
    <row r="172" spans="1:26" ht="39.75" customHeight="1">
      <c r="A172" s="171"/>
      <c r="B172" s="169"/>
      <c r="C172" s="169"/>
      <c r="D172" s="5">
        <v>163</v>
      </c>
      <c r="E172" s="5" t="s">
        <v>309</v>
      </c>
      <c r="F172" s="5"/>
      <c r="G172" s="5"/>
      <c r="H172" s="5"/>
      <c r="I172" s="5"/>
      <c r="J172" s="5"/>
      <c r="K172" s="5"/>
      <c r="L172" s="5"/>
      <c r="M172" s="5"/>
      <c r="N172" s="5"/>
      <c r="O172" s="8"/>
      <c r="P172" s="8">
        <v>1.8</v>
      </c>
      <c r="Q172" s="6">
        <v>1.75</v>
      </c>
      <c r="R172" s="5"/>
      <c r="S172" s="5"/>
      <c r="T172" s="6">
        <f t="shared" si="9"/>
        <v>3.55</v>
      </c>
      <c r="U172" s="9" t="s">
        <v>310</v>
      </c>
      <c r="V172" s="1"/>
      <c r="W172" s="1"/>
      <c r="X172" s="1"/>
      <c r="Y172" s="1"/>
      <c r="Z172" s="1"/>
    </row>
    <row r="173" spans="1:26" ht="39.75" customHeight="1">
      <c r="A173" s="171"/>
      <c r="B173" s="168" t="s">
        <v>311</v>
      </c>
      <c r="C173" s="168" t="s">
        <v>312</v>
      </c>
      <c r="D173" s="5">
        <v>164</v>
      </c>
      <c r="E173" s="5" t="s">
        <v>313</v>
      </c>
      <c r="F173" s="5"/>
      <c r="G173" s="8"/>
      <c r="H173" s="8"/>
      <c r="I173" s="5"/>
      <c r="J173" s="5"/>
      <c r="K173" s="5"/>
      <c r="L173" s="5"/>
      <c r="M173" s="5"/>
      <c r="N173" s="5"/>
      <c r="O173" s="5"/>
      <c r="P173" s="5"/>
      <c r="Q173" s="5"/>
      <c r="R173" s="5"/>
      <c r="S173" s="5"/>
      <c r="T173" s="6">
        <f t="shared" si="9"/>
        <v>0</v>
      </c>
      <c r="U173" s="9"/>
      <c r="V173" s="1"/>
      <c r="W173" s="1"/>
      <c r="X173" s="1"/>
      <c r="Y173" s="1"/>
      <c r="Z173" s="1"/>
    </row>
    <row r="174" spans="1:26" ht="39.75" customHeight="1">
      <c r="A174" s="171"/>
      <c r="B174" s="171"/>
      <c r="C174" s="171"/>
      <c r="D174" s="5">
        <v>165</v>
      </c>
      <c r="E174" s="5" t="s">
        <v>314</v>
      </c>
      <c r="F174" s="5"/>
      <c r="G174" s="8"/>
      <c r="H174" s="8"/>
      <c r="I174" s="5"/>
      <c r="J174" s="5"/>
      <c r="K174" s="5"/>
      <c r="L174" s="5"/>
      <c r="M174" s="5"/>
      <c r="N174" s="5"/>
      <c r="O174" s="5"/>
      <c r="P174" s="5"/>
      <c r="Q174" s="5"/>
      <c r="R174" s="5"/>
      <c r="S174" s="5"/>
      <c r="T174" s="6">
        <f t="shared" si="9"/>
        <v>0</v>
      </c>
      <c r="U174" s="9"/>
      <c r="V174" s="1"/>
      <c r="W174" s="1"/>
      <c r="X174" s="1"/>
      <c r="Y174" s="1"/>
      <c r="Z174" s="1"/>
    </row>
    <row r="175" spans="1:26" ht="39.75" customHeight="1">
      <c r="A175" s="171"/>
      <c r="B175" s="171"/>
      <c r="C175" s="171"/>
      <c r="D175" s="5">
        <v>166</v>
      </c>
      <c r="E175" s="5" t="s">
        <v>315</v>
      </c>
      <c r="F175" s="5"/>
      <c r="G175" s="8"/>
      <c r="H175" s="8"/>
      <c r="I175" s="5"/>
      <c r="J175" s="5"/>
      <c r="K175" s="5"/>
      <c r="L175" s="5"/>
      <c r="M175" s="5"/>
      <c r="N175" s="5"/>
      <c r="O175" s="5"/>
      <c r="P175" s="5"/>
      <c r="Q175" s="5"/>
      <c r="R175" s="5"/>
      <c r="S175" s="5"/>
      <c r="T175" s="6">
        <f t="shared" si="9"/>
        <v>0</v>
      </c>
      <c r="U175" s="9"/>
      <c r="V175" s="1"/>
      <c r="W175" s="1"/>
      <c r="X175" s="1"/>
      <c r="Y175" s="1"/>
      <c r="Z175" s="1"/>
    </row>
    <row r="176" spans="1:26" ht="39.75" customHeight="1">
      <c r="A176" s="171"/>
      <c r="B176" s="171"/>
      <c r="C176" s="171"/>
      <c r="D176" s="5">
        <v>167</v>
      </c>
      <c r="E176" s="5" t="s">
        <v>316</v>
      </c>
      <c r="F176" s="5"/>
      <c r="G176" s="8"/>
      <c r="H176" s="8"/>
      <c r="I176" s="5"/>
      <c r="J176" s="5"/>
      <c r="K176" s="5"/>
      <c r="L176" s="5"/>
      <c r="M176" s="5"/>
      <c r="N176" s="5"/>
      <c r="O176" s="5"/>
      <c r="P176" s="5"/>
      <c r="Q176" s="5"/>
      <c r="R176" s="5"/>
      <c r="S176" s="5"/>
      <c r="T176" s="6">
        <f t="shared" si="9"/>
        <v>0</v>
      </c>
      <c r="U176" s="9"/>
      <c r="V176" s="1"/>
      <c r="W176" s="1"/>
      <c r="X176" s="1"/>
      <c r="Y176" s="1"/>
      <c r="Z176" s="1"/>
    </row>
    <row r="177" spans="1:26" ht="39.75" customHeight="1">
      <c r="A177" s="171"/>
      <c r="B177" s="171"/>
      <c r="C177" s="171"/>
      <c r="D177" s="5">
        <v>168</v>
      </c>
      <c r="E177" s="5" t="s">
        <v>317</v>
      </c>
      <c r="F177" s="5"/>
      <c r="G177" s="8"/>
      <c r="H177" s="8"/>
      <c r="I177" s="5"/>
      <c r="J177" s="5"/>
      <c r="K177" s="5"/>
      <c r="L177" s="5"/>
      <c r="M177" s="5"/>
      <c r="N177" s="5"/>
      <c r="O177" s="5"/>
      <c r="P177" s="5"/>
      <c r="Q177" s="5"/>
      <c r="R177" s="5"/>
      <c r="S177" s="5"/>
      <c r="T177" s="6">
        <f t="shared" si="9"/>
        <v>0</v>
      </c>
      <c r="U177" s="9"/>
      <c r="V177" s="1"/>
      <c r="W177" s="1"/>
      <c r="X177" s="1"/>
      <c r="Y177" s="1"/>
      <c r="Z177" s="1"/>
    </row>
    <row r="178" spans="1:26" ht="39.75" customHeight="1">
      <c r="A178" s="171"/>
      <c r="B178" s="171"/>
      <c r="C178" s="171"/>
      <c r="D178" s="5">
        <v>169</v>
      </c>
      <c r="E178" s="5" t="s">
        <v>318</v>
      </c>
      <c r="F178" s="5"/>
      <c r="G178" s="8"/>
      <c r="H178" s="8"/>
      <c r="I178" s="6"/>
      <c r="J178" s="5"/>
      <c r="K178" s="5"/>
      <c r="L178" s="5"/>
      <c r="M178" s="5"/>
      <c r="N178" s="5"/>
      <c r="O178" s="5"/>
      <c r="P178" s="5"/>
      <c r="Q178" s="5"/>
      <c r="R178" s="5"/>
      <c r="S178" s="5"/>
      <c r="T178" s="6">
        <f t="shared" si="9"/>
        <v>0</v>
      </c>
      <c r="U178" s="9"/>
      <c r="V178" s="1"/>
      <c r="W178" s="1"/>
      <c r="X178" s="1"/>
      <c r="Y178" s="1"/>
      <c r="Z178" s="1"/>
    </row>
    <row r="179" spans="1:26" ht="39.75" customHeight="1">
      <c r="A179" s="171"/>
      <c r="B179" s="169"/>
      <c r="C179" s="169"/>
      <c r="D179" s="5">
        <v>170</v>
      </c>
      <c r="E179" s="5" t="s">
        <v>319</v>
      </c>
      <c r="F179" s="5"/>
      <c r="G179" s="5"/>
      <c r="H179" s="5"/>
      <c r="I179" s="5"/>
      <c r="J179" s="5"/>
      <c r="K179" s="5"/>
      <c r="L179" s="5"/>
      <c r="M179" s="5"/>
      <c r="N179" s="5"/>
      <c r="O179" s="5"/>
      <c r="P179" s="5"/>
      <c r="Q179" s="5"/>
      <c r="R179" s="5"/>
      <c r="S179" s="5"/>
      <c r="T179" s="6">
        <f t="shared" si="9"/>
        <v>0</v>
      </c>
      <c r="U179" s="9"/>
      <c r="V179" s="1"/>
      <c r="W179" s="1"/>
      <c r="X179" s="1"/>
      <c r="Y179" s="1"/>
      <c r="Z179" s="1"/>
    </row>
    <row r="180" spans="1:26" ht="39.75" customHeight="1">
      <c r="A180" s="171"/>
      <c r="B180" s="168" t="s">
        <v>320</v>
      </c>
      <c r="C180" s="168" t="s">
        <v>321</v>
      </c>
      <c r="D180" s="5">
        <v>171</v>
      </c>
      <c r="E180" s="5" t="s">
        <v>322</v>
      </c>
      <c r="F180" s="5"/>
      <c r="G180" s="5"/>
      <c r="H180" s="5"/>
      <c r="I180" s="5"/>
      <c r="J180" s="5"/>
      <c r="K180" s="5"/>
      <c r="L180" s="5"/>
      <c r="M180" s="5"/>
      <c r="N180" s="5"/>
      <c r="O180" s="5"/>
      <c r="P180" s="5"/>
      <c r="Q180" s="5"/>
      <c r="R180" s="5"/>
      <c r="S180" s="5"/>
      <c r="T180" s="6">
        <f t="shared" si="9"/>
        <v>0</v>
      </c>
      <c r="U180" s="9"/>
      <c r="V180" s="1"/>
      <c r="W180" s="1"/>
      <c r="X180" s="1"/>
      <c r="Y180" s="1"/>
      <c r="Z180" s="1"/>
    </row>
    <row r="181" spans="1:26" ht="39.75" customHeight="1">
      <c r="A181" s="171"/>
      <c r="B181" s="171"/>
      <c r="C181" s="171"/>
      <c r="D181" s="5">
        <v>172</v>
      </c>
      <c r="E181" s="5" t="s">
        <v>323</v>
      </c>
      <c r="F181" s="5"/>
      <c r="G181" s="5"/>
      <c r="H181" s="5"/>
      <c r="I181" s="5"/>
      <c r="J181" s="5"/>
      <c r="K181" s="5"/>
      <c r="L181" s="5"/>
      <c r="M181" s="5"/>
      <c r="N181" s="5"/>
      <c r="O181" s="5"/>
      <c r="P181" s="6"/>
      <c r="Q181" s="5"/>
      <c r="R181" s="5"/>
      <c r="S181" s="5"/>
      <c r="T181" s="6">
        <f t="shared" si="9"/>
        <v>0</v>
      </c>
      <c r="U181" s="9"/>
      <c r="V181" s="1"/>
      <c r="W181" s="1"/>
      <c r="X181" s="1"/>
      <c r="Y181" s="1"/>
      <c r="Z181" s="1"/>
    </row>
    <row r="182" spans="1:26" ht="39.75" customHeight="1">
      <c r="A182" s="171"/>
      <c r="B182" s="171"/>
      <c r="C182" s="171"/>
      <c r="D182" s="5">
        <v>173</v>
      </c>
      <c r="E182" s="5" t="s">
        <v>324</v>
      </c>
      <c r="F182" s="5"/>
      <c r="G182" s="5"/>
      <c r="H182" s="5"/>
      <c r="I182" s="5"/>
      <c r="J182" s="5"/>
      <c r="K182" s="5"/>
      <c r="L182" s="5"/>
      <c r="M182" s="5"/>
      <c r="N182" s="5"/>
      <c r="O182" s="5"/>
      <c r="P182" s="5"/>
      <c r="Q182" s="5"/>
      <c r="R182" s="5"/>
      <c r="S182" s="5"/>
      <c r="T182" s="6">
        <f t="shared" si="9"/>
        <v>0</v>
      </c>
      <c r="U182" s="9"/>
      <c r="V182" s="1"/>
      <c r="W182" s="1"/>
      <c r="X182" s="1"/>
      <c r="Y182" s="1"/>
      <c r="Z182" s="1"/>
    </row>
    <row r="183" spans="1:26" ht="39.75" customHeight="1">
      <c r="A183" s="171"/>
      <c r="B183" s="169"/>
      <c r="C183" s="169"/>
      <c r="D183" s="5">
        <v>174</v>
      </c>
      <c r="E183" s="5" t="s">
        <v>325</v>
      </c>
      <c r="F183" s="5"/>
      <c r="G183" s="5"/>
      <c r="H183" s="5"/>
      <c r="I183" s="5"/>
      <c r="J183" s="5"/>
      <c r="K183" s="5"/>
      <c r="L183" s="5"/>
      <c r="M183" s="5"/>
      <c r="N183" s="5"/>
      <c r="O183" s="5"/>
      <c r="P183" s="6"/>
      <c r="Q183" s="5"/>
      <c r="R183" s="5"/>
      <c r="S183" s="5"/>
      <c r="T183" s="6">
        <f t="shared" si="9"/>
        <v>0</v>
      </c>
      <c r="U183" s="9"/>
      <c r="V183" s="1"/>
      <c r="W183" s="1"/>
      <c r="X183" s="1"/>
      <c r="Y183" s="1"/>
      <c r="Z183" s="1"/>
    </row>
    <row r="184" spans="1:26" ht="39.75" customHeight="1">
      <c r="A184" s="171"/>
      <c r="B184" s="168" t="s">
        <v>326</v>
      </c>
      <c r="C184" s="168" t="s">
        <v>267</v>
      </c>
      <c r="D184" s="5">
        <v>175</v>
      </c>
      <c r="E184" s="5" t="s">
        <v>268</v>
      </c>
      <c r="F184" s="134"/>
      <c r="G184" s="134"/>
      <c r="H184" s="134"/>
      <c r="I184" s="135">
        <v>11.2</v>
      </c>
      <c r="J184" s="134"/>
      <c r="K184" s="134"/>
      <c r="L184" s="134"/>
      <c r="M184" s="134"/>
      <c r="N184" s="136">
        <f>8.48+1.5</f>
        <v>9.98</v>
      </c>
      <c r="O184" s="134"/>
      <c r="P184" s="135">
        <v>4</v>
      </c>
      <c r="Q184" s="137">
        <v>4.2857000000000003</v>
      </c>
      <c r="R184" s="135">
        <f>0.504+0.252</f>
        <v>0.75600000000000001</v>
      </c>
      <c r="S184" s="135"/>
      <c r="T184" s="136">
        <f t="shared" ref="T184:T186" si="12">SUM(F184:S184)</f>
        <v>30.221699999999998</v>
      </c>
      <c r="U184" s="138" t="s">
        <v>862</v>
      </c>
      <c r="V184" s="1"/>
      <c r="W184" s="1"/>
      <c r="X184" s="1"/>
      <c r="Y184" s="1"/>
      <c r="Z184" s="1"/>
    </row>
    <row r="185" spans="1:26" ht="39.75" customHeight="1">
      <c r="A185" s="171"/>
      <c r="B185" s="171"/>
      <c r="C185" s="171"/>
      <c r="D185" s="5">
        <v>176</v>
      </c>
      <c r="E185" s="5" t="s">
        <v>269</v>
      </c>
      <c r="F185" s="134"/>
      <c r="G185" s="134"/>
      <c r="H185" s="134"/>
      <c r="I185" s="134"/>
      <c r="J185" s="134"/>
      <c r="K185" s="134"/>
      <c r="L185" s="134"/>
      <c r="M185" s="135">
        <v>32</v>
      </c>
      <c r="N185" s="134"/>
      <c r="O185" s="134"/>
      <c r="P185" s="135">
        <v>54.75</v>
      </c>
      <c r="Q185" s="135">
        <v>5.8</v>
      </c>
      <c r="R185" s="134"/>
      <c r="S185" s="134"/>
      <c r="T185" s="136">
        <f t="shared" si="12"/>
        <v>92.55</v>
      </c>
      <c r="U185" s="138" t="s">
        <v>863</v>
      </c>
      <c r="V185" s="1"/>
      <c r="W185" s="1"/>
      <c r="X185" s="1"/>
      <c r="Y185" s="1"/>
      <c r="Z185" s="1"/>
    </row>
    <row r="186" spans="1:26" ht="39.75" customHeight="1">
      <c r="A186" s="171"/>
      <c r="B186" s="169"/>
      <c r="C186" s="169"/>
      <c r="D186" s="5">
        <v>177</v>
      </c>
      <c r="E186" s="5" t="s">
        <v>270</v>
      </c>
      <c r="F186" s="134"/>
      <c r="G186" s="134"/>
      <c r="H186" s="134"/>
      <c r="I186" s="134"/>
      <c r="J186" s="134"/>
      <c r="K186" s="134"/>
      <c r="L186" s="134"/>
      <c r="M186" s="134"/>
      <c r="N186" s="136">
        <v>1</v>
      </c>
      <c r="O186" s="134"/>
      <c r="P186" s="134"/>
      <c r="Q186" s="134"/>
      <c r="R186" s="134"/>
      <c r="S186" s="134"/>
      <c r="T186" s="136">
        <f t="shared" si="12"/>
        <v>1</v>
      </c>
      <c r="U186" s="138" t="s">
        <v>839</v>
      </c>
      <c r="V186" s="1"/>
      <c r="W186" s="1"/>
      <c r="X186" s="1"/>
      <c r="Y186" s="1"/>
      <c r="Z186" s="1"/>
    </row>
    <row r="187" spans="1:26" ht="39.75" customHeight="1">
      <c r="A187" s="171"/>
      <c r="B187" s="168" t="s">
        <v>327</v>
      </c>
      <c r="C187" s="168" t="s">
        <v>328</v>
      </c>
      <c r="D187" s="5">
        <v>178</v>
      </c>
      <c r="E187" s="5" t="s">
        <v>329</v>
      </c>
      <c r="F187" s="5"/>
      <c r="G187" s="5"/>
      <c r="H187" s="5"/>
      <c r="I187" s="5"/>
      <c r="J187" s="5"/>
      <c r="K187" s="5"/>
      <c r="L187" s="5"/>
      <c r="M187" s="5"/>
      <c r="N187" s="5"/>
      <c r="O187" s="5"/>
      <c r="P187" s="5"/>
      <c r="Q187" s="5"/>
      <c r="R187" s="5"/>
      <c r="S187" s="5"/>
      <c r="T187" s="6">
        <f t="shared" si="9"/>
        <v>0</v>
      </c>
      <c r="U187" s="9"/>
      <c r="V187" s="1"/>
      <c r="W187" s="1"/>
      <c r="X187" s="1"/>
      <c r="Y187" s="1"/>
      <c r="Z187" s="1"/>
    </row>
    <row r="188" spans="1:26" ht="39.75" customHeight="1">
      <c r="A188" s="171"/>
      <c r="B188" s="171"/>
      <c r="C188" s="171"/>
      <c r="D188" s="5">
        <v>179</v>
      </c>
      <c r="E188" s="5" t="s">
        <v>149</v>
      </c>
      <c r="F188" s="5"/>
      <c r="G188" s="5"/>
      <c r="H188" s="5"/>
      <c r="I188" s="5"/>
      <c r="J188" s="5"/>
      <c r="K188" s="5"/>
      <c r="L188" s="5"/>
      <c r="M188" s="5"/>
      <c r="N188" s="5"/>
      <c r="O188" s="5"/>
      <c r="P188" s="5"/>
      <c r="Q188" s="5"/>
      <c r="R188" s="5"/>
      <c r="S188" s="5"/>
      <c r="T188" s="6">
        <f t="shared" si="9"/>
        <v>0</v>
      </c>
      <c r="U188" s="9"/>
      <c r="V188" s="1"/>
      <c r="W188" s="1"/>
      <c r="X188" s="1"/>
      <c r="Y188" s="1"/>
      <c r="Z188" s="1"/>
    </row>
    <row r="189" spans="1:26" ht="39.75" customHeight="1">
      <c r="A189" s="171"/>
      <c r="B189" s="171"/>
      <c r="C189" s="171"/>
      <c r="D189" s="5">
        <v>180</v>
      </c>
      <c r="E189" s="5" t="s">
        <v>330</v>
      </c>
      <c r="F189" s="5"/>
      <c r="G189" s="5"/>
      <c r="H189" s="5"/>
      <c r="I189" s="5"/>
      <c r="J189" s="5"/>
      <c r="K189" s="6"/>
      <c r="L189" s="5"/>
      <c r="M189" s="5"/>
      <c r="N189" s="5"/>
      <c r="O189" s="5"/>
      <c r="P189" s="8"/>
      <c r="Q189" s="5"/>
      <c r="R189" s="5"/>
      <c r="S189" s="5"/>
      <c r="T189" s="6">
        <f t="shared" si="9"/>
        <v>0</v>
      </c>
      <c r="U189" s="9"/>
      <c r="V189" s="1"/>
      <c r="W189" s="1"/>
      <c r="X189" s="1"/>
      <c r="Y189" s="1"/>
      <c r="Z189" s="1"/>
    </row>
    <row r="190" spans="1:26" ht="39.75" customHeight="1">
      <c r="A190" s="171"/>
      <c r="B190" s="171"/>
      <c r="C190" s="171"/>
      <c r="D190" s="5">
        <v>181</v>
      </c>
      <c r="E190" s="5" t="s">
        <v>331</v>
      </c>
      <c r="F190" s="5"/>
      <c r="G190" s="5"/>
      <c r="H190" s="5"/>
      <c r="I190" s="5"/>
      <c r="J190" s="5"/>
      <c r="K190" s="5"/>
      <c r="L190" s="5"/>
      <c r="M190" s="5"/>
      <c r="N190" s="5"/>
      <c r="O190" s="5"/>
      <c r="P190" s="5"/>
      <c r="Q190" s="5"/>
      <c r="R190" s="5"/>
      <c r="S190" s="5"/>
      <c r="T190" s="6">
        <f t="shared" si="9"/>
        <v>0</v>
      </c>
      <c r="U190" s="9"/>
      <c r="V190" s="1"/>
      <c r="W190" s="1"/>
      <c r="X190" s="1"/>
      <c r="Y190" s="1"/>
      <c r="Z190" s="1"/>
    </row>
    <row r="191" spans="1:26" ht="39.75" customHeight="1">
      <c r="A191" s="171"/>
      <c r="B191" s="171"/>
      <c r="C191" s="171"/>
      <c r="D191" s="5">
        <v>182</v>
      </c>
      <c r="E191" s="5" t="s">
        <v>332</v>
      </c>
      <c r="F191" s="5"/>
      <c r="G191" s="5"/>
      <c r="H191" s="5"/>
      <c r="I191" s="5"/>
      <c r="J191" s="5"/>
      <c r="K191" s="5"/>
      <c r="L191" s="5"/>
      <c r="M191" s="5"/>
      <c r="N191" s="5"/>
      <c r="O191" s="5"/>
      <c r="P191" s="6">
        <v>12.6</v>
      </c>
      <c r="Q191" s="5"/>
      <c r="R191" s="5"/>
      <c r="S191" s="5"/>
      <c r="T191" s="6">
        <f t="shared" si="9"/>
        <v>12.6</v>
      </c>
      <c r="U191" s="9" t="s">
        <v>333</v>
      </c>
      <c r="V191" s="1"/>
      <c r="W191" s="1"/>
      <c r="X191" s="1"/>
      <c r="Y191" s="1"/>
      <c r="Z191" s="1"/>
    </row>
    <row r="192" spans="1:26" ht="39.75" customHeight="1">
      <c r="A192" s="171"/>
      <c r="B192" s="169"/>
      <c r="C192" s="169"/>
      <c r="D192" s="5">
        <v>183</v>
      </c>
      <c r="E192" s="5" t="s">
        <v>334</v>
      </c>
      <c r="F192" s="5"/>
      <c r="G192" s="5"/>
      <c r="H192" s="5"/>
      <c r="I192" s="5"/>
      <c r="J192" s="5"/>
      <c r="K192" s="5"/>
      <c r="L192" s="5"/>
      <c r="M192" s="5"/>
      <c r="N192" s="5"/>
      <c r="O192" s="5"/>
      <c r="P192" s="8"/>
      <c r="Q192" s="5"/>
      <c r="R192" s="5"/>
      <c r="S192" s="5"/>
      <c r="T192" s="6">
        <f t="shared" si="9"/>
        <v>0</v>
      </c>
      <c r="U192" s="9"/>
      <c r="V192" s="1"/>
      <c r="W192" s="1"/>
      <c r="X192" s="1"/>
      <c r="Y192" s="1"/>
      <c r="Z192" s="1"/>
    </row>
    <row r="193" spans="1:26" ht="39.75" customHeight="1">
      <c r="A193" s="171"/>
      <c r="B193" s="5" t="s">
        <v>335</v>
      </c>
      <c r="C193" s="5" t="s">
        <v>336</v>
      </c>
      <c r="D193" s="5">
        <v>184</v>
      </c>
      <c r="E193" s="5" t="s">
        <v>337</v>
      </c>
      <c r="F193" s="5"/>
      <c r="G193" s="5"/>
      <c r="H193" s="5"/>
      <c r="I193" s="5"/>
      <c r="J193" s="5"/>
      <c r="K193" s="5"/>
      <c r="L193" s="5"/>
      <c r="M193" s="5"/>
      <c r="N193" s="5"/>
      <c r="O193" s="5"/>
      <c r="P193" s="6"/>
      <c r="Q193" s="5"/>
      <c r="R193" s="5"/>
      <c r="S193" s="5"/>
      <c r="T193" s="6">
        <f t="shared" si="9"/>
        <v>0</v>
      </c>
      <c r="U193" s="9"/>
      <c r="V193" s="1"/>
      <c r="W193" s="1"/>
      <c r="X193" s="1"/>
      <c r="Y193" s="1"/>
      <c r="Z193" s="1"/>
    </row>
    <row r="194" spans="1:26" ht="39.75" customHeight="1">
      <c r="A194" s="171"/>
      <c r="B194" s="168" t="s">
        <v>338</v>
      </c>
      <c r="C194" s="168" t="s">
        <v>272</v>
      </c>
      <c r="D194" s="5">
        <v>185</v>
      </c>
      <c r="E194" s="5" t="s">
        <v>273</v>
      </c>
      <c r="F194" s="5"/>
      <c r="G194" s="5"/>
      <c r="H194" s="5"/>
      <c r="I194" s="5"/>
      <c r="J194" s="5"/>
      <c r="K194" s="5"/>
      <c r="L194" s="5"/>
      <c r="M194" s="5"/>
      <c r="N194" s="5"/>
      <c r="O194" s="5"/>
      <c r="P194" s="5"/>
      <c r="Q194" s="5"/>
      <c r="R194" s="5">
        <v>2202.2399999999998</v>
      </c>
      <c r="S194" s="5"/>
      <c r="T194" s="6">
        <f t="shared" si="9"/>
        <v>2202.2399999999998</v>
      </c>
      <c r="U194" s="9" t="s">
        <v>639</v>
      </c>
      <c r="V194" s="1"/>
      <c r="W194" s="1"/>
      <c r="X194" s="1"/>
      <c r="Y194" s="1"/>
      <c r="Z194" s="1"/>
    </row>
    <row r="195" spans="1:26" ht="39.75" customHeight="1">
      <c r="A195" s="171"/>
      <c r="B195" s="171"/>
      <c r="C195" s="171"/>
      <c r="D195" s="5">
        <v>186</v>
      </c>
      <c r="E195" s="5" t="s">
        <v>274</v>
      </c>
      <c r="F195" s="5"/>
      <c r="G195" s="5"/>
      <c r="H195" s="5"/>
      <c r="I195" s="5"/>
      <c r="J195" s="5"/>
      <c r="K195" s="5"/>
      <c r="L195" s="5"/>
      <c r="M195" s="5"/>
      <c r="N195" s="5"/>
      <c r="O195" s="5"/>
      <c r="P195" s="8">
        <v>10.31</v>
      </c>
      <c r="Q195" s="6"/>
      <c r="R195" s="5"/>
      <c r="S195" s="5"/>
      <c r="T195" s="6">
        <f t="shared" si="9"/>
        <v>10.31</v>
      </c>
      <c r="U195" s="9" t="s">
        <v>636</v>
      </c>
      <c r="V195" s="1"/>
      <c r="W195" s="1"/>
      <c r="X195" s="1"/>
      <c r="Y195" s="1"/>
      <c r="Z195" s="1"/>
    </row>
    <row r="196" spans="1:26" ht="39.75" customHeight="1">
      <c r="A196" s="171"/>
      <c r="B196" s="171"/>
      <c r="C196" s="171"/>
      <c r="D196" s="5">
        <v>187</v>
      </c>
      <c r="E196" s="5" t="s">
        <v>339</v>
      </c>
      <c r="F196" s="5"/>
      <c r="G196" s="5"/>
      <c r="H196" s="5"/>
      <c r="I196" s="5"/>
      <c r="J196" s="5"/>
      <c r="K196" s="5"/>
      <c r="L196" s="5"/>
      <c r="M196" s="5"/>
      <c r="N196" s="5"/>
      <c r="O196" s="5"/>
      <c r="P196" s="5"/>
      <c r="Q196" s="5"/>
      <c r="R196" s="5"/>
      <c r="S196" s="5"/>
      <c r="T196" s="6">
        <f t="shared" si="9"/>
        <v>0</v>
      </c>
      <c r="U196" s="9"/>
      <c r="V196" s="1"/>
      <c r="W196" s="1"/>
      <c r="X196" s="1"/>
      <c r="Y196" s="1"/>
      <c r="Z196" s="1"/>
    </row>
    <row r="197" spans="1:26" ht="39.75" customHeight="1">
      <c r="A197" s="171"/>
      <c r="B197" s="171"/>
      <c r="C197" s="171"/>
      <c r="D197" s="5">
        <v>188</v>
      </c>
      <c r="E197" s="5" t="s">
        <v>275</v>
      </c>
      <c r="F197" s="5"/>
      <c r="G197" s="5"/>
      <c r="H197" s="5"/>
      <c r="I197" s="5"/>
      <c r="J197" s="5"/>
      <c r="K197" s="5"/>
      <c r="L197" s="5"/>
      <c r="M197" s="5"/>
      <c r="N197" s="5"/>
      <c r="O197" s="5"/>
      <c r="P197" s="5"/>
      <c r="Q197" s="5"/>
      <c r="R197" s="5"/>
      <c r="S197" s="5"/>
      <c r="T197" s="6">
        <f t="shared" si="9"/>
        <v>0</v>
      </c>
      <c r="U197" s="9"/>
      <c r="V197" s="1"/>
      <c r="W197" s="1"/>
      <c r="X197" s="1"/>
      <c r="Y197" s="1"/>
      <c r="Z197" s="1"/>
    </row>
    <row r="198" spans="1:26" ht="39.75" customHeight="1">
      <c r="A198" s="171"/>
      <c r="B198" s="171"/>
      <c r="C198" s="171"/>
      <c r="D198" s="5">
        <v>189</v>
      </c>
      <c r="E198" s="5" t="s">
        <v>276</v>
      </c>
      <c r="F198" s="5"/>
      <c r="G198" s="5"/>
      <c r="H198" s="5"/>
      <c r="I198" s="5"/>
      <c r="J198" s="5"/>
      <c r="K198" s="5"/>
      <c r="L198" s="5"/>
      <c r="M198" s="5"/>
      <c r="N198" s="5"/>
      <c r="O198" s="5"/>
      <c r="P198" s="5"/>
      <c r="Q198" s="5"/>
      <c r="R198" s="5"/>
      <c r="S198" s="5"/>
      <c r="T198" s="6">
        <f t="shared" ref="T198:T208" si="13">SUM(F198:S198)</f>
        <v>0</v>
      </c>
      <c r="U198" s="9"/>
      <c r="V198" s="1"/>
      <c r="W198" s="1"/>
      <c r="X198" s="1"/>
      <c r="Y198" s="1"/>
      <c r="Z198" s="1"/>
    </row>
    <row r="199" spans="1:26" ht="39.75" customHeight="1">
      <c r="A199" s="171"/>
      <c r="B199" s="169"/>
      <c r="C199" s="169"/>
      <c r="D199" s="5">
        <v>190</v>
      </c>
      <c r="E199" s="5" t="s">
        <v>340</v>
      </c>
      <c r="F199" s="5"/>
      <c r="G199" s="5"/>
      <c r="H199" s="5"/>
      <c r="I199" s="5"/>
      <c r="J199" s="5"/>
      <c r="K199" s="5"/>
      <c r="L199" s="5"/>
      <c r="M199" s="5"/>
      <c r="N199" s="5"/>
      <c r="O199" s="5"/>
      <c r="P199" s="8"/>
      <c r="Q199" s="5">
        <v>0.25</v>
      </c>
      <c r="R199" s="5"/>
      <c r="S199" s="5"/>
      <c r="T199" s="6">
        <f t="shared" si="13"/>
        <v>0.25</v>
      </c>
      <c r="U199" s="9" t="s">
        <v>633</v>
      </c>
      <c r="V199" s="1"/>
      <c r="W199" s="1"/>
      <c r="X199" s="1"/>
      <c r="Y199" s="1"/>
      <c r="Z199" s="1"/>
    </row>
    <row r="200" spans="1:26" ht="39.75" customHeight="1">
      <c r="A200" s="171"/>
      <c r="B200" s="168" t="s">
        <v>341</v>
      </c>
      <c r="C200" s="168" t="s">
        <v>342</v>
      </c>
      <c r="D200" s="5">
        <v>191</v>
      </c>
      <c r="E200" s="5" t="s">
        <v>343</v>
      </c>
      <c r="F200" s="5"/>
      <c r="G200" s="5"/>
      <c r="H200" s="5"/>
      <c r="I200" s="5"/>
      <c r="J200" s="5"/>
      <c r="K200" s="5"/>
      <c r="L200" s="5"/>
      <c r="M200" s="5"/>
      <c r="N200" s="6">
        <v>18.54</v>
      </c>
      <c r="O200" s="5"/>
      <c r="P200" s="5"/>
      <c r="Q200" s="5"/>
      <c r="R200" s="5"/>
      <c r="S200" s="5"/>
      <c r="T200" s="6">
        <f t="shared" si="13"/>
        <v>18.54</v>
      </c>
      <c r="U200" s="63" t="s">
        <v>501</v>
      </c>
      <c r="V200" s="30"/>
      <c r="W200" s="1"/>
      <c r="X200" s="1"/>
      <c r="Y200" s="1"/>
      <c r="Z200" s="1"/>
    </row>
    <row r="201" spans="1:26" ht="39.75" customHeight="1">
      <c r="A201" s="171"/>
      <c r="B201" s="169"/>
      <c r="C201" s="169"/>
      <c r="D201" s="5">
        <v>192</v>
      </c>
      <c r="E201" s="5" t="s">
        <v>345</v>
      </c>
      <c r="F201" s="5"/>
      <c r="G201" s="5"/>
      <c r="H201" s="8"/>
      <c r="I201" s="5"/>
      <c r="J201" s="5"/>
      <c r="K201" s="5"/>
      <c r="L201" s="5"/>
      <c r="M201" s="5"/>
      <c r="N201" s="6">
        <v>0.5</v>
      </c>
      <c r="O201" s="5"/>
      <c r="P201" s="6">
        <v>15</v>
      </c>
      <c r="Q201" s="8"/>
      <c r="R201" s="5"/>
      <c r="S201" s="5"/>
      <c r="T201" s="6">
        <f t="shared" si="13"/>
        <v>15.5</v>
      </c>
      <c r="U201" s="61" t="s">
        <v>652</v>
      </c>
      <c r="V201" s="1"/>
      <c r="W201" s="1"/>
      <c r="X201" s="1"/>
      <c r="Y201" s="1"/>
      <c r="Z201" s="1"/>
    </row>
    <row r="202" spans="1:26" ht="39.75" customHeight="1">
      <c r="A202" s="171"/>
      <c r="B202" s="168" t="s">
        <v>346</v>
      </c>
      <c r="C202" s="168" t="s">
        <v>278</v>
      </c>
      <c r="D202" s="5">
        <v>193</v>
      </c>
      <c r="E202" s="5" t="s">
        <v>347</v>
      </c>
      <c r="F202" s="5"/>
      <c r="G202" s="5"/>
      <c r="H202" s="5"/>
      <c r="I202" s="5"/>
      <c r="J202" s="5"/>
      <c r="K202" s="5"/>
      <c r="L202" s="5"/>
      <c r="M202" s="5"/>
      <c r="N202" s="5"/>
      <c r="O202" s="5"/>
      <c r="P202" s="6"/>
      <c r="Q202" s="5"/>
      <c r="R202" s="5"/>
      <c r="S202" s="8"/>
      <c r="T202" s="6">
        <f t="shared" si="13"/>
        <v>0</v>
      </c>
      <c r="U202" s="9"/>
      <c r="V202" s="1"/>
      <c r="W202" s="1"/>
      <c r="X202" s="1"/>
      <c r="Y202" s="1"/>
      <c r="Z202" s="1"/>
    </row>
    <row r="203" spans="1:26" ht="39.75" customHeight="1">
      <c r="A203" s="171"/>
      <c r="B203" s="169"/>
      <c r="C203" s="169"/>
      <c r="D203" s="5">
        <v>194</v>
      </c>
      <c r="E203" s="5" t="s">
        <v>279</v>
      </c>
      <c r="F203" s="5"/>
      <c r="G203" s="5"/>
      <c r="H203" s="5"/>
      <c r="I203" s="5"/>
      <c r="J203" s="5"/>
      <c r="K203" s="5"/>
      <c r="L203" s="5"/>
      <c r="M203" s="5"/>
      <c r="N203" s="6"/>
      <c r="O203" s="5"/>
      <c r="P203" s="5"/>
      <c r="Q203" s="6"/>
      <c r="R203" s="6">
        <v>34.33</v>
      </c>
      <c r="S203" s="5"/>
      <c r="T203" s="6">
        <f t="shared" si="13"/>
        <v>34.33</v>
      </c>
      <c r="U203" s="9" t="s">
        <v>629</v>
      </c>
      <c r="V203" s="1"/>
      <c r="W203" s="1"/>
      <c r="X203" s="1"/>
      <c r="Y203" s="1"/>
      <c r="Z203" s="1"/>
    </row>
    <row r="204" spans="1:26" ht="39.75" customHeight="1">
      <c r="A204" s="171"/>
      <c r="B204" s="168" t="s">
        <v>348</v>
      </c>
      <c r="C204" s="168" t="s">
        <v>349</v>
      </c>
      <c r="D204" s="5">
        <v>195</v>
      </c>
      <c r="E204" s="5" t="s">
        <v>350</v>
      </c>
      <c r="F204" s="5"/>
      <c r="G204" s="5"/>
      <c r="H204" s="5"/>
      <c r="I204" s="5"/>
      <c r="J204" s="5"/>
      <c r="K204" s="5"/>
      <c r="L204" s="5"/>
      <c r="M204" s="5"/>
      <c r="N204" s="5"/>
      <c r="O204" s="5"/>
      <c r="P204" s="6">
        <v>2.1</v>
      </c>
      <c r="Q204" s="8">
        <v>1.29</v>
      </c>
      <c r="R204" s="6">
        <v>1.8</v>
      </c>
      <c r="S204" s="5"/>
      <c r="T204" s="6">
        <f t="shared" si="13"/>
        <v>5.19</v>
      </c>
      <c r="U204" s="61" t="s">
        <v>351</v>
      </c>
      <c r="V204" s="1"/>
      <c r="W204" s="1"/>
      <c r="X204" s="1"/>
      <c r="Y204" s="1"/>
      <c r="Z204" s="1"/>
    </row>
    <row r="205" spans="1:26" ht="39.75" customHeight="1">
      <c r="A205" s="171"/>
      <c r="B205" s="171"/>
      <c r="C205" s="171"/>
      <c r="D205" s="5">
        <v>196</v>
      </c>
      <c r="E205" s="5" t="s">
        <v>352</v>
      </c>
      <c r="F205" s="5"/>
      <c r="G205" s="5"/>
      <c r="H205" s="5"/>
      <c r="I205" s="5"/>
      <c r="J205" s="5"/>
      <c r="K205" s="5"/>
      <c r="L205" s="5"/>
      <c r="M205" s="5"/>
      <c r="N205" s="5"/>
      <c r="O205" s="5"/>
      <c r="P205" s="5"/>
      <c r="Q205" s="5"/>
      <c r="R205" s="5"/>
      <c r="S205" s="5"/>
      <c r="T205" s="6">
        <f t="shared" si="13"/>
        <v>0</v>
      </c>
      <c r="U205" s="9"/>
      <c r="V205" s="1"/>
      <c r="W205" s="1"/>
      <c r="X205" s="1"/>
      <c r="Y205" s="1"/>
      <c r="Z205" s="1"/>
    </row>
    <row r="206" spans="1:26" ht="39.75" customHeight="1">
      <c r="A206" s="171"/>
      <c r="B206" s="169"/>
      <c r="C206" s="169"/>
      <c r="D206" s="5">
        <v>197</v>
      </c>
      <c r="E206" s="5" t="s">
        <v>353</v>
      </c>
      <c r="F206" s="5"/>
      <c r="G206" s="5"/>
      <c r="H206" s="5"/>
      <c r="I206" s="5"/>
      <c r="J206" s="5"/>
      <c r="K206" s="5"/>
      <c r="L206" s="5"/>
      <c r="M206" s="5"/>
      <c r="N206" s="5"/>
      <c r="O206" s="5"/>
      <c r="P206" s="6"/>
      <c r="Q206" s="5"/>
      <c r="R206" s="5"/>
      <c r="S206" s="5"/>
      <c r="T206" s="6">
        <f t="shared" si="13"/>
        <v>0</v>
      </c>
      <c r="U206" s="9"/>
      <c r="V206" s="1"/>
      <c r="W206" s="1"/>
      <c r="X206" s="1"/>
      <c r="Y206" s="1"/>
      <c r="Z206" s="1"/>
    </row>
    <row r="207" spans="1:26" ht="39.75" customHeight="1">
      <c r="A207" s="171"/>
      <c r="B207" s="5" t="s">
        <v>354</v>
      </c>
      <c r="C207" s="5" t="s">
        <v>284</v>
      </c>
      <c r="D207" s="5">
        <v>198</v>
      </c>
      <c r="E207" s="5" t="s">
        <v>285</v>
      </c>
      <c r="F207" s="5"/>
      <c r="G207" s="5"/>
      <c r="H207" s="5"/>
      <c r="I207" s="5"/>
      <c r="J207" s="5"/>
      <c r="K207" s="5"/>
      <c r="L207" s="5"/>
      <c r="M207" s="5"/>
      <c r="N207" s="5"/>
      <c r="O207" s="5"/>
      <c r="P207" s="5"/>
      <c r="Q207" s="5"/>
      <c r="R207" s="5"/>
      <c r="S207" s="5"/>
      <c r="T207" s="6">
        <f t="shared" si="13"/>
        <v>0</v>
      </c>
      <c r="U207" s="9"/>
      <c r="V207" s="1"/>
      <c r="W207" s="1"/>
      <c r="X207" s="1"/>
      <c r="Y207" s="1"/>
      <c r="Z207" s="1"/>
    </row>
    <row r="208" spans="1:26" ht="39.75" customHeight="1">
      <c r="A208" s="171"/>
      <c r="B208" s="5" t="s">
        <v>355</v>
      </c>
      <c r="C208" s="5" t="s">
        <v>287</v>
      </c>
      <c r="D208" s="5">
        <v>199</v>
      </c>
      <c r="E208" s="5" t="s">
        <v>288</v>
      </c>
      <c r="F208" s="24"/>
      <c r="G208" s="24"/>
      <c r="H208" s="24"/>
      <c r="I208" s="24"/>
      <c r="J208" s="24"/>
      <c r="K208" s="24"/>
      <c r="L208" s="24"/>
      <c r="M208" s="24"/>
      <c r="N208" s="24"/>
      <c r="O208" s="24"/>
      <c r="P208" s="24">
        <v>259.89999999999998</v>
      </c>
      <c r="Q208" s="24"/>
      <c r="R208" s="24"/>
      <c r="S208" s="24"/>
      <c r="T208" s="6">
        <f t="shared" si="13"/>
        <v>259.89999999999998</v>
      </c>
      <c r="U208" s="76" t="s">
        <v>631</v>
      </c>
      <c r="V208" s="1"/>
      <c r="W208" s="1"/>
      <c r="X208" s="1"/>
      <c r="Y208" s="1"/>
      <c r="Z208" s="1"/>
    </row>
    <row r="209" spans="1:26" s="58" customFormat="1" ht="39.75" customHeight="1">
      <c r="A209" s="169"/>
      <c r="B209" s="176" t="s">
        <v>356</v>
      </c>
      <c r="C209" s="183"/>
      <c r="D209" s="184"/>
      <c r="E209" s="51"/>
      <c r="F209" s="51">
        <f t="shared" ref="F209:T209" si="14">SUM(F159:F208)</f>
        <v>0</v>
      </c>
      <c r="G209" s="56">
        <f t="shared" si="14"/>
        <v>388.5</v>
      </c>
      <c r="H209" s="56">
        <f t="shared" si="14"/>
        <v>518</v>
      </c>
      <c r="I209" s="51">
        <f t="shared" si="14"/>
        <v>11.2</v>
      </c>
      <c r="J209" s="51">
        <f t="shared" si="14"/>
        <v>0</v>
      </c>
      <c r="K209" s="51">
        <f t="shared" si="14"/>
        <v>0</v>
      </c>
      <c r="L209" s="51">
        <f t="shared" si="14"/>
        <v>0</v>
      </c>
      <c r="M209" s="51">
        <f t="shared" si="14"/>
        <v>32</v>
      </c>
      <c r="N209" s="52">
        <f t="shared" si="14"/>
        <v>61.02</v>
      </c>
      <c r="O209" s="51">
        <f t="shared" si="14"/>
        <v>523.78</v>
      </c>
      <c r="P209" s="56">
        <f t="shared" si="14"/>
        <v>431.89</v>
      </c>
      <c r="Q209" s="51">
        <f t="shared" si="14"/>
        <v>17.355699999999999</v>
      </c>
      <c r="R209" s="51">
        <f t="shared" si="14"/>
        <v>2245.1259999999997</v>
      </c>
      <c r="S209" s="51">
        <f t="shared" si="14"/>
        <v>0</v>
      </c>
      <c r="T209" s="52">
        <f t="shared" si="14"/>
        <v>4228.8716999999997</v>
      </c>
      <c r="U209" s="7"/>
      <c r="V209" s="29"/>
      <c r="W209" s="29"/>
      <c r="X209" s="29"/>
      <c r="Y209" s="29"/>
      <c r="Z209" s="29"/>
    </row>
    <row r="210" spans="1:26" ht="39.75" customHeight="1">
      <c r="A210" s="180" t="s">
        <v>357</v>
      </c>
      <c r="B210" s="181"/>
      <c r="C210" s="181"/>
      <c r="D210" s="182"/>
      <c r="E210" s="64"/>
      <c r="F210" s="65">
        <f t="shared" ref="F210:T210" si="15">F209+F158+F134+F93+F68</f>
        <v>120.94000000000001</v>
      </c>
      <c r="G210" s="66">
        <f t="shared" si="15"/>
        <v>388.5</v>
      </c>
      <c r="H210" s="66">
        <f t="shared" si="15"/>
        <v>528</v>
      </c>
      <c r="I210" s="65">
        <f t="shared" si="15"/>
        <v>47.643999999999998</v>
      </c>
      <c r="J210" s="65">
        <f t="shared" si="15"/>
        <v>0</v>
      </c>
      <c r="K210" s="67">
        <f t="shared" si="15"/>
        <v>55.802</v>
      </c>
      <c r="L210" s="65">
        <f t="shared" si="15"/>
        <v>0</v>
      </c>
      <c r="M210" s="66">
        <f t="shared" si="15"/>
        <v>90.302000000000007</v>
      </c>
      <c r="N210" s="67">
        <f t="shared" si="15"/>
        <v>144.00155000000001</v>
      </c>
      <c r="O210" s="65">
        <f t="shared" si="15"/>
        <v>820.12049999999999</v>
      </c>
      <c r="P210" s="66">
        <f t="shared" si="15"/>
        <v>941.64099999999996</v>
      </c>
      <c r="Q210" s="65">
        <f t="shared" si="15"/>
        <v>117.1922</v>
      </c>
      <c r="R210" s="66">
        <f t="shared" si="15"/>
        <v>2664.1805000000004</v>
      </c>
      <c r="S210" s="66">
        <f t="shared" si="15"/>
        <v>14.95</v>
      </c>
      <c r="T210" s="67">
        <f t="shared" si="15"/>
        <v>5933.2737500000003</v>
      </c>
      <c r="U210" s="9"/>
      <c r="V210" s="1"/>
      <c r="W210" s="1"/>
      <c r="X210" s="1"/>
      <c r="Y210" s="1"/>
      <c r="Z210" s="1"/>
    </row>
    <row r="211" spans="1:26" ht="24.75" customHeight="1">
      <c r="A211" s="1"/>
      <c r="B211" s="1"/>
      <c r="C211" s="1"/>
      <c r="D211" s="1"/>
      <c r="E211" s="1"/>
      <c r="F211" s="1"/>
      <c r="G211" s="1"/>
      <c r="H211" s="1"/>
      <c r="I211" s="1"/>
      <c r="J211" s="1"/>
      <c r="K211" s="1"/>
      <c r="L211" s="1"/>
      <c r="M211" s="1"/>
      <c r="N211" s="1"/>
      <c r="O211" s="1"/>
      <c r="P211" s="1"/>
      <c r="Q211" s="1"/>
      <c r="R211" s="1"/>
      <c r="S211" s="1"/>
      <c r="T211" s="32"/>
      <c r="U211" s="2"/>
      <c r="V211" s="1"/>
      <c r="W211" s="1"/>
      <c r="X211" s="1"/>
      <c r="Y211" s="1"/>
      <c r="Z211" s="1"/>
    </row>
    <row r="212" spans="1:26" ht="24.75" customHeight="1">
      <c r="A212" s="1"/>
      <c r="B212" s="1"/>
      <c r="C212" s="1"/>
      <c r="D212" s="1"/>
      <c r="E212" s="1"/>
      <c r="F212" s="1"/>
      <c r="G212" s="1"/>
      <c r="H212" s="1"/>
      <c r="I212" s="1"/>
      <c r="J212" s="1"/>
      <c r="K212" s="1"/>
      <c r="L212" s="1"/>
      <c r="M212" s="1"/>
      <c r="N212" s="1"/>
      <c r="O212" s="1"/>
      <c r="P212" s="1"/>
      <c r="Q212" s="1"/>
      <c r="R212" s="1"/>
      <c r="S212" s="1"/>
      <c r="T212" s="1"/>
      <c r="U212" s="2"/>
      <c r="V212" s="1"/>
      <c r="W212" s="1"/>
      <c r="X212" s="1"/>
      <c r="Y212" s="1"/>
      <c r="Z212" s="1"/>
    </row>
    <row r="213" spans="1:26" ht="24.75" customHeight="1">
      <c r="A213" s="1"/>
      <c r="B213" s="1"/>
      <c r="C213" s="1"/>
      <c r="D213" s="1"/>
      <c r="E213" s="1"/>
      <c r="F213" s="1"/>
      <c r="G213" s="1"/>
      <c r="H213" s="1"/>
      <c r="I213" s="1"/>
      <c r="J213" s="1"/>
      <c r="K213" s="1"/>
      <c r="L213" s="1"/>
      <c r="M213" s="1"/>
      <c r="N213" s="1"/>
      <c r="O213" s="1"/>
      <c r="P213" s="1"/>
      <c r="Q213" s="1"/>
      <c r="R213" s="1"/>
      <c r="S213" s="1"/>
      <c r="T213" s="1"/>
      <c r="U213" s="2"/>
      <c r="V213" s="1"/>
      <c r="W213" s="1"/>
      <c r="X213" s="1"/>
      <c r="Y213" s="1"/>
      <c r="Z213" s="1"/>
    </row>
    <row r="214" spans="1:26" ht="24.75" customHeight="1">
      <c r="A214" s="1"/>
      <c r="B214" s="1"/>
      <c r="C214" s="1"/>
      <c r="D214" s="1"/>
      <c r="E214" s="1"/>
      <c r="F214" s="1"/>
      <c r="G214" s="1"/>
      <c r="H214" s="1"/>
      <c r="I214" s="1"/>
      <c r="J214" s="1"/>
      <c r="K214" s="1"/>
      <c r="L214" s="1"/>
      <c r="M214" s="1"/>
      <c r="N214" s="1"/>
      <c r="O214" s="1"/>
      <c r="P214" s="1"/>
      <c r="Q214" s="1"/>
      <c r="R214" s="1"/>
      <c r="S214" s="1"/>
      <c r="T214" s="1"/>
      <c r="U214" s="2"/>
      <c r="V214" s="1"/>
      <c r="W214" s="1"/>
      <c r="X214" s="1"/>
      <c r="Y214" s="1"/>
      <c r="Z214" s="1"/>
    </row>
    <row r="215" spans="1:26" ht="24.75" customHeight="1">
      <c r="A215" s="1"/>
      <c r="B215" s="1"/>
      <c r="C215" s="1"/>
      <c r="D215" s="1"/>
      <c r="E215" s="1"/>
      <c r="F215" s="1"/>
      <c r="G215" s="1"/>
      <c r="H215" s="1"/>
      <c r="I215" s="1"/>
      <c r="J215" s="1"/>
      <c r="K215" s="1"/>
      <c r="L215" s="1"/>
      <c r="M215" s="1"/>
      <c r="N215" s="1"/>
      <c r="O215" s="1"/>
      <c r="P215" s="1"/>
      <c r="Q215" s="1"/>
      <c r="R215" s="1"/>
      <c r="S215" s="1"/>
      <c r="T215" s="1"/>
      <c r="U215" s="2"/>
      <c r="V215" s="1"/>
      <c r="W215" s="1"/>
      <c r="X215" s="1"/>
      <c r="Y215" s="1"/>
      <c r="Z215" s="1"/>
    </row>
    <row r="216" spans="1:26" ht="24.75" customHeight="1">
      <c r="A216" s="1"/>
      <c r="B216" s="1"/>
      <c r="C216" s="1"/>
      <c r="D216" s="1"/>
      <c r="E216" s="1"/>
      <c r="F216" s="1"/>
      <c r="G216" s="1"/>
      <c r="H216" s="1"/>
      <c r="I216" s="1"/>
      <c r="J216" s="1"/>
      <c r="K216" s="1"/>
      <c r="L216" s="1"/>
      <c r="M216" s="1"/>
      <c r="N216" s="1"/>
      <c r="O216" s="1"/>
      <c r="P216" s="1"/>
      <c r="Q216" s="1"/>
      <c r="R216" s="1"/>
      <c r="S216" s="1"/>
      <c r="T216" s="1"/>
      <c r="U216" s="2"/>
      <c r="V216" s="1"/>
      <c r="W216" s="1"/>
      <c r="X216" s="1"/>
      <c r="Y216" s="1"/>
      <c r="Z216" s="1"/>
    </row>
    <row r="217" spans="1:26" ht="24.75" customHeight="1">
      <c r="A217" s="1"/>
      <c r="B217" s="1"/>
      <c r="C217" s="1"/>
      <c r="D217" s="1"/>
      <c r="E217" s="1"/>
      <c r="F217" s="1"/>
      <c r="G217" s="1"/>
      <c r="H217" s="1"/>
      <c r="I217" s="1"/>
      <c r="J217" s="1"/>
      <c r="K217" s="1"/>
      <c r="L217" s="1"/>
      <c r="M217" s="1"/>
      <c r="N217" s="1"/>
      <c r="O217" s="1"/>
      <c r="P217" s="1"/>
      <c r="Q217" s="1"/>
      <c r="R217" s="1"/>
      <c r="S217" s="1"/>
      <c r="T217" s="1"/>
      <c r="U217" s="2"/>
      <c r="V217" s="1"/>
      <c r="W217" s="1"/>
      <c r="X217" s="1"/>
      <c r="Y217" s="1"/>
      <c r="Z217" s="1"/>
    </row>
    <row r="218" spans="1:26" ht="24.75" customHeight="1">
      <c r="A218" s="1"/>
      <c r="B218" s="1"/>
      <c r="C218" s="1"/>
      <c r="D218" s="1"/>
      <c r="E218" s="1"/>
      <c r="F218" s="1"/>
      <c r="G218" s="1"/>
      <c r="H218" s="1"/>
      <c r="I218" s="1"/>
      <c r="J218" s="1"/>
      <c r="K218" s="1"/>
      <c r="L218" s="1"/>
      <c r="M218" s="1"/>
      <c r="N218" s="1"/>
      <c r="O218" s="1"/>
      <c r="P218" s="1"/>
      <c r="Q218" s="1"/>
      <c r="R218" s="1"/>
      <c r="S218" s="1"/>
      <c r="T218" s="1"/>
      <c r="U218" s="2"/>
      <c r="V218" s="1"/>
      <c r="W218" s="1"/>
      <c r="X218" s="1"/>
      <c r="Y218" s="1"/>
      <c r="Z218" s="1"/>
    </row>
    <row r="219" spans="1:26" ht="24.75" customHeight="1">
      <c r="A219" s="1"/>
      <c r="B219" s="1"/>
      <c r="C219" s="1"/>
      <c r="D219" s="1"/>
      <c r="E219" s="1"/>
      <c r="F219" s="1"/>
      <c r="G219" s="1"/>
      <c r="H219" s="1"/>
      <c r="I219" s="1"/>
      <c r="J219" s="1"/>
      <c r="K219" s="1"/>
      <c r="L219" s="1"/>
      <c r="M219" s="1"/>
      <c r="N219" s="1"/>
      <c r="O219" s="1"/>
      <c r="P219" s="1"/>
      <c r="Q219" s="1"/>
      <c r="R219" s="1"/>
      <c r="S219" s="1"/>
      <c r="T219" s="1"/>
      <c r="U219" s="2"/>
      <c r="V219" s="1"/>
      <c r="W219" s="1"/>
      <c r="X219" s="1"/>
      <c r="Y219" s="1"/>
      <c r="Z219" s="1"/>
    </row>
    <row r="220" spans="1:26" ht="24.75" customHeight="1">
      <c r="A220" s="1"/>
      <c r="B220" s="1"/>
      <c r="C220" s="1"/>
      <c r="D220" s="1"/>
      <c r="E220" s="1"/>
      <c r="F220" s="1"/>
      <c r="G220" s="1"/>
      <c r="H220" s="1"/>
      <c r="I220" s="1"/>
      <c r="J220" s="1"/>
      <c r="K220" s="1"/>
      <c r="L220" s="1"/>
      <c r="M220" s="1"/>
      <c r="N220" s="1"/>
      <c r="O220" s="1"/>
      <c r="P220" s="1"/>
      <c r="Q220" s="1"/>
      <c r="R220" s="1"/>
      <c r="S220" s="1"/>
      <c r="T220" s="1"/>
      <c r="U220" s="2"/>
      <c r="V220" s="1"/>
      <c r="W220" s="1"/>
      <c r="X220" s="1"/>
      <c r="Y220" s="1"/>
      <c r="Z220" s="1"/>
    </row>
    <row r="221" spans="1:26" ht="24.75" customHeight="1">
      <c r="A221" s="1"/>
      <c r="B221" s="1"/>
      <c r="C221" s="1"/>
      <c r="D221" s="1"/>
      <c r="E221" s="1"/>
      <c r="F221" s="1"/>
      <c r="G221" s="1"/>
      <c r="H221" s="1"/>
      <c r="I221" s="1"/>
      <c r="J221" s="1"/>
      <c r="K221" s="1"/>
      <c r="L221" s="1"/>
      <c r="M221" s="1"/>
      <c r="N221" s="1"/>
      <c r="O221" s="1"/>
      <c r="P221" s="1"/>
      <c r="Q221" s="1"/>
      <c r="R221" s="1"/>
      <c r="S221" s="1"/>
      <c r="T221" s="1"/>
      <c r="U221" s="2"/>
      <c r="V221" s="1"/>
      <c r="W221" s="1"/>
      <c r="X221" s="1"/>
      <c r="Y221" s="1"/>
      <c r="Z221" s="1"/>
    </row>
    <row r="222" spans="1:26" ht="24.75" customHeight="1">
      <c r="A222" s="1"/>
      <c r="B222" s="1"/>
      <c r="C222" s="1"/>
      <c r="D222" s="1"/>
      <c r="E222" s="1"/>
      <c r="F222" s="1"/>
      <c r="G222" s="1"/>
      <c r="H222" s="1"/>
      <c r="I222" s="1"/>
      <c r="J222" s="1"/>
      <c r="K222" s="1"/>
      <c r="L222" s="1"/>
      <c r="M222" s="1"/>
      <c r="N222" s="1"/>
      <c r="O222" s="1"/>
      <c r="P222" s="1"/>
      <c r="Q222" s="1"/>
      <c r="R222" s="1"/>
      <c r="S222" s="1"/>
      <c r="T222" s="1"/>
      <c r="U222" s="2"/>
      <c r="V222" s="1"/>
      <c r="W222" s="1"/>
      <c r="X222" s="1"/>
      <c r="Y222" s="1"/>
      <c r="Z222" s="1"/>
    </row>
    <row r="223" spans="1:26" ht="24.75" customHeight="1">
      <c r="A223" s="1"/>
      <c r="B223" s="1"/>
      <c r="C223" s="1"/>
      <c r="D223" s="1"/>
      <c r="E223" s="1"/>
      <c r="F223" s="1"/>
      <c r="G223" s="1"/>
      <c r="H223" s="1"/>
      <c r="I223" s="1"/>
      <c r="J223" s="1"/>
      <c r="K223" s="1"/>
      <c r="L223" s="1"/>
      <c r="M223" s="1"/>
      <c r="N223" s="1"/>
      <c r="O223" s="1"/>
      <c r="P223" s="1"/>
      <c r="Q223" s="1"/>
      <c r="R223" s="1"/>
      <c r="S223" s="1"/>
      <c r="T223" s="1"/>
      <c r="U223" s="2"/>
      <c r="V223" s="1"/>
      <c r="W223" s="1"/>
      <c r="X223" s="1"/>
      <c r="Y223" s="1"/>
      <c r="Z223" s="1"/>
    </row>
    <row r="224" spans="1:26" ht="24.75" customHeight="1">
      <c r="A224" s="1"/>
      <c r="B224" s="1"/>
      <c r="C224" s="1"/>
      <c r="D224" s="1"/>
      <c r="E224" s="1"/>
      <c r="F224" s="1"/>
      <c r="G224" s="1"/>
      <c r="H224" s="1"/>
      <c r="I224" s="1"/>
      <c r="J224" s="1"/>
      <c r="K224" s="1"/>
      <c r="L224" s="1"/>
      <c r="M224" s="1"/>
      <c r="N224" s="1"/>
      <c r="O224" s="1"/>
      <c r="P224" s="1"/>
      <c r="Q224" s="1"/>
      <c r="R224" s="1"/>
      <c r="S224" s="1"/>
      <c r="T224" s="1"/>
      <c r="U224" s="2"/>
      <c r="V224" s="1"/>
      <c r="W224" s="1"/>
      <c r="X224" s="1"/>
      <c r="Y224" s="1"/>
      <c r="Z224" s="1"/>
    </row>
    <row r="225" spans="1:26" ht="24.75" customHeight="1">
      <c r="A225" s="1"/>
      <c r="B225" s="1"/>
      <c r="C225" s="1"/>
      <c r="D225" s="1"/>
      <c r="E225" s="1"/>
      <c r="F225" s="1"/>
      <c r="G225" s="1"/>
      <c r="H225" s="1"/>
      <c r="I225" s="1"/>
      <c r="J225" s="1"/>
      <c r="K225" s="1"/>
      <c r="L225" s="1"/>
      <c r="M225" s="1"/>
      <c r="N225" s="1"/>
      <c r="O225" s="1"/>
      <c r="P225" s="1"/>
      <c r="Q225" s="1"/>
      <c r="R225" s="1"/>
      <c r="S225" s="1"/>
      <c r="T225" s="1"/>
      <c r="U225" s="2"/>
      <c r="V225" s="1"/>
      <c r="W225" s="1"/>
      <c r="X225" s="1"/>
      <c r="Y225" s="1"/>
      <c r="Z225" s="1"/>
    </row>
    <row r="226" spans="1:26" ht="24.75" customHeight="1">
      <c r="A226" s="1"/>
      <c r="B226" s="1"/>
      <c r="C226" s="1"/>
      <c r="D226" s="1"/>
      <c r="E226" s="1"/>
      <c r="F226" s="1"/>
      <c r="G226" s="1"/>
      <c r="H226" s="1"/>
      <c r="I226" s="1"/>
      <c r="J226" s="1"/>
      <c r="K226" s="1"/>
      <c r="L226" s="1"/>
      <c r="M226" s="1"/>
      <c r="N226" s="1"/>
      <c r="O226" s="1"/>
      <c r="P226" s="1"/>
      <c r="Q226" s="1"/>
      <c r="R226" s="1"/>
      <c r="S226" s="1"/>
      <c r="T226" s="1"/>
      <c r="U226" s="2"/>
      <c r="V226" s="1"/>
      <c r="W226" s="1"/>
      <c r="X226" s="1"/>
      <c r="Y226" s="1"/>
      <c r="Z226" s="1"/>
    </row>
    <row r="227" spans="1:26" ht="24.75" customHeight="1">
      <c r="A227" s="1"/>
      <c r="B227" s="1"/>
      <c r="C227" s="1"/>
      <c r="D227" s="1"/>
      <c r="E227" s="1"/>
      <c r="F227" s="1"/>
      <c r="G227" s="1"/>
      <c r="H227" s="1"/>
      <c r="I227" s="1"/>
      <c r="J227" s="1"/>
      <c r="K227" s="1"/>
      <c r="L227" s="1"/>
      <c r="M227" s="1"/>
      <c r="N227" s="1"/>
      <c r="O227" s="1"/>
      <c r="P227" s="1"/>
      <c r="Q227" s="1"/>
      <c r="R227" s="1"/>
      <c r="S227" s="1"/>
      <c r="T227" s="1"/>
      <c r="U227" s="2"/>
      <c r="V227" s="1"/>
      <c r="W227" s="1"/>
      <c r="X227" s="1"/>
      <c r="Y227" s="1"/>
      <c r="Z227" s="1"/>
    </row>
    <row r="228" spans="1:26" ht="24.75" customHeight="1">
      <c r="A228" s="1"/>
      <c r="B228" s="1"/>
      <c r="C228" s="1"/>
      <c r="D228" s="1"/>
      <c r="E228" s="1"/>
      <c r="F228" s="1"/>
      <c r="G228" s="1"/>
      <c r="H228" s="1"/>
      <c r="I228" s="1"/>
      <c r="J228" s="1"/>
      <c r="K228" s="1"/>
      <c r="L228" s="1"/>
      <c r="M228" s="1"/>
      <c r="N228" s="1"/>
      <c r="O228" s="1"/>
      <c r="P228" s="1"/>
      <c r="Q228" s="1"/>
      <c r="R228" s="1"/>
      <c r="S228" s="1"/>
      <c r="T228" s="1"/>
      <c r="U228" s="2"/>
      <c r="V228" s="1"/>
      <c r="W228" s="1"/>
      <c r="X228" s="1"/>
      <c r="Y228" s="1"/>
      <c r="Z228" s="1"/>
    </row>
    <row r="229" spans="1:26" ht="24.75" customHeight="1">
      <c r="A229" s="1"/>
      <c r="B229" s="1"/>
      <c r="C229" s="1"/>
      <c r="D229" s="1"/>
      <c r="E229" s="1"/>
      <c r="F229" s="1"/>
      <c r="G229" s="1"/>
      <c r="H229" s="1"/>
      <c r="I229" s="1"/>
      <c r="J229" s="1"/>
      <c r="K229" s="1"/>
      <c r="L229" s="1"/>
      <c r="M229" s="1"/>
      <c r="N229" s="1"/>
      <c r="O229" s="1"/>
      <c r="P229" s="1"/>
      <c r="Q229" s="1"/>
      <c r="R229" s="1"/>
      <c r="S229" s="1"/>
      <c r="T229" s="1"/>
      <c r="U229" s="2"/>
      <c r="V229" s="1"/>
      <c r="W229" s="1"/>
      <c r="X229" s="1"/>
      <c r="Y229" s="1"/>
      <c r="Z229" s="1"/>
    </row>
    <row r="230" spans="1:26" ht="24.75" customHeight="1">
      <c r="A230" s="1"/>
      <c r="B230" s="1"/>
      <c r="C230" s="1"/>
      <c r="D230" s="1"/>
      <c r="E230" s="1"/>
      <c r="F230" s="1"/>
      <c r="G230" s="1"/>
      <c r="H230" s="1"/>
      <c r="I230" s="1"/>
      <c r="J230" s="1"/>
      <c r="K230" s="1"/>
      <c r="L230" s="1"/>
      <c r="M230" s="1"/>
      <c r="N230" s="1"/>
      <c r="O230" s="1"/>
      <c r="P230" s="1"/>
      <c r="Q230" s="1"/>
      <c r="R230" s="1"/>
      <c r="S230" s="1"/>
      <c r="T230" s="1"/>
      <c r="U230" s="2"/>
      <c r="V230" s="1"/>
      <c r="W230" s="1"/>
      <c r="X230" s="1"/>
      <c r="Y230" s="1"/>
      <c r="Z230" s="1"/>
    </row>
    <row r="231" spans="1:26" ht="24.75" customHeight="1">
      <c r="A231" s="1"/>
      <c r="B231" s="1"/>
      <c r="C231" s="1"/>
      <c r="D231" s="1"/>
      <c r="E231" s="1"/>
      <c r="F231" s="1"/>
      <c r="G231" s="1"/>
      <c r="H231" s="1"/>
      <c r="I231" s="1"/>
      <c r="J231" s="1"/>
      <c r="K231" s="1"/>
      <c r="L231" s="1"/>
      <c r="M231" s="1"/>
      <c r="N231" s="1"/>
      <c r="O231" s="1"/>
      <c r="P231" s="1"/>
      <c r="Q231" s="1"/>
      <c r="R231" s="1"/>
      <c r="S231" s="1"/>
      <c r="T231" s="1"/>
      <c r="U231" s="2"/>
      <c r="V231" s="1"/>
      <c r="W231" s="1"/>
      <c r="X231" s="1"/>
      <c r="Y231" s="1"/>
      <c r="Z231" s="1"/>
    </row>
    <row r="232" spans="1:26" ht="24.75" customHeight="1">
      <c r="A232" s="1"/>
      <c r="B232" s="1"/>
      <c r="C232" s="1"/>
      <c r="D232" s="1"/>
      <c r="E232" s="1"/>
      <c r="F232" s="1"/>
      <c r="G232" s="1"/>
      <c r="H232" s="1"/>
      <c r="I232" s="1"/>
      <c r="J232" s="1"/>
      <c r="K232" s="1"/>
      <c r="L232" s="1"/>
      <c r="M232" s="1"/>
      <c r="N232" s="1"/>
      <c r="O232" s="1"/>
      <c r="P232" s="1"/>
      <c r="Q232" s="1"/>
      <c r="R232" s="1"/>
      <c r="S232" s="1"/>
      <c r="T232" s="1"/>
      <c r="U232" s="2"/>
      <c r="V232" s="1"/>
      <c r="W232" s="1"/>
      <c r="X232" s="1"/>
      <c r="Y232" s="1"/>
      <c r="Z232" s="1"/>
    </row>
    <row r="233" spans="1:26" ht="24.75" customHeight="1">
      <c r="A233" s="1"/>
      <c r="B233" s="1"/>
      <c r="C233" s="1"/>
      <c r="D233" s="1"/>
      <c r="E233" s="1"/>
      <c r="F233" s="1"/>
      <c r="G233" s="1"/>
      <c r="H233" s="1"/>
      <c r="I233" s="1"/>
      <c r="J233" s="1"/>
      <c r="K233" s="1"/>
      <c r="L233" s="1"/>
      <c r="M233" s="1"/>
      <c r="N233" s="1"/>
      <c r="O233" s="1"/>
      <c r="P233" s="1"/>
      <c r="Q233" s="1"/>
      <c r="R233" s="1"/>
      <c r="S233" s="1"/>
      <c r="T233" s="1"/>
      <c r="U233" s="2"/>
      <c r="V233" s="1"/>
      <c r="W233" s="1"/>
      <c r="X233" s="1"/>
      <c r="Y233" s="1"/>
      <c r="Z233" s="1"/>
    </row>
    <row r="234" spans="1:26" ht="24.75" customHeight="1">
      <c r="A234" s="1"/>
      <c r="B234" s="1"/>
      <c r="C234" s="1"/>
      <c r="D234" s="1"/>
      <c r="E234" s="1"/>
      <c r="F234" s="1"/>
      <c r="G234" s="1"/>
      <c r="H234" s="1"/>
      <c r="I234" s="1"/>
      <c r="J234" s="1"/>
      <c r="K234" s="1"/>
      <c r="L234" s="1"/>
      <c r="M234" s="1"/>
      <c r="N234" s="1"/>
      <c r="O234" s="1"/>
      <c r="P234" s="1"/>
      <c r="Q234" s="1"/>
      <c r="R234" s="1"/>
      <c r="S234" s="1"/>
      <c r="T234" s="1"/>
      <c r="U234" s="2"/>
      <c r="V234" s="1"/>
      <c r="W234" s="1"/>
      <c r="X234" s="1"/>
      <c r="Y234" s="1"/>
      <c r="Z234" s="1"/>
    </row>
    <row r="235" spans="1:26" ht="24.75" customHeight="1">
      <c r="A235" s="1"/>
      <c r="B235" s="1"/>
      <c r="C235" s="1"/>
      <c r="D235" s="1"/>
      <c r="E235" s="1"/>
      <c r="F235" s="1"/>
      <c r="G235" s="1"/>
      <c r="H235" s="1"/>
      <c r="I235" s="1"/>
      <c r="J235" s="1"/>
      <c r="K235" s="1"/>
      <c r="L235" s="1"/>
      <c r="M235" s="1"/>
      <c r="N235" s="1"/>
      <c r="O235" s="1"/>
      <c r="P235" s="1"/>
      <c r="Q235" s="1"/>
      <c r="R235" s="1"/>
      <c r="S235" s="1"/>
      <c r="T235" s="1"/>
      <c r="U235" s="2"/>
      <c r="V235" s="1"/>
      <c r="W235" s="1"/>
      <c r="X235" s="1"/>
      <c r="Y235" s="1"/>
      <c r="Z235" s="1"/>
    </row>
    <row r="236" spans="1:26" ht="24.75" customHeight="1">
      <c r="A236" s="1"/>
      <c r="B236" s="1"/>
      <c r="C236" s="1"/>
      <c r="D236" s="1"/>
      <c r="E236" s="1"/>
      <c r="F236" s="1"/>
      <c r="G236" s="1"/>
      <c r="H236" s="1"/>
      <c r="I236" s="1"/>
      <c r="J236" s="1"/>
      <c r="K236" s="1"/>
      <c r="L236" s="1"/>
      <c r="M236" s="1"/>
      <c r="N236" s="1"/>
      <c r="O236" s="1"/>
      <c r="P236" s="1"/>
      <c r="Q236" s="1"/>
      <c r="R236" s="1"/>
      <c r="S236" s="1"/>
      <c r="T236" s="1"/>
      <c r="U236" s="2"/>
      <c r="V236" s="1"/>
      <c r="W236" s="1"/>
      <c r="X236" s="1"/>
      <c r="Y236" s="1"/>
      <c r="Z236" s="1"/>
    </row>
    <row r="237" spans="1:26" ht="24.75" customHeight="1">
      <c r="A237" s="1"/>
      <c r="B237" s="1"/>
      <c r="C237" s="1"/>
      <c r="D237" s="1"/>
      <c r="E237" s="1"/>
      <c r="F237" s="1"/>
      <c r="G237" s="1"/>
      <c r="H237" s="1"/>
      <c r="I237" s="1"/>
      <c r="J237" s="1"/>
      <c r="K237" s="1"/>
      <c r="L237" s="1"/>
      <c r="M237" s="1"/>
      <c r="N237" s="1"/>
      <c r="O237" s="1"/>
      <c r="P237" s="1"/>
      <c r="Q237" s="1"/>
      <c r="R237" s="1"/>
      <c r="S237" s="1"/>
      <c r="T237" s="1"/>
      <c r="U237" s="2"/>
      <c r="V237" s="1"/>
      <c r="W237" s="1"/>
      <c r="X237" s="1"/>
      <c r="Y237" s="1"/>
      <c r="Z237" s="1"/>
    </row>
    <row r="238" spans="1:26" ht="24.75" customHeight="1">
      <c r="A238" s="1"/>
      <c r="B238" s="1"/>
      <c r="C238" s="1"/>
      <c r="D238" s="1"/>
      <c r="E238" s="1"/>
      <c r="F238" s="1"/>
      <c r="G238" s="1"/>
      <c r="H238" s="1"/>
      <c r="I238" s="1"/>
      <c r="J238" s="1"/>
      <c r="K238" s="1"/>
      <c r="L238" s="1"/>
      <c r="M238" s="1"/>
      <c r="N238" s="1"/>
      <c r="O238" s="1"/>
      <c r="P238" s="1"/>
      <c r="Q238" s="1"/>
      <c r="R238" s="1"/>
      <c r="S238" s="1"/>
      <c r="T238" s="1"/>
      <c r="U238" s="2"/>
      <c r="V238" s="1"/>
      <c r="W238" s="1"/>
      <c r="X238" s="1"/>
      <c r="Y238" s="1"/>
      <c r="Z238" s="1"/>
    </row>
    <row r="239" spans="1:26" ht="24.75" customHeight="1">
      <c r="A239" s="1"/>
      <c r="B239" s="1"/>
      <c r="C239" s="1"/>
      <c r="D239" s="1"/>
      <c r="E239" s="1"/>
      <c r="F239" s="1"/>
      <c r="G239" s="1"/>
      <c r="H239" s="1"/>
      <c r="I239" s="1"/>
      <c r="J239" s="1"/>
      <c r="K239" s="1"/>
      <c r="L239" s="1"/>
      <c r="M239" s="1"/>
      <c r="N239" s="1"/>
      <c r="O239" s="1"/>
      <c r="P239" s="1"/>
      <c r="Q239" s="1"/>
      <c r="R239" s="1"/>
      <c r="S239" s="1"/>
      <c r="T239" s="1"/>
      <c r="U239" s="2"/>
      <c r="V239" s="1"/>
      <c r="W239" s="1"/>
      <c r="X239" s="1"/>
      <c r="Y239" s="1"/>
      <c r="Z239" s="1"/>
    </row>
    <row r="240" spans="1:26" ht="24.75" customHeight="1">
      <c r="A240" s="1"/>
      <c r="B240" s="1"/>
      <c r="C240" s="1"/>
      <c r="D240" s="1"/>
      <c r="E240" s="1"/>
      <c r="F240" s="1"/>
      <c r="G240" s="1"/>
      <c r="H240" s="1"/>
      <c r="I240" s="1"/>
      <c r="J240" s="1"/>
      <c r="K240" s="1"/>
      <c r="L240" s="1"/>
      <c r="M240" s="1"/>
      <c r="N240" s="1"/>
      <c r="O240" s="1"/>
      <c r="P240" s="1"/>
      <c r="Q240" s="1"/>
      <c r="R240" s="1"/>
      <c r="S240" s="1"/>
      <c r="T240" s="1"/>
      <c r="U240" s="2"/>
      <c r="V240" s="1"/>
      <c r="W240" s="1"/>
      <c r="X240" s="1"/>
      <c r="Y240" s="1"/>
      <c r="Z240" s="1"/>
    </row>
    <row r="241" spans="1:26" ht="24.75" customHeight="1">
      <c r="A241" s="1"/>
      <c r="B241" s="1"/>
      <c r="C241" s="1"/>
      <c r="D241" s="1"/>
      <c r="E241" s="1"/>
      <c r="F241" s="1"/>
      <c r="G241" s="1"/>
      <c r="H241" s="1"/>
      <c r="I241" s="1"/>
      <c r="J241" s="1"/>
      <c r="K241" s="1"/>
      <c r="L241" s="1"/>
      <c r="M241" s="1"/>
      <c r="N241" s="1"/>
      <c r="O241" s="1"/>
      <c r="P241" s="1"/>
      <c r="Q241" s="1"/>
      <c r="R241" s="1"/>
      <c r="S241" s="1"/>
      <c r="T241" s="1"/>
      <c r="U241" s="2"/>
      <c r="V241" s="1"/>
      <c r="W241" s="1"/>
      <c r="X241" s="1"/>
      <c r="Y241" s="1"/>
      <c r="Z241" s="1"/>
    </row>
    <row r="242" spans="1:26" ht="24.75" customHeight="1">
      <c r="A242" s="1"/>
      <c r="B242" s="1"/>
      <c r="C242" s="1"/>
      <c r="D242" s="1"/>
      <c r="E242" s="1"/>
      <c r="F242" s="1"/>
      <c r="G242" s="1"/>
      <c r="H242" s="1"/>
      <c r="I242" s="1"/>
      <c r="J242" s="1"/>
      <c r="K242" s="1"/>
      <c r="L242" s="1"/>
      <c r="M242" s="1"/>
      <c r="N242" s="1"/>
      <c r="O242" s="1"/>
      <c r="P242" s="1"/>
      <c r="Q242" s="1"/>
      <c r="R242" s="1"/>
      <c r="S242" s="1"/>
      <c r="T242" s="1"/>
      <c r="U242" s="2"/>
      <c r="V242" s="1"/>
      <c r="W242" s="1"/>
      <c r="X242" s="1"/>
      <c r="Y242" s="1"/>
      <c r="Z242" s="1"/>
    </row>
    <row r="243" spans="1:26" ht="24.75" customHeight="1">
      <c r="A243" s="1"/>
      <c r="B243" s="1"/>
      <c r="C243" s="1"/>
      <c r="D243" s="1"/>
      <c r="E243" s="1"/>
      <c r="F243" s="1"/>
      <c r="G243" s="1"/>
      <c r="H243" s="1"/>
      <c r="I243" s="1"/>
      <c r="J243" s="1"/>
      <c r="K243" s="1"/>
      <c r="L243" s="1"/>
      <c r="M243" s="1"/>
      <c r="N243" s="1"/>
      <c r="O243" s="1"/>
      <c r="P243" s="1"/>
      <c r="Q243" s="1"/>
      <c r="R243" s="1"/>
      <c r="S243" s="1"/>
      <c r="T243" s="1"/>
      <c r="U243" s="2"/>
      <c r="V243" s="1"/>
      <c r="W243" s="1"/>
      <c r="X243" s="1"/>
      <c r="Y243" s="1"/>
      <c r="Z243" s="1"/>
    </row>
    <row r="244" spans="1:26" ht="24.75" customHeight="1">
      <c r="A244" s="1"/>
      <c r="B244" s="1"/>
      <c r="C244" s="1"/>
      <c r="D244" s="1"/>
      <c r="E244" s="1"/>
      <c r="F244" s="1"/>
      <c r="G244" s="1"/>
      <c r="H244" s="1"/>
      <c r="I244" s="1"/>
      <c r="J244" s="1"/>
      <c r="K244" s="1"/>
      <c r="L244" s="1"/>
      <c r="M244" s="1"/>
      <c r="N244" s="1"/>
      <c r="O244" s="1"/>
      <c r="P244" s="1"/>
      <c r="Q244" s="1"/>
      <c r="R244" s="1"/>
      <c r="S244" s="1"/>
      <c r="T244" s="1"/>
      <c r="U244" s="2"/>
      <c r="V244" s="1"/>
      <c r="W244" s="1"/>
      <c r="X244" s="1"/>
      <c r="Y244" s="1"/>
      <c r="Z244" s="1"/>
    </row>
    <row r="245" spans="1:26" ht="24.75" customHeight="1">
      <c r="A245" s="1"/>
      <c r="B245" s="1"/>
      <c r="C245" s="1"/>
      <c r="D245" s="1"/>
      <c r="E245" s="1"/>
      <c r="F245" s="1"/>
      <c r="G245" s="1"/>
      <c r="H245" s="1"/>
      <c r="I245" s="1"/>
      <c r="J245" s="1"/>
      <c r="K245" s="1"/>
      <c r="L245" s="1"/>
      <c r="M245" s="1"/>
      <c r="N245" s="1"/>
      <c r="O245" s="1"/>
      <c r="P245" s="1"/>
      <c r="Q245" s="1"/>
      <c r="R245" s="1"/>
      <c r="S245" s="1"/>
      <c r="T245" s="1"/>
      <c r="U245" s="2"/>
      <c r="V245" s="1"/>
      <c r="W245" s="1"/>
      <c r="X245" s="1"/>
      <c r="Y245" s="1"/>
      <c r="Z245" s="1"/>
    </row>
    <row r="246" spans="1:26" ht="24.75" customHeight="1">
      <c r="A246" s="1"/>
      <c r="B246" s="1"/>
      <c r="C246" s="1"/>
      <c r="D246" s="1"/>
      <c r="E246" s="1"/>
      <c r="F246" s="1"/>
      <c r="G246" s="1"/>
      <c r="H246" s="1"/>
      <c r="I246" s="1"/>
      <c r="J246" s="1"/>
      <c r="K246" s="1"/>
      <c r="L246" s="1"/>
      <c r="M246" s="1"/>
      <c r="N246" s="1"/>
      <c r="O246" s="1"/>
      <c r="P246" s="1"/>
      <c r="Q246" s="1"/>
      <c r="R246" s="1"/>
      <c r="S246" s="1"/>
      <c r="T246" s="1"/>
      <c r="U246" s="2"/>
      <c r="V246" s="1"/>
      <c r="W246" s="1"/>
      <c r="X246" s="1"/>
      <c r="Y246" s="1"/>
      <c r="Z246" s="1"/>
    </row>
    <row r="247" spans="1:26" ht="24.75" customHeight="1">
      <c r="A247" s="1"/>
      <c r="B247" s="1"/>
      <c r="C247" s="1"/>
      <c r="D247" s="1"/>
      <c r="E247" s="1"/>
      <c r="F247" s="1"/>
      <c r="G247" s="1"/>
      <c r="H247" s="1"/>
      <c r="I247" s="1"/>
      <c r="J247" s="1"/>
      <c r="K247" s="1"/>
      <c r="L247" s="1"/>
      <c r="M247" s="1"/>
      <c r="N247" s="1"/>
      <c r="O247" s="1"/>
      <c r="P247" s="1"/>
      <c r="Q247" s="1"/>
      <c r="R247" s="1"/>
      <c r="S247" s="1"/>
      <c r="T247" s="1"/>
      <c r="U247" s="2"/>
      <c r="V247" s="1"/>
      <c r="W247" s="1"/>
      <c r="X247" s="1"/>
      <c r="Y247" s="1"/>
      <c r="Z247" s="1"/>
    </row>
    <row r="248" spans="1:26" ht="24.75" customHeight="1">
      <c r="A248" s="1"/>
      <c r="B248" s="1"/>
      <c r="C248" s="1"/>
      <c r="D248" s="1"/>
      <c r="E248" s="1"/>
      <c r="F248" s="1"/>
      <c r="G248" s="1"/>
      <c r="H248" s="1"/>
      <c r="I248" s="1"/>
      <c r="J248" s="1"/>
      <c r="K248" s="1"/>
      <c r="L248" s="1"/>
      <c r="M248" s="1"/>
      <c r="N248" s="1"/>
      <c r="O248" s="1"/>
      <c r="P248" s="1"/>
      <c r="Q248" s="1"/>
      <c r="R248" s="1"/>
      <c r="S248" s="1"/>
      <c r="T248" s="1"/>
      <c r="U248" s="2"/>
      <c r="V248" s="1"/>
      <c r="W248" s="1"/>
      <c r="X248" s="1"/>
      <c r="Y248" s="1"/>
      <c r="Z248" s="1"/>
    </row>
    <row r="249" spans="1:26" ht="24.75" customHeight="1">
      <c r="A249" s="1"/>
      <c r="B249" s="1"/>
      <c r="C249" s="1"/>
      <c r="D249" s="1"/>
      <c r="E249" s="1"/>
      <c r="F249" s="1"/>
      <c r="G249" s="1"/>
      <c r="H249" s="1"/>
      <c r="I249" s="1"/>
      <c r="J249" s="1"/>
      <c r="K249" s="1"/>
      <c r="L249" s="1"/>
      <c r="M249" s="1"/>
      <c r="N249" s="1"/>
      <c r="O249" s="1"/>
      <c r="P249" s="1"/>
      <c r="Q249" s="1"/>
      <c r="R249" s="1"/>
      <c r="S249" s="1"/>
      <c r="T249" s="1"/>
      <c r="U249" s="2"/>
      <c r="V249" s="1"/>
      <c r="W249" s="1"/>
      <c r="X249" s="1"/>
      <c r="Y249" s="1"/>
      <c r="Z249" s="1"/>
    </row>
    <row r="250" spans="1:26" ht="24.75" customHeight="1">
      <c r="A250" s="1"/>
      <c r="B250" s="1"/>
      <c r="C250" s="1"/>
      <c r="D250" s="1"/>
      <c r="E250" s="1"/>
      <c r="F250" s="1"/>
      <c r="G250" s="1"/>
      <c r="H250" s="1"/>
      <c r="I250" s="1"/>
      <c r="J250" s="1"/>
      <c r="K250" s="1"/>
      <c r="L250" s="1"/>
      <c r="M250" s="1"/>
      <c r="N250" s="1"/>
      <c r="O250" s="1"/>
      <c r="P250" s="1"/>
      <c r="Q250" s="1"/>
      <c r="R250" s="1"/>
      <c r="S250" s="1"/>
      <c r="T250" s="1"/>
      <c r="U250" s="2"/>
      <c r="V250" s="1"/>
      <c r="W250" s="1"/>
      <c r="X250" s="1"/>
      <c r="Y250" s="1"/>
      <c r="Z250" s="1"/>
    </row>
    <row r="251" spans="1:26" ht="24.75" customHeight="1">
      <c r="A251" s="1"/>
      <c r="B251" s="1"/>
      <c r="C251" s="1"/>
      <c r="D251" s="1"/>
      <c r="E251" s="1"/>
      <c r="F251" s="1"/>
      <c r="G251" s="1"/>
      <c r="H251" s="1"/>
      <c r="I251" s="1"/>
      <c r="J251" s="1"/>
      <c r="K251" s="1"/>
      <c r="L251" s="1"/>
      <c r="M251" s="1"/>
      <c r="N251" s="1"/>
      <c r="O251" s="1"/>
      <c r="P251" s="1"/>
      <c r="Q251" s="1"/>
      <c r="R251" s="1"/>
      <c r="S251" s="1"/>
      <c r="T251" s="1"/>
      <c r="U251" s="2"/>
      <c r="V251" s="1"/>
      <c r="W251" s="1"/>
      <c r="X251" s="1"/>
      <c r="Y251" s="1"/>
      <c r="Z251" s="1"/>
    </row>
    <row r="252" spans="1:26" ht="24.75" customHeight="1">
      <c r="A252" s="1"/>
      <c r="B252" s="1"/>
      <c r="C252" s="1"/>
      <c r="D252" s="1"/>
      <c r="E252" s="1"/>
      <c r="F252" s="1"/>
      <c r="G252" s="1"/>
      <c r="H252" s="1"/>
      <c r="I252" s="1"/>
      <c r="J252" s="1"/>
      <c r="K252" s="1"/>
      <c r="L252" s="1"/>
      <c r="M252" s="1"/>
      <c r="N252" s="1"/>
      <c r="O252" s="1"/>
      <c r="P252" s="1"/>
      <c r="Q252" s="1"/>
      <c r="R252" s="1"/>
      <c r="S252" s="1"/>
      <c r="T252" s="1"/>
      <c r="U252" s="2"/>
      <c r="V252" s="1"/>
      <c r="W252" s="1"/>
      <c r="X252" s="1"/>
      <c r="Y252" s="1"/>
      <c r="Z252" s="1"/>
    </row>
    <row r="253" spans="1:26" ht="24.75" customHeight="1">
      <c r="A253" s="1"/>
      <c r="B253" s="1"/>
      <c r="C253" s="1"/>
      <c r="D253" s="1"/>
      <c r="E253" s="1"/>
      <c r="F253" s="1"/>
      <c r="G253" s="1"/>
      <c r="H253" s="1"/>
      <c r="I253" s="1"/>
      <c r="J253" s="1"/>
      <c r="K253" s="1"/>
      <c r="L253" s="1"/>
      <c r="M253" s="1"/>
      <c r="N253" s="1"/>
      <c r="O253" s="1"/>
      <c r="P253" s="1"/>
      <c r="Q253" s="1"/>
      <c r="R253" s="1"/>
      <c r="S253" s="1"/>
      <c r="T253" s="1"/>
      <c r="U253" s="2"/>
      <c r="V253" s="1"/>
      <c r="W253" s="1"/>
      <c r="X253" s="1"/>
      <c r="Y253" s="1"/>
      <c r="Z253" s="1"/>
    </row>
    <row r="254" spans="1:26" ht="24.75" customHeight="1">
      <c r="A254" s="1"/>
      <c r="B254" s="1"/>
      <c r="C254" s="1"/>
      <c r="D254" s="1"/>
      <c r="E254" s="1"/>
      <c r="F254" s="1"/>
      <c r="G254" s="1"/>
      <c r="H254" s="1"/>
      <c r="I254" s="1"/>
      <c r="J254" s="1"/>
      <c r="K254" s="1"/>
      <c r="L254" s="1"/>
      <c r="M254" s="1"/>
      <c r="N254" s="1"/>
      <c r="O254" s="1"/>
      <c r="P254" s="1"/>
      <c r="Q254" s="1"/>
      <c r="R254" s="1"/>
      <c r="S254" s="1"/>
      <c r="T254" s="1"/>
      <c r="U254" s="2"/>
      <c r="V254" s="1"/>
      <c r="W254" s="1"/>
      <c r="X254" s="1"/>
      <c r="Y254" s="1"/>
      <c r="Z254" s="1"/>
    </row>
    <row r="255" spans="1:26" ht="24.75" customHeight="1">
      <c r="A255" s="1"/>
      <c r="B255" s="1"/>
      <c r="C255" s="1"/>
      <c r="D255" s="1"/>
      <c r="E255" s="1"/>
      <c r="F255" s="1"/>
      <c r="G255" s="1"/>
      <c r="H255" s="1"/>
      <c r="I255" s="1"/>
      <c r="J255" s="1"/>
      <c r="K255" s="1"/>
      <c r="L255" s="1"/>
      <c r="M255" s="1"/>
      <c r="N255" s="1"/>
      <c r="O255" s="1"/>
      <c r="P255" s="1"/>
      <c r="Q255" s="1"/>
      <c r="R255" s="1"/>
      <c r="S255" s="1"/>
      <c r="T255" s="1"/>
      <c r="U255" s="2"/>
      <c r="V255" s="1"/>
      <c r="W255" s="1"/>
      <c r="X255" s="1"/>
      <c r="Y255" s="1"/>
      <c r="Z255" s="1"/>
    </row>
    <row r="256" spans="1:26" ht="24.75" customHeight="1">
      <c r="A256" s="1"/>
      <c r="B256" s="1"/>
      <c r="C256" s="1"/>
      <c r="D256" s="1"/>
      <c r="E256" s="1"/>
      <c r="F256" s="1"/>
      <c r="G256" s="1"/>
      <c r="H256" s="1"/>
      <c r="I256" s="1"/>
      <c r="J256" s="1"/>
      <c r="K256" s="1"/>
      <c r="L256" s="1"/>
      <c r="M256" s="1"/>
      <c r="N256" s="1"/>
      <c r="O256" s="1"/>
      <c r="P256" s="1"/>
      <c r="Q256" s="1"/>
      <c r="R256" s="1"/>
      <c r="S256" s="1"/>
      <c r="T256" s="1"/>
      <c r="U256" s="2"/>
      <c r="V256" s="1"/>
      <c r="W256" s="1"/>
      <c r="X256" s="1"/>
      <c r="Y256" s="1"/>
      <c r="Z256" s="1"/>
    </row>
    <row r="257" spans="1:26" ht="24.75" customHeight="1">
      <c r="A257" s="1"/>
      <c r="B257" s="1"/>
      <c r="C257" s="1"/>
      <c r="D257" s="1"/>
      <c r="E257" s="1"/>
      <c r="F257" s="1"/>
      <c r="G257" s="1"/>
      <c r="H257" s="1"/>
      <c r="I257" s="1"/>
      <c r="J257" s="1"/>
      <c r="K257" s="1"/>
      <c r="L257" s="1"/>
      <c r="M257" s="1"/>
      <c r="N257" s="1"/>
      <c r="O257" s="1"/>
      <c r="P257" s="1"/>
      <c r="Q257" s="1"/>
      <c r="R257" s="1"/>
      <c r="S257" s="1"/>
      <c r="T257" s="1"/>
      <c r="U257" s="2"/>
      <c r="V257" s="1"/>
      <c r="W257" s="1"/>
      <c r="X257" s="1"/>
      <c r="Y257" s="1"/>
      <c r="Z257" s="1"/>
    </row>
    <row r="258" spans="1:26" ht="24.75" customHeight="1">
      <c r="A258" s="1"/>
      <c r="B258" s="1"/>
      <c r="C258" s="1"/>
      <c r="D258" s="1"/>
      <c r="E258" s="1"/>
      <c r="F258" s="1"/>
      <c r="G258" s="1"/>
      <c r="H258" s="1"/>
      <c r="I258" s="1"/>
      <c r="J258" s="1"/>
      <c r="K258" s="1"/>
      <c r="L258" s="1"/>
      <c r="M258" s="1"/>
      <c r="N258" s="1"/>
      <c r="O258" s="1"/>
      <c r="P258" s="1"/>
      <c r="Q258" s="1"/>
      <c r="R258" s="1"/>
      <c r="S258" s="1"/>
      <c r="T258" s="1"/>
      <c r="U258" s="2"/>
      <c r="V258" s="1"/>
      <c r="W258" s="1"/>
      <c r="X258" s="1"/>
      <c r="Y258" s="1"/>
      <c r="Z258" s="1"/>
    </row>
    <row r="259" spans="1:26" ht="24.75" customHeight="1">
      <c r="A259" s="1"/>
      <c r="B259" s="1"/>
      <c r="C259" s="1"/>
      <c r="D259" s="1"/>
      <c r="E259" s="1"/>
      <c r="F259" s="1"/>
      <c r="G259" s="1"/>
      <c r="H259" s="1"/>
      <c r="I259" s="1"/>
      <c r="J259" s="1"/>
      <c r="K259" s="1"/>
      <c r="L259" s="1"/>
      <c r="M259" s="1"/>
      <c r="N259" s="1"/>
      <c r="O259" s="1"/>
      <c r="P259" s="1"/>
      <c r="Q259" s="1"/>
      <c r="R259" s="1"/>
      <c r="S259" s="1"/>
      <c r="T259" s="1"/>
      <c r="U259" s="2"/>
      <c r="V259" s="1"/>
      <c r="W259" s="1"/>
      <c r="X259" s="1"/>
      <c r="Y259" s="1"/>
      <c r="Z259" s="1"/>
    </row>
    <row r="260" spans="1:26" ht="24.75" customHeight="1">
      <c r="A260" s="1"/>
      <c r="B260" s="1"/>
      <c r="C260" s="1"/>
      <c r="D260" s="1"/>
      <c r="E260" s="1"/>
      <c r="F260" s="1"/>
      <c r="G260" s="1"/>
      <c r="H260" s="1"/>
      <c r="I260" s="1"/>
      <c r="J260" s="1"/>
      <c r="K260" s="1"/>
      <c r="L260" s="1"/>
      <c r="M260" s="1"/>
      <c r="N260" s="1"/>
      <c r="O260" s="1"/>
      <c r="P260" s="1"/>
      <c r="Q260" s="1"/>
      <c r="R260" s="1"/>
      <c r="S260" s="1"/>
      <c r="T260" s="1"/>
      <c r="U260" s="2"/>
      <c r="V260" s="1"/>
      <c r="W260" s="1"/>
      <c r="X260" s="1"/>
      <c r="Y260" s="1"/>
      <c r="Z260" s="1"/>
    </row>
    <row r="261" spans="1:26" ht="24.75" customHeight="1">
      <c r="A261" s="1"/>
      <c r="B261" s="1"/>
      <c r="C261" s="1"/>
      <c r="D261" s="1"/>
      <c r="E261" s="1"/>
      <c r="F261" s="1"/>
      <c r="G261" s="1"/>
      <c r="H261" s="1"/>
      <c r="I261" s="1"/>
      <c r="J261" s="1"/>
      <c r="K261" s="1"/>
      <c r="L261" s="1"/>
      <c r="M261" s="1"/>
      <c r="N261" s="1"/>
      <c r="O261" s="1"/>
      <c r="P261" s="1"/>
      <c r="Q261" s="1"/>
      <c r="R261" s="1"/>
      <c r="S261" s="1"/>
      <c r="T261" s="1"/>
      <c r="U261" s="2"/>
      <c r="V261" s="1"/>
      <c r="W261" s="1"/>
      <c r="X261" s="1"/>
      <c r="Y261" s="1"/>
      <c r="Z261" s="1"/>
    </row>
    <row r="262" spans="1:26" ht="24.75" customHeight="1">
      <c r="A262" s="1"/>
      <c r="B262" s="1"/>
      <c r="C262" s="1"/>
      <c r="D262" s="1"/>
      <c r="E262" s="1"/>
      <c r="F262" s="1"/>
      <c r="G262" s="1"/>
      <c r="H262" s="1"/>
      <c r="I262" s="1"/>
      <c r="J262" s="1"/>
      <c r="K262" s="1"/>
      <c r="L262" s="1"/>
      <c r="M262" s="1"/>
      <c r="N262" s="1"/>
      <c r="O262" s="1"/>
      <c r="P262" s="1"/>
      <c r="Q262" s="1"/>
      <c r="R262" s="1"/>
      <c r="S262" s="1"/>
      <c r="T262" s="1"/>
      <c r="U262" s="2"/>
      <c r="V262" s="1"/>
      <c r="W262" s="1"/>
      <c r="X262" s="1"/>
      <c r="Y262" s="1"/>
      <c r="Z262" s="1"/>
    </row>
    <row r="263" spans="1:26" ht="24.75" customHeight="1">
      <c r="A263" s="1"/>
      <c r="B263" s="1"/>
      <c r="C263" s="1"/>
      <c r="D263" s="1"/>
      <c r="E263" s="1"/>
      <c r="F263" s="1"/>
      <c r="G263" s="1"/>
      <c r="H263" s="1"/>
      <c r="I263" s="1"/>
      <c r="J263" s="1"/>
      <c r="K263" s="1"/>
      <c r="L263" s="1"/>
      <c r="M263" s="1"/>
      <c r="N263" s="1"/>
      <c r="O263" s="1"/>
      <c r="P263" s="1"/>
      <c r="Q263" s="1"/>
      <c r="R263" s="1"/>
      <c r="S263" s="1"/>
      <c r="T263" s="1"/>
      <c r="U263" s="2"/>
      <c r="V263" s="1"/>
      <c r="W263" s="1"/>
      <c r="X263" s="1"/>
      <c r="Y263" s="1"/>
      <c r="Z263" s="1"/>
    </row>
    <row r="264" spans="1:26" ht="24.75" customHeight="1">
      <c r="A264" s="1"/>
      <c r="B264" s="1"/>
      <c r="C264" s="1"/>
      <c r="D264" s="1"/>
      <c r="E264" s="1"/>
      <c r="F264" s="1"/>
      <c r="G264" s="1"/>
      <c r="H264" s="1"/>
      <c r="I264" s="1"/>
      <c r="J264" s="1"/>
      <c r="K264" s="1"/>
      <c r="L264" s="1"/>
      <c r="M264" s="1"/>
      <c r="N264" s="1"/>
      <c r="O264" s="1"/>
      <c r="P264" s="1"/>
      <c r="Q264" s="1"/>
      <c r="R264" s="1"/>
      <c r="S264" s="1"/>
      <c r="T264" s="1"/>
      <c r="U264" s="2"/>
      <c r="V264" s="1"/>
      <c r="W264" s="1"/>
      <c r="X264" s="1"/>
      <c r="Y264" s="1"/>
      <c r="Z264" s="1"/>
    </row>
    <row r="265" spans="1:26" ht="24.75" customHeight="1">
      <c r="A265" s="1"/>
      <c r="B265" s="1"/>
      <c r="C265" s="1"/>
      <c r="D265" s="1"/>
      <c r="E265" s="1"/>
      <c r="F265" s="1"/>
      <c r="G265" s="1"/>
      <c r="H265" s="1"/>
      <c r="I265" s="1"/>
      <c r="J265" s="1"/>
      <c r="K265" s="1"/>
      <c r="L265" s="1"/>
      <c r="M265" s="1"/>
      <c r="N265" s="1"/>
      <c r="O265" s="1"/>
      <c r="P265" s="1"/>
      <c r="Q265" s="1"/>
      <c r="R265" s="1"/>
      <c r="S265" s="1"/>
      <c r="T265" s="1"/>
      <c r="U265" s="2"/>
      <c r="V265" s="1"/>
      <c r="W265" s="1"/>
      <c r="X265" s="1"/>
      <c r="Y265" s="1"/>
      <c r="Z265" s="1"/>
    </row>
    <row r="266" spans="1:26" ht="24.75" customHeight="1">
      <c r="A266" s="1"/>
      <c r="B266" s="1"/>
      <c r="C266" s="1"/>
      <c r="D266" s="1"/>
      <c r="E266" s="1"/>
      <c r="F266" s="1"/>
      <c r="G266" s="1"/>
      <c r="H266" s="1"/>
      <c r="I266" s="1"/>
      <c r="J266" s="1"/>
      <c r="K266" s="1"/>
      <c r="L266" s="1"/>
      <c r="M266" s="1"/>
      <c r="N266" s="1"/>
      <c r="O266" s="1"/>
      <c r="P266" s="1"/>
      <c r="Q266" s="1"/>
      <c r="R266" s="1"/>
      <c r="S266" s="1"/>
      <c r="T266" s="1"/>
      <c r="U266" s="2"/>
      <c r="V266" s="1"/>
      <c r="W266" s="1"/>
      <c r="X266" s="1"/>
      <c r="Y266" s="1"/>
      <c r="Z266" s="1"/>
    </row>
    <row r="267" spans="1:26" ht="24.75" customHeight="1">
      <c r="A267" s="1"/>
      <c r="B267" s="1"/>
      <c r="C267" s="1"/>
      <c r="D267" s="1"/>
      <c r="E267" s="1"/>
      <c r="F267" s="1"/>
      <c r="G267" s="1"/>
      <c r="H267" s="1"/>
      <c r="I267" s="1"/>
      <c r="J267" s="1"/>
      <c r="K267" s="1"/>
      <c r="L267" s="1"/>
      <c r="M267" s="1"/>
      <c r="N267" s="1"/>
      <c r="O267" s="1"/>
      <c r="P267" s="1"/>
      <c r="Q267" s="1"/>
      <c r="R267" s="1"/>
      <c r="S267" s="1"/>
      <c r="T267" s="1"/>
      <c r="U267" s="2"/>
      <c r="V267" s="1"/>
      <c r="W267" s="1"/>
      <c r="X267" s="1"/>
      <c r="Y267" s="1"/>
      <c r="Z267" s="1"/>
    </row>
    <row r="268" spans="1:26" ht="24.75" customHeight="1">
      <c r="A268" s="1"/>
      <c r="B268" s="1"/>
      <c r="C268" s="1"/>
      <c r="D268" s="1"/>
      <c r="E268" s="1"/>
      <c r="F268" s="1"/>
      <c r="G268" s="1"/>
      <c r="H268" s="1"/>
      <c r="I268" s="1"/>
      <c r="J268" s="1"/>
      <c r="K268" s="1"/>
      <c r="L268" s="1"/>
      <c r="M268" s="1"/>
      <c r="N268" s="1"/>
      <c r="O268" s="1"/>
      <c r="P268" s="1"/>
      <c r="Q268" s="1"/>
      <c r="R268" s="1"/>
      <c r="S268" s="1"/>
      <c r="T268" s="1"/>
      <c r="U268" s="2"/>
      <c r="V268" s="1"/>
      <c r="W268" s="1"/>
      <c r="X268" s="1"/>
      <c r="Y268" s="1"/>
      <c r="Z268" s="1"/>
    </row>
    <row r="269" spans="1:26" ht="24.75" customHeight="1">
      <c r="A269" s="1"/>
      <c r="B269" s="1"/>
      <c r="C269" s="1"/>
      <c r="D269" s="1"/>
      <c r="E269" s="1"/>
      <c r="F269" s="1"/>
      <c r="G269" s="1"/>
      <c r="H269" s="1"/>
      <c r="I269" s="1"/>
      <c r="J269" s="1"/>
      <c r="K269" s="1"/>
      <c r="L269" s="1"/>
      <c r="M269" s="1"/>
      <c r="N269" s="1"/>
      <c r="O269" s="1"/>
      <c r="P269" s="1"/>
      <c r="Q269" s="1"/>
      <c r="R269" s="1"/>
      <c r="S269" s="1"/>
      <c r="T269" s="1"/>
      <c r="U269" s="2"/>
      <c r="V269" s="1"/>
      <c r="W269" s="1"/>
      <c r="X269" s="1"/>
      <c r="Y269" s="1"/>
      <c r="Z269" s="1"/>
    </row>
    <row r="270" spans="1:26" ht="24.75" customHeight="1">
      <c r="A270" s="1"/>
      <c r="B270" s="1"/>
      <c r="C270" s="1"/>
      <c r="D270" s="1"/>
      <c r="E270" s="1"/>
      <c r="F270" s="1"/>
      <c r="G270" s="1"/>
      <c r="H270" s="1"/>
      <c r="I270" s="1"/>
      <c r="J270" s="1"/>
      <c r="K270" s="1"/>
      <c r="L270" s="1"/>
      <c r="M270" s="1"/>
      <c r="N270" s="1"/>
      <c r="O270" s="1"/>
      <c r="P270" s="1"/>
      <c r="Q270" s="1"/>
      <c r="R270" s="1"/>
      <c r="S270" s="1"/>
      <c r="T270" s="1"/>
      <c r="U270" s="2"/>
      <c r="V270" s="1"/>
      <c r="W270" s="1"/>
      <c r="X270" s="1"/>
      <c r="Y270" s="1"/>
      <c r="Z270" s="1"/>
    </row>
    <row r="271" spans="1:26" ht="24.75" customHeight="1">
      <c r="A271" s="1"/>
      <c r="B271" s="1"/>
      <c r="C271" s="1"/>
      <c r="D271" s="1"/>
      <c r="E271" s="1"/>
      <c r="F271" s="1"/>
      <c r="G271" s="1"/>
      <c r="H271" s="1"/>
      <c r="I271" s="1"/>
      <c r="J271" s="1"/>
      <c r="K271" s="1"/>
      <c r="L271" s="1"/>
      <c r="M271" s="1"/>
      <c r="N271" s="1"/>
      <c r="O271" s="1"/>
      <c r="P271" s="1"/>
      <c r="Q271" s="1"/>
      <c r="R271" s="1"/>
      <c r="S271" s="1"/>
      <c r="T271" s="1"/>
      <c r="U271" s="2"/>
      <c r="V271" s="1"/>
      <c r="W271" s="1"/>
      <c r="X271" s="1"/>
      <c r="Y271" s="1"/>
      <c r="Z271" s="1"/>
    </row>
    <row r="272" spans="1:26" ht="24.75" customHeight="1">
      <c r="A272" s="1"/>
      <c r="B272" s="1"/>
      <c r="C272" s="1"/>
      <c r="D272" s="1"/>
      <c r="E272" s="1"/>
      <c r="F272" s="1"/>
      <c r="G272" s="1"/>
      <c r="H272" s="1"/>
      <c r="I272" s="1"/>
      <c r="J272" s="1"/>
      <c r="K272" s="1"/>
      <c r="L272" s="1"/>
      <c r="M272" s="1"/>
      <c r="N272" s="1"/>
      <c r="O272" s="1"/>
      <c r="P272" s="1"/>
      <c r="Q272" s="1"/>
      <c r="R272" s="1"/>
      <c r="S272" s="1"/>
      <c r="T272" s="1"/>
      <c r="U272" s="2"/>
      <c r="V272" s="1"/>
      <c r="W272" s="1"/>
      <c r="X272" s="1"/>
      <c r="Y272" s="1"/>
      <c r="Z272" s="1"/>
    </row>
    <row r="273" spans="1:26" ht="24.75" customHeight="1">
      <c r="A273" s="1"/>
      <c r="B273" s="1"/>
      <c r="C273" s="1"/>
      <c r="D273" s="1"/>
      <c r="E273" s="1"/>
      <c r="F273" s="1"/>
      <c r="G273" s="1"/>
      <c r="H273" s="1"/>
      <c r="I273" s="1"/>
      <c r="J273" s="1"/>
      <c r="K273" s="1"/>
      <c r="L273" s="1"/>
      <c r="M273" s="1"/>
      <c r="N273" s="1"/>
      <c r="O273" s="1"/>
      <c r="P273" s="1"/>
      <c r="Q273" s="1"/>
      <c r="R273" s="1"/>
      <c r="S273" s="1"/>
      <c r="T273" s="1"/>
      <c r="U273" s="2"/>
      <c r="V273" s="1"/>
      <c r="W273" s="1"/>
      <c r="X273" s="1"/>
      <c r="Y273" s="1"/>
      <c r="Z273" s="1"/>
    </row>
    <row r="274" spans="1:26" ht="24.75" customHeight="1">
      <c r="A274" s="1"/>
      <c r="B274" s="1"/>
      <c r="C274" s="1"/>
      <c r="D274" s="1"/>
      <c r="E274" s="1"/>
      <c r="F274" s="1"/>
      <c r="G274" s="1"/>
      <c r="H274" s="1"/>
      <c r="I274" s="1"/>
      <c r="J274" s="1"/>
      <c r="K274" s="1"/>
      <c r="L274" s="1"/>
      <c r="M274" s="1"/>
      <c r="N274" s="1"/>
      <c r="O274" s="1"/>
      <c r="P274" s="1"/>
      <c r="Q274" s="1"/>
      <c r="R274" s="1"/>
      <c r="S274" s="1"/>
      <c r="T274" s="1"/>
      <c r="U274" s="2"/>
      <c r="V274" s="1"/>
      <c r="W274" s="1"/>
      <c r="X274" s="1"/>
      <c r="Y274" s="1"/>
      <c r="Z274" s="1"/>
    </row>
    <row r="275" spans="1:26" ht="24.75" customHeight="1">
      <c r="A275" s="1"/>
      <c r="B275" s="1"/>
      <c r="C275" s="1"/>
      <c r="D275" s="1"/>
      <c r="E275" s="1"/>
      <c r="F275" s="1"/>
      <c r="G275" s="1"/>
      <c r="H275" s="1"/>
      <c r="I275" s="1"/>
      <c r="J275" s="1"/>
      <c r="K275" s="1"/>
      <c r="L275" s="1"/>
      <c r="M275" s="1"/>
      <c r="N275" s="1"/>
      <c r="O275" s="1"/>
      <c r="P275" s="1"/>
      <c r="Q275" s="1"/>
      <c r="R275" s="1"/>
      <c r="S275" s="1"/>
      <c r="T275" s="1"/>
      <c r="U275" s="2"/>
      <c r="V275" s="1"/>
      <c r="W275" s="1"/>
      <c r="X275" s="1"/>
      <c r="Y275" s="1"/>
      <c r="Z275" s="1"/>
    </row>
    <row r="276" spans="1:26" ht="24.75" customHeight="1">
      <c r="A276" s="1"/>
      <c r="B276" s="1"/>
      <c r="C276" s="1"/>
      <c r="D276" s="1"/>
      <c r="E276" s="1"/>
      <c r="F276" s="1"/>
      <c r="G276" s="1"/>
      <c r="H276" s="1"/>
      <c r="I276" s="1"/>
      <c r="J276" s="1"/>
      <c r="K276" s="1"/>
      <c r="L276" s="1"/>
      <c r="M276" s="1"/>
      <c r="N276" s="1"/>
      <c r="O276" s="1"/>
      <c r="P276" s="1"/>
      <c r="Q276" s="1"/>
      <c r="R276" s="1"/>
      <c r="S276" s="1"/>
      <c r="T276" s="1"/>
      <c r="U276" s="2"/>
      <c r="V276" s="1"/>
      <c r="W276" s="1"/>
      <c r="X276" s="1"/>
      <c r="Y276" s="1"/>
      <c r="Z276" s="1"/>
    </row>
    <row r="277" spans="1:26" ht="24.75" customHeight="1">
      <c r="A277" s="1"/>
      <c r="B277" s="1"/>
      <c r="C277" s="1"/>
      <c r="D277" s="1"/>
      <c r="E277" s="1"/>
      <c r="F277" s="1"/>
      <c r="G277" s="1"/>
      <c r="H277" s="1"/>
      <c r="I277" s="1"/>
      <c r="J277" s="1"/>
      <c r="K277" s="1"/>
      <c r="L277" s="1"/>
      <c r="M277" s="1"/>
      <c r="N277" s="1"/>
      <c r="O277" s="1"/>
      <c r="P277" s="1"/>
      <c r="Q277" s="1"/>
      <c r="R277" s="1"/>
      <c r="S277" s="1"/>
      <c r="T277" s="1"/>
      <c r="U277" s="2"/>
      <c r="V277" s="1"/>
      <c r="W277" s="1"/>
      <c r="X277" s="1"/>
      <c r="Y277" s="1"/>
      <c r="Z277" s="1"/>
    </row>
    <row r="278" spans="1:26" ht="24.75" customHeight="1">
      <c r="A278" s="1"/>
      <c r="B278" s="1"/>
      <c r="C278" s="1"/>
      <c r="D278" s="1"/>
      <c r="E278" s="1"/>
      <c r="F278" s="1"/>
      <c r="G278" s="1"/>
      <c r="H278" s="1"/>
      <c r="I278" s="1"/>
      <c r="J278" s="1"/>
      <c r="K278" s="1"/>
      <c r="L278" s="1"/>
      <c r="M278" s="1"/>
      <c r="N278" s="1"/>
      <c r="O278" s="1"/>
      <c r="P278" s="1"/>
      <c r="Q278" s="1"/>
      <c r="R278" s="1"/>
      <c r="S278" s="1"/>
      <c r="T278" s="1"/>
      <c r="U278" s="2"/>
      <c r="V278" s="1"/>
      <c r="W278" s="1"/>
      <c r="X278" s="1"/>
      <c r="Y278" s="1"/>
      <c r="Z278" s="1"/>
    </row>
    <row r="279" spans="1:26" ht="24.75" customHeight="1">
      <c r="A279" s="1"/>
      <c r="B279" s="1"/>
      <c r="C279" s="1"/>
      <c r="D279" s="1"/>
      <c r="E279" s="1"/>
      <c r="F279" s="1"/>
      <c r="G279" s="1"/>
      <c r="H279" s="1"/>
      <c r="I279" s="1"/>
      <c r="J279" s="1"/>
      <c r="K279" s="1"/>
      <c r="L279" s="1"/>
      <c r="M279" s="1"/>
      <c r="N279" s="1"/>
      <c r="O279" s="1"/>
      <c r="P279" s="1"/>
      <c r="Q279" s="1"/>
      <c r="R279" s="1"/>
      <c r="S279" s="1"/>
      <c r="T279" s="1"/>
      <c r="U279" s="2"/>
      <c r="V279" s="1"/>
      <c r="W279" s="1"/>
      <c r="X279" s="1"/>
      <c r="Y279" s="1"/>
      <c r="Z279" s="1"/>
    </row>
    <row r="280" spans="1:26" ht="24.75" customHeight="1">
      <c r="A280" s="1"/>
      <c r="B280" s="1"/>
      <c r="C280" s="1"/>
      <c r="D280" s="1"/>
      <c r="E280" s="1"/>
      <c r="F280" s="1"/>
      <c r="G280" s="1"/>
      <c r="H280" s="1"/>
      <c r="I280" s="1"/>
      <c r="J280" s="1"/>
      <c r="K280" s="1"/>
      <c r="L280" s="1"/>
      <c r="M280" s="1"/>
      <c r="N280" s="1"/>
      <c r="O280" s="1"/>
      <c r="P280" s="1"/>
      <c r="Q280" s="1"/>
      <c r="R280" s="1"/>
      <c r="S280" s="1"/>
      <c r="T280" s="1"/>
      <c r="U280" s="2"/>
      <c r="V280" s="1"/>
      <c r="W280" s="1"/>
      <c r="X280" s="1"/>
      <c r="Y280" s="1"/>
      <c r="Z280" s="1"/>
    </row>
    <row r="281" spans="1:26" ht="24.75" customHeight="1">
      <c r="A281" s="1"/>
      <c r="B281" s="1"/>
      <c r="C281" s="1"/>
      <c r="D281" s="1"/>
      <c r="E281" s="1"/>
      <c r="F281" s="1"/>
      <c r="G281" s="1"/>
      <c r="H281" s="1"/>
      <c r="I281" s="1"/>
      <c r="J281" s="1"/>
      <c r="K281" s="1"/>
      <c r="L281" s="1"/>
      <c r="M281" s="1"/>
      <c r="N281" s="1"/>
      <c r="O281" s="1"/>
      <c r="P281" s="1"/>
      <c r="Q281" s="1"/>
      <c r="R281" s="1"/>
      <c r="S281" s="1"/>
      <c r="T281" s="1"/>
      <c r="U281" s="2"/>
      <c r="V281" s="1"/>
      <c r="W281" s="1"/>
      <c r="X281" s="1"/>
      <c r="Y281" s="1"/>
      <c r="Z281" s="1"/>
    </row>
    <row r="282" spans="1:26" ht="24.75" customHeight="1">
      <c r="A282" s="1"/>
      <c r="B282" s="1"/>
      <c r="C282" s="1"/>
      <c r="D282" s="1"/>
      <c r="E282" s="1"/>
      <c r="F282" s="1"/>
      <c r="G282" s="1"/>
      <c r="H282" s="1"/>
      <c r="I282" s="1"/>
      <c r="J282" s="1"/>
      <c r="K282" s="1"/>
      <c r="L282" s="1"/>
      <c r="M282" s="1"/>
      <c r="N282" s="1"/>
      <c r="O282" s="1"/>
      <c r="P282" s="1"/>
      <c r="Q282" s="1"/>
      <c r="R282" s="1"/>
      <c r="S282" s="1"/>
      <c r="T282" s="1"/>
      <c r="U282" s="2"/>
      <c r="V282" s="1"/>
      <c r="W282" s="1"/>
      <c r="X282" s="1"/>
      <c r="Y282" s="1"/>
      <c r="Z282" s="1"/>
    </row>
    <row r="283" spans="1:26" ht="24.75" customHeight="1">
      <c r="A283" s="1"/>
      <c r="B283" s="1"/>
      <c r="C283" s="1"/>
      <c r="D283" s="1"/>
      <c r="E283" s="1"/>
      <c r="F283" s="1"/>
      <c r="G283" s="1"/>
      <c r="H283" s="1"/>
      <c r="I283" s="1"/>
      <c r="J283" s="1"/>
      <c r="K283" s="1"/>
      <c r="L283" s="1"/>
      <c r="M283" s="1"/>
      <c r="N283" s="1"/>
      <c r="O283" s="1"/>
      <c r="P283" s="1"/>
      <c r="Q283" s="1"/>
      <c r="R283" s="1"/>
      <c r="S283" s="1"/>
      <c r="T283" s="1"/>
      <c r="U283" s="2"/>
      <c r="V283" s="1"/>
      <c r="W283" s="1"/>
      <c r="X283" s="1"/>
      <c r="Y283" s="1"/>
      <c r="Z283" s="1"/>
    </row>
    <row r="284" spans="1:26" ht="24.75" customHeight="1">
      <c r="A284" s="1"/>
      <c r="B284" s="1"/>
      <c r="C284" s="1"/>
      <c r="D284" s="1"/>
      <c r="E284" s="1"/>
      <c r="F284" s="1"/>
      <c r="G284" s="1"/>
      <c r="H284" s="1"/>
      <c r="I284" s="1"/>
      <c r="J284" s="1"/>
      <c r="K284" s="1"/>
      <c r="L284" s="1"/>
      <c r="M284" s="1"/>
      <c r="N284" s="1"/>
      <c r="O284" s="1"/>
      <c r="P284" s="1"/>
      <c r="Q284" s="1"/>
      <c r="R284" s="1"/>
      <c r="S284" s="1"/>
      <c r="T284" s="1"/>
      <c r="U284" s="2"/>
      <c r="V284" s="1"/>
      <c r="W284" s="1"/>
      <c r="X284" s="1"/>
      <c r="Y284" s="1"/>
      <c r="Z284" s="1"/>
    </row>
    <row r="285" spans="1:26" ht="24.75" customHeight="1">
      <c r="A285" s="1"/>
      <c r="B285" s="1"/>
      <c r="C285" s="1"/>
      <c r="D285" s="1"/>
      <c r="E285" s="1"/>
      <c r="F285" s="1"/>
      <c r="G285" s="1"/>
      <c r="H285" s="1"/>
      <c r="I285" s="1"/>
      <c r="J285" s="1"/>
      <c r="K285" s="1"/>
      <c r="L285" s="1"/>
      <c r="M285" s="1"/>
      <c r="N285" s="1"/>
      <c r="O285" s="1"/>
      <c r="P285" s="1"/>
      <c r="Q285" s="1"/>
      <c r="R285" s="1"/>
      <c r="S285" s="1"/>
      <c r="T285" s="1"/>
      <c r="U285" s="2"/>
      <c r="V285" s="1"/>
      <c r="W285" s="1"/>
      <c r="X285" s="1"/>
      <c r="Y285" s="1"/>
      <c r="Z285" s="1"/>
    </row>
    <row r="286" spans="1:26" ht="24.75" customHeight="1">
      <c r="A286" s="1"/>
      <c r="B286" s="1"/>
      <c r="C286" s="1"/>
      <c r="D286" s="1"/>
      <c r="E286" s="1"/>
      <c r="F286" s="1"/>
      <c r="G286" s="1"/>
      <c r="H286" s="1"/>
      <c r="I286" s="1"/>
      <c r="J286" s="1"/>
      <c r="K286" s="1"/>
      <c r="L286" s="1"/>
      <c r="M286" s="1"/>
      <c r="N286" s="1"/>
      <c r="O286" s="1"/>
      <c r="P286" s="1"/>
      <c r="Q286" s="1"/>
      <c r="R286" s="1"/>
      <c r="S286" s="1"/>
      <c r="T286" s="1"/>
      <c r="U286" s="2"/>
      <c r="V286" s="1"/>
      <c r="W286" s="1"/>
      <c r="X286" s="1"/>
      <c r="Y286" s="1"/>
      <c r="Z286" s="1"/>
    </row>
    <row r="287" spans="1:26" ht="24.75" customHeight="1">
      <c r="A287" s="1"/>
      <c r="B287" s="1"/>
      <c r="C287" s="1"/>
      <c r="D287" s="1"/>
      <c r="E287" s="1"/>
      <c r="F287" s="1"/>
      <c r="G287" s="1"/>
      <c r="H287" s="1"/>
      <c r="I287" s="1"/>
      <c r="J287" s="1"/>
      <c r="K287" s="1"/>
      <c r="L287" s="1"/>
      <c r="M287" s="1"/>
      <c r="N287" s="1"/>
      <c r="O287" s="1"/>
      <c r="P287" s="1"/>
      <c r="Q287" s="1"/>
      <c r="R287" s="1"/>
      <c r="S287" s="1"/>
      <c r="T287" s="1"/>
      <c r="U287" s="2"/>
      <c r="V287" s="1"/>
      <c r="W287" s="1"/>
      <c r="X287" s="1"/>
      <c r="Y287" s="1"/>
      <c r="Z287" s="1"/>
    </row>
    <row r="288" spans="1:26" ht="24.75" customHeight="1">
      <c r="A288" s="1"/>
      <c r="B288" s="1"/>
      <c r="C288" s="1"/>
      <c r="D288" s="1"/>
      <c r="E288" s="1"/>
      <c r="F288" s="1"/>
      <c r="G288" s="1"/>
      <c r="H288" s="1"/>
      <c r="I288" s="1"/>
      <c r="J288" s="1"/>
      <c r="K288" s="1"/>
      <c r="L288" s="1"/>
      <c r="M288" s="1"/>
      <c r="N288" s="1"/>
      <c r="O288" s="1"/>
      <c r="P288" s="1"/>
      <c r="Q288" s="1"/>
      <c r="R288" s="1"/>
      <c r="S288" s="1"/>
      <c r="T288" s="1"/>
      <c r="U288" s="2"/>
      <c r="V288" s="1"/>
      <c r="W288" s="1"/>
      <c r="X288" s="1"/>
      <c r="Y288" s="1"/>
      <c r="Z288" s="1"/>
    </row>
    <row r="289" spans="1:26" ht="24.75" customHeight="1">
      <c r="A289" s="1"/>
      <c r="B289" s="1"/>
      <c r="C289" s="1"/>
      <c r="D289" s="1"/>
      <c r="E289" s="1"/>
      <c r="F289" s="1"/>
      <c r="G289" s="1"/>
      <c r="H289" s="1"/>
      <c r="I289" s="1"/>
      <c r="J289" s="1"/>
      <c r="K289" s="1"/>
      <c r="L289" s="1"/>
      <c r="M289" s="1"/>
      <c r="N289" s="1"/>
      <c r="O289" s="1"/>
      <c r="P289" s="1"/>
      <c r="Q289" s="1"/>
      <c r="R289" s="1"/>
      <c r="S289" s="1"/>
      <c r="T289" s="1"/>
      <c r="U289" s="2"/>
      <c r="V289" s="1"/>
      <c r="W289" s="1"/>
      <c r="X289" s="1"/>
      <c r="Y289" s="1"/>
      <c r="Z289" s="1"/>
    </row>
    <row r="290" spans="1:26" ht="24.75" customHeight="1">
      <c r="A290" s="1"/>
      <c r="B290" s="1"/>
      <c r="C290" s="1"/>
      <c r="D290" s="1"/>
      <c r="E290" s="1"/>
      <c r="F290" s="1"/>
      <c r="G290" s="1"/>
      <c r="H290" s="1"/>
      <c r="I290" s="1"/>
      <c r="J290" s="1"/>
      <c r="K290" s="1"/>
      <c r="L290" s="1"/>
      <c r="M290" s="1"/>
      <c r="N290" s="1"/>
      <c r="O290" s="1"/>
      <c r="P290" s="1"/>
      <c r="Q290" s="1"/>
      <c r="R290" s="1"/>
      <c r="S290" s="1"/>
      <c r="T290" s="1"/>
      <c r="U290" s="2"/>
      <c r="V290" s="1"/>
      <c r="W290" s="1"/>
      <c r="X290" s="1"/>
      <c r="Y290" s="1"/>
      <c r="Z290" s="1"/>
    </row>
    <row r="291" spans="1:26" ht="24.75" customHeight="1">
      <c r="A291" s="1"/>
      <c r="B291" s="1"/>
      <c r="C291" s="1"/>
      <c r="D291" s="1"/>
      <c r="E291" s="1"/>
      <c r="F291" s="1"/>
      <c r="G291" s="1"/>
      <c r="H291" s="1"/>
      <c r="I291" s="1"/>
      <c r="J291" s="1"/>
      <c r="K291" s="1"/>
      <c r="L291" s="1"/>
      <c r="M291" s="1"/>
      <c r="N291" s="1"/>
      <c r="O291" s="1"/>
      <c r="P291" s="1"/>
      <c r="Q291" s="1"/>
      <c r="R291" s="1"/>
      <c r="S291" s="1"/>
      <c r="T291" s="1"/>
      <c r="U291" s="2"/>
      <c r="V291" s="1"/>
      <c r="W291" s="1"/>
      <c r="X291" s="1"/>
      <c r="Y291" s="1"/>
      <c r="Z291" s="1"/>
    </row>
    <row r="292" spans="1:26" ht="24.75" customHeight="1">
      <c r="A292" s="1"/>
      <c r="B292" s="1"/>
      <c r="C292" s="1"/>
      <c r="D292" s="1"/>
      <c r="E292" s="1"/>
      <c r="F292" s="1"/>
      <c r="G292" s="1"/>
      <c r="H292" s="1"/>
      <c r="I292" s="1"/>
      <c r="J292" s="1"/>
      <c r="K292" s="1"/>
      <c r="L292" s="1"/>
      <c r="M292" s="1"/>
      <c r="N292" s="1"/>
      <c r="O292" s="1"/>
      <c r="P292" s="1"/>
      <c r="Q292" s="1"/>
      <c r="R292" s="1"/>
      <c r="S292" s="1"/>
      <c r="T292" s="1"/>
      <c r="U292" s="2"/>
      <c r="V292" s="1"/>
      <c r="W292" s="1"/>
      <c r="X292" s="1"/>
      <c r="Y292" s="1"/>
      <c r="Z292" s="1"/>
    </row>
    <row r="293" spans="1:26" ht="24.75" customHeight="1">
      <c r="A293" s="1"/>
      <c r="B293" s="1"/>
      <c r="C293" s="1"/>
      <c r="D293" s="1"/>
      <c r="E293" s="1"/>
      <c r="F293" s="1"/>
      <c r="G293" s="1"/>
      <c r="H293" s="1"/>
      <c r="I293" s="1"/>
      <c r="J293" s="1"/>
      <c r="K293" s="1"/>
      <c r="L293" s="1"/>
      <c r="M293" s="1"/>
      <c r="N293" s="1"/>
      <c r="O293" s="1"/>
      <c r="P293" s="1"/>
      <c r="Q293" s="1"/>
      <c r="R293" s="1"/>
      <c r="S293" s="1"/>
      <c r="T293" s="1"/>
      <c r="U293" s="2"/>
      <c r="V293" s="1"/>
      <c r="W293" s="1"/>
      <c r="X293" s="1"/>
      <c r="Y293" s="1"/>
      <c r="Z293" s="1"/>
    </row>
    <row r="294" spans="1:26" ht="24.75" customHeight="1">
      <c r="A294" s="1"/>
      <c r="B294" s="1"/>
      <c r="C294" s="1"/>
      <c r="D294" s="1"/>
      <c r="E294" s="1"/>
      <c r="F294" s="1"/>
      <c r="G294" s="1"/>
      <c r="H294" s="1"/>
      <c r="I294" s="1"/>
      <c r="J294" s="1"/>
      <c r="K294" s="1"/>
      <c r="L294" s="1"/>
      <c r="M294" s="1"/>
      <c r="N294" s="1"/>
      <c r="O294" s="1"/>
      <c r="P294" s="1"/>
      <c r="Q294" s="1"/>
      <c r="R294" s="1"/>
      <c r="S294" s="1"/>
      <c r="T294" s="1"/>
      <c r="U294" s="2"/>
      <c r="V294" s="1"/>
      <c r="W294" s="1"/>
      <c r="X294" s="1"/>
      <c r="Y294" s="1"/>
      <c r="Z294" s="1"/>
    </row>
    <row r="295" spans="1:26" ht="24.75" customHeight="1">
      <c r="A295" s="1"/>
      <c r="B295" s="1"/>
      <c r="C295" s="1"/>
      <c r="D295" s="1"/>
      <c r="E295" s="1"/>
      <c r="F295" s="1"/>
      <c r="G295" s="1"/>
      <c r="H295" s="1"/>
      <c r="I295" s="1"/>
      <c r="J295" s="1"/>
      <c r="K295" s="1"/>
      <c r="L295" s="1"/>
      <c r="M295" s="1"/>
      <c r="N295" s="1"/>
      <c r="O295" s="1"/>
      <c r="P295" s="1"/>
      <c r="Q295" s="1"/>
      <c r="R295" s="1"/>
      <c r="S295" s="1"/>
      <c r="T295" s="1"/>
      <c r="U295" s="2"/>
      <c r="V295" s="1"/>
      <c r="W295" s="1"/>
      <c r="X295" s="1"/>
      <c r="Y295" s="1"/>
      <c r="Z295" s="1"/>
    </row>
    <row r="296" spans="1:26" ht="24.75" customHeight="1">
      <c r="A296" s="1"/>
      <c r="B296" s="1"/>
      <c r="C296" s="1"/>
      <c r="D296" s="1"/>
      <c r="E296" s="1"/>
      <c r="F296" s="1"/>
      <c r="G296" s="1"/>
      <c r="H296" s="1"/>
      <c r="I296" s="1"/>
      <c r="J296" s="1"/>
      <c r="K296" s="1"/>
      <c r="L296" s="1"/>
      <c r="M296" s="1"/>
      <c r="N296" s="1"/>
      <c r="O296" s="1"/>
      <c r="P296" s="1"/>
      <c r="Q296" s="1"/>
      <c r="R296" s="1"/>
      <c r="S296" s="1"/>
      <c r="T296" s="1"/>
      <c r="U296" s="2"/>
      <c r="V296" s="1"/>
      <c r="W296" s="1"/>
      <c r="X296" s="1"/>
      <c r="Y296" s="1"/>
      <c r="Z296" s="1"/>
    </row>
    <row r="297" spans="1:26" ht="24.75" customHeight="1">
      <c r="A297" s="1"/>
      <c r="B297" s="1"/>
      <c r="C297" s="1"/>
      <c r="D297" s="1"/>
      <c r="E297" s="1"/>
      <c r="F297" s="1"/>
      <c r="G297" s="1"/>
      <c r="H297" s="1"/>
      <c r="I297" s="1"/>
      <c r="J297" s="1"/>
      <c r="K297" s="1"/>
      <c r="L297" s="1"/>
      <c r="M297" s="1"/>
      <c r="N297" s="1"/>
      <c r="O297" s="1"/>
      <c r="P297" s="1"/>
      <c r="Q297" s="1"/>
      <c r="R297" s="1"/>
      <c r="S297" s="1"/>
      <c r="T297" s="1"/>
      <c r="U297" s="2"/>
      <c r="V297" s="1"/>
      <c r="W297" s="1"/>
      <c r="X297" s="1"/>
      <c r="Y297" s="1"/>
      <c r="Z297" s="1"/>
    </row>
    <row r="298" spans="1:26" ht="24.75" customHeight="1">
      <c r="A298" s="1"/>
      <c r="B298" s="1"/>
      <c r="C298" s="1"/>
      <c r="D298" s="1"/>
      <c r="E298" s="1"/>
      <c r="F298" s="1"/>
      <c r="G298" s="1"/>
      <c r="H298" s="1"/>
      <c r="I298" s="1"/>
      <c r="J298" s="1"/>
      <c r="K298" s="1"/>
      <c r="L298" s="1"/>
      <c r="M298" s="1"/>
      <c r="N298" s="1"/>
      <c r="O298" s="1"/>
      <c r="P298" s="1"/>
      <c r="Q298" s="1"/>
      <c r="R298" s="1"/>
      <c r="S298" s="1"/>
      <c r="T298" s="1"/>
      <c r="U298" s="2"/>
      <c r="V298" s="1"/>
      <c r="W298" s="1"/>
      <c r="X298" s="1"/>
      <c r="Y298" s="1"/>
      <c r="Z298" s="1"/>
    </row>
    <row r="299" spans="1:26" ht="24.75" customHeight="1">
      <c r="A299" s="1"/>
      <c r="B299" s="1"/>
      <c r="C299" s="1"/>
      <c r="D299" s="1"/>
      <c r="E299" s="1"/>
      <c r="F299" s="1"/>
      <c r="G299" s="1"/>
      <c r="H299" s="1"/>
      <c r="I299" s="1"/>
      <c r="J299" s="1"/>
      <c r="K299" s="1"/>
      <c r="L299" s="1"/>
      <c r="M299" s="1"/>
      <c r="N299" s="1"/>
      <c r="O299" s="1"/>
      <c r="P299" s="1"/>
      <c r="Q299" s="1"/>
      <c r="R299" s="1"/>
      <c r="S299" s="1"/>
      <c r="T299" s="1"/>
      <c r="U299" s="2"/>
      <c r="V299" s="1"/>
      <c r="W299" s="1"/>
      <c r="X299" s="1"/>
      <c r="Y299" s="1"/>
      <c r="Z299" s="1"/>
    </row>
    <row r="300" spans="1:26" ht="24.75" customHeight="1">
      <c r="A300" s="1"/>
      <c r="B300" s="1"/>
      <c r="C300" s="1"/>
      <c r="D300" s="1"/>
      <c r="E300" s="1"/>
      <c r="F300" s="1"/>
      <c r="G300" s="1"/>
      <c r="H300" s="1"/>
      <c r="I300" s="1"/>
      <c r="J300" s="1"/>
      <c r="K300" s="1"/>
      <c r="L300" s="1"/>
      <c r="M300" s="1"/>
      <c r="N300" s="1"/>
      <c r="O300" s="1"/>
      <c r="P300" s="1"/>
      <c r="Q300" s="1"/>
      <c r="R300" s="1"/>
      <c r="S300" s="1"/>
      <c r="T300" s="1"/>
      <c r="U300" s="2"/>
      <c r="V300" s="1"/>
      <c r="W300" s="1"/>
      <c r="X300" s="1"/>
      <c r="Y300" s="1"/>
      <c r="Z300" s="1"/>
    </row>
    <row r="301" spans="1:26" ht="24.75" customHeight="1">
      <c r="A301" s="1"/>
      <c r="B301" s="1"/>
      <c r="C301" s="1"/>
      <c r="D301" s="1"/>
      <c r="E301" s="1"/>
      <c r="F301" s="1"/>
      <c r="G301" s="1"/>
      <c r="H301" s="1"/>
      <c r="I301" s="1"/>
      <c r="J301" s="1"/>
      <c r="K301" s="1"/>
      <c r="L301" s="1"/>
      <c r="M301" s="1"/>
      <c r="N301" s="1"/>
      <c r="O301" s="1"/>
      <c r="P301" s="1"/>
      <c r="Q301" s="1"/>
      <c r="R301" s="1"/>
      <c r="S301" s="1"/>
      <c r="T301" s="1"/>
      <c r="U301" s="2"/>
      <c r="V301" s="1"/>
      <c r="W301" s="1"/>
      <c r="X301" s="1"/>
      <c r="Y301" s="1"/>
      <c r="Z301" s="1"/>
    </row>
    <row r="302" spans="1:26" ht="24.75" customHeight="1">
      <c r="A302" s="1"/>
      <c r="B302" s="1"/>
      <c r="C302" s="1"/>
      <c r="D302" s="1"/>
      <c r="E302" s="1"/>
      <c r="F302" s="1"/>
      <c r="G302" s="1"/>
      <c r="H302" s="1"/>
      <c r="I302" s="1"/>
      <c r="J302" s="1"/>
      <c r="K302" s="1"/>
      <c r="L302" s="1"/>
      <c r="M302" s="1"/>
      <c r="N302" s="1"/>
      <c r="O302" s="1"/>
      <c r="P302" s="1"/>
      <c r="Q302" s="1"/>
      <c r="R302" s="1"/>
      <c r="S302" s="1"/>
      <c r="T302" s="1"/>
      <c r="U302" s="2"/>
      <c r="V302" s="1"/>
      <c r="W302" s="1"/>
      <c r="X302" s="1"/>
      <c r="Y302" s="1"/>
      <c r="Z302" s="1"/>
    </row>
    <row r="303" spans="1:26" ht="24.75" customHeight="1">
      <c r="A303" s="1"/>
      <c r="B303" s="1"/>
      <c r="C303" s="1"/>
      <c r="D303" s="1"/>
      <c r="E303" s="1"/>
      <c r="F303" s="1"/>
      <c r="G303" s="1"/>
      <c r="H303" s="1"/>
      <c r="I303" s="1"/>
      <c r="J303" s="1"/>
      <c r="K303" s="1"/>
      <c r="L303" s="1"/>
      <c r="M303" s="1"/>
      <c r="N303" s="1"/>
      <c r="O303" s="1"/>
      <c r="P303" s="1"/>
      <c r="Q303" s="1"/>
      <c r="R303" s="1"/>
      <c r="S303" s="1"/>
      <c r="T303" s="1"/>
      <c r="U303" s="2"/>
      <c r="V303" s="1"/>
      <c r="W303" s="1"/>
      <c r="X303" s="1"/>
      <c r="Y303" s="1"/>
      <c r="Z303" s="1"/>
    </row>
    <row r="304" spans="1:26" ht="24.75" customHeight="1">
      <c r="A304" s="1"/>
      <c r="B304" s="1"/>
      <c r="C304" s="1"/>
      <c r="D304" s="1"/>
      <c r="E304" s="1"/>
      <c r="F304" s="1"/>
      <c r="G304" s="1"/>
      <c r="H304" s="1"/>
      <c r="I304" s="1"/>
      <c r="J304" s="1"/>
      <c r="K304" s="1"/>
      <c r="L304" s="1"/>
      <c r="M304" s="1"/>
      <c r="N304" s="1"/>
      <c r="O304" s="1"/>
      <c r="P304" s="1"/>
      <c r="Q304" s="1"/>
      <c r="R304" s="1"/>
      <c r="S304" s="1"/>
      <c r="T304" s="1"/>
      <c r="U304" s="2"/>
      <c r="V304" s="1"/>
      <c r="W304" s="1"/>
      <c r="X304" s="1"/>
      <c r="Y304" s="1"/>
      <c r="Z304" s="1"/>
    </row>
    <row r="305" spans="1:26" ht="24.75" customHeight="1">
      <c r="A305" s="1"/>
      <c r="B305" s="1"/>
      <c r="C305" s="1"/>
      <c r="D305" s="1"/>
      <c r="E305" s="1"/>
      <c r="F305" s="1"/>
      <c r="G305" s="1"/>
      <c r="H305" s="1"/>
      <c r="I305" s="1"/>
      <c r="J305" s="1"/>
      <c r="K305" s="1"/>
      <c r="L305" s="1"/>
      <c r="M305" s="1"/>
      <c r="N305" s="1"/>
      <c r="O305" s="1"/>
      <c r="P305" s="1"/>
      <c r="Q305" s="1"/>
      <c r="R305" s="1"/>
      <c r="S305" s="1"/>
      <c r="T305" s="1"/>
      <c r="U305" s="2"/>
      <c r="V305" s="1"/>
      <c r="W305" s="1"/>
      <c r="X305" s="1"/>
      <c r="Y305" s="1"/>
      <c r="Z305" s="1"/>
    </row>
    <row r="306" spans="1:26" ht="24.75" customHeight="1">
      <c r="A306" s="1"/>
      <c r="B306" s="1"/>
      <c r="C306" s="1"/>
      <c r="D306" s="1"/>
      <c r="E306" s="1"/>
      <c r="F306" s="1"/>
      <c r="G306" s="1"/>
      <c r="H306" s="1"/>
      <c r="I306" s="1"/>
      <c r="J306" s="1"/>
      <c r="K306" s="1"/>
      <c r="L306" s="1"/>
      <c r="M306" s="1"/>
      <c r="N306" s="1"/>
      <c r="O306" s="1"/>
      <c r="P306" s="1"/>
      <c r="Q306" s="1"/>
      <c r="R306" s="1"/>
      <c r="S306" s="1"/>
      <c r="T306" s="1"/>
      <c r="U306" s="2"/>
      <c r="V306" s="1"/>
      <c r="W306" s="1"/>
      <c r="X306" s="1"/>
      <c r="Y306" s="1"/>
      <c r="Z306" s="1"/>
    </row>
    <row r="307" spans="1:26" ht="24.75" customHeight="1">
      <c r="A307" s="1"/>
      <c r="B307" s="1"/>
      <c r="C307" s="1"/>
      <c r="D307" s="1"/>
      <c r="E307" s="1"/>
      <c r="F307" s="1"/>
      <c r="G307" s="1"/>
      <c r="H307" s="1"/>
      <c r="I307" s="1"/>
      <c r="J307" s="1"/>
      <c r="K307" s="1"/>
      <c r="L307" s="1"/>
      <c r="M307" s="1"/>
      <c r="N307" s="1"/>
      <c r="O307" s="1"/>
      <c r="P307" s="1"/>
      <c r="Q307" s="1"/>
      <c r="R307" s="1"/>
      <c r="S307" s="1"/>
      <c r="T307" s="1"/>
      <c r="U307" s="2"/>
      <c r="V307" s="1"/>
      <c r="W307" s="1"/>
      <c r="X307" s="1"/>
      <c r="Y307" s="1"/>
      <c r="Z307" s="1"/>
    </row>
    <row r="308" spans="1:26" ht="24.75" customHeight="1">
      <c r="A308" s="1"/>
      <c r="B308" s="1"/>
      <c r="C308" s="1"/>
      <c r="D308" s="1"/>
      <c r="E308" s="1"/>
      <c r="F308" s="1"/>
      <c r="G308" s="1"/>
      <c r="H308" s="1"/>
      <c r="I308" s="1"/>
      <c r="J308" s="1"/>
      <c r="K308" s="1"/>
      <c r="L308" s="1"/>
      <c r="M308" s="1"/>
      <c r="N308" s="1"/>
      <c r="O308" s="1"/>
      <c r="P308" s="1"/>
      <c r="Q308" s="1"/>
      <c r="R308" s="1"/>
      <c r="S308" s="1"/>
      <c r="T308" s="1"/>
      <c r="U308" s="2"/>
      <c r="V308" s="1"/>
      <c r="W308" s="1"/>
      <c r="X308" s="1"/>
      <c r="Y308" s="1"/>
      <c r="Z308" s="1"/>
    </row>
    <row r="309" spans="1:26" ht="24.75" customHeight="1">
      <c r="A309" s="1"/>
      <c r="B309" s="1"/>
      <c r="C309" s="1"/>
      <c r="D309" s="1"/>
      <c r="E309" s="1"/>
      <c r="F309" s="1"/>
      <c r="G309" s="1"/>
      <c r="H309" s="1"/>
      <c r="I309" s="1"/>
      <c r="J309" s="1"/>
      <c r="K309" s="1"/>
      <c r="L309" s="1"/>
      <c r="M309" s="1"/>
      <c r="N309" s="1"/>
      <c r="O309" s="1"/>
      <c r="P309" s="1"/>
      <c r="Q309" s="1"/>
      <c r="R309" s="1"/>
      <c r="S309" s="1"/>
      <c r="T309" s="1"/>
      <c r="U309" s="2"/>
      <c r="V309" s="1"/>
      <c r="W309" s="1"/>
      <c r="X309" s="1"/>
      <c r="Y309" s="1"/>
      <c r="Z309" s="1"/>
    </row>
    <row r="310" spans="1:26" ht="24.75" customHeight="1">
      <c r="A310" s="1"/>
      <c r="B310" s="1"/>
      <c r="C310" s="1"/>
      <c r="D310" s="1"/>
      <c r="E310" s="1"/>
      <c r="F310" s="1"/>
      <c r="G310" s="1"/>
      <c r="H310" s="1"/>
      <c r="I310" s="1"/>
      <c r="J310" s="1"/>
      <c r="K310" s="1"/>
      <c r="L310" s="1"/>
      <c r="M310" s="1"/>
      <c r="N310" s="1"/>
      <c r="O310" s="1"/>
      <c r="P310" s="1"/>
      <c r="Q310" s="1"/>
      <c r="R310" s="1"/>
      <c r="S310" s="1"/>
      <c r="T310" s="1"/>
      <c r="U310" s="2"/>
      <c r="V310" s="1"/>
      <c r="W310" s="1"/>
      <c r="X310" s="1"/>
      <c r="Y310" s="1"/>
      <c r="Z310" s="1"/>
    </row>
    <row r="311" spans="1:26" ht="24.75" customHeight="1">
      <c r="A311" s="1"/>
      <c r="B311" s="1"/>
      <c r="C311" s="1"/>
      <c r="D311" s="1"/>
      <c r="E311" s="1"/>
      <c r="F311" s="1"/>
      <c r="G311" s="1"/>
      <c r="H311" s="1"/>
      <c r="I311" s="1"/>
      <c r="J311" s="1"/>
      <c r="K311" s="1"/>
      <c r="L311" s="1"/>
      <c r="M311" s="1"/>
      <c r="N311" s="1"/>
      <c r="O311" s="1"/>
      <c r="P311" s="1"/>
      <c r="Q311" s="1"/>
      <c r="R311" s="1"/>
      <c r="S311" s="1"/>
      <c r="T311" s="1"/>
      <c r="U311" s="2"/>
      <c r="V311" s="1"/>
      <c r="W311" s="1"/>
      <c r="X311" s="1"/>
      <c r="Y311" s="1"/>
      <c r="Z311" s="1"/>
    </row>
    <row r="312" spans="1:26" ht="24.75" customHeight="1">
      <c r="A312" s="1"/>
      <c r="B312" s="1"/>
      <c r="C312" s="1"/>
      <c r="D312" s="1"/>
      <c r="E312" s="1"/>
      <c r="F312" s="1"/>
      <c r="G312" s="1"/>
      <c r="H312" s="1"/>
      <c r="I312" s="1"/>
      <c r="J312" s="1"/>
      <c r="K312" s="1"/>
      <c r="L312" s="1"/>
      <c r="M312" s="1"/>
      <c r="N312" s="1"/>
      <c r="O312" s="1"/>
      <c r="P312" s="1"/>
      <c r="Q312" s="1"/>
      <c r="R312" s="1"/>
      <c r="S312" s="1"/>
      <c r="T312" s="1"/>
      <c r="U312" s="2"/>
      <c r="V312" s="1"/>
      <c r="W312" s="1"/>
      <c r="X312" s="1"/>
      <c r="Y312" s="1"/>
      <c r="Z312" s="1"/>
    </row>
    <row r="313" spans="1:26" ht="24.75" customHeight="1">
      <c r="A313" s="1"/>
      <c r="B313" s="1"/>
      <c r="C313" s="1"/>
      <c r="D313" s="1"/>
      <c r="E313" s="1"/>
      <c r="F313" s="1"/>
      <c r="G313" s="1"/>
      <c r="H313" s="1"/>
      <c r="I313" s="1"/>
      <c r="J313" s="1"/>
      <c r="K313" s="1"/>
      <c r="L313" s="1"/>
      <c r="M313" s="1"/>
      <c r="N313" s="1"/>
      <c r="O313" s="1"/>
      <c r="P313" s="1"/>
      <c r="Q313" s="1"/>
      <c r="R313" s="1"/>
      <c r="S313" s="1"/>
      <c r="T313" s="1"/>
      <c r="U313" s="2"/>
      <c r="V313" s="1"/>
      <c r="W313" s="1"/>
      <c r="X313" s="1"/>
      <c r="Y313" s="1"/>
      <c r="Z313" s="1"/>
    </row>
    <row r="314" spans="1:26" ht="24.75" customHeight="1">
      <c r="A314" s="1"/>
      <c r="B314" s="1"/>
      <c r="C314" s="1"/>
      <c r="D314" s="1"/>
      <c r="E314" s="1"/>
      <c r="F314" s="1"/>
      <c r="G314" s="1"/>
      <c r="H314" s="1"/>
      <c r="I314" s="1"/>
      <c r="J314" s="1"/>
      <c r="K314" s="1"/>
      <c r="L314" s="1"/>
      <c r="M314" s="1"/>
      <c r="N314" s="1"/>
      <c r="O314" s="1"/>
      <c r="P314" s="1"/>
      <c r="Q314" s="1"/>
      <c r="R314" s="1"/>
      <c r="S314" s="1"/>
      <c r="T314" s="1"/>
      <c r="U314" s="2"/>
      <c r="V314" s="1"/>
      <c r="W314" s="1"/>
      <c r="X314" s="1"/>
      <c r="Y314" s="1"/>
      <c r="Z314" s="1"/>
    </row>
    <row r="315" spans="1:26" ht="24.75" customHeight="1">
      <c r="A315" s="1"/>
      <c r="B315" s="1"/>
      <c r="C315" s="1"/>
      <c r="D315" s="1"/>
      <c r="E315" s="1"/>
      <c r="F315" s="1"/>
      <c r="G315" s="1"/>
      <c r="H315" s="1"/>
      <c r="I315" s="1"/>
      <c r="J315" s="1"/>
      <c r="K315" s="1"/>
      <c r="L315" s="1"/>
      <c r="M315" s="1"/>
      <c r="N315" s="1"/>
      <c r="O315" s="1"/>
      <c r="P315" s="1"/>
      <c r="Q315" s="1"/>
      <c r="R315" s="1"/>
      <c r="S315" s="1"/>
      <c r="T315" s="1"/>
      <c r="U315" s="2"/>
      <c r="V315" s="1"/>
      <c r="W315" s="1"/>
      <c r="X315" s="1"/>
      <c r="Y315" s="1"/>
      <c r="Z315" s="1"/>
    </row>
    <row r="316" spans="1:26" ht="24.75" customHeight="1">
      <c r="A316" s="1"/>
      <c r="B316" s="1"/>
      <c r="C316" s="1"/>
      <c r="D316" s="1"/>
      <c r="E316" s="1"/>
      <c r="F316" s="1"/>
      <c r="G316" s="1"/>
      <c r="H316" s="1"/>
      <c r="I316" s="1"/>
      <c r="J316" s="1"/>
      <c r="K316" s="1"/>
      <c r="L316" s="1"/>
      <c r="M316" s="1"/>
      <c r="N316" s="1"/>
      <c r="O316" s="1"/>
      <c r="P316" s="1"/>
      <c r="Q316" s="1"/>
      <c r="R316" s="1"/>
      <c r="S316" s="1"/>
      <c r="T316" s="1"/>
      <c r="U316" s="2"/>
      <c r="V316" s="1"/>
      <c r="W316" s="1"/>
      <c r="X316" s="1"/>
      <c r="Y316" s="1"/>
      <c r="Z316" s="1"/>
    </row>
    <row r="317" spans="1:26" ht="24.75" customHeight="1">
      <c r="A317" s="1"/>
      <c r="B317" s="1"/>
      <c r="C317" s="1"/>
      <c r="D317" s="1"/>
      <c r="E317" s="1"/>
      <c r="F317" s="1"/>
      <c r="G317" s="1"/>
      <c r="H317" s="1"/>
      <c r="I317" s="1"/>
      <c r="J317" s="1"/>
      <c r="K317" s="1"/>
      <c r="L317" s="1"/>
      <c r="M317" s="1"/>
      <c r="N317" s="1"/>
      <c r="O317" s="1"/>
      <c r="P317" s="1"/>
      <c r="Q317" s="1"/>
      <c r="R317" s="1"/>
      <c r="S317" s="1"/>
      <c r="T317" s="1"/>
      <c r="U317" s="2"/>
      <c r="V317" s="1"/>
      <c r="W317" s="1"/>
      <c r="X317" s="1"/>
      <c r="Y317" s="1"/>
      <c r="Z317" s="1"/>
    </row>
    <row r="318" spans="1:26" ht="24.75" customHeight="1">
      <c r="A318" s="1"/>
      <c r="B318" s="1"/>
      <c r="C318" s="1"/>
      <c r="D318" s="1"/>
      <c r="E318" s="1"/>
      <c r="F318" s="1"/>
      <c r="G318" s="1"/>
      <c r="H318" s="1"/>
      <c r="I318" s="1"/>
      <c r="J318" s="1"/>
      <c r="K318" s="1"/>
      <c r="L318" s="1"/>
      <c r="M318" s="1"/>
      <c r="N318" s="1"/>
      <c r="O318" s="1"/>
      <c r="P318" s="1"/>
      <c r="Q318" s="1"/>
      <c r="R318" s="1"/>
      <c r="S318" s="1"/>
      <c r="T318" s="1"/>
      <c r="U318" s="2"/>
      <c r="V318" s="1"/>
      <c r="W318" s="1"/>
      <c r="X318" s="1"/>
      <c r="Y318" s="1"/>
      <c r="Z318" s="1"/>
    </row>
    <row r="319" spans="1:26" ht="24.75" customHeight="1">
      <c r="A319" s="1"/>
      <c r="B319" s="1"/>
      <c r="C319" s="1"/>
      <c r="D319" s="1"/>
      <c r="E319" s="1"/>
      <c r="F319" s="1"/>
      <c r="G319" s="1"/>
      <c r="H319" s="1"/>
      <c r="I319" s="1"/>
      <c r="J319" s="1"/>
      <c r="K319" s="1"/>
      <c r="L319" s="1"/>
      <c r="M319" s="1"/>
      <c r="N319" s="1"/>
      <c r="O319" s="1"/>
      <c r="P319" s="1"/>
      <c r="Q319" s="1"/>
      <c r="R319" s="1"/>
      <c r="S319" s="1"/>
      <c r="T319" s="1"/>
      <c r="U319" s="2"/>
      <c r="V319" s="1"/>
      <c r="W319" s="1"/>
      <c r="X319" s="1"/>
      <c r="Y319" s="1"/>
      <c r="Z319" s="1"/>
    </row>
    <row r="320" spans="1:26" ht="24.75" customHeight="1">
      <c r="A320" s="1"/>
      <c r="B320" s="1"/>
      <c r="C320" s="1"/>
      <c r="D320" s="1"/>
      <c r="E320" s="1"/>
      <c r="F320" s="1"/>
      <c r="G320" s="1"/>
      <c r="H320" s="1"/>
      <c r="I320" s="1"/>
      <c r="J320" s="1"/>
      <c r="K320" s="1"/>
      <c r="L320" s="1"/>
      <c r="M320" s="1"/>
      <c r="N320" s="1"/>
      <c r="O320" s="1"/>
      <c r="P320" s="1"/>
      <c r="Q320" s="1"/>
      <c r="R320" s="1"/>
      <c r="S320" s="1"/>
      <c r="T320" s="1"/>
      <c r="U320" s="2"/>
      <c r="V320" s="1"/>
      <c r="W320" s="1"/>
      <c r="X320" s="1"/>
      <c r="Y320" s="1"/>
      <c r="Z320" s="1"/>
    </row>
    <row r="321" spans="1:26" ht="24.75" customHeight="1">
      <c r="A321" s="1"/>
      <c r="B321" s="1"/>
      <c r="C321" s="1"/>
      <c r="D321" s="1"/>
      <c r="E321" s="1"/>
      <c r="F321" s="1"/>
      <c r="G321" s="1"/>
      <c r="H321" s="1"/>
      <c r="I321" s="1"/>
      <c r="J321" s="1"/>
      <c r="K321" s="1"/>
      <c r="L321" s="1"/>
      <c r="M321" s="1"/>
      <c r="N321" s="1"/>
      <c r="O321" s="1"/>
      <c r="P321" s="1"/>
      <c r="Q321" s="1"/>
      <c r="R321" s="1"/>
      <c r="S321" s="1"/>
      <c r="T321" s="1"/>
      <c r="U321" s="2"/>
      <c r="V321" s="1"/>
      <c r="W321" s="1"/>
      <c r="X321" s="1"/>
      <c r="Y321" s="1"/>
      <c r="Z321" s="1"/>
    </row>
    <row r="322" spans="1:26" ht="24.75" customHeight="1">
      <c r="A322" s="1"/>
      <c r="B322" s="1"/>
      <c r="C322" s="1"/>
      <c r="D322" s="1"/>
      <c r="E322" s="1"/>
      <c r="F322" s="1"/>
      <c r="G322" s="1"/>
      <c r="H322" s="1"/>
      <c r="I322" s="1"/>
      <c r="J322" s="1"/>
      <c r="K322" s="1"/>
      <c r="L322" s="1"/>
      <c r="M322" s="1"/>
      <c r="N322" s="1"/>
      <c r="O322" s="1"/>
      <c r="P322" s="1"/>
      <c r="Q322" s="1"/>
      <c r="R322" s="1"/>
      <c r="S322" s="1"/>
      <c r="T322" s="1"/>
      <c r="U322" s="2"/>
      <c r="V322" s="1"/>
      <c r="W322" s="1"/>
      <c r="X322" s="1"/>
      <c r="Y322" s="1"/>
      <c r="Z322" s="1"/>
    </row>
    <row r="323" spans="1:26" ht="24.75" customHeight="1">
      <c r="A323" s="1"/>
      <c r="B323" s="1"/>
      <c r="C323" s="1"/>
      <c r="D323" s="1"/>
      <c r="E323" s="1"/>
      <c r="F323" s="1"/>
      <c r="G323" s="1"/>
      <c r="H323" s="1"/>
      <c r="I323" s="1"/>
      <c r="J323" s="1"/>
      <c r="K323" s="1"/>
      <c r="L323" s="1"/>
      <c r="M323" s="1"/>
      <c r="N323" s="1"/>
      <c r="O323" s="1"/>
      <c r="P323" s="1"/>
      <c r="Q323" s="1"/>
      <c r="R323" s="1"/>
      <c r="S323" s="1"/>
      <c r="T323" s="1"/>
      <c r="U323" s="2"/>
      <c r="V323" s="1"/>
      <c r="W323" s="1"/>
      <c r="X323" s="1"/>
      <c r="Y323" s="1"/>
      <c r="Z323" s="1"/>
    </row>
    <row r="324" spans="1:26" ht="24.75" customHeight="1">
      <c r="A324" s="1"/>
      <c r="B324" s="1"/>
      <c r="C324" s="1"/>
      <c r="D324" s="1"/>
      <c r="E324" s="1"/>
      <c r="F324" s="1"/>
      <c r="G324" s="1"/>
      <c r="H324" s="1"/>
      <c r="I324" s="1"/>
      <c r="J324" s="1"/>
      <c r="K324" s="1"/>
      <c r="L324" s="1"/>
      <c r="M324" s="1"/>
      <c r="N324" s="1"/>
      <c r="O324" s="1"/>
      <c r="P324" s="1"/>
      <c r="Q324" s="1"/>
      <c r="R324" s="1"/>
      <c r="S324" s="1"/>
      <c r="T324" s="1"/>
      <c r="U324" s="2"/>
      <c r="V324" s="1"/>
      <c r="W324" s="1"/>
      <c r="X324" s="1"/>
      <c r="Y324" s="1"/>
      <c r="Z324" s="1"/>
    </row>
    <row r="325" spans="1:26" ht="24.75" customHeight="1">
      <c r="A325" s="1"/>
      <c r="B325" s="1"/>
      <c r="C325" s="1"/>
      <c r="D325" s="1"/>
      <c r="E325" s="1"/>
      <c r="F325" s="1"/>
      <c r="G325" s="1"/>
      <c r="H325" s="1"/>
      <c r="I325" s="1"/>
      <c r="J325" s="1"/>
      <c r="K325" s="1"/>
      <c r="L325" s="1"/>
      <c r="M325" s="1"/>
      <c r="N325" s="1"/>
      <c r="O325" s="1"/>
      <c r="P325" s="1"/>
      <c r="Q325" s="1"/>
      <c r="R325" s="1"/>
      <c r="S325" s="1"/>
      <c r="T325" s="1"/>
      <c r="U325" s="2"/>
      <c r="V325" s="1"/>
      <c r="W325" s="1"/>
      <c r="X325" s="1"/>
      <c r="Y325" s="1"/>
      <c r="Z325" s="1"/>
    </row>
    <row r="326" spans="1:26" ht="24.75" customHeight="1">
      <c r="A326" s="1"/>
      <c r="B326" s="1"/>
      <c r="C326" s="1"/>
      <c r="D326" s="1"/>
      <c r="E326" s="1"/>
      <c r="F326" s="1"/>
      <c r="G326" s="1"/>
      <c r="H326" s="1"/>
      <c r="I326" s="1"/>
      <c r="J326" s="1"/>
      <c r="K326" s="1"/>
      <c r="L326" s="1"/>
      <c r="M326" s="1"/>
      <c r="N326" s="1"/>
      <c r="O326" s="1"/>
      <c r="P326" s="1"/>
      <c r="Q326" s="1"/>
      <c r="R326" s="1"/>
      <c r="S326" s="1"/>
      <c r="T326" s="1"/>
      <c r="U326" s="2"/>
      <c r="V326" s="1"/>
      <c r="W326" s="1"/>
      <c r="X326" s="1"/>
      <c r="Y326" s="1"/>
      <c r="Z326" s="1"/>
    </row>
    <row r="327" spans="1:26" ht="24.75" customHeight="1">
      <c r="A327" s="1"/>
      <c r="B327" s="1"/>
      <c r="C327" s="1"/>
      <c r="D327" s="1"/>
      <c r="E327" s="1"/>
      <c r="F327" s="1"/>
      <c r="G327" s="1"/>
      <c r="H327" s="1"/>
      <c r="I327" s="1"/>
      <c r="J327" s="1"/>
      <c r="K327" s="1"/>
      <c r="L327" s="1"/>
      <c r="M327" s="1"/>
      <c r="N327" s="1"/>
      <c r="O327" s="1"/>
      <c r="P327" s="1"/>
      <c r="Q327" s="1"/>
      <c r="R327" s="1"/>
      <c r="S327" s="1"/>
      <c r="T327" s="1"/>
      <c r="U327" s="2"/>
      <c r="V327" s="1"/>
      <c r="W327" s="1"/>
      <c r="X327" s="1"/>
      <c r="Y327" s="1"/>
      <c r="Z327" s="1"/>
    </row>
    <row r="328" spans="1:26" ht="24.75" customHeight="1">
      <c r="A328" s="1"/>
      <c r="B328" s="1"/>
      <c r="C328" s="1"/>
      <c r="D328" s="1"/>
      <c r="E328" s="1"/>
      <c r="F328" s="1"/>
      <c r="G328" s="1"/>
      <c r="H328" s="1"/>
      <c r="I328" s="1"/>
      <c r="J328" s="1"/>
      <c r="K328" s="1"/>
      <c r="L328" s="1"/>
      <c r="M328" s="1"/>
      <c r="N328" s="1"/>
      <c r="O328" s="1"/>
      <c r="P328" s="1"/>
      <c r="Q328" s="1"/>
      <c r="R328" s="1"/>
      <c r="S328" s="1"/>
      <c r="T328" s="1"/>
      <c r="U328" s="2"/>
      <c r="V328" s="1"/>
      <c r="W328" s="1"/>
      <c r="X328" s="1"/>
      <c r="Y328" s="1"/>
      <c r="Z328" s="1"/>
    </row>
    <row r="329" spans="1:26" ht="24.75" customHeight="1">
      <c r="A329" s="1"/>
      <c r="B329" s="1"/>
      <c r="C329" s="1"/>
      <c r="D329" s="1"/>
      <c r="E329" s="1"/>
      <c r="F329" s="1"/>
      <c r="G329" s="1"/>
      <c r="H329" s="1"/>
      <c r="I329" s="1"/>
      <c r="J329" s="1"/>
      <c r="K329" s="1"/>
      <c r="L329" s="1"/>
      <c r="M329" s="1"/>
      <c r="N329" s="1"/>
      <c r="O329" s="1"/>
      <c r="P329" s="1"/>
      <c r="Q329" s="1"/>
      <c r="R329" s="1"/>
      <c r="S329" s="1"/>
      <c r="T329" s="1"/>
      <c r="U329" s="2"/>
      <c r="V329" s="1"/>
      <c r="W329" s="1"/>
      <c r="X329" s="1"/>
      <c r="Y329" s="1"/>
      <c r="Z329" s="1"/>
    </row>
    <row r="330" spans="1:26" ht="24.75" customHeight="1">
      <c r="A330" s="1"/>
      <c r="B330" s="1"/>
      <c r="C330" s="1"/>
      <c r="D330" s="1"/>
      <c r="E330" s="1"/>
      <c r="F330" s="1"/>
      <c r="G330" s="1"/>
      <c r="H330" s="1"/>
      <c r="I330" s="1"/>
      <c r="J330" s="1"/>
      <c r="K330" s="1"/>
      <c r="L330" s="1"/>
      <c r="M330" s="1"/>
      <c r="N330" s="1"/>
      <c r="O330" s="1"/>
      <c r="P330" s="1"/>
      <c r="Q330" s="1"/>
      <c r="R330" s="1"/>
      <c r="S330" s="1"/>
      <c r="T330" s="1"/>
      <c r="U330" s="2"/>
      <c r="V330" s="1"/>
      <c r="W330" s="1"/>
      <c r="X330" s="1"/>
      <c r="Y330" s="1"/>
      <c r="Z330" s="1"/>
    </row>
    <row r="331" spans="1:26" ht="24.75" customHeight="1">
      <c r="A331" s="1"/>
      <c r="B331" s="1"/>
      <c r="C331" s="1"/>
      <c r="D331" s="1"/>
      <c r="E331" s="1"/>
      <c r="F331" s="1"/>
      <c r="G331" s="1"/>
      <c r="H331" s="1"/>
      <c r="I331" s="1"/>
      <c r="J331" s="1"/>
      <c r="K331" s="1"/>
      <c r="L331" s="1"/>
      <c r="M331" s="1"/>
      <c r="N331" s="1"/>
      <c r="O331" s="1"/>
      <c r="P331" s="1"/>
      <c r="Q331" s="1"/>
      <c r="R331" s="1"/>
      <c r="S331" s="1"/>
      <c r="T331" s="1"/>
      <c r="U331" s="2"/>
      <c r="V331" s="1"/>
      <c r="W331" s="1"/>
      <c r="X331" s="1"/>
      <c r="Y331" s="1"/>
      <c r="Z331" s="1"/>
    </row>
    <row r="332" spans="1:26" ht="24.75" customHeight="1">
      <c r="A332" s="1"/>
      <c r="B332" s="1"/>
      <c r="C332" s="1"/>
      <c r="D332" s="1"/>
      <c r="E332" s="1"/>
      <c r="F332" s="1"/>
      <c r="G332" s="1"/>
      <c r="H332" s="1"/>
      <c r="I332" s="1"/>
      <c r="J332" s="1"/>
      <c r="K332" s="1"/>
      <c r="L332" s="1"/>
      <c r="M332" s="1"/>
      <c r="N332" s="1"/>
      <c r="O332" s="1"/>
      <c r="P332" s="1"/>
      <c r="Q332" s="1"/>
      <c r="R332" s="1"/>
      <c r="S332" s="1"/>
      <c r="T332" s="1"/>
      <c r="U332" s="2"/>
      <c r="V332" s="1"/>
      <c r="W332" s="1"/>
      <c r="X332" s="1"/>
      <c r="Y332" s="1"/>
      <c r="Z332" s="1"/>
    </row>
    <row r="333" spans="1:26" ht="24.75" customHeight="1">
      <c r="A333" s="1"/>
      <c r="B333" s="1"/>
      <c r="C333" s="1"/>
      <c r="D333" s="1"/>
      <c r="E333" s="1"/>
      <c r="F333" s="1"/>
      <c r="G333" s="1"/>
      <c r="H333" s="1"/>
      <c r="I333" s="1"/>
      <c r="J333" s="1"/>
      <c r="K333" s="1"/>
      <c r="L333" s="1"/>
      <c r="M333" s="1"/>
      <c r="N333" s="1"/>
      <c r="O333" s="1"/>
      <c r="P333" s="1"/>
      <c r="Q333" s="1"/>
      <c r="R333" s="1"/>
      <c r="S333" s="1"/>
      <c r="T333" s="1"/>
      <c r="U333" s="2"/>
      <c r="V333" s="1"/>
      <c r="W333" s="1"/>
      <c r="X333" s="1"/>
      <c r="Y333" s="1"/>
      <c r="Z333" s="1"/>
    </row>
    <row r="334" spans="1:26" ht="24.75" customHeight="1">
      <c r="A334" s="1"/>
      <c r="B334" s="1"/>
      <c r="C334" s="1"/>
      <c r="D334" s="1"/>
      <c r="E334" s="1"/>
      <c r="F334" s="1"/>
      <c r="G334" s="1"/>
      <c r="H334" s="1"/>
      <c r="I334" s="1"/>
      <c r="J334" s="1"/>
      <c r="K334" s="1"/>
      <c r="L334" s="1"/>
      <c r="M334" s="1"/>
      <c r="N334" s="1"/>
      <c r="O334" s="1"/>
      <c r="P334" s="1"/>
      <c r="Q334" s="1"/>
      <c r="R334" s="1"/>
      <c r="S334" s="1"/>
      <c r="T334" s="1"/>
      <c r="U334" s="2"/>
      <c r="V334" s="1"/>
      <c r="W334" s="1"/>
      <c r="X334" s="1"/>
      <c r="Y334" s="1"/>
      <c r="Z334" s="1"/>
    </row>
    <row r="335" spans="1:26" ht="24.75" customHeight="1">
      <c r="A335" s="1"/>
      <c r="B335" s="1"/>
      <c r="C335" s="1"/>
      <c r="D335" s="1"/>
      <c r="E335" s="1"/>
      <c r="F335" s="1"/>
      <c r="G335" s="1"/>
      <c r="H335" s="1"/>
      <c r="I335" s="1"/>
      <c r="J335" s="1"/>
      <c r="K335" s="1"/>
      <c r="L335" s="1"/>
      <c r="M335" s="1"/>
      <c r="N335" s="1"/>
      <c r="O335" s="1"/>
      <c r="P335" s="1"/>
      <c r="Q335" s="1"/>
      <c r="R335" s="1"/>
      <c r="S335" s="1"/>
      <c r="T335" s="1"/>
      <c r="U335" s="2"/>
      <c r="V335" s="1"/>
      <c r="W335" s="1"/>
      <c r="X335" s="1"/>
      <c r="Y335" s="1"/>
      <c r="Z335" s="1"/>
    </row>
    <row r="336" spans="1:26" ht="24.75" customHeight="1">
      <c r="A336" s="1"/>
      <c r="B336" s="1"/>
      <c r="C336" s="1"/>
      <c r="D336" s="1"/>
      <c r="E336" s="1"/>
      <c r="F336" s="1"/>
      <c r="G336" s="1"/>
      <c r="H336" s="1"/>
      <c r="I336" s="1"/>
      <c r="J336" s="1"/>
      <c r="K336" s="1"/>
      <c r="L336" s="1"/>
      <c r="M336" s="1"/>
      <c r="N336" s="1"/>
      <c r="O336" s="1"/>
      <c r="P336" s="1"/>
      <c r="Q336" s="1"/>
      <c r="R336" s="1"/>
      <c r="S336" s="1"/>
      <c r="T336" s="1"/>
      <c r="U336" s="2"/>
      <c r="V336" s="1"/>
      <c r="W336" s="1"/>
      <c r="X336" s="1"/>
      <c r="Y336" s="1"/>
      <c r="Z336" s="1"/>
    </row>
    <row r="337" spans="1:26" ht="24.75" customHeight="1">
      <c r="A337" s="1"/>
      <c r="B337" s="1"/>
      <c r="C337" s="1"/>
      <c r="D337" s="1"/>
      <c r="E337" s="1"/>
      <c r="F337" s="1"/>
      <c r="G337" s="1"/>
      <c r="H337" s="1"/>
      <c r="I337" s="1"/>
      <c r="J337" s="1"/>
      <c r="K337" s="1"/>
      <c r="L337" s="1"/>
      <c r="M337" s="1"/>
      <c r="N337" s="1"/>
      <c r="O337" s="1"/>
      <c r="P337" s="1"/>
      <c r="Q337" s="1"/>
      <c r="R337" s="1"/>
      <c r="S337" s="1"/>
      <c r="T337" s="1"/>
      <c r="U337" s="2"/>
      <c r="V337" s="1"/>
      <c r="W337" s="1"/>
      <c r="X337" s="1"/>
      <c r="Y337" s="1"/>
      <c r="Z337" s="1"/>
    </row>
    <row r="338" spans="1:26" ht="24.75" customHeight="1">
      <c r="A338" s="1"/>
      <c r="B338" s="1"/>
      <c r="C338" s="1"/>
      <c r="D338" s="1"/>
      <c r="E338" s="1"/>
      <c r="F338" s="1"/>
      <c r="G338" s="1"/>
      <c r="H338" s="1"/>
      <c r="I338" s="1"/>
      <c r="J338" s="1"/>
      <c r="K338" s="1"/>
      <c r="L338" s="1"/>
      <c r="M338" s="1"/>
      <c r="N338" s="1"/>
      <c r="O338" s="1"/>
      <c r="P338" s="1"/>
      <c r="Q338" s="1"/>
      <c r="R338" s="1"/>
      <c r="S338" s="1"/>
      <c r="T338" s="1"/>
      <c r="U338" s="2"/>
      <c r="V338" s="1"/>
      <c r="W338" s="1"/>
      <c r="X338" s="1"/>
      <c r="Y338" s="1"/>
      <c r="Z338" s="1"/>
    </row>
    <row r="339" spans="1:26" ht="24.75" customHeight="1">
      <c r="A339" s="1"/>
      <c r="B339" s="1"/>
      <c r="C339" s="1"/>
      <c r="D339" s="1"/>
      <c r="E339" s="1"/>
      <c r="F339" s="1"/>
      <c r="G339" s="1"/>
      <c r="H339" s="1"/>
      <c r="I339" s="1"/>
      <c r="J339" s="1"/>
      <c r="K339" s="1"/>
      <c r="L339" s="1"/>
      <c r="M339" s="1"/>
      <c r="N339" s="1"/>
      <c r="O339" s="1"/>
      <c r="P339" s="1"/>
      <c r="Q339" s="1"/>
      <c r="R339" s="1"/>
      <c r="S339" s="1"/>
      <c r="T339" s="1"/>
      <c r="U339" s="2"/>
      <c r="V339" s="1"/>
      <c r="W339" s="1"/>
      <c r="X339" s="1"/>
      <c r="Y339" s="1"/>
      <c r="Z339" s="1"/>
    </row>
    <row r="340" spans="1:26" ht="24.75" customHeight="1">
      <c r="A340" s="1"/>
      <c r="B340" s="1"/>
      <c r="C340" s="1"/>
      <c r="D340" s="1"/>
      <c r="E340" s="1"/>
      <c r="F340" s="1"/>
      <c r="G340" s="1"/>
      <c r="H340" s="1"/>
      <c r="I340" s="1"/>
      <c r="J340" s="1"/>
      <c r="K340" s="1"/>
      <c r="L340" s="1"/>
      <c r="M340" s="1"/>
      <c r="N340" s="1"/>
      <c r="O340" s="1"/>
      <c r="P340" s="1"/>
      <c r="Q340" s="1"/>
      <c r="R340" s="1"/>
      <c r="S340" s="1"/>
      <c r="T340" s="1"/>
      <c r="U340" s="2"/>
      <c r="V340" s="1"/>
      <c r="W340" s="1"/>
      <c r="X340" s="1"/>
      <c r="Y340" s="1"/>
      <c r="Z340" s="1"/>
    </row>
    <row r="341" spans="1:26" ht="24.75" customHeight="1">
      <c r="A341" s="1"/>
      <c r="B341" s="1"/>
      <c r="C341" s="1"/>
      <c r="D341" s="1"/>
      <c r="E341" s="1"/>
      <c r="F341" s="1"/>
      <c r="G341" s="1"/>
      <c r="H341" s="1"/>
      <c r="I341" s="1"/>
      <c r="J341" s="1"/>
      <c r="K341" s="1"/>
      <c r="L341" s="1"/>
      <c r="M341" s="1"/>
      <c r="N341" s="1"/>
      <c r="O341" s="1"/>
      <c r="P341" s="1"/>
      <c r="Q341" s="1"/>
      <c r="R341" s="1"/>
      <c r="S341" s="1"/>
      <c r="T341" s="1"/>
      <c r="U341" s="2"/>
      <c r="V341" s="1"/>
      <c r="W341" s="1"/>
      <c r="X341" s="1"/>
      <c r="Y341" s="1"/>
      <c r="Z341" s="1"/>
    </row>
    <row r="342" spans="1:26" ht="24.75" customHeight="1">
      <c r="A342" s="1"/>
      <c r="B342" s="1"/>
      <c r="C342" s="1"/>
      <c r="D342" s="1"/>
      <c r="E342" s="1"/>
      <c r="F342" s="1"/>
      <c r="G342" s="1"/>
      <c r="H342" s="1"/>
      <c r="I342" s="1"/>
      <c r="J342" s="1"/>
      <c r="K342" s="1"/>
      <c r="L342" s="1"/>
      <c r="M342" s="1"/>
      <c r="N342" s="1"/>
      <c r="O342" s="1"/>
      <c r="P342" s="1"/>
      <c r="Q342" s="1"/>
      <c r="R342" s="1"/>
      <c r="S342" s="1"/>
      <c r="T342" s="1"/>
      <c r="U342" s="2"/>
      <c r="V342" s="1"/>
      <c r="W342" s="1"/>
      <c r="X342" s="1"/>
      <c r="Y342" s="1"/>
      <c r="Z342" s="1"/>
    </row>
    <row r="343" spans="1:26" ht="24.75" customHeight="1">
      <c r="A343" s="1"/>
      <c r="B343" s="1"/>
      <c r="C343" s="1"/>
      <c r="D343" s="1"/>
      <c r="E343" s="1"/>
      <c r="F343" s="1"/>
      <c r="G343" s="1"/>
      <c r="H343" s="1"/>
      <c r="I343" s="1"/>
      <c r="J343" s="1"/>
      <c r="K343" s="1"/>
      <c r="L343" s="1"/>
      <c r="M343" s="1"/>
      <c r="N343" s="1"/>
      <c r="O343" s="1"/>
      <c r="P343" s="1"/>
      <c r="Q343" s="1"/>
      <c r="R343" s="1"/>
      <c r="S343" s="1"/>
      <c r="T343" s="1"/>
      <c r="U343" s="2"/>
      <c r="V343" s="1"/>
      <c r="W343" s="1"/>
      <c r="X343" s="1"/>
      <c r="Y343" s="1"/>
      <c r="Z343" s="1"/>
    </row>
    <row r="344" spans="1:26" ht="24.75" customHeight="1">
      <c r="A344" s="1"/>
      <c r="B344" s="1"/>
      <c r="C344" s="1"/>
      <c r="D344" s="1"/>
      <c r="E344" s="1"/>
      <c r="F344" s="1"/>
      <c r="G344" s="1"/>
      <c r="H344" s="1"/>
      <c r="I344" s="1"/>
      <c r="J344" s="1"/>
      <c r="K344" s="1"/>
      <c r="L344" s="1"/>
      <c r="M344" s="1"/>
      <c r="N344" s="1"/>
      <c r="O344" s="1"/>
      <c r="P344" s="1"/>
      <c r="Q344" s="1"/>
      <c r="R344" s="1"/>
      <c r="S344" s="1"/>
      <c r="T344" s="1"/>
      <c r="U344" s="2"/>
      <c r="V344" s="1"/>
      <c r="W344" s="1"/>
      <c r="X344" s="1"/>
      <c r="Y344" s="1"/>
      <c r="Z344" s="1"/>
    </row>
    <row r="345" spans="1:26" ht="24.75" customHeight="1">
      <c r="A345" s="1"/>
      <c r="B345" s="1"/>
      <c r="C345" s="1"/>
      <c r="D345" s="1"/>
      <c r="E345" s="1"/>
      <c r="F345" s="1"/>
      <c r="G345" s="1"/>
      <c r="H345" s="1"/>
      <c r="I345" s="1"/>
      <c r="J345" s="1"/>
      <c r="K345" s="1"/>
      <c r="L345" s="1"/>
      <c r="M345" s="1"/>
      <c r="N345" s="1"/>
      <c r="O345" s="1"/>
      <c r="P345" s="1"/>
      <c r="Q345" s="1"/>
      <c r="R345" s="1"/>
      <c r="S345" s="1"/>
      <c r="T345" s="1"/>
      <c r="U345" s="2"/>
      <c r="V345" s="1"/>
      <c r="W345" s="1"/>
      <c r="X345" s="1"/>
      <c r="Y345" s="1"/>
      <c r="Z345" s="1"/>
    </row>
    <row r="346" spans="1:26" ht="24.75" customHeight="1">
      <c r="A346" s="1"/>
      <c r="B346" s="1"/>
      <c r="C346" s="1"/>
      <c r="D346" s="1"/>
      <c r="E346" s="1"/>
      <c r="F346" s="1"/>
      <c r="G346" s="1"/>
      <c r="H346" s="1"/>
      <c r="I346" s="1"/>
      <c r="J346" s="1"/>
      <c r="K346" s="1"/>
      <c r="L346" s="1"/>
      <c r="M346" s="1"/>
      <c r="N346" s="1"/>
      <c r="O346" s="1"/>
      <c r="P346" s="1"/>
      <c r="Q346" s="1"/>
      <c r="R346" s="1"/>
      <c r="S346" s="1"/>
      <c r="T346" s="1"/>
      <c r="U346" s="2"/>
      <c r="V346" s="1"/>
      <c r="W346" s="1"/>
      <c r="X346" s="1"/>
      <c r="Y346" s="1"/>
      <c r="Z346" s="1"/>
    </row>
    <row r="347" spans="1:26" ht="24.75" customHeight="1">
      <c r="A347" s="1"/>
      <c r="B347" s="1"/>
      <c r="C347" s="1"/>
      <c r="D347" s="1"/>
      <c r="E347" s="1"/>
      <c r="F347" s="1"/>
      <c r="G347" s="1"/>
      <c r="H347" s="1"/>
      <c r="I347" s="1"/>
      <c r="J347" s="1"/>
      <c r="K347" s="1"/>
      <c r="L347" s="1"/>
      <c r="M347" s="1"/>
      <c r="N347" s="1"/>
      <c r="O347" s="1"/>
      <c r="P347" s="1"/>
      <c r="Q347" s="1"/>
      <c r="R347" s="1"/>
      <c r="S347" s="1"/>
      <c r="T347" s="1"/>
      <c r="U347" s="2"/>
      <c r="V347" s="1"/>
      <c r="W347" s="1"/>
      <c r="X347" s="1"/>
      <c r="Y347" s="1"/>
      <c r="Z347" s="1"/>
    </row>
    <row r="348" spans="1:26" ht="24.75" customHeight="1">
      <c r="A348" s="1"/>
      <c r="B348" s="1"/>
      <c r="C348" s="1"/>
      <c r="D348" s="1"/>
      <c r="E348" s="1"/>
      <c r="F348" s="1"/>
      <c r="G348" s="1"/>
      <c r="H348" s="1"/>
      <c r="I348" s="1"/>
      <c r="J348" s="1"/>
      <c r="K348" s="1"/>
      <c r="L348" s="1"/>
      <c r="M348" s="1"/>
      <c r="N348" s="1"/>
      <c r="O348" s="1"/>
      <c r="P348" s="1"/>
      <c r="Q348" s="1"/>
      <c r="R348" s="1"/>
      <c r="S348" s="1"/>
      <c r="T348" s="1"/>
      <c r="U348" s="2"/>
      <c r="V348" s="1"/>
      <c r="W348" s="1"/>
      <c r="X348" s="1"/>
      <c r="Y348" s="1"/>
      <c r="Z348" s="1"/>
    </row>
    <row r="349" spans="1:26" ht="24.75" customHeight="1">
      <c r="A349" s="1"/>
      <c r="B349" s="1"/>
      <c r="C349" s="1"/>
      <c r="D349" s="1"/>
      <c r="E349" s="1"/>
      <c r="F349" s="1"/>
      <c r="G349" s="1"/>
      <c r="H349" s="1"/>
      <c r="I349" s="1"/>
      <c r="J349" s="1"/>
      <c r="K349" s="1"/>
      <c r="L349" s="1"/>
      <c r="M349" s="1"/>
      <c r="N349" s="1"/>
      <c r="O349" s="1"/>
      <c r="P349" s="1"/>
      <c r="Q349" s="1"/>
      <c r="R349" s="1"/>
      <c r="S349" s="1"/>
      <c r="T349" s="1"/>
      <c r="U349" s="2"/>
      <c r="V349" s="1"/>
      <c r="W349" s="1"/>
      <c r="X349" s="1"/>
      <c r="Y349" s="1"/>
      <c r="Z349" s="1"/>
    </row>
    <row r="350" spans="1:26" ht="24.75" customHeight="1">
      <c r="A350" s="1"/>
      <c r="B350" s="1"/>
      <c r="C350" s="1"/>
      <c r="D350" s="1"/>
      <c r="E350" s="1"/>
      <c r="F350" s="1"/>
      <c r="G350" s="1"/>
      <c r="H350" s="1"/>
      <c r="I350" s="1"/>
      <c r="J350" s="1"/>
      <c r="K350" s="1"/>
      <c r="L350" s="1"/>
      <c r="M350" s="1"/>
      <c r="N350" s="1"/>
      <c r="O350" s="1"/>
      <c r="P350" s="1"/>
      <c r="Q350" s="1"/>
      <c r="R350" s="1"/>
      <c r="S350" s="1"/>
      <c r="T350" s="1"/>
      <c r="U350" s="2"/>
      <c r="V350" s="1"/>
      <c r="W350" s="1"/>
      <c r="X350" s="1"/>
      <c r="Y350" s="1"/>
      <c r="Z350" s="1"/>
    </row>
    <row r="351" spans="1:26" ht="24.75" customHeight="1">
      <c r="A351" s="1"/>
      <c r="B351" s="1"/>
      <c r="C351" s="1"/>
      <c r="D351" s="1"/>
      <c r="E351" s="1"/>
      <c r="F351" s="1"/>
      <c r="G351" s="1"/>
      <c r="H351" s="1"/>
      <c r="I351" s="1"/>
      <c r="J351" s="1"/>
      <c r="K351" s="1"/>
      <c r="L351" s="1"/>
      <c r="M351" s="1"/>
      <c r="N351" s="1"/>
      <c r="O351" s="1"/>
      <c r="P351" s="1"/>
      <c r="Q351" s="1"/>
      <c r="R351" s="1"/>
      <c r="S351" s="1"/>
      <c r="T351" s="1"/>
      <c r="U351" s="2"/>
      <c r="V351" s="1"/>
      <c r="W351" s="1"/>
      <c r="X351" s="1"/>
      <c r="Y351" s="1"/>
      <c r="Z351" s="1"/>
    </row>
    <row r="352" spans="1:26" ht="24.75" customHeight="1">
      <c r="A352" s="1"/>
      <c r="B352" s="1"/>
      <c r="C352" s="1"/>
      <c r="D352" s="1"/>
      <c r="E352" s="1"/>
      <c r="F352" s="1"/>
      <c r="G352" s="1"/>
      <c r="H352" s="1"/>
      <c r="I352" s="1"/>
      <c r="J352" s="1"/>
      <c r="K352" s="1"/>
      <c r="L352" s="1"/>
      <c r="M352" s="1"/>
      <c r="N352" s="1"/>
      <c r="O352" s="1"/>
      <c r="P352" s="1"/>
      <c r="Q352" s="1"/>
      <c r="R352" s="1"/>
      <c r="S352" s="1"/>
      <c r="T352" s="1"/>
      <c r="U352" s="2"/>
      <c r="V352" s="1"/>
      <c r="W352" s="1"/>
      <c r="X352" s="1"/>
      <c r="Y352" s="1"/>
      <c r="Z352" s="1"/>
    </row>
    <row r="353" spans="1:26" ht="24.75" customHeight="1">
      <c r="A353" s="1"/>
      <c r="B353" s="1"/>
      <c r="C353" s="1"/>
      <c r="D353" s="1"/>
      <c r="E353" s="1"/>
      <c r="F353" s="1"/>
      <c r="G353" s="1"/>
      <c r="H353" s="1"/>
      <c r="I353" s="1"/>
      <c r="J353" s="1"/>
      <c r="K353" s="1"/>
      <c r="L353" s="1"/>
      <c r="M353" s="1"/>
      <c r="N353" s="1"/>
      <c r="O353" s="1"/>
      <c r="P353" s="1"/>
      <c r="Q353" s="1"/>
      <c r="R353" s="1"/>
      <c r="S353" s="1"/>
      <c r="T353" s="1"/>
      <c r="U353" s="2"/>
      <c r="V353" s="1"/>
      <c r="W353" s="1"/>
      <c r="X353" s="1"/>
      <c r="Y353" s="1"/>
      <c r="Z353" s="1"/>
    </row>
    <row r="354" spans="1:26" ht="24.75" customHeight="1">
      <c r="A354" s="1"/>
      <c r="B354" s="1"/>
      <c r="C354" s="1"/>
      <c r="D354" s="1"/>
      <c r="E354" s="1"/>
      <c r="F354" s="1"/>
      <c r="G354" s="1"/>
      <c r="H354" s="1"/>
      <c r="I354" s="1"/>
      <c r="J354" s="1"/>
      <c r="K354" s="1"/>
      <c r="L354" s="1"/>
      <c r="M354" s="1"/>
      <c r="N354" s="1"/>
      <c r="O354" s="1"/>
      <c r="P354" s="1"/>
      <c r="Q354" s="1"/>
      <c r="R354" s="1"/>
      <c r="S354" s="1"/>
      <c r="T354" s="1"/>
      <c r="U354" s="2"/>
      <c r="V354" s="1"/>
      <c r="W354" s="1"/>
      <c r="X354" s="1"/>
      <c r="Y354" s="1"/>
      <c r="Z354" s="1"/>
    </row>
    <row r="355" spans="1:26" ht="24.75" customHeight="1">
      <c r="A355" s="1"/>
      <c r="B355" s="1"/>
      <c r="C355" s="1"/>
      <c r="D355" s="1"/>
      <c r="E355" s="1"/>
      <c r="F355" s="1"/>
      <c r="G355" s="1"/>
      <c r="H355" s="1"/>
      <c r="I355" s="1"/>
      <c r="J355" s="1"/>
      <c r="K355" s="1"/>
      <c r="L355" s="1"/>
      <c r="M355" s="1"/>
      <c r="N355" s="1"/>
      <c r="O355" s="1"/>
      <c r="P355" s="1"/>
      <c r="Q355" s="1"/>
      <c r="R355" s="1"/>
      <c r="S355" s="1"/>
      <c r="T355" s="1"/>
      <c r="U355" s="2"/>
      <c r="V355" s="1"/>
      <c r="W355" s="1"/>
      <c r="X355" s="1"/>
      <c r="Y355" s="1"/>
      <c r="Z355" s="1"/>
    </row>
    <row r="356" spans="1:26" ht="24.75" customHeight="1">
      <c r="A356" s="1"/>
      <c r="B356" s="1"/>
      <c r="C356" s="1"/>
      <c r="D356" s="1"/>
      <c r="E356" s="1"/>
      <c r="F356" s="1"/>
      <c r="G356" s="1"/>
      <c r="H356" s="1"/>
      <c r="I356" s="1"/>
      <c r="J356" s="1"/>
      <c r="K356" s="1"/>
      <c r="L356" s="1"/>
      <c r="M356" s="1"/>
      <c r="N356" s="1"/>
      <c r="O356" s="1"/>
      <c r="P356" s="1"/>
      <c r="Q356" s="1"/>
      <c r="R356" s="1"/>
      <c r="S356" s="1"/>
      <c r="T356" s="1"/>
      <c r="U356" s="2"/>
      <c r="V356" s="1"/>
      <c r="W356" s="1"/>
      <c r="X356" s="1"/>
      <c r="Y356" s="1"/>
      <c r="Z356" s="1"/>
    </row>
    <row r="357" spans="1:26" ht="24.75" customHeight="1">
      <c r="A357" s="1"/>
      <c r="B357" s="1"/>
      <c r="C357" s="1"/>
      <c r="D357" s="1"/>
      <c r="E357" s="1"/>
      <c r="F357" s="1"/>
      <c r="G357" s="1"/>
      <c r="H357" s="1"/>
      <c r="I357" s="1"/>
      <c r="J357" s="1"/>
      <c r="K357" s="1"/>
      <c r="L357" s="1"/>
      <c r="M357" s="1"/>
      <c r="N357" s="1"/>
      <c r="O357" s="1"/>
      <c r="P357" s="1"/>
      <c r="Q357" s="1"/>
      <c r="R357" s="1"/>
      <c r="S357" s="1"/>
      <c r="T357" s="1"/>
      <c r="U357" s="2"/>
      <c r="V357" s="1"/>
      <c r="W357" s="1"/>
      <c r="X357" s="1"/>
      <c r="Y357" s="1"/>
      <c r="Z357" s="1"/>
    </row>
    <row r="358" spans="1:26" ht="24.75" customHeight="1">
      <c r="A358" s="1"/>
      <c r="B358" s="1"/>
      <c r="C358" s="1"/>
      <c r="D358" s="1"/>
      <c r="E358" s="1"/>
      <c r="F358" s="1"/>
      <c r="G358" s="1"/>
      <c r="H358" s="1"/>
      <c r="I358" s="1"/>
      <c r="J358" s="1"/>
      <c r="K358" s="1"/>
      <c r="L358" s="1"/>
      <c r="M358" s="1"/>
      <c r="N358" s="1"/>
      <c r="O358" s="1"/>
      <c r="P358" s="1"/>
      <c r="Q358" s="1"/>
      <c r="R358" s="1"/>
      <c r="S358" s="1"/>
      <c r="T358" s="1"/>
      <c r="U358" s="2"/>
      <c r="V358" s="1"/>
      <c r="W358" s="1"/>
      <c r="X358" s="1"/>
      <c r="Y358" s="1"/>
      <c r="Z358" s="1"/>
    </row>
    <row r="359" spans="1:26" ht="24.75" customHeight="1">
      <c r="A359" s="1"/>
      <c r="B359" s="1"/>
      <c r="C359" s="1"/>
      <c r="D359" s="1"/>
      <c r="E359" s="1"/>
      <c r="F359" s="1"/>
      <c r="G359" s="1"/>
      <c r="H359" s="1"/>
      <c r="I359" s="1"/>
      <c r="J359" s="1"/>
      <c r="K359" s="1"/>
      <c r="L359" s="1"/>
      <c r="M359" s="1"/>
      <c r="N359" s="1"/>
      <c r="O359" s="1"/>
      <c r="P359" s="1"/>
      <c r="Q359" s="1"/>
      <c r="R359" s="1"/>
      <c r="S359" s="1"/>
      <c r="T359" s="1"/>
      <c r="U359" s="2"/>
      <c r="V359" s="1"/>
      <c r="W359" s="1"/>
      <c r="X359" s="1"/>
      <c r="Y359" s="1"/>
      <c r="Z359" s="1"/>
    </row>
    <row r="360" spans="1:26" ht="24.75" customHeight="1">
      <c r="A360" s="1"/>
      <c r="B360" s="1"/>
      <c r="C360" s="1"/>
      <c r="D360" s="1"/>
      <c r="E360" s="1"/>
      <c r="F360" s="1"/>
      <c r="G360" s="1"/>
      <c r="H360" s="1"/>
      <c r="I360" s="1"/>
      <c r="J360" s="1"/>
      <c r="K360" s="1"/>
      <c r="L360" s="1"/>
      <c r="M360" s="1"/>
      <c r="N360" s="1"/>
      <c r="O360" s="1"/>
      <c r="P360" s="1"/>
      <c r="Q360" s="1"/>
      <c r="R360" s="1"/>
      <c r="S360" s="1"/>
      <c r="T360" s="1"/>
      <c r="U360" s="2"/>
      <c r="V360" s="1"/>
      <c r="W360" s="1"/>
      <c r="X360" s="1"/>
      <c r="Y360" s="1"/>
      <c r="Z360" s="1"/>
    </row>
    <row r="361" spans="1:26" ht="24.75" customHeight="1">
      <c r="A361" s="1"/>
      <c r="B361" s="1"/>
      <c r="C361" s="1"/>
      <c r="D361" s="1"/>
      <c r="E361" s="1"/>
      <c r="F361" s="1"/>
      <c r="G361" s="1"/>
      <c r="H361" s="1"/>
      <c r="I361" s="1"/>
      <c r="J361" s="1"/>
      <c r="K361" s="1"/>
      <c r="L361" s="1"/>
      <c r="M361" s="1"/>
      <c r="N361" s="1"/>
      <c r="O361" s="1"/>
      <c r="P361" s="1"/>
      <c r="Q361" s="1"/>
      <c r="R361" s="1"/>
      <c r="S361" s="1"/>
      <c r="T361" s="1"/>
      <c r="U361" s="2"/>
      <c r="V361" s="1"/>
      <c r="W361" s="1"/>
      <c r="X361" s="1"/>
      <c r="Y361" s="1"/>
      <c r="Z361" s="1"/>
    </row>
    <row r="362" spans="1:26" ht="24.75" customHeight="1">
      <c r="A362" s="1"/>
      <c r="B362" s="1"/>
      <c r="C362" s="1"/>
      <c r="D362" s="1"/>
      <c r="E362" s="1"/>
      <c r="F362" s="1"/>
      <c r="G362" s="1"/>
      <c r="H362" s="1"/>
      <c r="I362" s="1"/>
      <c r="J362" s="1"/>
      <c r="K362" s="1"/>
      <c r="L362" s="1"/>
      <c r="M362" s="1"/>
      <c r="N362" s="1"/>
      <c r="O362" s="1"/>
      <c r="P362" s="1"/>
      <c r="Q362" s="1"/>
      <c r="R362" s="1"/>
      <c r="S362" s="1"/>
      <c r="T362" s="1"/>
      <c r="U362" s="2"/>
      <c r="V362" s="1"/>
      <c r="W362" s="1"/>
      <c r="X362" s="1"/>
      <c r="Y362" s="1"/>
      <c r="Z362" s="1"/>
    </row>
    <row r="363" spans="1:26" ht="24.75" customHeight="1">
      <c r="A363" s="1"/>
      <c r="B363" s="1"/>
      <c r="C363" s="1"/>
      <c r="D363" s="1"/>
      <c r="E363" s="1"/>
      <c r="F363" s="1"/>
      <c r="G363" s="1"/>
      <c r="H363" s="1"/>
      <c r="I363" s="1"/>
      <c r="J363" s="1"/>
      <c r="K363" s="1"/>
      <c r="L363" s="1"/>
      <c r="M363" s="1"/>
      <c r="N363" s="1"/>
      <c r="O363" s="1"/>
      <c r="P363" s="1"/>
      <c r="Q363" s="1"/>
      <c r="R363" s="1"/>
      <c r="S363" s="1"/>
      <c r="T363" s="1"/>
      <c r="U363" s="2"/>
      <c r="V363" s="1"/>
      <c r="W363" s="1"/>
      <c r="X363" s="1"/>
      <c r="Y363" s="1"/>
      <c r="Z363" s="1"/>
    </row>
    <row r="364" spans="1:26" ht="24.75" customHeight="1">
      <c r="A364" s="1"/>
      <c r="B364" s="1"/>
      <c r="C364" s="1"/>
      <c r="D364" s="1"/>
      <c r="E364" s="1"/>
      <c r="F364" s="1"/>
      <c r="G364" s="1"/>
      <c r="H364" s="1"/>
      <c r="I364" s="1"/>
      <c r="J364" s="1"/>
      <c r="K364" s="1"/>
      <c r="L364" s="1"/>
      <c r="M364" s="1"/>
      <c r="N364" s="1"/>
      <c r="O364" s="1"/>
      <c r="P364" s="1"/>
      <c r="Q364" s="1"/>
      <c r="R364" s="1"/>
      <c r="S364" s="1"/>
      <c r="T364" s="1"/>
      <c r="U364" s="2"/>
      <c r="V364" s="1"/>
      <c r="W364" s="1"/>
      <c r="X364" s="1"/>
      <c r="Y364" s="1"/>
      <c r="Z364" s="1"/>
    </row>
    <row r="365" spans="1:26" ht="24.75" customHeight="1">
      <c r="A365" s="1"/>
      <c r="B365" s="1"/>
      <c r="C365" s="1"/>
      <c r="D365" s="1"/>
      <c r="E365" s="1"/>
      <c r="F365" s="1"/>
      <c r="G365" s="1"/>
      <c r="H365" s="1"/>
      <c r="I365" s="1"/>
      <c r="J365" s="1"/>
      <c r="K365" s="1"/>
      <c r="L365" s="1"/>
      <c r="M365" s="1"/>
      <c r="N365" s="1"/>
      <c r="O365" s="1"/>
      <c r="P365" s="1"/>
      <c r="Q365" s="1"/>
      <c r="R365" s="1"/>
      <c r="S365" s="1"/>
      <c r="T365" s="1"/>
      <c r="U365" s="2"/>
      <c r="V365" s="1"/>
      <c r="W365" s="1"/>
      <c r="X365" s="1"/>
      <c r="Y365" s="1"/>
      <c r="Z365" s="1"/>
    </row>
    <row r="366" spans="1:26" ht="24.75" customHeight="1">
      <c r="A366" s="1"/>
      <c r="B366" s="1"/>
      <c r="C366" s="1"/>
      <c r="D366" s="1"/>
      <c r="E366" s="1"/>
      <c r="F366" s="1"/>
      <c r="G366" s="1"/>
      <c r="H366" s="1"/>
      <c r="I366" s="1"/>
      <c r="J366" s="1"/>
      <c r="K366" s="1"/>
      <c r="L366" s="1"/>
      <c r="M366" s="1"/>
      <c r="N366" s="1"/>
      <c r="O366" s="1"/>
      <c r="P366" s="1"/>
      <c r="Q366" s="1"/>
      <c r="R366" s="1"/>
      <c r="S366" s="1"/>
      <c r="T366" s="1"/>
      <c r="U366" s="2"/>
      <c r="V366" s="1"/>
      <c r="W366" s="1"/>
      <c r="X366" s="1"/>
      <c r="Y366" s="1"/>
      <c r="Z366" s="1"/>
    </row>
    <row r="367" spans="1:26" ht="24.75" customHeight="1">
      <c r="A367" s="1"/>
      <c r="B367" s="1"/>
      <c r="C367" s="1"/>
      <c r="D367" s="1"/>
      <c r="E367" s="1"/>
      <c r="F367" s="1"/>
      <c r="G367" s="1"/>
      <c r="H367" s="1"/>
      <c r="I367" s="1"/>
      <c r="J367" s="1"/>
      <c r="K367" s="1"/>
      <c r="L367" s="1"/>
      <c r="M367" s="1"/>
      <c r="N367" s="1"/>
      <c r="O367" s="1"/>
      <c r="P367" s="1"/>
      <c r="Q367" s="1"/>
      <c r="R367" s="1"/>
      <c r="S367" s="1"/>
      <c r="T367" s="1"/>
      <c r="U367" s="2"/>
      <c r="V367" s="1"/>
      <c r="W367" s="1"/>
      <c r="X367" s="1"/>
      <c r="Y367" s="1"/>
      <c r="Z367" s="1"/>
    </row>
    <row r="368" spans="1:26" ht="24.75" customHeight="1">
      <c r="A368" s="1"/>
      <c r="B368" s="1"/>
      <c r="C368" s="1"/>
      <c r="D368" s="1"/>
      <c r="E368" s="1"/>
      <c r="F368" s="1"/>
      <c r="G368" s="1"/>
      <c r="H368" s="1"/>
      <c r="I368" s="1"/>
      <c r="J368" s="1"/>
      <c r="K368" s="1"/>
      <c r="L368" s="1"/>
      <c r="M368" s="1"/>
      <c r="N368" s="1"/>
      <c r="O368" s="1"/>
      <c r="P368" s="1"/>
      <c r="Q368" s="1"/>
      <c r="R368" s="1"/>
      <c r="S368" s="1"/>
      <c r="T368" s="1"/>
      <c r="U368" s="2"/>
      <c r="V368" s="1"/>
      <c r="W368" s="1"/>
      <c r="X368" s="1"/>
      <c r="Y368" s="1"/>
      <c r="Z368" s="1"/>
    </row>
    <row r="369" spans="1:26" ht="24.75" customHeight="1">
      <c r="A369" s="1"/>
      <c r="B369" s="1"/>
      <c r="C369" s="1"/>
      <c r="D369" s="1"/>
      <c r="E369" s="1"/>
      <c r="F369" s="1"/>
      <c r="G369" s="1"/>
      <c r="H369" s="1"/>
      <c r="I369" s="1"/>
      <c r="J369" s="1"/>
      <c r="K369" s="1"/>
      <c r="L369" s="1"/>
      <c r="M369" s="1"/>
      <c r="N369" s="1"/>
      <c r="O369" s="1"/>
      <c r="P369" s="1"/>
      <c r="Q369" s="1"/>
      <c r="R369" s="1"/>
      <c r="S369" s="1"/>
      <c r="T369" s="1"/>
      <c r="U369" s="2"/>
      <c r="V369" s="1"/>
      <c r="W369" s="1"/>
      <c r="X369" s="1"/>
      <c r="Y369" s="1"/>
      <c r="Z369" s="1"/>
    </row>
    <row r="370" spans="1:26" ht="24.75" customHeight="1">
      <c r="A370" s="1"/>
      <c r="B370" s="1"/>
      <c r="C370" s="1"/>
      <c r="D370" s="1"/>
      <c r="E370" s="1"/>
      <c r="F370" s="1"/>
      <c r="G370" s="1"/>
      <c r="H370" s="1"/>
      <c r="I370" s="1"/>
      <c r="J370" s="1"/>
      <c r="K370" s="1"/>
      <c r="L370" s="1"/>
      <c r="M370" s="1"/>
      <c r="N370" s="1"/>
      <c r="O370" s="1"/>
      <c r="P370" s="1"/>
      <c r="Q370" s="1"/>
      <c r="R370" s="1"/>
      <c r="S370" s="1"/>
      <c r="T370" s="1"/>
      <c r="U370" s="2"/>
      <c r="V370" s="1"/>
      <c r="W370" s="1"/>
      <c r="X370" s="1"/>
      <c r="Y370" s="1"/>
      <c r="Z370" s="1"/>
    </row>
    <row r="371" spans="1:26" ht="24.75" customHeight="1">
      <c r="A371" s="1"/>
      <c r="B371" s="1"/>
      <c r="C371" s="1"/>
      <c r="D371" s="1"/>
      <c r="E371" s="1"/>
      <c r="F371" s="1"/>
      <c r="G371" s="1"/>
      <c r="H371" s="1"/>
      <c r="I371" s="1"/>
      <c r="J371" s="1"/>
      <c r="K371" s="1"/>
      <c r="L371" s="1"/>
      <c r="M371" s="1"/>
      <c r="N371" s="1"/>
      <c r="O371" s="1"/>
      <c r="P371" s="1"/>
      <c r="Q371" s="1"/>
      <c r="R371" s="1"/>
      <c r="S371" s="1"/>
      <c r="T371" s="1"/>
      <c r="U371" s="2"/>
      <c r="V371" s="1"/>
      <c r="W371" s="1"/>
      <c r="X371" s="1"/>
      <c r="Y371" s="1"/>
      <c r="Z371" s="1"/>
    </row>
    <row r="372" spans="1:26" ht="24.75" customHeight="1">
      <c r="A372" s="1"/>
      <c r="B372" s="1"/>
      <c r="C372" s="1"/>
      <c r="D372" s="1"/>
      <c r="E372" s="1"/>
      <c r="F372" s="1"/>
      <c r="G372" s="1"/>
      <c r="H372" s="1"/>
      <c r="I372" s="1"/>
      <c r="J372" s="1"/>
      <c r="K372" s="1"/>
      <c r="L372" s="1"/>
      <c r="M372" s="1"/>
      <c r="N372" s="1"/>
      <c r="O372" s="1"/>
      <c r="P372" s="1"/>
      <c r="Q372" s="1"/>
      <c r="R372" s="1"/>
      <c r="S372" s="1"/>
      <c r="T372" s="1"/>
      <c r="U372" s="2"/>
      <c r="V372" s="1"/>
      <c r="W372" s="1"/>
      <c r="X372" s="1"/>
      <c r="Y372" s="1"/>
      <c r="Z372" s="1"/>
    </row>
    <row r="373" spans="1:26" ht="24.75" customHeight="1">
      <c r="A373" s="1"/>
      <c r="B373" s="1"/>
      <c r="C373" s="1"/>
      <c r="D373" s="1"/>
      <c r="E373" s="1"/>
      <c r="F373" s="1"/>
      <c r="G373" s="1"/>
      <c r="H373" s="1"/>
      <c r="I373" s="1"/>
      <c r="J373" s="1"/>
      <c r="K373" s="1"/>
      <c r="L373" s="1"/>
      <c r="M373" s="1"/>
      <c r="N373" s="1"/>
      <c r="O373" s="1"/>
      <c r="P373" s="1"/>
      <c r="Q373" s="1"/>
      <c r="R373" s="1"/>
      <c r="S373" s="1"/>
      <c r="T373" s="1"/>
      <c r="U373" s="2"/>
      <c r="V373" s="1"/>
      <c r="W373" s="1"/>
      <c r="X373" s="1"/>
      <c r="Y373" s="1"/>
      <c r="Z373" s="1"/>
    </row>
    <row r="374" spans="1:26" ht="24.75" customHeight="1">
      <c r="A374" s="1"/>
      <c r="B374" s="1"/>
      <c r="C374" s="1"/>
      <c r="D374" s="1"/>
      <c r="E374" s="1"/>
      <c r="F374" s="1"/>
      <c r="G374" s="1"/>
      <c r="H374" s="1"/>
      <c r="I374" s="1"/>
      <c r="J374" s="1"/>
      <c r="K374" s="1"/>
      <c r="L374" s="1"/>
      <c r="M374" s="1"/>
      <c r="N374" s="1"/>
      <c r="O374" s="1"/>
      <c r="P374" s="1"/>
      <c r="Q374" s="1"/>
      <c r="R374" s="1"/>
      <c r="S374" s="1"/>
      <c r="T374" s="1"/>
      <c r="U374" s="2"/>
      <c r="V374" s="1"/>
      <c r="W374" s="1"/>
      <c r="X374" s="1"/>
      <c r="Y374" s="1"/>
      <c r="Z374" s="1"/>
    </row>
    <row r="375" spans="1:26" ht="24.75" customHeight="1">
      <c r="A375" s="1"/>
      <c r="B375" s="1"/>
      <c r="C375" s="1"/>
      <c r="D375" s="1"/>
      <c r="E375" s="1"/>
      <c r="F375" s="1"/>
      <c r="G375" s="1"/>
      <c r="H375" s="1"/>
      <c r="I375" s="1"/>
      <c r="J375" s="1"/>
      <c r="K375" s="1"/>
      <c r="L375" s="1"/>
      <c r="M375" s="1"/>
      <c r="N375" s="1"/>
      <c r="O375" s="1"/>
      <c r="P375" s="1"/>
      <c r="Q375" s="1"/>
      <c r="R375" s="1"/>
      <c r="S375" s="1"/>
      <c r="T375" s="1"/>
      <c r="U375" s="2"/>
      <c r="V375" s="1"/>
      <c r="W375" s="1"/>
      <c r="X375" s="1"/>
      <c r="Y375" s="1"/>
      <c r="Z375" s="1"/>
    </row>
    <row r="376" spans="1:26" ht="24.75" customHeight="1">
      <c r="A376" s="1"/>
      <c r="B376" s="1"/>
      <c r="C376" s="1"/>
      <c r="D376" s="1"/>
      <c r="E376" s="1"/>
      <c r="F376" s="1"/>
      <c r="G376" s="1"/>
      <c r="H376" s="1"/>
      <c r="I376" s="1"/>
      <c r="J376" s="1"/>
      <c r="K376" s="1"/>
      <c r="L376" s="1"/>
      <c r="M376" s="1"/>
      <c r="N376" s="1"/>
      <c r="O376" s="1"/>
      <c r="P376" s="1"/>
      <c r="Q376" s="1"/>
      <c r="R376" s="1"/>
      <c r="S376" s="1"/>
      <c r="T376" s="1"/>
      <c r="U376" s="2"/>
      <c r="V376" s="1"/>
      <c r="W376" s="1"/>
      <c r="X376" s="1"/>
      <c r="Y376" s="1"/>
      <c r="Z376" s="1"/>
    </row>
    <row r="377" spans="1:26" ht="24.75" customHeight="1">
      <c r="A377" s="1"/>
      <c r="B377" s="1"/>
      <c r="C377" s="1"/>
      <c r="D377" s="1"/>
      <c r="E377" s="1"/>
      <c r="F377" s="1"/>
      <c r="G377" s="1"/>
      <c r="H377" s="1"/>
      <c r="I377" s="1"/>
      <c r="J377" s="1"/>
      <c r="K377" s="1"/>
      <c r="L377" s="1"/>
      <c r="M377" s="1"/>
      <c r="N377" s="1"/>
      <c r="O377" s="1"/>
      <c r="P377" s="1"/>
      <c r="Q377" s="1"/>
      <c r="R377" s="1"/>
      <c r="S377" s="1"/>
      <c r="T377" s="1"/>
      <c r="U377" s="2"/>
      <c r="V377" s="1"/>
      <c r="W377" s="1"/>
      <c r="X377" s="1"/>
      <c r="Y377" s="1"/>
      <c r="Z377" s="1"/>
    </row>
    <row r="378" spans="1:26" ht="24.75" customHeight="1">
      <c r="A378" s="1"/>
      <c r="B378" s="1"/>
      <c r="C378" s="1"/>
      <c r="D378" s="1"/>
      <c r="E378" s="1"/>
      <c r="F378" s="1"/>
      <c r="G378" s="1"/>
      <c r="H378" s="1"/>
      <c r="I378" s="1"/>
      <c r="J378" s="1"/>
      <c r="K378" s="1"/>
      <c r="L378" s="1"/>
      <c r="M378" s="1"/>
      <c r="N378" s="1"/>
      <c r="O378" s="1"/>
      <c r="P378" s="1"/>
      <c r="Q378" s="1"/>
      <c r="R378" s="1"/>
      <c r="S378" s="1"/>
      <c r="T378" s="1"/>
      <c r="U378" s="2"/>
      <c r="V378" s="1"/>
      <c r="W378" s="1"/>
      <c r="X378" s="1"/>
      <c r="Y378" s="1"/>
      <c r="Z378" s="1"/>
    </row>
    <row r="379" spans="1:26" ht="24.75" customHeight="1">
      <c r="A379" s="1"/>
      <c r="B379" s="1"/>
      <c r="C379" s="1"/>
      <c r="D379" s="1"/>
      <c r="E379" s="1"/>
      <c r="F379" s="1"/>
      <c r="G379" s="1"/>
      <c r="H379" s="1"/>
      <c r="I379" s="1"/>
      <c r="J379" s="1"/>
      <c r="K379" s="1"/>
      <c r="L379" s="1"/>
      <c r="M379" s="1"/>
      <c r="N379" s="1"/>
      <c r="O379" s="1"/>
      <c r="P379" s="1"/>
      <c r="Q379" s="1"/>
      <c r="R379" s="1"/>
      <c r="S379" s="1"/>
      <c r="T379" s="1"/>
      <c r="U379" s="2"/>
      <c r="V379" s="1"/>
      <c r="W379" s="1"/>
      <c r="X379" s="1"/>
      <c r="Y379" s="1"/>
      <c r="Z379" s="1"/>
    </row>
    <row r="380" spans="1:26" ht="24.75" customHeight="1">
      <c r="A380" s="1"/>
      <c r="B380" s="1"/>
      <c r="C380" s="1"/>
      <c r="D380" s="1"/>
      <c r="E380" s="1"/>
      <c r="F380" s="1"/>
      <c r="G380" s="1"/>
      <c r="H380" s="1"/>
      <c r="I380" s="1"/>
      <c r="J380" s="1"/>
      <c r="K380" s="1"/>
      <c r="L380" s="1"/>
      <c r="M380" s="1"/>
      <c r="N380" s="1"/>
      <c r="O380" s="1"/>
      <c r="P380" s="1"/>
      <c r="Q380" s="1"/>
      <c r="R380" s="1"/>
      <c r="S380" s="1"/>
      <c r="T380" s="1"/>
      <c r="U380" s="2"/>
      <c r="V380" s="1"/>
      <c r="W380" s="1"/>
      <c r="X380" s="1"/>
      <c r="Y380" s="1"/>
      <c r="Z380" s="1"/>
    </row>
    <row r="381" spans="1:26" ht="24.75" customHeight="1">
      <c r="A381" s="1"/>
      <c r="B381" s="1"/>
      <c r="C381" s="1"/>
      <c r="D381" s="1"/>
      <c r="E381" s="1"/>
      <c r="F381" s="1"/>
      <c r="G381" s="1"/>
      <c r="H381" s="1"/>
      <c r="I381" s="1"/>
      <c r="J381" s="1"/>
      <c r="K381" s="1"/>
      <c r="L381" s="1"/>
      <c r="M381" s="1"/>
      <c r="N381" s="1"/>
      <c r="O381" s="1"/>
      <c r="P381" s="1"/>
      <c r="Q381" s="1"/>
      <c r="R381" s="1"/>
      <c r="S381" s="1"/>
      <c r="T381" s="1"/>
      <c r="U381" s="2"/>
      <c r="V381" s="1"/>
      <c r="W381" s="1"/>
      <c r="X381" s="1"/>
      <c r="Y381" s="1"/>
      <c r="Z381" s="1"/>
    </row>
    <row r="382" spans="1:26" ht="24.75" customHeight="1">
      <c r="A382" s="1"/>
      <c r="B382" s="1"/>
      <c r="C382" s="1"/>
      <c r="D382" s="1"/>
      <c r="E382" s="1"/>
      <c r="F382" s="1"/>
      <c r="G382" s="1"/>
      <c r="H382" s="1"/>
      <c r="I382" s="1"/>
      <c r="J382" s="1"/>
      <c r="K382" s="1"/>
      <c r="L382" s="1"/>
      <c r="M382" s="1"/>
      <c r="N382" s="1"/>
      <c r="O382" s="1"/>
      <c r="P382" s="1"/>
      <c r="Q382" s="1"/>
      <c r="R382" s="1"/>
      <c r="S382" s="1"/>
      <c r="T382" s="1"/>
      <c r="U382" s="2"/>
      <c r="V382" s="1"/>
      <c r="W382" s="1"/>
      <c r="X382" s="1"/>
      <c r="Y382" s="1"/>
      <c r="Z382" s="1"/>
    </row>
    <row r="383" spans="1:26" ht="24.75" customHeight="1">
      <c r="A383" s="1"/>
      <c r="B383" s="1"/>
      <c r="C383" s="1"/>
      <c r="D383" s="1"/>
      <c r="E383" s="1"/>
      <c r="F383" s="1"/>
      <c r="G383" s="1"/>
      <c r="H383" s="1"/>
      <c r="I383" s="1"/>
      <c r="J383" s="1"/>
      <c r="K383" s="1"/>
      <c r="L383" s="1"/>
      <c r="M383" s="1"/>
      <c r="N383" s="1"/>
      <c r="O383" s="1"/>
      <c r="P383" s="1"/>
      <c r="Q383" s="1"/>
      <c r="R383" s="1"/>
      <c r="S383" s="1"/>
      <c r="T383" s="1"/>
      <c r="U383" s="2"/>
      <c r="V383" s="1"/>
      <c r="W383" s="1"/>
      <c r="X383" s="1"/>
      <c r="Y383" s="1"/>
      <c r="Z383" s="1"/>
    </row>
    <row r="384" spans="1:26" ht="24.75" customHeight="1">
      <c r="A384" s="1"/>
      <c r="B384" s="1"/>
      <c r="C384" s="1"/>
      <c r="D384" s="1"/>
      <c r="E384" s="1"/>
      <c r="F384" s="1"/>
      <c r="G384" s="1"/>
      <c r="H384" s="1"/>
      <c r="I384" s="1"/>
      <c r="J384" s="1"/>
      <c r="K384" s="1"/>
      <c r="L384" s="1"/>
      <c r="M384" s="1"/>
      <c r="N384" s="1"/>
      <c r="O384" s="1"/>
      <c r="P384" s="1"/>
      <c r="Q384" s="1"/>
      <c r="R384" s="1"/>
      <c r="S384" s="1"/>
      <c r="T384" s="1"/>
      <c r="U384" s="2"/>
      <c r="V384" s="1"/>
      <c r="W384" s="1"/>
      <c r="X384" s="1"/>
      <c r="Y384" s="1"/>
      <c r="Z384" s="1"/>
    </row>
    <row r="385" spans="1:26" ht="24.75" customHeight="1">
      <c r="A385" s="1"/>
      <c r="B385" s="1"/>
      <c r="C385" s="1"/>
      <c r="D385" s="1"/>
      <c r="E385" s="1"/>
      <c r="F385" s="1"/>
      <c r="G385" s="1"/>
      <c r="H385" s="1"/>
      <c r="I385" s="1"/>
      <c r="J385" s="1"/>
      <c r="K385" s="1"/>
      <c r="L385" s="1"/>
      <c r="M385" s="1"/>
      <c r="N385" s="1"/>
      <c r="O385" s="1"/>
      <c r="P385" s="1"/>
      <c r="Q385" s="1"/>
      <c r="R385" s="1"/>
      <c r="S385" s="1"/>
      <c r="T385" s="1"/>
      <c r="U385" s="2"/>
      <c r="V385" s="1"/>
      <c r="W385" s="1"/>
      <c r="X385" s="1"/>
      <c r="Y385" s="1"/>
      <c r="Z385" s="1"/>
    </row>
    <row r="386" spans="1:26" ht="24.75" customHeight="1">
      <c r="A386" s="1"/>
      <c r="B386" s="1"/>
      <c r="C386" s="1"/>
      <c r="D386" s="1"/>
      <c r="E386" s="1"/>
      <c r="F386" s="1"/>
      <c r="G386" s="1"/>
      <c r="H386" s="1"/>
      <c r="I386" s="1"/>
      <c r="J386" s="1"/>
      <c r="K386" s="1"/>
      <c r="L386" s="1"/>
      <c r="M386" s="1"/>
      <c r="N386" s="1"/>
      <c r="O386" s="1"/>
      <c r="P386" s="1"/>
      <c r="Q386" s="1"/>
      <c r="R386" s="1"/>
      <c r="S386" s="1"/>
      <c r="T386" s="1"/>
      <c r="U386" s="2"/>
      <c r="V386" s="1"/>
      <c r="W386" s="1"/>
      <c r="X386" s="1"/>
      <c r="Y386" s="1"/>
      <c r="Z386" s="1"/>
    </row>
    <row r="387" spans="1:26" ht="24.75" customHeight="1">
      <c r="A387" s="1"/>
      <c r="B387" s="1"/>
      <c r="C387" s="1"/>
      <c r="D387" s="1"/>
      <c r="E387" s="1"/>
      <c r="F387" s="1"/>
      <c r="G387" s="1"/>
      <c r="H387" s="1"/>
      <c r="I387" s="1"/>
      <c r="J387" s="1"/>
      <c r="K387" s="1"/>
      <c r="L387" s="1"/>
      <c r="M387" s="1"/>
      <c r="N387" s="1"/>
      <c r="O387" s="1"/>
      <c r="P387" s="1"/>
      <c r="Q387" s="1"/>
      <c r="R387" s="1"/>
      <c r="S387" s="1"/>
      <c r="T387" s="1"/>
      <c r="U387" s="2"/>
      <c r="V387" s="1"/>
      <c r="W387" s="1"/>
      <c r="X387" s="1"/>
      <c r="Y387" s="1"/>
      <c r="Z387" s="1"/>
    </row>
    <row r="388" spans="1:26" ht="24.75" customHeight="1">
      <c r="A388" s="1"/>
      <c r="B388" s="1"/>
      <c r="C388" s="1"/>
      <c r="D388" s="1"/>
      <c r="E388" s="1"/>
      <c r="F388" s="1"/>
      <c r="G388" s="1"/>
      <c r="H388" s="1"/>
      <c r="I388" s="1"/>
      <c r="J388" s="1"/>
      <c r="K388" s="1"/>
      <c r="L388" s="1"/>
      <c r="M388" s="1"/>
      <c r="N388" s="1"/>
      <c r="O388" s="1"/>
      <c r="P388" s="1"/>
      <c r="Q388" s="1"/>
      <c r="R388" s="1"/>
      <c r="S388" s="1"/>
      <c r="T388" s="1"/>
      <c r="U388" s="2"/>
      <c r="V388" s="1"/>
      <c r="W388" s="1"/>
      <c r="X388" s="1"/>
      <c r="Y388" s="1"/>
      <c r="Z388" s="1"/>
    </row>
    <row r="389" spans="1:26" ht="24.75" customHeight="1">
      <c r="A389" s="1"/>
      <c r="B389" s="1"/>
      <c r="C389" s="1"/>
      <c r="D389" s="1"/>
      <c r="E389" s="1"/>
      <c r="F389" s="1"/>
      <c r="G389" s="1"/>
      <c r="H389" s="1"/>
      <c r="I389" s="1"/>
      <c r="J389" s="1"/>
      <c r="K389" s="1"/>
      <c r="L389" s="1"/>
      <c r="M389" s="1"/>
      <c r="N389" s="1"/>
      <c r="O389" s="1"/>
      <c r="P389" s="1"/>
      <c r="Q389" s="1"/>
      <c r="R389" s="1"/>
      <c r="S389" s="1"/>
      <c r="T389" s="1"/>
      <c r="U389" s="2"/>
      <c r="V389" s="1"/>
      <c r="W389" s="1"/>
      <c r="X389" s="1"/>
      <c r="Y389" s="1"/>
      <c r="Z389" s="1"/>
    </row>
    <row r="390" spans="1:26" ht="24.75" customHeight="1">
      <c r="A390" s="1"/>
      <c r="B390" s="1"/>
      <c r="C390" s="1"/>
      <c r="D390" s="1"/>
      <c r="E390" s="1"/>
      <c r="F390" s="1"/>
      <c r="G390" s="1"/>
      <c r="H390" s="1"/>
      <c r="I390" s="1"/>
      <c r="J390" s="1"/>
      <c r="K390" s="1"/>
      <c r="L390" s="1"/>
      <c r="M390" s="1"/>
      <c r="N390" s="1"/>
      <c r="O390" s="1"/>
      <c r="P390" s="1"/>
      <c r="Q390" s="1"/>
      <c r="R390" s="1"/>
      <c r="S390" s="1"/>
      <c r="T390" s="1"/>
      <c r="U390" s="2"/>
      <c r="V390" s="1"/>
      <c r="W390" s="1"/>
      <c r="X390" s="1"/>
      <c r="Y390" s="1"/>
      <c r="Z390" s="1"/>
    </row>
    <row r="391" spans="1:26" ht="24.75" customHeight="1">
      <c r="A391" s="1"/>
      <c r="B391" s="1"/>
      <c r="C391" s="1"/>
      <c r="D391" s="1"/>
      <c r="E391" s="1"/>
      <c r="F391" s="1"/>
      <c r="G391" s="1"/>
      <c r="H391" s="1"/>
      <c r="I391" s="1"/>
      <c r="J391" s="1"/>
      <c r="K391" s="1"/>
      <c r="L391" s="1"/>
      <c r="M391" s="1"/>
      <c r="N391" s="1"/>
      <c r="O391" s="1"/>
      <c r="P391" s="1"/>
      <c r="Q391" s="1"/>
      <c r="R391" s="1"/>
      <c r="S391" s="1"/>
      <c r="T391" s="1"/>
      <c r="U391" s="2"/>
      <c r="V391" s="1"/>
      <c r="W391" s="1"/>
      <c r="X391" s="1"/>
      <c r="Y391" s="1"/>
      <c r="Z391" s="1"/>
    </row>
    <row r="392" spans="1:26" ht="24.75" customHeight="1">
      <c r="A392" s="1"/>
      <c r="B392" s="1"/>
      <c r="C392" s="1"/>
      <c r="D392" s="1"/>
      <c r="E392" s="1"/>
      <c r="F392" s="1"/>
      <c r="G392" s="1"/>
      <c r="H392" s="1"/>
      <c r="I392" s="1"/>
      <c r="J392" s="1"/>
      <c r="K392" s="1"/>
      <c r="L392" s="1"/>
      <c r="M392" s="1"/>
      <c r="N392" s="1"/>
      <c r="O392" s="1"/>
      <c r="P392" s="1"/>
      <c r="Q392" s="1"/>
      <c r="R392" s="1"/>
      <c r="S392" s="1"/>
      <c r="T392" s="1"/>
      <c r="U392" s="2"/>
      <c r="V392" s="1"/>
      <c r="W392" s="1"/>
      <c r="X392" s="1"/>
      <c r="Y392" s="1"/>
      <c r="Z392" s="1"/>
    </row>
    <row r="393" spans="1:26" ht="24.75" customHeight="1">
      <c r="A393" s="1"/>
      <c r="B393" s="1"/>
      <c r="C393" s="1"/>
      <c r="D393" s="1"/>
      <c r="E393" s="1"/>
      <c r="F393" s="1"/>
      <c r="G393" s="1"/>
      <c r="H393" s="1"/>
      <c r="I393" s="1"/>
      <c r="J393" s="1"/>
      <c r="K393" s="1"/>
      <c r="L393" s="1"/>
      <c r="M393" s="1"/>
      <c r="N393" s="1"/>
      <c r="O393" s="1"/>
      <c r="P393" s="1"/>
      <c r="Q393" s="1"/>
      <c r="R393" s="1"/>
      <c r="S393" s="1"/>
      <c r="T393" s="1"/>
      <c r="U393" s="2"/>
      <c r="V393" s="1"/>
      <c r="W393" s="1"/>
      <c r="X393" s="1"/>
      <c r="Y393" s="1"/>
      <c r="Z393" s="1"/>
    </row>
    <row r="394" spans="1:26" ht="24.75" customHeight="1">
      <c r="A394" s="1"/>
      <c r="B394" s="1"/>
      <c r="C394" s="1"/>
      <c r="D394" s="1"/>
      <c r="E394" s="1"/>
      <c r="F394" s="1"/>
      <c r="G394" s="1"/>
      <c r="H394" s="1"/>
      <c r="I394" s="1"/>
      <c r="J394" s="1"/>
      <c r="K394" s="1"/>
      <c r="L394" s="1"/>
      <c r="M394" s="1"/>
      <c r="N394" s="1"/>
      <c r="O394" s="1"/>
      <c r="P394" s="1"/>
      <c r="Q394" s="1"/>
      <c r="R394" s="1"/>
      <c r="S394" s="1"/>
      <c r="T394" s="1"/>
      <c r="U394" s="2"/>
      <c r="V394" s="1"/>
      <c r="W394" s="1"/>
      <c r="X394" s="1"/>
      <c r="Y394" s="1"/>
      <c r="Z394" s="1"/>
    </row>
    <row r="395" spans="1:26" ht="24.75" customHeight="1">
      <c r="A395" s="1"/>
      <c r="B395" s="1"/>
      <c r="C395" s="1"/>
      <c r="D395" s="1"/>
      <c r="E395" s="1"/>
      <c r="F395" s="1"/>
      <c r="G395" s="1"/>
      <c r="H395" s="1"/>
      <c r="I395" s="1"/>
      <c r="J395" s="1"/>
      <c r="K395" s="1"/>
      <c r="L395" s="1"/>
      <c r="M395" s="1"/>
      <c r="N395" s="1"/>
      <c r="O395" s="1"/>
      <c r="P395" s="1"/>
      <c r="Q395" s="1"/>
      <c r="R395" s="1"/>
      <c r="S395" s="1"/>
      <c r="T395" s="1"/>
      <c r="U395" s="2"/>
      <c r="V395" s="1"/>
      <c r="W395" s="1"/>
      <c r="X395" s="1"/>
      <c r="Y395" s="1"/>
      <c r="Z395" s="1"/>
    </row>
    <row r="396" spans="1:26" ht="24.75" customHeight="1">
      <c r="A396" s="1"/>
      <c r="B396" s="1"/>
      <c r="C396" s="1"/>
      <c r="D396" s="1"/>
      <c r="E396" s="1"/>
      <c r="F396" s="1"/>
      <c r="G396" s="1"/>
      <c r="H396" s="1"/>
      <c r="I396" s="1"/>
      <c r="J396" s="1"/>
      <c r="K396" s="1"/>
      <c r="L396" s="1"/>
      <c r="M396" s="1"/>
      <c r="N396" s="1"/>
      <c r="O396" s="1"/>
      <c r="P396" s="1"/>
      <c r="Q396" s="1"/>
      <c r="R396" s="1"/>
      <c r="S396" s="1"/>
      <c r="T396" s="1"/>
      <c r="U396" s="2"/>
      <c r="V396" s="1"/>
      <c r="W396" s="1"/>
      <c r="X396" s="1"/>
      <c r="Y396" s="1"/>
      <c r="Z396" s="1"/>
    </row>
    <row r="397" spans="1:26" ht="24.75" customHeight="1">
      <c r="A397" s="1"/>
      <c r="B397" s="1"/>
      <c r="C397" s="1"/>
      <c r="D397" s="1"/>
      <c r="E397" s="1"/>
      <c r="F397" s="1"/>
      <c r="G397" s="1"/>
      <c r="H397" s="1"/>
      <c r="I397" s="1"/>
      <c r="J397" s="1"/>
      <c r="K397" s="1"/>
      <c r="L397" s="1"/>
      <c r="M397" s="1"/>
      <c r="N397" s="1"/>
      <c r="O397" s="1"/>
      <c r="P397" s="1"/>
      <c r="Q397" s="1"/>
      <c r="R397" s="1"/>
      <c r="S397" s="1"/>
      <c r="T397" s="1"/>
      <c r="U397" s="2"/>
      <c r="V397" s="1"/>
      <c r="W397" s="1"/>
      <c r="X397" s="1"/>
      <c r="Y397" s="1"/>
      <c r="Z397" s="1"/>
    </row>
    <row r="398" spans="1:26" ht="24.75" customHeight="1">
      <c r="A398" s="1"/>
      <c r="B398" s="1"/>
      <c r="C398" s="1"/>
      <c r="D398" s="1"/>
      <c r="E398" s="1"/>
      <c r="F398" s="1"/>
      <c r="G398" s="1"/>
      <c r="H398" s="1"/>
      <c r="I398" s="1"/>
      <c r="J398" s="1"/>
      <c r="K398" s="1"/>
      <c r="L398" s="1"/>
      <c r="M398" s="1"/>
      <c r="N398" s="1"/>
      <c r="O398" s="1"/>
      <c r="P398" s="1"/>
      <c r="Q398" s="1"/>
      <c r="R398" s="1"/>
      <c r="S398" s="1"/>
      <c r="T398" s="1"/>
      <c r="U398" s="2"/>
      <c r="V398" s="1"/>
      <c r="W398" s="1"/>
      <c r="X398" s="1"/>
      <c r="Y398" s="1"/>
      <c r="Z398" s="1"/>
    </row>
    <row r="399" spans="1:26" ht="24.75" customHeight="1">
      <c r="A399" s="1"/>
      <c r="B399" s="1"/>
      <c r="C399" s="1"/>
      <c r="D399" s="1"/>
      <c r="E399" s="1"/>
      <c r="F399" s="1"/>
      <c r="G399" s="1"/>
      <c r="H399" s="1"/>
      <c r="I399" s="1"/>
      <c r="J399" s="1"/>
      <c r="K399" s="1"/>
      <c r="L399" s="1"/>
      <c r="M399" s="1"/>
      <c r="N399" s="1"/>
      <c r="O399" s="1"/>
      <c r="P399" s="1"/>
      <c r="Q399" s="1"/>
      <c r="R399" s="1"/>
      <c r="S399" s="1"/>
      <c r="T399" s="1"/>
      <c r="U399" s="2"/>
      <c r="V399" s="1"/>
      <c r="W399" s="1"/>
      <c r="X399" s="1"/>
      <c r="Y399" s="1"/>
      <c r="Z399" s="1"/>
    </row>
    <row r="400" spans="1:26" ht="24.75" customHeight="1">
      <c r="A400" s="1"/>
      <c r="B400" s="1"/>
      <c r="C400" s="1"/>
      <c r="D400" s="1"/>
      <c r="E400" s="1"/>
      <c r="F400" s="1"/>
      <c r="G400" s="1"/>
      <c r="H400" s="1"/>
      <c r="I400" s="1"/>
      <c r="J400" s="1"/>
      <c r="K400" s="1"/>
      <c r="L400" s="1"/>
      <c r="M400" s="1"/>
      <c r="N400" s="1"/>
      <c r="O400" s="1"/>
      <c r="P400" s="1"/>
      <c r="Q400" s="1"/>
      <c r="R400" s="1"/>
      <c r="S400" s="1"/>
      <c r="T400" s="1"/>
      <c r="U400" s="2"/>
      <c r="V400" s="1"/>
      <c r="W400" s="1"/>
      <c r="X400" s="1"/>
      <c r="Y400" s="1"/>
      <c r="Z400" s="1"/>
    </row>
    <row r="401" spans="1:26" ht="24.75" customHeight="1">
      <c r="A401" s="1"/>
      <c r="B401" s="1"/>
      <c r="C401" s="1"/>
      <c r="D401" s="1"/>
      <c r="E401" s="1"/>
      <c r="F401" s="1"/>
      <c r="G401" s="1"/>
      <c r="H401" s="1"/>
      <c r="I401" s="1"/>
      <c r="J401" s="1"/>
      <c r="K401" s="1"/>
      <c r="L401" s="1"/>
      <c r="M401" s="1"/>
      <c r="N401" s="1"/>
      <c r="O401" s="1"/>
      <c r="P401" s="1"/>
      <c r="Q401" s="1"/>
      <c r="R401" s="1"/>
      <c r="S401" s="1"/>
      <c r="T401" s="1"/>
      <c r="U401" s="2"/>
      <c r="V401" s="1"/>
      <c r="W401" s="1"/>
      <c r="X401" s="1"/>
      <c r="Y401" s="1"/>
      <c r="Z401" s="1"/>
    </row>
    <row r="402" spans="1:26" ht="24.75" customHeight="1">
      <c r="A402" s="1"/>
      <c r="B402" s="1"/>
      <c r="C402" s="1"/>
      <c r="D402" s="1"/>
      <c r="E402" s="1"/>
      <c r="F402" s="1"/>
      <c r="G402" s="1"/>
      <c r="H402" s="1"/>
      <c r="I402" s="1"/>
      <c r="J402" s="1"/>
      <c r="K402" s="1"/>
      <c r="L402" s="1"/>
      <c r="M402" s="1"/>
      <c r="N402" s="1"/>
      <c r="O402" s="1"/>
      <c r="P402" s="1"/>
      <c r="Q402" s="1"/>
      <c r="R402" s="1"/>
      <c r="S402" s="1"/>
      <c r="T402" s="1"/>
      <c r="U402" s="2"/>
      <c r="V402" s="1"/>
      <c r="W402" s="1"/>
      <c r="X402" s="1"/>
      <c r="Y402" s="1"/>
      <c r="Z402" s="1"/>
    </row>
    <row r="403" spans="1:26" ht="24.75" customHeight="1">
      <c r="A403" s="1"/>
      <c r="B403" s="1"/>
      <c r="C403" s="1"/>
      <c r="D403" s="1"/>
      <c r="E403" s="1"/>
      <c r="F403" s="1"/>
      <c r="G403" s="1"/>
      <c r="H403" s="1"/>
      <c r="I403" s="1"/>
      <c r="J403" s="1"/>
      <c r="K403" s="1"/>
      <c r="L403" s="1"/>
      <c r="M403" s="1"/>
      <c r="N403" s="1"/>
      <c r="O403" s="1"/>
      <c r="P403" s="1"/>
      <c r="Q403" s="1"/>
      <c r="R403" s="1"/>
      <c r="S403" s="1"/>
      <c r="T403" s="1"/>
      <c r="U403" s="2"/>
      <c r="V403" s="1"/>
      <c r="W403" s="1"/>
      <c r="X403" s="1"/>
      <c r="Y403" s="1"/>
      <c r="Z403" s="1"/>
    </row>
    <row r="404" spans="1:26" ht="24.75" customHeight="1">
      <c r="A404" s="1"/>
      <c r="B404" s="1"/>
      <c r="C404" s="1"/>
      <c r="D404" s="1"/>
      <c r="E404" s="1"/>
      <c r="F404" s="1"/>
      <c r="G404" s="1"/>
      <c r="H404" s="1"/>
      <c r="I404" s="1"/>
      <c r="J404" s="1"/>
      <c r="K404" s="1"/>
      <c r="L404" s="1"/>
      <c r="M404" s="1"/>
      <c r="N404" s="1"/>
      <c r="O404" s="1"/>
      <c r="P404" s="1"/>
      <c r="Q404" s="1"/>
      <c r="R404" s="1"/>
      <c r="S404" s="1"/>
      <c r="T404" s="1"/>
      <c r="U404" s="2"/>
      <c r="V404" s="1"/>
      <c r="W404" s="1"/>
      <c r="X404" s="1"/>
      <c r="Y404" s="1"/>
      <c r="Z404" s="1"/>
    </row>
    <row r="405" spans="1:26" ht="24.75" customHeight="1">
      <c r="A405" s="1"/>
      <c r="B405" s="1"/>
      <c r="C405" s="1"/>
      <c r="D405" s="1"/>
      <c r="E405" s="1"/>
      <c r="F405" s="1"/>
      <c r="G405" s="1"/>
      <c r="H405" s="1"/>
      <c r="I405" s="1"/>
      <c r="J405" s="1"/>
      <c r="K405" s="1"/>
      <c r="L405" s="1"/>
      <c r="M405" s="1"/>
      <c r="N405" s="1"/>
      <c r="O405" s="1"/>
      <c r="P405" s="1"/>
      <c r="Q405" s="1"/>
      <c r="R405" s="1"/>
      <c r="S405" s="1"/>
      <c r="T405" s="1"/>
      <c r="U405" s="2"/>
      <c r="V405" s="1"/>
      <c r="W405" s="1"/>
      <c r="X405" s="1"/>
      <c r="Y405" s="1"/>
      <c r="Z405" s="1"/>
    </row>
    <row r="406" spans="1:26" ht="24.75" customHeight="1">
      <c r="A406" s="1"/>
      <c r="B406" s="1"/>
      <c r="C406" s="1"/>
      <c r="D406" s="1"/>
      <c r="E406" s="1"/>
      <c r="F406" s="1"/>
      <c r="G406" s="1"/>
      <c r="H406" s="1"/>
      <c r="I406" s="1"/>
      <c r="J406" s="1"/>
      <c r="K406" s="1"/>
      <c r="L406" s="1"/>
      <c r="M406" s="1"/>
      <c r="N406" s="1"/>
      <c r="O406" s="1"/>
      <c r="P406" s="1"/>
      <c r="Q406" s="1"/>
      <c r="R406" s="1"/>
      <c r="S406" s="1"/>
      <c r="T406" s="1"/>
      <c r="U406" s="2"/>
      <c r="V406" s="1"/>
      <c r="W406" s="1"/>
      <c r="X406" s="1"/>
      <c r="Y406" s="1"/>
      <c r="Z406" s="1"/>
    </row>
    <row r="407" spans="1:26" ht="24.75" customHeight="1">
      <c r="A407" s="1"/>
      <c r="B407" s="1"/>
      <c r="C407" s="1"/>
      <c r="D407" s="1"/>
      <c r="E407" s="1"/>
      <c r="F407" s="1"/>
      <c r="G407" s="1"/>
      <c r="H407" s="1"/>
      <c r="I407" s="1"/>
      <c r="J407" s="1"/>
      <c r="K407" s="1"/>
      <c r="L407" s="1"/>
      <c r="M407" s="1"/>
      <c r="N407" s="1"/>
      <c r="O407" s="1"/>
      <c r="P407" s="1"/>
      <c r="Q407" s="1"/>
      <c r="R407" s="1"/>
      <c r="S407" s="1"/>
      <c r="T407" s="1"/>
      <c r="U407" s="2"/>
      <c r="V407" s="1"/>
      <c r="W407" s="1"/>
      <c r="X407" s="1"/>
      <c r="Y407" s="1"/>
      <c r="Z407" s="1"/>
    </row>
    <row r="408" spans="1:26" ht="24.75" customHeight="1">
      <c r="A408" s="1"/>
      <c r="B408" s="1"/>
      <c r="C408" s="1"/>
      <c r="D408" s="1"/>
      <c r="E408" s="1"/>
      <c r="F408" s="1"/>
      <c r="G408" s="1"/>
      <c r="H408" s="1"/>
      <c r="I408" s="1"/>
      <c r="J408" s="1"/>
      <c r="K408" s="1"/>
      <c r="L408" s="1"/>
      <c r="M408" s="1"/>
      <c r="N408" s="1"/>
      <c r="O408" s="1"/>
      <c r="P408" s="1"/>
      <c r="Q408" s="1"/>
      <c r="R408" s="1"/>
      <c r="S408" s="1"/>
      <c r="T408" s="1"/>
      <c r="U408" s="2"/>
      <c r="V408" s="1"/>
      <c r="W408" s="1"/>
      <c r="X408" s="1"/>
      <c r="Y408" s="1"/>
      <c r="Z408" s="1"/>
    </row>
    <row r="409" spans="1:26" ht="24.75" customHeight="1">
      <c r="A409" s="1"/>
      <c r="B409" s="1"/>
      <c r="C409" s="1"/>
      <c r="D409" s="1"/>
      <c r="E409" s="1"/>
      <c r="F409" s="1"/>
      <c r="G409" s="1"/>
      <c r="H409" s="1"/>
      <c r="I409" s="1"/>
      <c r="J409" s="1"/>
      <c r="K409" s="1"/>
      <c r="L409" s="1"/>
      <c r="M409" s="1"/>
      <c r="N409" s="1"/>
      <c r="O409" s="1"/>
      <c r="P409" s="1"/>
      <c r="Q409" s="1"/>
      <c r="R409" s="1"/>
      <c r="S409" s="1"/>
      <c r="T409" s="1"/>
      <c r="U409" s="2"/>
      <c r="V409" s="1"/>
      <c r="W409" s="1"/>
      <c r="X409" s="1"/>
      <c r="Y409" s="1"/>
      <c r="Z409" s="1"/>
    </row>
    <row r="410" spans="1:26" ht="24.75" customHeight="1">
      <c r="A410" s="1"/>
      <c r="B410" s="1"/>
      <c r="C410" s="1"/>
      <c r="D410" s="1"/>
      <c r="E410" s="1"/>
      <c r="F410" s="1"/>
      <c r="G410" s="1"/>
      <c r="H410" s="1"/>
      <c r="I410" s="1"/>
      <c r="J410" s="1"/>
      <c r="K410" s="1"/>
      <c r="L410" s="1"/>
      <c r="M410" s="1"/>
      <c r="N410" s="1"/>
      <c r="O410" s="1"/>
      <c r="P410" s="1"/>
      <c r="Q410" s="1"/>
      <c r="R410" s="1"/>
      <c r="S410" s="1"/>
      <c r="T410" s="1"/>
      <c r="U410" s="2"/>
      <c r="V410" s="1"/>
      <c r="W410" s="1"/>
      <c r="X410" s="1"/>
      <c r="Y410" s="1"/>
      <c r="Z410" s="1"/>
    </row>
    <row r="411" spans="1:26" ht="24.75" customHeight="1">
      <c r="A411" s="1"/>
      <c r="B411" s="1"/>
      <c r="C411" s="1"/>
      <c r="D411" s="1"/>
      <c r="E411" s="1"/>
      <c r="F411" s="1"/>
      <c r="G411" s="1"/>
      <c r="H411" s="1"/>
      <c r="I411" s="1"/>
      <c r="J411" s="1"/>
      <c r="K411" s="1"/>
      <c r="L411" s="1"/>
      <c r="M411" s="1"/>
      <c r="N411" s="1"/>
      <c r="O411" s="1"/>
      <c r="P411" s="1"/>
      <c r="Q411" s="1"/>
      <c r="R411" s="1"/>
      <c r="S411" s="1"/>
      <c r="T411" s="1"/>
      <c r="U411" s="2"/>
      <c r="V411" s="1"/>
      <c r="W411" s="1"/>
      <c r="X411" s="1"/>
      <c r="Y411" s="1"/>
      <c r="Z411" s="1"/>
    </row>
    <row r="412" spans="1:26" ht="24.75" customHeight="1">
      <c r="A412" s="1"/>
      <c r="B412" s="1"/>
      <c r="C412" s="1"/>
      <c r="D412" s="1"/>
      <c r="E412" s="1"/>
      <c r="F412" s="1"/>
      <c r="G412" s="1"/>
      <c r="H412" s="1"/>
      <c r="I412" s="1"/>
      <c r="J412" s="1"/>
      <c r="K412" s="1"/>
      <c r="L412" s="1"/>
      <c r="M412" s="1"/>
      <c r="N412" s="1"/>
      <c r="O412" s="1"/>
      <c r="P412" s="1"/>
      <c r="Q412" s="1"/>
      <c r="R412" s="1"/>
      <c r="S412" s="1"/>
      <c r="T412" s="1"/>
      <c r="U412" s="2"/>
      <c r="V412" s="1"/>
      <c r="W412" s="1"/>
      <c r="X412" s="1"/>
      <c r="Y412" s="1"/>
      <c r="Z412" s="1"/>
    </row>
    <row r="413" spans="1:26" ht="24.75" customHeight="1">
      <c r="A413" s="1"/>
      <c r="B413" s="1"/>
      <c r="C413" s="1"/>
      <c r="D413" s="1"/>
      <c r="E413" s="1"/>
      <c r="F413" s="1"/>
      <c r="G413" s="1"/>
      <c r="H413" s="1"/>
      <c r="I413" s="1"/>
      <c r="J413" s="1"/>
      <c r="K413" s="1"/>
      <c r="L413" s="1"/>
      <c r="M413" s="1"/>
      <c r="N413" s="1"/>
      <c r="O413" s="1"/>
      <c r="P413" s="1"/>
      <c r="Q413" s="1"/>
      <c r="R413" s="1"/>
      <c r="S413" s="1"/>
      <c r="T413" s="1"/>
      <c r="U413" s="2"/>
      <c r="V413" s="1"/>
      <c r="W413" s="1"/>
      <c r="X413" s="1"/>
      <c r="Y413" s="1"/>
      <c r="Z413" s="1"/>
    </row>
    <row r="414" spans="1:26" ht="24.75" customHeight="1">
      <c r="A414" s="1"/>
      <c r="B414" s="1"/>
      <c r="C414" s="1"/>
      <c r="D414" s="1"/>
      <c r="E414" s="1"/>
      <c r="F414" s="1"/>
      <c r="G414" s="1"/>
      <c r="H414" s="1"/>
      <c r="I414" s="1"/>
      <c r="J414" s="1"/>
      <c r="K414" s="1"/>
      <c r="L414" s="1"/>
      <c r="M414" s="1"/>
      <c r="N414" s="1"/>
      <c r="O414" s="1"/>
      <c r="P414" s="1"/>
      <c r="Q414" s="1"/>
      <c r="R414" s="1"/>
      <c r="S414" s="1"/>
      <c r="T414" s="1"/>
      <c r="U414" s="2"/>
      <c r="V414" s="1"/>
      <c r="W414" s="1"/>
      <c r="X414" s="1"/>
      <c r="Y414" s="1"/>
      <c r="Z414" s="1"/>
    </row>
    <row r="415" spans="1:26" ht="24.75" customHeight="1">
      <c r="A415" s="1"/>
      <c r="B415" s="1"/>
      <c r="C415" s="1"/>
      <c r="D415" s="1"/>
      <c r="E415" s="1"/>
      <c r="F415" s="1"/>
      <c r="G415" s="1"/>
      <c r="H415" s="1"/>
      <c r="I415" s="1"/>
      <c r="J415" s="1"/>
      <c r="K415" s="1"/>
      <c r="L415" s="1"/>
      <c r="M415" s="1"/>
      <c r="N415" s="1"/>
      <c r="O415" s="1"/>
      <c r="P415" s="1"/>
      <c r="Q415" s="1"/>
      <c r="R415" s="1"/>
      <c r="S415" s="1"/>
      <c r="T415" s="1"/>
      <c r="U415" s="2"/>
      <c r="V415" s="1"/>
      <c r="W415" s="1"/>
      <c r="X415" s="1"/>
      <c r="Y415" s="1"/>
      <c r="Z415" s="1"/>
    </row>
    <row r="416" spans="1:26" ht="24.75" customHeight="1">
      <c r="A416" s="1"/>
      <c r="B416" s="1"/>
      <c r="C416" s="1"/>
      <c r="D416" s="1"/>
      <c r="E416" s="1"/>
      <c r="F416" s="1"/>
      <c r="G416" s="1"/>
      <c r="H416" s="1"/>
      <c r="I416" s="1"/>
      <c r="J416" s="1"/>
      <c r="K416" s="1"/>
      <c r="L416" s="1"/>
      <c r="M416" s="1"/>
      <c r="N416" s="1"/>
      <c r="O416" s="1"/>
      <c r="P416" s="1"/>
      <c r="Q416" s="1"/>
      <c r="R416" s="1"/>
      <c r="S416" s="1"/>
      <c r="T416" s="1"/>
      <c r="U416" s="2"/>
      <c r="V416" s="1"/>
      <c r="W416" s="1"/>
      <c r="X416" s="1"/>
      <c r="Y416" s="1"/>
      <c r="Z416" s="1"/>
    </row>
    <row r="417" spans="1:26" ht="24.75" customHeight="1">
      <c r="A417" s="1"/>
      <c r="B417" s="1"/>
      <c r="C417" s="1"/>
      <c r="D417" s="1"/>
      <c r="E417" s="1"/>
      <c r="F417" s="1"/>
      <c r="G417" s="1"/>
      <c r="H417" s="1"/>
      <c r="I417" s="1"/>
      <c r="J417" s="1"/>
      <c r="K417" s="1"/>
      <c r="L417" s="1"/>
      <c r="M417" s="1"/>
      <c r="N417" s="1"/>
      <c r="O417" s="1"/>
      <c r="P417" s="1"/>
      <c r="Q417" s="1"/>
      <c r="R417" s="1"/>
      <c r="S417" s="1"/>
      <c r="T417" s="1"/>
      <c r="U417" s="2"/>
      <c r="V417" s="1"/>
      <c r="W417" s="1"/>
      <c r="X417" s="1"/>
      <c r="Y417" s="1"/>
      <c r="Z417" s="1"/>
    </row>
    <row r="418" spans="1:26" ht="24.75" customHeight="1">
      <c r="A418" s="1"/>
      <c r="B418" s="1"/>
      <c r="C418" s="1"/>
      <c r="D418" s="1"/>
      <c r="E418" s="1"/>
      <c r="F418" s="1"/>
      <c r="G418" s="1"/>
      <c r="H418" s="1"/>
      <c r="I418" s="1"/>
      <c r="J418" s="1"/>
      <c r="K418" s="1"/>
      <c r="L418" s="1"/>
      <c r="M418" s="1"/>
      <c r="N418" s="1"/>
      <c r="O418" s="1"/>
      <c r="P418" s="1"/>
      <c r="Q418" s="1"/>
      <c r="R418" s="1"/>
      <c r="S418" s="1"/>
      <c r="T418" s="1"/>
      <c r="U418" s="2"/>
      <c r="V418" s="1"/>
      <c r="W418" s="1"/>
      <c r="X418" s="1"/>
      <c r="Y418" s="1"/>
      <c r="Z418" s="1"/>
    </row>
    <row r="419" spans="1:26" ht="24.75" customHeight="1">
      <c r="A419" s="1"/>
      <c r="B419" s="1"/>
      <c r="C419" s="1"/>
      <c r="D419" s="1"/>
      <c r="E419" s="1"/>
      <c r="F419" s="1"/>
      <c r="G419" s="1"/>
      <c r="H419" s="1"/>
      <c r="I419" s="1"/>
      <c r="J419" s="1"/>
      <c r="K419" s="1"/>
      <c r="L419" s="1"/>
      <c r="M419" s="1"/>
      <c r="N419" s="1"/>
      <c r="O419" s="1"/>
      <c r="P419" s="1"/>
      <c r="Q419" s="1"/>
      <c r="R419" s="1"/>
      <c r="S419" s="1"/>
      <c r="T419" s="1"/>
      <c r="U419" s="2"/>
      <c r="V419" s="1"/>
      <c r="W419" s="1"/>
      <c r="X419" s="1"/>
      <c r="Y419" s="1"/>
      <c r="Z419" s="1"/>
    </row>
    <row r="420" spans="1:26" ht="24.75" customHeight="1">
      <c r="A420" s="1"/>
      <c r="B420" s="1"/>
      <c r="C420" s="1"/>
      <c r="D420" s="1"/>
      <c r="E420" s="1"/>
      <c r="F420" s="1"/>
      <c r="G420" s="1"/>
      <c r="H420" s="1"/>
      <c r="I420" s="1"/>
      <c r="J420" s="1"/>
      <c r="K420" s="1"/>
      <c r="L420" s="1"/>
      <c r="M420" s="1"/>
      <c r="N420" s="1"/>
      <c r="O420" s="1"/>
      <c r="P420" s="1"/>
      <c r="Q420" s="1"/>
      <c r="R420" s="1"/>
      <c r="S420" s="1"/>
      <c r="T420" s="1"/>
      <c r="U420" s="2"/>
      <c r="V420" s="1"/>
      <c r="W420" s="1"/>
      <c r="X420" s="1"/>
      <c r="Y420" s="1"/>
      <c r="Z420" s="1"/>
    </row>
    <row r="421" spans="1:26" ht="24.75" customHeight="1">
      <c r="A421" s="1"/>
      <c r="B421" s="1"/>
      <c r="C421" s="1"/>
      <c r="D421" s="1"/>
      <c r="E421" s="1"/>
      <c r="F421" s="1"/>
      <c r="G421" s="1"/>
      <c r="H421" s="1"/>
      <c r="I421" s="1"/>
      <c r="J421" s="1"/>
      <c r="K421" s="1"/>
      <c r="L421" s="1"/>
      <c r="M421" s="1"/>
      <c r="N421" s="1"/>
      <c r="O421" s="1"/>
      <c r="P421" s="1"/>
      <c r="Q421" s="1"/>
      <c r="R421" s="1"/>
      <c r="S421" s="1"/>
      <c r="T421" s="1"/>
      <c r="U421" s="2"/>
      <c r="V421" s="1"/>
      <c r="W421" s="1"/>
      <c r="X421" s="1"/>
      <c r="Y421" s="1"/>
      <c r="Z421" s="1"/>
    </row>
    <row r="422" spans="1:26" ht="24.75" customHeight="1">
      <c r="A422" s="1"/>
      <c r="B422" s="1"/>
      <c r="C422" s="1"/>
      <c r="D422" s="1"/>
      <c r="E422" s="1"/>
      <c r="F422" s="1"/>
      <c r="G422" s="1"/>
      <c r="H422" s="1"/>
      <c r="I422" s="1"/>
      <c r="J422" s="1"/>
      <c r="K422" s="1"/>
      <c r="L422" s="1"/>
      <c r="M422" s="1"/>
      <c r="N422" s="1"/>
      <c r="O422" s="1"/>
      <c r="P422" s="1"/>
      <c r="Q422" s="1"/>
      <c r="R422" s="1"/>
      <c r="S422" s="1"/>
      <c r="T422" s="1"/>
      <c r="U422" s="2"/>
      <c r="V422" s="1"/>
      <c r="W422" s="1"/>
      <c r="X422" s="1"/>
      <c r="Y422" s="1"/>
      <c r="Z422" s="1"/>
    </row>
    <row r="423" spans="1:26" ht="24.75" customHeight="1">
      <c r="A423" s="1"/>
      <c r="B423" s="1"/>
      <c r="C423" s="1"/>
      <c r="D423" s="1"/>
      <c r="E423" s="1"/>
      <c r="F423" s="1"/>
      <c r="G423" s="1"/>
      <c r="H423" s="1"/>
      <c r="I423" s="1"/>
      <c r="J423" s="1"/>
      <c r="K423" s="1"/>
      <c r="L423" s="1"/>
      <c r="M423" s="1"/>
      <c r="N423" s="1"/>
      <c r="O423" s="1"/>
      <c r="P423" s="1"/>
      <c r="Q423" s="1"/>
      <c r="R423" s="1"/>
      <c r="S423" s="1"/>
      <c r="T423" s="1"/>
      <c r="U423" s="2"/>
      <c r="V423" s="1"/>
      <c r="W423" s="1"/>
      <c r="X423" s="1"/>
      <c r="Y423" s="1"/>
      <c r="Z423" s="1"/>
    </row>
    <row r="424" spans="1:26" ht="24.75" customHeight="1">
      <c r="A424" s="1"/>
      <c r="B424" s="1"/>
      <c r="C424" s="1"/>
      <c r="D424" s="1"/>
      <c r="E424" s="1"/>
      <c r="F424" s="1"/>
      <c r="G424" s="1"/>
      <c r="H424" s="1"/>
      <c r="I424" s="1"/>
      <c r="J424" s="1"/>
      <c r="K424" s="1"/>
      <c r="L424" s="1"/>
      <c r="M424" s="1"/>
      <c r="N424" s="1"/>
      <c r="O424" s="1"/>
      <c r="P424" s="1"/>
      <c r="Q424" s="1"/>
      <c r="R424" s="1"/>
      <c r="S424" s="1"/>
      <c r="T424" s="1"/>
      <c r="U424" s="2"/>
      <c r="V424" s="1"/>
      <c r="W424" s="1"/>
      <c r="X424" s="1"/>
      <c r="Y424" s="1"/>
      <c r="Z424" s="1"/>
    </row>
    <row r="425" spans="1:26" ht="24.75" customHeight="1">
      <c r="A425" s="1"/>
      <c r="B425" s="1"/>
      <c r="C425" s="1"/>
      <c r="D425" s="1"/>
      <c r="E425" s="1"/>
      <c r="F425" s="1"/>
      <c r="G425" s="1"/>
      <c r="H425" s="1"/>
      <c r="I425" s="1"/>
      <c r="J425" s="1"/>
      <c r="K425" s="1"/>
      <c r="L425" s="1"/>
      <c r="M425" s="1"/>
      <c r="N425" s="1"/>
      <c r="O425" s="1"/>
      <c r="P425" s="1"/>
      <c r="Q425" s="1"/>
      <c r="R425" s="1"/>
      <c r="S425" s="1"/>
      <c r="T425" s="1"/>
      <c r="U425" s="2"/>
      <c r="V425" s="1"/>
      <c r="W425" s="1"/>
      <c r="X425" s="1"/>
      <c r="Y425" s="1"/>
      <c r="Z425" s="1"/>
    </row>
    <row r="426" spans="1:26" ht="24.75" customHeight="1">
      <c r="A426" s="1"/>
      <c r="B426" s="1"/>
      <c r="C426" s="1"/>
      <c r="D426" s="1"/>
      <c r="E426" s="1"/>
      <c r="F426" s="1"/>
      <c r="G426" s="1"/>
      <c r="H426" s="1"/>
      <c r="I426" s="1"/>
      <c r="J426" s="1"/>
      <c r="K426" s="1"/>
      <c r="L426" s="1"/>
      <c r="M426" s="1"/>
      <c r="N426" s="1"/>
      <c r="O426" s="1"/>
      <c r="P426" s="1"/>
      <c r="Q426" s="1"/>
      <c r="R426" s="1"/>
      <c r="S426" s="1"/>
      <c r="T426" s="1"/>
      <c r="U426" s="2"/>
      <c r="V426" s="1"/>
      <c r="W426" s="1"/>
      <c r="X426" s="1"/>
      <c r="Y426" s="1"/>
      <c r="Z426" s="1"/>
    </row>
    <row r="427" spans="1:26" ht="24.75" customHeight="1">
      <c r="A427" s="1"/>
      <c r="B427" s="1"/>
      <c r="C427" s="1"/>
      <c r="D427" s="1"/>
      <c r="E427" s="1"/>
      <c r="F427" s="1"/>
      <c r="G427" s="1"/>
      <c r="H427" s="1"/>
      <c r="I427" s="1"/>
      <c r="J427" s="1"/>
      <c r="K427" s="1"/>
      <c r="L427" s="1"/>
      <c r="M427" s="1"/>
      <c r="N427" s="1"/>
      <c r="O427" s="1"/>
      <c r="P427" s="1"/>
      <c r="Q427" s="1"/>
      <c r="R427" s="1"/>
      <c r="S427" s="1"/>
      <c r="T427" s="1"/>
      <c r="U427" s="2"/>
      <c r="V427" s="1"/>
      <c r="W427" s="1"/>
      <c r="X427" s="1"/>
      <c r="Y427" s="1"/>
      <c r="Z427" s="1"/>
    </row>
    <row r="428" spans="1:26" ht="24.75" customHeight="1">
      <c r="A428" s="1"/>
      <c r="B428" s="1"/>
      <c r="C428" s="1"/>
      <c r="D428" s="1"/>
      <c r="E428" s="1"/>
      <c r="F428" s="1"/>
      <c r="G428" s="1"/>
      <c r="H428" s="1"/>
      <c r="I428" s="1"/>
      <c r="J428" s="1"/>
      <c r="K428" s="1"/>
      <c r="L428" s="1"/>
      <c r="M428" s="1"/>
      <c r="N428" s="1"/>
      <c r="O428" s="1"/>
      <c r="P428" s="1"/>
      <c r="Q428" s="1"/>
      <c r="R428" s="1"/>
      <c r="S428" s="1"/>
      <c r="T428" s="1"/>
      <c r="U428" s="2"/>
      <c r="V428" s="1"/>
      <c r="W428" s="1"/>
      <c r="X428" s="1"/>
      <c r="Y428" s="1"/>
      <c r="Z428" s="1"/>
    </row>
    <row r="429" spans="1:26" ht="24.75" customHeight="1">
      <c r="A429" s="1"/>
      <c r="B429" s="1"/>
      <c r="C429" s="1"/>
      <c r="D429" s="1"/>
      <c r="E429" s="1"/>
      <c r="F429" s="1"/>
      <c r="G429" s="1"/>
      <c r="H429" s="1"/>
      <c r="I429" s="1"/>
      <c r="J429" s="1"/>
      <c r="K429" s="1"/>
      <c r="L429" s="1"/>
      <c r="M429" s="1"/>
      <c r="N429" s="1"/>
      <c r="O429" s="1"/>
      <c r="P429" s="1"/>
      <c r="Q429" s="1"/>
      <c r="R429" s="1"/>
      <c r="S429" s="1"/>
      <c r="T429" s="1"/>
      <c r="U429" s="2"/>
      <c r="V429" s="1"/>
      <c r="W429" s="1"/>
      <c r="X429" s="1"/>
      <c r="Y429" s="1"/>
      <c r="Z429" s="1"/>
    </row>
    <row r="430" spans="1:26" ht="24.75" customHeight="1">
      <c r="A430" s="1"/>
      <c r="B430" s="1"/>
      <c r="C430" s="1"/>
      <c r="D430" s="1"/>
      <c r="E430" s="1"/>
      <c r="F430" s="1"/>
      <c r="G430" s="1"/>
      <c r="H430" s="1"/>
      <c r="I430" s="1"/>
      <c r="J430" s="1"/>
      <c r="K430" s="1"/>
      <c r="L430" s="1"/>
      <c r="M430" s="1"/>
      <c r="N430" s="1"/>
      <c r="O430" s="1"/>
      <c r="P430" s="1"/>
      <c r="Q430" s="1"/>
      <c r="R430" s="1"/>
      <c r="S430" s="1"/>
      <c r="T430" s="1"/>
      <c r="U430" s="2"/>
      <c r="V430" s="1"/>
      <c r="W430" s="1"/>
      <c r="X430" s="1"/>
      <c r="Y430" s="1"/>
      <c r="Z430" s="1"/>
    </row>
    <row r="431" spans="1:26" ht="24.75" customHeight="1">
      <c r="A431" s="1"/>
      <c r="B431" s="1"/>
      <c r="C431" s="1"/>
      <c r="D431" s="1"/>
      <c r="E431" s="1"/>
      <c r="F431" s="1"/>
      <c r="G431" s="1"/>
      <c r="H431" s="1"/>
      <c r="I431" s="1"/>
      <c r="J431" s="1"/>
      <c r="K431" s="1"/>
      <c r="L431" s="1"/>
      <c r="M431" s="1"/>
      <c r="N431" s="1"/>
      <c r="O431" s="1"/>
      <c r="P431" s="1"/>
      <c r="Q431" s="1"/>
      <c r="R431" s="1"/>
      <c r="S431" s="1"/>
      <c r="T431" s="1"/>
      <c r="U431" s="2"/>
      <c r="V431" s="1"/>
      <c r="W431" s="1"/>
      <c r="X431" s="1"/>
      <c r="Y431" s="1"/>
      <c r="Z431" s="1"/>
    </row>
    <row r="432" spans="1:26" ht="24.75" customHeight="1">
      <c r="A432" s="1"/>
      <c r="B432" s="1"/>
      <c r="C432" s="1"/>
      <c r="D432" s="1"/>
      <c r="E432" s="1"/>
      <c r="F432" s="1"/>
      <c r="G432" s="1"/>
      <c r="H432" s="1"/>
      <c r="I432" s="1"/>
      <c r="J432" s="1"/>
      <c r="K432" s="1"/>
      <c r="L432" s="1"/>
      <c r="M432" s="1"/>
      <c r="N432" s="1"/>
      <c r="O432" s="1"/>
      <c r="P432" s="1"/>
      <c r="Q432" s="1"/>
      <c r="R432" s="1"/>
      <c r="S432" s="1"/>
      <c r="T432" s="1"/>
      <c r="U432" s="2"/>
      <c r="V432" s="1"/>
      <c r="W432" s="1"/>
      <c r="X432" s="1"/>
      <c r="Y432" s="1"/>
      <c r="Z432" s="1"/>
    </row>
    <row r="433" spans="1:26" ht="24.75" customHeight="1">
      <c r="A433" s="1"/>
      <c r="B433" s="1"/>
      <c r="C433" s="1"/>
      <c r="D433" s="1"/>
      <c r="E433" s="1"/>
      <c r="F433" s="1"/>
      <c r="G433" s="1"/>
      <c r="H433" s="1"/>
      <c r="I433" s="1"/>
      <c r="J433" s="1"/>
      <c r="K433" s="1"/>
      <c r="L433" s="1"/>
      <c r="M433" s="1"/>
      <c r="N433" s="1"/>
      <c r="O433" s="1"/>
      <c r="P433" s="1"/>
      <c r="Q433" s="1"/>
      <c r="R433" s="1"/>
      <c r="S433" s="1"/>
      <c r="T433" s="1"/>
      <c r="U433" s="2"/>
      <c r="V433" s="1"/>
      <c r="W433" s="1"/>
      <c r="X433" s="1"/>
      <c r="Y433" s="1"/>
      <c r="Z433" s="1"/>
    </row>
    <row r="434" spans="1:26" ht="24.75" customHeight="1">
      <c r="A434" s="1"/>
      <c r="B434" s="1"/>
      <c r="C434" s="1"/>
      <c r="D434" s="1"/>
      <c r="E434" s="1"/>
      <c r="F434" s="1"/>
      <c r="G434" s="1"/>
      <c r="H434" s="1"/>
      <c r="I434" s="1"/>
      <c r="J434" s="1"/>
      <c r="K434" s="1"/>
      <c r="L434" s="1"/>
      <c r="M434" s="1"/>
      <c r="N434" s="1"/>
      <c r="O434" s="1"/>
      <c r="P434" s="1"/>
      <c r="Q434" s="1"/>
      <c r="R434" s="1"/>
      <c r="S434" s="1"/>
      <c r="T434" s="1"/>
      <c r="U434" s="2"/>
      <c r="V434" s="1"/>
      <c r="W434" s="1"/>
      <c r="X434" s="1"/>
      <c r="Y434" s="1"/>
      <c r="Z434" s="1"/>
    </row>
    <row r="435" spans="1:26" ht="24.75" customHeight="1">
      <c r="A435" s="1"/>
      <c r="B435" s="1"/>
      <c r="C435" s="1"/>
      <c r="D435" s="1"/>
      <c r="E435" s="1"/>
      <c r="F435" s="1"/>
      <c r="G435" s="1"/>
      <c r="H435" s="1"/>
      <c r="I435" s="1"/>
      <c r="J435" s="1"/>
      <c r="K435" s="1"/>
      <c r="L435" s="1"/>
      <c r="M435" s="1"/>
      <c r="N435" s="1"/>
      <c r="O435" s="1"/>
      <c r="P435" s="1"/>
      <c r="Q435" s="1"/>
      <c r="R435" s="1"/>
      <c r="S435" s="1"/>
      <c r="T435" s="1"/>
      <c r="U435" s="2"/>
      <c r="V435" s="1"/>
      <c r="W435" s="1"/>
      <c r="X435" s="1"/>
      <c r="Y435" s="1"/>
      <c r="Z435" s="1"/>
    </row>
    <row r="436" spans="1:26" ht="24.75" customHeight="1">
      <c r="A436" s="1"/>
      <c r="B436" s="1"/>
      <c r="C436" s="1"/>
      <c r="D436" s="1"/>
      <c r="E436" s="1"/>
      <c r="F436" s="1"/>
      <c r="G436" s="1"/>
      <c r="H436" s="1"/>
      <c r="I436" s="1"/>
      <c r="J436" s="1"/>
      <c r="K436" s="1"/>
      <c r="L436" s="1"/>
      <c r="M436" s="1"/>
      <c r="N436" s="1"/>
      <c r="O436" s="1"/>
      <c r="P436" s="1"/>
      <c r="Q436" s="1"/>
      <c r="R436" s="1"/>
      <c r="S436" s="1"/>
      <c r="T436" s="1"/>
      <c r="U436" s="2"/>
      <c r="V436" s="1"/>
      <c r="W436" s="1"/>
      <c r="X436" s="1"/>
      <c r="Y436" s="1"/>
      <c r="Z436" s="1"/>
    </row>
    <row r="437" spans="1:26" ht="24.75" customHeight="1">
      <c r="A437" s="1"/>
      <c r="B437" s="1"/>
      <c r="C437" s="1"/>
      <c r="D437" s="1"/>
      <c r="E437" s="1"/>
      <c r="F437" s="1"/>
      <c r="G437" s="1"/>
      <c r="H437" s="1"/>
      <c r="I437" s="1"/>
      <c r="J437" s="1"/>
      <c r="K437" s="1"/>
      <c r="L437" s="1"/>
      <c r="M437" s="1"/>
      <c r="N437" s="1"/>
      <c r="O437" s="1"/>
      <c r="P437" s="1"/>
      <c r="Q437" s="1"/>
      <c r="R437" s="1"/>
      <c r="S437" s="1"/>
      <c r="T437" s="1"/>
      <c r="U437" s="2"/>
      <c r="V437" s="1"/>
      <c r="W437" s="1"/>
      <c r="X437" s="1"/>
      <c r="Y437" s="1"/>
      <c r="Z437" s="1"/>
    </row>
    <row r="438" spans="1:26" ht="24.75" customHeight="1">
      <c r="A438" s="1"/>
      <c r="B438" s="1"/>
      <c r="C438" s="1"/>
      <c r="D438" s="1"/>
      <c r="E438" s="1"/>
      <c r="F438" s="1"/>
      <c r="G438" s="1"/>
      <c r="H438" s="1"/>
      <c r="I438" s="1"/>
      <c r="J438" s="1"/>
      <c r="K438" s="1"/>
      <c r="L438" s="1"/>
      <c r="M438" s="1"/>
      <c r="N438" s="1"/>
      <c r="O438" s="1"/>
      <c r="P438" s="1"/>
      <c r="Q438" s="1"/>
      <c r="R438" s="1"/>
      <c r="S438" s="1"/>
      <c r="T438" s="1"/>
      <c r="U438" s="2"/>
      <c r="V438" s="1"/>
      <c r="W438" s="1"/>
      <c r="X438" s="1"/>
      <c r="Y438" s="1"/>
      <c r="Z438" s="1"/>
    </row>
    <row r="439" spans="1:26" ht="24.75" customHeight="1">
      <c r="A439" s="1"/>
      <c r="B439" s="1"/>
      <c r="C439" s="1"/>
      <c r="D439" s="1"/>
      <c r="E439" s="1"/>
      <c r="F439" s="1"/>
      <c r="G439" s="1"/>
      <c r="H439" s="1"/>
      <c r="I439" s="1"/>
      <c r="J439" s="1"/>
      <c r="K439" s="1"/>
      <c r="L439" s="1"/>
      <c r="M439" s="1"/>
      <c r="N439" s="1"/>
      <c r="O439" s="1"/>
      <c r="P439" s="1"/>
      <c r="Q439" s="1"/>
      <c r="R439" s="1"/>
      <c r="S439" s="1"/>
      <c r="T439" s="1"/>
      <c r="U439" s="2"/>
      <c r="V439" s="1"/>
      <c r="W439" s="1"/>
      <c r="X439" s="1"/>
      <c r="Y439" s="1"/>
      <c r="Z439" s="1"/>
    </row>
    <row r="440" spans="1:26" ht="24.75" customHeight="1">
      <c r="A440" s="1"/>
      <c r="B440" s="1"/>
      <c r="C440" s="1"/>
      <c r="D440" s="1"/>
      <c r="E440" s="1"/>
      <c r="F440" s="1"/>
      <c r="G440" s="1"/>
      <c r="H440" s="1"/>
      <c r="I440" s="1"/>
      <c r="J440" s="1"/>
      <c r="K440" s="1"/>
      <c r="L440" s="1"/>
      <c r="M440" s="1"/>
      <c r="N440" s="1"/>
      <c r="O440" s="1"/>
      <c r="P440" s="1"/>
      <c r="Q440" s="1"/>
      <c r="R440" s="1"/>
      <c r="S440" s="1"/>
      <c r="T440" s="1"/>
      <c r="U440" s="2"/>
      <c r="V440" s="1"/>
      <c r="W440" s="1"/>
      <c r="X440" s="1"/>
      <c r="Y440" s="1"/>
      <c r="Z440" s="1"/>
    </row>
    <row r="441" spans="1:26" ht="24.75" customHeight="1">
      <c r="A441" s="1"/>
      <c r="B441" s="1"/>
      <c r="C441" s="1"/>
      <c r="D441" s="1"/>
      <c r="E441" s="1"/>
      <c r="F441" s="1"/>
      <c r="G441" s="1"/>
      <c r="H441" s="1"/>
      <c r="I441" s="1"/>
      <c r="J441" s="1"/>
      <c r="K441" s="1"/>
      <c r="L441" s="1"/>
      <c r="M441" s="1"/>
      <c r="N441" s="1"/>
      <c r="O441" s="1"/>
      <c r="P441" s="1"/>
      <c r="Q441" s="1"/>
      <c r="R441" s="1"/>
      <c r="S441" s="1"/>
      <c r="T441" s="1"/>
      <c r="U441" s="2"/>
      <c r="V441" s="1"/>
      <c r="W441" s="1"/>
      <c r="X441" s="1"/>
      <c r="Y441" s="1"/>
      <c r="Z441" s="1"/>
    </row>
    <row r="442" spans="1:26" ht="24.75" customHeight="1">
      <c r="A442" s="1"/>
      <c r="B442" s="1"/>
      <c r="C442" s="1"/>
      <c r="D442" s="1"/>
      <c r="E442" s="1"/>
      <c r="F442" s="1"/>
      <c r="G442" s="1"/>
      <c r="H442" s="1"/>
      <c r="I442" s="1"/>
      <c r="J442" s="1"/>
      <c r="K442" s="1"/>
      <c r="L442" s="1"/>
      <c r="M442" s="1"/>
      <c r="N442" s="1"/>
      <c r="O442" s="1"/>
      <c r="P442" s="1"/>
      <c r="Q442" s="1"/>
      <c r="R442" s="1"/>
      <c r="S442" s="1"/>
      <c r="T442" s="1"/>
      <c r="U442" s="2"/>
      <c r="V442" s="1"/>
      <c r="W442" s="1"/>
      <c r="X442" s="1"/>
      <c r="Y442" s="1"/>
      <c r="Z442" s="1"/>
    </row>
    <row r="443" spans="1:26" ht="24.75" customHeight="1">
      <c r="A443" s="1"/>
      <c r="B443" s="1"/>
      <c r="C443" s="1"/>
      <c r="D443" s="1"/>
      <c r="E443" s="1"/>
      <c r="F443" s="1"/>
      <c r="G443" s="1"/>
      <c r="H443" s="1"/>
      <c r="I443" s="1"/>
      <c r="J443" s="1"/>
      <c r="K443" s="1"/>
      <c r="L443" s="1"/>
      <c r="M443" s="1"/>
      <c r="N443" s="1"/>
      <c r="O443" s="1"/>
      <c r="P443" s="1"/>
      <c r="Q443" s="1"/>
      <c r="R443" s="1"/>
      <c r="S443" s="1"/>
      <c r="T443" s="1"/>
      <c r="U443" s="2"/>
      <c r="V443" s="1"/>
      <c r="W443" s="1"/>
      <c r="X443" s="1"/>
      <c r="Y443" s="1"/>
      <c r="Z443" s="1"/>
    </row>
    <row r="444" spans="1:26" ht="24.75" customHeight="1">
      <c r="A444" s="1"/>
      <c r="B444" s="1"/>
      <c r="C444" s="1"/>
      <c r="D444" s="1"/>
      <c r="E444" s="1"/>
      <c r="F444" s="1"/>
      <c r="G444" s="1"/>
      <c r="H444" s="1"/>
      <c r="I444" s="1"/>
      <c r="J444" s="1"/>
      <c r="K444" s="1"/>
      <c r="L444" s="1"/>
      <c r="M444" s="1"/>
      <c r="N444" s="1"/>
      <c r="O444" s="1"/>
      <c r="P444" s="1"/>
      <c r="Q444" s="1"/>
      <c r="R444" s="1"/>
      <c r="S444" s="1"/>
      <c r="T444" s="1"/>
      <c r="U444" s="2"/>
      <c r="V444" s="1"/>
      <c r="W444" s="1"/>
      <c r="X444" s="1"/>
      <c r="Y444" s="1"/>
      <c r="Z444" s="1"/>
    </row>
    <row r="445" spans="1:26" ht="24.75" customHeight="1">
      <c r="A445" s="1"/>
      <c r="B445" s="1"/>
      <c r="C445" s="1"/>
      <c r="D445" s="1"/>
      <c r="E445" s="1"/>
      <c r="F445" s="1"/>
      <c r="G445" s="1"/>
      <c r="H445" s="1"/>
      <c r="I445" s="1"/>
      <c r="J445" s="1"/>
      <c r="K445" s="1"/>
      <c r="L445" s="1"/>
      <c r="M445" s="1"/>
      <c r="N445" s="1"/>
      <c r="O445" s="1"/>
      <c r="P445" s="1"/>
      <c r="Q445" s="1"/>
      <c r="R445" s="1"/>
      <c r="S445" s="1"/>
      <c r="T445" s="1"/>
      <c r="U445" s="2"/>
      <c r="V445" s="1"/>
      <c r="W445" s="1"/>
      <c r="X445" s="1"/>
      <c r="Y445" s="1"/>
      <c r="Z445" s="1"/>
    </row>
    <row r="446" spans="1:26" ht="24.75" customHeight="1">
      <c r="A446" s="1"/>
      <c r="B446" s="1"/>
      <c r="C446" s="1"/>
      <c r="D446" s="1"/>
      <c r="E446" s="1"/>
      <c r="F446" s="1"/>
      <c r="G446" s="1"/>
      <c r="H446" s="1"/>
      <c r="I446" s="1"/>
      <c r="J446" s="1"/>
      <c r="K446" s="1"/>
      <c r="L446" s="1"/>
      <c r="M446" s="1"/>
      <c r="N446" s="1"/>
      <c r="O446" s="1"/>
      <c r="P446" s="1"/>
      <c r="Q446" s="1"/>
      <c r="R446" s="1"/>
      <c r="S446" s="1"/>
      <c r="T446" s="1"/>
      <c r="U446" s="2"/>
      <c r="V446" s="1"/>
      <c r="W446" s="1"/>
      <c r="X446" s="1"/>
      <c r="Y446" s="1"/>
      <c r="Z446" s="1"/>
    </row>
    <row r="447" spans="1:26" ht="24.75" customHeight="1">
      <c r="A447" s="1"/>
      <c r="B447" s="1"/>
      <c r="C447" s="1"/>
      <c r="D447" s="1"/>
      <c r="E447" s="1"/>
      <c r="F447" s="1"/>
      <c r="G447" s="1"/>
      <c r="H447" s="1"/>
      <c r="I447" s="1"/>
      <c r="J447" s="1"/>
      <c r="K447" s="1"/>
      <c r="L447" s="1"/>
      <c r="M447" s="1"/>
      <c r="N447" s="1"/>
      <c r="O447" s="1"/>
      <c r="P447" s="1"/>
      <c r="Q447" s="1"/>
      <c r="R447" s="1"/>
      <c r="S447" s="1"/>
      <c r="T447" s="1"/>
      <c r="U447" s="2"/>
      <c r="V447" s="1"/>
      <c r="W447" s="1"/>
      <c r="X447" s="1"/>
      <c r="Y447" s="1"/>
      <c r="Z447" s="1"/>
    </row>
    <row r="448" spans="1:26" ht="24.75" customHeight="1">
      <c r="A448" s="1"/>
      <c r="B448" s="1"/>
      <c r="C448" s="1"/>
      <c r="D448" s="1"/>
      <c r="E448" s="1"/>
      <c r="F448" s="1"/>
      <c r="G448" s="1"/>
      <c r="H448" s="1"/>
      <c r="I448" s="1"/>
      <c r="J448" s="1"/>
      <c r="K448" s="1"/>
      <c r="L448" s="1"/>
      <c r="M448" s="1"/>
      <c r="N448" s="1"/>
      <c r="O448" s="1"/>
      <c r="P448" s="1"/>
      <c r="Q448" s="1"/>
      <c r="R448" s="1"/>
      <c r="S448" s="1"/>
      <c r="T448" s="1"/>
      <c r="U448" s="2"/>
      <c r="V448" s="1"/>
      <c r="W448" s="1"/>
      <c r="X448" s="1"/>
      <c r="Y448" s="1"/>
      <c r="Z448" s="1"/>
    </row>
    <row r="449" spans="1:26" ht="24.75" customHeight="1">
      <c r="A449" s="1"/>
      <c r="B449" s="1"/>
      <c r="C449" s="1"/>
      <c r="D449" s="1"/>
      <c r="E449" s="1"/>
      <c r="F449" s="1"/>
      <c r="G449" s="1"/>
      <c r="H449" s="1"/>
      <c r="I449" s="1"/>
      <c r="J449" s="1"/>
      <c r="K449" s="1"/>
      <c r="L449" s="1"/>
      <c r="M449" s="1"/>
      <c r="N449" s="1"/>
      <c r="O449" s="1"/>
      <c r="P449" s="1"/>
      <c r="Q449" s="1"/>
      <c r="R449" s="1"/>
      <c r="S449" s="1"/>
      <c r="T449" s="1"/>
      <c r="U449" s="2"/>
      <c r="V449" s="1"/>
      <c r="W449" s="1"/>
      <c r="X449" s="1"/>
      <c r="Y449" s="1"/>
      <c r="Z449" s="1"/>
    </row>
    <row r="450" spans="1:26" ht="24.75" customHeight="1">
      <c r="A450" s="1"/>
      <c r="B450" s="1"/>
      <c r="C450" s="1"/>
      <c r="D450" s="1"/>
      <c r="E450" s="1"/>
      <c r="F450" s="1"/>
      <c r="G450" s="1"/>
      <c r="H450" s="1"/>
      <c r="I450" s="1"/>
      <c r="J450" s="1"/>
      <c r="K450" s="1"/>
      <c r="L450" s="1"/>
      <c r="M450" s="1"/>
      <c r="N450" s="1"/>
      <c r="O450" s="1"/>
      <c r="P450" s="1"/>
      <c r="Q450" s="1"/>
      <c r="R450" s="1"/>
      <c r="S450" s="1"/>
      <c r="T450" s="1"/>
      <c r="U450" s="2"/>
      <c r="V450" s="1"/>
      <c r="W450" s="1"/>
      <c r="X450" s="1"/>
      <c r="Y450" s="1"/>
      <c r="Z450" s="1"/>
    </row>
    <row r="451" spans="1:26" ht="24.75" customHeight="1">
      <c r="A451" s="1"/>
      <c r="B451" s="1"/>
      <c r="C451" s="1"/>
      <c r="D451" s="1"/>
      <c r="E451" s="1"/>
      <c r="F451" s="1"/>
      <c r="G451" s="1"/>
      <c r="H451" s="1"/>
      <c r="I451" s="1"/>
      <c r="J451" s="1"/>
      <c r="K451" s="1"/>
      <c r="L451" s="1"/>
      <c r="M451" s="1"/>
      <c r="N451" s="1"/>
      <c r="O451" s="1"/>
      <c r="P451" s="1"/>
      <c r="Q451" s="1"/>
      <c r="R451" s="1"/>
      <c r="S451" s="1"/>
      <c r="T451" s="1"/>
      <c r="U451" s="2"/>
      <c r="V451" s="1"/>
      <c r="W451" s="1"/>
      <c r="X451" s="1"/>
      <c r="Y451" s="1"/>
      <c r="Z451" s="1"/>
    </row>
    <row r="452" spans="1:26" ht="24.75" customHeight="1">
      <c r="A452" s="1"/>
      <c r="B452" s="1"/>
      <c r="C452" s="1"/>
      <c r="D452" s="1"/>
      <c r="E452" s="1"/>
      <c r="F452" s="1"/>
      <c r="G452" s="1"/>
      <c r="H452" s="1"/>
      <c r="I452" s="1"/>
      <c r="J452" s="1"/>
      <c r="K452" s="1"/>
      <c r="L452" s="1"/>
      <c r="M452" s="1"/>
      <c r="N452" s="1"/>
      <c r="O452" s="1"/>
      <c r="P452" s="1"/>
      <c r="Q452" s="1"/>
      <c r="R452" s="1"/>
      <c r="S452" s="1"/>
      <c r="T452" s="1"/>
      <c r="U452" s="2"/>
      <c r="V452" s="1"/>
      <c r="W452" s="1"/>
      <c r="X452" s="1"/>
      <c r="Y452" s="1"/>
      <c r="Z452" s="1"/>
    </row>
    <row r="453" spans="1:26" ht="24.75" customHeight="1">
      <c r="A453" s="1"/>
      <c r="B453" s="1"/>
      <c r="C453" s="1"/>
      <c r="D453" s="1"/>
      <c r="E453" s="1"/>
      <c r="F453" s="1"/>
      <c r="G453" s="1"/>
      <c r="H453" s="1"/>
      <c r="I453" s="1"/>
      <c r="J453" s="1"/>
      <c r="K453" s="1"/>
      <c r="L453" s="1"/>
      <c r="M453" s="1"/>
      <c r="N453" s="1"/>
      <c r="O453" s="1"/>
      <c r="P453" s="1"/>
      <c r="Q453" s="1"/>
      <c r="R453" s="1"/>
      <c r="S453" s="1"/>
      <c r="T453" s="1"/>
      <c r="U453" s="2"/>
      <c r="V453" s="1"/>
      <c r="W453" s="1"/>
      <c r="X453" s="1"/>
      <c r="Y453" s="1"/>
      <c r="Z453" s="1"/>
    </row>
    <row r="454" spans="1:26" ht="24.75" customHeight="1">
      <c r="A454" s="1"/>
      <c r="B454" s="1"/>
      <c r="C454" s="1"/>
      <c r="D454" s="1"/>
      <c r="E454" s="1"/>
      <c r="F454" s="1"/>
      <c r="G454" s="1"/>
      <c r="H454" s="1"/>
      <c r="I454" s="1"/>
      <c r="J454" s="1"/>
      <c r="K454" s="1"/>
      <c r="L454" s="1"/>
      <c r="M454" s="1"/>
      <c r="N454" s="1"/>
      <c r="O454" s="1"/>
      <c r="P454" s="1"/>
      <c r="Q454" s="1"/>
      <c r="R454" s="1"/>
      <c r="S454" s="1"/>
      <c r="T454" s="1"/>
      <c r="U454" s="2"/>
      <c r="V454" s="1"/>
      <c r="W454" s="1"/>
      <c r="X454" s="1"/>
      <c r="Y454" s="1"/>
      <c r="Z454" s="1"/>
    </row>
    <row r="455" spans="1:26" ht="24.75" customHeight="1">
      <c r="A455" s="1"/>
      <c r="B455" s="1"/>
      <c r="C455" s="1"/>
      <c r="D455" s="1"/>
      <c r="E455" s="1"/>
      <c r="F455" s="1"/>
      <c r="G455" s="1"/>
      <c r="H455" s="1"/>
      <c r="I455" s="1"/>
      <c r="J455" s="1"/>
      <c r="K455" s="1"/>
      <c r="L455" s="1"/>
      <c r="M455" s="1"/>
      <c r="N455" s="1"/>
      <c r="O455" s="1"/>
      <c r="P455" s="1"/>
      <c r="Q455" s="1"/>
      <c r="R455" s="1"/>
      <c r="S455" s="1"/>
      <c r="T455" s="1"/>
      <c r="U455" s="2"/>
      <c r="V455" s="1"/>
      <c r="W455" s="1"/>
      <c r="X455" s="1"/>
      <c r="Y455" s="1"/>
      <c r="Z455" s="1"/>
    </row>
    <row r="456" spans="1:26" ht="24.75" customHeight="1">
      <c r="A456" s="1"/>
      <c r="B456" s="1"/>
      <c r="C456" s="1"/>
      <c r="D456" s="1"/>
      <c r="E456" s="1"/>
      <c r="F456" s="1"/>
      <c r="G456" s="1"/>
      <c r="H456" s="1"/>
      <c r="I456" s="1"/>
      <c r="J456" s="1"/>
      <c r="K456" s="1"/>
      <c r="L456" s="1"/>
      <c r="M456" s="1"/>
      <c r="N456" s="1"/>
      <c r="O456" s="1"/>
      <c r="P456" s="1"/>
      <c r="Q456" s="1"/>
      <c r="R456" s="1"/>
      <c r="S456" s="1"/>
      <c r="T456" s="1"/>
      <c r="U456" s="2"/>
      <c r="V456" s="1"/>
      <c r="W456" s="1"/>
      <c r="X456" s="1"/>
      <c r="Y456" s="1"/>
      <c r="Z456" s="1"/>
    </row>
    <row r="457" spans="1:26" ht="24.75" customHeight="1">
      <c r="A457" s="1"/>
      <c r="B457" s="1"/>
      <c r="C457" s="1"/>
      <c r="D457" s="1"/>
      <c r="E457" s="1"/>
      <c r="F457" s="1"/>
      <c r="G457" s="1"/>
      <c r="H457" s="1"/>
      <c r="I457" s="1"/>
      <c r="J457" s="1"/>
      <c r="K457" s="1"/>
      <c r="L457" s="1"/>
      <c r="M457" s="1"/>
      <c r="N457" s="1"/>
      <c r="O457" s="1"/>
      <c r="P457" s="1"/>
      <c r="Q457" s="1"/>
      <c r="R457" s="1"/>
      <c r="S457" s="1"/>
      <c r="T457" s="1"/>
      <c r="U457" s="2"/>
      <c r="V457" s="1"/>
      <c r="W457" s="1"/>
      <c r="X457" s="1"/>
      <c r="Y457" s="1"/>
      <c r="Z457" s="1"/>
    </row>
    <row r="458" spans="1:26" ht="24.75" customHeight="1">
      <c r="A458" s="1"/>
      <c r="B458" s="1"/>
      <c r="C458" s="1"/>
      <c r="D458" s="1"/>
      <c r="E458" s="1"/>
      <c r="F458" s="1"/>
      <c r="G458" s="1"/>
      <c r="H458" s="1"/>
      <c r="I458" s="1"/>
      <c r="J458" s="1"/>
      <c r="K458" s="1"/>
      <c r="L458" s="1"/>
      <c r="M458" s="1"/>
      <c r="N458" s="1"/>
      <c r="O458" s="1"/>
      <c r="P458" s="1"/>
      <c r="Q458" s="1"/>
      <c r="R458" s="1"/>
      <c r="S458" s="1"/>
      <c r="T458" s="1"/>
      <c r="U458" s="2"/>
      <c r="V458" s="1"/>
      <c r="W458" s="1"/>
      <c r="X458" s="1"/>
      <c r="Y458" s="1"/>
      <c r="Z458" s="1"/>
    </row>
    <row r="459" spans="1:26" ht="24.75" customHeight="1">
      <c r="A459" s="1"/>
      <c r="B459" s="1"/>
      <c r="C459" s="1"/>
      <c r="D459" s="1"/>
      <c r="E459" s="1"/>
      <c r="F459" s="1"/>
      <c r="G459" s="1"/>
      <c r="H459" s="1"/>
      <c r="I459" s="1"/>
      <c r="J459" s="1"/>
      <c r="K459" s="1"/>
      <c r="L459" s="1"/>
      <c r="M459" s="1"/>
      <c r="N459" s="1"/>
      <c r="O459" s="1"/>
      <c r="P459" s="1"/>
      <c r="Q459" s="1"/>
      <c r="R459" s="1"/>
      <c r="S459" s="1"/>
      <c r="T459" s="1"/>
      <c r="U459" s="2"/>
      <c r="V459" s="1"/>
      <c r="W459" s="1"/>
      <c r="X459" s="1"/>
      <c r="Y459" s="1"/>
      <c r="Z459" s="1"/>
    </row>
    <row r="460" spans="1:26" ht="24.75" customHeight="1">
      <c r="A460" s="1"/>
      <c r="B460" s="1"/>
      <c r="C460" s="1"/>
      <c r="D460" s="1"/>
      <c r="E460" s="1"/>
      <c r="F460" s="1"/>
      <c r="G460" s="1"/>
      <c r="H460" s="1"/>
      <c r="I460" s="1"/>
      <c r="J460" s="1"/>
      <c r="K460" s="1"/>
      <c r="L460" s="1"/>
      <c r="M460" s="1"/>
      <c r="N460" s="1"/>
      <c r="O460" s="1"/>
      <c r="P460" s="1"/>
      <c r="Q460" s="1"/>
      <c r="R460" s="1"/>
      <c r="S460" s="1"/>
      <c r="T460" s="1"/>
      <c r="U460" s="2"/>
      <c r="V460" s="1"/>
      <c r="W460" s="1"/>
      <c r="X460" s="1"/>
      <c r="Y460" s="1"/>
      <c r="Z460" s="1"/>
    </row>
    <row r="461" spans="1:26" ht="24.75" customHeight="1">
      <c r="A461" s="1"/>
      <c r="B461" s="1"/>
      <c r="C461" s="1"/>
      <c r="D461" s="1"/>
      <c r="E461" s="1"/>
      <c r="F461" s="1"/>
      <c r="G461" s="1"/>
      <c r="H461" s="1"/>
      <c r="I461" s="1"/>
      <c r="J461" s="1"/>
      <c r="K461" s="1"/>
      <c r="L461" s="1"/>
      <c r="M461" s="1"/>
      <c r="N461" s="1"/>
      <c r="O461" s="1"/>
      <c r="P461" s="1"/>
      <c r="Q461" s="1"/>
      <c r="R461" s="1"/>
      <c r="S461" s="1"/>
      <c r="T461" s="1"/>
      <c r="U461" s="2"/>
      <c r="V461" s="1"/>
      <c r="W461" s="1"/>
      <c r="X461" s="1"/>
      <c r="Y461" s="1"/>
      <c r="Z461" s="1"/>
    </row>
    <row r="462" spans="1:26" ht="24.75" customHeight="1">
      <c r="A462" s="1"/>
      <c r="B462" s="1"/>
      <c r="C462" s="1"/>
      <c r="D462" s="1"/>
      <c r="E462" s="1"/>
      <c r="F462" s="1"/>
      <c r="G462" s="1"/>
      <c r="H462" s="1"/>
      <c r="I462" s="1"/>
      <c r="J462" s="1"/>
      <c r="K462" s="1"/>
      <c r="L462" s="1"/>
      <c r="M462" s="1"/>
      <c r="N462" s="1"/>
      <c r="O462" s="1"/>
      <c r="P462" s="1"/>
      <c r="Q462" s="1"/>
      <c r="R462" s="1"/>
      <c r="S462" s="1"/>
      <c r="T462" s="1"/>
      <c r="U462" s="2"/>
      <c r="V462" s="1"/>
      <c r="W462" s="1"/>
      <c r="X462" s="1"/>
      <c r="Y462" s="1"/>
      <c r="Z462" s="1"/>
    </row>
    <row r="463" spans="1:26" ht="24.75" customHeight="1">
      <c r="A463" s="1"/>
      <c r="B463" s="1"/>
      <c r="C463" s="1"/>
      <c r="D463" s="1"/>
      <c r="E463" s="1"/>
      <c r="F463" s="1"/>
      <c r="G463" s="1"/>
      <c r="H463" s="1"/>
      <c r="I463" s="1"/>
      <c r="J463" s="1"/>
      <c r="K463" s="1"/>
      <c r="L463" s="1"/>
      <c r="M463" s="1"/>
      <c r="N463" s="1"/>
      <c r="O463" s="1"/>
      <c r="P463" s="1"/>
      <c r="Q463" s="1"/>
      <c r="R463" s="1"/>
      <c r="S463" s="1"/>
      <c r="T463" s="1"/>
      <c r="U463" s="2"/>
      <c r="V463" s="1"/>
      <c r="W463" s="1"/>
      <c r="X463" s="1"/>
      <c r="Y463" s="1"/>
      <c r="Z463" s="1"/>
    </row>
    <row r="464" spans="1:26" ht="24.75" customHeight="1">
      <c r="A464" s="1"/>
      <c r="B464" s="1"/>
      <c r="C464" s="1"/>
      <c r="D464" s="1"/>
      <c r="E464" s="1"/>
      <c r="F464" s="1"/>
      <c r="G464" s="1"/>
      <c r="H464" s="1"/>
      <c r="I464" s="1"/>
      <c r="J464" s="1"/>
      <c r="K464" s="1"/>
      <c r="L464" s="1"/>
      <c r="M464" s="1"/>
      <c r="N464" s="1"/>
      <c r="O464" s="1"/>
      <c r="P464" s="1"/>
      <c r="Q464" s="1"/>
      <c r="R464" s="1"/>
      <c r="S464" s="1"/>
      <c r="T464" s="1"/>
      <c r="U464" s="2"/>
      <c r="V464" s="1"/>
      <c r="W464" s="1"/>
      <c r="X464" s="1"/>
      <c r="Y464" s="1"/>
      <c r="Z464" s="1"/>
    </row>
    <row r="465" spans="1:26" ht="24.75" customHeight="1">
      <c r="A465" s="1"/>
      <c r="B465" s="1"/>
      <c r="C465" s="1"/>
      <c r="D465" s="1"/>
      <c r="E465" s="1"/>
      <c r="F465" s="1"/>
      <c r="G465" s="1"/>
      <c r="H465" s="1"/>
      <c r="I465" s="1"/>
      <c r="J465" s="1"/>
      <c r="K465" s="1"/>
      <c r="L465" s="1"/>
      <c r="M465" s="1"/>
      <c r="N465" s="1"/>
      <c r="O465" s="1"/>
      <c r="P465" s="1"/>
      <c r="Q465" s="1"/>
      <c r="R465" s="1"/>
      <c r="S465" s="1"/>
      <c r="T465" s="1"/>
      <c r="U465" s="2"/>
      <c r="V465" s="1"/>
      <c r="W465" s="1"/>
      <c r="X465" s="1"/>
      <c r="Y465" s="1"/>
      <c r="Z465" s="1"/>
    </row>
    <row r="466" spans="1:26" ht="24.75" customHeight="1">
      <c r="A466" s="1"/>
      <c r="B466" s="1"/>
      <c r="C466" s="1"/>
      <c r="D466" s="1"/>
      <c r="E466" s="1"/>
      <c r="F466" s="1"/>
      <c r="G466" s="1"/>
      <c r="H466" s="1"/>
      <c r="I466" s="1"/>
      <c r="J466" s="1"/>
      <c r="K466" s="1"/>
      <c r="L466" s="1"/>
      <c r="M466" s="1"/>
      <c r="N466" s="1"/>
      <c r="O466" s="1"/>
      <c r="P466" s="1"/>
      <c r="Q466" s="1"/>
      <c r="R466" s="1"/>
      <c r="S466" s="1"/>
      <c r="T466" s="1"/>
      <c r="U466" s="2"/>
      <c r="V466" s="1"/>
      <c r="W466" s="1"/>
      <c r="X466" s="1"/>
      <c r="Y466" s="1"/>
      <c r="Z466" s="1"/>
    </row>
    <row r="467" spans="1:26" ht="24.75" customHeight="1">
      <c r="A467" s="1"/>
      <c r="B467" s="1"/>
      <c r="C467" s="1"/>
      <c r="D467" s="1"/>
      <c r="E467" s="1"/>
      <c r="F467" s="1"/>
      <c r="G467" s="1"/>
      <c r="H467" s="1"/>
      <c r="I467" s="1"/>
      <c r="J467" s="1"/>
      <c r="K467" s="1"/>
      <c r="L467" s="1"/>
      <c r="M467" s="1"/>
      <c r="N467" s="1"/>
      <c r="O467" s="1"/>
      <c r="P467" s="1"/>
      <c r="Q467" s="1"/>
      <c r="R467" s="1"/>
      <c r="S467" s="1"/>
      <c r="T467" s="1"/>
      <c r="U467" s="2"/>
      <c r="V467" s="1"/>
      <c r="W467" s="1"/>
      <c r="X467" s="1"/>
      <c r="Y467" s="1"/>
      <c r="Z467" s="1"/>
    </row>
    <row r="468" spans="1:26" ht="24.75" customHeight="1">
      <c r="A468" s="1"/>
      <c r="B468" s="1"/>
      <c r="C468" s="1"/>
      <c r="D468" s="1"/>
      <c r="E468" s="1"/>
      <c r="F468" s="1"/>
      <c r="G468" s="1"/>
      <c r="H468" s="1"/>
      <c r="I468" s="1"/>
      <c r="J468" s="1"/>
      <c r="K468" s="1"/>
      <c r="L468" s="1"/>
      <c r="M468" s="1"/>
      <c r="N468" s="1"/>
      <c r="O468" s="1"/>
      <c r="P468" s="1"/>
      <c r="Q468" s="1"/>
      <c r="R468" s="1"/>
      <c r="S468" s="1"/>
      <c r="T468" s="1"/>
      <c r="U468" s="2"/>
      <c r="V468" s="1"/>
      <c r="W468" s="1"/>
      <c r="X468" s="1"/>
      <c r="Y468" s="1"/>
      <c r="Z468" s="1"/>
    </row>
    <row r="469" spans="1:26" ht="24.75" customHeight="1">
      <c r="A469" s="1"/>
      <c r="B469" s="1"/>
      <c r="C469" s="1"/>
      <c r="D469" s="1"/>
      <c r="E469" s="1"/>
      <c r="F469" s="1"/>
      <c r="G469" s="1"/>
      <c r="H469" s="1"/>
      <c r="I469" s="1"/>
      <c r="J469" s="1"/>
      <c r="K469" s="1"/>
      <c r="L469" s="1"/>
      <c r="M469" s="1"/>
      <c r="N469" s="1"/>
      <c r="O469" s="1"/>
      <c r="P469" s="1"/>
      <c r="Q469" s="1"/>
      <c r="R469" s="1"/>
      <c r="S469" s="1"/>
      <c r="T469" s="1"/>
      <c r="U469" s="2"/>
      <c r="V469" s="1"/>
      <c r="W469" s="1"/>
      <c r="X469" s="1"/>
      <c r="Y469" s="1"/>
      <c r="Z469" s="1"/>
    </row>
    <row r="470" spans="1:26" ht="24.75" customHeight="1">
      <c r="A470" s="1"/>
      <c r="B470" s="1"/>
      <c r="C470" s="1"/>
      <c r="D470" s="1"/>
      <c r="E470" s="1"/>
      <c r="F470" s="1"/>
      <c r="G470" s="1"/>
      <c r="H470" s="1"/>
      <c r="I470" s="1"/>
      <c r="J470" s="1"/>
      <c r="K470" s="1"/>
      <c r="L470" s="1"/>
      <c r="M470" s="1"/>
      <c r="N470" s="1"/>
      <c r="O470" s="1"/>
      <c r="P470" s="1"/>
      <c r="Q470" s="1"/>
      <c r="R470" s="1"/>
      <c r="S470" s="1"/>
      <c r="T470" s="1"/>
      <c r="U470" s="2"/>
      <c r="V470" s="1"/>
      <c r="W470" s="1"/>
      <c r="X470" s="1"/>
      <c r="Y470" s="1"/>
      <c r="Z470" s="1"/>
    </row>
    <row r="471" spans="1:26" ht="24.75" customHeight="1">
      <c r="A471" s="1"/>
      <c r="B471" s="1"/>
      <c r="C471" s="1"/>
      <c r="D471" s="1"/>
      <c r="E471" s="1"/>
      <c r="F471" s="1"/>
      <c r="G471" s="1"/>
      <c r="H471" s="1"/>
      <c r="I471" s="1"/>
      <c r="J471" s="1"/>
      <c r="K471" s="1"/>
      <c r="L471" s="1"/>
      <c r="M471" s="1"/>
      <c r="N471" s="1"/>
      <c r="O471" s="1"/>
      <c r="P471" s="1"/>
      <c r="Q471" s="1"/>
      <c r="R471" s="1"/>
      <c r="S471" s="1"/>
      <c r="T471" s="1"/>
      <c r="U471" s="2"/>
      <c r="V471" s="1"/>
      <c r="W471" s="1"/>
      <c r="X471" s="1"/>
      <c r="Y471" s="1"/>
      <c r="Z471" s="1"/>
    </row>
    <row r="472" spans="1:26" ht="24.75" customHeight="1">
      <c r="A472" s="1"/>
      <c r="B472" s="1"/>
      <c r="C472" s="1"/>
      <c r="D472" s="1"/>
      <c r="E472" s="1"/>
      <c r="F472" s="1"/>
      <c r="G472" s="1"/>
      <c r="H472" s="1"/>
      <c r="I472" s="1"/>
      <c r="J472" s="1"/>
      <c r="K472" s="1"/>
      <c r="L472" s="1"/>
      <c r="M472" s="1"/>
      <c r="N472" s="1"/>
      <c r="O472" s="1"/>
      <c r="P472" s="1"/>
      <c r="Q472" s="1"/>
      <c r="R472" s="1"/>
      <c r="S472" s="1"/>
      <c r="T472" s="1"/>
      <c r="U472" s="2"/>
      <c r="V472" s="1"/>
      <c r="W472" s="1"/>
      <c r="X472" s="1"/>
      <c r="Y472" s="1"/>
      <c r="Z472" s="1"/>
    </row>
    <row r="473" spans="1:26" ht="24.75" customHeight="1">
      <c r="A473" s="1"/>
      <c r="B473" s="1"/>
      <c r="C473" s="1"/>
      <c r="D473" s="1"/>
      <c r="E473" s="1"/>
      <c r="F473" s="1"/>
      <c r="G473" s="1"/>
      <c r="H473" s="1"/>
      <c r="I473" s="1"/>
      <c r="J473" s="1"/>
      <c r="K473" s="1"/>
      <c r="L473" s="1"/>
      <c r="M473" s="1"/>
      <c r="N473" s="1"/>
      <c r="O473" s="1"/>
      <c r="P473" s="1"/>
      <c r="Q473" s="1"/>
      <c r="R473" s="1"/>
      <c r="S473" s="1"/>
      <c r="T473" s="1"/>
      <c r="U473" s="2"/>
      <c r="V473" s="1"/>
      <c r="W473" s="1"/>
      <c r="X473" s="1"/>
      <c r="Y473" s="1"/>
      <c r="Z473" s="1"/>
    </row>
    <row r="474" spans="1:26" ht="24.75" customHeight="1">
      <c r="A474" s="1"/>
      <c r="B474" s="1"/>
      <c r="C474" s="1"/>
      <c r="D474" s="1"/>
      <c r="E474" s="1"/>
      <c r="F474" s="1"/>
      <c r="G474" s="1"/>
      <c r="H474" s="1"/>
      <c r="I474" s="1"/>
      <c r="J474" s="1"/>
      <c r="K474" s="1"/>
      <c r="L474" s="1"/>
      <c r="M474" s="1"/>
      <c r="N474" s="1"/>
      <c r="O474" s="1"/>
      <c r="P474" s="1"/>
      <c r="Q474" s="1"/>
      <c r="R474" s="1"/>
      <c r="S474" s="1"/>
      <c r="T474" s="1"/>
      <c r="U474" s="2"/>
      <c r="V474" s="1"/>
      <c r="W474" s="1"/>
      <c r="X474" s="1"/>
      <c r="Y474" s="1"/>
      <c r="Z474" s="1"/>
    </row>
    <row r="475" spans="1:26" ht="24.75" customHeight="1">
      <c r="A475" s="1"/>
      <c r="B475" s="1"/>
      <c r="C475" s="1"/>
      <c r="D475" s="1"/>
      <c r="E475" s="1"/>
      <c r="F475" s="1"/>
      <c r="G475" s="1"/>
      <c r="H475" s="1"/>
      <c r="I475" s="1"/>
      <c r="J475" s="1"/>
      <c r="K475" s="1"/>
      <c r="L475" s="1"/>
      <c r="M475" s="1"/>
      <c r="N475" s="1"/>
      <c r="O475" s="1"/>
      <c r="P475" s="1"/>
      <c r="Q475" s="1"/>
      <c r="R475" s="1"/>
      <c r="S475" s="1"/>
      <c r="T475" s="1"/>
      <c r="U475" s="2"/>
      <c r="V475" s="1"/>
      <c r="W475" s="1"/>
      <c r="X475" s="1"/>
      <c r="Y475" s="1"/>
      <c r="Z475" s="1"/>
    </row>
    <row r="476" spans="1:26" ht="24.75" customHeight="1">
      <c r="A476" s="1"/>
      <c r="B476" s="1"/>
      <c r="C476" s="1"/>
      <c r="D476" s="1"/>
      <c r="E476" s="1"/>
      <c r="F476" s="1"/>
      <c r="G476" s="1"/>
      <c r="H476" s="1"/>
      <c r="I476" s="1"/>
      <c r="J476" s="1"/>
      <c r="K476" s="1"/>
      <c r="L476" s="1"/>
      <c r="M476" s="1"/>
      <c r="N476" s="1"/>
      <c r="O476" s="1"/>
      <c r="P476" s="1"/>
      <c r="Q476" s="1"/>
      <c r="R476" s="1"/>
      <c r="S476" s="1"/>
      <c r="T476" s="1"/>
      <c r="U476" s="2"/>
      <c r="V476" s="1"/>
      <c r="W476" s="1"/>
      <c r="X476" s="1"/>
      <c r="Y476" s="1"/>
      <c r="Z476" s="1"/>
    </row>
    <row r="477" spans="1:26" ht="24.75" customHeight="1">
      <c r="A477" s="1"/>
      <c r="B477" s="1"/>
      <c r="C477" s="1"/>
      <c r="D477" s="1"/>
      <c r="E477" s="1"/>
      <c r="F477" s="1"/>
      <c r="G477" s="1"/>
      <c r="H477" s="1"/>
      <c r="I477" s="1"/>
      <c r="J477" s="1"/>
      <c r="K477" s="1"/>
      <c r="L477" s="1"/>
      <c r="M477" s="1"/>
      <c r="N477" s="1"/>
      <c r="O477" s="1"/>
      <c r="P477" s="1"/>
      <c r="Q477" s="1"/>
      <c r="R477" s="1"/>
      <c r="S477" s="1"/>
      <c r="T477" s="1"/>
      <c r="U477" s="2"/>
      <c r="V477" s="1"/>
      <c r="W477" s="1"/>
      <c r="X477" s="1"/>
      <c r="Y477" s="1"/>
      <c r="Z477" s="1"/>
    </row>
    <row r="478" spans="1:26" ht="24.75" customHeight="1">
      <c r="A478" s="1"/>
      <c r="B478" s="1"/>
      <c r="C478" s="1"/>
      <c r="D478" s="1"/>
      <c r="E478" s="1"/>
      <c r="F478" s="1"/>
      <c r="G478" s="1"/>
      <c r="H478" s="1"/>
      <c r="I478" s="1"/>
      <c r="J478" s="1"/>
      <c r="K478" s="1"/>
      <c r="L478" s="1"/>
      <c r="M478" s="1"/>
      <c r="N478" s="1"/>
      <c r="O478" s="1"/>
      <c r="P478" s="1"/>
      <c r="Q478" s="1"/>
      <c r="R478" s="1"/>
      <c r="S478" s="1"/>
      <c r="T478" s="1"/>
      <c r="U478" s="2"/>
      <c r="V478" s="1"/>
      <c r="W478" s="1"/>
      <c r="X478" s="1"/>
      <c r="Y478" s="1"/>
      <c r="Z478" s="1"/>
    </row>
    <row r="479" spans="1:26" ht="24.75" customHeight="1">
      <c r="A479" s="1"/>
      <c r="B479" s="1"/>
      <c r="C479" s="1"/>
      <c r="D479" s="1"/>
      <c r="E479" s="1"/>
      <c r="F479" s="1"/>
      <c r="G479" s="1"/>
      <c r="H479" s="1"/>
      <c r="I479" s="1"/>
      <c r="J479" s="1"/>
      <c r="K479" s="1"/>
      <c r="L479" s="1"/>
      <c r="M479" s="1"/>
      <c r="N479" s="1"/>
      <c r="O479" s="1"/>
      <c r="P479" s="1"/>
      <c r="Q479" s="1"/>
      <c r="R479" s="1"/>
      <c r="S479" s="1"/>
      <c r="T479" s="1"/>
      <c r="U479" s="2"/>
      <c r="V479" s="1"/>
      <c r="W479" s="1"/>
      <c r="X479" s="1"/>
      <c r="Y479" s="1"/>
      <c r="Z479" s="1"/>
    </row>
    <row r="480" spans="1:26" ht="24.75" customHeight="1">
      <c r="A480" s="1"/>
      <c r="B480" s="1"/>
      <c r="C480" s="1"/>
      <c r="D480" s="1"/>
      <c r="E480" s="1"/>
      <c r="F480" s="1"/>
      <c r="G480" s="1"/>
      <c r="H480" s="1"/>
      <c r="I480" s="1"/>
      <c r="J480" s="1"/>
      <c r="K480" s="1"/>
      <c r="L480" s="1"/>
      <c r="M480" s="1"/>
      <c r="N480" s="1"/>
      <c r="O480" s="1"/>
      <c r="P480" s="1"/>
      <c r="Q480" s="1"/>
      <c r="R480" s="1"/>
      <c r="S480" s="1"/>
      <c r="T480" s="1"/>
      <c r="U480" s="2"/>
      <c r="V480" s="1"/>
      <c r="W480" s="1"/>
      <c r="X480" s="1"/>
      <c r="Y480" s="1"/>
      <c r="Z480" s="1"/>
    </row>
    <row r="481" spans="1:26" ht="24.75" customHeight="1">
      <c r="A481" s="1"/>
      <c r="B481" s="1"/>
      <c r="C481" s="1"/>
      <c r="D481" s="1"/>
      <c r="E481" s="1"/>
      <c r="F481" s="1"/>
      <c r="G481" s="1"/>
      <c r="H481" s="1"/>
      <c r="I481" s="1"/>
      <c r="J481" s="1"/>
      <c r="K481" s="1"/>
      <c r="L481" s="1"/>
      <c r="M481" s="1"/>
      <c r="N481" s="1"/>
      <c r="O481" s="1"/>
      <c r="P481" s="1"/>
      <c r="Q481" s="1"/>
      <c r="R481" s="1"/>
      <c r="S481" s="1"/>
      <c r="T481" s="1"/>
      <c r="U481" s="2"/>
      <c r="V481" s="1"/>
      <c r="W481" s="1"/>
      <c r="X481" s="1"/>
      <c r="Y481" s="1"/>
      <c r="Z481" s="1"/>
    </row>
    <row r="482" spans="1:26" ht="24.75" customHeight="1">
      <c r="A482" s="1"/>
      <c r="B482" s="1"/>
      <c r="C482" s="1"/>
      <c r="D482" s="1"/>
      <c r="E482" s="1"/>
      <c r="F482" s="1"/>
      <c r="G482" s="1"/>
      <c r="H482" s="1"/>
      <c r="I482" s="1"/>
      <c r="J482" s="1"/>
      <c r="K482" s="1"/>
      <c r="L482" s="1"/>
      <c r="M482" s="1"/>
      <c r="N482" s="1"/>
      <c r="O482" s="1"/>
      <c r="P482" s="1"/>
      <c r="Q482" s="1"/>
      <c r="R482" s="1"/>
      <c r="S482" s="1"/>
      <c r="T482" s="1"/>
      <c r="U482" s="2"/>
      <c r="V482" s="1"/>
      <c r="W482" s="1"/>
      <c r="X482" s="1"/>
      <c r="Y482" s="1"/>
      <c r="Z482" s="1"/>
    </row>
    <row r="483" spans="1:26" ht="24.75" customHeight="1">
      <c r="A483" s="1"/>
      <c r="B483" s="1"/>
      <c r="C483" s="1"/>
      <c r="D483" s="1"/>
      <c r="E483" s="1"/>
      <c r="F483" s="1"/>
      <c r="G483" s="1"/>
      <c r="H483" s="1"/>
      <c r="I483" s="1"/>
      <c r="J483" s="1"/>
      <c r="K483" s="1"/>
      <c r="L483" s="1"/>
      <c r="M483" s="1"/>
      <c r="N483" s="1"/>
      <c r="O483" s="1"/>
      <c r="P483" s="1"/>
      <c r="Q483" s="1"/>
      <c r="R483" s="1"/>
      <c r="S483" s="1"/>
      <c r="T483" s="1"/>
      <c r="U483" s="2"/>
      <c r="V483" s="1"/>
      <c r="W483" s="1"/>
      <c r="X483" s="1"/>
      <c r="Y483" s="1"/>
      <c r="Z483" s="1"/>
    </row>
    <row r="484" spans="1:26" ht="24.75" customHeight="1">
      <c r="A484" s="1"/>
      <c r="B484" s="1"/>
      <c r="C484" s="1"/>
      <c r="D484" s="1"/>
      <c r="E484" s="1"/>
      <c r="F484" s="1"/>
      <c r="G484" s="1"/>
      <c r="H484" s="1"/>
      <c r="I484" s="1"/>
      <c r="J484" s="1"/>
      <c r="K484" s="1"/>
      <c r="L484" s="1"/>
      <c r="M484" s="1"/>
      <c r="N484" s="1"/>
      <c r="O484" s="1"/>
      <c r="P484" s="1"/>
      <c r="Q484" s="1"/>
      <c r="R484" s="1"/>
      <c r="S484" s="1"/>
      <c r="T484" s="1"/>
      <c r="U484" s="2"/>
      <c r="V484" s="1"/>
      <c r="W484" s="1"/>
      <c r="X484" s="1"/>
      <c r="Y484" s="1"/>
      <c r="Z484" s="1"/>
    </row>
    <row r="485" spans="1:26" ht="24.75" customHeight="1">
      <c r="A485" s="1"/>
      <c r="B485" s="1"/>
      <c r="C485" s="1"/>
      <c r="D485" s="1"/>
      <c r="E485" s="1"/>
      <c r="F485" s="1"/>
      <c r="G485" s="1"/>
      <c r="H485" s="1"/>
      <c r="I485" s="1"/>
      <c r="J485" s="1"/>
      <c r="K485" s="1"/>
      <c r="L485" s="1"/>
      <c r="M485" s="1"/>
      <c r="N485" s="1"/>
      <c r="O485" s="1"/>
      <c r="P485" s="1"/>
      <c r="Q485" s="1"/>
      <c r="R485" s="1"/>
      <c r="S485" s="1"/>
      <c r="T485" s="1"/>
      <c r="U485" s="2"/>
      <c r="V485" s="1"/>
      <c r="W485" s="1"/>
      <c r="X485" s="1"/>
      <c r="Y485" s="1"/>
      <c r="Z485" s="1"/>
    </row>
    <row r="486" spans="1:26" ht="24.75" customHeight="1">
      <c r="A486" s="1"/>
      <c r="B486" s="1"/>
      <c r="C486" s="1"/>
      <c r="D486" s="1"/>
      <c r="E486" s="1"/>
      <c r="F486" s="1"/>
      <c r="G486" s="1"/>
      <c r="H486" s="1"/>
      <c r="I486" s="1"/>
      <c r="J486" s="1"/>
      <c r="K486" s="1"/>
      <c r="L486" s="1"/>
      <c r="M486" s="1"/>
      <c r="N486" s="1"/>
      <c r="O486" s="1"/>
      <c r="P486" s="1"/>
      <c r="Q486" s="1"/>
      <c r="R486" s="1"/>
      <c r="S486" s="1"/>
      <c r="T486" s="1"/>
      <c r="U486" s="2"/>
      <c r="V486" s="1"/>
      <c r="W486" s="1"/>
      <c r="X486" s="1"/>
      <c r="Y486" s="1"/>
      <c r="Z486" s="1"/>
    </row>
    <row r="487" spans="1:26" ht="24.75" customHeight="1">
      <c r="A487" s="1"/>
      <c r="B487" s="1"/>
      <c r="C487" s="1"/>
      <c r="D487" s="1"/>
      <c r="E487" s="1"/>
      <c r="F487" s="1"/>
      <c r="G487" s="1"/>
      <c r="H487" s="1"/>
      <c r="I487" s="1"/>
      <c r="J487" s="1"/>
      <c r="K487" s="1"/>
      <c r="L487" s="1"/>
      <c r="M487" s="1"/>
      <c r="N487" s="1"/>
      <c r="O487" s="1"/>
      <c r="P487" s="1"/>
      <c r="Q487" s="1"/>
      <c r="R487" s="1"/>
      <c r="S487" s="1"/>
      <c r="T487" s="1"/>
      <c r="U487" s="2"/>
      <c r="V487" s="1"/>
      <c r="W487" s="1"/>
      <c r="X487" s="1"/>
      <c r="Y487" s="1"/>
      <c r="Z487" s="1"/>
    </row>
    <row r="488" spans="1:26" ht="24.75" customHeight="1">
      <c r="A488" s="1"/>
      <c r="B488" s="1"/>
      <c r="C488" s="1"/>
      <c r="D488" s="1"/>
      <c r="E488" s="1"/>
      <c r="F488" s="1"/>
      <c r="G488" s="1"/>
      <c r="H488" s="1"/>
      <c r="I488" s="1"/>
      <c r="J488" s="1"/>
      <c r="K488" s="1"/>
      <c r="L488" s="1"/>
      <c r="M488" s="1"/>
      <c r="N488" s="1"/>
      <c r="O488" s="1"/>
      <c r="P488" s="1"/>
      <c r="Q488" s="1"/>
      <c r="R488" s="1"/>
      <c r="S488" s="1"/>
      <c r="T488" s="1"/>
      <c r="U488" s="2"/>
      <c r="V488" s="1"/>
      <c r="W488" s="1"/>
      <c r="X488" s="1"/>
      <c r="Y488" s="1"/>
      <c r="Z488" s="1"/>
    </row>
    <row r="489" spans="1:26" ht="24.75" customHeight="1">
      <c r="A489" s="1"/>
      <c r="B489" s="1"/>
      <c r="C489" s="1"/>
      <c r="D489" s="1"/>
      <c r="E489" s="1"/>
      <c r="F489" s="1"/>
      <c r="G489" s="1"/>
      <c r="H489" s="1"/>
      <c r="I489" s="1"/>
      <c r="J489" s="1"/>
      <c r="K489" s="1"/>
      <c r="L489" s="1"/>
      <c r="M489" s="1"/>
      <c r="N489" s="1"/>
      <c r="O489" s="1"/>
      <c r="P489" s="1"/>
      <c r="Q489" s="1"/>
      <c r="R489" s="1"/>
      <c r="S489" s="1"/>
      <c r="T489" s="1"/>
      <c r="U489" s="2"/>
      <c r="V489" s="1"/>
      <c r="W489" s="1"/>
      <c r="X489" s="1"/>
      <c r="Y489" s="1"/>
      <c r="Z489" s="1"/>
    </row>
    <row r="490" spans="1:26" ht="24.75" customHeight="1">
      <c r="A490" s="1"/>
      <c r="B490" s="1"/>
      <c r="C490" s="1"/>
      <c r="D490" s="1"/>
      <c r="E490" s="1"/>
      <c r="F490" s="1"/>
      <c r="G490" s="1"/>
      <c r="H490" s="1"/>
      <c r="I490" s="1"/>
      <c r="J490" s="1"/>
      <c r="K490" s="1"/>
      <c r="L490" s="1"/>
      <c r="M490" s="1"/>
      <c r="N490" s="1"/>
      <c r="O490" s="1"/>
      <c r="P490" s="1"/>
      <c r="Q490" s="1"/>
      <c r="R490" s="1"/>
      <c r="S490" s="1"/>
      <c r="T490" s="1"/>
      <c r="U490" s="2"/>
      <c r="V490" s="1"/>
      <c r="W490" s="1"/>
      <c r="X490" s="1"/>
      <c r="Y490" s="1"/>
      <c r="Z490" s="1"/>
    </row>
    <row r="491" spans="1:26" ht="24.75" customHeight="1">
      <c r="A491" s="1"/>
      <c r="B491" s="1"/>
      <c r="C491" s="1"/>
      <c r="D491" s="1"/>
      <c r="E491" s="1"/>
      <c r="F491" s="1"/>
      <c r="G491" s="1"/>
      <c r="H491" s="1"/>
      <c r="I491" s="1"/>
      <c r="J491" s="1"/>
      <c r="K491" s="1"/>
      <c r="L491" s="1"/>
      <c r="M491" s="1"/>
      <c r="N491" s="1"/>
      <c r="O491" s="1"/>
      <c r="P491" s="1"/>
      <c r="Q491" s="1"/>
      <c r="R491" s="1"/>
      <c r="S491" s="1"/>
      <c r="T491" s="1"/>
      <c r="U491" s="2"/>
      <c r="V491" s="1"/>
      <c r="W491" s="1"/>
      <c r="X491" s="1"/>
      <c r="Y491" s="1"/>
      <c r="Z491" s="1"/>
    </row>
    <row r="492" spans="1:26" ht="24.75" customHeight="1">
      <c r="A492" s="1"/>
      <c r="B492" s="1"/>
      <c r="C492" s="1"/>
      <c r="D492" s="1"/>
      <c r="E492" s="1"/>
      <c r="F492" s="1"/>
      <c r="G492" s="1"/>
      <c r="H492" s="1"/>
      <c r="I492" s="1"/>
      <c r="J492" s="1"/>
      <c r="K492" s="1"/>
      <c r="L492" s="1"/>
      <c r="M492" s="1"/>
      <c r="N492" s="1"/>
      <c r="O492" s="1"/>
      <c r="P492" s="1"/>
      <c r="Q492" s="1"/>
      <c r="R492" s="1"/>
      <c r="S492" s="1"/>
      <c r="T492" s="1"/>
      <c r="U492" s="2"/>
      <c r="V492" s="1"/>
      <c r="W492" s="1"/>
      <c r="X492" s="1"/>
      <c r="Y492" s="1"/>
      <c r="Z492" s="1"/>
    </row>
    <row r="493" spans="1:26" ht="24.75" customHeight="1">
      <c r="A493" s="1"/>
      <c r="B493" s="1"/>
      <c r="C493" s="1"/>
      <c r="D493" s="1"/>
      <c r="E493" s="1"/>
      <c r="F493" s="1"/>
      <c r="G493" s="1"/>
      <c r="H493" s="1"/>
      <c r="I493" s="1"/>
      <c r="J493" s="1"/>
      <c r="K493" s="1"/>
      <c r="L493" s="1"/>
      <c r="M493" s="1"/>
      <c r="N493" s="1"/>
      <c r="O493" s="1"/>
      <c r="P493" s="1"/>
      <c r="Q493" s="1"/>
      <c r="R493" s="1"/>
      <c r="S493" s="1"/>
      <c r="T493" s="1"/>
      <c r="U493" s="2"/>
      <c r="V493" s="1"/>
      <c r="W493" s="1"/>
      <c r="X493" s="1"/>
      <c r="Y493" s="1"/>
      <c r="Z493" s="1"/>
    </row>
    <row r="494" spans="1:26" ht="24.75" customHeight="1">
      <c r="A494" s="1"/>
      <c r="B494" s="1"/>
      <c r="C494" s="1"/>
      <c r="D494" s="1"/>
      <c r="E494" s="1"/>
      <c r="F494" s="1"/>
      <c r="G494" s="1"/>
      <c r="H494" s="1"/>
      <c r="I494" s="1"/>
      <c r="J494" s="1"/>
      <c r="K494" s="1"/>
      <c r="L494" s="1"/>
      <c r="M494" s="1"/>
      <c r="N494" s="1"/>
      <c r="O494" s="1"/>
      <c r="P494" s="1"/>
      <c r="Q494" s="1"/>
      <c r="R494" s="1"/>
      <c r="S494" s="1"/>
      <c r="T494" s="1"/>
      <c r="U494" s="2"/>
      <c r="V494" s="1"/>
      <c r="W494" s="1"/>
      <c r="X494" s="1"/>
      <c r="Y494" s="1"/>
      <c r="Z494" s="1"/>
    </row>
    <row r="495" spans="1:26" ht="24.75" customHeight="1">
      <c r="A495" s="1"/>
      <c r="B495" s="1"/>
      <c r="C495" s="1"/>
      <c r="D495" s="1"/>
      <c r="E495" s="1"/>
      <c r="F495" s="1"/>
      <c r="G495" s="1"/>
      <c r="H495" s="1"/>
      <c r="I495" s="1"/>
      <c r="J495" s="1"/>
      <c r="K495" s="1"/>
      <c r="L495" s="1"/>
      <c r="M495" s="1"/>
      <c r="N495" s="1"/>
      <c r="O495" s="1"/>
      <c r="P495" s="1"/>
      <c r="Q495" s="1"/>
      <c r="R495" s="1"/>
      <c r="S495" s="1"/>
      <c r="T495" s="1"/>
      <c r="U495" s="2"/>
      <c r="V495" s="1"/>
      <c r="W495" s="1"/>
      <c r="X495" s="1"/>
      <c r="Y495" s="1"/>
      <c r="Z495" s="1"/>
    </row>
    <row r="496" spans="1:26" ht="24.75" customHeight="1">
      <c r="A496" s="1"/>
      <c r="B496" s="1"/>
      <c r="C496" s="1"/>
      <c r="D496" s="1"/>
      <c r="E496" s="1"/>
      <c r="F496" s="1"/>
      <c r="G496" s="1"/>
      <c r="H496" s="1"/>
      <c r="I496" s="1"/>
      <c r="J496" s="1"/>
      <c r="K496" s="1"/>
      <c r="L496" s="1"/>
      <c r="M496" s="1"/>
      <c r="N496" s="1"/>
      <c r="O496" s="1"/>
      <c r="P496" s="1"/>
      <c r="Q496" s="1"/>
      <c r="R496" s="1"/>
      <c r="S496" s="1"/>
      <c r="T496" s="1"/>
      <c r="U496" s="2"/>
      <c r="V496" s="1"/>
      <c r="W496" s="1"/>
      <c r="X496" s="1"/>
      <c r="Y496" s="1"/>
      <c r="Z496" s="1"/>
    </row>
    <row r="497" spans="1:26" ht="24.75" customHeight="1">
      <c r="A497" s="1"/>
      <c r="B497" s="1"/>
      <c r="C497" s="1"/>
      <c r="D497" s="1"/>
      <c r="E497" s="1"/>
      <c r="F497" s="1"/>
      <c r="G497" s="1"/>
      <c r="H497" s="1"/>
      <c r="I497" s="1"/>
      <c r="J497" s="1"/>
      <c r="K497" s="1"/>
      <c r="L497" s="1"/>
      <c r="M497" s="1"/>
      <c r="N497" s="1"/>
      <c r="O497" s="1"/>
      <c r="P497" s="1"/>
      <c r="Q497" s="1"/>
      <c r="R497" s="1"/>
      <c r="S497" s="1"/>
      <c r="T497" s="1"/>
      <c r="U497" s="2"/>
      <c r="V497" s="1"/>
      <c r="W497" s="1"/>
      <c r="X497" s="1"/>
      <c r="Y497" s="1"/>
      <c r="Z497" s="1"/>
    </row>
    <row r="498" spans="1:26" ht="24.75" customHeight="1">
      <c r="A498" s="1"/>
      <c r="B498" s="1"/>
      <c r="C498" s="1"/>
      <c r="D498" s="1"/>
      <c r="E498" s="1"/>
      <c r="F498" s="1"/>
      <c r="G498" s="1"/>
      <c r="H498" s="1"/>
      <c r="I498" s="1"/>
      <c r="J498" s="1"/>
      <c r="K498" s="1"/>
      <c r="L498" s="1"/>
      <c r="M498" s="1"/>
      <c r="N498" s="1"/>
      <c r="O498" s="1"/>
      <c r="P498" s="1"/>
      <c r="Q498" s="1"/>
      <c r="R498" s="1"/>
      <c r="S498" s="1"/>
      <c r="T498" s="1"/>
      <c r="U498" s="2"/>
      <c r="V498" s="1"/>
      <c r="W498" s="1"/>
      <c r="X498" s="1"/>
      <c r="Y498" s="1"/>
      <c r="Z498" s="1"/>
    </row>
    <row r="499" spans="1:26" ht="24.75" customHeight="1">
      <c r="A499" s="1"/>
      <c r="B499" s="1"/>
      <c r="C499" s="1"/>
      <c r="D499" s="1"/>
      <c r="E499" s="1"/>
      <c r="F499" s="1"/>
      <c r="G499" s="1"/>
      <c r="H499" s="1"/>
      <c r="I499" s="1"/>
      <c r="J499" s="1"/>
      <c r="K499" s="1"/>
      <c r="L499" s="1"/>
      <c r="M499" s="1"/>
      <c r="N499" s="1"/>
      <c r="O499" s="1"/>
      <c r="P499" s="1"/>
      <c r="Q499" s="1"/>
      <c r="R499" s="1"/>
      <c r="S499" s="1"/>
      <c r="T499" s="1"/>
      <c r="U499" s="2"/>
      <c r="V499" s="1"/>
      <c r="W499" s="1"/>
      <c r="X499" s="1"/>
      <c r="Y499" s="1"/>
      <c r="Z499" s="1"/>
    </row>
    <row r="500" spans="1:26" ht="24.75" customHeight="1">
      <c r="A500" s="1"/>
      <c r="B500" s="1"/>
      <c r="C500" s="1"/>
      <c r="D500" s="1"/>
      <c r="E500" s="1"/>
      <c r="F500" s="1"/>
      <c r="G500" s="1"/>
      <c r="H500" s="1"/>
      <c r="I500" s="1"/>
      <c r="J500" s="1"/>
      <c r="K500" s="1"/>
      <c r="L500" s="1"/>
      <c r="M500" s="1"/>
      <c r="N500" s="1"/>
      <c r="O500" s="1"/>
      <c r="P500" s="1"/>
      <c r="Q500" s="1"/>
      <c r="R500" s="1"/>
      <c r="S500" s="1"/>
      <c r="T500" s="1"/>
      <c r="U500" s="2"/>
      <c r="V500" s="1"/>
      <c r="W500" s="1"/>
      <c r="X500" s="1"/>
      <c r="Y500" s="1"/>
      <c r="Z500" s="1"/>
    </row>
    <row r="501" spans="1:26" ht="24.75" customHeight="1">
      <c r="A501" s="1"/>
      <c r="B501" s="1"/>
      <c r="C501" s="1"/>
      <c r="D501" s="1"/>
      <c r="E501" s="1"/>
      <c r="F501" s="1"/>
      <c r="G501" s="1"/>
      <c r="H501" s="1"/>
      <c r="I501" s="1"/>
      <c r="J501" s="1"/>
      <c r="K501" s="1"/>
      <c r="L501" s="1"/>
      <c r="M501" s="1"/>
      <c r="N501" s="1"/>
      <c r="O501" s="1"/>
      <c r="P501" s="1"/>
      <c r="Q501" s="1"/>
      <c r="R501" s="1"/>
      <c r="S501" s="1"/>
      <c r="T501" s="1"/>
      <c r="U501" s="2"/>
      <c r="V501" s="1"/>
      <c r="W501" s="1"/>
      <c r="X501" s="1"/>
      <c r="Y501" s="1"/>
      <c r="Z501" s="1"/>
    </row>
    <row r="502" spans="1:26" ht="24.75" customHeight="1">
      <c r="A502" s="1"/>
      <c r="B502" s="1"/>
      <c r="C502" s="1"/>
      <c r="D502" s="1"/>
      <c r="E502" s="1"/>
      <c r="F502" s="1"/>
      <c r="G502" s="1"/>
      <c r="H502" s="1"/>
      <c r="I502" s="1"/>
      <c r="J502" s="1"/>
      <c r="K502" s="1"/>
      <c r="L502" s="1"/>
      <c r="M502" s="1"/>
      <c r="N502" s="1"/>
      <c r="O502" s="1"/>
      <c r="P502" s="1"/>
      <c r="Q502" s="1"/>
      <c r="R502" s="1"/>
      <c r="S502" s="1"/>
      <c r="T502" s="1"/>
      <c r="U502" s="2"/>
      <c r="V502" s="1"/>
      <c r="W502" s="1"/>
      <c r="X502" s="1"/>
      <c r="Y502" s="1"/>
      <c r="Z502" s="1"/>
    </row>
    <row r="503" spans="1:26" ht="24.75" customHeight="1">
      <c r="A503" s="1"/>
      <c r="B503" s="1"/>
      <c r="C503" s="1"/>
      <c r="D503" s="1"/>
      <c r="E503" s="1"/>
      <c r="F503" s="1"/>
      <c r="G503" s="1"/>
      <c r="H503" s="1"/>
      <c r="I503" s="1"/>
      <c r="J503" s="1"/>
      <c r="K503" s="1"/>
      <c r="L503" s="1"/>
      <c r="M503" s="1"/>
      <c r="N503" s="1"/>
      <c r="O503" s="1"/>
      <c r="P503" s="1"/>
      <c r="Q503" s="1"/>
      <c r="R503" s="1"/>
      <c r="S503" s="1"/>
      <c r="T503" s="1"/>
      <c r="U503" s="2"/>
      <c r="V503" s="1"/>
      <c r="W503" s="1"/>
      <c r="X503" s="1"/>
      <c r="Y503" s="1"/>
      <c r="Z503" s="1"/>
    </row>
    <row r="504" spans="1:26" ht="24.75" customHeight="1">
      <c r="A504" s="1"/>
      <c r="B504" s="1"/>
      <c r="C504" s="1"/>
      <c r="D504" s="1"/>
      <c r="E504" s="1"/>
      <c r="F504" s="1"/>
      <c r="G504" s="1"/>
      <c r="H504" s="1"/>
      <c r="I504" s="1"/>
      <c r="J504" s="1"/>
      <c r="K504" s="1"/>
      <c r="L504" s="1"/>
      <c r="M504" s="1"/>
      <c r="N504" s="1"/>
      <c r="O504" s="1"/>
      <c r="P504" s="1"/>
      <c r="Q504" s="1"/>
      <c r="R504" s="1"/>
      <c r="S504" s="1"/>
      <c r="T504" s="1"/>
      <c r="U504" s="2"/>
      <c r="V504" s="1"/>
      <c r="W504" s="1"/>
      <c r="X504" s="1"/>
      <c r="Y504" s="1"/>
      <c r="Z504" s="1"/>
    </row>
    <row r="505" spans="1:26" ht="24.75" customHeight="1">
      <c r="A505" s="1"/>
      <c r="B505" s="1"/>
      <c r="C505" s="1"/>
      <c r="D505" s="1"/>
      <c r="E505" s="1"/>
      <c r="F505" s="1"/>
      <c r="G505" s="1"/>
      <c r="H505" s="1"/>
      <c r="I505" s="1"/>
      <c r="J505" s="1"/>
      <c r="K505" s="1"/>
      <c r="L505" s="1"/>
      <c r="M505" s="1"/>
      <c r="N505" s="1"/>
      <c r="O505" s="1"/>
      <c r="P505" s="1"/>
      <c r="Q505" s="1"/>
      <c r="R505" s="1"/>
      <c r="S505" s="1"/>
      <c r="T505" s="1"/>
      <c r="U505" s="2"/>
      <c r="V505" s="1"/>
      <c r="W505" s="1"/>
      <c r="X505" s="1"/>
      <c r="Y505" s="1"/>
      <c r="Z505" s="1"/>
    </row>
    <row r="506" spans="1:26" ht="24.75" customHeight="1">
      <c r="A506" s="1"/>
      <c r="B506" s="1"/>
      <c r="C506" s="1"/>
      <c r="D506" s="1"/>
      <c r="E506" s="1"/>
      <c r="F506" s="1"/>
      <c r="G506" s="1"/>
      <c r="H506" s="1"/>
      <c r="I506" s="1"/>
      <c r="J506" s="1"/>
      <c r="K506" s="1"/>
      <c r="L506" s="1"/>
      <c r="M506" s="1"/>
      <c r="N506" s="1"/>
      <c r="O506" s="1"/>
      <c r="P506" s="1"/>
      <c r="Q506" s="1"/>
      <c r="R506" s="1"/>
      <c r="S506" s="1"/>
      <c r="T506" s="1"/>
      <c r="U506" s="2"/>
      <c r="V506" s="1"/>
      <c r="W506" s="1"/>
      <c r="X506" s="1"/>
      <c r="Y506" s="1"/>
      <c r="Z506" s="1"/>
    </row>
    <row r="507" spans="1:26" ht="24.75" customHeight="1">
      <c r="A507" s="1"/>
      <c r="B507" s="1"/>
      <c r="C507" s="1"/>
      <c r="D507" s="1"/>
      <c r="E507" s="1"/>
      <c r="F507" s="1"/>
      <c r="G507" s="1"/>
      <c r="H507" s="1"/>
      <c r="I507" s="1"/>
      <c r="J507" s="1"/>
      <c r="K507" s="1"/>
      <c r="L507" s="1"/>
      <c r="M507" s="1"/>
      <c r="N507" s="1"/>
      <c r="O507" s="1"/>
      <c r="P507" s="1"/>
      <c r="Q507" s="1"/>
      <c r="R507" s="1"/>
      <c r="S507" s="1"/>
      <c r="T507" s="1"/>
      <c r="U507" s="2"/>
      <c r="V507" s="1"/>
      <c r="W507" s="1"/>
      <c r="X507" s="1"/>
      <c r="Y507" s="1"/>
      <c r="Z507" s="1"/>
    </row>
    <row r="508" spans="1:26" ht="24.75" customHeight="1">
      <c r="A508" s="1"/>
      <c r="B508" s="1"/>
      <c r="C508" s="1"/>
      <c r="D508" s="1"/>
      <c r="E508" s="1"/>
      <c r="F508" s="1"/>
      <c r="G508" s="1"/>
      <c r="H508" s="1"/>
      <c r="I508" s="1"/>
      <c r="J508" s="1"/>
      <c r="K508" s="1"/>
      <c r="L508" s="1"/>
      <c r="M508" s="1"/>
      <c r="N508" s="1"/>
      <c r="O508" s="1"/>
      <c r="P508" s="1"/>
      <c r="Q508" s="1"/>
      <c r="R508" s="1"/>
      <c r="S508" s="1"/>
      <c r="T508" s="1"/>
      <c r="U508" s="2"/>
      <c r="V508" s="1"/>
      <c r="W508" s="1"/>
      <c r="X508" s="1"/>
      <c r="Y508" s="1"/>
      <c r="Z508" s="1"/>
    </row>
    <row r="509" spans="1:26" ht="24.75" customHeight="1">
      <c r="A509" s="1"/>
      <c r="B509" s="1"/>
      <c r="C509" s="1"/>
      <c r="D509" s="1"/>
      <c r="E509" s="1"/>
      <c r="F509" s="1"/>
      <c r="G509" s="1"/>
      <c r="H509" s="1"/>
      <c r="I509" s="1"/>
      <c r="J509" s="1"/>
      <c r="K509" s="1"/>
      <c r="L509" s="1"/>
      <c r="M509" s="1"/>
      <c r="N509" s="1"/>
      <c r="O509" s="1"/>
      <c r="P509" s="1"/>
      <c r="Q509" s="1"/>
      <c r="R509" s="1"/>
      <c r="S509" s="1"/>
      <c r="T509" s="1"/>
      <c r="U509" s="2"/>
      <c r="V509" s="1"/>
      <c r="W509" s="1"/>
      <c r="X509" s="1"/>
      <c r="Y509" s="1"/>
      <c r="Z509" s="1"/>
    </row>
    <row r="510" spans="1:26" ht="24.75" customHeight="1">
      <c r="A510" s="1"/>
      <c r="B510" s="1"/>
      <c r="C510" s="1"/>
      <c r="D510" s="1"/>
      <c r="E510" s="1"/>
      <c r="F510" s="1"/>
      <c r="G510" s="1"/>
      <c r="H510" s="1"/>
      <c r="I510" s="1"/>
      <c r="J510" s="1"/>
      <c r="K510" s="1"/>
      <c r="L510" s="1"/>
      <c r="M510" s="1"/>
      <c r="N510" s="1"/>
      <c r="O510" s="1"/>
      <c r="P510" s="1"/>
      <c r="Q510" s="1"/>
      <c r="R510" s="1"/>
      <c r="S510" s="1"/>
      <c r="T510" s="1"/>
      <c r="U510" s="2"/>
      <c r="V510" s="1"/>
      <c r="W510" s="1"/>
      <c r="X510" s="1"/>
      <c r="Y510" s="1"/>
      <c r="Z510" s="1"/>
    </row>
    <row r="511" spans="1:26" ht="24.75" customHeight="1">
      <c r="A511" s="1"/>
      <c r="B511" s="1"/>
      <c r="C511" s="1"/>
      <c r="D511" s="1"/>
      <c r="E511" s="1"/>
      <c r="F511" s="1"/>
      <c r="G511" s="1"/>
      <c r="H511" s="1"/>
      <c r="I511" s="1"/>
      <c r="J511" s="1"/>
      <c r="K511" s="1"/>
      <c r="L511" s="1"/>
      <c r="M511" s="1"/>
      <c r="N511" s="1"/>
      <c r="O511" s="1"/>
      <c r="P511" s="1"/>
      <c r="Q511" s="1"/>
      <c r="R511" s="1"/>
      <c r="S511" s="1"/>
      <c r="T511" s="1"/>
      <c r="U511" s="2"/>
      <c r="V511" s="1"/>
      <c r="W511" s="1"/>
      <c r="X511" s="1"/>
      <c r="Y511" s="1"/>
      <c r="Z511" s="1"/>
    </row>
    <row r="512" spans="1:26" ht="24.75" customHeight="1">
      <c r="A512" s="1"/>
      <c r="B512" s="1"/>
      <c r="C512" s="1"/>
      <c r="D512" s="1"/>
      <c r="E512" s="1"/>
      <c r="F512" s="1"/>
      <c r="G512" s="1"/>
      <c r="H512" s="1"/>
      <c r="I512" s="1"/>
      <c r="J512" s="1"/>
      <c r="K512" s="1"/>
      <c r="L512" s="1"/>
      <c r="M512" s="1"/>
      <c r="N512" s="1"/>
      <c r="O512" s="1"/>
      <c r="P512" s="1"/>
      <c r="Q512" s="1"/>
      <c r="R512" s="1"/>
      <c r="S512" s="1"/>
      <c r="T512" s="1"/>
      <c r="U512" s="2"/>
      <c r="V512" s="1"/>
      <c r="W512" s="1"/>
      <c r="X512" s="1"/>
      <c r="Y512" s="1"/>
      <c r="Z512" s="1"/>
    </row>
    <row r="513" spans="1:26" ht="24.75" customHeight="1">
      <c r="A513" s="1"/>
      <c r="B513" s="1"/>
      <c r="C513" s="1"/>
      <c r="D513" s="1"/>
      <c r="E513" s="1"/>
      <c r="F513" s="1"/>
      <c r="G513" s="1"/>
      <c r="H513" s="1"/>
      <c r="I513" s="1"/>
      <c r="J513" s="1"/>
      <c r="K513" s="1"/>
      <c r="L513" s="1"/>
      <c r="M513" s="1"/>
      <c r="N513" s="1"/>
      <c r="O513" s="1"/>
      <c r="P513" s="1"/>
      <c r="Q513" s="1"/>
      <c r="R513" s="1"/>
      <c r="S513" s="1"/>
      <c r="T513" s="1"/>
      <c r="U513" s="2"/>
      <c r="V513" s="1"/>
      <c r="W513" s="1"/>
      <c r="X513" s="1"/>
      <c r="Y513" s="1"/>
      <c r="Z513" s="1"/>
    </row>
    <row r="514" spans="1:26" ht="24.75" customHeight="1">
      <c r="A514" s="1"/>
      <c r="B514" s="1"/>
      <c r="C514" s="1"/>
      <c r="D514" s="1"/>
      <c r="E514" s="1"/>
      <c r="F514" s="1"/>
      <c r="G514" s="1"/>
      <c r="H514" s="1"/>
      <c r="I514" s="1"/>
      <c r="J514" s="1"/>
      <c r="K514" s="1"/>
      <c r="L514" s="1"/>
      <c r="M514" s="1"/>
      <c r="N514" s="1"/>
      <c r="O514" s="1"/>
      <c r="P514" s="1"/>
      <c r="Q514" s="1"/>
      <c r="R514" s="1"/>
      <c r="S514" s="1"/>
      <c r="T514" s="1"/>
      <c r="U514" s="2"/>
      <c r="V514" s="1"/>
      <c r="W514" s="1"/>
      <c r="X514" s="1"/>
      <c r="Y514" s="1"/>
      <c r="Z514" s="1"/>
    </row>
    <row r="515" spans="1:26" ht="24.75" customHeight="1">
      <c r="A515" s="1"/>
      <c r="B515" s="1"/>
      <c r="C515" s="1"/>
      <c r="D515" s="1"/>
      <c r="E515" s="1"/>
      <c r="F515" s="1"/>
      <c r="G515" s="1"/>
      <c r="H515" s="1"/>
      <c r="I515" s="1"/>
      <c r="J515" s="1"/>
      <c r="K515" s="1"/>
      <c r="L515" s="1"/>
      <c r="M515" s="1"/>
      <c r="N515" s="1"/>
      <c r="O515" s="1"/>
      <c r="P515" s="1"/>
      <c r="Q515" s="1"/>
      <c r="R515" s="1"/>
      <c r="S515" s="1"/>
      <c r="T515" s="1"/>
      <c r="U515" s="2"/>
      <c r="V515" s="1"/>
      <c r="W515" s="1"/>
      <c r="X515" s="1"/>
      <c r="Y515" s="1"/>
      <c r="Z515" s="1"/>
    </row>
    <row r="516" spans="1:26" ht="24.75" customHeight="1">
      <c r="A516" s="1"/>
      <c r="B516" s="1"/>
      <c r="C516" s="1"/>
      <c r="D516" s="1"/>
      <c r="E516" s="1"/>
      <c r="F516" s="1"/>
      <c r="G516" s="1"/>
      <c r="H516" s="1"/>
      <c r="I516" s="1"/>
      <c r="J516" s="1"/>
      <c r="K516" s="1"/>
      <c r="L516" s="1"/>
      <c r="M516" s="1"/>
      <c r="N516" s="1"/>
      <c r="O516" s="1"/>
      <c r="P516" s="1"/>
      <c r="Q516" s="1"/>
      <c r="R516" s="1"/>
      <c r="S516" s="1"/>
      <c r="T516" s="1"/>
      <c r="U516" s="2"/>
      <c r="V516" s="1"/>
      <c r="W516" s="1"/>
      <c r="X516" s="1"/>
      <c r="Y516" s="1"/>
      <c r="Z516" s="1"/>
    </row>
    <row r="517" spans="1:26" ht="24.75" customHeight="1">
      <c r="A517" s="1"/>
      <c r="B517" s="1"/>
      <c r="C517" s="1"/>
      <c r="D517" s="1"/>
      <c r="E517" s="1"/>
      <c r="F517" s="1"/>
      <c r="G517" s="1"/>
      <c r="H517" s="1"/>
      <c r="I517" s="1"/>
      <c r="J517" s="1"/>
      <c r="K517" s="1"/>
      <c r="L517" s="1"/>
      <c r="M517" s="1"/>
      <c r="N517" s="1"/>
      <c r="O517" s="1"/>
      <c r="P517" s="1"/>
      <c r="Q517" s="1"/>
      <c r="R517" s="1"/>
      <c r="S517" s="1"/>
      <c r="T517" s="1"/>
      <c r="U517" s="2"/>
      <c r="V517" s="1"/>
      <c r="W517" s="1"/>
      <c r="X517" s="1"/>
      <c r="Y517" s="1"/>
      <c r="Z517" s="1"/>
    </row>
    <row r="518" spans="1:26" ht="24.75" customHeight="1">
      <c r="A518" s="1"/>
      <c r="B518" s="1"/>
      <c r="C518" s="1"/>
      <c r="D518" s="1"/>
      <c r="E518" s="1"/>
      <c r="F518" s="1"/>
      <c r="G518" s="1"/>
      <c r="H518" s="1"/>
      <c r="I518" s="1"/>
      <c r="J518" s="1"/>
      <c r="K518" s="1"/>
      <c r="L518" s="1"/>
      <c r="M518" s="1"/>
      <c r="N518" s="1"/>
      <c r="O518" s="1"/>
      <c r="P518" s="1"/>
      <c r="Q518" s="1"/>
      <c r="R518" s="1"/>
      <c r="S518" s="1"/>
      <c r="T518" s="1"/>
      <c r="U518" s="2"/>
      <c r="V518" s="1"/>
      <c r="W518" s="1"/>
      <c r="X518" s="1"/>
      <c r="Y518" s="1"/>
      <c r="Z518" s="1"/>
    </row>
    <row r="519" spans="1:26" ht="24.75" customHeight="1">
      <c r="A519" s="1"/>
      <c r="B519" s="1"/>
      <c r="C519" s="1"/>
      <c r="D519" s="1"/>
      <c r="E519" s="1"/>
      <c r="F519" s="1"/>
      <c r="G519" s="1"/>
      <c r="H519" s="1"/>
      <c r="I519" s="1"/>
      <c r="J519" s="1"/>
      <c r="K519" s="1"/>
      <c r="L519" s="1"/>
      <c r="M519" s="1"/>
      <c r="N519" s="1"/>
      <c r="O519" s="1"/>
      <c r="P519" s="1"/>
      <c r="Q519" s="1"/>
      <c r="R519" s="1"/>
      <c r="S519" s="1"/>
      <c r="T519" s="1"/>
      <c r="U519" s="2"/>
      <c r="V519" s="1"/>
      <c r="W519" s="1"/>
      <c r="X519" s="1"/>
      <c r="Y519" s="1"/>
      <c r="Z519" s="1"/>
    </row>
    <row r="520" spans="1:26" ht="24.75" customHeight="1">
      <c r="A520" s="1"/>
      <c r="B520" s="1"/>
      <c r="C520" s="1"/>
      <c r="D520" s="1"/>
      <c r="E520" s="1"/>
      <c r="F520" s="1"/>
      <c r="G520" s="1"/>
      <c r="H520" s="1"/>
      <c r="I520" s="1"/>
      <c r="J520" s="1"/>
      <c r="K520" s="1"/>
      <c r="L520" s="1"/>
      <c r="M520" s="1"/>
      <c r="N520" s="1"/>
      <c r="O520" s="1"/>
      <c r="P520" s="1"/>
      <c r="Q520" s="1"/>
      <c r="R520" s="1"/>
      <c r="S520" s="1"/>
      <c r="T520" s="1"/>
      <c r="U520" s="2"/>
      <c r="V520" s="1"/>
      <c r="W520" s="1"/>
      <c r="X520" s="1"/>
      <c r="Y520" s="1"/>
      <c r="Z520" s="1"/>
    </row>
    <row r="521" spans="1:26" ht="24.75" customHeight="1">
      <c r="A521" s="1"/>
      <c r="B521" s="1"/>
      <c r="C521" s="1"/>
      <c r="D521" s="1"/>
      <c r="E521" s="1"/>
      <c r="F521" s="1"/>
      <c r="G521" s="1"/>
      <c r="H521" s="1"/>
      <c r="I521" s="1"/>
      <c r="J521" s="1"/>
      <c r="K521" s="1"/>
      <c r="L521" s="1"/>
      <c r="M521" s="1"/>
      <c r="N521" s="1"/>
      <c r="O521" s="1"/>
      <c r="P521" s="1"/>
      <c r="Q521" s="1"/>
      <c r="R521" s="1"/>
      <c r="S521" s="1"/>
      <c r="T521" s="1"/>
      <c r="U521" s="2"/>
      <c r="V521" s="1"/>
      <c r="W521" s="1"/>
      <c r="X521" s="1"/>
      <c r="Y521" s="1"/>
      <c r="Z521" s="1"/>
    </row>
    <row r="522" spans="1:26" ht="24.75" customHeight="1">
      <c r="A522" s="1"/>
      <c r="B522" s="1"/>
      <c r="C522" s="1"/>
      <c r="D522" s="1"/>
      <c r="E522" s="1"/>
      <c r="F522" s="1"/>
      <c r="G522" s="1"/>
      <c r="H522" s="1"/>
      <c r="I522" s="1"/>
      <c r="J522" s="1"/>
      <c r="K522" s="1"/>
      <c r="L522" s="1"/>
      <c r="M522" s="1"/>
      <c r="N522" s="1"/>
      <c r="O522" s="1"/>
      <c r="P522" s="1"/>
      <c r="Q522" s="1"/>
      <c r="R522" s="1"/>
      <c r="S522" s="1"/>
      <c r="T522" s="1"/>
      <c r="U522" s="2"/>
      <c r="V522" s="1"/>
      <c r="W522" s="1"/>
      <c r="X522" s="1"/>
      <c r="Y522" s="1"/>
      <c r="Z522" s="1"/>
    </row>
    <row r="523" spans="1:26" ht="24.75" customHeight="1">
      <c r="A523" s="1"/>
      <c r="B523" s="1"/>
      <c r="C523" s="1"/>
      <c r="D523" s="1"/>
      <c r="E523" s="1"/>
      <c r="F523" s="1"/>
      <c r="G523" s="1"/>
      <c r="H523" s="1"/>
      <c r="I523" s="1"/>
      <c r="J523" s="1"/>
      <c r="K523" s="1"/>
      <c r="L523" s="1"/>
      <c r="M523" s="1"/>
      <c r="N523" s="1"/>
      <c r="O523" s="1"/>
      <c r="P523" s="1"/>
      <c r="Q523" s="1"/>
      <c r="R523" s="1"/>
      <c r="S523" s="1"/>
      <c r="T523" s="1"/>
      <c r="U523" s="2"/>
      <c r="V523" s="1"/>
      <c r="W523" s="1"/>
      <c r="X523" s="1"/>
      <c r="Y523" s="1"/>
      <c r="Z523" s="1"/>
    </row>
    <row r="524" spans="1:26" ht="24.75" customHeight="1">
      <c r="A524" s="1"/>
      <c r="B524" s="1"/>
      <c r="C524" s="1"/>
      <c r="D524" s="1"/>
      <c r="E524" s="1"/>
      <c r="F524" s="1"/>
      <c r="G524" s="1"/>
      <c r="H524" s="1"/>
      <c r="I524" s="1"/>
      <c r="J524" s="1"/>
      <c r="K524" s="1"/>
      <c r="L524" s="1"/>
      <c r="M524" s="1"/>
      <c r="N524" s="1"/>
      <c r="O524" s="1"/>
      <c r="P524" s="1"/>
      <c r="Q524" s="1"/>
      <c r="R524" s="1"/>
      <c r="S524" s="1"/>
      <c r="T524" s="1"/>
      <c r="U524" s="2"/>
      <c r="V524" s="1"/>
      <c r="W524" s="1"/>
      <c r="X524" s="1"/>
      <c r="Y524" s="1"/>
      <c r="Z524" s="1"/>
    </row>
    <row r="525" spans="1:26" ht="24.75" customHeight="1">
      <c r="A525" s="1"/>
      <c r="B525" s="1"/>
      <c r="C525" s="1"/>
      <c r="D525" s="1"/>
      <c r="E525" s="1"/>
      <c r="F525" s="1"/>
      <c r="G525" s="1"/>
      <c r="H525" s="1"/>
      <c r="I525" s="1"/>
      <c r="J525" s="1"/>
      <c r="K525" s="1"/>
      <c r="L525" s="1"/>
      <c r="M525" s="1"/>
      <c r="N525" s="1"/>
      <c r="O525" s="1"/>
      <c r="P525" s="1"/>
      <c r="Q525" s="1"/>
      <c r="R525" s="1"/>
      <c r="S525" s="1"/>
      <c r="T525" s="1"/>
      <c r="U525" s="2"/>
      <c r="V525" s="1"/>
      <c r="W525" s="1"/>
      <c r="X525" s="1"/>
      <c r="Y525" s="1"/>
      <c r="Z525" s="1"/>
    </row>
    <row r="526" spans="1:26" ht="24.75" customHeight="1">
      <c r="A526" s="1"/>
      <c r="B526" s="1"/>
      <c r="C526" s="1"/>
      <c r="D526" s="1"/>
      <c r="E526" s="1"/>
      <c r="F526" s="1"/>
      <c r="G526" s="1"/>
      <c r="H526" s="1"/>
      <c r="I526" s="1"/>
      <c r="J526" s="1"/>
      <c r="K526" s="1"/>
      <c r="L526" s="1"/>
      <c r="M526" s="1"/>
      <c r="N526" s="1"/>
      <c r="O526" s="1"/>
      <c r="P526" s="1"/>
      <c r="Q526" s="1"/>
      <c r="R526" s="1"/>
      <c r="S526" s="1"/>
      <c r="T526" s="1"/>
      <c r="U526" s="2"/>
      <c r="V526" s="1"/>
      <c r="W526" s="1"/>
      <c r="X526" s="1"/>
      <c r="Y526" s="1"/>
      <c r="Z526" s="1"/>
    </row>
    <row r="527" spans="1:26" ht="24.75" customHeight="1">
      <c r="A527" s="1"/>
      <c r="B527" s="1"/>
      <c r="C527" s="1"/>
      <c r="D527" s="1"/>
      <c r="E527" s="1"/>
      <c r="F527" s="1"/>
      <c r="G527" s="1"/>
      <c r="H527" s="1"/>
      <c r="I527" s="1"/>
      <c r="J527" s="1"/>
      <c r="K527" s="1"/>
      <c r="L527" s="1"/>
      <c r="M527" s="1"/>
      <c r="N527" s="1"/>
      <c r="O527" s="1"/>
      <c r="P527" s="1"/>
      <c r="Q527" s="1"/>
      <c r="R527" s="1"/>
      <c r="S527" s="1"/>
      <c r="T527" s="1"/>
      <c r="U527" s="2"/>
      <c r="V527" s="1"/>
      <c r="W527" s="1"/>
      <c r="X527" s="1"/>
      <c r="Y527" s="1"/>
      <c r="Z527" s="1"/>
    </row>
    <row r="528" spans="1:26" ht="24.75" customHeight="1">
      <c r="A528" s="1"/>
      <c r="B528" s="1"/>
      <c r="C528" s="1"/>
      <c r="D528" s="1"/>
      <c r="E528" s="1"/>
      <c r="F528" s="1"/>
      <c r="G528" s="1"/>
      <c r="H528" s="1"/>
      <c r="I528" s="1"/>
      <c r="J528" s="1"/>
      <c r="K528" s="1"/>
      <c r="L528" s="1"/>
      <c r="M528" s="1"/>
      <c r="N528" s="1"/>
      <c r="O528" s="1"/>
      <c r="P528" s="1"/>
      <c r="Q528" s="1"/>
      <c r="R528" s="1"/>
      <c r="S528" s="1"/>
      <c r="T528" s="1"/>
      <c r="U528" s="2"/>
      <c r="V528" s="1"/>
      <c r="W528" s="1"/>
      <c r="X528" s="1"/>
      <c r="Y528" s="1"/>
      <c r="Z528" s="1"/>
    </row>
    <row r="529" spans="1:26" ht="24.75" customHeight="1">
      <c r="A529" s="1"/>
      <c r="B529" s="1"/>
      <c r="C529" s="1"/>
      <c r="D529" s="1"/>
      <c r="E529" s="1"/>
      <c r="F529" s="1"/>
      <c r="G529" s="1"/>
      <c r="H529" s="1"/>
      <c r="I529" s="1"/>
      <c r="J529" s="1"/>
      <c r="K529" s="1"/>
      <c r="L529" s="1"/>
      <c r="M529" s="1"/>
      <c r="N529" s="1"/>
      <c r="O529" s="1"/>
      <c r="P529" s="1"/>
      <c r="Q529" s="1"/>
      <c r="R529" s="1"/>
      <c r="S529" s="1"/>
      <c r="T529" s="1"/>
      <c r="U529" s="2"/>
      <c r="V529" s="1"/>
      <c r="W529" s="1"/>
      <c r="X529" s="1"/>
      <c r="Y529" s="1"/>
      <c r="Z529" s="1"/>
    </row>
    <row r="530" spans="1:26" ht="24.75" customHeight="1">
      <c r="A530" s="1"/>
      <c r="B530" s="1"/>
      <c r="C530" s="1"/>
      <c r="D530" s="1"/>
      <c r="E530" s="1"/>
      <c r="F530" s="1"/>
      <c r="G530" s="1"/>
      <c r="H530" s="1"/>
      <c r="I530" s="1"/>
      <c r="J530" s="1"/>
      <c r="K530" s="1"/>
      <c r="L530" s="1"/>
      <c r="M530" s="1"/>
      <c r="N530" s="1"/>
      <c r="O530" s="1"/>
      <c r="P530" s="1"/>
      <c r="Q530" s="1"/>
      <c r="R530" s="1"/>
      <c r="S530" s="1"/>
      <c r="T530" s="1"/>
      <c r="U530" s="2"/>
      <c r="V530" s="1"/>
      <c r="W530" s="1"/>
      <c r="X530" s="1"/>
      <c r="Y530" s="1"/>
      <c r="Z530" s="1"/>
    </row>
    <row r="531" spans="1:26" ht="24.75" customHeight="1">
      <c r="A531" s="1"/>
      <c r="B531" s="1"/>
      <c r="C531" s="1"/>
      <c r="D531" s="1"/>
      <c r="E531" s="1"/>
      <c r="F531" s="1"/>
      <c r="G531" s="1"/>
      <c r="H531" s="1"/>
      <c r="I531" s="1"/>
      <c r="J531" s="1"/>
      <c r="K531" s="1"/>
      <c r="L531" s="1"/>
      <c r="M531" s="1"/>
      <c r="N531" s="1"/>
      <c r="O531" s="1"/>
      <c r="P531" s="1"/>
      <c r="Q531" s="1"/>
      <c r="R531" s="1"/>
      <c r="S531" s="1"/>
      <c r="T531" s="1"/>
      <c r="U531" s="2"/>
      <c r="V531" s="1"/>
      <c r="W531" s="1"/>
      <c r="X531" s="1"/>
      <c r="Y531" s="1"/>
      <c r="Z531" s="1"/>
    </row>
    <row r="532" spans="1:26" ht="24.75" customHeight="1">
      <c r="A532" s="1"/>
      <c r="B532" s="1"/>
      <c r="C532" s="1"/>
      <c r="D532" s="1"/>
      <c r="E532" s="1"/>
      <c r="F532" s="1"/>
      <c r="G532" s="1"/>
      <c r="H532" s="1"/>
      <c r="I532" s="1"/>
      <c r="J532" s="1"/>
      <c r="K532" s="1"/>
      <c r="L532" s="1"/>
      <c r="M532" s="1"/>
      <c r="N532" s="1"/>
      <c r="O532" s="1"/>
      <c r="P532" s="1"/>
      <c r="Q532" s="1"/>
      <c r="R532" s="1"/>
      <c r="S532" s="1"/>
      <c r="T532" s="1"/>
      <c r="U532" s="2"/>
      <c r="V532" s="1"/>
      <c r="W532" s="1"/>
      <c r="X532" s="1"/>
      <c r="Y532" s="1"/>
      <c r="Z532" s="1"/>
    </row>
    <row r="533" spans="1:26" ht="24.75" customHeight="1">
      <c r="A533" s="1"/>
      <c r="B533" s="1"/>
      <c r="C533" s="1"/>
      <c r="D533" s="1"/>
      <c r="E533" s="1"/>
      <c r="F533" s="1"/>
      <c r="G533" s="1"/>
      <c r="H533" s="1"/>
      <c r="I533" s="1"/>
      <c r="J533" s="1"/>
      <c r="K533" s="1"/>
      <c r="L533" s="1"/>
      <c r="M533" s="1"/>
      <c r="N533" s="1"/>
      <c r="O533" s="1"/>
      <c r="P533" s="1"/>
      <c r="Q533" s="1"/>
      <c r="R533" s="1"/>
      <c r="S533" s="1"/>
      <c r="T533" s="1"/>
      <c r="U533" s="2"/>
      <c r="V533" s="1"/>
      <c r="W533" s="1"/>
      <c r="X533" s="1"/>
      <c r="Y533" s="1"/>
      <c r="Z533" s="1"/>
    </row>
    <row r="534" spans="1:26" ht="24.75" customHeight="1">
      <c r="A534" s="1"/>
      <c r="B534" s="1"/>
      <c r="C534" s="1"/>
      <c r="D534" s="1"/>
      <c r="E534" s="1"/>
      <c r="F534" s="1"/>
      <c r="G534" s="1"/>
      <c r="H534" s="1"/>
      <c r="I534" s="1"/>
      <c r="J534" s="1"/>
      <c r="K534" s="1"/>
      <c r="L534" s="1"/>
      <c r="M534" s="1"/>
      <c r="N534" s="1"/>
      <c r="O534" s="1"/>
      <c r="P534" s="1"/>
      <c r="Q534" s="1"/>
      <c r="R534" s="1"/>
      <c r="S534" s="1"/>
      <c r="T534" s="1"/>
      <c r="U534" s="2"/>
      <c r="V534" s="1"/>
      <c r="W534" s="1"/>
      <c r="X534" s="1"/>
      <c r="Y534" s="1"/>
      <c r="Z534" s="1"/>
    </row>
    <row r="535" spans="1:26" ht="24.75" customHeight="1">
      <c r="A535" s="1"/>
      <c r="B535" s="1"/>
      <c r="C535" s="1"/>
      <c r="D535" s="1"/>
      <c r="E535" s="1"/>
      <c r="F535" s="1"/>
      <c r="G535" s="1"/>
      <c r="H535" s="1"/>
      <c r="I535" s="1"/>
      <c r="J535" s="1"/>
      <c r="K535" s="1"/>
      <c r="L535" s="1"/>
      <c r="M535" s="1"/>
      <c r="N535" s="1"/>
      <c r="O535" s="1"/>
      <c r="P535" s="1"/>
      <c r="Q535" s="1"/>
      <c r="R535" s="1"/>
      <c r="S535" s="1"/>
      <c r="T535" s="1"/>
      <c r="U535" s="2"/>
      <c r="V535" s="1"/>
      <c r="W535" s="1"/>
      <c r="X535" s="1"/>
      <c r="Y535" s="1"/>
      <c r="Z535" s="1"/>
    </row>
    <row r="536" spans="1:26" ht="24.75" customHeight="1">
      <c r="A536" s="1"/>
      <c r="B536" s="1"/>
      <c r="C536" s="1"/>
      <c r="D536" s="1"/>
      <c r="E536" s="1"/>
      <c r="F536" s="1"/>
      <c r="G536" s="1"/>
      <c r="H536" s="1"/>
      <c r="I536" s="1"/>
      <c r="J536" s="1"/>
      <c r="K536" s="1"/>
      <c r="L536" s="1"/>
      <c r="M536" s="1"/>
      <c r="N536" s="1"/>
      <c r="O536" s="1"/>
      <c r="P536" s="1"/>
      <c r="Q536" s="1"/>
      <c r="R536" s="1"/>
      <c r="S536" s="1"/>
      <c r="T536" s="1"/>
      <c r="U536" s="2"/>
      <c r="V536" s="1"/>
      <c r="W536" s="1"/>
      <c r="X536" s="1"/>
      <c r="Y536" s="1"/>
      <c r="Z536" s="1"/>
    </row>
    <row r="537" spans="1:26" ht="24.75" customHeight="1">
      <c r="A537" s="1"/>
      <c r="B537" s="1"/>
      <c r="C537" s="1"/>
      <c r="D537" s="1"/>
      <c r="E537" s="1"/>
      <c r="F537" s="1"/>
      <c r="G537" s="1"/>
      <c r="H537" s="1"/>
      <c r="I537" s="1"/>
      <c r="J537" s="1"/>
      <c r="K537" s="1"/>
      <c r="L537" s="1"/>
      <c r="M537" s="1"/>
      <c r="N537" s="1"/>
      <c r="O537" s="1"/>
      <c r="P537" s="1"/>
      <c r="Q537" s="1"/>
      <c r="R537" s="1"/>
      <c r="S537" s="1"/>
      <c r="T537" s="1"/>
      <c r="U537" s="2"/>
      <c r="V537" s="1"/>
      <c r="W537" s="1"/>
      <c r="X537" s="1"/>
      <c r="Y537" s="1"/>
      <c r="Z537" s="1"/>
    </row>
    <row r="538" spans="1:26" ht="24.75" customHeight="1">
      <c r="A538" s="1"/>
      <c r="B538" s="1"/>
      <c r="C538" s="1"/>
      <c r="D538" s="1"/>
      <c r="E538" s="1"/>
      <c r="F538" s="1"/>
      <c r="G538" s="1"/>
      <c r="H538" s="1"/>
      <c r="I538" s="1"/>
      <c r="J538" s="1"/>
      <c r="K538" s="1"/>
      <c r="L538" s="1"/>
      <c r="M538" s="1"/>
      <c r="N538" s="1"/>
      <c r="O538" s="1"/>
      <c r="P538" s="1"/>
      <c r="Q538" s="1"/>
      <c r="R538" s="1"/>
      <c r="S538" s="1"/>
      <c r="T538" s="1"/>
      <c r="U538" s="2"/>
      <c r="V538" s="1"/>
      <c r="W538" s="1"/>
      <c r="X538" s="1"/>
      <c r="Y538" s="1"/>
      <c r="Z538" s="1"/>
    </row>
    <row r="539" spans="1:26" ht="24.75" customHeight="1">
      <c r="A539" s="1"/>
      <c r="B539" s="1"/>
      <c r="C539" s="1"/>
      <c r="D539" s="1"/>
      <c r="E539" s="1"/>
      <c r="F539" s="1"/>
      <c r="G539" s="1"/>
      <c r="H539" s="1"/>
      <c r="I539" s="1"/>
      <c r="J539" s="1"/>
      <c r="K539" s="1"/>
      <c r="L539" s="1"/>
      <c r="M539" s="1"/>
      <c r="N539" s="1"/>
      <c r="O539" s="1"/>
      <c r="P539" s="1"/>
      <c r="Q539" s="1"/>
      <c r="R539" s="1"/>
      <c r="S539" s="1"/>
      <c r="T539" s="1"/>
      <c r="U539" s="2"/>
      <c r="V539" s="1"/>
      <c r="W539" s="1"/>
      <c r="X539" s="1"/>
      <c r="Y539" s="1"/>
      <c r="Z539" s="1"/>
    </row>
    <row r="540" spans="1:26" ht="24.75" customHeight="1">
      <c r="A540" s="1"/>
      <c r="B540" s="1"/>
      <c r="C540" s="1"/>
      <c r="D540" s="1"/>
      <c r="E540" s="1"/>
      <c r="F540" s="1"/>
      <c r="G540" s="1"/>
      <c r="H540" s="1"/>
      <c r="I540" s="1"/>
      <c r="J540" s="1"/>
      <c r="K540" s="1"/>
      <c r="L540" s="1"/>
      <c r="M540" s="1"/>
      <c r="N540" s="1"/>
      <c r="O540" s="1"/>
      <c r="P540" s="1"/>
      <c r="Q540" s="1"/>
      <c r="R540" s="1"/>
      <c r="S540" s="1"/>
      <c r="T540" s="1"/>
      <c r="U540" s="2"/>
      <c r="V540" s="1"/>
      <c r="W540" s="1"/>
      <c r="X540" s="1"/>
      <c r="Y540" s="1"/>
      <c r="Z540" s="1"/>
    </row>
    <row r="541" spans="1:26" ht="24.75" customHeight="1">
      <c r="A541" s="1"/>
      <c r="B541" s="1"/>
      <c r="C541" s="1"/>
      <c r="D541" s="1"/>
      <c r="E541" s="1"/>
      <c r="F541" s="1"/>
      <c r="G541" s="1"/>
      <c r="H541" s="1"/>
      <c r="I541" s="1"/>
      <c r="J541" s="1"/>
      <c r="K541" s="1"/>
      <c r="L541" s="1"/>
      <c r="M541" s="1"/>
      <c r="N541" s="1"/>
      <c r="O541" s="1"/>
      <c r="P541" s="1"/>
      <c r="Q541" s="1"/>
      <c r="R541" s="1"/>
      <c r="S541" s="1"/>
      <c r="T541" s="1"/>
      <c r="U541" s="2"/>
      <c r="V541" s="1"/>
      <c r="W541" s="1"/>
      <c r="X541" s="1"/>
      <c r="Y541" s="1"/>
      <c r="Z541" s="1"/>
    </row>
    <row r="542" spans="1:26" ht="24.75" customHeight="1">
      <c r="A542" s="1"/>
      <c r="B542" s="1"/>
      <c r="C542" s="1"/>
      <c r="D542" s="1"/>
      <c r="E542" s="1"/>
      <c r="F542" s="1"/>
      <c r="G542" s="1"/>
      <c r="H542" s="1"/>
      <c r="I542" s="1"/>
      <c r="J542" s="1"/>
      <c r="K542" s="1"/>
      <c r="L542" s="1"/>
      <c r="M542" s="1"/>
      <c r="N542" s="1"/>
      <c r="O542" s="1"/>
      <c r="P542" s="1"/>
      <c r="Q542" s="1"/>
      <c r="R542" s="1"/>
      <c r="S542" s="1"/>
      <c r="T542" s="1"/>
      <c r="U542" s="2"/>
      <c r="V542" s="1"/>
      <c r="W542" s="1"/>
      <c r="X542" s="1"/>
      <c r="Y542" s="1"/>
      <c r="Z542" s="1"/>
    </row>
    <row r="543" spans="1:26" ht="24.75" customHeight="1">
      <c r="A543" s="1"/>
      <c r="B543" s="1"/>
      <c r="C543" s="1"/>
      <c r="D543" s="1"/>
      <c r="E543" s="1"/>
      <c r="F543" s="1"/>
      <c r="G543" s="1"/>
      <c r="H543" s="1"/>
      <c r="I543" s="1"/>
      <c r="J543" s="1"/>
      <c r="K543" s="1"/>
      <c r="L543" s="1"/>
      <c r="M543" s="1"/>
      <c r="N543" s="1"/>
      <c r="O543" s="1"/>
      <c r="P543" s="1"/>
      <c r="Q543" s="1"/>
      <c r="R543" s="1"/>
      <c r="S543" s="1"/>
      <c r="T543" s="1"/>
      <c r="U543" s="2"/>
      <c r="V543" s="1"/>
      <c r="W543" s="1"/>
      <c r="X543" s="1"/>
      <c r="Y543" s="1"/>
      <c r="Z543" s="1"/>
    </row>
    <row r="544" spans="1:26" ht="24.75" customHeight="1">
      <c r="A544" s="1"/>
      <c r="B544" s="1"/>
      <c r="C544" s="1"/>
      <c r="D544" s="1"/>
      <c r="E544" s="1"/>
      <c r="F544" s="1"/>
      <c r="G544" s="1"/>
      <c r="H544" s="1"/>
      <c r="I544" s="1"/>
      <c r="J544" s="1"/>
      <c r="K544" s="1"/>
      <c r="L544" s="1"/>
      <c r="M544" s="1"/>
      <c r="N544" s="1"/>
      <c r="O544" s="1"/>
      <c r="P544" s="1"/>
      <c r="Q544" s="1"/>
      <c r="R544" s="1"/>
      <c r="S544" s="1"/>
      <c r="T544" s="1"/>
      <c r="U544" s="2"/>
      <c r="V544" s="1"/>
      <c r="W544" s="1"/>
      <c r="X544" s="1"/>
      <c r="Y544" s="1"/>
      <c r="Z544" s="1"/>
    </row>
    <row r="545" spans="1:26" ht="24.75" customHeight="1">
      <c r="A545" s="1"/>
      <c r="B545" s="1"/>
      <c r="C545" s="1"/>
      <c r="D545" s="1"/>
      <c r="E545" s="1"/>
      <c r="F545" s="1"/>
      <c r="G545" s="1"/>
      <c r="H545" s="1"/>
      <c r="I545" s="1"/>
      <c r="J545" s="1"/>
      <c r="K545" s="1"/>
      <c r="L545" s="1"/>
      <c r="M545" s="1"/>
      <c r="N545" s="1"/>
      <c r="O545" s="1"/>
      <c r="P545" s="1"/>
      <c r="Q545" s="1"/>
      <c r="R545" s="1"/>
      <c r="S545" s="1"/>
      <c r="T545" s="1"/>
      <c r="U545" s="2"/>
      <c r="V545" s="1"/>
      <c r="W545" s="1"/>
      <c r="X545" s="1"/>
      <c r="Y545" s="1"/>
      <c r="Z545" s="1"/>
    </row>
    <row r="546" spans="1:26" ht="24.75" customHeight="1">
      <c r="A546" s="1"/>
      <c r="B546" s="1"/>
      <c r="C546" s="1"/>
      <c r="D546" s="1"/>
      <c r="E546" s="1"/>
      <c r="F546" s="1"/>
      <c r="G546" s="1"/>
      <c r="H546" s="1"/>
      <c r="I546" s="1"/>
      <c r="J546" s="1"/>
      <c r="K546" s="1"/>
      <c r="L546" s="1"/>
      <c r="M546" s="1"/>
      <c r="N546" s="1"/>
      <c r="O546" s="1"/>
      <c r="P546" s="1"/>
      <c r="Q546" s="1"/>
      <c r="R546" s="1"/>
      <c r="S546" s="1"/>
      <c r="T546" s="1"/>
      <c r="U546" s="2"/>
      <c r="V546" s="1"/>
      <c r="W546" s="1"/>
      <c r="X546" s="1"/>
      <c r="Y546" s="1"/>
      <c r="Z546" s="1"/>
    </row>
    <row r="547" spans="1:26" ht="24.75" customHeight="1">
      <c r="A547" s="1"/>
      <c r="B547" s="1"/>
      <c r="C547" s="1"/>
      <c r="D547" s="1"/>
      <c r="E547" s="1"/>
      <c r="F547" s="1"/>
      <c r="G547" s="1"/>
      <c r="H547" s="1"/>
      <c r="I547" s="1"/>
      <c r="J547" s="1"/>
      <c r="K547" s="1"/>
      <c r="L547" s="1"/>
      <c r="M547" s="1"/>
      <c r="N547" s="1"/>
      <c r="O547" s="1"/>
      <c r="P547" s="1"/>
      <c r="Q547" s="1"/>
      <c r="R547" s="1"/>
      <c r="S547" s="1"/>
      <c r="T547" s="1"/>
      <c r="U547" s="2"/>
      <c r="V547" s="1"/>
      <c r="W547" s="1"/>
      <c r="X547" s="1"/>
      <c r="Y547" s="1"/>
      <c r="Z547" s="1"/>
    </row>
    <row r="548" spans="1:26" ht="24.75" customHeight="1">
      <c r="A548" s="1"/>
      <c r="B548" s="1"/>
      <c r="C548" s="1"/>
      <c r="D548" s="1"/>
      <c r="E548" s="1"/>
      <c r="F548" s="1"/>
      <c r="G548" s="1"/>
      <c r="H548" s="1"/>
      <c r="I548" s="1"/>
      <c r="J548" s="1"/>
      <c r="K548" s="1"/>
      <c r="L548" s="1"/>
      <c r="M548" s="1"/>
      <c r="N548" s="1"/>
      <c r="O548" s="1"/>
      <c r="P548" s="1"/>
      <c r="Q548" s="1"/>
      <c r="R548" s="1"/>
      <c r="S548" s="1"/>
      <c r="T548" s="1"/>
      <c r="U548" s="2"/>
      <c r="V548" s="1"/>
      <c r="W548" s="1"/>
      <c r="X548" s="1"/>
      <c r="Y548" s="1"/>
      <c r="Z548" s="1"/>
    </row>
    <row r="549" spans="1:26" ht="24.75" customHeight="1">
      <c r="A549" s="1"/>
      <c r="B549" s="1"/>
      <c r="C549" s="1"/>
      <c r="D549" s="1"/>
      <c r="E549" s="1"/>
      <c r="F549" s="1"/>
      <c r="G549" s="1"/>
      <c r="H549" s="1"/>
      <c r="I549" s="1"/>
      <c r="J549" s="1"/>
      <c r="K549" s="1"/>
      <c r="L549" s="1"/>
      <c r="M549" s="1"/>
      <c r="N549" s="1"/>
      <c r="O549" s="1"/>
      <c r="P549" s="1"/>
      <c r="Q549" s="1"/>
      <c r="R549" s="1"/>
      <c r="S549" s="1"/>
      <c r="T549" s="1"/>
      <c r="U549" s="2"/>
      <c r="V549" s="1"/>
      <c r="W549" s="1"/>
      <c r="X549" s="1"/>
      <c r="Y549" s="1"/>
      <c r="Z549" s="1"/>
    </row>
    <row r="550" spans="1:26" ht="24.75" customHeight="1">
      <c r="A550" s="1"/>
      <c r="B550" s="1"/>
      <c r="C550" s="1"/>
      <c r="D550" s="1"/>
      <c r="E550" s="1"/>
      <c r="F550" s="1"/>
      <c r="G550" s="1"/>
      <c r="H550" s="1"/>
      <c r="I550" s="1"/>
      <c r="J550" s="1"/>
      <c r="K550" s="1"/>
      <c r="L550" s="1"/>
      <c r="M550" s="1"/>
      <c r="N550" s="1"/>
      <c r="O550" s="1"/>
      <c r="P550" s="1"/>
      <c r="Q550" s="1"/>
      <c r="R550" s="1"/>
      <c r="S550" s="1"/>
      <c r="T550" s="1"/>
      <c r="U550" s="2"/>
      <c r="V550" s="1"/>
      <c r="W550" s="1"/>
      <c r="X550" s="1"/>
      <c r="Y550" s="1"/>
      <c r="Z550" s="1"/>
    </row>
    <row r="551" spans="1:26" ht="24.75" customHeight="1">
      <c r="A551" s="1"/>
      <c r="B551" s="1"/>
      <c r="C551" s="1"/>
      <c r="D551" s="1"/>
      <c r="E551" s="1"/>
      <c r="F551" s="1"/>
      <c r="G551" s="1"/>
      <c r="H551" s="1"/>
      <c r="I551" s="1"/>
      <c r="J551" s="1"/>
      <c r="K551" s="1"/>
      <c r="L551" s="1"/>
      <c r="M551" s="1"/>
      <c r="N551" s="1"/>
      <c r="O551" s="1"/>
      <c r="P551" s="1"/>
      <c r="Q551" s="1"/>
      <c r="R551" s="1"/>
      <c r="S551" s="1"/>
      <c r="T551" s="1"/>
      <c r="U551" s="2"/>
      <c r="V551" s="1"/>
      <c r="W551" s="1"/>
      <c r="X551" s="1"/>
      <c r="Y551" s="1"/>
      <c r="Z551" s="1"/>
    </row>
    <row r="552" spans="1:26" ht="24.75" customHeight="1">
      <c r="A552" s="1"/>
      <c r="B552" s="1"/>
      <c r="C552" s="1"/>
      <c r="D552" s="1"/>
      <c r="E552" s="1"/>
      <c r="F552" s="1"/>
      <c r="G552" s="1"/>
      <c r="H552" s="1"/>
      <c r="I552" s="1"/>
      <c r="J552" s="1"/>
      <c r="K552" s="1"/>
      <c r="L552" s="1"/>
      <c r="M552" s="1"/>
      <c r="N552" s="1"/>
      <c r="O552" s="1"/>
      <c r="P552" s="1"/>
      <c r="Q552" s="1"/>
      <c r="R552" s="1"/>
      <c r="S552" s="1"/>
      <c r="T552" s="1"/>
      <c r="U552" s="2"/>
      <c r="V552" s="1"/>
      <c r="W552" s="1"/>
      <c r="X552" s="1"/>
      <c r="Y552" s="1"/>
      <c r="Z552" s="1"/>
    </row>
    <row r="553" spans="1:26" ht="24.75" customHeight="1">
      <c r="A553" s="1"/>
      <c r="B553" s="1"/>
      <c r="C553" s="1"/>
      <c r="D553" s="1"/>
      <c r="E553" s="1"/>
      <c r="F553" s="1"/>
      <c r="G553" s="1"/>
      <c r="H553" s="1"/>
      <c r="I553" s="1"/>
      <c r="J553" s="1"/>
      <c r="K553" s="1"/>
      <c r="L553" s="1"/>
      <c r="M553" s="1"/>
      <c r="N553" s="1"/>
      <c r="O553" s="1"/>
      <c r="P553" s="1"/>
      <c r="Q553" s="1"/>
      <c r="R553" s="1"/>
      <c r="S553" s="1"/>
      <c r="T553" s="1"/>
      <c r="U553" s="2"/>
      <c r="V553" s="1"/>
      <c r="W553" s="1"/>
      <c r="X553" s="1"/>
      <c r="Y553" s="1"/>
      <c r="Z553" s="1"/>
    </row>
    <row r="554" spans="1:26" ht="24.75" customHeight="1">
      <c r="A554" s="1"/>
      <c r="B554" s="1"/>
      <c r="C554" s="1"/>
      <c r="D554" s="1"/>
      <c r="E554" s="1"/>
      <c r="F554" s="1"/>
      <c r="G554" s="1"/>
      <c r="H554" s="1"/>
      <c r="I554" s="1"/>
      <c r="J554" s="1"/>
      <c r="K554" s="1"/>
      <c r="L554" s="1"/>
      <c r="M554" s="1"/>
      <c r="N554" s="1"/>
      <c r="O554" s="1"/>
      <c r="P554" s="1"/>
      <c r="Q554" s="1"/>
      <c r="R554" s="1"/>
      <c r="S554" s="1"/>
      <c r="T554" s="1"/>
      <c r="U554" s="2"/>
      <c r="V554" s="1"/>
      <c r="W554" s="1"/>
      <c r="X554" s="1"/>
      <c r="Y554" s="1"/>
      <c r="Z554" s="1"/>
    </row>
    <row r="555" spans="1:26" ht="24.75" customHeight="1">
      <c r="A555" s="1"/>
      <c r="B555" s="1"/>
      <c r="C555" s="1"/>
      <c r="D555" s="1"/>
      <c r="E555" s="1"/>
      <c r="F555" s="1"/>
      <c r="G555" s="1"/>
      <c r="H555" s="1"/>
      <c r="I555" s="1"/>
      <c r="J555" s="1"/>
      <c r="K555" s="1"/>
      <c r="L555" s="1"/>
      <c r="M555" s="1"/>
      <c r="N555" s="1"/>
      <c r="O555" s="1"/>
      <c r="P555" s="1"/>
      <c r="Q555" s="1"/>
      <c r="R555" s="1"/>
      <c r="S555" s="1"/>
      <c r="T555" s="1"/>
      <c r="U555" s="2"/>
      <c r="V555" s="1"/>
      <c r="W555" s="1"/>
      <c r="X555" s="1"/>
      <c r="Y555" s="1"/>
      <c r="Z555" s="1"/>
    </row>
    <row r="556" spans="1:26" ht="24.75" customHeight="1">
      <c r="A556" s="1"/>
      <c r="B556" s="1"/>
      <c r="C556" s="1"/>
      <c r="D556" s="1"/>
      <c r="E556" s="1"/>
      <c r="F556" s="1"/>
      <c r="G556" s="1"/>
      <c r="H556" s="1"/>
      <c r="I556" s="1"/>
      <c r="J556" s="1"/>
      <c r="K556" s="1"/>
      <c r="L556" s="1"/>
      <c r="M556" s="1"/>
      <c r="N556" s="1"/>
      <c r="O556" s="1"/>
      <c r="P556" s="1"/>
      <c r="Q556" s="1"/>
      <c r="R556" s="1"/>
      <c r="S556" s="1"/>
      <c r="T556" s="1"/>
      <c r="U556" s="2"/>
      <c r="V556" s="1"/>
      <c r="W556" s="1"/>
      <c r="X556" s="1"/>
      <c r="Y556" s="1"/>
      <c r="Z556" s="1"/>
    </row>
    <row r="557" spans="1:26" ht="24.75" customHeight="1">
      <c r="A557" s="1"/>
      <c r="B557" s="1"/>
      <c r="C557" s="1"/>
      <c r="D557" s="1"/>
      <c r="E557" s="1"/>
      <c r="F557" s="1"/>
      <c r="G557" s="1"/>
      <c r="H557" s="1"/>
      <c r="I557" s="1"/>
      <c r="J557" s="1"/>
      <c r="K557" s="1"/>
      <c r="L557" s="1"/>
      <c r="M557" s="1"/>
      <c r="N557" s="1"/>
      <c r="O557" s="1"/>
      <c r="P557" s="1"/>
      <c r="Q557" s="1"/>
      <c r="R557" s="1"/>
      <c r="S557" s="1"/>
      <c r="T557" s="1"/>
      <c r="U557" s="2"/>
      <c r="V557" s="1"/>
      <c r="W557" s="1"/>
      <c r="X557" s="1"/>
      <c r="Y557" s="1"/>
      <c r="Z557" s="1"/>
    </row>
    <row r="558" spans="1:26" ht="24.75" customHeight="1">
      <c r="A558" s="1"/>
      <c r="B558" s="1"/>
      <c r="C558" s="1"/>
      <c r="D558" s="1"/>
      <c r="E558" s="1"/>
      <c r="F558" s="1"/>
      <c r="G558" s="1"/>
      <c r="H558" s="1"/>
      <c r="I558" s="1"/>
      <c r="J558" s="1"/>
      <c r="K558" s="1"/>
      <c r="L558" s="1"/>
      <c r="M558" s="1"/>
      <c r="N558" s="1"/>
      <c r="O558" s="1"/>
      <c r="P558" s="1"/>
      <c r="Q558" s="1"/>
      <c r="R558" s="1"/>
      <c r="S558" s="1"/>
      <c r="T558" s="1"/>
      <c r="U558" s="2"/>
      <c r="V558" s="1"/>
      <c r="W558" s="1"/>
      <c r="X558" s="1"/>
      <c r="Y558" s="1"/>
      <c r="Z558" s="1"/>
    </row>
    <row r="559" spans="1:26" ht="24.75" customHeight="1">
      <c r="A559" s="1"/>
      <c r="B559" s="1"/>
      <c r="C559" s="1"/>
      <c r="D559" s="1"/>
      <c r="E559" s="1"/>
      <c r="F559" s="1"/>
      <c r="G559" s="1"/>
      <c r="H559" s="1"/>
      <c r="I559" s="1"/>
      <c r="J559" s="1"/>
      <c r="K559" s="1"/>
      <c r="L559" s="1"/>
      <c r="M559" s="1"/>
      <c r="N559" s="1"/>
      <c r="O559" s="1"/>
      <c r="P559" s="1"/>
      <c r="Q559" s="1"/>
      <c r="R559" s="1"/>
      <c r="S559" s="1"/>
      <c r="T559" s="1"/>
      <c r="U559" s="2"/>
      <c r="V559" s="1"/>
      <c r="W559" s="1"/>
      <c r="X559" s="1"/>
      <c r="Y559" s="1"/>
      <c r="Z559" s="1"/>
    </row>
    <row r="560" spans="1:26" ht="24.75" customHeight="1">
      <c r="A560" s="1"/>
      <c r="B560" s="1"/>
      <c r="C560" s="1"/>
      <c r="D560" s="1"/>
      <c r="E560" s="1"/>
      <c r="F560" s="1"/>
      <c r="G560" s="1"/>
      <c r="H560" s="1"/>
      <c r="I560" s="1"/>
      <c r="J560" s="1"/>
      <c r="K560" s="1"/>
      <c r="L560" s="1"/>
      <c r="M560" s="1"/>
      <c r="N560" s="1"/>
      <c r="O560" s="1"/>
      <c r="P560" s="1"/>
      <c r="Q560" s="1"/>
      <c r="R560" s="1"/>
      <c r="S560" s="1"/>
      <c r="T560" s="1"/>
      <c r="U560" s="2"/>
      <c r="V560" s="1"/>
      <c r="W560" s="1"/>
      <c r="X560" s="1"/>
      <c r="Y560" s="1"/>
      <c r="Z560" s="1"/>
    </row>
    <row r="561" spans="1:26" ht="24.75" customHeight="1">
      <c r="A561" s="1"/>
      <c r="B561" s="1"/>
      <c r="C561" s="1"/>
      <c r="D561" s="1"/>
      <c r="E561" s="1"/>
      <c r="F561" s="1"/>
      <c r="G561" s="1"/>
      <c r="H561" s="1"/>
      <c r="I561" s="1"/>
      <c r="J561" s="1"/>
      <c r="K561" s="1"/>
      <c r="L561" s="1"/>
      <c r="M561" s="1"/>
      <c r="N561" s="1"/>
      <c r="O561" s="1"/>
      <c r="P561" s="1"/>
      <c r="Q561" s="1"/>
      <c r="R561" s="1"/>
      <c r="S561" s="1"/>
      <c r="T561" s="1"/>
      <c r="U561" s="2"/>
      <c r="V561" s="1"/>
      <c r="W561" s="1"/>
      <c r="X561" s="1"/>
      <c r="Y561" s="1"/>
      <c r="Z561" s="1"/>
    </row>
    <row r="562" spans="1:26" ht="24.75" customHeight="1">
      <c r="A562" s="1"/>
      <c r="B562" s="1"/>
      <c r="C562" s="1"/>
      <c r="D562" s="1"/>
      <c r="E562" s="1"/>
      <c r="F562" s="1"/>
      <c r="G562" s="1"/>
      <c r="H562" s="1"/>
      <c r="I562" s="1"/>
      <c r="J562" s="1"/>
      <c r="K562" s="1"/>
      <c r="L562" s="1"/>
      <c r="M562" s="1"/>
      <c r="N562" s="1"/>
      <c r="O562" s="1"/>
      <c r="P562" s="1"/>
      <c r="Q562" s="1"/>
      <c r="R562" s="1"/>
      <c r="S562" s="1"/>
      <c r="T562" s="1"/>
      <c r="U562" s="2"/>
      <c r="V562" s="1"/>
      <c r="W562" s="1"/>
      <c r="X562" s="1"/>
      <c r="Y562" s="1"/>
      <c r="Z562" s="1"/>
    </row>
    <row r="563" spans="1:26" ht="24.75" customHeight="1">
      <c r="A563" s="1"/>
      <c r="B563" s="1"/>
      <c r="C563" s="1"/>
      <c r="D563" s="1"/>
      <c r="E563" s="1"/>
      <c r="F563" s="1"/>
      <c r="G563" s="1"/>
      <c r="H563" s="1"/>
      <c r="I563" s="1"/>
      <c r="J563" s="1"/>
      <c r="K563" s="1"/>
      <c r="L563" s="1"/>
      <c r="M563" s="1"/>
      <c r="N563" s="1"/>
      <c r="O563" s="1"/>
      <c r="P563" s="1"/>
      <c r="Q563" s="1"/>
      <c r="R563" s="1"/>
      <c r="S563" s="1"/>
      <c r="T563" s="1"/>
      <c r="U563" s="2"/>
      <c r="V563" s="1"/>
      <c r="W563" s="1"/>
      <c r="X563" s="1"/>
      <c r="Y563" s="1"/>
      <c r="Z563" s="1"/>
    </row>
    <row r="564" spans="1:26" ht="24.75" customHeight="1">
      <c r="A564" s="1"/>
      <c r="B564" s="1"/>
      <c r="C564" s="1"/>
      <c r="D564" s="1"/>
      <c r="E564" s="1"/>
      <c r="F564" s="1"/>
      <c r="G564" s="1"/>
      <c r="H564" s="1"/>
      <c r="I564" s="1"/>
      <c r="J564" s="1"/>
      <c r="K564" s="1"/>
      <c r="L564" s="1"/>
      <c r="M564" s="1"/>
      <c r="N564" s="1"/>
      <c r="O564" s="1"/>
      <c r="P564" s="1"/>
      <c r="Q564" s="1"/>
      <c r="R564" s="1"/>
      <c r="S564" s="1"/>
      <c r="T564" s="1"/>
      <c r="U564" s="2"/>
      <c r="V564" s="1"/>
      <c r="W564" s="1"/>
      <c r="X564" s="1"/>
      <c r="Y564" s="1"/>
      <c r="Z564" s="1"/>
    </row>
    <row r="565" spans="1:26" ht="24.75" customHeight="1">
      <c r="A565" s="1"/>
      <c r="B565" s="1"/>
      <c r="C565" s="1"/>
      <c r="D565" s="1"/>
      <c r="E565" s="1"/>
      <c r="F565" s="1"/>
      <c r="G565" s="1"/>
      <c r="H565" s="1"/>
      <c r="I565" s="1"/>
      <c r="J565" s="1"/>
      <c r="K565" s="1"/>
      <c r="L565" s="1"/>
      <c r="M565" s="1"/>
      <c r="N565" s="1"/>
      <c r="O565" s="1"/>
      <c r="P565" s="1"/>
      <c r="Q565" s="1"/>
      <c r="R565" s="1"/>
      <c r="S565" s="1"/>
      <c r="T565" s="1"/>
      <c r="U565" s="2"/>
      <c r="V565" s="1"/>
      <c r="W565" s="1"/>
      <c r="X565" s="1"/>
      <c r="Y565" s="1"/>
      <c r="Z565" s="1"/>
    </row>
    <row r="566" spans="1:26" ht="24.75" customHeight="1">
      <c r="A566" s="1"/>
      <c r="B566" s="1"/>
      <c r="C566" s="1"/>
      <c r="D566" s="1"/>
      <c r="E566" s="1"/>
      <c r="F566" s="1"/>
      <c r="G566" s="1"/>
      <c r="H566" s="1"/>
      <c r="I566" s="1"/>
      <c r="J566" s="1"/>
      <c r="K566" s="1"/>
      <c r="L566" s="1"/>
      <c r="M566" s="1"/>
      <c r="N566" s="1"/>
      <c r="O566" s="1"/>
      <c r="P566" s="1"/>
      <c r="Q566" s="1"/>
      <c r="R566" s="1"/>
      <c r="S566" s="1"/>
      <c r="T566" s="1"/>
      <c r="U566" s="2"/>
      <c r="V566" s="1"/>
      <c r="W566" s="1"/>
      <c r="X566" s="1"/>
      <c r="Y566" s="1"/>
      <c r="Z566" s="1"/>
    </row>
    <row r="567" spans="1:26" ht="24.75" customHeight="1">
      <c r="A567" s="1"/>
      <c r="B567" s="1"/>
      <c r="C567" s="1"/>
      <c r="D567" s="1"/>
      <c r="E567" s="1"/>
      <c r="F567" s="1"/>
      <c r="G567" s="1"/>
      <c r="H567" s="1"/>
      <c r="I567" s="1"/>
      <c r="J567" s="1"/>
      <c r="K567" s="1"/>
      <c r="L567" s="1"/>
      <c r="M567" s="1"/>
      <c r="N567" s="1"/>
      <c r="O567" s="1"/>
      <c r="P567" s="1"/>
      <c r="Q567" s="1"/>
      <c r="R567" s="1"/>
      <c r="S567" s="1"/>
      <c r="T567" s="1"/>
      <c r="U567" s="2"/>
      <c r="V567" s="1"/>
      <c r="W567" s="1"/>
      <c r="X567" s="1"/>
      <c r="Y567" s="1"/>
      <c r="Z567" s="1"/>
    </row>
    <row r="568" spans="1:26" ht="24.75" customHeight="1">
      <c r="A568" s="1"/>
      <c r="B568" s="1"/>
      <c r="C568" s="1"/>
      <c r="D568" s="1"/>
      <c r="E568" s="1"/>
      <c r="F568" s="1"/>
      <c r="G568" s="1"/>
      <c r="H568" s="1"/>
      <c r="I568" s="1"/>
      <c r="J568" s="1"/>
      <c r="K568" s="1"/>
      <c r="L568" s="1"/>
      <c r="M568" s="1"/>
      <c r="N568" s="1"/>
      <c r="O568" s="1"/>
      <c r="P568" s="1"/>
      <c r="Q568" s="1"/>
      <c r="R568" s="1"/>
      <c r="S568" s="1"/>
      <c r="T568" s="1"/>
      <c r="U568" s="2"/>
      <c r="V568" s="1"/>
      <c r="W568" s="1"/>
      <c r="X568" s="1"/>
      <c r="Y568" s="1"/>
      <c r="Z568" s="1"/>
    </row>
    <row r="569" spans="1:26" ht="24.75" customHeight="1">
      <c r="A569" s="1"/>
      <c r="B569" s="1"/>
      <c r="C569" s="1"/>
      <c r="D569" s="1"/>
      <c r="E569" s="1"/>
      <c r="F569" s="1"/>
      <c r="G569" s="1"/>
      <c r="H569" s="1"/>
      <c r="I569" s="1"/>
      <c r="J569" s="1"/>
      <c r="K569" s="1"/>
      <c r="L569" s="1"/>
      <c r="M569" s="1"/>
      <c r="N569" s="1"/>
      <c r="O569" s="1"/>
      <c r="P569" s="1"/>
      <c r="Q569" s="1"/>
      <c r="R569" s="1"/>
      <c r="S569" s="1"/>
      <c r="T569" s="1"/>
      <c r="U569" s="2"/>
      <c r="V569" s="1"/>
      <c r="W569" s="1"/>
      <c r="X569" s="1"/>
      <c r="Y569" s="1"/>
      <c r="Z569" s="1"/>
    </row>
    <row r="570" spans="1:26" ht="24.75" customHeight="1">
      <c r="A570" s="1"/>
      <c r="B570" s="1"/>
      <c r="C570" s="1"/>
      <c r="D570" s="1"/>
      <c r="E570" s="1"/>
      <c r="F570" s="1"/>
      <c r="G570" s="1"/>
      <c r="H570" s="1"/>
      <c r="I570" s="1"/>
      <c r="J570" s="1"/>
      <c r="K570" s="1"/>
      <c r="L570" s="1"/>
      <c r="M570" s="1"/>
      <c r="N570" s="1"/>
      <c r="O570" s="1"/>
      <c r="P570" s="1"/>
      <c r="Q570" s="1"/>
      <c r="R570" s="1"/>
      <c r="S570" s="1"/>
      <c r="T570" s="1"/>
      <c r="U570" s="2"/>
      <c r="V570" s="1"/>
      <c r="W570" s="1"/>
      <c r="X570" s="1"/>
      <c r="Y570" s="1"/>
      <c r="Z570" s="1"/>
    </row>
    <row r="571" spans="1:26" ht="24.75" customHeight="1">
      <c r="A571" s="1"/>
      <c r="B571" s="1"/>
      <c r="C571" s="1"/>
      <c r="D571" s="1"/>
      <c r="E571" s="1"/>
      <c r="F571" s="1"/>
      <c r="G571" s="1"/>
      <c r="H571" s="1"/>
      <c r="I571" s="1"/>
      <c r="J571" s="1"/>
      <c r="K571" s="1"/>
      <c r="L571" s="1"/>
      <c r="M571" s="1"/>
      <c r="N571" s="1"/>
      <c r="O571" s="1"/>
      <c r="P571" s="1"/>
      <c r="Q571" s="1"/>
      <c r="R571" s="1"/>
      <c r="S571" s="1"/>
      <c r="T571" s="1"/>
      <c r="U571" s="2"/>
      <c r="V571" s="1"/>
      <c r="W571" s="1"/>
      <c r="X571" s="1"/>
      <c r="Y571" s="1"/>
      <c r="Z571" s="1"/>
    </row>
    <row r="572" spans="1:26" ht="24.75" customHeight="1">
      <c r="A572" s="1"/>
      <c r="B572" s="1"/>
      <c r="C572" s="1"/>
      <c r="D572" s="1"/>
      <c r="E572" s="1"/>
      <c r="F572" s="1"/>
      <c r="G572" s="1"/>
      <c r="H572" s="1"/>
      <c r="I572" s="1"/>
      <c r="J572" s="1"/>
      <c r="K572" s="1"/>
      <c r="L572" s="1"/>
      <c r="M572" s="1"/>
      <c r="N572" s="1"/>
      <c r="O572" s="1"/>
      <c r="P572" s="1"/>
      <c r="Q572" s="1"/>
      <c r="R572" s="1"/>
      <c r="S572" s="1"/>
      <c r="T572" s="1"/>
      <c r="U572" s="2"/>
      <c r="V572" s="1"/>
      <c r="W572" s="1"/>
      <c r="X572" s="1"/>
      <c r="Y572" s="1"/>
      <c r="Z572" s="1"/>
    </row>
    <row r="573" spans="1:26" ht="24.75" customHeight="1">
      <c r="A573" s="1"/>
      <c r="B573" s="1"/>
      <c r="C573" s="1"/>
      <c r="D573" s="1"/>
      <c r="E573" s="1"/>
      <c r="F573" s="1"/>
      <c r="G573" s="1"/>
      <c r="H573" s="1"/>
      <c r="I573" s="1"/>
      <c r="J573" s="1"/>
      <c r="K573" s="1"/>
      <c r="L573" s="1"/>
      <c r="M573" s="1"/>
      <c r="N573" s="1"/>
      <c r="O573" s="1"/>
      <c r="P573" s="1"/>
      <c r="Q573" s="1"/>
      <c r="R573" s="1"/>
      <c r="S573" s="1"/>
      <c r="T573" s="1"/>
      <c r="U573" s="2"/>
      <c r="V573" s="1"/>
      <c r="W573" s="1"/>
      <c r="X573" s="1"/>
      <c r="Y573" s="1"/>
      <c r="Z573" s="1"/>
    </row>
    <row r="574" spans="1:26" ht="24.75" customHeight="1">
      <c r="A574" s="1"/>
      <c r="B574" s="1"/>
      <c r="C574" s="1"/>
      <c r="D574" s="1"/>
      <c r="E574" s="1"/>
      <c r="F574" s="1"/>
      <c r="G574" s="1"/>
      <c r="H574" s="1"/>
      <c r="I574" s="1"/>
      <c r="J574" s="1"/>
      <c r="K574" s="1"/>
      <c r="L574" s="1"/>
      <c r="M574" s="1"/>
      <c r="N574" s="1"/>
      <c r="O574" s="1"/>
      <c r="P574" s="1"/>
      <c r="Q574" s="1"/>
      <c r="R574" s="1"/>
      <c r="S574" s="1"/>
      <c r="T574" s="1"/>
      <c r="U574" s="2"/>
      <c r="V574" s="1"/>
      <c r="W574" s="1"/>
      <c r="X574" s="1"/>
      <c r="Y574" s="1"/>
      <c r="Z574" s="1"/>
    </row>
    <row r="575" spans="1:26" ht="24.75" customHeight="1">
      <c r="A575" s="1"/>
      <c r="B575" s="1"/>
      <c r="C575" s="1"/>
      <c r="D575" s="1"/>
      <c r="E575" s="1"/>
      <c r="F575" s="1"/>
      <c r="G575" s="1"/>
      <c r="H575" s="1"/>
      <c r="I575" s="1"/>
      <c r="J575" s="1"/>
      <c r="K575" s="1"/>
      <c r="L575" s="1"/>
      <c r="M575" s="1"/>
      <c r="N575" s="1"/>
      <c r="O575" s="1"/>
      <c r="P575" s="1"/>
      <c r="Q575" s="1"/>
      <c r="R575" s="1"/>
      <c r="S575" s="1"/>
      <c r="T575" s="1"/>
      <c r="U575" s="2"/>
      <c r="V575" s="1"/>
      <c r="W575" s="1"/>
      <c r="X575" s="1"/>
      <c r="Y575" s="1"/>
      <c r="Z575" s="1"/>
    </row>
    <row r="576" spans="1:26" ht="24.75" customHeight="1">
      <c r="A576" s="1"/>
      <c r="B576" s="1"/>
      <c r="C576" s="1"/>
      <c r="D576" s="1"/>
      <c r="E576" s="1"/>
      <c r="F576" s="1"/>
      <c r="G576" s="1"/>
      <c r="H576" s="1"/>
      <c r="I576" s="1"/>
      <c r="J576" s="1"/>
      <c r="K576" s="1"/>
      <c r="L576" s="1"/>
      <c r="M576" s="1"/>
      <c r="N576" s="1"/>
      <c r="O576" s="1"/>
      <c r="P576" s="1"/>
      <c r="Q576" s="1"/>
      <c r="R576" s="1"/>
      <c r="S576" s="1"/>
      <c r="T576" s="1"/>
      <c r="U576" s="2"/>
      <c r="V576" s="1"/>
      <c r="W576" s="1"/>
      <c r="X576" s="1"/>
      <c r="Y576" s="1"/>
      <c r="Z576" s="1"/>
    </row>
    <row r="577" spans="1:26" ht="24.75" customHeight="1">
      <c r="A577" s="1"/>
      <c r="B577" s="1"/>
      <c r="C577" s="1"/>
      <c r="D577" s="1"/>
      <c r="E577" s="1"/>
      <c r="F577" s="1"/>
      <c r="G577" s="1"/>
      <c r="H577" s="1"/>
      <c r="I577" s="1"/>
      <c r="J577" s="1"/>
      <c r="K577" s="1"/>
      <c r="L577" s="1"/>
      <c r="M577" s="1"/>
      <c r="N577" s="1"/>
      <c r="O577" s="1"/>
      <c r="P577" s="1"/>
      <c r="Q577" s="1"/>
      <c r="R577" s="1"/>
      <c r="S577" s="1"/>
      <c r="T577" s="1"/>
      <c r="U577" s="2"/>
      <c r="V577" s="1"/>
      <c r="W577" s="1"/>
      <c r="X577" s="1"/>
      <c r="Y577" s="1"/>
      <c r="Z577" s="1"/>
    </row>
    <row r="578" spans="1:26" ht="24.75" customHeight="1">
      <c r="A578" s="1"/>
      <c r="B578" s="1"/>
      <c r="C578" s="1"/>
      <c r="D578" s="1"/>
      <c r="E578" s="1"/>
      <c r="F578" s="1"/>
      <c r="G578" s="1"/>
      <c r="H578" s="1"/>
      <c r="I578" s="1"/>
      <c r="J578" s="1"/>
      <c r="K578" s="1"/>
      <c r="L578" s="1"/>
      <c r="M578" s="1"/>
      <c r="N578" s="1"/>
      <c r="O578" s="1"/>
      <c r="P578" s="1"/>
      <c r="Q578" s="1"/>
      <c r="R578" s="1"/>
      <c r="S578" s="1"/>
      <c r="T578" s="1"/>
      <c r="U578" s="2"/>
      <c r="V578" s="1"/>
      <c r="W578" s="1"/>
      <c r="X578" s="1"/>
      <c r="Y578" s="1"/>
      <c r="Z578" s="1"/>
    </row>
    <row r="579" spans="1:26" ht="24.75" customHeight="1">
      <c r="A579" s="1"/>
      <c r="B579" s="1"/>
      <c r="C579" s="1"/>
      <c r="D579" s="1"/>
      <c r="E579" s="1"/>
      <c r="F579" s="1"/>
      <c r="G579" s="1"/>
      <c r="H579" s="1"/>
      <c r="I579" s="1"/>
      <c r="J579" s="1"/>
      <c r="K579" s="1"/>
      <c r="L579" s="1"/>
      <c r="M579" s="1"/>
      <c r="N579" s="1"/>
      <c r="O579" s="1"/>
      <c r="P579" s="1"/>
      <c r="Q579" s="1"/>
      <c r="R579" s="1"/>
      <c r="S579" s="1"/>
      <c r="T579" s="1"/>
      <c r="U579" s="2"/>
      <c r="V579" s="1"/>
      <c r="W579" s="1"/>
      <c r="X579" s="1"/>
      <c r="Y579" s="1"/>
      <c r="Z579" s="1"/>
    </row>
    <row r="580" spans="1:26" ht="24.75" customHeight="1">
      <c r="A580" s="1"/>
      <c r="B580" s="1"/>
      <c r="C580" s="1"/>
      <c r="D580" s="1"/>
      <c r="E580" s="1"/>
      <c r="F580" s="1"/>
      <c r="G580" s="1"/>
      <c r="H580" s="1"/>
      <c r="I580" s="1"/>
      <c r="J580" s="1"/>
      <c r="K580" s="1"/>
      <c r="L580" s="1"/>
      <c r="M580" s="1"/>
      <c r="N580" s="1"/>
      <c r="O580" s="1"/>
      <c r="P580" s="1"/>
      <c r="Q580" s="1"/>
      <c r="R580" s="1"/>
      <c r="S580" s="1"/>
      <c r="T580" s="1"/>
      <c r="U580" s="2"/>
      <c r="V580" s="1"/>
      <c r="W580" s="1"/>
      <c r="X580" s="1"/>
      <c r="Y580" s="1"/>
      <c r="Z580" s="1"/>
    </row>
    <row r="581" spans="1:26" ht="24.75" customHeight="1">
      <c r="A581" s="1"/>
      <c r="B581" s="1"/>
      <c r="C581" s="1"/>
      <c r="D581" s="1"/>
      <c r="E581" s="1"/>
      <c r="F581" s="1"/>
      <c r="G581" s="1"/>
      <c r="H581" s="1"/>
      <c r="I581" s="1"/>
      <c r="J581" s="1"/>
      <c r="K581" s="1"/>
      <c r="L581" s="1"/>
      <c r="M581" s="1"/>
      <c r="N581" s="1"/>
      <c r="O581" s="1"/>
      <c r="P581" s="1"/>
      <c r="Q581" s="1"/>
      <c r="R581" s="1"/>
      <c r="S581" s="1"/>
      <c r="T581" s="1"/>
      <c r="U581" s="2"/>
      <c r="V581" s="1"/>
      <c r="W581" s="1"/>
      <c r="X581" s="1"/>
      <c r="Y581" s="1"/>
      <c r="Z581" s="1"/>
    </row>
    <row r="582" spans="1:26" ht="24.75" customHeight="1">
      <c r="A582" s="1"/>
      <c r="B582" s="1"/>
      <c r="C582" s="1"/>
      <c r="D582" s="1"/>
      <c r="E582" s="1"/>
      <c r="F582" s="1"/>
      <c r="G582" s="1"/>
      <c r="H582" s="1"/>
      <c r="I582" s="1"/>
      <c r="J582" s="1"/>
      <c r="K582" s="1"/>
      <c r="L582" s="1"/>
      <c r="M582" s="1"/>
      <c r="N582" s="1"/>
      <c r="O582" s="1"/>
      <c r="P582" s="1"/>
      <c r="Q582" s="1"/>
      <c r="R582" s="1"/>
      <c r="S582" s="1"/>
      <c r="T582" s="1"/>
      <c r="U582" s="2"/>
      <c r="V582" s="1"/>
      <c r="W582" s="1"/>
      <c r="X582" s="1"/>
      <c r="Y582" s="1"/>
      <c r="Z582" s="1"/>
    </row>
    <row r="583" spans="1:26" ht="24.75" customHeight="1">
      <c r="A583" s="1"/>
      <c r="B583" s="1"/>
      <c r="C583" s="1"/>
      <c r="D583" s="1"/>
      <c r="E583" s="1"/>
      <c r="F583" s="1"/>
      <c r="G583" s="1"/>
      <c r="H583" s="1"/>
      <c r="I583" s="1"/>
      <c r="J583" s="1"/>
      <c r="K583" s="1"/>
      <c r="L583" s="1"/>
      <c r="M583" s="1"/>
      <c r="N583" s="1"/>
      <c r="O583" s="1"/>
      <c r="P583" s="1"/>
      <c r="Q583" s="1"/>
      <c r="R583" s="1"/>
      <c r="S583" s="1"/>
      <c r="T583" s="1"/>
      <c r="U583" s="2"/>
      <c r="V583" s="1"/>
      <c r="W583" s="1"/>
      <c r="X583" s="1"/>
      <c r="Y583" s="1"/>
      <c r="Z583" s="1"/>
    </row>
    <row r="584" spans="1:26" ht="24.75" customHeight="1">
      <c r="A584" s="1"/>
      <c r="B584" s="1"/>
      <c r="C584" s="1"/>
      <c r="D584" s="1"/>
      <c r="E584" s="1"/>
      <c r="F584" s="1"/>
      <c r="G584" s="1"/>
      <c r="H584" s="1"/>
      <c r="I584" s="1"/>
      <c r="J584" s="1"/>
      <c r="K584" s="1"/>
      <c r="L584" s="1"/>
      <c r="M584" s="1"/>
      <c r="N584" s="1"/>
      <c r="O584" s="1"/>
      <c r="P584" s="1"/>
      <c r="Q584" s="1"/>
      <c r="R584" s="1"/>
      <c r="S584" s="1"/>
      <c r="T584" s="1"/>
      <c r="U584" s="2"/>
      <c r="V584" s="1"/>
      <c r="W584" s="1"/>
      <c r="X584" s="1"/>
      <c r="Y584" s="1"/>
      <c r="Z584" s="1"/>
    </row>
    <row r="585" spans="1:26" ht="24.75" customHeight="1">
      <c r="A585" s="1"/>
      <c r="B585" s="1"/>
      <c r="C585" s="1"/>
      <c r="D585" s="1"/>
      <c r="E585" s="1"/>
      <c r="F585" s="1"/>
      <c r="G585" s="1"/>
      <c r="H585" s="1"/>
      <c r="I585" s="1"/>
      <c r="J585" s="1"/>
      <c r="K585" s="1"/>
      <c r="L585" s="1"/>
      <c r="M585" s="1"/>
      <c r="N585" s="1"/>
      <c r="O585" s="1"/>
      <c r="P585" s="1"/>
      <c r="Q585" s="1"/>
      <c r="R585" s="1"/>
      <c r="S585" s="1"/>
      <c r="T585" s="1"/>
      <c r="U585" s="2"/>
      <c r="V585" s="1"/>
      <c r="W585" s="1"/>
      <c r="X585" s="1"/>
      <c r="Y585" s="1"/>
      <c r="Z585" s="1"/>
    </row>
    <row r="586" spans="1:26" ht="24.75" customHeight="1">
      <c r="A586" s="1"/>
      <c r="B586" s="1"/>
      <c r="C586" s="1"/>
      <c r="D586" s="1"/>
      <c r="E586" s="1"/>
      <c r="F586" s="1"/>
      <c r="G586" s="1"/>
      <c r="H586" s="1"/>
      <c r="I586" s="1"/>
      <c r="J586" s="1"/>
      <c r="K586" s="1"/>
      <c r="L586" s="1"/>
      <c r="M586" s="1"/>
      <c r="N586" s="1"/>
      <c r="O586" s="1"/>
      <c r="P586" s="1"/>
      <c r="Q586" s="1"/>
      <c r="R586" s="1"/>
      <c r="S586" s="1"/>
      <c r="T586" s="1"/>
      <c r="U586" s="2"/>
      <c r="V586" s="1"/>
      <c r="W586" s="1"/>
      <c r="X586" s="1"/>
      <c r="Y586" s="1"/>
      <c r="Z586" s="1"/>
    </row>
    <row r="587" spans="1:26" ht="24.75" customHeight="1">
      <c r="A587" s="1"/>
      <c r="B587" s="1"/>
      <c r="C587" s="1"/>
      <c r="D587" s="1"/>
      <c r="E587" s="1"/>
      <c r="F587" s="1"/>
      <c r="G587" s="1"/>
      <c r="H587" s="1"/>
      <c r="I587" s="1"/>
      <c r="J587" s="1"/>
      <c r="K587" s="1"/>
      <c r="L587" s="1"/>
      <c r="M587" s="1"/>
      <c r="N587" s="1"/>
      <c r="O587" s="1"/>
      <c r="P587" s="1"/>
      <c r="Q587" s="1"/>
      <c r="R587" s="1"/>
      <c r="S587" s="1"/>
      <c r="T587" s="1"/>
      <c r="U587" s="2"/>
      <c r="V587" s="1"/>
      <c r="W587" s="1"/>
      <c r="X587" s="1"/>
      <c r="Y587" s="1"/>
      <c r="Z587" s="1"/>
    </row>
    <row r="588" spans="1:26" ht="24.75" customHeight="1">
      <c r="A588" s="1"/>
      <c r="B588" s="1"/>
      <c r="C588" s="1"/>
      <c r="D588" s="1"/>
      <c r="E588" s="1"/>
      <c r="F588" s="1"/>
      <c r="G588" s="1"/>
      <c r="H588" s="1"/>
      <c r="I588" s="1"/>
      <c r="J588" s="1"/>
      <c r="K588" s="1"/>
      <c r="L588" s="1"/>
      <c r="M588" s="1"/>
      <c r="N588" s="1"/>
      <c r="O588" s="1"/>
      <c r="P588" s="1"/>
      <c r="Q588" s="1"/>
      <c r="R588" s="1"/>
      <c r="S588" s="1"/>
      <c r="T588" s="1"/>
      <c r="U588" s="2"/>
      <c r="V588" s="1"/>
      <c r="W588" s="1"/>
      <c r="X588" s="1"/>
      <c r="Y588" s="1"/>
      <c r="Z588" s="1"/>
    </row>
    <row r="589" spans="1:26" ht="24.75" customHeight="1">
      <c r="A589" s="1"/>
      <c r="B589" s="1"/>
      <c r="C589" s="1"/>
      <c r="D589" s="1"/>
      <c r="E589" s="1"/>
      <c r="F589" s="1"/>
      <c r="G589" s="1"/>
      <c r="H589" s="1"/>
      <c r="I589" s="1"/>
      <c r="J589" s="1"/>
      <c r="K589" s="1"/>
      <c r="L589" s="1"/>
      <c r="M589" s="1"/>
      <c r="N589" s="1"/>
      <c r="O589" s="1"/>
      <c r="P589" s="1"/>
      <c r="Q589" s="1"/>
      <c r="R589" s="1"/>
      <c r="S589" s="1"/>
      <c r="T589" s="1"/>
      <c r="U589" s="2"/>
      <c r="V589" s="1"/>
      <c r="W589" s="1"/>
      <c r="X589" s="1"/>
      <c r="Y589" s="1"/>
      <c r="Z589" s="1"/>
    </row>
    <row r="590" spans="1:26" ht="24.75" customHeight="1">
      <c r="A590" s="1"/>
      <c r="B590" s="1"/>
      <c r="C590" s="1"/>
      <c r="D590" s="1"/>
      <c r="E590" s="1"/>
      <c r="F590" s="1"/>
      <c r="G590" s="1"/>
      <c r="H590" s="1"/>
      <c r="I590" s="1"/>
      <c r="J590" s="1"/>
      <c r="K590" s="1"/>
      <c r="L590" s="1"/>
      <c r="M590" s="1"/>
      <c r="N590" s="1"/>
      <c r="O590" s="1"/>
      <c r="P590" s="1"/>
      <c r="Q590" s="1"/>
      <c r="R590" s="1"/>
      <c r="S590" s="1"/>
      <c r="T590" s="1"/>
      <c r="U590" s="2"/>
      <c r="V590" s="1"/>
      <c r="W590" s="1"/>
      <c r="X590" s="1"/>
      <c r="Y590" s="1"/>
      <c r="Z590" s="1"/>
    </row>
    <row r="591" spans="1:26" ht="24.75" customHeight="1">
      <c r="A591" s="1"/>
      <c r="B591" s="1"/>
      <c r="C591" s="1"/>
      <c r="D591" s="1"/>
      <c r="E591" s="1"/>
      <c r="F591" s="1"/>
      <c r="G591" s="1"/>
      <c r="H591" s="1"/>
      <c r="I591" s="1"/>
      <c r="J591" s="1"/>
      <c r="K591" s="1"/>
      <c r="L591" s="1"/>
      <c r="M591" s="1"/>
      <c r="N591" s="1"/>
      <c r="O591" s="1"/>
      <c r="P591" s="1"/>
      <c r="Q591" s="1"/>
      <c r="R591" s="1"/>
      <c r="S591" s="1"/>
      <c r="T591" s="1"/>
      <c r="U591" s="2"/>
      <c r="V591" s="1"/>
      <c r="W591" s="1"/>
      <c r="X591" s="1"/>
      <c r="Y591" s="1"/>
      <c r="Z591" s="1"/>
    </row>
    <row r="592" spans="1:26" ht="24.75" customHeight="1">
      <c r="A592" s="1"/>
      <c r="B592" s="1"/>
      <c r="C592" s="1"/>
      <c r="D592" s="1"/>
      <c r="E592" s="1"/>
      <c r="F592" s="1"/>
      <c r="G592" s="1"/>
      <c r="H592" s="1"/>
      <c r="I592" s="1"/>
      <c r="J592" s="1"/>
      <c r="K592" s="1"/>
      <c r="L592" s="1"/>
      <c r="M592" s="1"/>
      <c r="N592" s="1"/>
      <c r="O592" s="1"/>
      <c r="P592" s="1"/>
      <c r="Q592" s="1"/>
      <c r="R592" s="1"/>
      <c r="S592" s="1"/>
      <c r="T592" s="1"/>
      <c r="U592" s="2"/>
      <c r="V592" s="1"/>
      <c r="W592" s="1"/>
      <c r="X592" s="1"/>
      <c r="Y592" s="1"/>
      <c r="Z592" s="1"/>
    </row>
    <row r="593" spans="1:26" ht="24.75" customHeight="1">
      <c r="A593" s="1"/>
      <c r="B593" s="1"/>
      <c r="C593" s="1"/>
      <c r="D593" s="1"/>
      <c r="E593" s="1"/>
      <c r="F593" s="1"/>
      <c r="G593" s="1"/>
      <c r="H593" s="1"/>
      <c r="I593" s="1"/>
      <c r="J593" s="1"/>
      <c r="K593" s="1"/>
      <c r="L593" s="1"/>
      <c r="M593" s="1"/>
      <c r="N593" s="1"/>
      <c r="O593" s="1"/>
      <c r="P593" s="1"/>
      <c r="Q593" s="1"/>
      <c r="R593" s="1"/>
      <c r="S593" s="1"/>
      <c r="T593" s="1"/>
      <c r="U593" s="2"/>
      <c r="V593" s="1"/>
      <c r="W593" s="1"/>
      <c r="X593" s="1"/>
      <c r="Y593" s="1"/>
      <c r="Z593" s="1"/>
    </row>
    <row r="594" spans="1:26" ht="24.75" customHeight="1">
      <c r="A594" s="1"/>
      <c r="B594" s="1"/>
      <c r="C594" s="1"/>
      <c r="D594" s="1"/>
      <c r="E594" s="1"/>
      <c r="F594" s="1"/>
      <c r="G594" s="1"/>
      <c r="H594" s="1"/>
      <c r="I594" s="1"/>
      <c r="J594" s="1"/>
      <c r="K594" s="1"/>
      <c r="L594" s="1"/>
      <c r="M594" s="1"/>
      <c r="N594" s="1"/>
      <c r="O594" s="1"/>
      <c r="P594" s="1"/>
      <c r="Q594" s="1"/>
      <c r="R594" s="1"/>
      <c r="S594" s="1"/>
      <c r="T594" s="1"/>
      <c r="U594" s="2"/>
      <c r="V594" s="1"/>
      <c r="W594" s="1"/>
      <c r="X594" s="1"/>
      <c r="Y594" s="1"/>
      <c r="Z594" s="1"/>
    </row>
    <row r="595" spans="1:26" ht="24.75" customHeight="1">
      <c r="A595" s="1"/>
      <c r="B595" s="1"/>
      <c r="C595" s="1"/>
      <c r="D595" s="1"/>
      <c r="E595" s="1"/>
      <c r="F595" s="1"/>
      <c r="G595" s="1"/>
      <c r="H595" s="1"/>
      <c r="I595" s="1"/>
      <c r="J595" s="1"/>
      <c r="K595" s="1"/>
      <c r="L595" s="1"/>
      <c r="M595" s="1"/>
      <c r="N595" s="1"/>
      <c r="O595" s="1"/>
      <c r="P595" s="1"/>
      <c r="Q595" s="1"/>
      <c r="R595" s="1"/>
      <c r="S595" s="1"/>
      <c r="T595" s="1"/>
      <c r="U595" s="2"/>
      <c r="V595" s="1"/>
      <c r="W595" s="1"/>
      <c r="X595" s="1"/>
      <c r="Y595" s="1"/>
      <c r="Z595" s="1"/>
    </row>
    <row r="596" spans="1:26" ht="24.75" customHeight="1">
      <c r="A596" s="1"/>
      <c r="B596" s="1"/>
      <c r="C596" s="1"/>
      <c r="D596" s="1"/>
      <c r="E596" s="1"/>
      <c r="F596" s="1"/>
      <c r="G596" s="1"/>
      <c r="H596" s="1"/>
      <c r="I596" s="1"/>
      <c r="J596" s="1"/>
      <c r="K596" s="1"/>
      <c r="L596" s="1"/>
      <c r="M596" s="1"/>
      <c r="N596" s="1"/>
      <c r="O596" s="1"/>
      <c r="P596" s="1"/>
      <c r="Q596" s="1"/>
      <c r="R596" s="1"/>
      <c r="S596" s="1"/>
      <c r="T596" s="1"/>
      <c r="U596" s="2"/>
      <c r="V596" s="1"/>
      <c r="W596" s="1"/>
      <c r="X596" s="1"/>
      <c r="Y596" s="1"/>
      <c r="Z596" s="1"/>
    </row>
    <row r="597" spans="1:26" ht="24.75" customHeight="1">
      <c r="A597" s="1"/>
      <c r="B597" s="1"/>
      <c r="C597" s="1"/>
      <c r="D597" s="1"/>
      <c r="E597" s="1"/>
      <c r="F597" s="1"/>
      <c r="G597" s="1"/>
      <c r="H597" s="1"/>
      <c r="I597" s="1"/>
      <c r="J597" s="1"/>
      <c r="K597" s="1"/>
      <c r="L597" s="1"/>
      <c r="M597" s="1"/>
      <c r="N597" s="1"/>
      <c r="O597" s="1"/>
      <c r="P597" s="1"/>
      <c r="Q597" s="1"/>
      <c r="R597" s="1"/>
      <c r="S597" s="1"/>
      <c r="T597" s="1"/>
      <c r="U597" s="2"/>
      <c r="V597" s="1"/>
      <c r="W597" s="1"/>
      <c r="X597" s="1"/>
      <c r="Y597" s="1"/>
      <c r="Z597" s="1"/>
    </row>
    <row r="598" spans="1:26" ht="24.75" customHeight="1">
      <c r="A598" s="1"/>
      <c r="B598" s="1"/>
      <c r="C598" s="1"/>
      <c r="D598" s="1"/>
      <c r="E598" s="1"/>
      <c r="F598" s="1"/>
      <c r="G598" s="1"/>
      <c r="H598" s="1"/>
      <c r="I598" s="1"/>
      <c r="J598" s="1"/>
      <c r="K598" s="1"/>
      <c r="L598" s="1"/>
      <c r="M598" s="1"/>
      <c r="N598" s="1"/>
      <c r="O598" s="1"/>
      <c r="P598" s="1"/>
      <c r="Q598" s="1"/>
      <c r="R598" s="1"/>
      <c r="S598" s="1"/>
      <c r="T598" s="1"/>
      <c r="U598" s="2"/>
      <c r="V598" s="1"/>
      <c r="W598" s="1"/>
      <c r="X598" s="1"/>
      <c r="Y598" s="1"/>
      <c r="Z598" s="1"/>
    </row>
    <row r="599" spans="1:26" ht="24.75" customHeight="1">
      <c r="A599" s="1"/>
      <c r="B599" s="1"/>
      <c r="C599" s="1"/>
      <c r="D599" s="1"/>
      <c r="E599" s="1"/>
      <c r="F599" s="1"/>
      <c r="G599" s="1"/>
      <c r="H599" s="1"/>
      <c r="I599" s="1"/>
      <c r="J599" s="1"/>
      <c r="K599" s="1"/>
      <c r="L599" s="1"/>
      <c r="M599" s="1"/>
      <c r="N599" s="1"/>
      <c r="O599" s="1"/>
      <c r="P599" s="1"/>
      <c r="Q599" s="1"/>
      <c r="R599" s="1"/>
      <c r="S599" s="1"/>
      <c r="T599" s="1"/>
      <c r="U599" s="2"/>
      <c r="V599" s="1"/>
      <c r="W599" s="1"/>
      <c r="X599" s="1"/>
      <c r="Y599" s="1"/>
      <c r="Z599" s="1"/>
    </row>
    <row r="600" spans="1:26" ht="24.75" customHeight="1">
      <c r="A600" s="1"/>
      <c r="B600" s="1"/>
      <c r="C600" s="1"/>
      <c r="D600" s="1"/>
      <c r="E600" s="1"/>
      <c r="F600" s="1"/>
      <c r="G600" s="1"/>
      <c r="H600" s="1"/>
      <c r="I600" s="1"/>
      <c r="J600" s="1"/>
      <c r="K600" s="1"/>
      <c r="L600" s="1"/>
      <c r="M600" s="1"/>
      <c r="N600" s="1"/>
      <c r="O600" s="1"/>
      <c r="P600" s="1"/>
      <c r="Q600" s="1"/>
      <c r="R600" s="1"/>
      <c r="S600" s="1"/>
      <c r="T600" s="1"/>
      <c r="U600" s="2"/>
      <c r="V600" s="1"/>
      <c r="W600" s="1"/>
      <c r="X600" s="1"/>
      <c r="Y600" s="1"/>
      <c r="Z600" s="1"/>
    </row>
    <row r="601" spans="1:26" ht="24.75" customHeight="1">
      <c r="A601" s="1"/>
      <c r="B601" s="1"/>
      <c r="C601" s="1"/>
      <c r="D601" s="1"/>
      <c r="E601" s="1"/>
      <c r="F601" s="1"/>
      <c r="G601" s="1"/>
      <c r="H601" s="1"/>
      <c r="I601" s="1"/>
      <c r="J601" s="1"/>
      <c r="K601" s="1"/>
      <c r="L601" s="1"/>
      <c r="M601" s="1"/>
      <c r="N601" s="1"/>
      <c r="O601" s="1"/>
      <c r="P601" s="1"/>
      <c r="Q601" s="1"/>
      <c r="R601" s="1"/>
      <c r="S601" s="1"/>
      <c r="T601" s="1"/>
      <c r="U601" s="2"/>
      <c r="V601" s="1"/>
      <c r="W601" s="1"/>
      <c r="X601" s="1"/>
      <c r="Y601" s="1"/>
      <c r="Z601" s="1"/>
    </row>
    <row r="602" spans="1:26" ht="24.75" customHeight="1">
      <c r="A602" s="1"/>
      <c r="B602" s="1"/>
      <c r="C602" s="1"/>
      <c r="D602" s="1"/>
      <c r="E602" s="1"/>
      <c r="F602" s="1"/>
      <c r="G602" s="1"/>
      <c r="H602" s="1"/>
      <c r="I602" s="1"/>
      <c r="J602" s="1"/>
      <c r="K602" s="1"/>
      <c r="L602" s="1"/>
      <c r="M602" s="1"/>
      <c r="N602" s="1"/>
      <c r="O602" s="1"/>
      <c r="P602" s="1"/>
      <c r="Q602" s="1"/>
      <c r="R602" s="1"/>
      <c r="S602" s="1"/>
      <c r="T602" s="1"/>
      <c r="U602" s="2"/>
      <c r="V602" s="1"/>
      <c r="W602" s="1"/>
      <c r="X602" s="1"/>
      <c r="Y602" s="1"/>
      <c r="Z602" s="1"/>
    </row>
    <row r="603" spans="1:26" ht="24.75" customHeight="1">
      <c r="A603" s="1"/>
      <c r="B603" s="1"/>
      <c r="C603" s="1"/>
      <c r="D603" s="1"/>
      <c r="E603" s="1"/>
      <c r="F603" s="1"/>
      <c r="G603" s="1"/>
      <c r="H603" s="1"/>
      <c r="I603" s="1"/>
      <c r="J603" s="1"/>
      <c r="K603" s="1"/>
      <c r="L603" s="1"/>
      <c r="M603" s="1"/>
      <c r="N603" s="1"/>
      <c r="O603" s="1"/>
      <c r="P603" s="1"/>
      <c r="Q603" s="1"/>
      <c r="R603" s="1"/>
      <c r="S603" s="1"/>
      <c r="T603" s="1"/>
      <c r="U603" s="2"/>
      <c r="V603" s="1"/>
      <c r="W603" s="1"/>
      <c r="X603" s="1"/>
      <c r="Y603" s="1"/>
      <c r="Z603" s="1"/>
    </row>
    <row r="604" spans="1:26" ht="24.75" customHeight="1">
      <c r="A604" s="1"/>
      <c r="B604" s="1"/>
      <c r="C604" s="1"/>
      <c r="D604" s="1"/>
      <c r="E604" s="1"/>
      <c r="F604" s="1"/>
      <c r="G604" s="1"/>
      <c r="H604" s="1"/>
      <c r="I604" s="1"/>
      <c r="J604" s="1"/>
      <c r="K604" s="1"/>
      <c r="L604" s="1"/>
      <c r="M604" s="1"/>
      <c r="N604" s="1"/>
      <c r="O604" s="1"/>
      <c r="P604" s="1"/>
      <c r="Q604" s="1"/>
      <c r="R604" s="1"/>
      <c r="S604" s="1"/>
      <c r="T604" s="1"/>
      <c r="U604" s="2"/>
      <c r="V604" s="1"/>
      <c r="W604" s="1"/>
      <c r="X604" s="1"/>
      <c r="Y604" s="1"/>
      <c r="Z604" s="1"/>
    </row>
    <row r="605" spans="1:26" ht="24.75" customHeight="1">
      <c r="A605" s="1"/>
      <c r="B605" s="1"/>
      <c r="C605" s="1"/>
      <c r="D605" s="1"/>
      <c r="E605" s="1"/>
      <c r="F605" s="1"/>
      <c r="G605" s="1"/>
      <c r="H605" s="1"/>
      <c r="I605" s="1"/>
      <c r="J605" s="1"/>
      <c r="K605" s="1"/>
      <c r="L605" s="1"/>
      <c r="M605" s="1"/>
      <c r="N605" s="1"/>
      <c r="O605" s="1"/>
      <c r="P605" s="1"/>
      <c r="Q605" s="1"/>
      <c r="R605" s="1"/>
      <c r="S605" s="1"/>
      <c r="T605" s="1"/>
      <c r="U605" s="2"/>
      <c r="V605" s="1"/>
      <c r="W605" s="1"/>
      <c r="X605" s="1"/>
      <c r="Y605" s="1"/>
      <c r="Z605" s="1"/>
    </row>
    <row r="606" spans="1:26" ht="24.75" customHeight="1">
      <c r="A606" s="1"/>
      <c r="B606" s="1"/>
      <c r="C606" s="1"/>
      <c r="D606" s="1"/>
      <c r="E606" s="1"/>
      <c r="F606" s="1"/>
      <c r="G606" s="1"/>
      <c r="H606" s="1"/>
      <c r="I606" s="1"/>
      <c r="J606" s="1"/>
      <c r="K606" s="1"/>
      <c r="L606" s="1"/>
      <c r="M606" s="1"/>
      <c r="N606" s="1"/>
      <c r="O606" s="1"/>
      <c r="P606" s="1"/>
      <c r="Q606" s="1"/>
      <c r="R606" s="1"/>
      <c r="S606" s="1"/>
      <c r="T606" s="1"/>
      <c r="U606" s="2"/>
      <c r="V606" s="1"/>
      <c r="W606" s="1"/>
      <c r="X606" s="1"/>
      <c r="Y606" s="1"/>
      <c r="Z606" s="1"/>
    </row>
    <row r="607" spans="1:26" ht="24.75" customHeight="1">
      <c r="A607" s="1"/>
      <c r="B607" s="1"/>
      <c r="C607" s="1"/>
      <c r="D607" s="1"/>
      <c r="E607" s="1"/>
      <c r="F607" s="1"/>
      <c r="G607" s="1"/>
      <c r="H607" s="1"/>
      <c r="I607" s="1"/>
      <c r="J607" s="1"/>
      <c r="K607" s="1"/>
      <c r="L607" s="1"/>
      <c r="M607" s="1"/>
      <c r="N607" s="1"/>
      <c r="O607" s="1"/>
      <c r="P607" s="1"/>
      <c r="Q607" s="1"/>
      <c r="R607" s="1"/>
      <c r="S607" s="1"/>
      <c r="T607" s="1"/>
      <c r="U607" s="2"/>
      <c r="V607" s="1"/>
      <c r="W607" s="1"/>
      <c r="X607" s="1"/>
      <c r="Y607" s="1"/>
      <c r="Z607" s="1"/>
    </row>
    <row r="608" spans="1:26" ht="24.75" customHeight="1">
      <c r="A608" s="1"/>
      <c r="B608" s="1"/>
      <c r="C608" s="1"/>
      <c r="D608" s="1"/>
      <c r="E608" s="1"/>
      <c r="F608" s="1"/>
      <c r="G608" s="1"/>
      <c r="H608" s="1"/>
      <c r="I608" s="1"/>
      <c r="J608" s="1"/>
      <c r="K608" s="1"/>
      <c r="L608" s="1"/>
      <c r="M608" s="1"/>
      <c r="N608" s="1"/>
      <c r="O608" s="1"/>
      <c r="P608" s="1"/>
      <c r="Q608" s="1"/>
      <c r="R608" s="1"/>
      <c r="S608" s="1"/>
      <c r="T608" s="1"/>
      <c r="U608" s="2"/>
      <c r="V608" s="1"/>
      <c r="W608" s="1"/>
      <c r="X608" s="1"/>
      <c r="Y608" s="1"/>
      <c r="Z608" s="1"/>
    </row>
    <row r="609" spans="1:26" ht="24.75" customHeight="1">
      <c r="A609" s="1"/>
      <c r="B609" s="1"/>
      <c r="C609" s="1"/>
      <c r="D609" s="1"/>
      <c r="E609" s="1"/>
      <c r="F609" s="1"/>
      <c r="G609" s="1"/>
      <c r="H609" s="1"/>
      <c r="I609" s="1"/>
      <c r="J609" s="1"/>
      <c r="K609" s="1"/>
      <c r="L609" s="1"/>
      <c r="M609" s="1"/>
      <c r="N609" s="1"/>
      <c r="O609" s="1"/>
      <c r="P609" s="1"/>
      <c r="Q609" s="1"/>
      <c r="R609" s="1"/>
      <c r="S609" s="1"/>
      <c r="T609" s="1"/>
      <c r="U609" s="2"/>
      <c r="V609" s="1"/>
      <c r="W609" s="1"/>
      <c r="X609" s="1"/>
      <c r="Y609" s="1"/>
      <c r="Z609" s="1"/>
    </row>
    <row r="610" spans="1:26" ht="24.75" customHeight="1">
      <c r="A610" s="1"/>
      <c r="B610" s="1"/>
      <c r="C610" s="1"/>
      <c r="D610" s="1"/>
      <c r="E610" s="1"/>
      <c r="F610" s="1"/>
      <c r="G610" s="1"/>
      <c r="H610" s="1"/>
      <c r="I610" s="1"/>
      <c r="J610" s="1"/>
      <c r="K610" s="1"/>
      <c r="L610" s="1"/>
      <c r="M610" s="1"/>
      <c r="N610" s="1"/>
      <c r="O610" s="1"/>
      <c r="P610" s="1"/>
      <c r="Q610" s="1"/>
      <c r="R610" s="1"/>
      <c r="S610" s="1"/>
      <c r="T610" s="1"/>
      <c r="U610" s="2"/>
      <c r="V610" s="1"/>
      <c r="W610" s="1"/>
      <c r="X610" s="1"/>
      <c r="Y610" s="1"/>
      <c r="Z610" s="1"/>
    </row>
    <row r="611" spans="1:26" ht="24.75" customHeight="1">
      <c r="A611" s="1"/>
      <c r="B611" s="1"/>
      <c r="C611" s="1"/>
      <c r="D611" s="1"/>
      <c r="E611" s="1"/>
      <c r="F611" s="1"/>
      <c r="G611" s="1"/>
      <c r="H611" s="1"/>
      <c r="I611" s="1"/>
      <c r="J611" s="1"/>
      <c r="K611" s="1"/>
      <c r="L611" s="1"/>
      <c r="M611" s="1"/>
      <c r="N611" s="1"/>
      <c r="O611" s="1"/>
      <c r="P611" s="1"/>
      <c r="Q611" s="1"/>
      <c r="R611" s="1"/>
      <c r="S611" s="1"/>
      <c r="T611" s="1"/>
      <c r="U611" s="2"/>
      <c r="V611" s="1"/>
      <c r="W611" s="1"/>
      <c r="X611" s="1"/>
      <c r="Y611" s="1"/>
      <c r="Z611" s="1"/>
    </row>
    <row r="612" spans="1:26" ht="24.75" customHeight="1">
      <c r="A612" s="1"/>
      <c r="B612" s="1"/>
      <c r="C612" s="1"/>
      <c r="D612" s="1"/>
      <c r="E612" s="1"/>
      <c r="F612" s="1"/>
      <c r="G612" s="1"/>
      <c r="H612" s="1"/>
      <c r="I612" s="1"/>
      <c r="J612" s="1"/>
      <c r="K612" s="1"/>
      <c r="L612" s="1"/>
      <c r="M612" s="1"/>
      <c r="N612" s="1"/>
      <c r="O612" s="1"/>
      <c r="P612" s="1"/>
      <c r="Q612" s="1"/>
      <c r="R612" s="1"/>
      <c r="S612" s="1"/>
      <c r="T612" s="1"/>
      <c r="U612" s="2"/>
      <c r="V612" s="1"/>
      <c r="W612" s="1"/>
      <c r="X612" s="1"/>
      <c r="Y612" s="1"/>
      <c r="Z612" s="1"/>
    </row>
    <row r="613" spans="1:26" ht="24.75" customHeight="1">
      <c r="A613" s="1"/>
      <c r="B613" s="1"/>
      <c r="C613" s="1"/>
      <c r="D613" s="1"/>
      <c r="E613" s="1"/>
      <c r="F613" s="1"/>
      <c r="G613" s="1"/>
      <c r="H613" s="1"/>
      <c r="I613" s="1"/>
      <c r="J613" s="1"/>
      <c r="K613" s="1"/>
      <c r="L613" s="1"/>
      <c r="M613" s="1"/>
      <c r="N613" s="1"/>
      <c r="O613" s="1"/>
      <c r="P613" s="1"/>
      <c r="Q613" s="1"/>
      <c r="R613" s="1"/>
      <c r="S613" s="1"/>
      <c r="T613" s="1"/>
      <c r="U613" s="2"/>
      <c r="V613" s="1"/>
      <c r="W613" s="1"/>
      <c r="X613" s="1"/>
      <c r="Y613" s="1"/>
      <c r="Z613" s="1"/>
    </row>
    <row r="614" spans="1:26" ht="24.75" customHeight="1">
      <c r="A614" s="1"/>
      <c r="B614" s="1"/>
      <c r="C614" s="1"/>
      <c r="D614" s="1"/>
      <c r="E614" s="1"/>
      <c r="F614" s="1"/>
      <c r="G614" s="1"/>
      <c r="H614" s="1"/>
      <c r="I614" s="1"/>
      <c r="J614" s="1"/>
      <c r="K614" s="1"/>
      <c r="L614" s="1"/>
      <c r="M614" s="1"/>
      <c r="N614" s="1"/>
      <c r="O614" s="1"/>
      <c r="P614" s="1"/>
      <c r="Q614" s="1"/>
      <c r="R614" s="1"/>
      <c r="S614" s="1"/>
      <c r="T614" s="1"/>
      <c r="U614" s="2"/>
      <c r="V614" s="1"/>
      <c r="W614" s="1"/>
      <c r="X614" s="1"/>
      <c r="Y614" s="1"/>
      <c r="Z614" s="1"/>
    </row>
    <row r="615" spans="1:26" ht="24.75" customHeight="1">
      <c r="A615" s="1"/>
      <c r="B615" s="1"/>
      <c r="C615" s="1"/>
      <c r="D615" s="1"/>
      <c r="E615" s="1"/>
      <c r="F615" s="1"/>
      <c r="G615" s="1"/>
      <c r="H615" s="1"/>
      <c r="I615" s="1"/>
      <c r="J615" s="1"/>
      <c r="K615" s="1"/>
      <c r="L615" s="1"/>
      <c r="M615" s="1"/>
      <c r="N615" s="1"/>
      <c r="O615" s="1"/>
      <c r="P615" s="1"/>
      <c r="Q615" s="1"/>
      <c r="R615" s="1"/>
      <c r="S615" s="1"/>
      <c r="T615" s="1"/>
      <c r="U615" s="2"/>
      <c r="V615" s="1"/>
      <c r="W615" s="1"/>
      <c r="X615" s="1"/>
      <c r="Y615" s="1"/>
      <c r="Z615" s="1"/>
    </row>
    <row r="616" spans="1:26" ht="24.75" customHeight="1">
      <c r="A616" s="1"/>
      <c r="B616" s="1"/>
      <c r="C616" s="1"/>
      <c r="D616" s="1"/>
      <c r="E616" s="1"/>
      <c r="F616" s="1"/>
      <c r="G616" s="1"/>
      <c r="H616" s="1"/>
      <c r="I616" s="1"/>
      <c r="J616" s="1"/>
      <c r="K616" s="1"/>
      <c r="L616" s="1"/>
      <c r="M616" s="1"/>
      <c r="N616" s="1"/>
      <c r="O616" s="1"/>
      <c r="P616" s="1"/>
      <c r="Q616" s="1"/>
      <c r="R616" s="1"/>
      <c r="S616" s="1"/>
      <c r="T616" s="1"/>
      <c r="U616" s="2"/>
      <c r="V616" s="1"/>
      <c r="W616" s="1"/>
      <c r="X616" s="1"/>
      <c r="Y616" s="1"/>
      <c r="Z616" s="1"/>
    </row>
    <row r="617" spans="1:26" ht="24.75" customHeight="1">
      <c r="A617" s="1"/>
      <c r="B617" s="1"/>
      <c r="C617" s="1"/>
      <c r="D617" s="1"/>
      <c r="E617" s="1"/>
      <c r="F617" s="1"/>
      <c r="G617" s="1"/>
      <c r="H617" s="1"/>
      <c r="I617" s="1"/>
      <c r="J617" s="1"/>
      <c r="K617" s="1"/>
      <c r="L617" s="1"/>
      <c r="M617" s="1"/>
      <c r="N617" s="1"/>
      <c r="O617" s="1"/>
      <c r="P617" s="1"/>
      <c r="Q617" s="1"/>
      <c r="R617" s="1"/>
      <c r="S617" s="1"/>
      <c r="T617" s="1"/>
      <c r="U617" s="2"/>
      <c r="V617" s="1"/>
      <c r="W617" s="1"/>
      <c r="X617" s="1"/>
      <c r="Y617" s="1"/>
      <c r="Z617" s="1"/>
    </row>
    <row r="618" spans="1:26" ht="24.75" customHeight="1">
      <c r="A618" s="1"/>
      <c r="B618" s="1"/>
      <c r="C618" s="1"/>
      <c r="D618" s="1"/>
      <c r="E618" s="1"/>
      <c r="F618" s="1"/>
      <c r="G618" s="1"/>
      <c r="H618" s="1"/>
      <c r="I618" s="1"/>
      <c r="J618" s="1"/>
      <c r="K618" s="1"/>
      <c r="L618" s="1"/>
      <c r="M618" s="1"/>
      <c r="N618" s="1"/>
      <c r="O618" s="1"/>
      <c r="P618" s="1"/>
      <c r="Q618" s="1"/>
      <c r="R618" s="1"/>
      <c r="S618" s="1"/>
      <c r="T618" s="1"/>
      <c r="U618" s="2"/>
      <c r="V618" s="1"/>
      <c r="W618" s="1"/>
      <c r="X618" s="1"/>
      <c r="Y618" s="1"/>
      <c r="Z618" s="1"/>
    </row>
    <row r="619" spans="1:26" ht="24.75" customHeight="1">
      <c r="A619" s="1"/>
      <c r="B619" s="1"/>
      <c r="C619" s="1"/>
      <c r="D619" s="1"/>
      <c r="E619" s="1"/>
      <c r="F619" s="1"/>
      <c r="G619" s="1"/>
      <c r="H619" s="1"/>
      <c r="I619" s="1"/>
      <c r="J619" s="1"/>
      <c r="K619" s="1"/>
      <c r="L619" s="1"/>
      <c r="M619" s="1"/>
      <c r="N619" s="1"/>
      <c r="O619" s="1"/>
      <c r="P619" s="1"/>
      <c r="Q619" s="1"/>
      <c r="R619" s="1"/>
      <c r="S619" s="1"/>
      <c r="T619" s="1"/>
      <c r="U619" s="2"/>
      <c r="V619" s="1"/>
      <c r="W619" s="1"/>
      <c r="X619" s="1"/>
      <c r="Y619" s="1"/>
      <c r="Z619" s="1"/>
    </row>
    <row r="620" spans="1:26" ht="24.75" customHeight="1">
      <c r="A620" s="1"/>
      <c r="B620" s="1"/>
      <c r="C620" s="1"/>
      <c r="D620" s="1"/>
      <c r="E620" s="1"/>
      <c r="F620" s="1"/>
      <c r="G620" s="1"/>
      <c r="H620" s="1"/>
      <c r="I620" s="1"/>
      <c r="J620" s="1"/>
      <c r="K620" s="1"/>
      <c r="L620" s="1"/>
      <c r="M620" s="1"/>
      <c r="N620" s="1"/>
      <c r="O620" s="1"/>
      <c r="P620" s="1"/>
      <c r="Q620" s="1"/>
      <c r="R620" s="1"/>
      <c r="S620" s="1"/>
      <c r="T620" s="1"/>
      <c r="U620" s="2"/>
      <c r="V620" s="1"/>
      <c r="W620" s="1"/>
      <c r="X620" s="1"/>
      <c r="Y620" s="1"/>
      <c r="Z620" s="1"/>
    </row>
    <row r="621" spans="1:26" ht="24.75" customHeight="1">
      <c r="A621" s="1"/>
      <c r="B621" s="1"/>
      <c r="C621" s="1"/>
      <c r="D621" s="1"/>
      <c r="E621" s="1"/>
      <c r="F621" s="1"/>
      <c r="G621" s="1"/>
      <c r="H621" s="1"/>
      <c r="I621" s="1"/>
      <c r="J621" s="1"/>
      <c r="K621" s="1"/>
      <c r="L621" s="1"/>
      <c r="M621" s="1"/>
      <c r="N621" s="1"/>
      <c r="O621" s="1"/>
      <c r="P621" s="1"/>
      <c r="Q621" s="1"/>
      <c r="R621" s="1"/>
      <c r="S621" s="1"/>
      <c r="T621" s="1"/>
      <c r="U621" s="2"/>
      <c r="V621" s="1"/>
      <c r="W621" s="1"/>
      <c r="X621" s="1"/>
      <c r="Y621" s="1"/>
      <c r="Z621" s="1"/>
    </row>
    <row r="622" spans="1:26" ht="24.75" customHeight="1">
      <c r="A622" s="1"/>
      <c r="B622" s="1"/>
      <c r="C622" s="1"/>
      <c r="D622" s="1"/>
      <c r="E622" s="1"/>
      <c r="F622" s="1"/>
      <c r="G622" s="1"/>
      <c r="H622" s="1"/>
      <c r="I622" s="1"/>
      <c r="J622" s="1"/>
      <c r="K622" s="1"/>
      <c r="L622" s="1"/>
      <c r="M622" s="1"/>
      <c r="N622" s="1"/>
      <c r="O622" s="1"/>
      <c r="P622" s="1"/>
      <c r="Q622" s="1"/>
      <c r="R622" s="1"/>
      <c r="S622" s="1"/>
      <c r="T622" s="1"/>
      <c r="U622" s="2"/>
      <c r="V622" s="1"/>
      <c r="W622" s="1"/>
      <c r="X622" s="1"/>
      <c r="Y622" s="1"/>
      <c r="Z622" s="1"/>
    </row>
    <row r="623" spans="1:26" ht="24.75" customHeight="1">
      <c r="A623" s="1"/>
      <c r="B623" s="1"/>
      <c r="C623" s="1"/>
      <c r="D623" s="1"/>
      <c r="E623" s="1"/>
      <c r="F623" s="1"/>
      <c r="G623" s="1"/>
      <c r="H623" s="1"/>
      <c r="I623" s="1"/>
      <c r="J623" s="1"/>
      <c r="K623" s="1"/>
      <c r="L623" s="1"/>
      <c r="M623" s="1"/>
      <c r="N623" s="1"/>
      <c r="O623" s="1"/>
      <c r="P623" s="1"/>
      <c r="Q623" s="1"/>
      <c r="R623" s="1"/>
      <c r="S623" s="1"/>
      <c r="T623" s="1"/>
      <c r="U623" s="2"/>
      <c r="V623" s="1"/>
      <c r="W623" s="1"/>
      <c r="X623" s="1"/>
      <c r="Y623" s="1"/>
      <c r="Z623" s="1"/>
    </row>
    <row r="624" spans="1:26" ht="24.75" customHeight="1">
      <c r="A624" s="1"/>
      <c r="B624" s="1"/>
      <c r="C624" s="1"/>
      <c r="D624" s="1"/>
      <c r="E624" s="1"/>
      <c r="F624" s="1"/>
      <c r="G624" s="1"/>
      <c r="H624" s="1"/>
      <c r="I624" s="1"/>
      <c r="J624" s="1"/>
      <c r="K624" s="1"/>
      <c r="L624" s="1"/>
      <c r="M624" s="1"/>
      <c r="N624" s="1"/>
      <c r="O624" s="1"/>
      <c r="P624" s="1"/>
      <c r="Q624" s="1"/>
      <c r="R624" s="1"/>
      <c r="S624" s="1"/>
      <c r="T624" s="1"/>
      <c r="U624" s="2"/>
      <c r="V624" s="1"/>
      <c r="W624" s="1"/>
      <c r="X624" s="1"/>
      <c r="Y624" s="1"/>
      <c r="Z624" s="1"/>
    </row>
    <row r="625" spans="1:26" ht="24.75" customHeight="1">
      <c r="A625" s="1"/>
      <c r="B625" s="1"/>
      <c r="C625" s="1"/>
      <c r="D625" s="1"/>
      <c r="E625" s="1"/>
      <c r="F625" s="1"/>
      <c r="G625" s="1"/>
      <c r="H625" s="1"/>
      <c r="I625" s="1"/>
      <c r="J625" s="1"/>
      <c r="K625" s="1"/>
      <c r="L625" s="1"/>
      <c r="M625" s="1"/>
      <c r="N625" s="1"/>
      <c r="O625" s="1"/>
      <c r="P625" s="1"/>
      <c r="Q625" s="1"/>
      <c r="R625" s="1"/>
      <c r="S625" s="1"/>
      <c r="T625" s="1"/>
      <c r="U625" s="2"/>
      <c r="V625" s="1"/>
      <c r="W625" s="1"/>
      <c r="X625" s="1"/>
      <c r="Y625" s="1"/>
      <c r="Z625" s="1"/>
    </row>
    <row r="626" spans="1:26" ht="24.75" customHeight="1">
      <c r="A626" s="1"/>
      <c r="B626" s="1"/>
      <c r="C626" s="1"/>
      <c r="D626" s="1"/>
      <c r="E626" s="1"/>
      <c r="F626" s="1"/>
      <c r="G626" s="1"/>
      <c r="H626" s="1"/>
      <c r="I626" s="1"/>
      <c r="J626" s="1"/>
      <c r="K626" s="1"/>
      <c r="L626" s="1"/>
      <c r="M626" s="1"/>
      <c r="N626" s="1"/>
      <c r="O626" s="1"/>
      <c r="P626" s="1"/>
      <c r="Q626" s="1"/>
      <c r="R626" s="1"/>
      <c r="S626" s="1"/>
      <c r="T626" s="1"/>
      <c r="U626" s="2"/>
      <c r="V626" s="1"/>
      <c r="W626" s="1"/>
      <c r="X626" s="1"/>
      <c r="Y626" s="1"/>
      <c r="Z626" s="1"/>
    </row>
    <row r="627" spans="1:26" ht="24.75" customHeight="1">
      <c r="A627" s="1"/>
      <c r="B627" s="1"/>
      <c r="C627" s="1"/>
      <c r="D627" s="1"/>
      <c r="E627" s="1"/>
      <c r="F627" s="1"/>
      <c r="G627" s="1"/>
      <c r="H627" s="1"/>
      <c r="I627" s="1"/>
      <c r="J627" s="1"/>
      <c r="K627" s="1"/>
      <c r="L627" s="1"/>
      <c r="M627" s="1"/>
      <c r="N627" s="1"/>
      <c r="O627" s="1"/>
      <c r="P627" s="1"/>
      <c r="Q627" s="1"/>
      <c r="R627" s="1"/>
      <c r="S627" s="1"/>
      <c r="T627" s="1"/>
      <c r="U627" s="2"/>
      <c r="V627" s="1"/>
      <c r="W627" s="1"/>
      <c r="X627" s="1"/>
      <c r="Y627" s="1"/>
      <c r="Z627" s="1"/>
    </row>
    <row r="628" spans="1:26" ht="24.75" customHeight="1">
      <c r="A628" s="1"/>
      <c r="B628" s="1"/>
      <c r="C628" s="1"/>
      <c r="D628" s="1"/>
      <c r="E628" s="1"/>
      <c r="F628" s="1"/>
      <c r="G628" s="1"/>
      <c r="H628" s="1"/>
      <c r="I628" s="1"/>
      <c r="J628" s="1"/>
      <c r="K628" s="1"/>
      <c r="L628" s="1"/>
      <c r="M628" s="1"/>
      <c r="N628" s="1"/>
      <c r="O628" s="1"/>
      <c r="P628" s="1"/>
      <c r="Q628" s="1"/>
      <c r="R628" s="1"/>
      <c r="S628" s="1"/>
      <c r="T628" s="1"/>
      <c r="U628" s="2"/>
      <c r="V628" s="1"/>
      <c r="W628" s="1"/>
      <c r="X628" s="1"/>
      <c r="Y628" s="1"/>
      <c r="Z628" s="1"/>
    </row>
    <row r="629" spans="1:26" ht="24.75" customHeight="1">
      <c r="A629" s="1"/>
      <c r="B629" s="1"/>
      <c r="C629" s="1"/>
      <c r="D629" s="1"/>
      <c r="E629" s="1"/>
      <c r="F629" s="1"/>
      <c r="G629" s="1"/>
      <c r="H629" s="1"/>
      <c r="I629" s="1"/>
      <c r="J629" s="1"/>
      <c r="K629" s="1"/>
      <c r="L629" s="1"/>
      <c r="M629" s="1"/>
      <c r="N629" s="1"/>
      <c r="O629" s="1"/>
      <c r="P629" s="1"/>
      <c r="Q629" s="1"/>
      <c r="R629" s="1"/>
      <c r="S629" s="1"/>
      <c r="T629" s="1"/>
      <c r="U629" s="2"/>
      <c r="V629" s="1"/>
      <c r="W629" s="1"/>
      <c r="X629" s="1"/>
      <c r="Y629" s="1"/>
      <c r="Z629" s="1"/>
    </row>
    <row r="630" spans="1:26" ht="24.75" customHeight="1">
      <c r="A630" s="1"/>
      <c r="B630" s="1"/>
      <c r="C630" s="1"/>
      <c r="D630" s="1"/>
      <c r="E630" s="1"/>
      <c r="F630" s="1"/>
      <c r="G630" s="1"/>
      <c r="H630" s="1"/>
      <c r="I630" s="1"/>
      <c r="J630" s="1"/>
      <c r="K630" s="1"/>
      <c r="L630" s="1"/>
      <c r="M630" s="1"/>
      <c r="N630" s="1"/>
      <c r="O630" s="1"/>
      <c r="P630" s="1"/>
      <c r="Q630" s="1"/>
      <c r="R630" s="1"/>
      <c r="S630" s="1"/>
      <c r="T630" s="1"/>
      <c r="U630" s="2"/>
      <c r="V630" s="1"/>
      <c r="W630" s="1"/>
      <c r="X630" s="1"/>
      <c r="Y630" s="1"/>
      <c r="Z630" s="1"/>
    </row>
    <row r="631" spans="1:26" ht="24.75" customHeight="1">
      <c r="A631" s="1"/>
      <c r="B631" s="1"/>
      <c r="C631" s="1"/>
      <c r="D631" s="1"/>
      <c r="E631" s="1"/>
      <c r="F631" s="1"/>
      <c r="G631" s="1"/>
      <c r="H631" s="1"/>
      <c r="I631" s="1"/>
      <c r="J631" s="1"/>
      <c r="K631" s="1"/>
      <c r="L631" s="1"/>
      <c r="M631" s="1"/>
      <c r="N631" s="1"/>
      <c r="O631" s="1"/>
      <c r="P631" s="1"/>
      <c r="Q631" s="1"/>
      <c r="R631" s="1"/>
      <c r="S631" s="1"/>
      <c r="T631" s="1"/>
      <c r="U631" s="2"/>
      <c r="V631" s="1"/>
      <c r="W631" s="1"/>
      <c r="X631" s="1"/>
      <c r="Y631" s="1"/>
      <c r="Z631" s="1"/>
    </row>
    <row r="632" spans="1:26" ht="24.75" customHeight="1">
      <c r="A632" s="1"/>
      <c r="B632" s="1"/>
      <c r="C632" s="1"/>
      <c r="D632" s="1"/>
      <c r="E632" s="1"/>
      <c r="F632" s="1"/>
      <c r="G632" s="1"/>
      <c r="H632" s="1"/>
      <c r="I632" s="1"/>
      <c r="J632" s="1"/>
      <c r="K632" s="1"/>
      <c r="L632" s="1"/>
      <c r="M632" s="1"/>
      <c r="N632" s="1"/>
      <c r="O632" s="1"/>
      <c r="P632" s="1"/>
      <c r="Q632" s="1"/>
      <c r="R632" s="1"/>
      <c r="S632" s="1"/>
      <c r="T632" s="1"/>
      <c r="U632" s="2"/>
      <c r="V632" s="1"/>
      <c r="W632" s="1"/>
      <c r="X632" s="1"/>
      <c r="Y632" s="1"/>
      <c r="Z632" s="1"/>
    </row>
    <row r="633" spans="1:26" ht="24.75" customHeight="1">
      <c r="A633" s="1"/>
      <c r="B633" s="1"/>
      <c r="C633" s="1"/>
      <c r="D633" s="1"/>
      <c r="E633" s="1"/>
      <c r="F633" s="1"/>
      <c r="G633" s="1"/>
      <c r="H633" s="1"/>
      <c r="I633" s="1"/>
      <c r="J633" s="1"/>
      <c r="K633" s="1"/>
      <c r="L633" s="1"/>
      <c r="M633" s="1"/>
      <c r="N633" s="1"/>
      <c r="O633" s="1"/>
      <c r="P633" s="1"/>
      <c r="Q633" s="1"/>
      <c r="R633" s="1"/>
      <c r="S633" s="1"/>
      <c r="T633" s="1"/>
      <c r="U633" s="2"/>
      <c r="V633" s="1"/>
      <c r="W633" s="1"/>
      <c r="X633" s="1"/>
      <c r="Y633" s="1"/>
      <c r="Z633" s="1"/>
    </row>
    <row r="634" spans="1:26" ht="24.75" customHeight="1">
      <c r="A634" s="1"/>
      <c r="B634" s="1"/>
      <c r="C634" s="1"/>
      <c r="D634" s="1"/>
      <c r="E634" s="1"/>
      <c r="F634" s="1"/>
      <c r="G634" s="1"/>
      <c r="H634" s="1"/>
      <c r="I634" s="1"/>
      <c r="J634" s="1"/>
      <c r="K634" s="1"/>
      <c r="L634" s="1"/>
      <c r="M634" s="1"/>
      <c r="N634" s="1"/>
      <c r="O634" s="1"/>
      <c r="P634" s="1"/>
      <c r="Q634" s="1"/>
      <c r="R634" s="1"/>
      <c r="S634" s="1"/>
      <c r="T634" s="1"/>
      <c r="U634" s="2"/>
      <c r="V634" s="1"/>
      <c r="W634" s="1"/>
      <c r="X634" s="1"/>
      <c r="Y634" s="1"/>
      <c r="Z634" s="1"/>
    </row>
    <row r="635" spans="1:26" ht="24.75" customHeight="1">
      <c r="A635" s="1"/>
      <c r="B635" s="1"/>
      <c r="C635" s="1"/>
      <c r="D635" s="1"/>
      <c r="E635" s="1"/>
      <c r="F635" s="1"/>
      <c r="G635" s="1"/>
      <c r="H635" s="1"/>
      <c r="I635" s="1"/>
      <c r="J635" s="1"/>
      <c r="K635" s="1"/>
      <c r="L635" s="1"/>
      <c r="M635" s="1"/>
      <c r="N635" s="1"/>
      <c r="O635" s="1"/>
      <c r="P635" s="1"/>
      <c r="Q635" s="1"/>
      <c r="R635" s="1"/>
      <c r="S635" s="1"/>
      <c r="T635" s="1"/>
      <c r="U635" s="2"/>
      <c r="V635" s="1"/>
      <c r="W635" s="1"/>
      <c r="X635" s="1"/>
      <c r="Y635" s="1"/>
      <c r="Z635" s="1"/>
    </row>
    <row r="636" spans="1:26" ht="24.75" customHeight="1">
      <c r="A636" s="1"/>
      <c r="B636" s="1"/>
      <c r="C636" s="1"/>
      <c r="D636" s="1"/>
      <c r="E636" s="1"/>
      <c r="F636" s="1"/>
      <c r="G636" s="1"/>
      <c r="H636" s="1"/>
      <c r="I636" s="1"/>
      <c r="J636" s="1"/>
      <c r="K636" s="1"/>
      <c r="L636" s="1"/>
      <c r="M636" s="1"/>
      <c r="N636" s="1"/>
      <c r="O636" s="1"/>
      <c r="P636" s="1"/>
      <c r="Q636" s="1"/>
      <c r="R636" s="1"/>
      <c r="S636" s="1"/>
      <c r="T636" s="1"/>
      <c r="U636" s="2"/>
      <c r="V636" s="1"/>
      <c r="W636" s="1"/>
      <c r="X636" s="1"/>
      <c r="Y636" s="1"/>
      <c r="Z636" s="1"/>
    </row>
    <row r="637" spans="1:26" ht="24.75" customHeight="1">
      <c r="A637" s="1"/>
      <c r="B637" s="1"/>
      <c r="C637" s="1"/>
      <c r="D637" s="1"/>
      <c r="E637" s="1"/>
      <c r="F637" s="1"/>
      <c r="G637" s="1"/>
      <c r="H637" s="1"/>
      <c r="I637" s="1"/>
      <c r="J637" s="1"/>
      <c r="K637" s="1"/>
      <c r="L637" s="1"/>
      <c r="M637" s="1"/>
      <c r="N637" s="1"/>
      <c r="O637" s="1"/>
      <c r="P637" s="1"/>
      <c r="Q637" s="1"/>
      <c r="R637" s="1"/>
      <c r="S637" s="1"/>
      <c r="T637" s="1"/>
      <c r="U637" s="2"/>
      <c r="V637" s="1"/>
      <c r="W637" s="1"/>
      <c r="X637" s="1"/>
      <c r="Y637" s="1"/>
      <c r="Z637" s="1"/>
    </row>
    <row r="638" spans="1:26" ht="24.75" customHeight="1">
      <c r="A638" s="1"/>
      <c r="B638" s="1"/>
      <c r="C638" s="1"/>
      <c r="D638" s="1"/>
      <c r="E638" s="1"/>
      <c r="F638" s="1"/>
      <c r="G638" s="1"/>
      <c r="H638" s="1"/>
      <c r="I638" s="1"/>
      <c r="J638" s="1"/>
      <c r="K638" s="1"/>
      <c r="L638" s="1"/>
      <c r="M638" s="1"/>
      <c r="N638" s="1"/>
      <c r="O638" s="1"/>
      <c r="P638" s="1"/>
      <c r="Q638" s="1"/>
      <c r="R638" s="1"/>
      <c r="S638" s="1"/>
      <c r="T638" s="1"/>
      <c r="U638" s="2"/>
      <c r="V638" s="1"/>
      <c r="W638" s="1"/>
      <c r="X638" s="1"/>
      <c r="Y638" s="1"/>
      <c r="Z638" s="1"/>
    </row>
    <row r="639" spans="1:26" ht="24.75" customHeight="1">
      <c r="A639" s="1"/>
      <c r="B639" s="1"/>
      <c r="C639" s="1"/>
      <c r="D639" s="1"/>
      <c r="E639" s="1"/>
      <c r="F639" s="1"/>
      <c r="G639" s="1"/>
      <c r="H639" s="1"/>
      <c r="I639" s="1"/>
      <c r="J639" s="1"/>
      <c r="K639" s="1"/>
      <c r="L639" s="1"/>
      <c r="M639" s="1"/>
      <c r="N639" s="1"/>
      <c r="O639" s="1"/>
      <c r="P639" s="1"/>
      <c r="Q639" s="1"/>
      <c r="R639" s="1"/>
      <c r="S639" s="1"/>
      <c r="T639" s="1"/>
      <c r="U639" s="2"/>
      <c r="V639" s="1"/>
      <c r="W639" s="1"/>
      <c r="X639" s="1"/>
      <c r="Y639" s="1"/>
      <c r="Z639" s="1"/>
    </row>
    <row r="640" spans="1:26" ht="24.75" customHeight="1">
      <c r="A640" s="1"/>
      <c r="B640" s="1"/>
      <c r="C640" s="1"/>
      <c r="D640" s="1"/>
      <c r="E640" s="1"/>
      <c r="F640" s="1"/>
      <c r="G640" s="1"/>
      <c r="H640" s="1"/>
      <c r="I640" s="1"/>
      <c r="J640" s="1"/>
      <c r="K640" s="1"/>
      <c r="L640" s="1"/>
      <c r="M640" s="1"/>
      <c r="N640" s="1"/>
      <c r="O640" s="1"/>
      <c r="P640" s="1"/>
      <c r="Q640" s="1"/>
      <c r="R640" s="1"/>
      <c r="S640" s="1"/>
      <c r="T640" s="1"/>
      <c r="U640" s="2"/>
      <c r="V640" s="1"/>
      <c r="W640" s="1"/>
      <c r="X640" s="1"/>
      <c r="Y640" s="1"/>
      <c r="Z640" s="1"/>
    </row>
    <row r="641" spans="1:26" ht="24.75" customHeight="1">
      <c r="A641" s="1"/>
      <c r="B641" s="1"/>
      <c r="C641" s="1"/>
      <c r="D641" s="1"/>
      <c r="E641" s="1"/>
      <c r="F641" s="1"/>
      <c r="G641" s="1"/>
      <c r="H641" s="1"/>
      <c r="I641" s="1"/>
      <c r="J641" s="1"/>
      <c r="K641" s="1"/>
      <c r="L641" s="1"/>
      <c r="M641" s="1"/>
      <c r="N641" s="1"/>
      <c r="O641" s="1"/>
      <c r="P641" s="1"/>
      <c r="Q641" s="1"/>
      <c r="R641" s="1"/>
      <c r="S641" s="1"/>
      <c r="T641" s="1"/>
      <c r="U641" s="2"/>
      <c r="V641" s="1"/>
      <c r="W641" s="1"/>
      <c r="X641" s="1"/>
      <c r="Y641" s="1"/>
      <c r="Z641" s="1"/>
    </row>
    <row r="642" spans="1:26" ht="24.75" customHeight="1">
      <c r="A642" s="1"/>
      <c r="B642" s="1"/>
      <c r="C642" s="1"/>
      <c r="D642" s="1"/>
      <c r="E642" s="1"/>
      <c r="F642" s="1"/>
      <c r="G642" s="1"/>
      <c r="H642" s="1"/>
      <c r="I642" s="1"/>
      <c r="J642" s="1"/>
      <c r="K642" s="1"/>
      <c r="L642" s="1"/>
      <c r="M642" s="1"/>
      <c r="N642" s="1"/>
      <c r="O642" s="1"/>
      <c r="P642" s="1"/>
      <c r="Q642" s="1"/>
      <c r="R642" s="1"/>
      <c r="S642" s="1"/>
      <c r="T642" s="1"/>
      <c r="U642" s="2"/>
      <c r="V642" s="1"/>
      <c r="W642" s="1"/>
      <c r="X642" s="1"/>
      <c r="Y642" s="1"/>
      <c r="Z642" s="1"/>
    </row>
    <row r="643" spans="1:26" ht="24.75" customHeight="1">
      <c r="A643" s="1"/>
      <c r="B643" s="1"/>
      <c r="C643" s="1"/>
      <c r="D643" s="1"/>
      <c r="E643" s="1"/>
      <c r="F643" s="1"/>
      <c r="G643" s="1"/>
      <c r="H643" s="1"/>
      <c r="I643" s="1"/>
      <c r="J643" s="1"/>
      <c r="K643" s="1"/>
      <c r="L643" s="1"/>
      <c r="M643" s="1"/>
      <c r="N643" s="1"/>
      <c r="O643" s="1"/>
      <c r="P643" s="1"/>
      <c r="Q643" s="1"/>
      <c r="R643" s="1"/>
      <c r="S643" s="1"/>
      <c r="T643" s="1"/>
      <c r="U643" s="2"/>
      <c r="V643" s="1"/>
      <c r="W643" s="1"/>
      <c r="X643" s="1"/>
      <c r="Y643" s="1"/>
      <c r="Z643" s="1"/>
    </row>
    <row r="644" spans="1:26" ht="24.75" customHeight="1">
      <c r="A644" s="1"/>
      <c r="B644" s="1"/>
      <c r="C644" s="1"/>
      <c r="D644" s="1"/>
      <c r="E644" s="1"/>
      <c r="F644" s="1"/>
      <c r="G644" s="1"/>
      <c r="H644" s="1"/>
      <c r="I644" s="1"/>
      <c r="J644" s="1"/>
      <c r="K644" s="1"/>
      <c r="L644" s="1"/>
      <c r="M644" s="1"/>
      <c r="N644" s="1"/>
      <c r="O644" s="1"/>
      <c r="P644" s="1"/>
      <c r="Q644" s="1"/>
      <c r="R644" s="1"/>
      <c r="S644" s="1"/>
      <c r="T644" s="1"/>
      <c r="U644" s="2"/>
      <c r="V644" s="1"/>
      <c r="W644" s="1"/>
      <c r="X644" s="1"/>
      <c r="Y644" s="1"/>
      <c r="Z644" s="1"/>
    </row>
    <row r="645" spans="1:26" ht="24.75" customHeight="1">
      <c r="A645" s="1"/>
      <c r="B645" s="1"/>
      <c r="C645" s="1"/>
      <c r="D645" s="1"/>
      <c r="E645" s="1"/>
      <c r="F645" s="1"/>
      <c r="G645" s="1"/>
      <c r="H645" s="1"/>
      <c r="I645" s="1"/>
      <c r="J645" s="1"/>
      <c r="K645" s="1"/>
      <c r="L645" s="1"/>
      <c r="M645" s="1"/>
      <c r="N645" s="1"/>
      <c r="O645" s="1"/>
      <c r="P645" s="1"/>
      <c r="Q645" s="1"/>
      <c r="R645" s="1"/>
      <c r="S645" s="1"/>
      <c r="T645" s="1"/>
      <c r="U645" s="2"/>
      <c r="V645" s="1"/>
      <c r="W645" s="1"/>
      <c r="X645" s="1"/>
      <c r="Y645" s="1"/>
      <c r="Z645" s="1"/>
    </row>
    <row r="646" spans="1:26" ht="24.75" customHeight="1">
      <c r="A646" s="1"/>
      <c r="B646" s="1"/>
      <c r="C646" s="1"/>
      <c r="D646" s="1"/>
      <c r="E646" s="1"/>
      <c r="F646" s="1"/>
      <c r="G646" s="1"/>
      <c r="H646" s="1"/>
      <c r="I646" s="1"/>
      <c r="J646" s="1"/>
      <c r="K646" s="1"/>
      <c r="L646" s="1"/>
      <c r="M646" s="1"/>
      <c r="N646" s="1"/>
      <c r="O646" s="1"/>
      <c r="P646" s="1"/>
      <c r="Q646" s="1"/>
      <c r="R646" s="1"/>
      <c r="S646" s="1"/>
      <c r="T646" s="1"/>
      <c r="U646" s="2"/>
      <c r="V646" s="1"/>
      <c r="W646" s="1"/>
      <c r="X646" s="1"/>
      <c r="Y646" s="1"/>
      <c r="Z646" s="1"/>
    </row>
    <row r="647" spans="1:26" ht="24.75" customHeight="1">
      <c r="A647" s="1"/>
      <c r="B647" s="1"/>
      <c r="C647" s="1"/>
      <c r="D647" s="1"/>
      <c r="E647" s="1"/>
      <c r="F647" s="1"/>
      <c r="G647" s="1"/>
      <c r="H647" s="1"/>
      <c r="I647" s="1"/>
      <c r="J647" s="1"/>
      <c r="K647" s="1"/>
      <c r="L647" s="1"/>
      <c r="M647" s="1"/>
      <c r="N647" s="1"/>
      <c r="O647" s="1"/>
      <c r="P647" s="1"/>
      <c r="Q647" s="1"/>
      <c r="R647" s="1"/>
      <c r="S647" s="1"/>
      <c r="T647" s="1"/>
      <c r="U647" s="2"/>
      <c r="V647" s="1"/>
      <c r="W647" s="1"/>
      <c r="X647" s="1"/>
      <c r="Y647" s="1"/>
      <c r="Z647" s="1"/>
    </row>
    <row r="648" spans="1:26" ht="24.75" customHeight="1">
      <c r="A648" s="1"/>
      <c r="B648" s="1"/>
      <c r="C648" s="1"/>
      <c r="D648" s="1"/>
      <c r="E648" s="1"/>
      <c r="F648" s="1"/>
      <c r="G648" s="1"/>
      <c r="H648" s="1"/>
      <c r="I648" s="1"/>
      <c r="J648" s="1"/>
      <c r="K648" s="1"/>
      <c r="L648" s="1"/>
      <c r="M648" s="1"/>
      <c r="N648" s="1"/>
      <c r="O648" s="1"/>
      <c r="P648" s="1"/>
      <c r="Q648" s="1"/>
      <c r="R648" s="1"/>
      <c r="S648" s="1"/>
      <c r="T648" s="1"/>
      <c r="U648" s="2"/>
      <c r="V648" s="1"/>
      <c r="W648" s="1"/>
      <c r="X648" s="1"/>
      <c r="Y648" s="1"/>
      <c r="Z648" s="1"/>
    </row>
    <row r="649" spans="1:26" ht="24.75" customHeight="1">
      <c r="A649" s="1"/>
      <c r="B649" s="1"/>
      <c r="C649" s="1"/>
      <c r="D649" s="1"/>
      <c r="E649" s="1"/>
      <c r="F649" s="1"/>
      <c r="G649" s="1"/>
      <c r="H649" s="1"/>
      <c r="I649" s="1"/>
      <c r="J649" s="1"/>
      <c r="K649" s="1"/>
      <c r="L649" s="1"/>
      <c r="M649" s="1"/>
      <c r="N649" s="1"/>
      <c r="O649" s="1"/>
      <c r="P649" s="1"/>
      <c r="Q649" s="1"/>
      <c r="R649" s="1"/>
      <c r="S649" s="1"/>
      <c r="T649" s="1"/>
      <c r="U649" s="2"/>
      <c r="V649" s="1"/>
      <c r="W649" s="1"/>
      <c r="X649" s="1"/>
      <c r="Y649" s="1"/>
      <c r="Z649" s="1"/>
    </row>
    <row r="650" spans="1:26" ht="24.75" customHeight="1">
      <c r="A650" s="1"/>
      <c r="B650" s="1"/>
      <c r="C650" s="1"/>
      <c r="D650" s="1"/>
      <c r="E650" s="1"/>
      <c r="F650" s="1"/>
      <c r="G650" s="1"/>
      <c r="H650" s="1"/>
      <c r="I650" s="1"/>
      <c r="J650" s="1"/>
      <c r="K650" s="1"/>
      <c r="L650" s="1"/>
      <c r="M650" s="1"/>
      <c r="N650" s="1"/>
      <c r="O650" s="1"/>
      <c r="P650" s="1"/>
      <c r="Q650" s="1"/>
      <c r="R650" s="1"/>
      <c r="S650" s="1"/>
      <c r="T650" s="1"/>
      <c r="U650" s="2"/>
      <c r="V650" s="1"/>
      <c r="W650" s="1"/>
      <c r="X650" s="1"/>
      <c r="Y650" s="1"/>
      <c r="Z650" s="1"/>
    </row>
    <row r="651" spans="1:26" ht="24.75" customHeight="1">
      <c r="A651" s="1"/>
      <c r="B651" s="1"/>
      <c r="C651" s="1"/>
      <c r="D651" s="1"/>
      <c r="E651" s="1"/>
      <c r="F651" s="1"/>
      <c r="G651" s="1"/>
      <c r="H651" s="1"/>
      <c r="I651" s="1"/>
      <c r="J651" s="1"/>
      <c r="K651" s="1"/>
      <c r="L651" s="1"/>
      <c r="M651" s="1"/>
      <c r="N651" s="1"/>
      <c r="O651" s="1"/>
      <c r="P651" s="1"/>
      <c r="Q651" s="1"/>
      <c r="R651" s="1"/>
      <c r="S651" s="1"/>
      <c r="T651" s="1"/>
      <c r="U651" s="2"/>
      <c r="V651" s="1"/>
      <c r="W651" s="1"/>
      <c r="X651" s="1"/>
      <c r="Y651" s="1"/>
      <c r="Z651" s="1"/>
    </row>
    <row r="652" spans="1:26" ht="24.75" customHeight="1">
      <c r="A652" s="1"/>
      <c r="B652" s="1"/>
      <c r="C652" s="1"/>
      <c r="D652" s="1"/>
      <c r="E652" s="1"/>
      <c r="F652" s="1"/>
      <c r="G652" s="1"/>
      <c r="H652" s="1"/>
      <c r="I652" s="1"/>
      <c r="J652" s="1"/>
      <c r="K652" s="1"/>
      <c r="L652" s="1"/>
      <c r="M652" s="1"/>
      <c r="N652" s="1"/>
      <c r="O652" s="1"/>
      <c r="P652" s="1"/>
      <c r="Q652" s="1"/>
      <c r="R652" s="1"/>
      <c r="S652" s="1"/>
      <c r="T652" s="1"/>
      <c r="U652" s="2"/>
      <c r="V652" s="1"/>
      <c r="W652" s="1"/>
      <c r="X652" s="1"/>
      <c r="Y652" s="1"/>
      <c r="Z652" s="1"/>
    </row>
    <row r="653" spans="1:26" ht="24.75" customHeight="1">
      <c r="A653" s="1"/>
      <c r="B653" s="1"/>
      <c r="C653" s="1"/>
      <c r="D653" s="1"/>
      <c r="E653" s="1"/>
      <c r="F653" s="1"/>
      <c r="G653" s="1"/>
      <c r="H653" s="1"/>
      <c r="I653" s="1"/>
      <c r="J653" s="1"/>
      <c r="K653" s="1"/>
      <c r="L653" s="1"/>
      <c r="M653" s="1"/>
      <c r="N653" s="1"/>
      <c r="O653" s="1"/>
      <c r="P653" s="1"/>
      <c r="Q653" s="1"/>
      <c r="R653" s="1"/>
      <c r="S653" s="1"/>
      <c r="T653" s="1"/>
      <c r="U653" s="2"/>
      <c r="V653" s="1"/>
      <c r="W653" s="1"/>
      <c r="X653" s="1"/>
      <c r="Y653" s="1"/>
      <c r="Z653" s="1"/>
    </row>
    <row r="654" spans="1:26" ht="24.75" customHeight="1">
      <c r="A654" s="1"/>
      <c r="B654" s="1"/>
      <c r="C654" s="1"/>
      <c r="D654" s="1"/>
      <c r="E654" s="1"/>
      <c r="F654" s="1"/>
      <c r="G654" s="1"/>
      <c r="H654" s="1"/>
      <c r="I654" s="1"/>
      <c r="J654" s="1"/>
      <c r="K654" s="1"/>
      <c r="L654" s="1"/>
      <c r="M654" s="1"/>
      <c r="N654" s="1"/>
      <c r="O654" s="1"/>
      <c r="P654" s="1"/>
      <c r="Q654" s="1"/>
      <c r="R654" s="1"/>
      <c r="S654" s="1"/>
      <c r="T654" s="1"/>
      <c r="U654" s="2"/>
      <c r="V654" s="1"/>
      <c r="W654" s="1"/>
      <c r="X654" s="1"/>
      <c r="Y654" s="1"/>
      <c r="Z654" s="1"/>
    </row>
    <row r="655" spans="1:26" ht="24.75" customHeight="1">
      <c r="A655" s="1"/>
      <c r="B655" s="1"/>
      <c r="C655" s="1"/>
      <c r="D655" s="1"/>
      <c r="E655" s="1"/>
      <c r="F655" s="1"/>
      <c r="G655" s="1"/>
      <c r="H655" s="1"/>
      <c r="I655" s="1"/>
      <c r="J655" s="1"/>
      <c r="K655" s="1"/>
      <c r="L655" s="1"/>
      <c r="M655" s="1"/>
      <c r="N655" s="1"/>
      <c r="O655" s="1"/>
      <c r="P655" s="1"/>
      <c r="Q655" s="1"/>
      <c r="R655" s="1"/>
      <c r="S655" s="1"/>
      <c r="T655" s="1"/>
      <c r="U655" s="2"/>
      <c r="V655" s="1"/>
      <c r="W655" s="1"/>
      <c r="X655" s="1"/>
      <c r="Y655" s="1"/>
      <c r="Z655" s="1"/>
    </row>
    <row r="656" spans="1:26" ht="24.75" customHeight="1">
      <c r="A656" s="1"/>
      <c r="B656" s="1"/>
      <c r="C656" s="1"/>
      <c r="D656" s="1"/>
      <c r="E656" s="1"/>
      <c r="F656" s="1"/>
      <c r="G656" s="1"/>
      <c r="H656" s="1"/>
      <c r="I656" s="1"/>
      <c r="J656" s="1"/>
      <c r="K656" s="1"/>
      <c r="L656" s="1"/>
      <c r="M656" s="1"/>
      <c r="N656" s="1"/>
      <c r="O656" s="1"/>
      <c r="P656" s="1"/>
      <c r="Q656" s="1"/>
      <c r="R656" s="1"/>
      <c r="S656" s="1"/>
      <c r="T656" s="1"/>
      <c r="U656" s="2"/>
      <c r="V656" s="1"/>
      <c r="W656" s="1"/>
      <c r="X656" s="1"/>
      <c r="Y656" s="1"/>
      <c r="Z656" s="1"/>
    </row>
    <row r="657" spans="1:26" ht="24.75" customHeight="1">
      <c r="A657" s="1"/>
      <c r="B657" s="1"/>
      <c r="C657" s="1"/>
      <c r="D657" s="1"/>
      <c r="E657" s="1"/>
      <c r="F657" s="1"/>
      <c r="G657" s="1"/>
      <c r="H657" s="1"/>
      <c r="I657" s="1"/>
      <c r="J657" s="1"/>
      <c r="K657" s="1"/>
      <c r="L657" s="1"/>
      <c r="M657" s="1"/>
      <c r="N657" s="1"/>
      <c r="O657" s="1"/>
      <c r="P657" s="1"/>
      <c r="Q657" s="1"/>
      <c r="R657" s="1"/>
      <c r="S657" s="1"/>
      <c r="T657" s="1"/>
      <c r="U657" s="2"/>
      <c r="V657" s="1"/>
      <c r="W657" s="1"/>
      <c r="X657" s="1"/>
      <c r="Y657" s="1"/>
      <c r="Z657" s="1"/>
    </row>
    <row r="658" spans="1:26" ht="24.75" customHeight="1">
      <c r="A658" s="1"/>
      <c r="B658" s="1"/>
      <c r="C658" s="1"/>
      <c r="D658" s="1"/>
      <c r="E658" s="1"/>
      <c r="F658" s="1"/>
      <c r="G658" s="1"/>
      <c r="H658" s="1"/>
      <c r="I658" s="1"/>
      <c r="J658" s="1"/>
      <c r="K658" s="1"/>
      <c r="L658" s="1"/>
      <c r="M658" s="1"/>
      <c r="N658" s="1"/>
      <c r="O658" s="1"/>
      <c r="P658" s="1"/>
      <c r="Q658" s="1"/>
      <c r="R658" s="1"/>
      <c r="S658" s="1"/>
      <c r="T658" s="1"/>
      <c r="U658" s="2"/>
      <c r="V658" s="1"/>
      <c r="W658" s="1"/>
      <c r="X658" s="1"/>
      <c r="Y658" s="1"/>
      <c r="Z658" s="1"/>
    </row>
    <row r="659" spans="1:26" ht="24.75" customHeight="1">
      <c r="A659" s="1"/>
      <c r="B659" s="1"/>
      <c r="C659" s="1"/>
      <c r="D659" s="1"/>
      <c r="E659" s="1"/>
      <c r="F659" s="1"/>
      <c r="G659" s="1"/>
      <c r="H659" s="1"/>
      <c r="I659" s="1"/>
      <c r="J659" s="1"/>
      <c r="K659" s="1"/>
      <c r="L659" s="1"/>
      <c r="M659" s="1"/>
      <c r="N659" s="1"/>
      <c r="O659" s="1"/>
      <c r="P659" s="1"/>
      <c r="Q659" s="1"/>
      <c r="R659" s="1"/>
      <c r="S659" s="1"/>
      <c r="T659" s="1"/>
      <c r="U659" s="2"/>
      <c r="V659" s="1"/>
      <c r="W659" s="1"/>
      <c r="X659" s="1"/>
      <c r="Y659" s="1"/>
      <c r="Z659" s="1"/>
    </row>
    <row r="660" spans="1:26" ht="24.75" customHeight="1">
      <c r="A660" s="1"/>
      <c r="B660" s="1"/>
      <c r="C660" s="1"/>
      <c r="D660" s="1"/>
      <c r="E660" s="1"/>
      <c r="F660" s="1"/>
      <c r="G660" s="1"/>
      <c r="H660" s="1"/>
      <c r="I660" s="1"/>
      <c r="J660" s="1"/>
      <c r="K660" s="1"/>
      <c r="L660" s="1"/>
      <c r="M660" s="1"/>
      <c r="N660" s="1"/>
      <c r="O660" s="1"/>
      <c r="P660" s="1"/>
      <c r="Q660" s="1"/>
      <c r="R660" s="1"/>
      <c r="S660" s="1"/>
      <c r="T660" s="1"/>
      <c r="U660" s="2"/>
      <c r="V660" s="1"/>
      <c r="W660" s="1"/>
      <c r="X660" s="1"/>
      <c r="Y660" s="1"/>
      <c r="Z660" s="1"/>
    </row>
    <row r="661" spans="1:26" ht="24.75" customHeight="1">
      <c r="A661" s="1"/>
      <c r="B661" s="1"/>
      <c r="C661" s="1"/>
      <c r="D661" s="1"/>
      <c r="E661" s="1"/>
      <c r="F661" s="1"/>
      <c r="G661" s="1"/>
      <c r="H661" s="1"/>
      <c r="I661" s="1"/>
      <c r="J661" s="1"/>
      <c r="K661" s="1"/>
      <c r="L661" s="1"/>
      <c r="M661" s="1"/>
      <c r="N661" s="1"/>
      <c r="O661" s="1"/>
      <c r="P661" s="1"/>
      <c r="Q661" s="1"/>
      <c r="R661" s="1"/>
      <c r="S661" s="1"/>
      <c r="T661" s="1"/>
      <c r="U661" s="2"/>
      <c r="V661" s="1"/>
      <c r="W661" s="1"/>
      <c r="X661" s="1"/>
      <c r="Y661" s="1"/>
      <c r="Z661" s="1"/>
    </row>
    <row r="662" spans="1:26" ht="24.75" customHeight="1">
      <c r="A662" s="1"/>
      <c r="B662" s="1"/>
      <c r="C662" s="1"/>
      <c r="D662" s="1"/>
      <c r="E662" s="1"/>
      <c r="F662" s="1"/>
      <c r="G662" s="1"/>
      <c r="H662" s="1"/>
      <c r="I662" s="1"/>
      <c r="J662" s="1"/>
      <c r="K662" s="1"/>
      <c r="L662" s="1"/>
      <c r="M662" s="1"/>
      <c r="N662" s="1"/>
      <c r="O662" s="1"/>
      <c r="P662" s="1"/>
      <c r="Q662" s="1"/>
      <c r="R662" s="1"/>
      <c r="S662" s="1"/>
      <c r="T662" s="1"/>
      <c r="U662" s="2"/>
      <c r="V662" s="1"/>
      <c r="W662" s="1"/>
      <c r="X662" s="1"/>
      <c r="Y662" s="1"/>
      <c r="Z662" s="1"/>
    </row>
    <row r="663" spans="1:26" ht="24.75" customHeight="1">
      <c r="A663" s="1"/>
      <c r="B663" s="1"/>
      <c r="C663" s="1"/>
      <c r="D663" s="1"/>
      <c r="E663" s="1"/>
      <c r="F663" s="1"/>
      <c r="G663" s="1"/>
      <c r="H663" s="1"/>
      <c r="I663" s="1"/>
      <c r="J663" s="1"/>
      <c r="K663" s="1"/>
      <c r="L663" s="1"/>
      <c r="M663" s="1"/>
      <c r="N663" s="1"/>
      <c r="O663" s="1"/>
      <c r="P663" s="1"/>
      <c r="Q663" s="1"/>
      <c r="R663" s="1"/>
      <c r="S663" s="1"/>
      <c r="T663" s="1"/>
      <c r="U663" s="2"/>
      <c r="V663" s="1"/>
      <c r="W663" s="1"/>
      <c r="X663" s="1"/>
      <c r="Y663" s="1"/>
      <c r="Z663" s="1"/>
    </row>
    <row r="664" spans="1:26" ht="24.75" customHeight="1">
      <c r="A664" s="1"/>
      <c r="B664" s="1"/>
      <c r="C664" s="1"/>
      <c r="D664" s="1"/>
      <c r="E664" s="1"/>
      <c r="F664" s="1"/>
      <c r="G664" s="1"/>
      <c r="H664" s="1"/>
      <c r="I664" s="1"/>
      <c r="J664" s="1"/>
      <c r="K664" s="1"/>
      <c r="L664" s="1"/>
      <c r="M664" s="1"/>
      <c r="N664" s="1"/>
      <c r="O664" s="1"/>
      <c r="P664" s="1"/>
      <c r="Q664" s="1"/>
      <c r="R664" s="1"/>
      <c r="S664" s="1"/>
      <c r="T664" s="1"/>
      <c r="U664" s="2"/>
      <c r="V664" s="1"/>
      <c r="W664" s="1"/>
      <c r="X664" s="1"/>
      <c r="Y664" s="1"/>
      <c r="Z664" s="1"/>
    </row>
    <row r="665" spans="1:26" ht="24.75" customHeight="1">
      <c r="A665" s="1"/>
      <c r="B665" s="1"/>
      <c r="C665" s="1"/>
      <c r="D665" s="1"/>
      <c r="E665" s="1"/>
      <c r="F665" s="1"/>
      <c r="G665" s="1"/>
      <c r="H665" s="1"/>
      <c r="I665" s="1"/>
      <c r="J665" s="1"/>
      <c r="K665" s="1"/>
      <c r="L665" s="1"/>
      <c r="M665" s="1"/>
      <c r="N665" s="1"/>
      <c r="O665" s="1"/>
      <c r="P665" s="1"/>
      <c r="Q665" s="1"/>
      <c r="R665" s="1"/>
      <c r="S665" s="1"/>
      <c r="T665" s="1"/>
      <c r="U665" s="2"/>
      <c r="V665" s="1"/>
      <c r="W665" s="1"/>
      <c r="X665" s="1"/>
      <c r="Y665" s="1"/>
      <c r="Z665" s="1"/>
    </row>
    <row r="666" spans="1:26" ht="24.75" customHeight="1">
      <c r="A666" s="1"/>
      <c r="B666" s="1"/>
      <c r="C666" s="1"/>
      <c r="D666" s="1"/>
      <c r="E666" s="1"/>
      <c r="F666" s="1"/>
      <c r="G666" s="1"/>
      <c r="H666" s="1"/>
      <c r="I666" s="1"/>
      <c r="J666" s="1"/>
      <c r="K666" s="1"/>
      <c r="L666" s="1"/>
      <c r="M666" s="1"/>
      <c r="N666" s="1"/>
      <c r="O666" s="1"/>
      <c r="P666" s="1"/>
      <c r="Q666" s="1"/>
      <c r="R666" s="1"/>
      <c r="S666" s="1"/>
      <c r="T666" s="1"/>
      <c r="U666" s="2"/>
      <c r="V666" s="1"/>
      <c r="W666" s="1"/>
      <c r="X666" s="1"/>
      <c r="Y666" s="1"/>
      <c r="Z666" s="1"/>
    </row>
    <row r="667" spans="1:26" ht="24.75" customHeight="1">
      <c r="A667" s="1"/>
      <c r="B667" s="1"/>
      <c r="C667" s="1"/>
      <c r="D667" s="1"/>
      <c r="E667" s="1"/>
      <c r="F667" s="1"/>
      <c r="G667" s="1"/>
      <c r="H667" s="1"/>
      <c r="I667" s="1"/>
      <c r="J667" s="1"/>
      <c r="K667" s="1"/>
      <c r="L667" s="1"/>
      <c r="M667" s="1"/>
      <c r="N667" s="1"/>
      <c r="O667" s="1"/>
      <c r="P667" s="1"/>
      <c r="Q667" s="1"/>
      <c r="R667" s="1"/>
      <c r="S667" s="1"/>
      <c r="T667" s="1"/>
      <c r="U667" s="2"/>
      <c r="V667" s="1"/>
      <c r="W667" s="1"/>
      <c r="X667" s="1"/>
      <c r="Y667" s="1"/>
      <c r="Z667" s="1"/>
    </row>
    <row r="668" spans="1:26" ht="24.75" customHeight="1">
      <c r="A668" s="1"/>
      <c r="B668" s="1"/>
      <c r="C668" s="1"/>
      <c r="D668" s="1"/>
      <c r="E668" s="1"/>
      <c r="F668" s="1"/>
      <c r="G668" s="1"/>
      <c r="H668" s="1"/>
      <c r="I668" s="1"/>
      <c r="J668" s="1"/>
      <c r="K668" s="1"/>
      <c r="L668" s="1"/>
      <c r="M668" s="1"/>
      <c r="N668" s="1"/>
      <c r="O668" s="1"/>
      <c r="P668" s="1"/>
      <c r="Q668" s="1"/>
      <c r="R668" s="1"/>
      <c r="S668" s="1"/>
      <c r="T668" s="1"/>
      <c r="U668" s="2"/>
      <c r="V668" s="1"/>
      <c r="W668" s="1"/>
      <c r="X668" s="1"/>
      <c r="Y668" s="1"/>
      <c r="Z668" s="1"/>
    </row>
    <row r="669" spans="1:26" ht="24.75" customHeight="1">
      <c r="A669" s="1"/>
      <c r="B669" s="1"/>
      <c r="C669" s="1"/>
      <c r="D669" s="1"/>
      <c r="E669" s="1"/>
      <c r="F669" s="1"/>
      <c r="G669" s="1"/>
      <c r="H669" s="1"/>
      <c r="I669" s="1"/>
      <c r="J669" s="1"/>
      <c r="K669" s="1"/>
      <c r="L669" s="1"/>
      <c r="M669" s="1"/>
      <c r="N669" s="1"/>
      <c r="O669" s="1"/>
      <c r="P669" s="1"/>
      <c r="Q669" s="1"/>
      <c r="R669" s="1"/>
      <c r="S669" s="1"/>
      <c r="T669" s="1"/>
      <c r="U669" s="2"/>
      <c r="V669" s="1"/>
      <c r="W669" s="1"/>
      <c r="X669" s="1"/>
      <c r="Y669" s="1"/>
      <c r="Z669" s="1"/>
    </row>
    <row r="670" spans="1:26" ht="24.75" customHeight="1">
      <c r="A670" s="1"/>
      <c r="B670" s="1"/>
      <c r="C670" s="1"/>
      <c r="D670" s="1"/>
      <c r="E670" s="1"/>
      <c r="F670" s="1"/>
      <c r="G670" s="1"/>
      <c r="H670" s="1"/>
      <c r="I670" s="1"/>
      <c r="J670" s="1"/>
      <c r="K670" s="1"/>
      <c r="L670" s="1"/>
      <c r="M670" s="1"/>
      <c r="N670" s="1"/>
      <c r="O670" s="1"/>
      <c r="P670" s="1"/>
      <c r="Q670" s="1"/>
      <c r="R670" s="1"/>
      <c r="S670" s="1"/>
      <c r="T670" s="1"/>
      <c r="U670" s="2"/>
      <c r="V670" s="1"/>
      <c r="W670" s="1"/>
      <c r="X670" s="1"/>
      <c r="Y670" s="1"/>
      <c r="Z670" s="1"/>
    </row>
    <row r="671" spans="1:26" ht="24.75" customHeight="1">
      <c r="A671" s="1"/>
      <c r="B671" s="1"/>
      <c r="C671" s="1"/>
      <c r="D671" s="1"/>
      <c r="E671" s="1"/>
      <c r="F671" s="1"/>
      <c r="G671" s="1"/>
      <c r="H671" s="1"/>
      <c r="I671" s="1"/>
      <c r="J671" s="1"/>
      <c r="K671" s="1"/>
      <c r="L671" s="1"/>
      <c r="M671" s="1"/>
      <c r="N671" s="1"/>
      <c r="O671" s="1"/>
      <c r="P671" s="1"/>
      <c r="Q671" s="1"/>
      <c r="R671" s="1"/>
      <c r="S671" s="1"/>
      <c r="T671" s="1"/>
      <c r="U671" s="2"/>
      <c r="V671" s="1"/>
      <c r="W671" s="1"/>
      <c r="X671" s="1"/>
      <c r="Y671" s="1"/>
      <c r="Z671" s="1"/>
    </row>
    <row r="672" spans="1:26" ht="24.75" customHeight="1">
      <c r="A672" s="1"/>
      <c r="B672" s="1"/>
      <c r="C672" s="1"/>
      <c r="D672" s="1"/>
      <c r="E672" s="1"/>
      <c r="F672" s="1"/>
      <c r="G672" s="1"/>
      <c r="H672" s="1"/>
      <c r="I672" s="1"/>
      <c r="J672" s="1"/>
      <c r="K672" s="1"/>
      <c r="L672" s="1"/>
      <c r="M672" s="1"/>
      <c r="N672" s="1"/>
      <c r="O672" s="1"/>
      <c r="P672" s="1"/>
      <c r="Q672" s="1"/>
      <c r="R672" s="1"/>
      <c r="S672" s="1"/>
      <c r="T672" s="1"/>
      <c r="U672" s="2"/>
      <c r="V672" s="1"/>
      <c r="W672" s="1"/>
      <c r="X672" s="1"/>
      <c r="Y672" s="1"/>
      <c r="Z672" s="1"/>
    </row>
    <row r="673" spans="1:26" ht="24.75" customHeight="1">
      <c r="A673" s="1"/>
      <c r="B673" s="1"/>
      <c r="C673" s="1"/>
      <c r="D673" s="1"/>
      <c r="E673" s="1"/>
      <c r="F673" s="1"/>
      <c r="G673" s="1"/>
      <c r="H673" s="1"/>
      <c r="I673" s="1"/>
      <c r="J673" s="1"/>
      <c r="K673" s="1"/>
      <c r="L673" s="1"/>
      <c r="M673" s="1"/>
      <c r="N673" s="1"/>
      <c r="O673" s="1"/>
      <c r="P673" s="1"/>
      <c r="Q673" s="1"/>
      <c r="R673" s="1"/>
      <c r="S673" s="1"/>
      <c r="T673" s="1"/>
      <c r="U673" s="2"/>
      <c r="V673" s="1"/>
      <c r="W673" s="1"/>
      <c r="X673" s="1"/>
      <c r="Y673" s="1"/>
      <c r="Z673" s="1"/>
    </row>
    <row r="674" spans="1:26" ht="24.75" customHeight="1">
      <c r="A674" s="1"/>
      <c r="B674" s="1"/>
      <c r="C674" s="1"/>
      <c r="D674" s="1"/>
      <c r="E674" s="1"/>
      <c r="F674" s="1"/>
      <c r="G674" s="1"/>
      <c r="H674" s="1"/>
      <c r="I674" s="1"/>
      <c r="J674" s="1"/>
      <c r="K674" s="1"/>
      <c r="L674" s="1"/>
      <c r="M674" s="1"/>
      <c r="N674" s="1"/>
      <c r="O674" s="1"/>
      <c r="P674" s="1"/>
      <c r="Q674" s="1"/>
      <c r="R674" s="1"/>
      <c r="S674" s="1"/>
      <c r="T674" s="1"/>
      <c r="U674" s="2"/>
      <c r="V674" s="1"/>
      <c r="W674" s="1"/>
      <c r="X674" s="1"/>
      <c r="Y674" s="1"/>
      <c r="Z674" s="1"/>
    </row>
    <row r="675" spans="1:26" ht="24.75" customHeight="1">
      <c r="A675" s="1"/>
      <c r="B675" s="1"/>
      <c r="C675" s="1"/>
      <c r="D675" s="1"/>
      <c r="E675" s="1"/>
      <c r="F675" s="1"/>
      <c r="G675" s="1"/>
      <c r="H675" s="1"/>
      <c r="I675" s="1"/>
      <c r="J675" s="1"/>
      <c r="K675" s="1"/>
      <c r="L675" s="1"/>
      <c r="M675" s="1"/>
      <c r="N675" s="1"/>
      <c r="O675" s="1"/>
      <c r="P675" s="1"/>
      <c r="Q675" s="1"/>
      <c r="R675" s="1"/>
      <c r="S675" s="1"/>
      <c r="T675" s="1"/>
      <c r="U675" s="2"/>
      <c r="V675" s="1"/>
      <c r="W675" s="1"/>
      <c r="X675" s="1"/>
      <c r="Y675" s="1"/>
      <c r="Z675" s="1"/>
    </row>
    <row r="676" spans="1:26" ht="24.75" customHeight="1">
      <c r="A676" s="1"/>
      <c r="B676" s="1"/>
      <c r="C676" s="1"/>
      <c r="D676" s="1"/>
      <c r="E676" s="1"/>
      <c r="F676" s="1"/>
      <c r="G676" s="1"/>
      <c r="H676" s="1"/>
      <c r="I676" s="1"/>
      <c r="J676" s="1"/>
      <c r="K676" s="1"/>
      <c r="L676" s="1"/>
      <c r="M676" s="1"/>
      <c r="N676" s="1"/>
      <c r="O676" s="1"/>
      <c r="P676" s="1"/>
      <c r="Q676" s="1"/>
      <c r="R676" s="1"/>
      <c r="S676" s="1"/>
      <c r="T676" s="1"/>
      <c r="U676" s="2"/>
      <c r="V676" s="1"/>
      <c r="W676" s="1"/>
      <c r="X676" s="1"/>
      <c r="Y676" s="1"/>
      <c r="Z676" s="1"/>
    </row>
    <row r="677" spans="1:26" ht="24.75" customHeight="1">
      <c r="A677" s="1"/>
      <c r="B677" s="1"/>
      <c r="C677" s="1"/>
      <c r="D677" s="1"/>
      <c r="E677" s="1"/>
      <c r="F677" s="1"/>
      <c r="G677" s="1"/>
      <c r="H677" s="1"/>
      <c r="I677" s="1"/>
      <c r="J677" s="1"/>
      <c r="K677" s="1"/>
      <c r="L677" s="1"/>
      <c r="M677" s="1"/>
      <c r="N677" s="1"/>
      <c r="O677" s="1"/>
      <c r="P677" s="1"/>
      <c r="Q677" s="1"/>
      <c r="R677" s="1"/>
      <c r="S677" s="1"/>
      <c r="T677" s="1"/>
      <c r="U677" s="2"/>
      <c r="V677" s="1"/>
      <c r="W677" s="1"/>
      <c r="X677" s="1"/>
      <c r="Y677" s="1"/>
      <c r="Z677" s="1"/>
    </row>
    <row r="678" spans="1:26" ht="24.75" customHeight="1">
      <c r="A678" s="1"/>
      <c r="B678" s="1"/>
      <c r="C678" s="1"/>
      <c r="D678" s="1"/>
      <c r="E678" s="1"/>
      <c r="F678" s="1"/>
      <c r="G678" s="1"/>
      <c r="H678" s="1"/>
      <c r="I678" s="1"/>
      <c r="J678" s="1"/>
      <c r="K678" s="1"/>
      <c r="L678" s="1"/>
      <c r="M678" s="1"/>
      <c r="N678" s="1"/>
      <c r="O678" s="1"/>
      <c r="P678" s="1"/>
      <c r="Q678" s="1"/>
      <c r="R678" s="1"/>
      <c r="S678" s="1"/>
      <c r="T678" s="1"/>
      <c r="U678" s="2"/>
      <c r="V678" s="1"/>
      <c r="W678" s="1"/>
      <c r="X678" s="1"/>
      <c r="Y678" s="1"/>
      <c r="Z678" s="1"/>
    </row>
    <row r="679" spans="1:26" ht="24.75" customHeight="1">
      <c r="A679" s="1"/>
      <c r="B679" s="1"/>
      <c r="C679" s="1"/>
      <c r="D679" s="1"/>
      <c r="E679" s="1"/>
      <c r="F679" s="1"/>
      <c r="G679" s="1"/>
      <c r="H679" s="1"/>
      <c r="I679" s="1"/>
      <c r="J679" s="1"/>
      <c r="K679" s="1"/>
      <c r="L679" s="1"/>
      <c r="M679" s="1"/>
      <c r="N679" s="1"/>
      <c r="O679" s="1"/>
      <c r="P679" s="1"/>
      <c r="Q679" s="1"/>
      <c r="R679" s="1"/>
      <c r="S679" s="1"/>
      <c r="T679" s="1"/>
      <c r="U679" s="2"/>
      <c r="V679" s="1"/>
      <c r="W679" s="1"/>
      <c r="X679" s="1"/>
      <c r="Y679" s="1"/>
      <c r="Z679" s="1"/>
    </row>
    <row r="680" spans="1:26" ht="24.75" customHeight="1">
      <c r="A680" s="1"/>
      <c r="B680" s="1"/>
      <c r="C680" s="1"/>
      <c r="D680" s="1"/>
      <c r="E680" s="1"/>
      <c r="F680" s="1"/>
      <c r="G680" s="1"/>
      <c r="H680" s="1"/>
      <c r="I680" s="1"/>
      <c r="J680" s="1"/>
      <c r="K680" s="1"/>
      <c r="L680" s="1"/>
      <c r="M680" s="1"/>
      <c r="N680" s="1"/>
      <c r="O680" s="1"/>
      <c r="P680" s="1"/>
      <c r="Q680" s="1"/>
      <c r="R680" s="1"/>
      <c r="S680" s="1"/>
      <c r="T680" s="1"/>
      <c r="U680" s="2"/>
      <c r="V680" s="1"/>
      <c r="W680" s="1"/>
      <c r="X680" s="1"/>
      <c r="Y680" s="1"/>
      <c r="Z680" s="1"/>
    </row>
    <row r="681" spans="1:26" ht="24.75" customHeight="1">
      <c r="A681" s="1"/>
      <c r="B681" s="1"/>
      <c r="C681" s="1"/>
      <c r="D681" s="1"/>
      <c r="E681" s="1"/>
      <c r="F681" s="1"/>
      <c r="G681" s="1"/>
      <c r="H681" s="1"/>
      <c r="I681" s="1"/>
      <c r="J681" s="1"/>
      <c r="K681" s="1"/>
      <c r="L681" s="1"/>
      <c r="M681" s="1"/>
      <c r="N681" s="1"/>
      <c r="O681" s="1"/>
      <c r="P681" s="1"/>
      <c r="Q681" s="1"/>
      <c r="R681" s="1"/>
      <c r="S681" s="1"/>
      <c r="T681" s="1"/>
      <c r="U681" s="2"/>
      <c r="V681" s="1"/>
      <c r="W681" s="1"/>
      <c r="X681" s="1"/>
      <c r="Y681" s="1"/>
      <c r="Z681" s="1"/>
    </row>
    <row r="682" spans="1:26" ht="24.75" customHeight="1">
      <c r="A682" s="1"/>
      <c r="B682" s="1"/>
      <c r="C682" s="1"/>
      <c r="D682" s="1"/>
      <c r="E682" s="1"/>
      <c r="F682" s="1"/>
      <c r="G682" s="1"/>
      <c r="H682" s="1"/>
      <c r="I682" s="1"/>
      <c r="J682" s="1"/>
      <c r="K682" s="1"/>
      <c r="L682" s="1"/>
      <c r="M682" s="1"/>
      <c r="N682" s="1"/>
      <c r="O682" s="1"/>
      <c r="P682" s="1"/>
      <c r="Q682" s="1"/>
      <c r="R682" s="1"/>
      <c r="S682" s="1"/>
      <c r="T682" s="1"/>
      <c r="U682" s="2"/>
      <c r="V682" s="1"/>
      <c r="W682" s="1"/>
      <c r="X682" s="1"/>
      <c r="Y682" s="1"/>
      <c r="Z682" s="1"/>
    </row>
    <row r="683" spans="1:26" ht="24.75" customHeight="1">
      <c r="A683" s="1"/>
      <c r="B683" s="1"/>
      <c r="C683" s="1"/>
      <c r="D683" s="1"/>
      <c r="E683" s="1"/>
      <c r="F683" s="1"/>
      <c r="G683" s="1"/>
      <c r="H683" s="1"/>
      <c r="I683" s="1"/>
      <c r="J683" s="1"/>
      <c r="K683" s="1"/>
      <c r="L683" s="1"/>
      <c r="M683" s="1"/>
      <c r="N683" s="1"/>
      <c r="O683" s="1"/>
      <c r="P683" s="1"/>
      <c r="Q683" s="1"/>
      <c r="R683" s="1"/>
      <c r="S683" s="1"/>
      <c r="T683" s="1"/>
      <c r="U683" s="2"/>
      <c r="V683" s="1"/>
      <c r="W683" s="1"/>
      <c r="X683" s="1"/>
      <c r="Y683" s="1"/>
      <c r="Z683" s="1"/>
    </row>
    <row r="684" spans="1:26" ht="24.75" customHeight="1">
      <c r="A684" s="1"/>
      <c r="B684" s="1"/>
      <c r="C684" s="1"/>
      <c r="D684" s="1"/>
      <c r="E684" s="1"/>
      <c r="F684" s="1"/>
      <c r="G684" s="1"/>
      <c r="H684" s="1"/>
      <c r="I684" s="1"/>
      <c r="J684" s="1"/>
      <c r="K684" s="1"/>
      <c r="L684" s="1"/>
      <c r="M684" s="1"/>
      <c r="N684" s="1"/>
      <c r="O684" s="1"/>
      <c r="P684" s="1"/>
      <c r="Q684" s="1"/>
      <c r="R684" s="1"/>
      <c r="S684" s="1"/>
      <c r="T684" s="1"/>
      <c r="U684" s="2"/>
      <c r="V684" s="1"/>
      <c r="W684" s="1"/>
      <c r="X684" s="1"/>
      <c r="Y684" s="1"/>
      <c r="Z684" s="1"/>
    </row>
    <row r="685" spans="1:26" ht="24.75" customHeight="1">
      <c r="A685" s="1"/>
      <c r="B685" s="1"/>
      <c r="C685" s="1"/>
      <c r="D685" s="1"/>
      <c r="E685" s="1"/>
      <c r="F685" s="1"/>
      <c r="G685" s="1"/>
      <c r="H685" s="1"/>
      <c r="I685" s="1"/>
      <c r="J685" s="1"/>
      <c r="K685" s="1"/>
      <c r="L685" s="1"/>
      <c r="M685" s="1"/>
      <c r="N685" s="1"/>
      <c r="O685" s="1"/>
      <c r="P685" s="1"/>
      <c r="Q685" s="1"/>
      <c r="R685" s="1"/>
      <c r="S685" s="1"/>
      <c r="T685" s="1"/>
      <c r="U685" s="2"/>
      <c r="V685" s="1"/>
      <c r="W685" s="1"/>
      <c r="X685" s="1"/>
      <c r="Y685" s="1"/>
      <c r="Z685" s="1"/>
    </row>
    <row r="686" spans="1:26" ht="24.75" customHeight="1">
      <c r="A686" s="1"/>
      <c r="B686" s="1"/>
      <c r="C686" s="1"/>
      <c r="D686" s="1"/>
      <c r="E686" s="1"/>
      <c r="F686" s="1"/>
      <c r="G686" s="1"/>
      <c r="H686" s="1"/>
      <c r="I686" s="1"/>
      <c r="J686" s="1"/>
      <c r="K686" s="1"/>
      <c r="L686" s="1"/>
      <c r="M686" s="1"/>
      <c r="N686" s="1"/>
      <c r="O686" s="1"/>
      <c r="P686" s="1"/>
      <c r="Q686" s="1"/>
      <c r="R686" s="1"/>
      <c r="S686" s="1"/>
      <c r="T686" s="1"/>
      <c r="U686" s="2"/>
      <c r="V686" s="1"/>
      <c r="W686" s="1"/>
      <c r="X686" s="1"/>
      <c r="Y686" s="1"/>
      <c r="Z686" s="1"/>
    </row>
    <row r="687" spans="1:26" ht="24.75" customHeight="1">
      <c r="A687" s="1"/>
      <c r="B687" s="1"/>
      <c r="C687" s="1"/>
      <c r="D687" s="1"/>
      <c r="E687" s="1"/>
      <c r="F687" s="1"/>
      <c r="G687" s="1"/>
      <c r="H687" s="1"/>
      <c r="I687" s="1"/>
      <c r="J687" s="1"/>
      <c r="K687" s="1"/>
      <c r="L687" s="1"/>
      <c r="M687" s="1"/>
      <c r="N687" s="1"/>
      <c r="O687" s="1"/>
      <c r="P687" s="1"/>
      <c r="Q687" s="1"/>
      <c r="R687" s="1"/>
      <c r="S687" s="1"/>
      <c r="T687" s="1"/>
      <c r="U687" s="2"/>
      <c r="V687" s="1"/>
      <c r="W687" s="1"/>
      <c r="X687" s="1"/>
      <c r="Y687" s="1"/>
      <c r="Z687" s="1"/>
    </row>
    <row r="688" spans="1:26" ht="24.75" customHeight="1">
      <c r="A688" s="1"/>
      <c r="B688" s="1"/>
      <c r="C688" s="1"/>
      <c r="D688" s="1"/>
      <c r="E688" s="1"/>
      <c r="F688" s="1"/>
      <c r="G688" s="1"/>
      <c r="H688" s="1"/>
      <c r="I688" s="1"/>
      <c r="J688" s="1"/>
      <c r="K688" s="1"/>
      <c r="L688" s="1"/>
      <c r="M688" s="1"/>
      <c r="N688" s="1"/>
      <c r="O688" s="1"/>
      <c r="P688" s="1"/>
      <c r="Q688" s="1"/>
      <c r="R688" s="1"/>
      <c r="S688" s="1"/>
      <c r="T688" s="1"/>
      <c r="U688" s="2"/>
      <c r="V688" s="1"/>
      <c r="W688" s="1"/>
      <c r="X688" s="1"/>
      <c r="Y688" s="1"/>
      <c r="Z688" s="1"/>
    </row>
    <row r="689" spans="1:26" ht="24.75" customHeight="1">
      <c r="A689" s="1"/>
      <c r="B689" s="1"/>
      <c r="C689" s="1"/>
      <c r="D689" s="1"/>
      <c r="E689" s="1"/>
      <c r="F689" s="1"/>
      <c r="G689" s="1"/>
      <c r="H689" s="1"/>
      <c r="I689" s="1"/>
      <c r="J689" s="1"/>
      <c r="K689" s="1"/>
      <c r="L689" s="1"/>
      <c r="M689" s="1"/>
      <c r="N689" s="1"/>
      <c r="O689" s="1"/>
      <c r="P689" s="1"/>
      <c r="Q689" s="1"/>
      <c r="R689" s="1"/>
      <c r="S689" s="1"/>
      <c r="T689" s="1"/>
      <c r="U689" s="2"/>
      <c r="V689" s="1"/>
      <c r="W689" s="1"/>
      <c r="X689" s="1"/>
      <c r="Y689" s="1"/>
      <c r="Z689" s="1"/>
    </row>
    <row r="690" spans="1:26" ht="24.75" customHeight="1">
      <c r="A690" s="1"/>
      <c r="B690" s="1"/>
      <c r="C690" s="1"/>
      <c r="D690" s="1"/>
      <c r="E690" s="1"/>
      <c r="F690" s="1"/>
      <c r="G690" s="1"/>
      <c r="H690" s="1"/>
      <c r="I690" s="1"/>
      <c r="J690" s="1"/>
      <c r="K690" s="1"/>
      <c r="L690" s="1"/>
      <c r="M690" s="1"/>
      <c r="N690" s="1"/>
      <c r="O690" s="1"/>
      <c r="P690" s="1"/>
      <c r="Q690" s="1"/>
      <c r="R690" s="1"/>
      <c r="S690" s="1"/>
      <c r="T690" s="1"/>
      <c r="U690" s="2"/>
      <c r="V690" s="1"/>
      <c r="W690" s="1"/>
      <c r="X690" s="1"/>
      <c r="Y690" s="1"/>
      <c r="Z690" s="1"/>
    </row>
    <row r="691" spans="1:26" ht="24.75" customHeight="1">
      <c r="A691" s="1"/>
      <c r="B691" s="1"/>
      <c r="C691" s="1"/>
      <c r="D691" s="1"/>
      <c r="E691" s="1"/>
      <c r="F691" s="1"/>
      <c r="G691" s="1"/>
      <c r="H691" s="1"/>
      <c r="I691" s="1"/>
      <c r="J691" s="1"/>
      <c r="K691" s="1"/>
      <c r="L691" s="1"/>
      <c r="M691" s="1"/>
      <c r="N691" s="1"/>
      <c r="O691" s="1"/>
      <c r="P691" s="1"/>
      <c r="Q691" s="1"/>
      <c r="R691" s="1"/>
      <c r="S691" s="1"/>
      <c r="T691" s="1"/>
      <c r="U691" s="2"/>
      <c r="V691" s="1"/>
      <c r="W691" s="1"/>
      <c r="X691" s="1"/>
      <c r="Y691" s="1"/>
      <c r="Z691" s="1"/>
    </row>
    <row r="692" spans="1:26" ht="24.75" customHeight="1">
      <c r="A692" s="1"/>
      <c r="B692" s="1"/>
      <c r="C692" s="1"/>
      <c r="D692" s="1"/>
      <c r="E692" s="1"/>
      <c r="F692" s="1"/>
      <c r="G692" s="1"/>
      <c r="H692" s="1"/>
      <c r="I692" s="1"/>
      <c r="J692" s="1"/>
      <c r="K692" s="1"/>
      <c r="L692" s="1"/>
      <c r="M692" s="1"/>
      <c r="N692" s="1"/>
      <c r="O692" s="1"/>
      <c r="P692" s="1"/>
      <c r="Q692" s="1"/>
      <c r="R692" s="1"/>
      <c r="S692" s="1"/>
      <c r="T692" s="1"/>
      <c r="U692" s="2"/>
      <c r="V692" s="1"/>
      <c r="W692" s="1"/>
      <c r="X692" s="1"/>
      <c r="Y692" s="1"/>
      <c r="Z692" s="1"/>
    </row>
    <row r="693" spans="1:26" ht="24.75" customHeight="1">
      <c r="A693" s="1"/>
      <c r="B693" s="1"/>
      <c r="C693" s="1"/>
      <c r="D693" s="1"/>
      <c r="E693" s="1"/>
      <c r="F693" s="1"/>
      <c r="G693" s="1"/>
      <c r="H693" s="1"/>
      <c r="I693" s="1"/>
      <c r="J693" s="1"/>
      <c r="K693" s="1"/>
      <c r="L693" s="1"/>
      <c r="M693" s="1"/>
      <c r="N693" s="1"/>
      <c r="O693" s="1"/>
      <c r="P693" s="1"/>
      <c r="Q693" s="1"/>
      <c r="R693" s="1"/>
      <c r="S693" s="1"/>
      <c r="T693" s="1"/>
      <c r="U693" s="2"/>
      <c r="V693" s="1"/>
      <c r="W693" s="1"/>
      <c r="X693" s="1"/>
      <c r="Y693" s="1"/>
      <c r="Z693" s="1"/>
    </row>
    <row r="694" spans="1:26" ht="24.75" customHeight="1">
      <c r="A694" s="1"/>
      <c r="B694" s="1"/>
      <c r="C694" s="1"/>
      <c r="D694" s="1"/>
      <c r="E694" s="1"/>
      <c r="F694" s="1"/>
      <c r="G694" s="1"/>
      <c r="H694" s="1"/>
      <c r="I694" s="1"/>
      <c r="J694" s="1"/>
      <c r="K694" s="1"/>
      <c r="L694" s="1"/>
      <c r="M694" s="1"/>
      <c r="N694" s="1"/>
      <c r="O694" s="1"/>
      <c r="P694" s="1"/>
      <c r="Q694" s="1"/>
      <c r="R694" s="1"/>
      <c r="S694" s="1"/>
      <c r="T694" s="1"/>
      <c r="U694" s="2"/>
      <c r="V694" s="1"/>
      <c r="W694" s="1"/>
      <c r="X694" s="1"/>
      <c r="Y694" s="1"/>
      <c r="Z694" s="1"/>
    </row>
    <row r="695" spans="1:26" ht="24.75" customHeight="1">
      <c r="A695" s="1"/>
      <c r="B695" s="1"/>
      <c r="C695" s="1"/>
      <c r="D695" s="1"/>
      <c r="E695" s="1"/>
      <c r="F695" s="1"/>
      <c r="G695" s="1"/>
      <c r="H695" s="1"/>
      <c r="I695" s="1"/>
      <c r="J695" s="1"/>
      <c r="K695" s="1"/>
      <c r="L695" s="1"/>
      <c r="M695" s="1"/>
      <c r="N695" s="1"/>
      <c r="O695" s="1"/>
      <c r="P695" s="1"/>
      <c r="Q695" s="1"/>
      <c r="R695" s="1"/>
      <c r="S695" s="1"/>
      <c r="T695" s="1"/>
      <c r="U695" s="2"/>
      <c r="V695" s="1"/>
      <c r="W695" s="1"/>
      <c r="X695" s="1"/>
      <c r="Y695" s="1"/>
      <c r="Z695" s="1"/>
    </row>
    <row r="696" spans="1:26" ht="24.75" customHeight="1">
      <c r="A696" s="1"/>
      <c r="B696" s="1"/>
      <c r="C696" s="1"/>
      <c r="D696" s="1"/>
      <c r="E696" s="1"/>
      <c r="F696" s="1"/>
      <c r="G696" s="1"/>
      <c r="H696" s="1"/>
      <c r="I696" s="1"/>
      <c r="J696" s="1"/>
      <c r="K696" s="1"/>
      <c r="L696" s="1"/>
      <c r="M696" s="1"/>
      <c r="N696" s="1"/>
      <c r="O696" s="1"/>
      <c r="P696" s="1"/>
      <c r="Q696" s="1"/>
      <c r="R696" s="1"/>
      <c r="S696" s="1"/>
      <c r="T696" s="1"/>
      <c r="U696" s="2"/>
      <c r="V696" s="1"/>
      <c r="W696" s="1"/>
      <c r="X696" s="1"/>
      <c r="Y696" s="1"/>
      <c r="Z696" s="1"/>
    </row>
    <row r="697" spans="1:26" ht="24.75" customHeight="1">
      <c r="A697" s="1"/>
      <c r="B697" s="1"/>
      <c r="C697" s="1"/>
      <c r="D697" s="1"/>
      <c r="E697" s="1"/>
      <c r="F697" s="1"/>
      <c r="G697" s="1"/>
      <c r="H697" s="1"/>
      <c r="I697" s="1"/>
      <c r="J697" s="1"/>
      <c r="K697" s="1"/>
      <c r="L697" s="1"/>
      <c r="M697" s="1"/>
      <c r="N697" s="1"/>
      <c r="O697" s="1"/>
      <c r="P697" s="1"/>
      <c r="Q697" s="1"/>
      <c r="R697" s="1"/>
      <c r="S697" s="1"/>
      <c r="T697" s="1"/>
      <c r="U697" s="2"/>
      <c r="V697" s="1"/>
      <c r="W697" s="1"/>
      <c r="X697" s="1"/>
      <c r="Y697" s="1"/>
      <c r="Z697" s="1"/>
    </row>
    <row r="698" spans="1:26" ht="24.75" customHeight="1">
      <c r="A698" s="1"/>
      <c r="B698" s="1"/>
      <c r="C698" s="1"/>
      <c r="D698" s="1"/>
      <c r="E698" s="1"/>
      <c r="F698" s="1"/>
      <c r="G698" s="1"/>
      <c r="H698" s="1"/>
      <c r="I698" s="1"/>
      <c r="J698" s="1"/>
      <c r="K698" s="1"/>
      <c r="L698" s="1"/>
      <c r="M698" s="1"/>
      <c r="N698" s="1"/>
      <c r="O698" s="1"/>
      <c r="P698" s="1"/>
      <c r="Q698" s="1"/>
      <c r="R698" s="1"/>
      <c r="S698" s="1"/>
      <c r="T698" s="1"/>
      <c r="U698" s="2"/>
      <c r="V698" s="1"/>
      <c r="W698" s="1"/>
      <c r="X698" s="1"/>
      <c r="Y698" s="1"/>
      <c r="Z698" s="1"/>
    </row>
    <row r="699" spans="1:26" ht="24.75" customHeight="1">
      <c r="A699" s="1"/>
      <c r="B699" s="1"/>
      <c r="C699" s="1"/>
      <c r="D699" s="1"/>
      <c r="E699" s="1"/>
      <c r="F699" s="1"/>
      <c r="G699" s="1"/>
      <c r="H699" s="1"/>
      <c r="I699" s="1"/>
      <c r="J699" s="1"/>
      <c r="K699" s="1"/>
      <c r="L699" s="1"/>
      <c r="M699" s="1"/>
      <c r="N699" s="1"/>
      <c r="O699" s="1"/>
      <c r="P699" s="1"/>
      <c r="Q699" s="1"/>
      <c r="R699" s="1"/>
      <c r="S699" s="1"/>
      <c r="T699" s="1"/>
      <c r="U699" s="2"/>
      <c r="V699" s="1"/>
      <c r="W699" s="1"/>
      <c r="X699" s="1"/>
      <c r="Y699" s="1"/>
      <c r="Z699" s="1"/>
    </row>
    <row r="700" spans="1:26" ht="24.75" customHeight="1">
      <c r="A700" s="1"/>
      <c r="B700" s="1"/>
      <c r="C700" s="1"/>
      <c r="D700" s="1"/>
      <c r="E700" s="1"/>
      <c r="F700" s="1"/>
      <c r="G700" s="1"/>
      <c r="H700" s="1"/>
      <c r="I700" s="1"/>
      <c r="J700" s="1"/>
      <c r="K700" s="1"/>
      <c r="L700" s="1"/>
      <c r="M700" s="1"/>
      <c r="N700" s="1"/>
      <c r="O700" s="1"/>
      <c r="P700" s="1"/>
      <c r="Q700" s="1"/>
      <c r="R700" s="1"/>
      <c r="S700" s="1"/>
      <c r="T700" s="1"/>
      <c r="U700" s="2"/>
      <c r="V700" s="1"/>
      <c r="W700" s="1"/>
      <c r="X700" s="1"/>
      <c r="Y700" s="1"/>
      <c r="Z700" s="1"/>
    </row>
    <row r="701" spans="1:26" ht="24.75" customHeight="1">
      <c r="A701" s="1"/>
      <c r="B701" s="1"/>
      <c r="C701" s="1"/>
      <c r="D701" s="1"/>
      <c r="E701" s="1"/>
      <c r="F701" s="1"/>
      <c r="G701" s="1"/>
      <c r="H701" s="1"/>
      <c r="I701" s="1"/>
      <c r="J701" s="1"/>
      <c r="K701" s="1"/>
      <c r="L701" s="1"/>
      <c r="M701" s="1"/>
      <c r="N701" s="1"/>
      <c r="O701" s="1"/>
      <c r="P701" s="1"/>
      <c r="Q701" s="1"/>
      <c r="R701" s="1"/>
      <c r="S701" s="1"/>
      <c r="T701" s="1"/>
      <c r="U701" s="2"/>
      <c r="V701" s="1"/>
      <c r="W701" s="1"/>
      <c r="X701" s="1"/>
      <c r="Y701" s="1"/>
      <c r="Z701" s="1"/>
    </row>
    <row r="702" spans="1:26" ht="24.75" customHeight="1">
      <c r="A702" s="1"/>
      <c r="B702" s="1"/>
      <c r="C702" s="1"/>
      <c r="D702" s="1"/>
      <c r="E702" s="1"/>
      <c r="F702" s="1"/>
      <c r="G702" s="1"/>
      <c r="H702" s="1"/>
      <c r="I702" s="1"/>
      <c r="J702" s="1"/>
      <c r="K702" s="1"/>
      <c r="L702" s="1"/>
      <c r="M702" s="1"/>
      <c r="N702" s="1"/>
      <c r="O702" s="1"/>
      <c r="P702" s="1"/>
      <c r="Q702" s="1"/>
      <c r="R702" s="1"/>
      <c r="S702" s="1"/>
      <c r="T702" s="1"/>
      <c r="U702" s="2"/>
      <c r="V702" s="1"/>
      <c r="W702" s="1"/>
      <c r="X702" s="1"/>
      <c r="Y702" s="1"/>
      <c r="Z702" s="1"/>
    </row>
    <row r="703" spans="1:26" ht="24.75" customHeight="1">
      <c r="A703" s="1"/>
      <c r="B703" s="1"/>
      <c r="C703" s="1"/>
      <c r="D703" s="1"/>
      <c r="E703" s="1"/>
      <c r="F703" s="1"/>
      <c r="G703" s="1"/>
      <c r="H703" s="1"/>
      <c r="I703" s="1"/>
      <c r="J703" s="1"/>
      <c r="K703" s="1"/>
      <c r="L703" s="1"/>
      <c r="M703" s="1"/>
      <c r="N703" s="1"/>
      <c r="O703" s="1"/>
      <c r="P703" s="1"/>
      <c r="Q703" s="1"/>
      <c r="R703" s="1"/>
      <c r="S703" s="1"/>
      <c r="T703" s="1"/>
      <c r="U703" s="2"/>
      <c r="V703" s="1"/>
      <c r="W703" s="1"/>
      <c r="X703" s="1"/>
      <c r="Y703" s="1"/>
      <c r="Z703" s="1"/>
    </row>
    <row r="704" spans="1:26" ht="24.75" customHeight="1">
      <c r="A704" s="1"/>
      <c r="B704" s="1"/>
      <c r="C704" s="1"/>
      <c r="D704" s="1"/>
      <c r="E704" s="1"/>
      <c r="F704" s="1"/>
      <c r="G704" s="1"/>
      <c r="H704" s="1"/>
      <c r="I704" s="1"/>
      <c r="J704" s="1"/>
      <c r="K704" s="1"/>
      <c r="L704" s="1"/>
      <c r="M704" s="1"/>
      <c r="N704" s="1"/>
      <c r="O704" s="1"/>
      <c r="P704" s="1"/>
      <c r="Q704" s="1"/>
      <c r="R704" s="1"/>
      <c r="S704" s="1"/>
      <c r="T704" s="1"/>
      <c r="U704" s="2"/>
      <c r="V704" s="1"/>
      <c r="W704" s="1"/>
      <c r="X704" s="1"/>
      <c r="Y704" s="1"/>
      <c r="Z704" s="1"/>
    </row>
    <row r="705" spans="1:26" ht="24.75" customHeight="1">
      <c r="A705" s="1"/>
      <c r="B705" s="1"/>
      <c r="C705" s="1"/>
      <c r="D705" s="1"/>
      <c r="E705" s="1"/>
      <c r="F705" s="1"/>
      <c r="G705" s="1"/>
      <c r="H705" s="1"/>
      <c r="I705" s="1"/>
      <c r="J705" s="1"/>
      <c r="K705" s="1"/>
      <c r="L705" s="1"/>
      <c r="M705" s="1"/>
      <c r="N705" s="1"/>
      <c r="O705" s="1"/>
      <c r="P705" s="1"/>
      <c r="Q705" s="1"/>
      <c r="R705" s="1"/>
      <c r="S705" s="1"/>
      <c r="T705" s="1"/>
      <c r="U705" s="2"/>
      <c r="V705" s="1"/>
      <c r="W705" s="1"/>
      <c r="X705" s="1"/>
      <c r="Y705" s="1"/>
      <c r="Z705" s="1"/>
    </row>
    <row r="706" spans="1:26" ht="24.75" customHeight="1">
      <c r="A706" s="1"/>
      <c r="B706" s="1"/>
      <c r="C706" s="1"/>
      <c r="D706" s="1"/>
      <c r="E706" s="1"/>
      <c r="F706" s="1"/>
      <c r="G706" s="1"/>
      <c r="H706" s="1"/>
      <c r="I706" s="1"/>
      <c r="J706" s="1"/>
      <c r="K706" s="1"/>
      <c r="L706" s="1"/>
      <c r="M706" s="1"/>
      <c r="N706" s="1"/>
      <c r="O706" s="1"/>
      <c r="P706" s="1"/>
      <c r="Q706" s="1"/>
      <c r="R706" s="1"/>
      <c r="S706" s="1"/>
      <c r="T706" s="1"/>
      <c r="U706" s="2"/>
      <c r="V706" s="1"/>
      <c r="W706" s="1"/>
      <c r="X706" s="1"/>
      <c r="Y706" s="1"/>
      <c r="Z706" s="1"/>
    </row>
    <row r="707" spans="1:26" ht="24.75" customHeight="1">
      <c r="A707" s="1"/>
      <c r="B707" s="1"/>
      <c r="C707" s="1"/>
      <c r="D707" s="1"/>
      <c r="E707" s="1"/>
      <c r="F707" s="1"/>
      <c r="G707" s="1"/>
      <c r="H707" s="1"/>
      <c r="I707" s="1"/>
      <c r="J707" s="1"/>
      <c r="K707" s="1"/>
      <c r="L707" s="1"/>
      <c r="M707" s="1"/>
      <c r="N707" s="1"/>
      <c r="O707" s="1"/>
      <c r="P707" s="1"/>
      <c r="Q707" s="1"/>
      <c r="R707" s="1"/>
      <c r="S707" s="1"/>
      <c r="T707" s="1"/>
      <c r="U707" s="2"/>
      <c r="V707" s="1"/>
      <c r="W707" s="1"/>
      <c r="X707" s="1"/>
      <c r="Y707" s="1"/>
      <c r="Z707" s="1"/>
    </row>
    <row r="708" spans="1:26" ht="24.75" customHeight="1">
      <c r="A708" s="1"/>
      <c r="B708" s="1"/>
      <c r="C708" s="1"/>
      <c r="D708" s="1"/>
      <c r="E708" s="1"/>
      <c r="F708" s="1"/>
      <c r="G708" s="1"/>
      <c r="H708" s="1"/>
      <c r="I708" s="1"/>
      <c r="J708" s="1"/>
      <c r="K708" s="1"/>
      <c r="L708" s="1"/>
      <c r="M708" s="1"/>
      <c r="N708" s="1"/>
      <c r="O708" s="1"/>
      <c r="P708" s="1"/>
      <c r="Q708" s="1"/>
      <c r="R708" s="1"/>
      <c r="S708" s="1"/>
      <c r="T708" s="1"/>
      <c r="U708" s="2"/>
      <c r="V708" s="1"/>
      <c r="W708" s="1"/>
      <c r="X708" s="1"/>
      <c r="Y708" s="1"/>
      <c r="Z708" s="1"/>
    </row>
    <row r="709" spans="1:26" ht="24.75" customHeight="1">
      <c r="A709" s="1"/>
      <c r="B709" s="1"/>
      <c r="C709" s="1"/>
      <c r="D709" s="1"/>
      <c r="E709" s="1"/>
      <c r="F709" s="1"/>
      <c r="G709" s="1"/>
      <c r="H709" s="1"/>
      <c r="I709" s="1"/>
      <c r="J709" s="1"/>
      <c r="K709" s="1"/>
      <c r="L709" s="1"/>
      <c r="M709" s="1"/>
      <c r="N709" s="1"/>
      <c r="O709" s="1"/>
      <c r="P709" s="1"/>
      <c r="Q709" s="1"/>
      <c r="R709" s="1"/>
      <c r="S709" s="1"/>
      <c r="T709" s="1"/>
      <c r="U709" s="2"/>
      <c r="V709" s="1"/>
      <c r="W709" s="1"/>
      <c r="X709" s="1"/>
      <c r="Y709" s="1"/>
      <c r="Z709" s="1"/>
    </row>
    <row r="710" spans="1:26" ht="24.75" customHeight="1">
      <c r="A710" s="1"/>
      <c r="B710" s="1"/>
      <c r="C710" s="1"/>
      <c r="D710" s="1"/>
      <c r="E710" s="1"/>
      <c r="F710" s="1"/>
      <c r="G710" s="1"/>
      <c r="H710" s="1"/>
      <c r="I710" s="1"/>
      <c r="J710" s="1"/>
      <c r="K710" s="1"/>
      <c r="L710" s="1"/>
      <c r="M710" s="1"/>
      <c r="N710" s="1"/>
      <c r="O710" s="1"/>
      <c r="P710" s="1"/>
      <c r="Q710" s="1"/>
      <c r="R710" s="1"/>
      <c r="S710" s="1"/>
      <c r="T710" s="1"/>
      <c r="U710" s="2"/>
      <c r="V710" s="1"/>
      <c r="W710" s="1"/>
      <c r="X710" s="1"/>
      <c r="Y710" s="1"/>
      <c r="Z710" s="1"/>
    </row>
    <row r="711" spans="1:26" ht="24.75" customHeight="1">
      <c r="A711" s="1"/>
      <c r="B711" s="1"/>
      <c r="C711" s="1"/>
      <c r="D711" s="1"/>
      <c r="E711" s="1"/>
      <c r="F711" s="1"/>
      <c r="G711" s="1"/>
      <c r="H711" s="1"/>
      <c r="I711" s="1"/>
      <c r="J711" s="1"/>
      <c r="K711" s="1"/>
      <c r="L711" s="1"/>
      <c r="M711" s="1"/>
      <c r="N711" s="1"/>
      <c r="O711" s="1"/>
      <c r="P711" s="1"/>
      <c r="Q711" s="1"/>
      <c r="R711" s="1"/>
      <c r="S711" s="1"/>
      <c r="T711" s="1"/>
      <c r="U711" s="2"/>
      <c r="V711" s="1"/>
      <c r="W711" s="1"/>
      <c r="X711" s="1"/>
      <c r="Y711" s="1"/>
      <c r="Z711" s="1"/>
    </row>
    <row r="712" spans="1:26" ht="24.75" customHeight="1">
      <c r="A712" s="1"/>
      <c r="B712" s="1"/>
      <c r="C712" s="1"/>
      <c r="D712" s="1"/>
      <c r="E712" s="1"/>
      <c r="F712" s="1"/>
      <c r="G712" s="1"/>
      <c r="H712" s="1"/>
      <c r="I712" s="1"/>
      <c r="J712" s="1"/>
      <c r="K712" s="1"/>
      <c r="L712" s="1"/>
      <c r="M712" s="1"/>
      <c r="N712" s="1"/>
      <c r="O712" s="1"/>
      <c r="P712" s="1"/>
      <c r="Q712" s="1"/>
      <c r="R712" s="1"/>
      <c r="S712" s="1"/>
      <c r="T712" s="1"/>
      <c r="U712" s="2"/>
      <c r="V712" s="1"/>
      <c r="W712" s="1"/>
      <c r="X712" s="1"/>
      <c r="Y712" s="1"/>
      <c r="Z712" s="1"/>
    </row>
    <row r="713" spans="1:26" ht="24.75" customHeight="1">
      <c r="A713" s="1"/>
      <c r="B713" s="1"/>
      <c r="C713" s="1"/>
      <c r="D713" s="1"/>
      <c r="E713" s="1"/>
      <c r="F713" s="1"/>
      <c r="G713" s="1"/>
      <c r="H713" s="1"/>
      <c r="I713" s="1"/>
      <c r="J713" s="1"/>
      <c r="K713" s="1"/>
      <c r="L713" s="1"/>
      <c r="M713" s="1"/>
      <c r="N713" s="1"/>
      <c r="O713" s="1"/>
      <c r="P713" s="1"/>
      <c r="Q713" s="1"/>
      <c r="R713" s="1"/>
      <c r="S713" s="1"/>
      <c r="T713" s="1"/>
      <c r="U713" s="2"/>
      <c r="V713" s="1"/>
      <c r="W713" s="1"/>
      <c r="X713" s="1"/>
      <c r="Y713" s="1"/>
      <c r="Z713" s="1"/>
    </row>
    <row r="714" spans="1:26" ht="24.75" customHeight="1">
      <c r="A714" s="1"/>
      <c r="B714" s="1"/>
      <c r="C714" s="1"/>
      <c r="D714" s="1"/>
      <c r="E714" s="1"/>
      <c r="F714" s="1"/>
      <c r="G714" s="1"/>
      <c r="H714" s="1"/>
      <c r="I714" s="1"/>
      <c r="J714" s="1"/>
      <c r="K714" s="1"/>
      <c r="L714" s="1"/>
      <c r="M714" s="1"/>
      <c r="N714" s="1"/>
      <c r="O714" s="1"/>
      <c r="P714" s="1"/>
      <c r="Q714" s="1"/>
      <c r="R714" s="1"/>
      <c r="S714" s="1"/>
      <c r="T714" s="1"/>
      <c r="U714" s="2"/>
      <c r="V714" s="1"/>
      <c r="W714" s="1"/>
      <c r="X714" s="1"/>
      <c r="Y714" s="1"/>
      <c r="Z714" s="1"/>
    </row>
    <row r="715" spans="1:26" ht="24.75" customHeight="1">
      <c r="A715" s="1"/>
      <c r="B715" s="1"/>
      <c r="C715" s="1"/>
      <c r="D715" s="1"/>
      <c r="E715" s="1"/>
      <c r="F715" s="1"/>
      <c r="G715" s="1"/>
      <c r="H715" s="1"/>
      <c r="I715" s="1"/>
      <c r="J715" s="1"/>
      <c r="K715" s="1"/>
      <c r="L715" s="1"/>
      <c r="M715" s="1"/>
      <c r="N715" s="1"/>
      <c r="O715" s="1"/>
      <c r="P715" s="1"/>
      <c r="Q715" s="1"/>
      <c r="R715" s="1"/>
      <c r="S715" s="1"/>
      <c r="T715" s="1"/>
      <c r="U715" s="2"/>
      <c r="V715" s="1"/>
      <c r="W715" s="1"/>
      <c r="X715" s="1"/>
      <c r="Y715" s="1"/>
      <c r="Z715" s="1"/>
    </row>
    <row r="716" spans="1:26" ht="24.75" customHeight="1">
      <c r="A716" s="1"/>
      <c r="B716" s="1"/>
      <c r="C716" s="1"/>
      <c r="D716" s="1"/>
      <c r="E716" s="1"/>
      <c r="F716" s="1"/>
      <c r="G716" s="1"/>
      <c r="H716" s="1"/>
      <c r="I716" s="1"/>
      <c r="J716" s="1"/>
      <c r="K716" s="1"/>
      <c r="L716" s="1"/>
      <c r="M716" s="1"/>
      <c r="N716" s="1"/>
      <c r="O716" s="1"/>
      <c r="P716" s="1"/>
      <c r="Q716" s="1"/>
      <c r="R716" s="1"/>
      <c r="S716" s="1"/>
      <c r="T716" s="1"/>
      <c r="U716" s="2"/>
      <c r="V716" s="1"/>
      <c r="W716" s="1"/>
      <c r="X716" s="1"/>
      <c r="Y716" s="1"/>
      <c r="Z716" s="1"/>
    </row>
    <row r="717" spans="1:26" ht="24.75" customHeight="1">
      <c r="A717" s="1"/>
      <c r="B717" s="1"/>
      <c r="C717" s="1"/>
      <c r="D717" s="1"/>
      <c r="E717" s="1"/>
      <c r="F717" s="1"/>
      <c r="G717" s="1"/>
      <c r="H717" s="1"/>
      <c r="I717" s="1"/>
      <c r="J717" s="1"/>
      <c r="K717" s="1"/>
      <c r="L717" s="1"/>
      <c r="M717" s="1"/>
      <c r="N717" s="1"/>
      <c r="O717" s="1"/>
      <c r="P717" s="1"/>
      <c r="Q717" s="1"/>
      <c r="R717" s="1"/>
      <c r="S717" s="1"/>
      <c r="T717" s="1"/>
      <c r="U717" s="2"/>
      <c r="V717" s="1"/>
      <c r="W717" s="1"/>
      <c r="X717" s="1"/>
      <c r="Y717" s="1"/>
      <c r="Z717" s="1"/>
    </row>
    <row r="718" spans="1:26" ht="24.75" customHeight="1">
      <c r="A718" s="1"/>
      <c r="B718" s="1"/>
      <c r="C718" s="1"/>
      <c r="D718" s="1"/>
      <c r="E718" s="1"/>
      <c r="F718" s="1"/>
      <c r="G718" s="1"/>
      <c r="H718" s="1"/>
      <c r="I718" s="1"/>
      <c r="J718" s="1"/>
      <c r="K718" s="1"/>
      <c r="L718" s="1"/>
      <c r="M718" s="1"/>
      <c r="N718" s="1"/>
      <c r="O718" s="1"/>
      <c r="P718" s="1"/>
      <c r="Q718" s="1"/>
      <c r="R718" s="1"/>
      <c r="S718" s="1"/>
      <c r="T718" s="1"/>
      <c r="U718" s="2"/>
      <c r="V718" s="1"/>
      <c r="W718" s="1"/>
      <c r="X718" s="1"/>
      <c r="Y718" s="1"/>
      <c r="Z718" s="1"/>
    </row>
    <row r="719" spans="1:26" ht="24.75" customHeight="1">
      <c r="A719" s="1"/>
      <c r="B719" s="1"/>
      <c r="C719" s="1"/>
      <c r="D719" s="1"/>
      <c r="E719" s="1"/>
      <c r="F719" s="1"/>
      <c r="G719" s="1"/>
      <c r="H719" s="1"/>
      <c r="I719" s="1"/>
      <c r="J719" s="1"/>
      <c r="K719" s="1"/>
      <c r="L719" s="1"/>
      <c r="M719" s="1"/>
      <c r="N719" s="1"/>
      <c r="O719" s="1"/>
      <c r="P719" s="1"/>
      <c r="Q719" s="1"/>
      <c r="R719" s="1"/>
      <c r="S719" s="1"/>
      <c r="T719" s="1"/>
      <c r="U719" s="2"/>
      <c r="V719" s="1"/>
      <c r="W719" s="1"/>
      <c r="X719" s="1"/>
      <c r="Y719" s="1"/>
      <c r="Z719" s="1"/>
    </row>
    <row r="720" spans="1:26" ht="24.75" customHeight="1">
      <c r="A720" s="1"/>
      <c r="B720" s="1"/>
      <c r="C720" s="1"/>
      <c r="D720" s="1"/>
      <c r="E720" s="1"/>
      <c r="F720" s="1"/>
      <c r="G720" s="1"/>
      <c r="H720" s="1"/>
      <c r="I720" s="1"/>
      <c r="J720" s="1"/>
      <c r="K720" s="1"/>
      <c r="L720" s="1"/>
      <c r="M720" s="1"/>
      <c r="N720" s="1"/>
      <c r="O720" s="1"/>
      <c r="P720" s="1"/>
      <c r="Q720" s="1"/>
      <c r="R720" s="1"/>
      <c r="S720" s="1"/>
      <c r="T720" s="1"/>
      <c r="U720" s="2"/>
      <c r="V720" s="1"/>
      <c r="W720" s="1"/>
      <c r="X720" s="1"/>
      <c r="Y720" s="1"/>
      <c r="Z720" s="1"/>
    </row>
    <row r="721" spans="1:26" ht="24.75" customHeight="1">
      <c r="A721" s="1"/>
      <c r="B721" s="1"/>
      <c r="C721" s="1"/>
      <c r="D721" s="1"/>
      <c r="E721" s="1"/>
      <c r="F721" s="1"/>
      <c r="G721" s="1"/>
      <c r="H721" s="1"/>
      <c r="I721" s="1"/>
      <c r="J721" s="1"/>
      <c r="K721" s="1"/>
      <c r="L721" s="1"/>
      <c r="M721" s="1"/>
      <c r="N721" s="1"/>
      <c r="O721" s="1"/>
      <c r="P721" s="1"/>
      <c r="Q721" s="1"/>
      <c r="R721" s="1"/>
      <c r="S721" s="1"/>
      <c r="T721" s="1"/>
      <c r="U721" s="2"/>
      <c r="V721" s="1"/>
      <c r="W721" s="1"/>
      <c r="X721" s="1"/>
      <c r="Y721" s="1"/>
      <c r="Z721" s="1"/>
    </row>
    <row r="722" spans="1:26" ht="24.75" customHeight="1">
      <c r="A722" s="1"/>
      <c r="B722" s="1"/>
      <c r="C722" s="1"/>
      <c r="D722" s="1"/>
      <c r="E722" s="1"/>
      <c r="F722" s="1"/>
      <c r="G722" s="1"/>
      <c r="H722" s="1"/>
      <c r="I722" s="1"/>
      <c r="J722" s="1"/>
      <c r="K722" s="1"/>
      <c r="L722" s="1"/>
      <c r="M722" s="1"/>
      <c r="N722" s="1"/>
      <c r="O722" s="1"/>
      <c r="P722" s="1"/>
      <c r="Q722" s="1"/>
      <c r="R722" s="1"/>
      <c r="S722" s="1"/>
      <c r="T722" s="1"/>
      <c r="U722" s="2"/>
      <c r="V722" s="1"/>
      <c r="W722" s="1"/>
      <c r="X722" s="1"/>
      <c r="Y722" s="1"/>
      <c r="Z722" s="1"/>
    </row>
    <row r="723" spans="1:26" ht="24.75" customHeight="1">
      <c r="A723" s="1"/>
      <c r="B723" s="1"/>
      <c r="C723" s="1"/>
      <c r="D723" s="1"/>
      <c r="E723" s="1"/>
      <c r="F723" s="1"/>
      <c r="G723" s="1"/>
      <c r="H723" s="1"/>
      <c r="I723" s="1"/>
      <c r="J723" s="1"/>
      <c r="K723" s="1"/>
      <c r="L723" s="1"/>
      <c r="M723" s="1"/>
      <c r="N723" s="1"/>
      <c r="O723" s="1"/>
      <c r="P723" s="1"/>
      <c r="Q723" s="1"/>
      <c r="R723" s="1"/>
      <c r="S723" s="1"/>
      <c r="T723" s="1"/>
      <c r="U723" s="2"/>
      <c r="V723" s="1"/>
      <c r="W723" s="1"/>
      <c r="X723" s="1"/>
      <c r="Y723" s="1"/>
      <c r="Z723" s="1"/>
    </row>
    <row r="724" spans="1:26" ht="24.75" customHeight="1">
      <c r="A724" s="1"/>
      <c r="B724" s="1"/>
      <c r="C724" s="1"/>
      <c r="D724" s="1"/>
      <c r="E724" s="1"/>
      <c r="F724" s="1"/>
      <c r="G724" s="1"/>
      <c r="H724" s="1"/>
      <c r="I724" s="1"/>
      <c r="J724" s="1"/>
      <c r="K724" s="1"/>
      <c r="L724" s="1"/>
      <c r="M724" s="1"/>
      <c r="N724" s="1"/>
      <c r="O724" s="1"/>
      <c r="P724" s="1"/>
      <c r="Q724" s="1"/>
      <c r="R724" s="1"/>
      <c r="S724" s="1"/>
      <c r="T724" s="1"/>
      <c r="U724" s="2"/>
      <c r="V724" s="1"/>
      <c r="W724" s="1"/>
      <c r="X724" s="1"/>
      <c r="Y724" s="1"/>
      <c r="Z724" s="1"/>
    </row>
    <row r="725" spans="1:26" ht="24.75" customHeight="1">
      <c r="A725" s="1"/>
      <c r="B725" s="1"/>
      <c r="C725" s="1"/>
      <c r="D725" s="1"/>
      <c r="E725" s="1"/>
      <c r="F725" s="1"/>
      <c r="G725" s="1"/>
      <c r="H725" s="1"/>
      <c r="I725" s="1"/>
      <c r="J725" s="1"/>
      <c r="K725" s="1"/>
      <c r="L725" s="1"/>
      <c r="M725" s="1"/>
      <c r="N725" s="1"/>
      <c r="O725" s="1"/>
      <c r="P725" s="1"/>
      <c r="Q725" s="1"/>
      <c r="R725" s="1"/>
      <c r="S725" s="1"/>
      <c r="T725" s="1"/>
      <c r="U725" s="2"/>
      <c r="V725" s="1"/>
      <c r="W725" s="1"/>
      <c r="X725" s="1"/>
      <c r="Y725" s="1"/>
      <c r="Z725" s="1"/>
    </row>
    <row r="726" spans="1:26" ht="24.75" customHeight="1">
      <c r="A726" s="1"/>
      <c r="B726" s="1"/>
      <c r="C726" s="1"/>
      <c r="D726" s="1"/>
      <c r="E726" s="1"/>
      <c r="F726" s="1"/>
      <c r="G726" s="1"/>
      <c r="H726" s="1"/>
      <c r="I726" s="1"/>
      <c r="J726" s="1"/>
      <c r="K726" s="1"/>
      <c r="L726" s="1"/>
      <c r="M726" s="1"/>
      <c r="N726" s="1"/>
      <c r="O726" s="1"/>
      <c r="P726" s="1"/>
      <c r="Q726" s="1"/>
      <c r="R726" s="1"/>
      <c r="S726" s="1"/>
      <c r="T726" s="1"/>
      <c r="U726" s="2"/>
      <c r="V726" s="1"/>
      <c r="W726" s="1"/>
      <c r="X726" s="1"/>
      <c r="Y726" s="1"/>
      <c r="Z726" s="1"/>
    </row>
    <row r="727" spans="1:26" ht="24.75" customHeight="1">
      <c r="A727" s="1"/>
      <c r="B727" s="1"/>
      <c r="C727" s="1"/>
      <c r="D727" s="1"/>
      <c r="E727" s="1"/>
      <c r="F727" s="1"/>
      <c r="G727" s="1"/>
      <c r="H727" s="1"/>
      <c r="I727" s="1"/>
      <c r="J727" s="1"/>
      <c r="K727" s="1"/>
      <c r="L727" s="1"/>
      <c r="M727" s="1"/>
      <c r="N727" s="1"/>
      <c r="O727" s="1"/>
      <c r="P727" s="1"/>
      <c r="Q727" s="1"/>
      <c r="R727" s="1"/>
      <c r="S727" s="1"/>
      <c r="T727" s="1"/>
      <c r="U727" s="2"/>
      <c r="V727" s="1"/>
      <c r="W727" s="1"/>
      <c r="X727" s="1"/>
      <c r="Y727" s="1"/>
      <c r="Z727" s="1"/>
    </row>
    <row r="728" spans="1:26" ht="24.75" customHeight="1">
      <c r="A728" s="1"/>
      <c r="B728" s="1"/>
      <c r="C728" s="1"/>
      <c r="D728" s="1"/>
      <c r="E728" s="1"/>
      <c r="F728" s="1"/>
      <c r="G728" s="1"/>
      <c r="H728" s="1"/>
      <c r="I728" s="1"/>
      <c r="J728" s="1"/>
      <c r="K728" s="1"/>
      <c r="L728" s="1"/>
      <c r="M728" s="1"/>
      <c r="N728" s="1"/>
      <c r="O728" s="1"/>
      <c r="P728" s="1"/>
      <c r="Q728" s="1"/>
      <c r="R728" s="1"/>
      <c r="S728" s="1"/>
      <c r="T728" s="1"/>
      <c r="U728" s="2"/>
      <c r="V728" s="1"/>
      <c r="W728" s="1"/>
      <c r="X728" s="1"/>
      <c r="Y728" s="1"/>
      <c r="Z728" s="1"/>
    </row>
    <row r="729" spans="1:26" ht="24.75" customHeight="1">
      <c r="A729" s="1"/>
      <c r="B729" s="1"/>
      <c r="C729" s="1"/>
      <c r="D729" s="1"/>
      <c r="E729" s="1"/>
      <c r="F729" s="1"/>
      <c r="G729" s="1"/>
      <c r="H729" s="1"/>
      <c r="I729" s="1"/>
      <c r="J729" s="1"/>
      <c r="K729" s="1"/>
      <c r="L729" s="1"/>
      <c r="M729" s="1"/>
      <c r="N729" s="1"/>
      <c r="O729" s="1"/>
      <c r="P729" s="1"/>
      <c r="Q729" s="1"/>
      <c r="R729" s="1"/>
      <c r="S729" s="1"/>
      <c r="T729" s="1"/>
      <c r="U729" s="2"/>
      <c r="V729" s="1"/>
      <c r="W729" s="1"/>
      <c r="X729" s="1"/>
      <c r="Y729" s="1"/>
      <c r="Z729" s="1"/>
    </row>
    <row r="730" spans="1:26" ht="24.75" customHeight="1">
      <c r="A730" s="1"/>
      <c r="B730" s="1"/>
      <c r="C730" s="1"/>
      <c r="D730" s="1"/>
      <c r="E730" s="1"/>
      <c r="F730" s="1"/>
      <c r="G730" s="1"/>
      <c r="H730" s="1"/>
      <c r="I730" s="1"/>
      <c r="J730" s="1"/>
      <c r="K730" s="1"/>
      <c r="L730" s="1"/>
      <c r="M730" s="1"/>
      <c r="N730" s="1"/>
      <c r="O730" s="1"/>
      <c r="P730" s="1"/>
      <c r="Q730" s="1"/>
      <c r="R730" s="1"/>
      <c r="S730" s="1"/>
      <c r="T730" s="1"/>
      <c r="U730" s="2"/>
      <c r="V730" s="1"/>
      <c r="W730" s="1"/>
      <c r="X730" s="1"/>
      <c r="Y730" s="1"/>
      <c r="Z730" s="1"/>
    </row>
    <row r="731" spans="1:26" ht="24.75" customHeight="1">
      <c r="A731" s="1"/>
      <c r="B731" s="1"/>
      <c r="C731" s="1"/>
      <c r="D731" s="1"/>
      <c r="E731" s="1"/>
      <c r="F731" s="1"/>
      <c r="G731" s="1"/>
      <c r="H731" s="1"/>
      <c r="I731" s="1"/>
      <c r="J731" s="1"/>
      <c r="K731" s="1"/>
      <c r="L731" s="1"/>
      <c r="M731" s="1"/>
      <c r="N731" s="1"/>
      <c r="O731" s="1"/>
      <c r="P731" s="1"/>
      <c r="Q731" s="1"/>
      <c r="R731" s="1"/>
      <c r="S731" s="1"/>
      <c r="T731" s="1"/>
      <c r="U731" s="2"/>
      <c r="V731" s="1"/>
      <c r="W731" s="1"/>
      <c r="X731" s="1"/>
      <c r="Y731" s="1"/>
      <c r="Z731" s="1"/>
    </row>
    <row r="732" spans="1:26" ht="24.75" customHeight="1">
      <c r="A732" s="1"/>
      <c r="B732" s="1"/>
      <c r="C732" s="1"/>
      <c r="D732" s="1"/>
      <c r="E732" s="1"/>
      <c r="F732" s="1"/>
      <c r="G732" s="1"/>
      <c r="H732" s="1"/>
      <c r="I732" s="1"/>
      <c r="J732" s="1"/>
      <c r="K732" s="1"/>
      <c r="L732" s="1"/>
      <c r="M732" s="1"/>
      <c r="N732" s="1"/>
      <c r="O732" s="1"/>
      <c r="P732" s="1"/>
      <c r="Q732" s="1"/>
      <c r="R732" s="1"/>
      <c r="S732" s="1"/>
      <c r="T732" s="1"/>
      <c r="U732" s="2"/>
      <c r="V732" s="1"/>
      <c r="W732" s="1"/>
      <c r="X732" s="1"/>
      <c r="Y732" s="1"/>
      <c r="Z732" s="1"/>
    </row>
    <row r="733" spans="1:26" ht="24.75" customHeight="1">
      <c r="A733" s="1"/>
      <c r="B733" s="1"/>
      <c r="C733" s="1"/>
      <c r="D733" s="1"/>
      <c r="E733" s="1"/>
      <c r="F733" s="1"/>
      <c r="G733" s="1"/>
      <c r="H733" s="1"/>
      <c r="I733" s="1"/>
      <c r="J733" s="1"/>
      <c r="K733" s="1"/>
      <c r="L733" s="1"/>
      <c r="M733" s="1"/>
      <c r="N733" s="1"/>
      <c r="O733" s="1"/>
      <c r="P733" s="1"/>
      <c r="Q733" s="1"/>
      <c r="R733" s="1"/>
      <c r="S733" s="1"/>
      <c r="T733" s="1"/>
      <c r="U733" s="2"/>
      <c r="V733" s="1"/>
      <c r="W733" s="1"/>
      <c r="X733" s="1"/>
      <c r="Y733" s="1"/>
      <c r="Z733" s="1"/>
    </row>
    <row r="734" spans="1:26" ht="24.75" customHeight="1">
      <c r="A734" s="1"/>
      <c r="B734" s="1"/>
      <c r="C734" s="1"/>
      <c r="D734" s="1"/>
      <c r="E734" s="1"/>
      <c r="F734" s="1"/>
      <c r="G734" s="1"/>
      <c r="H734" s="1"/>
      <c r="I734" s="1"/>
      <c r="J734" s="1"/>
      <c r="K734" s="1"/>
      <c r="L734" s="1"/>
      <c r="M734" s="1"/>
      <c r="N734" s="1"/>
      <c r="O734" s="1"/>
      <c r="P734" s="1"/>
      <c r="Q734" s="1"/>
      <c r="R734" s="1"/>
      <c r="S734" s="1"/>
      <c r="T734" s="1"/>
      <c r="U734" s="2"/>
      <c r="V734" s="1"/>
      <c r="W734" s="1"/>
      <c r="X734" s="1"/>
      <c r="Y734" s="1"/>
      <c r="Z734" s="1"/>
    </row>
    <row r="735" spans="1:26" ht="24.75" customHeight="1">
      <c r="A735" s="1"/>
      <c r="B735" s="1"/>
      <c r="C735" s="1"/>
      <c r="D735" s="1"/>
      <c r="E735" s="1"/>
      <c r="F735" s="1"/>
      <c r="G735" s="1"/>
      <c r="H735" s="1"/>
      <c r="I735" s="1"/>
      <c r="J735" s="1"/>
      <c r="K735" s="1"/>
      <c r="L735" s="1"/>
      <c r="M735" s="1"/>
      <c r="N735" s="1"/>
      <c r="O735" s="1"/>
      <c r="P735" s="1"/>
      <c r="Q735" s="1"/>
      <c r="R735" s="1"/>
      <c r="S735" s="1"/>
      <c r="T735" s="1"/>
      <c r="U735" s="2"/>
      <c r="V735" s="1"/>
      <c r="W735" s="1"/>
      <c r="X735" s="1"/>
      <c r="Y735" s="1"/>
      <c r="Z735" s="1"/>
    </row>
    <row r="736" spans="1:26" ht="24.75" customHeight="1">
      <c r="A736" s="1"/>
      <c r="B736" s="1"/>
      <c r="C736" s="1"/>
      <c r="D736" s="1"/>
      <c r="E736" s="1"/>
      <c r="F736" s="1"/>
      <c r="G736" s="1"/>
      <c r="H736" s="1"/>
      <c r="I736" s="1"/>
      <c r="J736" s="1"/>
      <c r="K736" s="1"/>
      <c r="L736" s="1"/>
      <c r="M736" s="1"/>
      <c r="N736" s="1"/>
      <c r="O736" s="1"/>
      <c r="P736" s="1"/>
      <c r="Q736" s="1"/>
      <c r="R736" s="1"/>
      <c r="S736" s="1"/>
      <c r="T736" s="1"/>
      <c r="U736" s="2"/>
      <c r="V736" s="1"/>
      <c r="W736" s="1"/>
      <c r="X736" s="1"/>
      <c r="Y736" s="1"/>
      <c r="Z736" s="1"/>
    </row>
    <row r="737" spans="1:26" ht="24.75" customHeight="1">
      <c r="A737" s="1"/>
      <c r="B737" s="1"/>
      <c r="C737" s="1"/>
      <c r="D737" s="1"/>
      <c r="E737" s="1"/>
      <c r="F737" s="1"/>
      <c r="G737" s="1"/>
      <c r="H737" s="1"/>
      <c r="I737" s="1"/>
      <c r="J737" s="1"/>
      <c r="K737" s="1"/>
      <c r="L737" s="1"/>
      <c r="M737" s="1"/>
      <c r="N737" s="1"/>
      <c r="O737" s="1"/>
      <c r="P737" s="1"/>
      <c r="Q737" s="1"/>
      <c r="R737" s="1"/>
      <c r="S737" s="1"/>
      <c r="T737" s="1"/>
      <c r="U737" s="2"/>
      <c r="V737" s="1"/>
      <c r="W737" s="1"/>
      <c r="X737" s="1"/>
      <c r="Y737" s="1"/>
      <c r="Z737" s="1"/>
    </row>
    <row r="738" spans="1:26" ht="24.75" customHeight="1">
      <c r="A738" s="1"/>
      <c r="B738" s="1"/>
      <c r="C738" s="1"/>
      <c r="D738" s="1"/>
      <c r="E738" s="1"/>
      <c r="F738" s="1"/>
      <c r="G738" s="1"/>
      <c r="H738" s="1"/>
      <c r="I738" s="1"/>
      <c r="J738" s="1"/>
      <c r="K738" s="1"/>
      <c r="L738" s="1"/>
      <c r="M738" s="1"/>
      <c r="N738" s="1"/>
      <c r="O738" s="1"/>
      <c r="P738" s="1"/>
      <c r="Q738" s="1"/>
      <c r="R738" s="1"/>
      <c r="S738" s="1"/>
      <c r="T738" s="1"/>
      <c r="U738" s="2"/>
      <c r="V738" s="1"/>
      <c r="W738" s="1"/>
      <c r="X738" s="1"/>
      <c r="Y738" s="1"/>
      <c r="Z738" s="1"/>
    </row>
    <row r="739" spans="1:26" ht="24.75" customHeight="1">
      <c r="A739" s="1"/>
      <c r="B739" s="1"/>
      <c r="C739" s="1"/>
      <c r="D739" s="1"/>
      <c r="E739" s="1"/>
      <c r="F739" s="1"/>
      <c r="G739" s="1"/>
      <c r="H739" s="1"/>
      <c r="I739" s="1"/>
      <c r="J739" s="1"/>
      <c r="K739" s="1"/>
      <c r="L739" s="1"/>
      <c r="M739" s="1"/>
      <c r="N739" s="1"/>
      <c r="O739" s="1"/>
      <c r="P739" s="1"/>
      <c r="Q739" s="1"/>
      <c r="R739" s="1"/>
      <c r="S739" s="1"/>
      <c r="T739" s="1"/>
      <c r="U739" s="2"/>
      <c r="V739" s="1"/>
      <c r="W739" s="1"/>
      <c r="X739" s="1"/>
      <c r="Y739" s="1"/>
      <c r="Z739" s="1"/>
    </row>
    <row r="740" spans="1:26" ht="24.75" customHeight="1">
      <c r="A740" s="1"/>
      <c r="B740" s="1"/>
      <c r="C740" s="1"/>
      <c r="D740" s="1"/>
      <c r="E740" s="1"/>
      <c r="F740" s="1"/>
      <c r="G740" s="1"/>
      <c r="H740" s="1"/>
      <c r="I740" s="1"/>
      <c r="J740" s="1"/>
      <c r="K740" s="1"/>
      <c r="L740" s="1"/>
      <c r="M740" s="1"/>
      <c r="N740" s="1"/>
      <c r="O740" s="1"/>
      <c r="P740" s="1"/>
      <c r="Q740" s="1"/>
      <c r="R740" s="1"/>
      <c r="S740" s="1"/>
      <c r="T740" s="1"/>
      <c r="U740" s="2"/>
      <c r="V740" s="1"/>
      <c r="W740" s="1"/>
      <c r="X740" s="1"/>
      <c r="Y740" s="1"/>
      <c r="Z740" s="1"/>
    </row>
    <row r="741" spans="1:26" ht="24.75" customHeight="1">
      <c r="A741" s="1"/>
      <c r="B741" s="1"/>
      <c r="C741" s="1"/>
      <c r="D741" s="1"/>
      <c r="E741" s="1"/>
      <c r="F741" s="1"/>
      <c r="G741" s="1"/>
      <c r="H741" s="1"/>
      <c r="I741" s="1"/>
      <c r="J741" s="1"/>
      <c r="K741" s="1"/>
      <c r="L741" s="1"/>
      <c r="M741" s="1"/>
      <c r="N741" s="1"/>
      <c r="O741" s="1"/>
      <c r="P741" s="1"/>
      <c r="Q741" s="1"/>
      <c r="R741" s="1"/>
      <c r="S741" s="1"/>
      <c r="T741" s="1"/>
      <c r="U741" s="2"/>
      <c r="V741" s="1"/>
      <c r="W741" s="1"/>
      <c r="X741" s="1"/>
      <c r="Y741" s="1"/>
      <c r="Z741" s="1"/>
    </row>
    <row r="742" spans="1:26" ht="24.75" customHeight="1">
      <c r="A742" s="1"/>
      <c r="B742" s="1"/>
      <c r="C742" s="1"/>
      <c r="D742" s="1"/>
      <c r="E742" s="1"/>
      <c r="F742" s="1"/>
      <c r="G742" s="1"/>
      <c r="H742" s="1"/>
      <c r="I742" s="1"/>
      <c r="J742" s="1"/>
      <c r="K742" s="1"/>
      <c r="L742" s="1"/>
      <c r="M742" s="1"/>
      <c r="N742" s="1"/>
      <c r="O742" s="1"/>
      <c r="P742" s="1"/>
      <c r="Q742" s="1"/>
      <c r="R742" s="1"/>
      <c r="S742" s="1"/>
      <c r="T742" s="1"/>
      <c r="U742" s="2"/>
      <c r="V742" s="1"/>
      <c r="W742" s="1"/>
      <c r="X742" s="1"/>
      <c r="Y742" s="1"/>
      <c r="Z742" s="1"/>
    </row>
    <row r="743" spans="1:26" ht="24.75" customHeight="1">
      <c r="A743" s="1"/>
      <c r="B743" s="1"/>
      <c r="C743" s="1"/>
      <c r="D743" s="1"/>
      <c r="E743" s="1"/>
      <c r="F743" s="1"/>
      <c r="G743" s="1"/>
      <c r="H743" s="1"/>
      <c r="I743" s="1"/>
      <c r="J743" s="1"/>
      <c r="K743" s="1"/>
      <c r="L743" s="1"/>
      <c r="M743" s="1"/>
      <c r="N743" s="1"/>
      <c r="O743" s="1"/>
      <c r="P743" s="1"/>
      <c r="Q743" s="1"/>
      <c r="R743" s="1"/>
      <c r="S743" s="1"/>
      <c r="T743" s="1"/>
      <c r="U743" s="2"/>
      <c r="V743" s="1"/>
      <c r="W743" s="1"/>
      <c r="X743" s="1"/>
      <c r="Y743" s="1"/>
      <c r="Z743" s="1"/>
    </row>
    <row r="744" spans="1:26" ht="24.75" customHeight="1">
      <c r="A744" s="1"/>
      <c r="B744" s="1"/>
      <c r="C744" s="1"/>
      <c r="D744" s="1"/>
      <c r="E744" s="1"/>
      <c r="F744" s="1"/>
      <c r="G744" s="1"/>
      <c r="H744" s="1"/>
      <c r="I744" s="1"/>
      <c r="J744" s="1"/>
      <c r="K744" s="1"/>
      <c r="L744" s="1"/>
      <c r="M744" s="1"/>
      <c r="N744" s="1"/>
      <c r="O744" s="1"/>
      <c r="P744" s="1"/>
      <c r="Q744" s="1"/>
      <c r="R744" s="1"/>
      <c r="S744" s="1"/>
      <c r="T744" s="1"/>
      <c r="U744" s="2"/>
      <c r="V744" s="1"/>
      <c r="W744" s="1"/>
      <c r="X744" s="1"/>
      <c r="Y744" s="1"/>
      <c r="Z744" s="1"/>
    </row>
    <row r="745" spans="1:26" ht="24.75" customHeight="1">
      <c r="A745" s="1"/>
      <c r="B745" s="1"/>
      <c r="C745" s="1"/>
      <c r="D745" s="1"/>
      <c r="E745" s="1"/>
      <c r="F745" s="1"/>
      <c r="G745" s="1"/>
      <c r="H745" s="1"/>
      <c r="I745" s="1"/>
      <c r="J745" s="1"/>
      <c r="K745" s="1"/>
      <c r="L745" s="1"/>
      <c r="M745" s="1"/>
      <c r="N745" s="1"/>
      <c r="O745" s="1"/>
      <c r="P745" s="1"/>
      <c r="Q745" s="1"/>
      <c r="R745" s="1"/>
      <c r="S745" s="1"/>
      <c r="T745" s="1"/>
      <c r="U745" s="2"/>
      <c r="V745" s="1"/>
      <c r="W745" s="1"/>
      <c r="X745" s="1"/>
      <c r="Y745" s="1"/>
      <c r="Z745" s="1"/>
    </row>
    <row r="746" spans="1:26" ht="24.75" customHeight="1">
      <c r="A746" s="1"/>
      <c r="B746" s="1"/>
      <c r="C746" s="1"/>
      <c r="D746" s="1"/>
      <c r="E746" s="1"/>
      <c r="F746" s="1"/>
      <c r="G746" s="1"/>
      <c r="H746" s="1"/>
      <c r="I746" s="1"/>
      <c r="J746" s="1"/>
      <c r="K746" s="1"/>
      <c r="L746" s="1"/>
      <c r="M746" s="1"/>
      <c r="N746" s="1"/>
      <c r="O746" s="1"/>
      <c r="P746" s="1"/>
      <c r="Q746" s="1"/>
      <c r="R746" s="1"/>
      <c r="S746" s="1"/>
      <c r="T746" s="1"/>
      <c r="U746" s="2"/>
      <c r="V746" s="1"/>
      <c r="W746" s="1"/>
      <c r="X746" s="1"/>
      <c r="Y746" s="1"/>
      <c r="Z746" s="1"/>
    </row>
    <row r="747" spans="1:26" ht="24.75" customHeight="1">
      <c r="A747" s="1"/>
      <c r="B747" s="1"/>
      <c r="C747" s="1"/>
      <c r="D747" s="1"/>
      <c r="E747" s="1"/>
      <c r="F747" s="1"/>
      <c r="G747" s="1"/>
      <c r="H747" s="1"/>
      <c r="I747" s="1"/>
      <c r="J747" s="1"/>
      <c r="K747" s="1"/>
      <c r="L747" s="1"/>
      <c r="M747" s="1"/>
      <c r="N747" s="1"/>
      <c r="O747" s="1"/>
      <c r="P747" s="1"/>
      <c r="Q747" s="1"/>
      <c r="R747" s="1"/>
      <c r="S747" s="1"/>
      <c r="T747" s="1"/>
      <c r="U747" s="2"/>
      <c r="V747" s="1"/>
      <c r="W747" s="1"/>
      <c r="X747" s="1"/>
      <c r="Y747" s="1"/>
      <c r="Z747" s="1"/>
    </row>
    <row r="748" spans="1:26" ht="24.75" customHeight="1">
      <c r="A748" s="1"/>
      <c r="B748" s="1"/>
      <c r="C748" s="1"/>
      <c r="D748" s="1"/>
      <c r="E748" s="1"/>
      <c r="F748" s="1"/>
      <c r="G748" s="1"/>
      <c r="H748" s="1"/>
      <c r="I748" s="1"/>
      <c r="J748" s="1"/>
      <c r="K748" s="1"/>
      <c r="L748" s="1"/>
      <c r="M748" s="1"/>
      <c r="N748" s="1"/>
      <c r="O748" s="1"/>
      <c r="P748" s="1"/>
      <c r="Q748" s="1"/>
      <c r="R748" s="1"/>
      <c r="S748" s="1"/>
      <c r="T748" s="1"/>
      <c r="U748" s="2"/>
      <c r="V748" s="1"/>
      <c r="W748" s="1"/>
      <c r="X748" s="1"/>
      <c r="Y748" s="1"/>
      <c r="Z748" s="1"/>
    </row>
    <row r="749" spans="1:26" ht="24.75" customHeight="1">
      <c r="A749" s="1"/>
      <c r="B749" s="1"/>
      <c r="C749" s="1"/>
      <c r="D749" s="1"/>
      <c r="E749" s="1"/>
      <c r="F749" s="1"/>
      <c r="G749" s="1"/>
      <c r="H749" s="1"/>
      <c r="I749" s="1"/>
      <c r="J749" s="1"/>
      <c r="K749" s="1"/>
      <c r="L749" s="1"/>
      <c r="M749" s="1"/>
      <c r="N749" s="1"/>
      <c r="O749" s="1"/>
      <c r="P749" s="1"/>
      <c r="Q749" s="1"/>
      <c r="R749" s="1"/>
      <c r="S749" s="1"/>
      <c r="T749" s="1"/>
      <c r="U749" s="2"/>
      <c r="V749" s="1"/>
      <c r="W749" s="1"/>
      <c r="X749" s="1"/>
      <c r="Y749" s="1"/>
      <c r="Z749" s="1"/>
    </row>
    <row r="750" spans="1:26" ht="24.75" customHeight="1">
      <c r="A750" s="1"/>
      <c r="B750" s="1"/>
      <c r="C750" s="1"/>
      <c r="D750" s="1"/>
      <c r="E750" s="1"/>
      <c r="F750" s="1"/>
      <c r="G750" s="1"/>
      <c r="H750" s="1"/>
      <c r="I750" s="1"/>
      <c r="J750" s="1"/>
      <c r="K750" s="1"/>
      <c r="L750" s="1"/>
      <c r="M750" s="1"/>
      <c r="N750" s="1"/>
      <c r="O750" s="1"/>
      <c r="P750" s="1"/>
      <c r="Q750" s="1"/>
      <c r="R750" s="1"/>
      <c r="S750" s="1"/>
      <c r="T750" s="1"/>
      <c r="U750" s="2"/>
      <c r="V750" s="1"/>
      <c r="W750" s="1"/>
      <c r="X750" s="1"/>
      <c r="Y750" s="1"/>
      <c r="Z750" s="1"/>
    </row>
    <row r="751" spans="1:26" ht="24.75" customHeight="1">
      <c r="A751" s="1"/>
      <c r="B751" s="1"/>
      <c r="C751" s="1"/>
      <c r="D751" s="1"/>
      <c r="E751" s="1"/>
      <c r="F751" s="1"/>
      <c r="G751" s="1"/>
      <c r="H751" s="1"/>
      <c r="I751" s="1"/>
      <c r="J751" s="1"/>
      <c r="K751" s="1"/>
      <c r="L751" s="1"/>
      <c r="M751" s="1"/>
      <c r="N751" s="1"/>
      <c r="O751" s="1"/>
      <c r="P751" s="1"/>
      <c r="Q751" s="1"/>
      <c r="R751" s="1"/>
      <c r="S751" s="1"/>
      <c r="T751" s="1"/>
      <c r="U751" s="2"/>
      <c r="V751" s="1"/>
      <c r="W751" s="1"/>
      <c r="X751" s="1"/>
      <c r="Y751" s="1"/>
      <c r="Z751" s="1"/>
    </row>
    <row r="752" spans="1:26" ht="24.75" customHeight="1">
      <c r="A752" s="1"/>
      <c r="B752" s="1"/>
      <c r="C752" s="1"/>
      <c r="D752" s="1"/>
      <c r="E752" s="1"/>
      <c r="F752" s="1"/>
      <c r="G752" s="1"/>
      <c r="H752" s="1"/>
      <c r="I752" s="1"/>
      <c r="J752" s="1"/>
      <c r="K752" s="1"/>
      <c r="L752" s="1"/>
      <c r="M752" s="1"/>
      <c r="N752" s="1"/>
      <c r="O752" s="1"/>
      <c r="P752" s="1"/>
      <c r="Q752" s="1"/>
      <c r="R752" s="1"/>
      <c r="S752" s="1"/>
      <c r="T752" s="1"/>
      <c r="U752" s="2"/>
      <c r="V752" s="1"/>
      <c r="W752" s="1"/>
      <c r="X752" s="1"/>
      <c r="Y752" s="1"/>
      <c r="Z752" s="1"/>
    </row>
    <row r="753" spans="1:26" ht="24.75" customHeight="1">
      <c r="A753" s="1"/>
      <c r="B753" s="1"/>
      <c r="C753" s="1"/>
      <c r="D753" s="1"/>
      <c r="E753" s="1"/>
      <c r="F753" s="1"/>
      <c r="G753" s="1"/>
      <c r="H753" s="1"/>
      <c r="I753" s="1"/>
      <c r="J753" s="1"/>
      <c r="K753" s="1"/>
      <c r="L753" s="1"/>
      <c r="M753" s="1"/>
      <c r="N753" s="1"/>
      <c r="O753" s="1"/>
      <c r="P753" s="1"/>
      <c r="Q753" s="1"/>
      <c r="R753" s="1"/>
      <c r="S753" s="1"/>
      <c r="T753" s="1"/>
      <c r="U753" s="2"/>
      <c r="V753" s="1"/>
      <c r="W753" s="1"/>
      <c r="X753" s="1"/>
      <c r="Y753" s="1"/>
      <c r="Z753" s="1"/>
    </row>
    <row r="754" spans="1:26" ht="24.75" customHeight="1">
      <c r="A754" s="1"/>
      <c r="B754" s="1"/>
      <c r="C754" s="1"/>
      <c r="D754" s="1"/>
      <c r="E754" s="1"/>
      <c r="F754" s="1"/>
      <c r="G754" s="1"/>
      <c r="H754" s="1"/>
      <c r="I754" s="1"/>
      <c r="J754" s="1"/>
      <c r="K754" s="1"/>
      <c r="L754" s="1"/>
      <c r="M754" s="1"/>
      <c r="N754" s="1"/>
      <c r="O754" s="1"/>
      <c r="P754" s="1"/>
      <c r="Q754" s="1"/>
      <c r="R754" s="1"/>
      <c r="S754" s="1"/>
      <c r="T754" s="1"/>
      <c r="U754" s="2"/>
      <c r="V754" s="1"/>
      <c r="W754" s="1"/>
      <c r="X754" s="1"/>
      <c r="Y754" s="1"/>
      <c r="Z754" s="1"/>
    </row>
    <row r="755" spans="1:26" ht="24.75" customHeight="1">
      <c r="A755" s="1"/>
      <c r="B755" s="1"/>
      <c r="C755" s="1"/>
      <c r="D755" s="1"/>
      <c r="E755" s="1"/>
      <c r="F755" s="1"/>
      <c r="G755" s="1"/>
      <c r="H755" s="1"/>
      <c r="I755" s="1"/>
      <c r="J755" s="1"/>
      <c r="K755" s="1"/>
      <c r="L755" s="1"/>
      <c r="M755" s="1"/>
      <c r="N755" s="1"/>
      <c r="O755" s="1"/>
      <c r="P755" s="1"/>
      <c r="Q755" s="1"/>
      <c r="R755" s="1"/>
      <c r="S755" s="1"/>
      <c r="T755" s="1"/>
      <c r="U755" s="2"/>
      <c r="V755" s="1"/>
      <c r="W755" s="1"/>
      <c r="X755" s="1"/>
      <c r="Y755" s="1"/>
      <c r="Z755" s="1"/>
    </row>
    <row r="756" spans="1:26" ht="24.75" customHeight="1">
      <c r="A756" s="1"/>
      <c r="B756" s="1"/>
      <c r="C756" s="1"/>
      <c r="D756" s="1"/>
      <c r="E756" s="1"/>
      <c r="F756" s="1"/>
      <c r="G756" s="1"/>
      <c r="H756" s="1"/>
      <c r="I756" s="1"/>
      <c r="J756" s="1"/>
      <c r="K756" s="1"/>
      <c r="L756" s="1"/>
      <c r="M756" s="1"/>
      <c r="N756" s="1"/>
      <c r="O756" s="1"/>
      <c r="P756" s="1"/>
      <c r="Q756" s="1"/>
      <c r="R756" s="1"/>
      <c r="S756" s="1"/>
      <c r="T756" s="1"/>
      <c r="U756" s="2"/>
      <c r="V756" s="1"/>
      <c r="W756" s="1"/>
      <c r="X756" s="1"/>
      <c r="Y756" s="1"/>
      <c r="Z756" s="1"/>
    </row>
    <row r="757" spans="1:26" ht="24.75" customHeight="1">
      <c r="A757" s="1"/>
      <c r="B757" s="1"/>
      <c r="C757" s="1"/>
      <c r="D757" s="1"/>
      <c r="E757" s="1"/>
      <c r="F757" s="1"/>
      <c r="G757" s="1"/>
      <c r="H757" s="1"/>
      <c r="I757" s="1"/>
      <c r="J757" s="1"/>
      <c r="K757" s="1"/>
      <c r="L757" s="1"/>
      <c r="M757" s="1"/>
      <c r="N757" s="1"/>
      <c r="O757" s="1"/>
      <c r="P757" s="1"/>
      <c r="Q757" s="1"/>
      <c r="R757" s="1"/>
      <c r="S757" s="1"/>
      <c r="T757" s="1"/>
      <c r="U757" s="2"/>
      <c r="V757" s="1"/>
      <c r="W757" s="1"/>
      <c r="X757" s="1"/>
      <c r="Y757" s="1"/>
      <c r="Z757" s="1"/>
    </row>
    <row r="758" spans="1:26" ht="24.75" customHeight="1">
      <c r="A758" s="1"/>
      <c r="B758" s="1"/>
      <c r="C758" s="1"/>
      <c r="D758" s="1"/>
      <c r="E758" s="1"/>
      <c r="F758" s="1"/>
      <c r="G758" s="1"/>
      <c r="H758" s="1"/>
      <c r="I758" s="1"/>
      <c r="J758" s="1"/>
      <c r="K758" s="1"/>
      <c r="L758" s="1"/>
      <c r="M758" s="1"/>
      <c r="N758" s="1"/>
      <c r="O758" s="1"/>
      <c r="P758" s="1"/>
      <c r="Q758" s="1"/>
      <c r="R758" s="1"/>
      <c r="S758" s="1"/>
      <c r="T758" s="1"/>
      <c r="U758" s="2"/>
      <c r="V758" s="1"/>
      <c r="W758" s="1"/>
      <c r="X758" s="1"/>
      <c r="Y758" s="1"/>
      <c r="Z758" s="1"/>
    </row>
    <row r="759" spans="1:26" ht="24.75" customHeight="1">
      <c r="A759" s="1"/>
      <c r="B759" s="1"/>
      <c r="C759" s="1"/>
      <c r="D759" s="1"/>
      <c r="E759" s="1"/>
      <c r="F759" s="1"/>
      <c r="G759" s="1"/>
      <c r="H759" s="1"/>
      <c r="I759" s="1"/>
      <c r="J759" s="1"/>
      <c r="K759" s="1"/>
      <c r="L759" s="1"/>
      <c r="M759" s="1"/>
      <c r="N759" s="1"/>
      <c r="O759" s="1"/>
      <c r="P759" s="1"/>
      <c r="Q759" s="1"/>
      <c r="R759" s="1"/>
      <c r="S759" s="1"/>
      <c r="T759" s="1"/>
      <c r="U759" s="2"/>
      <c r="V759" s="1"/>
      <c r="W759" s="1"/>
      <c r="X759" s="1"/>
      <c r="Y759" s="1"/>
      <c r="Z759" s="1"/>
    </row>
    <row r="760" spans="1:26" ht="24.75" customHeight="1">
      <c r="A760" s="1"/>
      <c r="B760" s="1"/>
      <c r="C760" s="1"/>
      <c r="D760" s="1"/>
      <c r="E760" s="1"/>
      <c r="F760" s="1"/>
      <c r="G760" s="1"/>
      <c r="H760" s="1"/>
      <c r="I760" s="1"/>
      <c r="J760" s="1"/>
      <c r="K760" s="1"/>
      <c r="L760" s="1"/>
      <c r="M760" s="1"/>
      <c r="N760" s="1"/>
      <c r="O760" s="1"/>
      <c r="P760" s="1"/>
      <c r="Q760" s="1"/>
      <c r="R760" s="1"/>
      <c r="S760" s="1"/>
      <c r="T760" s="1"/>
      <c r="U760" s="2"/>
      <c r="V760" s="1"/>
      <c r="W760" s="1"/>
      <c r="X760" s="1"/>
      <c r="Y760" s="1"/>
      <c r="Z760" s="1"/>
    </row>
    <row r="761" spans="1:26" ht="24.75" customHeight="1">
      <c r="A761" s="1"/>
      <c r="B761" s="1"/>
      <c r="C761" s="1"/>
      <c r="D761" s="1"/>
      <c r="E761" s="1"/>
      <c r="F761" s="1"/>
      <c r="G761" s="1"/>
      <c r="H761" s="1"/>
      <c r="I761" s="1"/>
      <c r="J761" s="1"/>
      <c r="K761" s="1"/>
      <c r="L761" s="1"/>
      <c r="M761" s="1"/>
      <c r="N761" s="1"/>
      <c r="O761" s="1"/>
      <c r="P761" s="1"/>
      <c r="Q761" s="1"/>
      <c r="R761" s="1"/>
      <c r="S761" s="1"/>
      <c r="T761" s="1"/>
      <c r="U761" s="2"/>
      <c r="V761" s="1"/>
      <c r="W761" s="1"/>
      <c r="X761" s="1"/>
      <c r="Y761" s="1"/>
      <c r="Z761" s="1"/>
    </row>
    <row r="762" spans="1:26" ht="24.75" customHeight="1">
      <c r="A762" s="1"/>
      <c r="B762" s="1"/>
      <c r="C762" s="1"/>
      <c r="D762" s="1"/>
      <c r="E762" s="1"/>
      <c r="F762" s="1"/>
      <c r="G762" s="1"/>
      <c r="H762" s="1"/>
      <c r="I762" s="1"/>
      <c r="J762" s="1"/>
      <c r="K762" s="1"/>
      <c r="L762" s="1"/>
      <c r="M762" s="1"/>
      <c r="N762" s="1"/>
      <c r="O762" s="1"/>
      <c r="P762" s="1"/>
      <c r="Q762" s="1"/>
      <c r="R762" s="1"/>
      <c r="S762" s="1"/>
      <c r="T762" s="1"/>
      <c r="U762" s="2"/>
      <c r="V762" s="1"/>
      <c r="W762" s="1"/>
      <c r="X762" s="1"/>
      <c r="Y762" s="1"/>
      <c r="Z762" s="1"/>
    </row>
    <row r="763" spans="1:26" ht="24.75" customHeight="1">
      <c r="A763" s="1"/>
      <c r="B763" s="1"/>
      <c r="C763" s="1"/>
      <c r="D763" s="1"/>
      <c r="E763" s="1"/>
      <c r="F763" s="1"/>
      <c r="G763" s="1"/>
      <c r="H763" s="1"/>
      <c r="I763" s="1"/>
      <c r="J763" s="1"/>
      <c r="K763" s="1"/>
      <c r="L763" s="1"/>
      <c r="M763" s="1"/>
      <c r="N763" s="1"/>
      <c r="O763" s="1"/>
      <c r="P763" s="1"/>
      <c r="Q763" s="1"/>
      <c r="R763" s="1"/>
      <c r="S763" s="1"/>
      <c r="T763" s="1"/>
      <c r="U763" s="2"/>
      <c r="V763" s="1"/>
      <c r="W763" s="1"/>
      <c r="X763" s="1"/>
      <c r="Y763" s="1"/>
      <c r="Z763" s="1"/>
    </row>
    <row r="764" spans="1:26" ht="24.75" customHeight="1">
      <c r="A764" s="1"/>
      <c r="B764" s="1"/>
      <c r="C764" s="1"/>
      <c r="D764" s="1"/>
      <c r="E764" s="1"/>
      <c r="F764" s="1"/>
      <c r="G764" s="1"/>
      <c r="H764" s="1"/>
      <c r="I764" s="1"/>
      <c r="J764" s="1"/>
      <c r="K764" s="1"/>
      <c r="L764" s="1"/>
      <c r="M764" s="1"/>
      <c r="N764" s="1"/>
      <c r="O764" s="1"/>
      <c r="P764" s="1"/>
      <c r="Q764" s="1"/>
      <c r="R764" s="1"/>
      <c r="S764" s="1"/>
      <c r="T764" s="1"/>
      <c r="U764" s="2"/>
      <c r="V764" s="1"/>
      <c r="W764" s="1"/>
      <c r="X764" s="1"/>
      <c r="Y764" s="1"/>
      <c r="Z764" s="1"/>
    </row>
    <row r="765" spans="1:26" ht="24.75" customHeight="1">
      <c r="A765" s="1"/>
      <c r="B765" s="1"/>
      <c r="C765" s="1"/>
      <c r="D765" s="1"/>
      <c r="E765" s="1"/>
      <c r="F765" s="1"/>
      <c r="G765" s="1"/>
      <c r="H765" s="1"/>
      <c r="I765" s="1"/>
      <c r="J765" s="1"/>
      <c r="K765" s="1"/>
      <c r="L765" s="1"/>
      <c r="M765" s="1"/>
      <c r="N765" s="1"/>
      <c r="O765" s="1"/>
      <c r="P765" s="1"/>
      <c r="Q765" s="1"/>
      <c r="R765" s="1"/>
      <c r="S765" s="1"/>
      <c r="T765" s="1"/>
      <c r="U765" s="2"/>
      <c r="V765" s="1"/>
      <c r="W765" s="1"/>
      <c r="X765" s="1"/>
      <c r="Y765" s="1"/>
      <c r="Z765" s="1"/>
    </row>
    <row r="766" spans="1:26" ht="24.75" customHeight="1">
      <c r="A766" s="1"/>
      <c r="B766" s="1"/>
      <c r="C766" s="1"/>
      <c r="D766" s="1"/>
      <c r="E766" s="1"/>
      <c r="F766" s="1"/>
      <c r="G766" s="1"/>
      <c r="H766" s="1"/>
      <c r="I766" s="1"/>
      <c r="J766" s="1"/>
      <c r="K766" s="1"/>
      <c r="L766" s="1"/>
      <c r="M766" s="1"/>
      <c r="N766" s="1"/>
      <c r="O766" s="1"/>
      <c r="P766" s="1"/>
      <c r="Q766" s="1"/>
      <c r="R766" s="1"/>
      <c r="S766" s="1"/>
      <c r="T766" s="1"/>
      <c r="U766" s="2"/>
      <c r="V766" s="1"/>
      <c r="W766" s="1"/>
      <c r="X766" s="1"/>
      <c r="Y766" s="1"/>
      <c r="Z766" s="1"/>
    </row>
    <row r="767" spans="1:26" ht="24.75" customHeight="1">
      <c r="A767" s="1"/>
      <c r="B767" s="1"/>
      <c r="C767" s="1"/>
      <c r="D767" s="1"/>
      <c r="E767" s="1"/>
      <c r="F767" s="1"/>
      <c r="G767" s="1"/>
      <c r="H767" s="1"/>
      <c r="I767" s="1"/>
      <c r="J767" s="1"/>
      <c r="K767" s="1"/>
      <c r="L767" s="1"/>
      <c r="M767" s="1"/>
      <c r="N767" s="1"/>
      <c r="O767" s="1"/>
      <c r="P767" s="1"/>
      <c r="Q767" s="1"/>
      <c r="R767" s="1"/>
      <c r="S767" s="1"/>
      <c r="T767" s="1"/>
      <c r="U767" s="2"/>
      <c r="V767" s="1"/>
      <c r="W767" s="1"/>
      <c r="X767" s="1"/>
      <c r="Y767" s="1"/>
      <c r="Z767" s="1"/>
    </row>
    <row r="768" spans="1:26" ht="24.75" customHeight="1">
      <c r="A768" s="1"/>
      <c r="B768" s="1"/>
      <c r="C768" s="1"/>
      <c r="D768" s="1"/>
      <c r="E768" s="1"/>
      <c r="F768" s="1"/>
      <c r="G768" s="1"/>
      <c r="H768" s="1"/>
      <c r="I768" s="1"/>
      <c r="J768" s="1"/>
      <c r="K768" s="1"/>
      <c r="L768" s="1"/>
      <c r="M768" s="1"/>
      <c r="N768" s="1"/>
      <c r="O768" s="1"/>
      <c r="P768" s="1"/>
      <c r="Q768" s="1"/>
      <c r="R768" s="1"/>
      <c r="S768" s="1"/>
      <c r="T768" s="1"/>
      <c r="U768" s="2"/>
      <c r="V768" s="1"/>
      <c r="W768" s="1"/>
      <c r="X768" s="1"/>
      <c r="Y768" s="1"/>
      <c r="Z768" s="1"/>
    </row>
    <row r="769" spans="1:26" ht="24.75" customHeight="1">
      <c r="A769" s="1"/>
      <c r="B769" s="1"/>
      <c r="C769" s="1"/>
      <c r="D769" s="1"/>
      <c r="E769" s="1"/>
      <c r="F769" s="1"/>
      <c r="G769" s="1"/>
      <c r="H769" s="1"/>
      <c r="I769" s="1"/>
      <c r="J769" s="1"/>
      <c r="K769" s="1"/>
      <c r="L769" s="1"/>
      <c r="M769" s="1"/>
      <c r="N769" s="1"/>
      <c r="O769" s="1"/>
      <c r="P769" s="1"/>
      <c r="Q769" s="1"/>
      <c r="R769" s="1"/>
      <c r="S769" s="1"/>
      <c r="T769" s="1"/>
      <c r="U769" s="2"/>
      <c r="V769" s="1"/>
      <c r="W769" s="1"/>
      <c r="X769" s="1"/>
      <c r="Y769" s="1"/>
      <c r="Z769" s="1"/>
    </row>
    <row r="770" spans="1:26" ht="24.75" customHeight="1">
      <c r="A770" s="1"/>
      <c r="B770" s="1"/>
      <c r="C770" s="1"/>
      <c r="D770" s="1"/>
      <c r="E770" s="1"/>
      <c r="F770" s="1"/>
      <c r="G770" s="1"/>
      <c r="H770" s="1"/>
      <c r="I770" s="1"/>
      <c r="J770" s="1"/>
      <c r="K770" s="1"/>
      <c r="L770" s="1"/>
      <c r="M770" s="1"/>
      <c r="N770" s="1"/>
      <c r="O770" s="1"/>
      <c r="P770" s="1"/>
      <c r="Q770" s="1"/>
      <c r="R770" s="1"/>
      <c r="S770" s="1"/>
      <c r="T770" s="1"/>
      <c r="U770" s="2"/>
      <c r="V770" s="1"/>
      <c r="W770" s="1"/>
      <c r="X770" s="1"/>
      <c r="Y770" s="1"/>
      <c r="Z770" s="1"/>
    </row>
    <row r="771" spans="1:26" ht="24.75" customHeight="1">
      <c r="A771" s="1"/>
      <c r="B771" s="1"/>
      <c r="C771" s="1"/>
      <c r="D771" s="1"/>
      <c r="E771" s="1"/>
      <c r="F771" s="1"/>
      <c r="G771" s="1"/>
      <c r="H771" s="1"/>
      <c r="I771" s="1"/>
      <c r="J771" s="1"/>
      <c r="K771" s="1"/>
      <c r="L771" s="1"/>
      <c r="M771" s="1"/>
      <c r="N771" s="1"/>
      <c r="O771" s="1"/>
      <c r="P771" s="1"/>
      <c r="Q771" s="1"/>
      <c r="R771" s="1"/>
      <c r="S771" s="1"/>
      <c r="T771" s="1"/>
      <c r="U771" s="2"/>
      <c r="V771" s="1"/>
      <c r="W771" s="1"/>
      <c r="X771" s="1"/>
      <c r="Y771" s="1"/>
      <c r="Z771" s="1"/>
    </row>
    <row r="772" spans="1:26" ht="24.75" customHeight="1">
      <c r="A772" s="1"/>
      <c r="B772" s="1"/>
      <c r="C772" s="1"/>
      <c r="D772" s="1"/>
      <c r="E772" s="1"/>
      <c r="F772" s="1"/>
      <c r="G772" s="1"/>
      <c r="H772" s="1"/>
      <c r="I772" s="1"/>
      <c r="J772" s="1"/>
      <c r="K772" s="1"/>
      <c r="L772" s="1"/>
      <c r="M772" s="1"/>
      <c r="N772" s="1"/>
      <c r="O772" s="1"/>
      <c r="P772" s="1"/>
      <c r="Q772" s="1"/>
      <c r="R772" s="1"/>
      <c r="S772" s="1"/>
      <c r="T772" s="1"/>
      <c r="U772" s="2"/>
      <c r="V772" s="1"/>
      <c r="W772" s="1"/>
      <c r="X772" s="1"/>
      <c r="Y772" s="1"/>
      <c r="Z772" s="1"/>
    </row>
    <row r="773" spans="1:26" ht="24.75" customHeight="1">
      <c r="A773" s="1"/>
      <c r="B773" s="1"/>
      <c r="C773" s="1"/>
      <c r="D773" s="1"/>
      <c r="E773" s="1"/>
      <c r="F773" s="1"/>
      <c r="G773" s="1"/>
      <c r="H773" s="1"/>
      <c r="I773" s="1"/>
      <c r="J773" s="1"/>
      <c r="K773" s="1"/>
      <c r="L773" s="1"/>
      <c r="M773" s="1"/>
      <c r="N773" s="1"/>
      <c r="O773" s="1"/>
      <c r="P773" s="1"/>
      <c r="Q773" s="1"/>
      <c r="R773" s="1"/>
      <c r="S773" s="1"/>
      <c r="T773" s="1"/>
      <c r="U773" s="2"/>
      <c r="V773" s="1"/>
      <c r="W773" s="1"/>
      <c r="X773" s="1"/>
      <c r="Y773" s="1"/>
      <c r="Z773" s="1"/>
    </row>
    <row r="774" spans="1:26" ht="24.75" customHeight="1">
      <c r="A774" s="1"/>
      <c r="B774" s="1"/>
      <c r="C774" s="1"/>
      <c r="D774" s="1"/>
      <c r="E774" s="1"/>
      <c r="F774" s="1"/>
      <c r="G774" s="1"/>
      <c r="H774" s="1"/>
      <c r="I774" s="1"/>
      <c r="J774" s="1"/>
      <c r="K774" s="1"/>
      <c r="L774" s="1"/>
      <c r="M774" s="1"/>
      <c r="N774" s="1"/>
      <c r="O774" s="1"/>
      <c r="P774" s="1"/>
      <c r="Q774" s="1"/>
      <c r="R774" s="1"/>
      <c r="S774" s="1"/>
      <c r="T774" s="1"/>
      <c r="U774" s="2"/>
      <c r="V774" s="1"/>
      <c r="W774" s="1"/>
      <c r="X774" s="1"/>
      <c r="Y774" s="1"/>
      <c r="Z774" s="1"/>
    </row>
    <row r="775" spans="1:26" ht="24.75" customHeight="1">
      <c r="A775" s="1"/>
      <c r="B775" s="1"/>
      <c r="C775" s="1"/>
      <c r="D775" s="1"/>
      <c r="E775" s="1"/>
      <c r="F775" s="1"/>
      <c r="G775" s="1"/>
      <c r="H775" s="1"/>
      <c r="I775" s="1"/>
      <c r="J775" s="1"/>
      <c r="K775" s="1"/>
      <c r="L775" s="1"/>
      <c r="M775" s="1"/>
      <c r="N775" s="1"/>
      <c r="O775" s="1"/>
      <c r="P775" s="1"/>
      <c r="Q775" s="1"/>
      <c r="R775" s="1"/>
      <c r="S775" s="1"/>
      <c r="T775" s="1"/>
      <c r="U775" s="2"/>
      <c r="V775" s="1"/>
      <c r="W775" s="1"/>
      <c r="X775" s="1"/>
      <c r="Y775" s="1"/>
      <c r="Z775" s="1"/>
    </row>
    <row r="776" spans="1:26" ht="24.75" customHeight="1">
      <c r="A776" s="1"/>
      <c r="B776" s="1"/>
      <c r="C776" s="1"/>
      <c r="D776" s="1"/>
      <c r="E776" s="1"/>
      <c r="F776" s="1"/>
      <c r="G776" s="1"/>
      <c r="H776" s="1"/>
      <c r="I776" s="1"/>
      <c r="J776" s="1"/>
      <c r="K776" s="1"/>
      <c r="L776" s="1"/>
      <c r="M776" s="1"/>
      <c r="N776" s="1"/>
      <c r="O776" s="1"/>
      <c r="P776" s="1"/>
      <c r="Q776" s="1"/>
      <c r="R776" s="1"/>
      <c r="S776" s="1"/>
      <c r="T776" s="1"/>
      <c r="U776" s="2"/>
      <c r="V776" s="1"/>
      <c r="W776" s="1"/>
      <c r="X776" s="1"/>
      <c r="Y776" s="1"/>
      <c r="Z776" s="1"/>
    </row>
    <row r="777" spans="1:26" ht="24.75" customHeight="1">
      <c r="A777" s="1"/>
      <c r="B777" s="1"/>
      <c r="C777" s="1"/>
      <c r="D777" s="1"/>
      <c r="E777" s="1"/>
      <c r="F777" s="1"/>
      <c r="G777" s="1"/>
      <c r="H777" s="1"/>
      <c r="I777" s="1"/>
      <c r="J777" s="1"/>
      <c r="K777" s="1"/>
      <c r="L777" s="1"/>
      <c r="M777" s="1"/>
      <c r="N777" s="1"/>
      <c r="O777" s="1"/>
      <c r="P777" s="1"/>
      <c r="Q777" s="1"/>
      <c r="R777" s="1"/>
      <c r="S777" s="1"/>
      <c r="T777" s="1"/>
      <c r="U777" s="2"/>
      <c r="V777" s="1"/>
      <c r="W777" s="1"/>
      <c r="X777" s="1"/>
      <c r="Y777" s="1"/>
      <c r="Z777" s="1"/>
    </row>
    <row r="778" spans="1:26" ht="24.75" customHeight="1">
      <c r="A778" s="1"/>
      <c r="B778" s="1"/>
      <c r="C778" s="1"/>
      <c r="D778" s="1"/>
      <c r="E778" s="1"/>
      <c r="F778" s="1"/>
      <c r="G778" s="1"/>
      <c r="H778" s="1"/>
      <c r="I778" s="1"/>
      <c r="J778" s="1"/>
      <c r="K778" s="1"/>
      <c r="L778" s="1"/>
      <c r="M778" s="1"/>
      <c r="N778" s="1"/>
      <c r="O778" s="1"/>
      <c r="P778" s="1"/>
      <c r="Q778" s="1"/>
      <c r="R778" s="1"/>
      <c r="S778" s="1"/>
      <c r="T778" s="1"/>
      <c r="U778" s="2"/>
      <c r="V778" s="1"/>
      <c r="W778" s="1"/>
      <c r="X778" s="1"/>
      <c r="Y778" s="1"/>
      <c r="Z778" s="1"/>
    </row>
    <row r="779" spans="1:26" ht="24.75" customHeight="1">
      <c r="A779" s="1"/>
      <c r="B779" s="1"/>
      <c r="C779" s="1"/>
      <c r="D779" s="1"/>
      <c r="E779" s="1"/>
      <c r="F779" s="1"/>
      <c r="G779" s="1"/>
      <c r="H779" s="1"/>
      <c r="I779" s="1"/>
      <c r="J779" s="1"/>
      <c r="K779" s="1"/>
      <c r="L779" s="1"/>
      <c r="M779" s="1"/>
      <c r="N779" s="1"/>
      <c r="O779" s="1"/>
      <c r="P779" s="1"/>
      <c r="Q779" s="1"/>
      <c r="R779" s="1"/>
      <c r="S779" s="1"/>
      <c r="T779" s="1"/>
      <c r="U779" s="2"/>
      <c r="V779" s="1"/>
      <c r="W779" s="1"/>
      <c r="X779" s="1"/>
      <c r="Y779" s="1"/>
      <c r="Z779" s="1"/>
    </row>
    <row r="780" spans="1:26" ht="24.75" customHeight="1">
      <c r="A780" s="1"/>
      <c r="B780" s="1"/>
      <c r="C780" s="1"/>
      <c r="D780" s="1"/>
      <c r="E780" s="1"/>
      <c r="F780" s="1"/>
      <c r="G780" s="1"/>
      <c r="H780" s="1"/>
      <c r="I780" s="1"/>
      <c r="J780" s="1"/>
      <c r="K780" s="1"/>
      <c r="L780" s="1"/>
      <c r="M780" s="1"/>
      <c r="N780" s="1"/>
      <c r="O780" s="1"/>
      <c r="P780" s="1"/>
      <c r="Q780" s="1"/>
      <c r="R780" s="1"/>
      <c r="S780" s="1"/>
      <c r="T780" s="1"/>
      <c r="U780" s="2"/>
      <c r="V780" s="1"/>
      <c r="W780" s="1"/>
      <c r="X780" s="1"/>
      <c r="Y780" s="1"/>
      <c r="Z780" s="1"/>
    </row>
    <row r="781" spans="1:26" ht="24.75" customHeight="1">
      <c r="A781" s="1"/>
      <c r="B781" s="1"/>
      <c r="C781" s="1"/>
      <c r="D781" s="1"/>
      <c r="E781" s="1"/>
      <c r="F781" s="1"/>
      <c r="G781" s="1"/>
      <c r="H781" s="1"/>
      <c r="I781" s="1"/>
      <c r="J781" s="1"/>
      <c r="K781" s="1"/>
      <c r="L781" s="1"/>
      <c r="M781" s="1"/>
      <c r="N781" s="1"/>
      <c r="O781" s="1"/>
      <c r="P781" s="1"/>
      <c r="Q781" s="1"/>
      <c r="R781" s="1"/>
      <c r="S781" s="1"/>
      <c r="T781" s="1"/>
      <c r="U781" s="2"/>
      <c r="V781" s="1"/>
      <c r="W781" s="1"/>
      <c r="X781" s="1"/>
      <c r="Y781" s="1"/>
      <c r="Z781" s="1"/>
    </row>
    <row r="782" spans="1:26" ht="24.75" customHeight="1">
      <c r="A782" s="1"/>
      <c r="B782" s="1"/>
      <c r="C782" s="1"/>
      <c r="D782" s="1"/>
      <c r="E782" s="1"/>
      <c r="F782" s="1"/>
      <c r="G782" s="1"/>
      <c r="H782" s="1"/>
      <c r="I782" s="1"/>
      <c r="J782" s="1"/>
      <c r="K782" s="1"/>
      <c r="L782" s="1"/>
      <c r="M782" s="1"/>
      <c r="N782" s="1"/>
      <c r="O782" s="1"/>
      <c r="P782" s="1"/>
      <c r="Q782" s="1"/>
      <c r="R782" s="1"/>
      <c r="S782" s="1"/>
      <c r="T782" s="1"/>
      <c r="U782" s="2"/>
      <c r="V782" s="1"/>
      <c r="W782" s="1"/>
      <c r="X782" s="1"/>
      <c r="Y782" s="1"/>
      <c r="Z782" s="1"/>
    </row>
    <row r="783" spans="1:26" ht="24.75" customHeight="1">
      <c r="A783" s="1"/>
      <c r="B783" s="1"/>
      <c r="C783" s="1"/>
      <c r="D783" s="1"/>
      <c r="E783" s="1"/>
      <c r="F783" s="1"/>
      <c r="G783" s="1"/>
      <c r="H783" s="1"/>
      <c r="I783" s="1"/>
      <c r="J783" s="1"/>
      <c r="K783" s="1"/>
      <c r="L783" s="1"/>
      <c r="M783" s="1"/>
      <c r="N783" s="1"/>
      <c r="O783" s="1"/>
      <c r="P783" s="1"/>
      <c r="Q783" s="1"/>
      <c r="R783" s="1"/>
      <c r="S783" s="1"/>
      <c r="T783" s="1"/>
      <c r="U783" s="2"/>
      <c r="V783" s="1"/>
      <c r="W783" s="1"/>
      <c r="X783" s="1"/>
      <c r="Y783" s="1"/>
      <c r="Z783" s="1"/>
    </row>
    <row r="784" spans="1:26" ht="24.75" customHeight="1">
      <c r="A784" s="1"/>
      <c r="B784" s="1"/>
      <c r="C784" s="1"/>
      <c r="D784" s="1"/>
      <c r="E784" s="1"/>
      <c r="F784" s="1"/>
      <c r="G784" s="1"/>
      <c r="H784" s="1"/>
      <c r="I784" s="1"/>
      <c r="J784" s="1"/>
      <c r="K784" s="1"/>
      <c r="L784" s="1"/>
      <c r="M784" s="1"/>
      <c r="N784" s="1"/>
      <c r="O784" s="1"/>
      <c r="P784" s="1"/>
      <c r="Q784" s="1"/>
      <c r="R784" s="1"/>
      <c r="S784" s="1"/>
      <c r="T784" s="1"/>
      <c r="U784" s="2"/>
      <c r="V784" s="1"/>
      <c r="W784" s="1"/>
      <c r="X784" s="1"/>
      <c r="Y784" s="1"/>
      <c r="Z784" s="1"/>
    </row>
    <row r="785" spans="1:26" ht="24.75" customHeight="1">
      <c r="A785" s="1"/>
      <c r="B785" s="1"/>
      <c r="C785" s="1"/>
      <c r="D785" s="1"/>
      <c r="E785" s="1"/>
      <c r="F785" s="1"/>
      <c r="G785" s="1"/>
      <c r="H785" s="1"/>
      <c r="I785" s="1"/>
      <c r="J785" s="1"/>
      <c r="K785" s="1"/>
      <c r="L785" s="1"/>
      <c r="M785" s="1"/>
      <c r="N785" s="1"/>
      <c r="O785" s="1"/>
      <c r="P785" s="1"/>
      <c r="Q785" s="1"/>
      <c r="R785" s="1"/>
      <c r="S785" s="1"/>
      <c r="T785" s="1"/>
      <c r="U785" s="2"/>
      <c r="V785" s="1"/>
      <c r="W785" s="1"/>
      <c r="X785" s="1"/>
      <c r="Y785" s="1"/>
      <c r="Z785" s="1"/>
    </row>
    <row r="786" spans="1:26" ht="24.75" customHeight="1">
      <c r="A786" s="1"/>
      <c r="B786" s="1"/>
      <c r="C786" s="1"/>
      <c r="D786" s="1"/>
      <c r="E786" s="1"/>
      <c r="F786" s="1"/>
      <c r="G786" s="1"/>
      <c r="H786" s="1"/>
      <c r="I786" s="1"/>
      <c r="J786" s="1"/>
      <c r="K786" s="1"/>
      <c r="L786" s="1"/>
      <c r="M786" s="1"/>
      <c r="N786" s="1"/>
      <c r="O786" s="1"/>
      <c r="P786" s="1"/>
      <c r="Q786" s="1"/>
      <c r="R786" s="1"/>
      <c r="S786" s="1"/>
      <c r="T786" s="1"/>
      <c r="U786" s="2"/>
      <c r="V786" s="1"/>
      <c r="W786" s="1"/>
      <c r="X786" s="1"/>
      <c r="Y786" s="1"/>
      <c r="Z786" s="1"/>
    </row>
    <row r="787" spans="1:26" ht="24.75" customHeight="1">
      <c r="A787" s="1"/>
      <c r="B787" s="1"/>
      <c r="C787" s="1"/>
      <c r="D787" s="1"/>
      <c r="E787" s="1"/>
      <c r="F787" s="1"/>
      <c r="G787" s="1"/>
      <c r="H787" s="1"/>
      <c r="I787" s="1"/>
      <c r="J787" s="1"/>
      <c r="K787" s="1"/>
      <c r="L787" s="1"/>
      <c r="M787" s="1"/>
      <c r="N787" s="1"/>
      <c r="O787" s="1"/>
      <c r="P787" s="1"/>
      <c r="Q787" s="1"/>
      <c r="R787" s="1"/>
      <c r="S787" s="1"/>
      <c r="T787" s="1"/>
      <c r="U787" s="2"/>
      <c r="V787" s="1"/>
      <c r="W787" s="1"/>
      <c r="X787" s="1"/>
      <c r="Y787" s="1"/>
      <c r="Z787" s="1"/>
    </row>
    <row r="788" spans="1:26" ht="24.75" customHeight="1">
      <c r="A788" s="1"/>
      <c r="B788" s="1"/>
      <c r="C788" s="1"/>
      <c r="D788" s="1"/>
      <c r="E788" s="1"/>
      <c r="F788" s="1"/>
      <c r="G788" s="1"/>
      <c r="H788" s="1"/>
      <c r="I788" s="1"/>
      <c r="J788" s="1"/>
      <c r="K788" s="1"/>
      <c r="L788" s="1"/>
      <c r="M788" s="1"/>
      <c r="N788" s="1"/>
      <c r="O788" s="1"/>
      <c r="P788" s="1"/>
      <c r="Q788" s="1"/>
      <c r="R788" s="1"/>
      <c r="S788" s="1"/>
      <c r="T788" s="1"/>
      <c r="U788" s="2"/>
      <c r="V788" s="1"/>
      <c r="W788" s="1"/>
      <c r="X788" s="1"/>
      <c r="Y788" s="1"/>
      <c r="Z788" s="1"/>
    </row>
    <row r="789" spans="1:26" ht="24.75" customHeight="1">
      <c r="A789" s="1"/>
      <c r="B789" s="1"/>
      <c r="C789" s="1"/>
      <c r="D789" s="1"/>
      <c r="E789" s="1"/>
      <c r="F789" s="1"/>
      <c r="G789" s="1"/>
      <c r="H789" s="1"/>
      <c r="I789" s="1"/>
      <c r="J789" s="1"/>
      <c r="K789" s="1"/>
      <c r="L789" s="1"/>
      <c r="M789" s="1"/>
      <c r="N789" s="1"/>
      <c r="O789" s="1"/>
      <c r="P789" s="1"/>
      <c r="Q789" s="1"/>
      <c r="R789" s="1"/>
      <c r="S789" s="1"/>
      <c r="T789" s="1"/>
      <c r="U789" s="2"/>
      <c r="V789" s="1"/>
      <c r="W789" s="1"/>
      <c r="X789" s="1"/>
      <c r="Y789" s="1"/>
      <c r="Z789" s="1"/>
    </row>
    <row r="790" spans="1:26" ht="24.75" customHeight="1">
      <c r="A790" s="1"/>
      <c r="B790" s="1"/>
      <c r="C790" s="1"/>
      <c r="D790" s="1"/>
      <c r="E790" s="1"/>
      <c r="F790" s="1"/>
      <c r="G790" s="1"/>
      <c r="H790" s="1"/>
      <c r="I790" s="1"/>
      <c r="J790" s="1"/>
      <c r="K790" s="1"/>
      <c r="L790" s="1"/>
      <c r="M790" s="1"/>
      <c r="N790" s="1"/>
      <c r="O790" s="1"/>
      <c r="P790" s="1"/>
      <c r="Q790" s="1"/>
      <c r="R790" s="1"/>
      <c r="S790" s="1"/>
      <c r="T790" s="1"/>
      <c r="U790" s="2"/>
      <c r="V790" s="1"/>
      <c r="W790" s="1"/>
      <c r="X790" s="1"/>
      <c r="Y790" s="1"/>
      <c r="Z790" s="1"/>
    </row>
    <row r="791" spans="1:26" ht="24.75" customHeight="1">
      <c r="A791" s="1"/>
      <c r="B791" s="1"/>
      <c r="C791" s="1"/>
      <c r="D791" s="1"/>
      <c r="E791" s="1"/>
      <c r="F791" s="1"/>
      <c r="G791" s="1"/>
      <c r="H791" s="1"/>
      <c r="I791" s="1"/>
      <c r="J791" s="1"/>
      <c r="K791" s="1"/>
      <c r="L791" s="1"/>
      <c r="M791" s="1"/>
      <c r="N791" s="1"/>
      <c r="O791" s="1"/>
      <c r="P791" s="1"/>
      <c r="Q791" s="1"/>
      <c r="R791" s="1"/>
      <c r="S791" s="1"/>
      <c r="T791" s="1"/>
      <c r="U791" s="2"/>
      <c r="V791" s="1"/>
      <c r="W791" s="1"/>
      <c r="X791" s="1"/>
      <c r="Y791" s="1"/>
      <c r="Z791" s="1"/>
    </row>
    <row r="792" spans="1:26" ht="24.75" customHeight="1">
      <c r="A792" s="1"/>
      <c r="B792" s="1"/>
      <c r="C792" s="1"/>
      <c r="D792" s="1"/>
      <c r="E792" s="1"/>
      <c r="F792" s="1"/>
      <c r="G792" s="1"/>
      <c r="H792" s="1"/>
      <c r="I792" s="1"/>
      <c r="J792" s="1"/>
      <c r="K792" s="1"/>
      <c r="L792" s="1"/>
      <c r="M792" s="1"/>
      <c r="N792" s="1"/>
      <c r="O792" s="1"/>
      <c r="P792" s="1"/>
      <c r="Q792" s="1"/>
      <c r="R792" s="1"/>
      <c r="S792" s="1"/>
      <c r="T792" s="1"/>
      <c r="U792" s="2"/>
      <c r="V792" s="1"/>
      <c r="W792" s="1"/>
      <c r="X792" s="1"/>
      <c r="Y792" s="1"/>
      <c r="Z792" s="1"/>
    </row>
    <row r="793" spans="1:26" ht="24.75" customHeight="1">
      <c r="A793" s="1"/>
      <c r="B793" s="1"/>
      <c r="C793" s="1"/>
      <c r="D793" s="1"/>
      <c r="E793" s="1"/>
      <c r="F793" s="1"/>
      <c r="G793" s="1"/>
      <c r="H793" s="1"/>
      <c r="I793" s="1"/>
      <c r="J793" s="1"/>
      <c r="K793" s="1"/>
      <c r="L793" s="1"/>
      <c r="M793" s="1"/>
      <c r="N793" s="1"/>
      <c r="O793" s="1"/>
      <c r="P793" s="1"/>
      <c r="Q793" s="1"/>
      <c r="R793" s="1"/>
      <c r="S793" s="1"/>
      <c r="T793" s="1"/>
      <c r="U793" s="2"/>
      <c r="V793" s="1"/>
      <c r="W793" s="1"/>
      <c r="X793" s="1"/>
      <c r="Y793" s="1"/>
      <c r="Z793" s="1"/>
    </row>
    <row r="794" spans="1:26" ht="24.75" customHeight="1">
      <c r="A794" s="1"/>
      <c r="B794" s="1"/>
      <c r="C794" s="1"/>
      <c r="D794" s="1"/>
      <c r="E794" s="1"/>
      <c r="F794" s="1"/>
      <c r="G794" s="1"/>
      <c r="H794" s="1"/>
      <c r="I794" s="1"/>
      <c r="J794" s="1"/>
      <c r="K794" s="1"/>
      <c r="L794" s="1"/>
      <c r="M794" s="1"/>
      <c r="N794" s="1"/>
      <c r="O794" s="1"/>
      <c r="P794" s="1"/>
      <c r="Q794" s="1"/>
      <c r="R794" s="1"/>
      <c r="S794" s="1"/>
      <c r="T794" s="1"/>
      <c r="U794" s="2"/>
      <c r="V794" s="1"/>
      <c r="W794" s="1"/>
      <c r="X794" s="1"/>
      <c r="Y794" s="1"/>
      <c r="Z794" s="1"/>
    </row>
    <row r="795" spans="1:26" ht="24.75" customHeight="1">
      <c r="A795" s="1"/>
      <c r="B795" s="1"/>
      <c r="C795" s="1"/>
      <c r="D795" s="1"/>
      <c r="E795" s="1"/>
      <c r="F795" s="1"/>
      <c r="G795" s="1"/>
      <c r="H795" s="1"/>
      <c r="I795" s="1"/>
      <c r="J795" s="1"/>
      <c r="K795" s="1"/>
      <c r="L795" s="1"/>
      <c r="M795" s="1"/>
      <c r="N795" s="1"/>
      <c r="O795" s="1"/>
      <c r="P795" s="1"/>
      <c r="Q795" s="1"/>
      <c r="R795" s="1"/>
      <c r="S795" s="1"/>
      <c r="T795" s="1"/>
      <c r="U795" s="2"/>
      <c r="V795" s="1"/>
      <c r="W795" s="1"/>
      <c r="X795" s="1"/>
      <c r="Y795" s="1"/>
      <c r="Z795" s="1"/>
    </row>
    <row r="796" spans="1:26" ht="24.75" customHeight="1">
      <c r="A796" s="1"/>
      <c r="B796" s="1"/>
      <c r="C796" s="1"/>
      <c r="D796" s="1"/>
      <c r="E796" s="1"/>
      <c r="F796" s="1"/>
      <c r="G796" s="1"/>
      <c r="H796" s="1"/>
      <c r="I796" s="1"/>
      <c r="J796" s="1"/>
      <c r="K796" s="1"/>
      <c r="L796" s="1"/>
      <c r="M796" s="1"/>
      <c r="N796" s="1"/>
      <c r="O796" s="1"/>
      <c r="P796" s="1"/>
      <c r="Q796" s="1"/>
      <c r="R796" s="1"/>
      <c r="S796" s="1"/>
      <c r="T796" s="1"/>
      <c r="U796" s="2"/>
      <c r="V796" s="1"/>
      <c r="W796" s="1"/>
      <c r="X796" s="1"/>
      <c r="Y796" s="1"/>
      <c r="Z796" s="1"/>
    </row>
    <row r="797" spans="1:26" ht="24.75" customHeight="1">
      <c r="A797" s="1"/>
      <c r="B797" s="1"/>
      <c r="C797" s="1"/>
      <c r="D797" s="1"/>
      <c r="E797" s="1"/>
      <c r="F797" s="1"/>
      <c r="G797" s="1"/>
      <c r="H797" s="1"/>
      <c r="I797" s="1"/>
      <c r="J797" s="1"/>
      <c r="K797" s="1"/>
      <c r="L797" s="1"/>
      <c r="M797" s="1"/>
      <c r="N797" s="1"/>
      <c r="O797" s="1"/>
      <c r="P797" s="1"/>
      <c r="Q797" s="1"/>
      <c r="R797" s="1"/>
      <c r="S797" s="1"/>
      <c r="T797" s="1"/>
      <c r="U797" s="2"/>
      <c r="V797" s="1"/>
      <c r="W797" s="1"/>
      <c r="X797" s="1"/>
      <c r="Y797" s="1"/>
      <c r="Z797" s="1"/>
    </row>
    <row r="798" spans="1:26" ht="24.75" customHeight="1">
      <c r="A798" s="1"/>
      <c r="B798" s="1"/>
      <c r="C798" s="1"/>
      <c r="D798" s="1"/>
      <c r="E798" s="1"/>
      <c r="F798" s="1"/>
      <c r="G798" s="1"/>
      <c r="H798" s="1"/>
      <c r="I798" s="1"/>
      <c r="J798" s="1"/>
      <c r="K798" s="1"/>
      <c r="L798" s="1"/>
      <c r="M798" s="1"/>
      <c r="N798" s="1"/>
      <c r="O798" s="1"/>
      <c r="P798" s="1"/>
      <c r="Q798" s="1"/>
      <c r="R798" s="1"/>
      <c r="S798" s="1"/>
      <c r="T798" s="1"/>
      <c r="U798" s="2"/>
      <c r="V798" s="1"/>
      <c r="W798" s="1"/>
      <c r="X798" s="1"/>
      <c r="Y798" s="1"/>
      <c r="Z798" s="1"/>
    </row>
    <row r="799" spans="1:26" ht="24.75" customHeight="1">
      <c r="A799" s="1"/>
      <c r="B799" s="1"/>
      <c r="C799" s="1"/>
      <c r="D799" s="1"/>
      <c r="E799" s="1"/>
      <c r="F799" s="1"/>
      <c r="G799" s="1"/>
      <c r="H799" s="1"/>
      <c r="I799" s="1"/>
      <c r="J799" s="1"/>
      <c r="K799" s="1"/>
      <c r="L799" s="1"/>
      <c r="M799" s="1"/>
      <c r="N799" s="1"/>
      <c r="O799" s="1"/>
      <c r="P799" s="1"/>
      <c r="Q799" s="1"/>
      <c r="R799" s="1"/>
      <c r="S799" s="1"/>
      <c r="T799" s="1"/>
      <c r="U799" s="2"/>
      <c r="V799" s="1"/>
      <c r="W799" s="1"/>
      <c r="X799" s="1"/>
      <c r="Y799" s="1"/>
      <c r="Z799" s="1"/>
    </row>
    <row r="800" spans="1:26" ht="24.75" customHeight="1">
      <c r="A800" s="1"/>
      <c r="B800" s="1"/>
      <c r="C800" s="1"/>
      <c r="D800" s="1"/>
      <c r="E800" s="1"/>
      <c r="F800" s="1"/>
      <c r="G800" s="1"/>
      <c r="H800" s="1"/>
      <c r="I800" s="1"/>
      <c r="J800" s="1"/>
      <c r="K800" s="1"/>
      <c r="L800" s="1"/>
      <c r="M800" s="1"/>
      <c r="N800" s="1"/>
      <c r="O800" s="1"/>
      <c r="P800" s="1"/>
      <c r="Q800" s="1"/>
      <c r="R800" s="1"/>
      <c r="S800" s="1"/>
      <c r="T800" s="1"/>
      <c r="U800" s="2"/>
      <c r="V800" s="1"/>
      <c r="W800" s="1"/>
      <c r="X800" s="1"/>
      <c r="Y800" s="1"/>
      <c r="Z800" s="1"/>
    </row>
    <row r="801" spans="1:26" ht="24.75" customHeight="1">
      <c r="A801" s="1"/>
      <c r="B801" s="1"/>
      <c r="C801" s="1"/>
      <c r="D801" s="1"/>
      <c r="E801" s="1"/>
      <c r="F801" s="1"/>
      <c r="G801" s="1"/>
      <c r="H801" s="1"/>
      <c r="I801" s="1"/>
      <c r="J801" s="1"/>
      <c r="K801" s="1"/>
      <c r="L801" s="1"/>
      <c r="M801" s="1"/>
      <c r="N801" s="1"/>
      <c r="O801" s="1"/>
      <c r="P801" s="1"/>
      <c r="Q801" s="1"/>
      <c r="R801" s="1"/>
      <c r="S801" s="1"/>
      <c r="T801" s="1"/>
      <c r="U801" s="2"/>
      <c r="V801" s="1"/>
      <c r="W801" s="1"/>
      <c r="X801" s="1"/>
      <c r="Y801" s="1"/>
      <c r="Z801" s="1"/>
    </row>
    <row r="802" spans="1:26" ht="24.75" customHeight="1">
      <c r="A802" s="1"/>
      <c r="B802" s="1"/>
      <c r="C802" s="1"/>
      <c r="D802" s="1"/>
      <c r="E802" s="1"/>
      <c r="F802" s="1"/>
      <c r="G802" s="1"/>
      <c r="H802" s="1"/>
      <c r="I802" s="1"/>
      <c r="J802" s="1"/>
      <c r="K802" s="1"/>
      <c r="L802" s="1"/>
      <c r="M802" s="1"/>
      <c r="N802" s="1"/>
      <c r="O802" s="1"/>
      <c r="P802" s="1"/>
      <c r="Q802" s="1"/>
      <c r="R802" s="1"/>
      <c r="S802" s="1"/>
      <c r="T802" s="1"/>
      <c r="U802" s="2"/>
      <c r="V802" s="1"/>
      <c r="W802" s="1"/>
      <c r="X802" s="1"/>
      <c r="Y802" s="1"/>
      <c r="Z802" s="1"/>
    </row>
    <row r="803" spans="1:26" ht="24.75" customHeight="1">
      <c r="A803" s="1"/>
      <c r="B803" s="1"/>
      <c r="C803" s="1"/>
      <c r="D803" s="1"/>
      <c r="E803" s="1"/>
      <c r="F803" s="1"/>
      <c r="G803" s="1"/>
      <c r="H803" s="1"/>
      <c r="I803" s="1"/>
      <c r="J803" s="1"/>
      <c r="K803" s="1"/>
      <c r="L803" s="1"/>
      <c r="M803" s="1"/>
      <c r="N803" s="1"/>
      <c r="O803" s="1"/>
      <c r="P803" s="1"/>
      <c r="Q803" s="1"/>
      <c r="R803" s="1"/>
      <c r="S803" s="1"/>
      <c r="T803" s="1"/>
      <c r="U803" s="2"/>
      <c r="V803" s="1"/>
      <c r="W803" s="1"/>
      <c r="X803" s="1"/>
      <c r="Y803" s="1"/>
      <c r="Z803" s="1"/>
    </row>
    <row r="804" spans="1:26" ht="24.75" customHeight="1">
      <c r="A804" s="1"/>
      <c r="B804" s="1"/>
      <c r="C804" s="1"/>
      <c r="D804" s="1"/>
      <c r="E804" s="1"/>
      <c r="F804" s="1"/>
      <c r="G804" s="1"/>
      <c r="H804" s="1"/>
      <c r="I804" s="1"/>
      <c r="J804" s="1"/>
      <c r="K804" s="1"/>
      <c r="L804" s="1"/>
      <c r="M804" s="1"/>
      <c r="N804" s="1"/>
      <c r="O804" s="1"/>
      <c r="P804" s="1"/>
      <c r="Q804" s="1"/>
      <c r="R804" s="1"/>
      <c r="S804" s="1"/>
      <c r="T804" s="1"/>
      <c r="U804" s="2"/>
      <c r="V804" s="1"/>
      <c r="W804" s="1"/>
      <c r="X804" s="1"/>
      <c r="Y804" s="1"/>
      <c r="Z804" s="1"/>
    </row>
    <row r="805" spans="1:26" ht="24.75" customHeight="1">
      <c r="A805" s="1"/>
      <c r="B805" s="1"/>
      <c r="C805" s="1"/>
      <c r="D805" s="1"/>
      <c r="E805" s="1"/>
      <c r="F805" s="1"/>
      <c r="G805" s="1"/>
      <c r="H805" s="1"/>
      <c r="I805" s="1"/>
      <c r="J805" s="1"/>
      <c r="K805" s="1"/>
      <c r="L805" s="1"/>
      <c r="M805" s="1"/>
      <c r="N805" s="1"/>
      <c r="O805" s="1"/>
      <c r="P805" s="1"/>
      <c r="Q805" s="1"/>
      <c r="R805" s="1"/>
      <c r="S805" s="1"/>
      <c r="T805" s="1"/>
      <c r="U805" s="2"/>
      <c r="V805" s="1"/>
      <c r="W805" s="1"/>
      <c r="X805" s="1"/>
      <c r="Y805" s="1"/>
      <c r="Z805" s="1"/>
    </row>
    <row r="806" spans="1:26" ht="24.75" customHeight="1">
      <c r="A806" s="1"/>
      <c r="B806" s="1"/>
      <c r="C806" s="1"/>
      <c r="D806" s="1"/>
      <c r="E806" s="1"/>
      <c r="F806" s="1"/>
      <c r="G806" s="1"/>
      <c r="H806" s="1"/>
      <c r="I806" s="1"/>
      <c r="J806" s="1"/>
      <c r="K806" s="1"/>
      <c r="L806" s="1"/>
      <c r="M806" s="1"/>
      <c r="N806" s="1"/>
      <c r="O806" s="1"/>
      <c r="P806" s="1"/>
      <c r="Q806" s="1"/>
      <c r="R806" s="1"/>
      <c r="S806" s="1"/>
      <c r="T806" s="1"/>
      <c r="U806" s="2"/>
      <c r="V806" s="1"/>
      <c r="W806" s="1"/>
      <c r="X806" s="1"/>
      <c r="Y806" s="1"/>
      <c r="Z806" s="1"/>
    </row>
    <row r="807" spans="1:26" ht="24.75" customHeight="1">
      <c r="A807" s="1"/>
      <c r="B807" s="1"/>
      <c r="C807" s="1"/>
      <c r="D807" s="1"/>
      <c r="E807" s="1"/>
      <c r="F807" s="1"/>
      <c r="G807" s="1"/>
      <c r="H807" s="1"/>
      <c r="I807" s="1"/>
      <c r="J807" s="1"/>
      <c r="K807" s="1"/>
      <c r="L807" s="1"/>
      <c r="M807" s="1"/>
      <c r="N807" s="1"/>
      <c r="O807" s="1"/>
      <c r="P807" s="1"/>
      <c r="Q807" s="1"/>
      <c r="R807" s="1"/>
      <c r="S807" s="1"/>
      <c r="T807" s="1"/>
      <c r="U807" s="2"/>
      <c r="V807" s="1"/>
      <c r="W807" s="1"/>
      <c r="X807" s="1"/>
      <c r="Y807" s="1"/>
      <c r="Z807" s="1"/>
    </row>
    <row r="808" spans="1:26" ht="24.75" customHeight="1">
      <c r="A808" s="1"/>
      <c r="B808" s="1"/>
      <c r="C808" s="1"/>
      <c r="D808" s="1"/>
      <c r="E808" s="1"/>
      <c r="F808" s="1"/>
      <c r="G808" s="1"/>
      <c r="H808" s="1"/>
      <c r="I808" s="1"/>
      <c r="J808" s="1"/>
      <c r="K808" s="1"/>
      <c r="L808" s="1"/>
      <c r="M808" s="1"/>
      <c r="N808" s="1"/>
      <c r="O808" s="1"/>
      <c r="P808" s="1"/>
      <c r="Q808" s="1"/>
      <c r="R808" s="1"/>
      <c r="S808" s="1"/>
      <c r="T808" s="1"/>
      <c r="U808" s="2"/>
      <c r="V808" s="1"/>
      <c r="W808" s="1"/>
      <c r="X808" s="1"/>
      <c r="Y808" s="1"/>
      <c r="Z808" s="1"/>
    </row>
    <row r="809" spans="1:26" ht="24.75" customHeight="1">
      <c r="A809" s="1"/>
      <c r="B809" s="1"/>
      <c r="C809" s="1"/>
      <c r="D809" s="1"/>
      <c r="E809" s="1"/>
      <c r="F809" s="1"/>
      <c r="G809" s="1"/>
      <c r="H809" s="1"/>
      <c r="I809" s="1"/>
      <c r="J809" s="1"/>
      <c r="K809" s="1"/>
      <c r="L809" s="1"/>
      <c r="M809" s="1"/>
      <c r="N809" s="1"/>
      <c r="O809" s="1"/>
      <c r="P809" s="1"/>
      <c r="Q809" s="1"/>
      <c r="R809" s="1"/>
      <c r="S809" s="1"/>
      <c r="T809" s="1"/>
      <c r="U809" s="2"/>
      <c r="V809" s="1"/>
      <c r="W809" s="1"/>
      <c r="X809" s="1"/>
      <c r="Y809" s="1"/>
      <c r="Z809" s="1"/>
    </row>
    <row r="810" spans="1:26" ht="24.75" customHeight="1">
      <c r="A810" s="1"/>
      <c r="B810" s="1"/>
      <c r="C810" s="1"/>
      <c r="D810" s="1"/>
      <c r="E810" s="1"/>
      <c r="F810" s="1"/>
      <c r="G810" s="1"/>
      <c r="H810" s="1"/>
      <c r="I810" s="1"/>
      <c r="J810" s="1"/>
      <c r="K810" s="1"/>
      <c r="L810" s="1"/>
      <c r="M810" s="1"/>
      <c r="N810" s="1"/>
      <c r="O810" s="1"/>
      <c r="P810" s="1"/>
      <c r="Q810" s="1"/>
      <c r="R810" s="1"/>
      <c r="S810" s="1"/>
      <c r="T810" s="1"/>
      <c r="U810" s="2"/>
      <c r="V810" s="1"/>
      <c r="W810" s="1"/>
      <c r="X810" s="1"/>
      <c r="Y810" s="1"/>
      <c r="Z810" s="1"/>
    </row>
    <row r="811" spans="1:26" ht="24.75" customHeight="1">
      <c r="A811" s="1"/>
      <c r="B811" s="1"/>
      <c r="C811" s="1"/>
      <c r="D811" s="1"/>
      <c r="E811" s="1"/>
      <c r="F811" s="1"/>
      <c r="G811" s="1"/>
      <c r="H811" s="1"/>
      <c r="I811" s="1"/>
      <c r="J811" s="1"/>
      <c r="K811" s="1"/>
      <c r="L811" s="1"/>
      <c r="M811" s="1"/>
      <c r="N811" s="1"/>
      <c r="O811" s="1"/>
      <c r="P811" s="1"/>
      <c r="Q811" s="1"/>
      <c r="R811" s="1"/>
      <c r="S811" s="1"/>
      <c r="T811" s="1"/>
      <c r="U811" s="2"/>
      <c r="V811" s="1"/>
      <c r="W811" s="1"/>
      <c r="X811" s="1"/>
      <c r="Y811" s="1"/>
      <c r="Z811" s="1"/>
    </row>
    <row r="812" spans="1:26" ht="24.75" customHeight="1">
      <c r="A812" s="1"/>
      <c r="B812" s="1"/>
      <c r="C812" s="1"/>
      <c r="D812" s="1"/>
      <c r="E812" s="1"/>
      <c r="F812" s="1"/>
      <c r="G812" s="1"/>
      <c r="H812" s="1"/>
      <c r="I812" s="1"/>
      <c r="J812" s="1"/>
      <c r="K812" s="1"/>
      <c r="L812" s="1"/>
      <c r="M812" s="1"/>
      <c r="N812" s="1"/>
      <c r="O812" s="1"/>
      <c r="P812" s="1"/>
      <c r="Q812" s="1"/>
      <c r="R812" s="1"/>
      <c r="S812" s="1"/>
      <c r="T812" s="1"/>
      <c r="U812" s="2"/>
      <c r="V812" s="1"/>
      <c r="W812" s="1"/>
      <c r="X812" s="1"/>
      <c r="Y812" s="1"/>
      <c r="Z812" s="1"/>
    </row>
    <row r="813" spans="1:26" ht="24.75" customHeight="1">
      <c r="A813" s="1"/>
      <c r="B813" s="1"/>
      <c r="C813" s="1"/>
      <c r="D813" s="1"/>
      <c r="E813" s="1"/>
      <c r="F813" s="1"/>
      <c r="G813" s="1"/>
      <c r="H813" s="1"/>
      <c r="I813" s="1"/>
      <c r="J813" s="1"/>
      <c r="K813" s="1"/>
      <c r="L813" s="1"/>
      <c r="M813" s="1"/>
      <c r="N813" s="1"/>
      <c r="O813" s="1"/>
      <c r="P813" s="1"/>
      <c r="Q813" s="1"/>
      <c r="R813" s="1"/>
      <c r="S813" s="1"/>
      <c r="T813" s="1"/>
      <c r="U813" s="2"/>
      <c r="V813" s="1"/>
      <c r="W813" s="1"/>
      <c r="X813" s="1"/>
      <c r="Y813" s="1"/>
      <c r="Z813" s="1"/>
    </row>
    <row r="814" spans="1:26" ht="24.75" customHeight="1">
      <c r="A814" s="1"/>
      <c r="B814" s="1"/>
      <c r="C814" s="1"/>
      <c r="D814" s="1"/>
      <c r="E814" s="1"/>
      <c r="F814" s="1"/>
      <c r="G814" s="1"/>
      <c r="H814" s="1"/>
      <c r="I814" s="1"/>
      <c r="J814" s="1"/>
      <c r="K814" s="1"/>
      <c r="L814" s="1"/>
      <c r="M814" s="1"/>
      <c r="N814" s="1"/>
      <c r="O814" s="1"/>
      <c r="P814" s="1"/>
      <c r="Q814" s="1"/>
      <c r="R814" s="1"/>
      <c r="S814" s="1"/>
      <c r="T814" s="1"/>
      <c r="U814" s="2"/>
      <c r="V814" s="1"/>
      <c r="W814" s="1"/>
      <c r="X814" s="1"/>
      <c r="Y814" s="1"/>
      <c r="Z814" s="1"/>
    </row>
    <row r="815" spans="1:26" ht="24.75" customHeight="1">
      <c r="A815" s="1"/>
      <c r="B815" s="1"/>
      <c r="C815" s="1"/>
      <c r="D815" s="1"/>
      <c r="E815" s="1"/>
      <c r="F815" s="1"/>
      <c r="G815" s="1"/>
      <c r="H815" s="1"/>
      <c r="I815" s="1"/>
      <c r="J815" s="1"/>
      <c r="K815" s="1"/>
      <c r="L815" s="1"/>
      <c r="M815" s="1"/>
      <c r="N815" s="1"/>
      <c r="O815" s="1"/>
      <c r="P815" s="1"/>
      <c r="Q815" s="1"/>
      <c r="R815" s="1"/>
      <c r="S815" s="1"/>
      <c r="T815" s="1"/>
      <c r="U815" s="2"/>
      <c r="V815" s="1"/>
      <c r="W815" s="1"/>
      <c r="X815" s="1"/>
      <c r="Y815" s="1"/>
      <c r="Z815" s="1"/>
    </row>
    <row r="816" spans="1:26" ht="24.75" customHeight="1">
      <c r="A816" s="1"/>
      <c r="B816" s="1"/>
      <c r="C816" s="1"/>
      <c r="D816" s="1"/>
      <c r="E816" s="1"/>
      <c r="F816" s="1"/>
      <c r="G816" s="1"/>
      <c r="H816" s="1"/>
      <c r="I816" s="1"/>
      <c r="J816" s="1"/>
      <c r="K816" s="1"/>
      <c r="L816" s="1"/>
      <c r="M816" s="1"/>
      <c r="N816" s="1"/>
      <c r="O816" s="1"/>
      <c r="P816" s="1"/>
      <c r="Q816" s="1"/>
      <c r="R816" s="1"/>
      <c r="S816" s="1"/>
      <c r="T816" s="1"/>
      <c r="U816" s="2"/>
      <c r="V816" s="1"/>
      <c r="W816" s="1"/>
      <c r="X816" s="1"/>
      <c r="Y816" s="1"/>
      <c r="Z816" s="1"/>
    </row>
    <row r="817" spans="1:26" ht="24.75" customHeight="1">
      <c r="A817" s="1"/>
      <c r="B817" s="1"/>
      <c r="C817" s="1"/>
      <c r="D817" s="1"/>
      <c r="E817" s="1"/>
      <c r="F817" s="1"/>
      <c r="G817" s="1"/>
      <c r="H817" s="1"/>
      <c r="I817" s="1"/>
      <c r="J817" s="1"/>
      <c r="K817" s="1"/>
      <c r="L817" s="1"/>
      <c r="M817" s="1"/>
      <c r="N817" s="1"/>
      <c r="O817" s="1"/>
      <c r="P817" s="1"/>
      <c r="Q817" s="1"/>
      <c r="R817" s="1"/>
      <c r="S817" s="1"/>
      <c r="T817" s="1"/>
      <c r="U817" s="2"/>
      <c r="V817" s="1"/>
      <c r="W817" s="1"/>
      <c r="X817" s="1"/>
      <c r="Y817" s="1"/>
      <c r="Z817" s="1"/>
    </row>
    <row r="818" spans="1:26" ht="24.75" customHeight="1">
      <c r="A818" s="1"/>
      <c r="B818" s="1"/>
      <c r="C818" s="1"/>
      <c r="D818" s="1"/>
      <c r="E818" s="1"/>
      <c r="F818" s="1"/>
      <c r="G818" s="1"/>
      <c r="H818" s="1"/>
      <c r="I818" s="1"/>
      <c r="J818" s="1"/>
      <c r="K818" s="1"/>
      <c r="L818" s="1"/>
      <c r="M818" s="1"/>
      <c r="N818" s="1"/>
      <c r="O818" s="1"/>
      <c r="P818" s="1"/>
      <c r="Q818" s="1"/>
      <c r="R818" s="1"/>
      <c r="S818" s="1"/>
      <c r="T818" s="1"/>
      <c r="U818" s="2"/>
      <c r="V818" s="1"/>
      <c r="W818" s="1"/>
      <c r="X818" s="1"/>
      <c r="Y818" s="1"/>
      <c r="Z818" s="1"/>
    </row>
    <row r="819" spans="1:26" ht="24.75" customHeight="1">
      <c r="A819" s="1"/>
      <c r="B819" s="1"/>
      <c r="C819" s="1"/>
      <c r="D819" s="1"/>
      <c r="E819" s="1"/>
      <c r="F819" s="1"/>
      <c r="G819" s="1"/>
      <c r="H819" s="1"/>
      <c r="I819" s="1"/>
      <c r="J819" s="1"/>
      <c r="K819" s="1"/>
      <c r="L819" s="1"/>
      <c r="M819" s="1"/>
      <c r="N819" s="1"/>
      <c r="O819" s="1"/>
      <c r="P819" s="1"/>
      <c r="Q819" s="1"/>
      <c r="R819" s="1"/>
      <c r="S819" s="1"/>
      <c r="T819" s="1"/>
      <c r="U819" s="2"/>
      <c r="V819" s="1"/>
      <c r="W819" s="1"/>
      <c r="X819" s="1"/>
      <c r="Y819" s="1"/>
      <c r="Z819" s="1"/>
    </row>
    <row r="820" spans="1:26" ht="24.75" customHeight="1">
      <c r="A820" s="1"/>
      <c r="B820" s="1"/>
      <c r="C820" s="1"/>
      <c r="D820" s="1"/>
      <c r="E820" s="1"/>
      <c r="F820" s="1"/>
      <c r="G820" s="1"/>
      <c r="H820" s="1"/>
      <c r="I820" s="1"/>
      <c r="J820" s="1"/>
      <c r="K820" s="1"/>
      <c r="L820" s="1"/>
      <c r="M820" s="1"/>
      <c r="N820" s="1"/>
      <c r="O820" s="1"/>
      <c r="P820" s="1"/>
      <c r="Q820" s="1"/>
      <c r="R820" s="1"/>
      <c r="S820" s="1"/>
      <c r="T820" s="1"/>
      <c r="U820" s="2"/>
      <c r="V820" s="1"/>
      <c r="W820" s="1"/>
      <c r="X820" s="1"/>
      <c r="Y820" s="1"/>
      <c r="Z820" s="1"/>
    </row>
    <row r="821" spans="1:26" ht="24.75" customHeight="1">
      <c r="A821" s="1"/>
      <c r="B821" s="1"/>
      <c r="C821" s="1"/>
      <c r="D821" s="1"/>
      <c r="E821" s="1"/>
      <c r="F821" s="1"/>
      <c r="G821" s="1"/>
      <c r="H821" s="1"/>
      <c r="I821" s="1"/>
      <c r="J821" s="1"/>
      <c r="K821" s="1"/>
      <c r="L821" s="1"/>
      <c r="M821" s="1"/>
      <c r="N821" s="1"/>
      <c r="O821" s="1"/>
      <c r="P821" s="1"/>
      <c r="Q821" s="1"/>
      <c r="R821" s="1"/>
      <c r="S821" s="1"/>
      <c r="T821" s="1"/>
      <c r="U821" s="2"/>
      <c r="V821" s="1"/>
      <c r="W821" s="1"/>
      <c r="X821" s="1"/>
      <c r="Y821" s="1"/>
      <c r="Z821" s="1"/>
    </row>
    <row r="822" spans="1:26" ht="24.75" customHeight="1">
      <c r="A822" s="1"/>
      <c r="B822" s="1"/>
      <c r="C822" s="1"/>
      <c r="D822" s="1"/>
      <c r="E822" s="1"/>
      <c r="F822" s="1"/>
      <c r="G822" s="1"/>
      <c r="H822" s="1"/>
      <c r="I822" s="1"/>
      <c r="J822" s="1"/>
      <c r="K822" s="1"/>
      <c r="L822" s="1"/>
      <c r="M822" s="1"/>
      <c r="N822" s="1"/>
      <c r="O822" s="1"/>
      <c r="P822" s="1"/>
      <c r="Q822" s="1"/>
      <c r="R822" s="1"/>
      <c r="S822" s="1"/>
      <c r="T822" s="1"/>
      <c r="U822" s="2"/>
      <c r="V822" s="1"/>
      <c r="W822" s="1"/>
      <c r="X822" s="1"/>
      <c r="Y822" s="1"/>
      <c r="Z822" s="1"/>
    </row>
    <row r="823" spans="1:26" ht="24.75" customHeight="1">
      <c r="A823" s="1"/>
      <c r="B823" s="1"/>
      <c r="C823" s="1"/>
      <c r="D823" s="1"/>
      <c r="E823" s="1"/>
      <c r="F823" s="1"/>
      <c r="G823" s="1"/>
      <c r="H823" s="1"/>
      <c r="I823" s="1"/>
      <c r="J823" s="1"/>
      <c r="K823" s="1"/>
      <c r="L823" s="1"/>
      <c r="M823" s="1"/>
      <c r="N823" s="1"/>
      <c r="O823" s="1"/>
      <c r="P823" s="1"/>
      <c r="Q823" s="1"/>
      <c r="R823" s="1"/>
      <c r="S823" s="1"/>
      <c r="T823" s="1"/>
      <c r="U823" s="2"/>
      <c r="V823" s="1"/>
      <c r="W823" s="1"/>
      <c r="X823" s="1"/>
      <c r="Y823" s="1"/>
      <c r="Z823" s="1"/>
    </row>
    <row r="824" spans="1:26" ht="24.75" customHeight="1">
      <c r="A824" s="1"/>
      <c r="B824" s="1"/>
      <c r="C824" s="1"/>
      <c r="D824" s="1"/>
      <c r="E824" s="1"/>
      <c r="F824" s="1"/>
      <c r="G824" s="1"/>
      <c r="H824" s="1"/>
      <c r="I824" s="1"/>
      <c r="J824" s="1"/>
      <c r="K824" s="1"/>
      <c r="L824" s="1"/>
      <c r="M824" s="1"/>
      <c r="N824" s="1"/>
      <c r="O824" s="1"/>
      <c r="P824" s="1"/>
      <c r="Q824" s="1"/>
      <c r="R824" s="1"/>
      <c r="S824" s="1"/>
      <c r="T824" s="1"/>
      <c r="U824" s="2"/>
      <c r="V824" s="1"/>
      <c r="W824" s="1"/>
      <c r="X824" s="1"/>
      <c r="Y824" s="1"/>
      <c r="Z824" s="1"/>
    </row>
    <row r="825" spans="1:26" ht="24.75" customHeight="1">
      <c r="A825" s="1"/>
      <c r="B825" s="1"/>
      <c r="C825" s="1"/>
      <c r="D825" s="1"/>
      <c r="E825" s="1"/>
      <c r="F825" s="1"/>
      <c r="G825" s="1"/>
      <c r="H825" s="1"/>
      <c r="I825" s="1"/>
      <c r="J825" s="1"/>
      <c r="K825" s="1"/>
      <c r="L825" s="1"/>
      <c r="M825" s="1"/>
      <c r="N825" s="1"/>
      <c r="O825" s="1"/>
      <c r="P825" s="1"/>
      <c r="Q825" s="1"/>
      <c r="R825" s="1"/>
      <c r="S825" s="1"/>
      <c r="T825" s="1"/>
      <c r="U825" s="2"/>
      <c r="V825" s="1"/>
      <c r="W825" s="1"/>
      <c r="X825" s="1"/>
      <c r="Y825" s="1"/>
      <c r="Z825" s="1"/>
    </row>
    <row r="826" spans="1:26" ht="24.75" customHeight="1">
      <c r="A826" s="1"/>
      <c r="B826" s="1"/>
      <c r="C826" s="1"/>
      <c r="D826" s="1"/>
      <c r="E826" s="1"/>
      <c r="F826" s="1"/>
      <c r="G826" s="1"/>
      <c r="H826" s="1"/>
      <c r="I826" s="1"/>
      <c r="J826" s="1"/>
      <c r="K826" s="1"/>
      <c r="L826" s="1"/>
      <c r="M826" s="1"/>
      <c r="N826" s="1"/>
      <c r="O826" s="1"/>
      <c r="P826" s="1"/>
      <c r="Q826" s="1"/>
      <c r="R826" s="1"/>
      <c r="S826" s="1"/>
      <c r="T826" s="1"/>
      <c r="U826" s="2"/>
      <c r="V826" s="1"/>
      <c r="W826" s="1"/>
      <c r="X826" s="1"/>
      <c r="Y826" s="1"/>
      <c r="Z826" s="1"/>
    </row>
    <row r="827" spans="1:26" ht="24.75" customHeight="1">
      <c r="A827" s="1"/>
      <c r="B827" s="1"/>
      <c r="C827" s="1"/>
      <c r="D827" s="1"/>
      <c r="E827" s="1"/>
      <c r="F827" s="1"/>
      <c r="G827" s="1"/>
      <c r="H827" s="1"/>
      <c r="I827" s="1"/>
      <c r="J827" s="1"/>
      <c r="K827" s="1"/>
      <c r="L827" s="1"/>
      <c r="M827" s="1"/>
      <c r="N827" s="1"/>
      <c r="O827" s="1"/>
      <c r="P827" s="1"/>
      <c r="Q827" s="1"/>
      <c r="R827" s="1"/>
      <c r="S827" s="1"/>
      <c r="T827" s="1"/>
      <c r="U827" s="2"/>
      <c r="V827" s="1"/>
      <c r="W827" s="1"/>
      <c r="X827" s="1"/>
      <c r="Y827" s="1"/>
      <c r="Z827" s="1"/>
    </row>
    <row r="828" spans="1:26" ht="24.75" customHeight="1">
      <c r="A828" s="1"/>
      <c r="B828" s="1"/>
      <c r="C828" s="1"/>
      <c r="D828" s="1"/>
      <c r="E828" s="1"/>
      <c r="F828" s="1"/>
      <c r="G828" s="1"/>
      <c r="H828" s="1"/>
      <c r="I828" s="1"/>
      <c r="J828" s="1"/>
      <c r="K828" s="1"/>
      <c r="L828" s="1"/>
      <c r="M828" s="1"/>
      <c r="N828" s="1"/>
      <c r="O828" s="1"/>
      <c r="P828" s="1"/>
      <c r="Q828" s="1"/>
      <c r="R828" s="1"/>
      <c r="S828" s="1"/>
      <c r="T828" s="1"/>
      <c r="U828" s="2"/>
      <c r="V828" s="1"/>
      <c r="W828" s="1"/>
      <c r="X828" s="1"/>
      <c r="Y828" s="1"/>
      <c r="Z828" s="1"/>
    </row>
    <row r="829" spans="1:26" ht="24.75" customHeight="1">
      <c r="A829" s="1"/>
      <c r="B829" s="1"/>
      <c r="C829" s="1"/>
      <c r="D829" s="1"/>
      <c r="E829" s="1"/>
      <c r="F829" s="1"/>
      <c r="G829" s="1"/>
      <c r="H829" s="1"/>
      <c r="I829" s="1"/>
      <c r="J829" s="1"/>
      <c r="K829" s="1"/>
      <c r="L829" s="1"/>
      <c r="M829" s="1"/>
      <c r="N829" s="1"/>
      <c r="O829" s="1"/>
      <c r="P829" s="1"/>
      <c r="Q829" s="1"/>
      <c r="R829" s="1"/>
      <c r="S829" s="1"/>
      <c r="T829" s="1"/>
      <c r="U829" s="2"/>
      <c r="V829" s="1"/>
      <c r="W829" s="1"/>
      <c r="X829" s="1"/>
      <c r="Y829" s="1"/>
      <c r="Z829" s="1"/>
    </row>
    <row r="830" spans="1:26" ht="24.75" customHeight="1">
      <c r="A830" s="1"/>
      <c r="B830" s="1"/>
      <c r="C830" s="1"/>
      <c r="D830" s="1"/>
      <c r="E830" s="1"/>
      <c r="F830" s="1"/>
      <c r="G830" s="1"/>
      <c r="H830" s="1"/>
      <c r="I830" s="1"/>
      <c r="J830" s="1"/>
      <c r="K830" s="1"/>
      <c r="L830" s="1"/>
      <c r="M830" s="1"/>
      <c r="N830" s="1"/>
      <c r="O830" s="1"/>
      <c r="P830" s="1"/>
      <c r="Q830" s="1"/>
      <c r="R830" s="1"/>
      <c r="S830" s="1"/>
      <c r="T830" s="1"/>
      <c r="U830" s="2"/>
      <c r="V830" s="1"/>
      <c r="W830" s="1"/>
      <c r="X830" s="1"/>
      <c r="Y830" s="1"/>
      <c r="Z830" s="1"/>
    </row>
    <row r="831" spans="1:26" ht="24.75" customHeight="1">
      <c r="A831" s="1"/>
      <c r="B831" s="1"/>
      <c r="C831" s="1"/>
      <c r="D831" s="1"/>
      <c r="E831" s="1"/>
      <c r="F831" s="1"/>
      <c r="G831" s="1"/>
      <c r="H831" s="1"/>
      <c r="I831" s="1"/>
      <c r="J831" s="1"/>
      <c r="K831" s="1"/>
      <c r="L831" s="1"/>
      <c r="M831" s="1"/>
      <c r="N831" s="1"/>
      <c r="O831" s="1"/>
      <c r="P831" s="1"/>
      <c r="Q831" s="1"/>
      <c r="R831" s="1"/>
      <c r="S831" s="1"/>
      <c r="T831" s="1"/>
      <c r="U831" s="2"/>
      <c r="V831" s="1"/>
      <c r="W831" s="1"/>
      <c r="X831" s="1"/>
      <c r="Y831" s="1"/>
      <c r="Z831" s="1"/>
    </row>
    <row r="832" spans="1:26" ht="24.75" customHeight="1">
      <c r="A832" s="1"/>
      <c r="B832" s="1"/>
      <c r="C832" s="1"/>
      <c r="D832" s="1"/>
      <c r="E832" s="1"/>
      <c r="F832" s="1"/>
      <c r="G832" s="1"/>
      <c r="H832" s="1"/>
      <c r="I832" s="1"/>
      <c r="J832" s="1"/>
      <c r="K832" s="1"/>
      <c r="L832" s="1"/>
      <c r="M832" s="1"/>
      <c r="N832" s="1"/>
      <c r="O832" s="1"/>
      <c r="P832" s="1"/>
      <c r="Q832" s="1"/>
      <c r="R832" s="1"/>
      <c r="S832" s="1"/>
      <c r="T832" s="1"/>
      <c r="U832" s="2"/>
      <c r="V832" s="1"/>
      <c r="W832" s="1"/>
      <c r="X832" s="1"/>
      <c r="Y832" s="1"/>
      <c r="Z832" s="1"/>
    </row>
    <row r="833" spans="1:26" ht="24.75" customHeight="1">
      <c r="A833" s="1"/>
      <c r="B833" s="1"/>
      <c r="C833" s="1"/>
      <c r="D833" s="1"/>
      <c r="E833" s="1"/>
      <c r="F833" s="1"/>
      <c r="G833" s="1"/>
      <c r="H833" s="1"/>
      <c r="I833" s="1"/>
      <c r="J833" s="1"/>
      <c r="K833" s="1"/>
      <c r="L833" s="1"/>
      <c r="M833" s="1"/>
      <c r="N833" s="1"/>
      <c r="O833" s="1"/>
      <c r="P833" s="1"/>
      <c r="Q833" s="1"/>
      <c r="R833" s="1"/>
      <c r="S833" s="1"/>
      <c r="T833" s="1"/>
      <c r="U833" s="2"/>
      <c r="V833" s="1"/>
      <c r="W833" s="1"/>
      <c r="X833" s="1"/>
      <c r="Y833" s="1"/>
      <c r="Z833" s="1"/>
    </row>
    <row r="834" spans="1:26" ht="24.75" customHeight="1">
      <c r="A834" s="1"/>
      <c r="B834" s="1"/>
      <c r="C834" s="1"/>
      <c r="D834" s="1"/>
      <c r="E834" s="1"/>
      <c r="F834" s="1"/>
      <c r="G834" s="1"/>
      <c r="H834" s="1"/>
      <c r="I834" s="1"/>
      <c r="J834" s="1"/>
      <c r="K834" s="1"/>
      <c r="L834" s="1"/>
      <c r="M834" s="1"/>
      <c r="N834" s="1"/>
      <c r="O834" s="1"/>
      <c r="P834" s="1"/>
      <c r="Q834" s="1"/>
      <c r="R834" s="1"/>
      <c r="S834" s="1"/>
      <c r="T834" s="1"/>
      <c r="U834" s="2"/>
      <c r="V834" s="1"/>
      <c r="W834" s="1"/>
      <c r="X834" s="1"/>
      <c r="Y834" s="1"/>
      <c r="Z834" s="1"/>
    </row>
    <row r="835" spans="1:26" ht="24.75" customHeight="1">
      <c r="A835" s="1"/>
      <c r="B835" s="1"/>
      <c r="C835" s="1"/>
      <c r="D835" s="1"/>
      <c r="E835" s="1"/>
      <c r="F835" s="1"/>
      <c r="G835" s="1"/>
      <c r="H835" s="1"/>
      <c r="I835" s="1"/>
      <c r="J835" s="1"/>
      <c r="K835" s="1"/>
      <c r="L835" s="1"/>
      <c r="M835" s="1"/>
      <c r="N835" s="1"/>
      <c r="O835" s="1"/>
      <c r="P835" s="1"/>
      <c r="Q835" s="1"/>
      <c r="R835" s="1"/>
      <c r="S835" s="1"/>
      <c r="T835" s="1"/>
      <c r="U835" s="2"/>
      <c r="V835" s="1"/>
      <c r="W835" s="1"/>
      <c r="X835" s="1"/>
      <c r="Y835" s="1"/>
      <c r="Z835" s="1"/>
    </row>
    <row r="836" spans="1:26" ht="24.75" customHeight="1">
      <c r="A836" s="1"/>
      <c r="B836" s="1"/>
      <c r="C836" s="1"/>
      <c r="D836" s="1"/>
      <c r="E836" s="1"/>
      <c r="F836" s="1"/>
      <c r="G836" s="1"/>
      <c r="H836" s="1"/>
      <c r="I836" s="1"/>
      <c r="J836" s="1"/>
      <c r="K836" s="1"/>
      <c r="L836" s="1"/>
      <c r="M836" s="1"/>
      <c r="N836" s="1"/>
      <c r="O836" s="1"/>
      <c r="P836" s="1"/>
      <c r="Q836" s="1"/>
      <c r="R836" s="1"/>
      <c r="S836" s="1"/>
      <c r="T836" s="1"/>
      <c r="U836" s="2"/>
      <c r="V836" s="1"/>
      <c r="W836" s="1"/>
      <c r="X836" s="1"/>
      <c r="Y836" s="1"/>
      <c r="Z836" s="1"/>
    </row>
    <row r="837" spans="1:26" ht="24.75" customHeight="1">
      <c r="A837" s="1"/>
      <c r="B837" s="1"/>
      <c r="C837" s="1"/>
      <c r="D837" s="1"/>
      <c r="E837" s="1"/>
      <c r="F837" s="1"/>
      <c r="G837" s="1"/>
      <c r="H837" s="1"/>
      <c r="I837" s="1"/>
      <c r="J837" s="1"/>
      <c r="K837" s="1"/>
      <c r="L837" s="1"/>
      <c r="M837" s="1"/>
      <c r="N837" s="1"/>
      <c r="O837" s="1"/>
      <c r="P837" s="1"/>
      <c r="Q837" s="1"/>
      <c r="R837" s="1"/>
      <c r="S837" s="1"/>
      <c r="T837" s="1"/>
      <c r="U837" s="2"/>
      <c r="V837" s="1"/>
      <c r="W837" s="1"/>
      <c r="X837" s="1"/>
      <c r="Y837" s="1"/>
      <c r="Z837" s="1"/>
    </row>
    <row r="838" spans="1:26" ht="24.75" customHeight="1">
      <c r="A838" s="1"/>
      <c r="B838" s="1"/>
      <c r="C838" s="1"/>
      <c r="D838" s="1"/>
      <c r="E838" s="1"/>
      <c r="F838" s="1"/>
      <c r="G838" s="1"/>
      <c r="H838" s="1"/>
      <c r="I838" s="1"/>
      <c r="J838" s="1"/>
      <c r="K838" s="1"/>
      <c r="L838" s="1"/>
      <c r="M838" s="1"/>
      <c r="N838" s="1"/>
      <c r="O838" s="1"/>
      <c r="P838" s="1"/>
      <c r="Q838" s="1"/>
      <c r="R838" s="1"/>
      <c r="S838" s="1"/>
      <c r="T838" s="1"/>
      <c r="U838" s="2"/>
      <c r="V838" s="1"/>
      <c r="W838" s="1"/>
      <c r="X838" s="1"/>
      <c r="Y838" s="1"/>
      <c r="Z838" s="1"/>
    </row>
    <row r="839" spans="1:26" ht="24.75" customHeight="1">
      <c r="A839" s="1"/>
      <c r="B839" s="1"/>
      <c r="C839" s="1"/>
      <c r="D839" s="1"/>
      <c r="E839" s="1"/>
      <c r="F839" s="1"/>
      <c r="G839" s="1"/>
      <c r="H839" s="1"/>
      <c r="I839" s="1"/>
      <c r="J839" s="1"/>
      <c r="K839" s="1"/>
      <c r="L839" s="1"/>
      <c r="M839" s="1"/>
      <c r="N839" s="1"/>
      <c r="O839" s="1"/>
      <c r="P839" s="1"/>
      <c r="Q839" s="1"/>
      <c r="R839" s="1"/>
      <c r="S839" s="1"/>
      <c r="T839" s="1"/>
      <c r="U839" s="2"/>
      <c r="V839" s="1"/>
      <c r="W839" s="1"/>
      <c r="X839" s="1"/>
      <c r="Y839" s="1"/>
      <c r="Z839" s="1"/>
    </row>
    <row r="840" spans="1:26" ht="24.75" customHeight="1">
      <c r="A840" s="1"/>
      <c r="B840" s="1"/>
      <c r="C840" s="1"/>
      <c r="D840" s="1"/>
      <c r="E840" s="1"/>
      <c r="F840" s="1"/>
      <c r="G840" s="1"/>
      <c r="H840" s="1"/>
      <c r="I840" s="1"/>
      <c r="J840" s="1"/>
      <c r="K840" s="1"/>
      <c r="L840" s="1"/>
      <c r="M840" s="1"/>
      <c r="N840" s="1"/>
      <c r="O840" s="1"/>
      <c r="P840" s="1"/>
      <c r="Q840" s="1"/>
      <c r="R840" s="1"/>
      <c r="S840" s="1"/>
      <c r="T840" s="1"/>
      <c r="U840" s="2"/>
      <c r="V840" s="1"/>
      <c r="W840" s="1"/>
      <c r="X840" s="1"/>
      <c r="Y840" s="1"/>
      <c r="Z840" s="1"/>
    </row>
    <row r="841" spans="1:26" ht="24.75" customHeight="1">
      <c r="A841" s="1"/>
      <c r="B841" s="1"/>
      <c r="C841" s="1"/>
      <c r="D841" s="1"/>
      <c r="E841" s="1"/>
      <c r="F841" s="1"/>
      <c r="G841" s="1"/>
      <c r="H841" s="1"/>
      <c r="I841" s="1"/>
      <c r="J841" s="1"/>
      <c r="K841" s="1"/>
      <c r="L841" s="1"/>
      <c r="M841" s="1"/>
      <c r="N841" s="1"/>
      <c r="O841" s="1"/>
      <c r="P841" s="1"/>
      <c r="Q841" s="1"/>
      <c r="R841" s="1"/>
      <c r="S841" s="1"/>
      <c r="T841" s="1"/>
      <c r="U841" s="2"/>
      <c r="V841" s="1"/>
      <c r="W841" s="1"/>
      <c r="X841" s="1"/>
      <c r="Y841" s="1"/>
      <c r="Z841" s="1"/>
    </row>
    <row r="842" spans="1:26" ht="24.75" customHeight="1">
      <c r="A842" s="1"/>
      <c r="B842" s="1"/>
      <c r="C842" s="1"/>
      <c r="D842" s="1"/>
      <c r="E842" s="1"/>
      <c r="F842" s="1"/>
      <c r="G842" s="1"/>
      <c r="H842" s="1"/>
      <c r="I842" s="1"/>
      <c r="J842" s="1"/>
      <c r="K842" s="1"/>
      <c r="L842" s="1"/>
      <c r="M842" s="1"/>
      <c r="N842" s="1"/>
      <c r="O842" s="1"/>
      <c r="P842" s="1"/>
      <c r="Q842" s="1"/>
      <c r="R842" s="1"/>
      <c r="S842" s="1"/>
      <c r="T842" s="1"/>
      <c r="U842" s="2"/>
      <c r="V842" s="1"/>
      <c r="W842" s="1"/>
      <c r="X842" s="1"/>
      <c r="Y842" s="1"/>
      <c r="Z842" s="1"/>
    </row>
    <row r="843" spans="1:26" ht="24.75" customHeight="1">
      <c r="A843" s="1"/>
      <c r="B843" s="1"/>
      <c r="C843" s="1"/>
      <c r="D843" s="1"/>
      <c r="E843" s="1"/>
      <c r="F843" s="1"/>
      <c r="G843" s="1"/>
      <c r="H843" s="1"/>
      <c r="I843" s="1"/>
      <c r="J843" s="1"/>
      <c r="K843" s="1"/>
      <c r="L843" s="1"/>
      <c r="M843" s="1"/>
      <c r="N843" s="1"/>
      <c r="O843" s="1"/>
      <c r="P843" s="1"/>
      <c r="Q843" s="1"/>
      <c r="R843" s="1"/>
      <c r="S843" s="1"/>
      <c r="T843" s="1"/>
      <c r="U843" s="2"/>
      <c r="V843" s="1"/>
      <c r="W843" s="1"/>
      <c r="X843" s="1"/>
      <c r="Y843" s="1"/>
      <c r="Z843" s="1"/>
    </row>
    <row r="844" spans="1:26" ht="24.75" customHeight="1">
      <c r="A844" s="1"/>
      <c r="B844" s="1"/>
      <c r="C844" s="1"/>
      <c r="D844" s="1"/>
      <c r="E844" s="1"/>
      <c r="F844" s="1"/>
      <c r="G844" s="1"/>
      <c r="H844" s="1"/>
      <c r="I844" s="1"/>
      <c r="J844" s="1"/>
      <c r="K844" s="1"/>
      <c r="L844" s="1"/>
      <c r="M844" s="1"/>
      <c r="N844" s="1"/>
      <c r="O844" s="1"/>
      <c r="P844" s="1"/>
      <c r="Q844" s="1"/>
      <c r="R844" s="1"/>
      <c r="S844" s="1"/>
      <c r="T844" s="1"/>
      <c r="U844" s="2"/>
      <c r="V844" s="1"/>
      <c r="W844" s="1"/>
      <c r="X844" s="1"/>
      <c r="Y844" s="1"/>
      <c r="Z844" s="1"/>
    </row>
    <row r="845" spans="1:26" ht="24.75" customHeight="1">
      <c r="A845" s="1"/>
      <c r="B845" s="1"/>
      <c r="C845" s="1"/>
      <c r="D845" s="1"/>
      <c r="E845" s="1"/>
      <c r="F845" s="1"/>
      <c r="G845" s="1"/>
      <c r="H845" s="1"/>
      <c r="I845" s="1"/>
      <c r="J845" s="1"/>
      <c r="K845" s="1"/>
      <c r="L845" s="1"/>
      <c r="M845" s="1"/>
      <c r="N845" s="1"/>
      <c r="O845" s="1"/>
      <c r="P845" s="1"/>
      <c r="Q845" s="1"/>
      <c r="R845" s="1"/>
      <c r="S845" s="1"/>
      <c r="T845" s="1"/>
      <c r="U845" s="2"/>
      <c r="V845" s="1"/>
      <c r="W845" s="1"/>
      <c r="X845" s="1"/>
      <c r="Y845" s="1"/>
      <c r="Z845" s="1"/>
    </row>
    <row r="846" spans="1:26" ht="24.75" customHeight="1">
      <c r="A846" s="1"/>
      <c r="B846" s="1"/>
      <c r="C846" s="1"/>
      <c r="D846" s="1"/>
      <c r="E846" s="1"/>
      <c r="F846" s="1"/>
      <c r="G846" s="1"/>
      <c r="H846" s="1"/>
      <c r="I846" s="1"/>
      <c r="J846" s="1"/>
      <c r="K846" s="1"/>
      <c r="L846" s="1"/>
      <c r="M846" s="1"/>
      <c r="N846" s="1"/>
      <c r="O846" s="1"/>
      <c r="P846" s="1"/>
      <c r="Q846" s="1"/>
      <c r="R846" s="1"/>
      <c r="S846" s="1"/>
      <c r="T846" s="1"/>
      <c r="U846" s="2"/>
      <c r="V846" s="1"/>
      <c r="W846" s="1"/>
      <c r="X846" s="1"/>
      <c r="Y846" s="1"/>
      <c r="Z846" s="1"/>
    </row>
    <row r="847" spans="1:26" ht="24.75" customHeight="1">
      <c r="A847" s="1"/>
      <c r="B847" s="1"/>
      <c r="C847" s="1"/>
      <c r="D847" s="1"/>
      <c r="E847" s="1"/>
      <c r="F847" s="1"/>
      <c r="G847" s="1"/>
      <c r="H847" s="1"/>
      <c r="I847" s="1"/>
      <c r="J847" s="1"/>
      <c r="K847" s="1"/>
      <c r="L847" s="1"/>
      <c r="M847" s="1"/>
      <c r="N847" s="1"/>
      <c r="O847" s="1"/>
      <c r="P847" s="1"/>
      <c r="Q847" s="1"/>
      <c r="R847" s="1"/>
      <c r="S847" s="1"/>
      <c r="T847" s="1"/>
      <c r="U847" s="2"/>
      <c r="V847" s="1"/>
      <c r="W847" s="1"/>
      <c r="X847" s="1"/>
      <c r="Y847" s="1"/>
      <c r="Z847" s="1"/>
    </row>
    <row r="848" spans="1:26" ht="24.75" customHeight="1">
      <c r="A848" s="1"/>
      <c r="B848" s="1"/>
      <c r="C848" s="1"/>
      <c r="D848" s="1"/>
      <c r="E848" s="1"/>
      <c r="F848" s="1"/>
      <c r="G848" s="1"/>
      <c r="H848" s="1"/>
      <c r="I848" s="1"/>
      <c r="J848" s="1"/>
      <c r="K848" s="1"/>
      <c r="L848" s="1"/>
      <c r="M848" s="1"/>
      <c r="N848" s="1"/>
      <c r="O848" s="1"/>
      <c r="P848" s="1"/>
      <c r="Q848" s="1"/>
      <c r="R848" s="1"/>
      <c r="S848" s="1"/>
      <c r="T848" s="1"/>
      <c r="U848" s="2"/>
      <c r="V848" s="1"/>
      <c r="W848" s="1"/>
      <c r="X848" s="1"/>
      <c r="Y848" s="1"/>
      <c r="Z848" s="1"/>
    </row>
    <row r="849" spans="1:26" ht="24.75" customHeight="1">
      <c r="A849" s="1"/>
      <c r="B849" s="1"/>
      <c r="C849" s="1"/>
      <c r="D849" s="1"/>
      <c r="E849" s="1"/>
      <c r="F849" s="1"/>
      <c r="G849" s="1"/>
      <c r="H849" s="1"/>
      <c r="I849" s="1"/>
      <c r="J849" s="1"/>
      <c r="K849" s="1"/>
      <c r="L849" s="1"/>
      <c r="M849" s="1"/>
      <c r="N849" s="1"/>
      <c r="O849" s="1"/>
      <c r="P849" s="1"/>
      <c r="Q849" s="1"/>
      <c r="R849" s="1"/>
      <c r="S849" s="1"/>
      <c r="T849" s="1"/>
      <c r="U849" s="2"/>
      <c r="V849" s="1"/>
      <c r="W849" s="1"/>
      <c r="X849" s="1"/>
      <c r="Y849" s="1"/>
      <c r="Z849" s="1"/>
    </row>
    <row r="850" spans="1:26" ht="24.75" customHeight="1">
      <c r="A850" s="1"/>
      <c r="B850" s="1"/>
      <c r="C850" s="1"/>
      <c r="D850" s="1"/>
      <c r="E850" s="1"/>
      <c r="F850" s="1"/>
      <c r="G850" s="1"/>
      <c r="H850" s="1"/>
      <c r="I850" s="1"/>
      <c r="J850" s="1"/>
      <c r="K850" s="1"/>
      <c r="L850" s="1"/>
      <c r="M850" s="1"/>
      <c r="N850" s="1"/>
      <c r="O850" s="1"/>
      <c r="P850" s="1"/>
      <c r="Q850" s="1"/>
      <c r="R850" s="1"/>
      <c r="S850" s="1"/>
      <c r="T850" s="1"/>
      <c r="U850" s="2"/>
      <c r="V850" s="1"/>
      <c r="W850" s="1"/>
      <c r="X850" s="1"/>
      <c r="Y850" s="1"/>
      <c r="Z850" s="1"/>
    </row>
    <row r="851" spans="1:26" ht="24.75" customHeight="1">
      <c r="A851" s="1"/>
      <c r="B851" s="1"/>
      <c r="C851" s="1"/>
      <c r="D851" s="1"/>
      <c r="E851" s="1"/>
      <c r="F851" s="1"/>
      <c r="G851" s="1"/>
      <c r="H851" s="1"/>
      <c r="I851" s="1"/>
      <c r="J851" s="1"/>
      <c r="K851" s="1"/>
      <c r="L851" s="1"/>
      <c r="M851" s="1"/>
      <c r="N851" s="1"/>
      <c r="O851" s="1"/>
      <c r="P851" s="1"/>
      <c r="Q851" s="1"/>
      <c r="R851" s="1"/>
      <c r="S851" s="1"/>
      <c r="T851" s="1"/>
      <c r="U851" s="2"/>
      <c r="V851" s="1"/>
      <c r="W851" s="1"/>
      <c r="X851" s="1"/>
      <c r="Y851" s="1"/>
      <c r="Z851" s="1"/>
    </row>
    <row r="852" spans="1:26" ht="24.75" customHeight="1">
      <c r="A852" s="1"/>
      <c r="B852" s="1"/>
      <c r="C852" s="1"/>
      <c r="D852" s="1"/>
      <c r="E852" s="1"/>
      <c r="F852" s="1"/>
      <c r="G852" s="1"/>
      <c r="H852" s="1"/>
      <c r="I852" s="1"/>
      <c r="J852" s="1"/>
      <c r="K852" s="1"/>
      <c r="L852" s="1"/>
      <c r="M852" s="1"/>
      <c r="N852" s="1"/>
      <c r="O852" s="1"/>
      <c r="P852" s="1"/>
      <c r="Q852" s="1"/>
      <c r="R852" s="1"/>
      <c r="S852" s="1"/>
      <c r="T852" s="1"/>
      <c r="U852" s="2"/>
      <c r="V852" s="1"/>
      <c r="W852" s="1"/>
      <c r="X852" s="1"/>
      <c r="Y852" s="1"/>
      <c r="Z852" s="1"/>
    </row>
    <row r="853" spans="1:26" ht="24.75" customHeight="1">
      <c r="A853" s="1"/>
      <c r="B853" s="1"/>
      <c r="C853" s="1"/>
      <c r="D853" s="1"/>
      <c r="E853" s="1"/>
      <c r="F853" s="1"/>
      <c r="G853" s="1"/>
      <c r="H853" s="1"/>
      <c r="I853" s="1"/>
      <c r="J853" s="1"/>
      <c r="K853" s="1"/>
      <c r="L853" s="1"/>
      <c r="M853" s="1"/>
      <c r="N853" s="1"/>
      <c r="O853" s="1"/>
      <c r="P853" s="1"/>
      <c r="Q853" s="1"/>
      <c r="R853" s="1"/>
      <c r="S853" s="1"/>
      <c r="T853" s="1"/>
      <c r="U853" s="2"/>
      <c r="V853" s="1"/>
      <c r="W853" s="1"/>
      <c r="X853" s="1"/>
      <c r="Y853" s="1"/>
      <c r="Z853" s="1"/>
    </row>
    <row r="854" spans="1:26" ht="24.75" customHeight="1">
      <c r="A854" s="1"/>
      <c r="B854" s="1"/>
      <c r="C854" s="1"/>
      <c r="D854" s="1"/>
      <c r="E854" s="1"/>
      <c r="F854" s="1"/>
      <c r="G854" s="1"/>
      <c r="H854" s="1"/>
      <c r="I854" s="1"/>
      <c r="J854" s="1"/>
      <c r="K854" s="1"/>
      <c r="L854" s="1"/>
      <c r="M854" s="1"/>
      <c r="N854" s="1"/>
      <c r="O854" s="1"/>
      <c r="P854" s="1"/>
      <c r="Q854" s="1"/>
      <c r="R854" s="1"/>
      <c r="S854" s="1"/>
      <c r="T854" s="1"/>
      <c r="U854" s="2"/>
      <c r="V854" s="1"/>
      <c r="W854" s="1"/>
      <c r="X854" s="1"/>
      <c r="Y854" s="1"/>
      <c r="Z854" s="1"/>
    </row>
    <row r="855" spans="1:26" ht="24.75" customHeight="1">
      <c r="A855" s="1"/>
      <c r="B855" s="1"/>
      <c r="C855" s="1"/>
      <c r="D855" s="1"/>
      <c r="E855" s="1"/>
      <c r="F855" s="1"/>
      <c r="G855" s="1"/>
      <c r="H855" s="1"/>
      <c r="I855" s="1"/>
      <c r="J855" s="1"/>
      <c r="K855" s="1"/>
      <c r="L855" s="1"/>
      <c r="M855" s="1"/>
      <c r="N855" s="1"/>
      <c r="O855" s="1"/>
      <c r="P855" s="1"/>
      <c r="Q855" s="1"/>
      <c r="R855" s="1"/>
      <c r="S855" s="1"/>
      <c r="T855" s="1"/>
      <c r="U855" s="2"/>
      <c r="V855" s="1"/>
      <c r="W855" s="1"/>
      <c r="X855" s="1"/>
      <c r="Y855" s="1"/>
      <c r="Z855" s="1"/>
    </row>
    <row r="856" spans="1:26" ht="24.75" customHeight="1">
      <c r="A856" s="1"/>
      <c r="B856" s="1"/>
      <c r="C856" s="1"/>
      <c r="D856" s="1"/>
      <c r="E856" s="1"/>
      <c r="F856" s="1"/>
      <c r="G856" s="1"/>
      <c r="H856" s="1"/>
      <c r="I856" s="1"/>
      <c r="J856" s="1"/>
      <c r="K856" s="1"/>
      <c r="L856" s="1"/>
      <c r="M856" s="1"/>
      <c r="N856" s="1"/>
      <c r="O856" s="1"/>
      <c r="P856" s="1"/>
      <c r="Q856" s="1"/>
      <c r="R856" s="1"/>
      <c r="S856" s="1"/>
      <c r="T856" s="1"/>
      <c r="U856" s="2"/>
      <c r="V856" s="1"/>
      <c r="W856" s="1"/>
      <c r="X856" s="1"/>
      <c r="Y856" s="1"/>
      <c r="Z856" s="1"/>
    </row>
    <row r="857" spans="1:26" ht="24.75" customHeight="1">
      <c r="A857" s="1"/>
      <c r="B857" s="1"/>
      <c r="C857" s="1"/>
      <c r="D857" s="1"/>
      <c r="E857" s="1"/>
      <c r="F857" s="1"/>
      <c r="G857" s="1"/>
      <c r="H857" s="1"/>
      <c r="I857" s="1"/>
      <c r="J857" s="1"/>
      <c r="K857" s="1"/>
      <c r="L857" s="1"/>
      <c r="M857" s="1"/>
      <c r="N857" s="1"/>
      <c r="O857" s="1"/>
      <c r="P857" s="1"/>
      <c r="Q857" s="1"/>
      <c r="R857" s="1"/>
      <c r="S857" s="1"/>
      <c r="T857" s="1"/>
      <c r="U857" s="2"/>
      <c r="V857" s="1"/>
      <c r="W857" s="1"/>
      <c r="X857" s="1"/>
      <c r="Y857" s="1"/>
      <c r="Z857" s="1"/>
    </row>
    <row r="858" spans="1:26" ht="24.75" customHeight="1">
      <c r="A858" s="1"/>
      <c r="B858" s="1"/>
      <c r="C858" s="1"/>
      <c r="D858" s="1"/>
      <c r="E858" s="1"/>
      <c r="F858" s="1"/>
      <c r="G858" s="1"/>
      <c r="H858" s="1"/>
      <c r="I858" s="1"/>
      <c r="J858" s="1"/>
      <c r="K858" s="1"/>
      <c r="L858" s="1"/>
      <c r="M858" s="1"/>
      <c r="N858" s="1"/>
      <c r="O858" s="1"/>
      <c r="P858" s="1"/>
      <c r="Q858" s="1"/>
      <c r="R858" s="1"/>
      <c r="S858" s="1"/>
      <c r="T858" s="1"/>
      <c r="U858" s="2"/>
      <c r="V858" s="1"/>
      <c r="W858" s="1"/>
      <c r="X858" s="1"/>
      <c r="Y858" s="1"/>
      <c r="Z858" s="1"/>
    </row>
    <row r="859" spans="1:26" ht="24.75" customHeight="1">
      <c r="A859" s="1"/>
      <c r="B859" s="1"/>
      <c r="C859" s="1"/>
      <c r="D859" s="1"/>
      <c r="E859" s="1"/>
      <c r="F859" s="1"/>
      <c r="G859" s="1"/>
      <c r="H859" s="1"/>
      <c r="I859" s="1"/>
      <c r="J859" s="1"/>
      <c r="K859" s="1"/>
      <c r="L859" s="1"/>
      <c r="M859" s="1"/>
      <c r="N859" s="1"/>
      <c r="O859" s="1"/>
      <c r="P859" s="1"/>
      <c r="Q859" s="1"/>
      <c r="R859" s="1"/>
      <c r="S859" s="1"/>
      <c r="T859" s="1"/>
      <c r="U859" s="2"/>
      <c r="V859" s="1"/>
      <c r="W859" s="1"/>
      <c r="X859" s="1"/>
      <c r="Y859" s="1"/>
      <c r="Z859" s="1"/>
    </row>
    <row r="860" spans="1:26" ht="24.75" customHeight="1">
      <c r="A860" s="1"/>
      <c r="B860" s="1"/>
      <c r="C860" s="1"/>
      <c r="D860" s="1"/>
      <c r="E860" s="1"/>
      <c r="F860" s="1"/>
      <c r="G860" s="1"/>
      <c r="H860" s="1"/>
      <c r="I860" s="1"/>
      <c r="J860" s="1"/>
      <c r="K860" s="1"/>
      <c r="L860" s="1"/>
      <c r="M860" s="1"/>
      <c r="N860" s="1"/>
      <c r="O860" s="1"/>
      <c r="P860" s="1"/>
      <c r="Q860" s="1"/>
      <c r="R860" s="1"/>
      <c r="S860" s="1"/>
      <c r="T860" s="1"/>
      <c r="U860" s="2"/>
      <c r="V860" s="1"/>
      <c r="W860" s="1"/>
      <c r="X860" s="1"/>
      <c r="Y860" s="1"/>
      <c r="Z860" s="1"/>
    </row>
    <row r="861" spans="1:26" ht="24.75" customHeight="1">
      <c r="A861" s="1"/>
      <c r="B861" s="1"/>
      <c r="C861" s="1"/>
      <c r="D861" s="1"/>
      <c r="E861" s="1"/>
      <c r="F861" s="1"/>
      <c r="G861" s="1"/>
      <c r="H861" s="1"/>
      <c r="I861" s="1"/>
      <c r="J861" s="1"/>
      <c r="K861" s="1"/>
      <c r="L861" s="1"/>
      <c r="M861" s="1"/>
      <c r="N861" s="1"/>
      <c r="O861" s="1"/>
      <c r="P861" s="1"/>
      <c r="Q861" s="1"/>
      <c r="R861" s="1"/>
      <c r="S861" s="1"/>
      <c r="T861" s="1"/>
      <c r="U861" s="2"/>
      <c r="V861" s="1"/>
      <c r="W861" s="1"/>
      <c r="X861" s="1"/>
      <c r="Y861" s="1"/>
      <c r="Z861" s="1"/>
    </row>
    <row r="862" spans="1:26" ht="24.75" customHeight="1">
      <c r="A862" s="1"/>
      <c r="B862" s="1"/>
      <c r="C862" s="1"/>
      <c r="D862" s="1"/>
      <c r="E862" s="1"/>
      <c r="F862" s="1"/>
      <c r="G862" s="1"/>
      <c r="H862" s="1"/>
      <c r="I862" s="1"/>
      <c r="J862" s="1"/>
      <c r="K862" s="1"/>
      <c r="L862" s="1"/>
      <c r="M862" s="1"/>
      <c r="N862" s="1"/>
      <c r="O862" s="1"/>
      <c r="P862" s="1"/>
      <c r="Q862" s="1"/>
      <c r="R862" s="1"/>
      <c r="S862" s="1"/>
      <c r="T862" s="1"/>
      <c r="U862" s="2"/>
      <c r="V862" s="1"/>
      <c r="W862" s="1"/>
      <c r="X862" s="1"/>
      <c r="Y862" s="1"/>
      <c r="Z862" s="1"/>
    </row>
    <row r="863" spans="1:26" ht="24.75" customHeight="1">
      <c r="A863" s="1"/>
      <c r="B863" s="1"/>
      <c r="C863" s="1"/>
      <c r="D863" s="1"/>
      <c r="E863" s="1"/>
      <c r="F863" s="1"/>
      <c r="G863" s="1"/>
      <c r="H863" s="1"/>
      <c r="I863" s="1"/>
      <c r="J863" s="1"/>
      <c r="K863" s="1"/>
      <c r="L863" s="1"/>
      <c r="M863" s="1"/>
      <c r="N863" s="1"/>
      <c r="O863" s="1"/>
      <c r="P863" s="1"/>
      <c r="Q863" s="1"/>
      <c r="R863" s="1"/>
      <c r="S863" s="1"/>
      <c r="T863" s="1"/>
      <c r="U863" s="2"/>
      <c r="V863" s="1"/>
      <c r="W863" s="1"/>
      <c r="X863" s="1"/>
      <c r="Y863" s="1"/>
      <c r="Z863" s="1"/>
    </row>
    <row r="864" spans="1:26" ht="24.75" customHeight="1">
      <c r="A864" s="1"/>
      <c r="B864" s="1"/>
      <c r="C864" s="1"/>
      <c r="D864" s="1"/>
      <c r="E864" s="1"/>
      <c r="F864" s="1"/>
      <c r="G864" s="1"/>
      <c r="H864" s="1"/>
      <c r="I864" s="1"/>
      <c r="J864" s="1"/>
      <c r="K864" s="1"/>
      <c r="L864" s="1"/>
      <c r="M864" s="1"/>
      <c r="N864" s="1"/>
      <c r="O864" s="1"/>
      <c r="P864" s="1"/>
      <c r="Q864" s="1"/>
      <c r="R864" s="1"/>
      <c r="S864" s="1"/>
      <c r="T864" s="1"/>
      <c r="U864" s="2"/>
      <c r="V864" s="1"/>
      <c r="W864" s="1"/>
      <c r="X864" s="1"/>
      <c r="Y864" s="1"/>
      <c r="Z864" s="1"/>
    </row>
    <row r="865" spans="1:26" ht="24.75" customHeight="1">
      <c r="A865" s="1"/>
      <c r="B865" s="1"/>
      <c r="C865" s="1"/>
      <c r="D865" s="1"/>
      <c r="E865" s="1"/>
      <c r="F865" s="1"/>
      <c r="G865" s="1"/>
      <c r="H865" s="1"/>
      <c r="I865" s="1"/>
      <c r="J865" s="1"/>
      <c r="K865" s="1"/>
      <c r="L865" s="1"/>
      <c r="M865" s="1"/>
      <c r="N865" s="1"/>
      <c r="O865" s="1"/>
      <c r="P865" s="1"/>
      <c r="Q865" s="1"/>
      <c r="R865" s="1"/>
      <c r="S865" s="1"/>
      <c r="T865" s="1"/>
      <c r="U865" s="2"/>
      <c r="V865" s="1"/>
      <c r="W865" s="1"/>
      <c r="X865" s="1"/>
      <c r="Y865" s="1"/>
      <c r="Z865" s="1"/>
    </row>
    <row r="866" spans="1:26" ht="24.75" customHeight="1">
      <c r="A866" s="1"/>
      <c r="B866" s="1"/>
      <c r="C866" s="1"/>
      <c r="D866" s="1"/>
      <c r="E866" s="1"/>
      <c r="F866" s="1"/>
      <c r="G866" s="1"/>
      <c r="H866" s="1"/>
      <c r="I866" s="1"/>
      <c r="J866" s="1"/>
      <c r="K866" s="1"/>
      <c r="L866" s="1"/>
      <c r="M866" s="1"/>
      <c r="N866" s="1"/>
      <c r="O866" s="1"/>
      <c r="P866" s="1"/>
      <c r="Q866" s="1"/>
      <c r="R866" s="1"/>
      <c r="S866" s="1"/>
      <c r="T866" s="1"/>
      <c r="U866" s="2"/>
      <c r="V866" s="1"/>
      <c r="W866" s="1"/>
      <c r="X866" s="1"/>
      <c r="Y866" s="1"/>
      <c r="Z866" s="1"/>
    </row>
    <row r="867" spans="1:26" ht="24.75" customHeight="1">
      <c r="A867" s="1"/>
      <c r="B867" s="1"/>
      <c r="C867" s="1"/>
      <c r="D867" s="1"/>
      <c r="E867" s="1"/>
      <c r="F867" s="1"/>
      <c r="G867" s="1"/>
      <c r="H867" s="1"/>
      <c r="I867" s="1"/>
      <c r="J867" s="1"/>
      <c r="K867" s="1"/>
      <c r="L867" s="1"/>
      <c r="M867" s="1"/>
      <c r="N867" s="1"/>
      <c r="O867" s="1"/>
      <c r="P867" s="1"/>
      <c r="Q867" s="1"/>
      <c r="R867" s="1"/>
      <c r="S867" s="1"/>
      <c r="T867" s="1"/>
      <c r="U867" s="2"/>
      <c r="V867" s="1"/>
      <c r="W867" s="1"/>
      <c r="X867" s="1"/>
      <c r="Y867" s="1"/>
      <c r="Z867" s="1"/>
    </row>
    <row r="868" spans="1:26" ht="24.75" customHeight="1">
      <c r="A868" s="1"/>
      <c r="B868" s="1"/>
      <c r="C868" s="1"/>
      <c r="D868" s="1"/>
      <c r="E868" s="1"/>
      <c r="F868" s="1"/>
      <c r="G868" s="1"/>
      <c r="H868" s="1"/>
      <c r="I868" s="1"/>
      <c r="J868" s="1"/>
      <c r="K868" s="1"/>
      <c r="L868" s="1"/>
      <c r="M868" s="1"/>
      <c r="N868" s="1"/>
      <c r="O868" s="1"/>
      <c r="P868" s="1"/>
      <c r="Q868" s="1"/>
      <c r="R868" s="1"/>
      <c r="S868" s="1"/>
      <c r="T868" s="1"/>
      <c r="U868" s="2"/>
      <c r="V868" s="1"/>
      <c r="W868" s="1"/>
      <c r="X868" s="1"/>
      <c r="Y868" s="1"/>
      <c r="Z868" s="1"/>
    </row>
    <row r="869" spans="1:26" ht="24.75" customHeight="1">
      <c r="A869" s="1"/>
      <c r="B869" s="1"/>
      <c r="C869" s="1"/>
      <c r="D869" s="1"/>
      <c r="E869" s="1"/>
      <c r="F869" s="1"/>
      <c r="G869" s="1"/>
      <c r="H869" s="1"/>
      <c r="I869" s="1"/>
      <c r="J869" s="1"/>
      <c r="K869" s="1"/>
      <c r="L869" s="1"/>
      <c r="M869" s="1"/>
      <c r="N869" s="1"/>
      <c r="O869" s="1"/>
      <c r="P869" s="1"/>
      <c r="Q869" s="1"/>
      <c r="R869" s="1"/>
      <c r="S869" s="1"/>
      <c r="T869" s="1"/>
      <c r="U869" s="2"/>
      <c r="V869" s="1"/>
      <c r="W869" s="1"/>
      <c r="X869" s="1"/>
      <c r="Y869" s="1"/>
      <c r="Z869" s="1"/>
    </row>
    <row r="870" spans="1:26" ht="24.75" customHeight="1">
      <c r="A870" s="1"/>
      <c r="B870" s="1"/>
      <c r="C870" s="1"/>
      <c r="D870" s="1"/>
      <c r="E870" s="1"/>
      <c r="F870" s="1"/>
      <c r="G870" s="1"/>
      <c r="H870" s="1"/>
      <c r="I870" s="1"/>
      <c r="J870" s="1"/>
      <c r="K870" s="1"/>
      <c r="L870" s="1"/>
      <c r="M870" s="1"/>
      <c r="N870" s="1"/>
      <c r="O870" s="1"/>
      <c r="P870" s="1"/>
      <c r="Q870" s="1"/>
      <c r="R870" s="1"/>
      <c r="S870" s="1"/>
      <c r="T870" s="1"/>
      <c r="U870" s="2"/>
      <c r="V870" s="1"/>
      <c r="W870" s="1"/>
      <c r="X870" s="1"/>
      <c r="Y870" s="1"/>
      <c r="Z870" s="1"/>
    </row>
    <row r="871" spans="1:26" ht="24.75" customHeight="1">
      <c r="A871" s="1"/>
      <c r="B871" s="1"/>
      <c r="C871" s="1"/>
      <c r="D871" s="1"/>
      <c r="E871" s="1"/>
      <c r="F871" s="1"/>
      <c r="G871" s="1"/>
      <c r="H871" s="1"/>
      <c r="I871" s="1"/>
      <c r="J871" s="1"/>
      <c r="K871" s="1"/>
      <c r="L871" s="1"/>
      <c r="M871" s="1"/>
      <c r="N871" s="1"/>
      <c r="O871" s="1"/>
      <c r="P871" s="1"/>
      <c r="Q871" s="1"/>
      <c r="R871" s="1"/>
      <c r="S871" s="1"/>
      <c r="T871" s="1"/>
      <c r="U871" s="2"/>
      <c r="V871" s="1"/>
      <c r="W871" s="1"/>
      <c r="X871" s="1"/>
      <c r="Y871" s="1"/>
      <c r="Z871" s="1"/>
    </row>
    <row r="872" spans="1:26" ht="24.75" customHeight="1">
      <c r="A872" s="1"/>
      <c r="B872" s="1"/>
      <c r="C872" s="1"/>
      <c r="D872" s="1"/>
      <c r="E872" s="1"/>
      <c r="F872" s="1"/>
      <c r="G872" s="1"/>
      <c r="H872" s="1"/>
      <c r="I872" s="1"/>
      <c r="J872" s="1"/>
      <c r="K872" s="1"/>
      <c r="L872" s="1"/>
      <c r="M872" s="1"/>
      <c r="N872" s="1"/>
      <c r="O872" s="1"/>
      <c r="P872" s="1"/>
      <c r="Q872" s="1"/>
      <c r="R872" s="1"/>
      <c r="S872" s="1"/>
      <c r="T872" s="1"/>
      <c r="U872" s="2"/>
      <c r="V872" s="1"/>
      <c r="W872" s="1"/>
      <c r="X872" s="1"/>
      <c r="Y872" s="1"/>
      <c r="Z872" s="1"/>
    </row>
    <row r="873" spans="1:26" ht="24.75" customHeight="1">
      <c r="A873" s="1"/>
      <c r="B873" s="1"/>
      <c r="C873" s="1"/>
      <c r="D873" s="1"/>
      <c r="E873" s="1"/>
      <c r="F873" s="1"/>
      <c r="G873" s="1"/>
      <c r="H873" s="1"/>
      <c r="I873" s="1"/>
      <c r="J873" s="1"/>
      <c r="K873" s="1"/>
      <c r="L873" s="1"/>
      <c r="M873" s="1"/>
      <c r="N873" s="1"/>
      <c r="O873" s="1"/>
      <c r="P873" s="1"/>
      <c r="Q873" s="1"/>
      <c r="R873" s="1"/>
      <c r="S873" s="1"/>
      <c r="T873" s="1"/>
      <c r="U873" s="2"/>
      <c r="V873" s="1"/>
      <c r="W873" s="1"/>
      <c r="X873" s="1"/>
      <c r="Y873" s="1"/>
      <c r="Z873" s="1"/>
    </row>
    <row r="874" spans="1:26" ht="24.75" customHeight="1">
      <c r="A874" s="1"/>
      <c r="B874" s="1"/>
      <c r="C874" s="1"/>
      <c r="D874" s="1"/>
      <c r="E874" s="1"/>
      <c r="F874" s="1"/>
      <c r="G874" s="1"/>
      <c r="H874" s="1"/>
      <c r="I874" s="1"/>
      <c r="J874" s="1"/>
      <c r="K874" s="1"/>
      <c r="L874" s="1"/>
      <c r="M874" s="1"/>
      <c r="N874" s="1"/>
      <c r="O874" s="1"/>
      <c r="P874" s="1"/>
      <c r="Q874" s="1"/>
      <c r="R874" s="1"/>
      <c r="S874" s="1"/>
      <c r="T874" s="1"/>
      <c r="U874" s="2"/>
      <c r="V874" s="1"/>
      <c r="W874" s="1"/>
      <c r="X874" s="1"/>
      <c r="Y874" s="1"/>
      <c r="Z874" s="1"/>
    </row>
    <row r="875" spans="1:26" ht="24.75" customHeight="1">
      <c r="A875" s="1"/>
      <c r="B875" s="1"/>
      <c r="C875" s="1"/>
      <c r="D875" s="1"/>
      <c r="E875" s="1"/>
      <c r="F875" s="1"/>
      <c r="G875" s="1"/>
      <c r="H875" s="1"/>
      <c r="I875" s="1"/>
      <c r="J875" s="1"/>
      <c r="K875" s="1"/>
      <c r="L875" s="1"/>
      <c r="M875" s="1"/>
      <c r="N875" s="1"/>
      <c r="O875" s="1"/>
      <c r="P875" s="1"/>
      <c r="Q875" s="1"/>
      <c r="R875" s="1"/>
      <c r="S875" s="1"/>
      <c r="T875" s="1"/>
      <c r="U875" s="2"/>
      <c r="V875" s="1"/>
      <c r="W875" s="1"/>
      <c r="X875" s="1"/>
      <c r="Y875" s="1"/>
      <c r="Z875" s="1"/>
    </row>
    <row r="876" spans="1:26" ht="24.75" customHeight="1">
      <c r="A876" s="1"/>
      <c r="B876" s="1"/>
      <c r="C876" s="1"/>
      <c r="D876" s="1"/>
      <c r="E876" s="1"/>
      <c r="F876" s="1"/>
      <c r="G876" s="1"/>
      <c r="H876" s="1"/>
      <c r="I876" s="1"/>
      <c r="J876" s="1"/>
      <c r="K876" s="1"/>
      <c r="L876" s="1"/>
      <c r="M876" s="1"/>
      <c r="N876" s="1"/>
      <c r="O876" s="1"/>
      <c r="P876" s="1"/>
      <c r="Q876" s="1"/>
      <c r="R876" s="1"/>
      <c r="S876" s="1"/>
      <c r="T876" s="1"/>
      <c r="U876" s="2"/>
      <c r="V876" s="1"/>
      <c r="W876" s="1"/>
      <c r="X876" s="1"/>
      <c r="Y876" s="1"/>
      <c r="Z876" s="1"/>
    </row>
    <row r="877" spans="1:26" ht="24.75" customHeight="1">
      <c r="A877" s="1"/>
      <c r="B877" s="1"/>
      <c r="C877" s="1"/>
      <c r="D877" s="1"/>
      <c r="E877" s="1"/>
      <c r="F877" s="1"/>
      <c r="G877" s="1"/>
      <c r="H877" s="1"/>
      <c r="I877" s="1"/>
      <c r="J877" s="1"/>
      <c r="K877" s="1"/>
      <c r="L877" s="1"/>
      <c r="M877" s="1"/>
      <c r="N877" s="1"/>
      <c r="O877" s="1"/>
      <c r="P877" s="1"/>
      <c r="Q877" s="1"/>
      <c r="R877" s="1"/>
      <c r="S877" s="1"/>
      <c r="T877" s="1"/>
      <c r="U877" s="2"/>
      <c r="V877" s="1"/>
      <c r="W877" s="1"/>
      <c r="X877" s="1"/>
      <c r="Y877" s="1"/>
      <c r="Z877" s="1"/>
    </row>
    <row r="878" spans="1:26" ht="24.75" customHeight="1">
      <c r="A878" s="1"/>
      <c r="B878" s="1"/>
      <c r="C878" s="1"/>
      <c r="D878" s="1"/>
      <c r="E878" s="1"/>
      <c r="F878" s="1"/>
      <c r="G878" s="1"/>
      <c r="H878" s="1"/>
      <c r="I878" s="1"/>
      <c r="J878" s="1"/>
      <c r="K878" s="1"/>
      <c r="L878" s="1"/>
      <c r="M878" s="1"/>
      <c r="N878" s="1"/>
      <c r="O878" s="1"/>
      <c r="P878" s="1"/>
      <c r="Q878" s="1"/>
      <c r="R878" s="1"/>
      <c r="S878" s="1"/>
      <c r="T878" s="1"/>
      <c r="U878" s="2"/>
      <c r="V878" s="1"/>
      <c r="W878" s="1"/>
      <c r="X878" s="1"/>
      <c r="Y878" s="1"/>
      <c r="Z878" s="1"/>
    </row>
    <row r="879" spans="1:26" ht="24.75" customHeight="1">
      <c r="A879" s="1"/>
      <c r="B879" s="1"/>
      <c r="C879" s="1"/>
      <c r="D879" s="1"/>
      <c r="E879" s="1"/>
      <c r="F879" s="1"/>
      <c r="G879" s="1"/>
      <c r="H879" s="1"/>
      <c r="I879" s="1"/>
      <c r="J879" s="1"/>
      <c r="K879" s="1"/>
      <c r="L879" s="1"/>
      <c r="M879" s="1"/>
      <c r="N879" s="1"/>
      <c r="O879" s="1"/>
      <c r="P879" s="1"/>
      <c r="Q879" s="1"/>
      <c r="R879" s="1"/>
      <c r="S879" s="1"/>
      <c r="T879" s="1"/>
      <c r="U879" s="2"/>
      <c r="V879" s="1"/>
      <c r="W879" s="1"/>
      <c r="X879" s="1"/>
      <c r="Y879" s="1"/>
      <c r="Z879" s="1"/>
    </row>
    <row r="880" spans="1:26" ht="24.75" customHeight="1">
      <c r="A880" s="1"/>
      <c r="B880" s="1"/>
      <c r="C880" s="1"/>
      <c r="D880" s="1"/>
      <c r="E880" s="1"/>
      <c r="F880" s="1"/>
      <c r="G880" s="1"/>
      <c r="H880" s="1"/>
      <c r="I880" s="1"/>
      <c r="J880" s="1"/>
      <c r="K880" s="1"/>
      <c r="L880" s="1"/>
      <c r="M880" s="1"/>
      <c r="N880" s="1"/>
      <c r="O880" s="1"/>
      <c r="P880" s="1"/>
      <c r="Q880" s="1"/>
      <c r="R880" s="1"/>
      <c r="S880" s="1"/>
      <c r="T880" s="1"/>
      <c r="U880" s="2"/>
      <c r="V880" s="1"/>
      <c r="W880" s="1"/>
      <c r="X880" s="1"/>
      <c r="Y880" s="1"/>
      <c r="Z880" s="1"/>
    </row>
    <row r="881" spans="1:26" ht="24.75" customHeight="1">
      <c r="A881" s="1"/>
      <c r="B881" s="1"/>
      <c r="C881" s="1"/>
      <c r="D881" s="1"/>
      <c r="E881" s="1"/>
      <c r="F881" s="1"/>
      <c r="G881" s="1"/>
      <c r="H881" s="1"/>
      <c r="I881" s="1"/>
      <c r="J881" s="1"/>
      <c r="K881" s="1"/>
      <c r="L881" s="1"/>
      <c r="M881" s="1"/>
      <c r="N881" s="1"/>
      <c r="O881" s="1"/>
      <c r="P881" s="1"/>
      <c r="Q881" s="1"/>
      <c r="R881" s="1"/>
      <c r="S881" s="1"/>
      <c r="T881" s="1"/>
      <c r="U881" s="2"/>
      <c r="V881" s="1"/>
      <c r="W881" s="1"/>
      <c r="X881" s="1"/>
      <c r="Y881" s="1"/>
      <c r="Z881" s="1"/>
    </row>
    <row r="882" spans="1:26" ht="24.75" customHeight="1">
      <c r="A882" s="1"/>
      <c r="B882" s="1"/>
      <c r="C882" s="1"/>
      <c r="D882" s="1"/>
      <c r="E882" s="1"/>
      <c r="F882" s="1"/>
      <c r="G882" s="1"/>
      <c r="H882" s="1"/>
      <c r="I882" s="1"/>
      <c r="J882" s="1"/>
      <c r="K882" s="1"/>
      <c r="L882" s="1"/>
      <c r="M882" s="1"/>
      <c r="N882" s="1"/>
      <c r="O882" s="1"/>
      <c r="P882" s="1"/>
      <c r="Q882" s="1"/>
      <c r="R882" s="1"/>
      <c r="S882" s="1"/>
      <c r="T882" s="1"/>
      <c r="U882" s="2"/>
      <c r="V882" s="1"/>
      <c r="W882" s="1"/>
      <c r="X882" s="1"/>
      <c r="Y882" s="1"/>
      <c r="Z882" s="1"/>
    </row>
    <row r="883" spans="1:26" ht="24.75" customHeight="1">
      <c r="A883" s="1"/>
      <c r="B883" s="1"/>
      <c r="C883" s="1"/>
      <c r="D883" s="1"/>
      <c r="E883" s="1"/>
      <c r="F883" s="1"/>
      <c r="G883" s="1"/>
      <c r="H883" s="1"/>
      <c r="I883" s="1"/>
      <c r="J883" s="1"/>
      <c r="K883" s="1"/>
      <c r="L883" s="1"/>
      <c r="M883" s="1"/>
      <c r="N883" s="1"/>
      <c r="O883" s="1"/>
      <c r="P883" s="1"/>
      <c r="Q883" s="1"/>
      <c r="R883" s="1"/>
      <c r="S883" s="1"/>
      <c r="T883" s="1"/>
      <c r="U883" s="2"/>
      <c r="V883" s="1"/>
      <c r="W883" s="1"/>
      <c r="X883" s="1"/>
      <c r="Y883" s="1"/>
      <c r="Z883" s="1"/>
    </row>
    <row r="884" spans="1:26" ht="24.75" customHeight="1">
      <c r="A884" s="1"/>
      <c r="B884" s="1"/>
      <c r="C884" s="1"/>
      <c r="D884" s="1"/>
      <c r="E884" s="1"/>
      <c r="F884" s="1"/>
      <c r="G884" s="1"/>
      <c r="H884" s="1"/>
      <c r="I884" s="1"/>
      <c r="J884" s="1"/>
      <c r="K884" s="1"/>
      <c r="L884" s="1"/>
      <c r="M884" s="1"/>
      <c r="N884" s="1"/>
      <c r="O884" s="1"/>
      <c r="P884" s="1"/>
      <c r="Q884" s="1"/>
      <c r="R884" s="1"/>
      <c r="S884" s="1"/>
      <c r="T884" s="1"/>
      <c r="U884" s="2"/>
      <c r="V884" s="1"/>
      <c r="W884" s="1"/>
      <c r="X884" s="1"/>
      <c r="Y884" s="1"/>
      <c r="Z884" s="1"/>
    </row>
    <row r="885" spans="1:26" ht="24.75" customHeight="1">
      <c r="A885" s="1"/>
      <c r="B885" s="1"/>
      <c r="C885" s="1"/>
      <c r="D885" s="1"/>
      <c r="E885" s="1"/>
      <c r="F885" s="1"/>
      <c r="G885" s="1"/>
      <c r="H885" s="1"/>
      <c r="I885" s="1"/>
      <c r="J885" s="1"/>
      <c r="K885" s="1"/>
      <c r="L885" s="1"/>
      <c r="M885" s="1"/>
      <c r="N885" s="1"/>
      <c r="O885" s="1"/>
      <c r="P885" s="1"/>
      <c r="Q885" s="1"/>
      <c r="R885" s="1"/>
      <c r="S885" s="1"/>
      <c r="T885" s="1"/>
      <c r="U885" s="2"/>
      <c r="V885" s="1"/>
      <c r="W885" s="1"/>
      <c r="X885" s="1"/>
      <c r="Y885" s="1"/>
      <c r="Z885" s="1"/>
    </row>
    <row r="886" spans="1:26" ht="24.75" customHeight="1">
      <c r="A886" s="1"/>
      <c r="B886" s="1"/>
      <c r="C886" s="1"/>
      <c r="D886" s="1"/>
      <c r="E886" s="1"/>
      <c r="F886" s="1"/>
      <c r="G886" s="1"/>
      <c r="H886" s="1"/>
      <c r="I886" s="1"/>
      <c r="J886" s="1"/>
      <c r="K886" s="1"/>
      <c r="L886" s="1"/>
      <c r="M886" s="1"/>
      <c r="N886" s="1"/>
      <c r="O886" s="1"/>
      <c r="P886" s="1"/>
      <c r="Q886" s="1"/>
      <c r="R886" s="1"/>
      <c r="S886" s="1"/>
      <c r="T886" s="1"/>
      <c r="U886" s="2"/>
      <c r="V886" s="1"/>
      <c r="W886" s="1"/>
      <c r="X886" s="1"/>
      <c r="Y886" s="1"/>
      <c r="Z886" s="1"/>
    </row>
    <row r="887" spans="1:26" ht="24.75" customHeight="1">
      <c r="A887" s="1"/>
      <c r="B887" s="1"/>
      <c r="C887" s="1"/>
      <c r="D887" s="1"/>
      <c r="E887" s="1"/>
      <c r="F887" s="1"/>
      <c r="G887" s="1"/>
      <c r="H887" s="1"/>
      <c r="I887" s="1"/>
      <c r="J887" s="1"/>
      <c r="K887" s="1"/>
      <c r="L887" s="1"/>
      <c r="M887" s="1"/>
      <c r="N887" s="1"/>
      <c r="O887" s="1"/>
      <c r="P887" s="1"/>
      <c r="Q887" s="1"/>
      <c r="R887" s="1"/>
      <c r="S887" s="1"/>
      <c r="T887" s="1"/>
      <c r="U887" s="2"/>
      <c r="V887" s="1"/>
      <c r="W887" s="1"/>
      <c r="X887" s="1"/>
      <c r="Y887" s="1"/>
      <c r="Z887" s="1"/>
    </row>
    <row r="888" spans="1:26" ht="24.75" customHeight="1">
      <c r="A888" s="1"/>
      <c r="B888" s="1"/>
      <c r="C888" s="1"/>
      <c r="D888" s="1"/>
      <c r="E888" s="1"/>
      <c r="F888" s="1"/>
      <c r="G888" s="1"/>
      <c r="H888" s="1"/>
      <c r="I888" s="1"/>
      <c r="J888" s="1"/>
      <c r="K888" s="1"/>
      <c r="L888" s="1"/>
      <c r="M888" s="1"/>
      <c r="N888" s="1"/>
      <c r="O888" s="1"/>
      <c r="P888" s="1"/>
      <c r="Q888" s="1"/>
      <c r="R888" s="1"/>
      <c r="S888" s="1"/>
      <c r="T888" s="1"/>
      <c r="U888" s="2"/>
      <c r="V888" s="1"/>
      <c r="W888" s="1"/>
      <c r="X888" s="1"/>
      <c r="Y888" s="1"/>
      <c r="Z888" s="1"/>
    </row>
    <row r="889" spans="1:26" ht="24.75" customHeight="1">
      <c r="A889" s="1"/>
      <c r="B889" s="1"/>
      <c r="C889" s="1"/>
      <c r="D889" s="1"/>
      <c r="E889" s="1"/>
      <c r="F889" s="1"/>
      <c r="G889" s="1"/>
      <c r="H889" s="1"/>
      <c r="I889" s="1"/>
      <c r="J889" s="1"/>
      <c r="K889" s="1"/>
      <c r="L889" s="1"/>
      <c r="M889" s="1"/>
      <c r="N889" s="1"/>
      <c r="O889" s="1"/>
      <c r="P889" s="1"/>
      <c r="Q889" s="1"/>
      <c r="R889" s="1"/>
      <c r="S889" s="1"/>
      <c r="T889" s="1"/>
      <c r="U889" s="2"/>
      <c r="V889" s="1"/>
      <c r="W889" s="1"/>
      <c r="X889" s="1"/>
      <c r="Y889" s="1"/>
      <c r="Z889" s="1"/>
    </row>
    <row r="890" spans="1:26" ht="24.75" customHeight="1">
      <c r="A890" s="1"/>
      <c r="B890" s="1"/>
      <c r="C890" s="1"/>
      <c r="D890" s="1"/>
      <c r="E890" s="1"/>
      <c r="F890" s="1"/>
      <c r="G890" s="1"/>
      <c r="H890" s="1"/>
      <c r="I890" s="1"/>
      <c r="J890" s="1"/>
      <c r="K890" s="1"/>
      <c r="L890" s="1"/>
      <c r="M890" s="1"/>
      <c r="N890" s="1"/>
      <c r="O890" s="1"/>
      <c r="P890" s="1"/>
      <c r="Q890" s="1"/>
      <c r="R890" s="1"/>
      <c r="S890" s="1"/>
      <c r="T890" s="1"/>
      <c r="U890" s="2"/>
      <c r="V890" s="1"/>
      <c r="W890" s="1"/>
      <c r="X890" s="1"/>
      <c r="Y890" s="1"/>
      <c r="Z890" s="1"/>
    </row>
    <row r="891" spans="1:26" ht="24.75" customHeight="1">
      <c r="A891" s="1"/>
      <c r="B891" s="1"/>
      <c r="C891" s="1"/>
      <c r="D891" s="1"/>
      <c r="E891" s="1"/>
      <c r="F891" s="1"/>
      <c r="G891" s="1"/>
      <c r="H891" s="1"/>
      <c r="I891" s="1"/>
      <c r="J891" s="1"/>
      <c r="K891" s="1"/>
      <c r="L891" s="1"/>
      <c r="M891" s="1"/>
      <c r="N891" s="1"/>
      <c r="O891" s="1"/>
      <c r="P891" s="1"/>
      <c r="Q891" s="1"/>
      <c r="R891" s="1"/>
      <c r="S891" s="1"/>
      <c r="T891" s="1"/>
      <c r="U891" s="2"/>
      <c r="V891" s="1"/>
      <c r="W891" s="1"/>
      <c r="X891" s="1"/>
      <c r="Y891" s="1"/>
      <c r="Z891" s="1"/>
    </row>
    <row r="892" spans="1:26" ht="24.75" customHeight="1">
      <c r="A892" s="1"/>
      <c r="B892" s="1"/>
      <c r="C892" s="1"/>
      <c r="D892" s="1"/>
      <c r="E892" s="1"/>
      <c r="F892" s="1"/>
      <c r="G892" s="1"/>
      <c r="H892" s="1"/>
      <c r="I892" s="1"/>
      <c r="J892" s="1"/>
      <c r="K892" s="1"/>
      <c r="L892" s="1"/>
      <c r="M892" s="1"/>
      <c r="N892" s="1"/>
      <c r="O892" s="1"/>
      <c r="P892" s="1"/>
      <c r="Q892" s="1"/>
      <c r="R892" s="1"/>
      <c r="S892" s="1"/>
      <c r="T892" s="1"/>
      <c r="U892" s="2"/>
      <c r="V892" s="1"/>
      <c r="W892" s="1"/>
      <c r="X892" s="1"/>
      <c r="Y892" s="1"/>
      <c r="Z892" s="1"/>
    </row>
    <row r="893" spans="1:26" ht="24.75" customHeight="1">
      <c r="A893" s="1"/>
      <c r="B893" s="1"/>
      <c r="C893" s="1"/>
      <c r="D893" s="1"/>
      <c r="E893" s="1"/>
      <c r="F893" s="1"/>
      <c r="G893" s="1"/>
      <c r="H893" s="1"/>
      <c r="I893" s="1"/>
      <c r="J893" s="1"/>
      <c r="K893" s="1"/>
      <c r="L893" s="1"/>
      <c r="M893" s="1"/>
      <c r="N893" s="1"/>
      <c r="O893" s="1"/>
      <c r="P893" s="1"/>
      <c r="Q893" s="1"/>
      <c r="R893" s="1"/>
      <c r="S893" s="1"/>
      <c r="T893" s="1"/>
      <c r="U893" s="2"/>
      <c r="V893" s="1"/>
      <c r="W893" s="1"/>
      <c r="X893" s="1"/>
      <c r="Y893" s="1"/>
      <c r="Z893" s="1"/>
    </row>
    <row r="894" spans="1:26" ht="24.75" customHeight="1">
      <c r="A894" s="1"/>
      <c r="B894" s="1"/>
      <c r="C894" s="1"/>
      <c r="D894" s="1"/>
      <c r="E894" s="1"/>
      <c r="F894" s="1"/>
      <c r="G894" s="1"/>
      <c r="H894" s="1"/>
      <c r="I894" s="1"/>
      <c r="J894" s="1"/>
      <c r="K894" s="1"/>
      <c r="L894" s="1"/>
      <c r="M894" s="1"/>
      <c r="N894" s="1"/>
      <c r="O894" s="1"/>
      <c r="P894" s="1"/>
      <c r="Q894" s="1"/>
      <c r="R894" s="1"/>
      <c r="S894" s="1"/>
      <c r="T894" s="1"/>
      <c r="U894" s="2"/>
      <c r="V894" s="1"/>
      <c r="W894" s="1"/>
      <c r="X894" s="1"/>
      <c r="Y894" s="1"/>
      <c r="Z894" s="1"/>
    </row>
    <row r="895" spans="1:26" ht="24.75" customHeight="1">
      <c r="A895" s="1"/>
      <c r="B895" s="1"/>
      <c r="C895" s="1"/>
      <c r="D895" s="1"/>
      <c r="E895" s="1"/>
      <c r="F895" s="1"/>
      <c r="G895" s="1"/>
      <c r="H895" s="1"/>
      <c r="I895" s="1"/>
      <c r="J895" s="1"/>
      <c r="K895" s="1"/>
      <c r="L895" s="1"/>
      <c r="M895" s="1"/>
      <c r="N895" s="1"/>
      <c r="O895" s="1"/>
      <c r="P895" s="1"/>
      <c r="Q895" s="1"/>
      <c r="R895" s="1"/>
      <c r="S895" s="1"/>
      <c r="T895" s="1"/>
      <c r="U895" s="2"/>
      <c r="V895" s="1"/>
      <c r="W895" s="1"/>
      <c r="X895" s="1"/>
      <c r="Y895" s="1"/>
      <c r="Z895" s="1"/>
    </row>
    <row r="896" spans="1:26" ht="24.75" customHeight="1">
      <c r="A896" s="1"/>
      <c r="B896" s="1"/>
      <c r="C896" s="1"/>
      <c r="D896" s="1"/>
      <c r="E896" s="1"/>
      <c r="F896" s="1"/>
      <c r="G896" s="1"/>
      <c r="H896" s="1"/>
      <c r="I896" s="1"/>
      <c r="J896" s="1"/>
      <c r="K896" s="1"/>
      <c r="L896" s="1"/>
      <c r="M896" s="1"/>
      <c r="N896" s="1"/>
      <c r="O896" s="1"/>
      <c r="P896" s="1"/>
      <c r="Q896" s="1"/>
      <c r="R896" s="1"/>
      <c r="S896" s="1"/>
      <c r="T896" s="1"/>
      <c r="U896" s="2"/>
      <c r="V896" s="1"/>
      <c r="W896" s="1"/>
      <c r="X896" s="1"/>
      <c r="Y896" s="1"/>
      <c r="Z896" s="1"/>
    </row>
    <row r="897" spans="1:26" ht="24.75" customHeight="1">
      <c r="A897" s="1"/>
      <c r="B897" s="1"/>
      <c r="C897" s="1"/>
      <c r="D897" s="1"/>
      <c r="E897" s="1"/>
      <c r="F897" s="1"/>
      <c r="G897" s="1"/>
      <c r="H897" s="1"/>
      <c r="I897" s="1"/>
      <c r="J897" s="1"/>
      <c r="K897" s="1"/>
      <c r="L897" s="1"/>
      <c r="M897" s="1"/>
      <c r="N897" s="1"/>
      <c r="O897" s="1"/>
      <c r="P897" s="1"/>
      <c r="Q897" s="1"/>
      <c r="R897" s="1"/>
      <c r="S897" s="1"/>
      <c r="T897" s="1"/>
      <c r="U897" s="2"/>
      <c r="V897" s="1"/>
      <c r="W897" s="1"/>
      <c r="X897" s="1"/>
      <c r="Y897" s="1"/>
      <c r="Z897" s="1"/>
    </row>
    <row r="898" spans="1:26" ht="24.75" customHeight="1">
      <c r="A898" s="1"/>
      <c r="B898" s="1"/>
      <c r="C898" s="1"/>
      <c r="D898" s="1"/>
      <c r="E898" s="1"/>
      <c r="F898" s="1"/>
      <c r="G898" s="1"/>
      <c r="H898" s="1"/>
      <c r="I898" s="1"/>
      <c r="J898" s="1"/>
      <c r="K898" s="1"/>
      <c r="L898" s="1"/>
      <c r="M898" s="1"/>
      <c r="N898" s="1"/>
      <c r="O898" s="1"/>
      <c r="P898" s="1"/>
      <c r="Q898" s="1"/>
      <c r="R898" s="1"/>
      <c r="S898" s="1"/>
      <c r="T898" s="1"/>
      <c r="U898" s="2"/>
      <c r="V898" s="1"/>
      <c r="W898" s="1"/>
      <c r="X898" s="1"/>
      <c r="Y898" s="1"/>
      <c r="Z898" s="1"/>
    </row>
    <row r="899" spans="1:26" ht="24.75" customHeight="1">
      <c r="A899" s="1"/>
      <c r="B899" s="1"/>
      <c r="C899" s="1"/>
      <c r="D899" s="1"/>
      <c r="E899" s="1"/>
      <c r="F899" s="1"/>
      <c r="G899" s="1"/>
      <c r="H899" s="1"/>
      <c r="I899" s="1"/>
      <c r="J899" s="1"/>
      <c r="K899" s="1"/>
      <c r="L899" s="1"/>
      <c r="M899" s="1"/>
      <c r="N899" s="1"/>
      <c r="O899" s="1"/>
      <c r="P899" s="1"/>
      <c r="Q899" s="1"/>
      <c r="R899" s="1"/>
      <c r="S899" s="1"/>
      <c r="T899" s="1"/>
      <c r="U899" s="2"/>
      <c r="V899" s="1"/>
      <c r="W899" s="1"/>
      <c r="X899" s="1"/>
      <c r="Y899" s="1"/>
      <c r="Z899" s="1"/>
    </row>
    <row r="900" spans="1:26" ht="24.75" customHeight="1">
      <c r="A900" s="1"/>
      <c r="B900" s="1"/>
      <c r="C900" s="1"/>
      <c r="D900" s="1"/>
      <c r="E900" s="1"/>
      <c r="F900" s="1"/>
      <c r="G900" s="1"/>
      <c r="H900" s="1"/>
      <c r="I900" s="1"/>
      <c r="J900" s="1"/>
      <c r="K900" s="1"/>
      <c r="L900" s="1"/>
      <c r="M900" s="1"/>
      <c r="N900" s="1"/>
      <c r="O900" s="1"/>
      <c r="P900" s="1"/>
      <c r="Q900" s="1"/>
      <c r="R900" s="1"/>
      <c r="S900" s="1"/>
      <c r="T900" s="1"/>
      <c r="U900" s="2"/>
      <c r="V900" s="1"/>
      <c r="W900" s="1"/>
      <c r="X900" s="1"/>
      <c r="Y900" s="1"/>
      <c r="Z900" s="1"/>
    </row>
    <row r="901" spans="1:26" ht="24.75" customHeight="1">
      <c r="A901" s="1"/>
      <c r="B901" s="1"/>
      <c r="C901" s="1"/>
      <c r="D901" s="1"/>
      <c r="E901" s="1"/>
      <c r="F901" s="1"/>
      <c r="G901" s="1"/>
      <c r="H901" s="1"/>
      <c r="I901" s="1"/>
      <c r="J901" s="1"/>
      <c r="K901" s="1"/>
      <c r="L901" s="1"/>
      <c r="M901" s="1"/>
      <c r="N901" s="1"/>
      <c r="O901" s="1"/>
      <c r="P901" s="1"/>
      <c r="Q901" s="1"/>
      <c r="R901" s="1"/>
      <c r="S901" s="1"/>
      <c r="T901" s="1"/>
      <c r="U901" s="2"/>
      <c r="V901" s="1"/>
      <c r="W901" s="1"/>
      <c r="X901" s="1"/>
      <c r="Y901" s="1"/>
      <c r="Z901" s="1"/>
    </row>
    <row r="902" spans="1:26" ht="24.75" customHeight="1">
      <c r="A902" s="1"/>
      <c r="B902" s="1"/>
      <c r="C902" s="1"/>
      <c r="D902" s="1"/>
      <c r="E902" s="1"/>
      <c r="F902" s="1"/>
      <c r="G902" s="1"/>
      <c r="H902" s="1"/>
      <c r="I902" s="1"/>
      <c r="J902" s="1"/>
      <c r="K902" s="1"/>
      <c r="L902" s="1"/>
      <c r="M902" s="1"/>
      <c r="N902" s="1"/>
      <c r="O902" s="1"/>
      <c r="P902" s="1"/>
      <c r="Q902" s="1"/>
      <c r="R902" s="1"/>
      <c r="S902" s="1"/>
      <c r="T902" s="1"/>
      <c r="U902" s="2"/>
      <c r="V902" s="1"/>
      <c r="W902" s="1"/>
      <c r="X902" s="1"/>
      <c r="Y902" s="1"/>
      <c r="Z902" s="1"/>
    </row>
    <row r="903" spans="1:26" ht="24.75" customHeight="1">
      <c r="A903" s="1"/>
      <c r="B903" s="1"/>
      <c r="C903" s="1"/>
      <c r="D903" s="1"/>
      <c r="E903" s="1"/>
      <c r="F903" s="1"/>
      <c r="G903" s="1"/>
      <c r="H903" s="1"/>
      <c r="I903" s="1"/>
      <c r="J903" s="1"/>
      <c r="K903" s="1"/>
      <c r="L903" s="1"/>
      <c r="M903" s="1"/>
      <c r="N903" s="1"/>
      <c r="O903" s="1"/>
      <c r="P903" s="1"/>
      <c r="Q903" s="1"/>
      <c r="R903" s="1"/>
      <c r="S903" s="1"/>
      <c r="T903" s="1"/>
      <c r="U903" s="2"/>
      <c r="V903" s="1"/>
      <c r="W903" s="1"/>
      <c r="X903" s="1"/>
      <c r="Y903" s="1"/>
      <c r="Z903" s="1"/>
    </row>
    <row r="904" spans="1:26" ht="24.75" customHeight="1">
      <c r="A904" s="1"/>
      <c r="B904" s="1"/>
      <c r="C904" s="1"/>
      <c r="D904" s="1"/>
      <c r="E904" s="1"/>
      <c r="F904" s="1"/>
      <c r="G904" s="1"/>
      <c r="H904" s="1"/>
      <c r="I904" s="1"/>
      <c r="J904" s="1"/>
      <c r="K904" s="1"/>
      <c r="L904" s="1"/>
      <c r="M904" s="1"/>
      <c r="N904" s="1"/>
      <c r="O904" s="1"/>
      <c r="P904" s="1"/>
      <c r="Q904" s="1"/>
      <c r="R904" s="1"/>
      <c r="S904" s="1"/>
      <c r="T904" s="1"/>
      <c r="U904" s="2"/>
      <c r="V904" s="1"/>
      <c r="W904" s="1"/>
      <c r="X904" s="1"/>
      <c r="Y904" s="1"/>
      <c r="Z904" s="1"/>
    </row>
    <row r="905" spans="1:26" ht="24.75" customHeight="1">
      <c r="A905" s="1"/>
      <c r="B905" s="1"/>
      <c r="C905" s="1"/>
      <c r="D905" s="1"/>
      <c r="E905" s="1"/>
      <c r="F905" s="1"/>
      <c r="G905" s="1"/>
      <c r="H905" s="1"/>
      <c r="I905" s="1"/>
      <c r="J905" s="1"/>
      <c r="K905" s="1"/>
      <c r="L905" s="1"/>
      <c r="M905" s="1"/>
      <c r="N905" s="1"/>
      <c r="O905" s="1"/>
      <c r="P905" s="1"/>
      <c r="Q905" s="1"/>
      <c r="R905" s="1"/>
      <c r="S905" s="1"/>
      <c r="T905" s="1"/>
      <c r="U905" s="2"/>
      <c r="V905" s="1"/>
      <c r="W905" s="1"/>
      <c r="X905" s="1"/>
      <c r="Y905" s="1"/>
      <c r="Z905" s="1"/>
    </row>
    <row r="906" spans="1:26" ht="24.75" customHeight="1">
      <c r="A906" s="1"/>
      <c r="B906" s="1"/>
      <c r="C906" s="1"/>
      <c r="D906" s="1"/>
      <c r="E906" s="1"/>
      <c r="F906" s="1"/>
      <c r="G906" s="1"/>
      <c r="H906" s="1"/>
      <c r="I906" s="1"/>
      <c r="J906" s="1"/>
      <c r="K906" s="1"/>
      <c r="L906" s="1"/>
      <c r="M906" s="1"/>
      <c r="N906" s="1"/>
      <c r="O906" s="1"/>
      <c r="P906" s="1"/>
      <c r="Q906" s="1"/>
      <c r="R906" s="1"/>
      <c r="S906" s="1"/>
      <c r="T906" s="1"/>
      <c r="U906" s="2"/>
      <c r="V906" s="1"/>
      <c r="W906" s="1"/>
      <c r="X906" s="1"/>
      <c r="Y906" s="1"/>
      <c r="Z906" s="1"/>
    </row>
    <row r="907" spans="1:26" ht="24.75" customHeight="1">
      <c r="A907" s="1"/>
      <c r="B907" s="1"/>
      <c r="C907" s="1"/>
      <c r="D907" s="1"/>
      <c r="E907" s="1"/>
      <c r="F907" s="1"/>
      <c r="G907" s="1"/>
      <c r="H907" s="1"/>
      <c r="I907" s="1"/>
      <c r="J907" s="1"/>
      <c r="K907" s="1"/>
      <c r="L907" s="1"/>
      <c r="M907" s="1"/>
      <c r="N907" s="1"/>
      <c r="O907" s="1"/>
      <c r="P907" s="1"/>
      <c r="Q907" s="1"/>
      <c r="R907" s="1"/>
      <c r="S907" s="1"/>
      <c r="T907" s="1"/>
      <c r="U907" s="2"/>
      <c r="V907" s="1"/>
      <c r="W907" s="1"/>
      <c r="X907" s="1"/>
      <c r="Y907" s="1"/>
      <c r="Z907" s="1"/>
    </row>
    <row r="908" spans="1:26" ht="24.75" customHeight="1">
      <c r="A908" s="1"/>
      <c r="B908" s="1"/>
      <c r="C908" s="1"/>
      <c r="D908" s="1"/>
      <c r="E908" s="1"/>
      <c r="F908" s="1"/>
      <c r="G908" s="1"/>
      <c r="H908" s="1"/>
      <c r="I908" s="1"/>
      <c r="J908" s="1"/>
      <c r="K908" s="1"/>
      <c r="L908" s="1"/>
      <c r="M908" s="1"/>
      <c r="N908" s="1"/>
      <c r="O908" s="1"/>
      <c r="P908" s="1"/>
      <c r="Q908" s="1"/>
      <c r="R908" s="1"/>
      <c r="S908" s="1"/>
      <c r="T908" s="1"/>
      <c r="U908" s="2"/>
      <c r="V908" s="1"/>
      <c r="W908" s="1"/>
      <c r="X908" s="1"/>
      <c r="Y908" s="1"/>
      <c r="Z908" s="1"/>
    </row>
    <row r="909" spans="1:26" ht="24.75" customHeight="1">
      <c r="A909" s="1"/>
      <c r="B909" s="1"/>
      <c r="C909" s="1"/>
      <c r="D909" s="1"/>
      <c r="E909" s="1"/>
      <c r="F909" s="1"/>
      <c r="G909" s="1"/>
      <c r="H909" s="1"/>
      <c r="I909" s="1"/>
      <c r="J909" s="1"/>
      <c r="K909" s="1"/>
      <c r="L909" s="1"/>
      <c r="M909" s="1"/>
      <c r="N909" s="1"/>
      <c r="O909" s="1"/>
      <c r="P909" s="1"/>
      <c r="Q909" s="1"/>
      <c r="R909" s="1"/>
      <c r="S909" s="1"/>
      <c r="T909" s="1"/>
      <c r="U909" s="2"/>
      <c r="V909" s="1"/>
      <c r="W909" s="1"/>
      <c r="X909" s="1"/>
      <c r="Y909" s="1"/>
      <c r="Z909" s="1"/>
    </row>
    <row r="910" spans="1:26" ht="24.75" customHeight="1">
      <c r="A910" s="1"/>
      <c r="B910" s="1"/>
      <c r="C910" s="1"/>
      <c r="D910" s="1"/>
      <c r="E910" s="1"/>
      <c r="F910" s="1"/>
      <c r="G910" s="1"/>
      <c r="H910" s="1"/>
      <c r="I910" s="1"/>
      <c r="J910" s="1"/>
      <c r="K910" s="1"/>
      <c r="L910" s="1"/>
      <c r="M910" s="1"/>
      <c r="N910" s="1"/>
      <c r="O910" s="1"/>
      <c r="P910" s="1"/>
      <c r="Q910" s="1"/>
      <c r="R910" s="1"/>
      <c r="S910" s="1"/>
      <c r="T910" s="1"/>
      <c r="U910" s="2"/>
      <c r="V910" s="1"/>
      <c r="W910" s="1"/>
      <c r="X910" s="1"/>
      <c r="Y910" s="1"/>
      <c r="Z910" s="1"/>
    </row>
    <row r="911" spans="1:26" ht="24.75" customHeight="1">
      <c r="A911" s="1"/>
      <c r="B911" s="1"/>
      <c r="C911" s="1"/>
      <c r="D911" s="1"/>
      <c r="E911" s="1"/>
      <c r="F911" s="1"/>
      <c r="G911" s="1"/>
      <c r="H911" s="1"/>
      <c r="I911" s="1"/>
      <c r="J911" s="1"/>
      <c r="K911" s="1"/>
      <c r="L911" s="1"/>
      <c r="M911" s="1"/>
      <c r="N911" s="1"/>
      <c r="O911" s="1"/>
      <c r="P911" s="1"/>
      <c r="Q911" s="1"/>
      <c r="R911" s="1"/>
      <c r="S911" s="1"/>
      <c r="T911" s="1"/>
      <c r="U911" s="2"/>
      <c r="V911" s="1"/>
      <c r="W911" s="1"/>
      <c r="X911" s="1"/>
      <c r="Y911" s="1"/>
      <c r="Z911" s="1"/>
    </row>
    <row r="912" spans="1:26" ht="24.75" customHeight="1">
      <c r="A912" s="1"/>
      <c r="B912" s="1"/>
      <c r="C912" s="1"/>
      <c r="D912" s="1"/>
      <c r="E912" s="1"/>
      <c r="F912" s="1"/>
      <c r="G912" s="1"/>
      <c r="H912" s="1"/>
      <c r="I912" s="1"/>
      <c r="J912" s="1"/>
      <c r="K912" s="1"/>
      <c r="L912" s="1"/>
      <c r="M912" s="1"/>
      <c r="N912" s="1"/>
      <c r="O912" s="1"/>
      <c r="P912" s="1"/>
      <c r="Q912" s="1"/>
      <c r="R912" s="1"/>
      <c r="S912" s="1"/>
      <c r="T912" s="1"/>
      <c r="U912" s="2"/>
      <c r="V912" s="1"/>
      <c r="W912" s="1"/>
      <c r="X912" s="1"/>
      <c r="Y912" s="1"/>
      <c r="Z912" s="1"/>
    </row>
    <row r="913" spans="1:26" ht="24.75" customHeight="1">
      <c r="A913" s="1"/>
      <c r="B913" s="1"/>
      <c r="C913" s="1"/>
      <c r="D913" s="1"/>
      <c r="E913" s="1"/>
      <c r="F913" s="1"/>
      <c r="G913" s="1"/>
      <c r="H913" s="1"/>
      <c r="I913" s="1"/>
      <c r="J913" s="1"/>
      <c r="K913" s="1"/>
      <c r="L913" s="1"/>
      <c r="M913" s="1"/>
      <c r="N913" s="1"/>
      <c r="O913" s="1"/>
      <c r="P913" s="1"/>
      <c r="Q913" s="1"/>
      <c r="R913" s="1"/>
      <c r="S913" s="1"/>
      <c r="T913" s="1"/>
      <c r="U913" s="2"/>
      <c r="V913" s="1"/>
      <c r="W913" s="1"/>
      <c r="X913" s="1"/>
      <c r="Y913" s="1"/>
      <c r="Z913" s="1"/>
    </row>
    <row r="914" spans="1:26" ht="24.75" customHeight="1">
      <c r="A914" s="1"/>
      <c r="B914" s="1"/>
      <c r="C914" s="1"/>
      <c r="D914" s="1"/>
      <c r="E914" s="1"/>
      <c r="F914" s="1"/>
      <c r="G914" s="1"/>
      <c r="H914" s="1"/>
      <c r="I914" s="1"/>
      <c r="J914" s="1"/>
      <c r="K914" s="1"/>
      <c r="L914" s="1"/>
      <c r="M914" s="1"/>
      <c r="N914" s="1"/>
      <c r="O914" s="1"/>
      <c r="P914" s="1"/>
      <c r="Q914" s="1"/>
      <c r="R914" s="1"/>
      <c r="S914" s="1"/>
      <c r="T914" s="1"/>
      <c r="U914" s="2"/>
      <c r="V914" s="1"/>
      <c r="W914" s="1"/>
      <c r="X914" s="1"/>
      <c r="Y914" s="1"/>
      <c r="Z914" s="1"/>
    </row>
    <row r="915" spans="1:26" ht="24.75" customHeight="1">
      <c r="A915" s="1"/>
      <c r="B915" s="1"/>
      <c r="C915" s="1"/>
      <c r="D915" s="1"/>
      <c r="E915" s="1"/>
      <c r="F915" s="1"/>
      <c r="G915" s="1"/>
      <c r="H915" s="1"/>
      <c r="I915" s="1"/>
      <c r="J915" s="1"/>
      <c r="K915" s="1"/>
      <c r="L915" s="1"/>
      <c r="M915" s="1"/>
      <c r="N915" s="1"/>
      <c r="O915" s="1"/>
      <c r="P915" s="1"/>
      <c r="Q915" s="1"/>
      <c r="R915" s="1"/>
      <c r="S915" s="1"/>
      <c r="T915" s="1"/>
      <c r="U915" s="2"/>
      <c r="V915" s="1"/>
      <c r="W915" s="1"/>
      <c r="X915" s="1"/>
      <c r="Y915" s="1"/>
      <c r="Z915" s="1"/>
    </row>
    <row r="916" spans="1:26" ht="24.75" customHeight="1">
      <c r="A916" s="1"/>
      <c r="B916" s="1"/>
      <c r="C916" s="1"/>
      <c r="D916" s="1"/>
      <c r="E916" s="1"/>
      <c r="F916" s="1"/>
      <c r="G916" s="1"/>
      <c r="H916" s="1"/>
      <c r="I916" s="1"/>
      <c r="J916" s="1"/>
      <c r="K916" s="1"/>
      <c r="L916" s="1"/>
      <c r="M916" s="1"/>
      <c r="N916" s="1"/>
      <c r="O916" s="1"/>
      <c r="P916" s="1"/>
      <c r="Q916" s="1"/>
      <c r="R916" s="1"/>
      <c r="S916" s="1"/>
      <c r="T916" s="1"/>
      <c r="U916" s="2"/>
      <c r="V916" s="1"/>
      <c r="W916" s="1"/>
      <c r="X916" s="1"/>
      <c r="Y916" s="1"/>
      <c r="Z916" s="1"/>
    </row>
    <row r="917" spans="1:26" ht="24.75" customHeight="1">
      <c r="A917" s="1"/>
      <c r="B917" s="1"/>
      <c r="C917" s="1"/>
      <c r="D917" s="1"/>
      <c r="E917" s="1"/>
      <c r="F917" s="1"/>
      <c r="G917" s="1"/>
      <c r="H917" s="1"/>
      <c r="I917" s="1"/>
      <c r="J917" s="1"/>
      <c r="K917" s="1"/>
      <c r="L917" s="1"/>
      <c r="M917" s="1"/>
      <c r="N917" s="1"/>
      <c r="O917" s="1"/>
      <c r="P917" s="1"/>
      <c r="Q917" s="1"/>
      <c r="R917" s="1"/>
      <c r="S917" s="1"/>
      <c r="T917" s="1"/>
      <c r="U917" s="2"/>
      <c r="V917" s="1"/>
      <c r="W917" s="1"/>
      <c r="X917" s="1"/>
      <c r="Y917" s="1"/>
      <c r="Z917" s="1"/>
    </row>
    <row r="918" spans="1:26" ht="24.75" customHeight="1">
      <c r="A918" s="1"/>
      <c r="B918" s="1"/>
      <c r="C918" s="1"/>
      <c r="D918" s="1"/>
      <c r="E918" s="1"/>
      <c r="F918" s="1"/>
      <c r="G918" s="1"/>
      <c r="H918" s="1"/>
      <c r="I918" s="1"/>
      <c r="J918" s="1"/>
      <c r="K918" s="1"/>
      <c r="L918" s="1"/>
      <c r="M918" s="1"/>
      <c r="N918" s="1"/>
      <c r="O918" s="1"/>
      <c r="P918" s="1"/>
      <c r="Q918" s="1"/>
      <c r="R918" s="1"/>
      <c r="S918" s="1"/>
      <c r="T918" s="1"/>
      <c r="U918" s="2"/>
      <c r="V918" s="1"/>
      <c r="W918" s="1"/>
      <c r="X918" s="1"/>
      <c r="Y918" s="1"/>
      <c r="Z918" s="1"/>
    </row>
    <row r="919" spans="1:26" ht="24.75" customHeight="1">
      <c r="A919" s="1"/>
      <c r="B919" s="1"/>
      <c r="C919" s="1"/>
      <c r="D919" s="1"/>
      <c r="E919" s="1"/>
      <c r="F919" s="1"/>
      <c r="G919" s="1"/>
      <c r="H919" s="1"/>
      <c r="I919" s="1"/>
      <c r="J919" s="1"/>
      <c r="K919" s="1"/>
      <c r="L919" s="1"/>
      <c r="M919" s="1"/>
      <c r="N919" s="1"/>
      <c r="O919" s="1"/>
      <c r="P919" s="1"/>
      <c r="Q919" s="1"/>
      <c r="R919" s="1"/>
      <c r="S919" s="1"/>
      <c r="T919" s="1"/>
      <c r="U919" s="2"/>
      <c r="V919" s="1"/>
      <c r="W919" s="1"/>
      <c r="X919" s="1"/>
      <c r="Y919" s="1"/>
      <c r="Z919" s="1"/>
    </row>
    <row r="920" spans="1:26" ht="24.75" customHeight="1">
      <c r="A920" s="1"/>
      <c r="B920" s="1"/>
      <c r="C920" s="1"/>
      <c r="D920" s="1"/>
      <c r="E920" s="1"/>
      <c r="F920" s="1"/>
      <c r="G920" s="1"/>
      <c r="H920" s="1"/>
      <c r="I920" s="1"/>
      <c r="J920" s="1"/>
      <c r="K920" s="1"/>
      <c r="L920" s="1"/>
      <c r="M920" s="1"/>
      <c r="N920" s="1"/>
      <c r="O920" s="1"/>
      <c r="P920" s="1"/>
      <c r="Q920" s="1"/>
      <c r="R920" s="1"/>
      <c r="S920" s="1"/>
      <c r="T920" s="1"/>
      <c r="U920" s="2"/>
      <c r="V920" s="1"/>
      <c r="W920" s="1"/>
      <c r="X920" s="1"/>
      <c r="Y920" s="1"/>
      <c r="Z920" s="1"/>
    </row>
    <row r="921" spans="1:26" ht="24.75" customHeight="1">
      <c r="A921" s="1"/>
      <c r="B921" s="1"/>
      <c r="C921" s="1"/>
      <c r="D921" s="1"/>
      <c r="E921" s="1"/>
      <c r="F921" s="1"/>
      <c r="G921" s="1"/>
      <c r="H921" s="1"/>
      <c r="I921" s="1"/>
      <c r="J921" s="1"/>
      <c r="K921" s="1"/>
      <c r="L921" s="1"/>
      <c r="M921" s="1"/>
      <c r="N921" s="1"/>
      <c r="O921" s="1"/>
      <c r="P921" s="1"/>
      <c r="Q921" s="1"/>
      <c r="R921" s="1"/>
      <c r="S921" s="1"/>
      <c r="T921" s="1"/>
      <c r="U921" s="2"/>
      <c r="V921" s="1"/>
      <c r="W921" s="1"/>
      <c r="X921" s="1"/>
      <c r="Y921" s="1"/>
      <c r="Z921" s="1"/>
    </row>
    <row r="922" spans="1:26" ht="24.75" customHeight="1">
      <c r="A922" s="1"/>
      <c r="B922" s="1"/>
      <c r="C922" s="1"/>
      <c r="D922" s="1"/>
      <c r="E922" s="1"/>
      <c r="F922" s="1"/>
      <c r="G922" s="1"/>
      <c r="H922" s="1"/>
      <c r="I922" s="1"/>
      <c r="J922" s="1"/>
      <c r="K922" s="1"/>
      <c r="L922" s="1"/>
      <c r="M922" s="1"/>
      <c r="N922" s="1"/>
      <c r="O922" s="1"/>
      <c r="P922" s="1"/>
      <c r="Q922" s="1"/>
      <c r="R922" s="1"/>
      <c r="S922" s="1"/>
      <c r="T922" s="1"/>
      <c r="U922" s="2"/>
      <c r="V922" s="1"/>
      <c r="W922" s="1"/>
      <c r="X922" s="1"/>
      <c r="Y922" s="1"/>
      <c r="Z922" s="1"/>
    </row>
    <row r="923" spans="1:26" ht="24.75" customHeight="1">
      <c r="A923" s="1"/>
      <c r="B923" s="1"/>
      <c r="C923" s="1"/>
      <c r="D923" s="1"/>
      <c r="E923" s="1"/>
      <c r="F923" s="1"/>
      <c r="G923" s="1"/>
      <c r="H923" s="1"/>
      <c r="I923" s="1"/>
      <c r="J923" s="1"/>
      <c r="K923" s="1"/>
      <c r="L923" s="1"/>
      <c r="M923" s="1"/>
      <c r="N923" s="1"/>
      <c r="O923" s="1"/>
      <c r="P923" s="1"/>
      <c r="Q923" s="1"/>
      <c r="R923" s="1"/>
      <c r="S923" s="1"/>
      <c r="T923" s="1"/>
      <c r="U923" s="2"/>
      <c r="V923" s="1"/>
      <c r="W923" s="1"/>
      <c r="X923" s="1"/>
      <c r="Y923" s="1"/>
      <c r="Z923" s="1"/>
    </row>
    <row r="924" spans="1:26" ht="24.75" customHeight="1">
      <c r="A924" s="1"/>
      <c r="B924" s="1"/>
      <c r="C924" s="1"/>
      <c r="D924" s="1"/>
      <c r="E924" s="1"/>
      <c r="F924" s="1"/>
      <c r="G924" s="1"/>
      <c r="H924" s="1"/>
      <c r="I924" s="1"/>
      <c r="J924" s="1"/>
      <c r="K924" s="1"/>
      <c r="L924" s="1"/>
      <c r="M924" s="1"/>
      <c r="N924" s="1"/>
      <c r="O924" s="1"/>
      <c r="P924" s="1"/>
      <c r="Q924" s="1"/>
      <c r="R924" s="1"/>
      <c r="S924" s="1"/>
      <c r="T924" s="1"/>
      <c r="U924" s="2"/>
      <c r="V924" s="1"/>
      <c r="W924" s="1"/>
      <c r="X924" s="1"/>
      <c r="Y924" s="1"/>
      <c r="Z924" s="1"/>
    </row>
    <row r="925" spans="1:26" ht="24.75" customHeight="1">
      <c r="A925" s="1"/>
      <c r="B925" s="1"/>
      <c r="C925" s="1"/>
      <c r="D925" s="1"/>
      <c r="E925" s="1"/>
      <c r="F925" s="1"/>
      <c r="G925" s="1"/>
      <c r="H925" s="1"/>
      <c r="I925" s="1"/>
      <c r="J925" s="1"/>
      <c r="K925" s="1"/>
      <c r="L925" s="1"/>
      <c r="M925" s="1"/>
      <c r="N925" s="1"/>
      <c r="O925" s="1"/>
      <c r="P925" s="1"/>
      <c r="Q925" s="1"/>
      <c r="R925" s="1"/>
      <c r="S925" s="1"/>
      <c r="T925" s="1"/>
      <c r="U925" s="2"/>
      <c r="V925" s="1"/>
      <c r="W925" s="1"/>
      <c r="X925" s="1"/>
      <c r="Y925" s="1"/>
      <c r="Z925" s="1"/>
    </row>
    <row r="926" spans="1:26" ht="24.75" customHeight="1">
      <c r="A926" s="1"/>
      <c r="B926" s="1"/>
      <c r="C926" s="1"/>
      <c r="D926" s="1"/>
      <c r="E926" s="1"/>
      <c r="F926" s="1"/>
      <c r="G926" s="1"/>
      <c r="H926" s="1"/>
      <c r="I926" s="1"/>
      <c r="J926" s="1"/>
      <c r="K926" s="1"/>
      <c r="L926" s="1"/>
      <c r="M926" s="1"/>
      <c r="N926" s="1"/>
      <c r="O926" s="1"/>
      <c r="P926" s="1"/>
      <c r="Q926" s="1"/>
      <c r="R926" s="1"/>
      <c r="S926" s="1"/>
      <c r="T926" s="1"/>
      <c r="U926" s="2"/>
      <c r="V926" s="1"/>
      <c r="W926" s="1"/>
      <c r="X926" s="1"/>
      <c r="Y926" s="1"/>
      <c r="Z926" s="1"/>
    </row>
    <row r="927" spans="1:26" ht="24.75" customHeight="1">
      <c r="A927" s="1"/>
      <c r="B927" s="1"/>
      <c r="C927" s="1"/>
      <c r="D927" s="1"/>
      <c r="E927" s="1"/>
      <c r="F927" s="1"/>
      <c r="G927" s="1"/>
      <c r="H927" s="1"/>
      <c r="I927" s="1"/>
      <c r="J927" s="1"/>
      <c r="K927" s="1"/>
      <c r="L927" s="1"/>
      <c r="M927" s="1"/>
      <c r="N927" s="1"/>
      <c r="O927" s="1"/>
      <c r="P927" s="1"/>
      <c r="Q927" s="1"/>
      <c r="R927" s="1"/>
      <c r="S927" s="1"/>
      <c r="T927" s="1"/>
      <c r="U927" s="2"/>
      <c r="V927" s="1"/>
      <c r="W927" s="1"/>
      <c r="X927" s="1"/>
      <c r="Y927" s="1"/>
      <c r="Z927" s="1"/>
    </row>
    <row r="928" spans="1:26" ht="24.75" customHeight="1">
      <c r="A928" s="1"/>
      <c r="B928" s="1"/>
      <c r="C928" s="1"/>
      <c r="D928" s="1"/>
      <c r="E928" s="1"/>
      <c r="F928" s="1"/>
      <c r="G928" s="1"/>
      <c r="H928" s="1"/>
      <c r="I928" s="1"/>
      <c r="J928" s="1"/>
      <c r="K928" s="1"/>
      <c r="L928" s="1"/>
      <c r="M928" s="1"/>
      <c r="N928" s="1"/>
      <c r="O928" s="1"/>
      <c r="P928" s="1"/>
      <c r="Q928" s="1"/>
      <c r="R928" s="1"/>
      <c r="S928" s="1"/>
      <c r="T928" s="1"/>
      <c r="U928" s="2"/>
      <c r="V928" s="1"/>
      <c r="W928" s="1"/>
      <c r="X928" s="1"/>
      <c r="Y928" s="1"/>
      <c r="Z928" s="1"/>
    </row>
    <row r="929" spans="1:26" ht="24.75" customHeight="1">
      <c r="A929" s="1"/>
      <c r="B929" s="1"/>
      <c r="C929" s="1"/>
      <c r="D929" s="1"/>
      <c r="E929" s="1"/>
      <c r="F929" s="1"/>
      <c r="G929" s="1"/>
      <c r="H929" s="1"/>
      <c r="I929" s="1"/>
      <c r="J929" s="1"/>
      <c r="K929" s="1"/>
      <c r="L929" s="1"/>
      <c r="M929" s="1"/>
      <c r="N929" s="1"/>
      <c r="O929" s="1"/>
      <c r="P929" s="1"/>
      <c r="Q929" s="1"/>
      <c r="R929" s="1"/>
      <c r="S929" s="1"/>
      <c r="T929" s="1"/>
      <c r="U929" s="2"/>
      <c r="V929" s="1"/>
      <c r="W929" s="1"/>
      <c r="X929" s="1"/>
      <c r="Y929" s="1"/>
      <c r="Z929" s="1"/>
    </row>
    <row r="930" spans="1:26" ht="24.75" customHeight="1">
      <c r="A930" s="1"/>
      <c r="B930" s="1"/>
      <c r="C930" s="1"/>
      <c r="D930" s="1"/>
      <c r="E930" s="1"/>
      <c r="F930" s="1"/>
      <c r="G930" s="1"/>
      <c r="H930" s="1"/>
      <c r="I930" s="1"/>
      <c r="J930" s="1"/>
      <c r="K930" s="1"/>
      <c r="L930" s="1"/>
      <c r="M930" s="1"/>
      <c r="N930" s="1"/>
      <c r="O930" s="1"/>
      <c r="P930" s="1"/>
      <c r="Q930" s="1"/>
      <c r="R930" s="1"/>
      <c r="S930" s="1"/>
      <c r="T930" s="1"/>
      <c r="U930" s="2"/>
      <c r="V930" s="1"/>
      <c r="W930" s="1"/>
      <c r="X930" s="1"/>
      <c r="Y930" s="1"/>
      <c r="Z930" s="1"/>
    </row>
    <row r="931" spans="1:26" ht="24.75" customHeight="1">
      <c r="A931" s="1"/>
      <c r="B931" s="1"/>
      <c r="C931" s="1"/>
      <c r="D931" s="1"/>
      <c r="E931" s="1"/>
      <c r="F931" s="1"/>
      <c r="G931" s="1"/>
      <c r="H931" s="1"/>
      <c r="I931" s="1"/>
      <c r="J931" s="1"/>
      <c r="K931" s="1"/>
      <c r="L931" s="1"/>
      <c r="M931" s="1"/>
      <c r="N931" s="1"/>
      <c r="O931" s="1"/>
      <c r="P931" s="1"/>
      <c r="Q931" s="1"/>
      <c r="R931" s="1"/>
      <c r="S931" s="1"/>
      <c r="T931" s="1"/>
      <c r="U931" s="2"/>
      <c r="V931" s="1"/>
      <c r="W931" s="1"/>
      <c r="X931" s="1"/>
      <c r="Y931" s="1"/>
      <c r="Z931" s="1"/>
    </row>
    <row r="932" spans="1:26" ht="24.75" customHeight="1">
      <c r="A932" s="1"/>
      <c r="B932" s="1"/>
      <c r="C932" s="1"/>
      <c r="D932" s="1"/>
      <c r="E932" s="1"/>
      <c r="F932" s="1"/>
      <c r="G932" s="1"/>
      <c r="H932" s="1"/>
      <c r="I932" s="1"/>
      <c r="J932" s="1"/>
      <c r="K932" s="1"/>
      <c r="L932" s="1"/>
      <c r="M932" s="1"/>
      <c r="N932" s="1"/>
      <c r="O932" s="1"/>
      <c r="P932" s="1"/>
      <c r="Q932" s="1"/>
      <c r="R932" s="1"/>
      <c r="S932" s="1"/>
      <c r="T932" s="1"/>
      <c r="U932" s="2"/>
      <c r="V932" s="1"/>
      <c r="W932" s="1"/>
      <c r="X932" s="1"/>
      <c r="Y932" s="1"/>
      <c r="Z932" s="1"/>
    </row>
    <row r="933" spans="1:26" ht="24.75" customHeight="1">
      <c r="A933" s="1"/>
      <c r="B933" s="1"/>
      <c r="C933" s="1"/>
      <c r="D933" s="1"/>
      <c r="E933" s="1"/>
      <c r="F933" s="1"/>
      <c r="G933" s="1"/>
      <c r="H933" s="1"/>
      <c r="I933" s="1"/>
      <c r="J933" s="1"/>
      <c r="K933" s="1"/>
      <c r="L933" s="1"/>
      <c r="M933" s="1"/>
      <c r="N933" s="1"/>
      <c r="O933" s="1"/>
      <c r="P933" s="1"/>
      <c r="Q933" s="1"/>
      <c r="R933" s="1"/>
      <c r="S933" s="1"/>
      <c r="T933" s="1"/>
      <c r="U933" s="2"/>
      <c r="V933" s="1"/>
      <c r="W933" s="1"/>
      <c r="X933" s="1"/>
      <c r="Y933" s="1"/>
      <c r="Z933" s="1"/>
    </row>
    <row r="934" spans="1:26" ht="24.75" customHeight="1">
      <c r="A934" s="1"/>
      <c r="B934" s="1"/>
      <c r="C934" s="1"/>
      <c r="D934" s="1"/>
      <c r="E934" s="1"/>
      <c r="F934" s="1"/>
      <c r="G934" s="1"/>
      <c r="H934" s="1"/>
      <c r="I934" s="1"/>
      <c r="J934" s="1"/>
      <c r="K934" s="1"/>
      <c r="L934" s="1"/>
      <c r="M934" s="1"/>
      <c r="N934" s="1"/>
      <c r="O934" s="1"/>
      <c r="P934" s="1"/>
      <c r="Q934" s="1"/>
      <c r="R934" s="1"/>
      <c r="S934" s="1"/>
      <c r="T934" s="1"/>
      <c r="U934" s="2"/>
      <c r="V934" s="1"/>
      <c r="W934" s="1"/>
      <c r="X934" s="1"/>
      <c r="Y934" s="1"/>
      <c r="Z934" s="1"/>
    </row>
    <row r="935" spans="1:26" ht="24.75" customHeight="1">
      <c r="A935" s="1"/>
      <c r="B935" s="1"/>
      <c r="C935" s="1"/>
      <c r="D935" s="1"/>
      <c r="E935" s="1"/>
      <c r="F935" s="1"/>
      <c r="G935" s="1"/>
      <c r="H935" s="1"/>
      <c r="I935" s="1"/>
      <c r="J935" s="1"/>
      <c r="K935" s="1"/>
      <c r="L935" s="1"/>
      <c r="M935" s="1"/>
      <c r="N935" s="1"/>
      <c r="O935" s="1"/>
      <c r="P935" s="1"/>
      <c r="Q935" s="1"/>
      <c r="R935" s="1"/>
      <c r="S935" s="1"/>
      <c r="T935" s="1"/>
      <c r="U935" s="2"/>
      <c r="V935" s="1"/>
      <c r="W935" s="1"/>
      <c r="X935" s="1"/>
      <c r="Y935" s="1"/>
      <c r="Z935" s="1"/>
    </row>
    <row r="936" spans="1:26" ht="24.75" customHeight="1">
      <c r="A936" s="1"/>
      <c r="B936" s="1"/>
      <c r="C936" s="1"/>
      <c r="D936" s="1"/>
      <c r="E936" s="1"/>
      <c r="F936" s="1"/>
      <c r="G936" s="1"/>
      <c r="H936" s="1"/>
      <c r="I936" s="1"/>
      <c r="J936" s="1"/>
      <c r="K936" s="1"/>
      <c r="L936" s="1"/>
      <c r="M936" s="1"/>
      <c r="N936" s="1"/>
      <c r="O936" s="1"/>
      <c r="P936" s="1"/>
      <c r="Q936" s="1"/>
      <c r="R936" s="1"/>
      <c r="S936" s="1"/>
      <c r="T936" s="1"/>
      <c r="U936" s="2"/>
      <c r="V936" s="1"/>
      <c r="W936" s="1"/>
      <c r="X936" s="1"/>
      <c r="Y936" s="1"/>
      <c r="Z936" s="1"/>
    </row>
    <row r="937" spans="1:26" ht="24.75" customHeight="1">
      <c r="A937" s="1"/>
      <c r="B937" s="1"/>
      <c r="C937" s="1"/>
      <c r="D937" s="1"/>
      <c r="E937" s="1"/>
      <c r="F937" s="1"/>
      <c r="G937" s="1"/>
      <c r="H937" s="1"/>
      <c r="I937" s="1"/>
      <c r="J937" s="1"/>
      <c r="K937" s="1"/>
      <c r="L937" s="1"/>
      <c r="M937" s="1"/>
      <c r="N937" s="1"/>
      <c r="O937" s="1"/>
      <c r="P937" s="1"/>
      <c r="Q937" s="1"/>
      <c r="R937" s="1"/>
      <c r="S937" s="1"/>
      <c r="T937" s="1"/>
      <c r="U937" s="2"/>
      <c r="V937" s="1"/>
      <c r="W937" s="1"/>
      <c r="X937" s="1"/>
      <c r="Y937" s="1"/>
      <c r="Z937" s="1"/>
    </row>
    <row r="938" spans="1:26" ht="24.75" customHeight="1">
      <c r="A938" s="1"/>
      <c r="B938" s="1"/>
      <c r="C938" s="1"/>
      <c r="D938" s="1"/>
      <c r="E938" s="1"/>
      <c r="F938" s="1"/>
      <c r="G938" s="1"/>
      <c r="H938" s="1"/>
      <c r="I938" s="1"/>
      <c r="J938" s="1"/>
      <c r="K938" s="1"/>
      <c r="L938" s="1"/>
      <c r="M938" s="1"/>
      <c r="N938" s="1"/>
      <c r="O938" s="1"/>
      <c r="P938" s="1"/>
      <c r="Q938" s="1"/>
      <c r="R938" s="1"/>
      <c r="S938" s="1"/>
      <c r="T938" s="1"/>
      <c r="U938" s="2"/>
      <c r="V938" s="1"/>
      <c r="W938" s="1"/>
      <c r="X938" s="1"/>
      <c r="Y938" s="1"/>
      <c r="Z938" s="1"/>
    </row>
    <row r="939" spans="1:26" ht="24.75" customHeight="1">
      <c r="A939" s="1"/>
      <c r="B939" s="1"/>
      <c r="C939" s="1"/>
      <c r="D939" s="1"/>
      <c r="E939" s="1"/>
      <c r="F939" s="1"/>
      <c r="G939" s="1"/>
      <c r="H939" s="1"/>
      <c r="I939" s="1"/>
      <c r="J939" s="1"/>
      <c r="K939" s="1"/>
      <c r="L939" s="1"/>
      <c r="M939" s="1"/>
      <c r="N939" s="1"/>
      <c r="O939" s="1"/>
      <c r="P939" s="1"/>
      <c r="Q939" s="1"/>
      <c r="R939" s="1"/>
      <c r="S939" s="1"/>
      <c r="T939" s="1"/>
      <c r="U939" s="2"/>
      <c r="V939" s="1"/>
      <c r="W939" s="1"/>
      <c r="X939" s="1"/>
      <c r="Y939" s="1"/>
      <c r="Z939" s="1"/>
    </row>
    <row r="940" spans="1:26" ht="24.75" customHeight="1">
      <c r="A940" s="1"/>
      <c r="B940" s="1"/>
      <c r="C940" s="1"/>
      <c r="D940" s="1"/>
      <c r="E940" s="1"/>
      <c r="F940" s="1"/>
      <c r="G940" s="1"/>
      <c r="H940" s="1"/>
      <c r="I940" s="1"/>
      <c r="J940" s="1"/>
      <c r="K940" s="1"/>
      <c r="L940" s="1"/>
      <c r="M940" s="1"/>
      <c r="N940" s="1"/>
      <c r="O940" s="1"/>
      <c r="P940" s="1"/>
      <c r="Q940" s="1"/>
      <c r="R940" s="1"/>
      <c r="S940" s="1"/>
      <c r="T940" s="1"/>
      <c r="U940" s="2"/>
      <c r="V940" s="1"/>
      <c r="W940" s="1"/>
      <c r="X940" s="1"/>
      <c r="Y940" s="1"/>
      <c r="Z940" s="1"/>
    </row>
    <row r="941" spans="1:26" ht="24.75" customHeight="1">
      <c r="A941" s="1"/>
      <c r="B941" s="1"/>
      <c r="C941" s="1"/>
      <c r="D941" s="1"/>
      <c r="E941" s="1"/>
      <c r="F941" s="1"/>
      <c r="G941" s="1"/>
      <c r="H941" s="1"/>
      <c r="I941" s="1"/>
      <c r="J941" s="1"/>
      <c r="K941" s="1"/>
      <c r="L941" s="1"/>
      <c r="M941" s="1"/>
      <c r="N941" s="1"/>
      <c r="O941" s="1"/>
      <c r="P941" s="1"/>
      <c r="Q941" s="1"/>
      <c r="R941" s="1"/>
      <c r="S941" s="1"/>
      <c r="T941" s="1"/>
      <c r="U941" s="2"/>
      <c r="V941" s="1"/>
      <c r="W941" s="1"/>
      <c r="X941" s="1"/>
      <c r="Y941" s="1"/>
      <c r="Z941" s="1"/>
    </row>
    <row r="942" spans="1:26" ht="24.75" customHeight="1">
      <c r="A942" s="1"/>
      <c r="B942" s="1"/>
      <c r="C942" s="1"/>
      <c r="D942" s="1"/>
      <c r="E942" s="1"/>
      <c r="F942" s="1"/>
      <c r="G942" s="1"/>
      <c r="H942" s="1"/>
      <c r="I942" s="1"/>
      <c r="J942" s="1"/>
      <c r="K942" s="1"/>
      <c r="L942" s="1"/>
      <c r="M942" s="1"/>
      <c r="N942" s="1"/>
      <c r="O942" s="1"/>
      <c r="P942" s="1"/>
      <c r="Q942" s="1"/>
      <c r="R942" s="1"/>
      <c r="S942" s="1"/>
      <c r="T942" s="1"/>
      <c r="U942" s="2"/>
      <c r="V942" s="1"/>
      <c r="W942" s="1"/>
      <c r="X942" s="1"/>
      <c r="Y942" s="1"/>
      <c r="Z942" s="1"/>
    </row>
    <row r="943" spans="1:26" ht="24.75" customHeight="1">
      <c r="A943" s="1"/>
      <c r="B943" s="1"/>
      <c r="C943" s="1"/>
      <c r="D943" s="1"/>
      <c r="E943" s="1"/>
      <c r="F943" s="1"/>
      <c r="G943" s="1"/>
      <c r="H943" s="1"/>
      <c r="I943" s="1"/>
      <c r="J943" s="1"/>
      <c r="K943" s="1"/>
      <c r="L943" s="1"/>
      <c r="M943" s="1"/>
      <c r="N943" s="1"/>
      <c r="O943" s="1"/>
      <c r="P943" s="1"/>
      <c r="Q943" s="1"/>
      <c r="R943" s="1"/>
      <c r="S943" s="1"/>
      <c r="T943" s="1"/>
      <c r="U943" s="2"/>
      <c r="V943" s="1"/>
      <c r="W943" s="1"/>
      <c r="X943" s="1"/>
      <c r="Y943" s="1"/>
      <c r="Z943" s="1"/>
    </row>
    <row r="944" spans="1:26" ht="24.75" customHeight="1">
      <c r="A944" s="1"/>
      <c r="B944" s="1"/>
      <c r="C944" s="1"/>
      <c r="D944" s="1"/>
      <c r="E944" s="1"/>
      <c r="F944" s="1"/>
      <c r="G944" s="1"/>
      <c r="H944" s="1"/>
      <c r="I944" s="1"/>
      <c r="J944" s="1"/>
      <c r="K944" s="1"/>
      <c r="L944" s="1"/>
      <c r="M944" s="1"/>
      <c r="N944" s="1"/>
      <c r="O944" s="1"/>
      <c r="P944" s="1"/>
      <c r="Q944" s="1"/>
      <c r="R944" s="1"/>
      <c r="S944" s="1"/>
      <c r="T944" s="1"/>
      <c r="U944" s="2"/>
      <c r="V944" s="1"/>
      <c r="W944" s="1"/>
      <c r="X944" s="1"/>
      <c r="Y944" s="1"/>
      <c r="Z944" s="1"/>
    </row>
    <row r="945" spans="1:26" ht="24.75" customHeight="1">
      <c r="A945" s="1"/>
      <c r="B945" s="1"/>
      <c r="C945" s="1"/>
      <c r="D945" s="1"/>
      <c r="E945" s="1"/>
      <c r="F945" s="1"/>
      <c r="G945" s="1"/>
      <c r="H945" s="1"/>
      <c r="I945" s="1"/>
      <c r="J945" s="1"/>
      <c r="K945" s="1"/>
      <c r="L945" s="1"/>
      <c r="M945" s="1"/>
      <c r="N945" s="1"/>
      <c r="O945" s="1"/>
      <c r="P945" s="1"/>
      <c r="Q945" s="1"/>
      <c r="R945" s="1"/>
      <c r="S945" s="1"/>
      <c r="T945" s="1"/>
      <c r="U945" s="2"/>
      <c r="V945" s="1"/>
      <c r="W945" s="1"/>
      <c r="X945" s="1"/>
      <c r="Y945" s="1"/>
      <c r="Z945" s="1"/>
    </row>
    <row r="946" spans="1:26" ht="24.75" customHeight="1">
      <c r="A946" s="1"/>
      <c r="B946" s="1"/>
      <c r="C946" s="1"/>
      <c r="D946" s="1"/>
      <c r="E946" s="1"/>
      <c r="F946" s="1"/>
      <c r="G946" s="1"/>
      <c r="H946" s="1"/>
      <c r="I946" s="1"/>
      <c r="J946" s="1"/>
      <c r="K946" s="1"/>
      <c r="L946" s="1"/>
      <c r="M946" s="1"/>
      <c r="N946" s="1"/>
      <c r="O946" s="1"/>
      <c r="P946" s="1"/>
      <c r="Q946" s="1"/>
      <c r="R946" s="1"/>
      <c r="S946" s="1"/>
      <c r="T946" s="1"/>
      <c r="U946" s="2"/>
      <c r="V946" s="1"/>
      <c r="W946" s="1"/>
      <c r="X946" s="1"/>
      <c r="Y946" s="1"/>
      <c r="Z946" s="1"/>
    </row>
    <row r="947" spans="1:26" ht="24.75" customHeight="1">
      <c r="A947" s="1"/>
      <c r="B947" s="1"/>
      <c r="C947" s="1"/>
      <c r="D947" s="1"/>
      <c r="E947" s="1"/>
      <c r="F947" s="1"/>
      <c r="G947" s="1"/>
      <c r="H947" s="1"/>
      <c r="I947" s="1"/>
      <c r="J947" s="1"/>
      <c r="K947" s="1"/>
      <c r="L947" s="1"/>
      <c r="M947" s="1"/>
      <c r="N947" s="1"/>
      <c r="O947" s="1"/>
      <c r="P947" s="1"/>
      <c r="Q947" s="1"/>
      <c r="R947" s="1"/>
      <c r="S947" s="1"/>
      <c r="T947" s="1"/>
      <c r="U947" s="2"/>
      <c r="V947" s="1"/>
      <c r="W947" s="1"/>
      <c r="X947" s="1"/>
      <c r="Y947" s="1"/>
      <c r="Z947" s="1"/>
    </row>
    <row r="948" spans="1:26" ht="24.75" customHeight="1">
      <c r="A948" s="1"/>
      <c r="B948" s="1"/>
      <c r="C948" s="1"/>
      <c r="D948" s="1"/>
      <c r="E948" s="1"/>
      <c r="F948" s="1"/>
      <c r="G948" s="1"/>
      <c r="H948" s="1"/>
      <c r="I948" s="1"/>
      <c r="J948" s="1"/>
      <c r="K948" s="1"/>
      <c r="L948" s="1"/>
      <c r="M948" s="1"/>
      <c r="N948" s="1"/>
      <c r="O948" s="1"/>
      <c r="P948" s="1"/>
      <c r="Q948" s="1"/>
      <c r="R948" s="1"/>
      <c r="S948" s="1"/>
      <c r="T948" s="1"/>
      <c r="U948" s="2"/>
      <c r="V948" s="1"/>
      <c r="W948" s="1"/>
      <c r="X948" s="1"/>
      <c r="Y948" s="1"/>
      <c r="Z948" s="1"/>
    </row>
    <row r="949" spans="1:26" ht="24.75" customHeight="1">
      <c r="A949" s="1"/>
      <c r="B949" s="1"/>
      <c r="C949" s="1"/>
      <c r="D949" s="1"/>
      <c r="E949" s="1"/>
      <c r="F949" s="1"/>
      <c r="G949" s="1"/>
      <c r="H949" s="1"/>
      <c r="I949" s="1"/>
      <c r="J949" s="1"/>
      <c r="K949" s="1"/>
      <c r="L949" s="1"/>
      <c r="M949" s="1"/>
      <c r="N949" s="1"/>
      <c r="O949" s="1"/>
      <c r="P949" s="1"/>
      <c r="Q949" s="1"/>
      <c r="R949" s="1"/>
      <c r="S949" s="1"/>
      <c r="T949" s="1"/>
      <c r="U949" s="2"/>
      <c r="V949" s="1"/>
      <c r="W949" s="1"/>
      <c r="X949" s="1"/>
      <c r="Y949" s="1"/>
      <c r="Z949" s="1"/>
    </row>
    <row r="950" spans="1:26" ht="24.75" customHeight="1">
      <c r="A950" s="1"/>
      <c r="B950" s="1"/>
      <c r="C950" s="1"/>
      <c r="D950" s="1"/>
      <c r="E950" s="1"/>
      <c r="F950" s="1"/>
      <c r="G950" s="1"/>
      <c r="H950" s="1"/>
      <c r="I950" s="1"/>
      <c r="J950" s="1"/>
      <c r="K950" s="1"/>
      <c r="L950" s="1"/>
      <c r="M950" s="1"/>
      <c r="N950" s="1"/>
      <c r="O950" s="1"/>
      <c r="P950" s="1"/>
      <c r="Q950" s="1"/>
      <c r="R950" s="1"/>
      <c r="S950" s="1"/>
      <c r="T950" s="1"/>
      <c r="U950" s="2"/>
      <c r="V950" s="1"/>
      <c r="W950" s="1"/>
      <c r="X950" s="1"/>
      <c r="Y950" s="1"/>
      <c r="Z950" s="1"/>
    </row>
    <row r="951" spans="1:26" ht="24.75" customHeight="1">
      <c r="A951" s="1"/>
      <c r="B951" s="1"/>
      <c r="C951" s="1"/>
      <c r="D951" s="1"/>
      <c r="E951" s="1"/>
      <c r="F951" s="1"/>
      <c r="G951" s="1"/>
      <c r="H951" s="1"/>
      <c r="I951" s="1"/>
      <c r="J951" s="1"/>
      <c r="K951" s="1"/>
      <c r="L951" s="1"/>
      <c r="M951" s="1"/>
      <c r="N951" s="1"/>
      <c r="O951" s="1"/>
      <c r="P951" s="1"/>
      <c r="Q951" s="1"/>
      <c r="R951" s="1"/>
      <c r="S951" s="1"/>
      <c r="T951" s="1"/>
      <c r="U951" s="2"/>
      <c r="V951" s="1"/>
      <c r="W951" s="1"/>
      <c r="X951" s="1"/>
      <c r="Y951" s="1"/>
      <c r="Z951" s="1"/>
    </row>
    <row r="952" spans="1:26" ht="24.75" customHeight="1">
      <c r="A952" s="1"/>
      <c r="B952" s="1"/>
      <c r="C952" s="1"/>
      <c r="D952" s="1"/>
      <c r="E952" s="1"/>
      <c r="F952" s="1"/>
      <c r="G952" s="1"/>
      <c r="H952" s="1"/>
      <c r="I952" s="1"/>
      <c r="J952" s="1"/>
      <c r="K952" s="1"/>
      <c r="L952" s="1"/>
      <c r="M952" s="1"/>
      <c r="N952" s="1"/>
      <c r="O952" s="1"/>
      <c r="P952" s="1"/>
      <c r="Q952" s="1"/>
      <c r="R952" s="1"/>
      <c r="S952" s="1"/>
      <c r="T952" s="1"/>
      <c r="U952" s="2"/>
      <c r="V952" s="1"/>
      <c r="W952" s="1"/>
      <c r="X952" s="1"/>
      <c r="Y952" s="1"/>
      <c r="Z952" s="1"/>
    </row>
    <row r="953" spans="1:26" ht="24.75" customHeight="1">
      <c r="A953" s="1"/>
      <c r="B953" s="1"/>
      <c r="C953" s="1"/>
      <c r="D953" s="1"/>
      <c r="E953" s="1"/>
      <c r="F953" s="1"/>
      <c r="G953" s="1"/>
      <c r="H953" s="1"/>
      <c r="I953" s="1"/>
      <c r="J953" s="1"/>
      <c r="K953" s="1"/>
      <c r="L953" s="1"/>
      <c r="M953" s="1"/>
      <c r="N953" s="1"/>
      <c r="O953" s="1"/>
      <c r="P953" s="1"/>
      <c r="Q953" s="1"/>
      <c r="R953" s="1"/>
      <c r="S953" s="1"/>
      <c r="T953" s="1"/>
      <c r="U953" s="2"/>
      <c r="V953" s="1"/>
      <c r="W953" s="1"/>
      <c r="X953" s="1"/>
      <c r="Y953" s="1"/>
      <c r="Z953" s="1"/>
    </row>
    <row r="954" spans="1:26" ht="24.75" customHeight="1">
      <c r="A954" s="1"/>
      <c r="B954" s="1"/>
      <c r="C954" s="1"/>
      <c r="D954" s="1"/>
      <c r="E954" s="1"/>
      <c r="F954" s="1"/>
      <c r="G954" s="1"/>
      <c r="H954" s="1"/>
      <c r="I954" s="1"/>
      <c r="J954" s="1"/>
      <c r="K954" s="1"/>
      <c r="L954" s="1"/>
      <c r="M954" s="1"/>
      <c r="N954" s="1"/>
      <c r="O954" s="1"/>
      <c r="P954" s="1"/>
      <c r="Q954" s="1"/>
      <c r="R954" s="1"/>
      <c r="S954" s="1"/>
      <c r="T954" s="1"/>
      <c r="U954" s="2"/>
      <c r="V954" s="1"/>
      <c r="W954" s="1"/>
      <c r="X954" s="1"/>
      <c r="Y954" s="1"/>
      <c r="Z954" s="1"/>
    </row>
    <row r="955" spans="1:26" ht="24.75" customHeight="1">
      <c r="A955" s="1"/>
      <c r="B955" s="1"/>
      <c r="C955" s="1"/>
      <c r="D955" s="1"/>
      <c r="E955" s="1"/>
      <c r="F955" s="1"/>
      <c r="G955" s="1"/>
      <c r="H955" s="1"/>
      <c r="I955" s="1"/>
      <c r="J955" s="1"/>
      <c r="K955" s="1"/>
      <c r="L955" s="1"/>
      <c r="M955" s="1"/>
      <c r="N955" s="1"/>
      <c r="O955" s="1"/>
      <c r="P955" s="1"/>
      <c r="Q955" s="1"/>
      <c r="R955" s="1"/>
      <c r="S955" s="1"/>
      <c r="T955" s="1"/>
      <c r="U955" s="2"/>
      <c r="V955" s="1"/>
      <c r="W955" s="1"/>
      <c r="X955" s="1"/>
      <c r="Y955" s="1"/>
      <c r="Z955" s="1"/>
    </row>
    <row r="956" spans="1:26" ht="24.75" customHeight="1">
      <c r="A956" s="1"/>
      <c r="B956" s="1"/>
      <c r="C956" s="1"/>
      <c r="D956" s="1"/>
      <c r="E956" s="1"/>
      <c r="F956" s="1"/>
      <c r="G956" s="1"/>
      <c r="H956" s="1"/>
      <c r="I956" s="1"/>
      <c r="J956" s="1"/>
      <c r="K956" s="1"/>
      <c r="L956" s="1"/>
      <c r="M956" s="1"/>
      <c r="N956" s="1"/>
      <c r="O956" s="1"/>
      <c r="P956" s="1"/>
      <c r="Q956" s="1"/>
      <c r="R956" s="1"/>
      <c r="S956" s="1"/>
      <c r="T956" s="1"/>
      <c r="U956" s="2"/>
      <c r="V956" s="1"/>
      <c r="W956" s="1"/>
      <c r="X956" s="1"/>
      <c r="Y956" s="1"/>
      <c r="Z956" s="1"/>
    </row>
    <row r="957" spans="1:26" ht="24.75" customHeight="1">
      <c r="A957" s="1"/>
      <c r="B957" s="1"/>
      <c r="C957" s="1"/>
      <c r="D957" s="1"/>
      <c r="E957" s="1"/>
      <c r="F957" s="1"/>
      <c r="G957" s="1"/>
      <c r="H957" s="1"/>
      <c r="I957" s="1"/>
      <c r="J957" s="1"/>
      <c r="K957" s="1"/>
      <c r="L957" s="1"/>
      <c r="M957" s="1"/>
      <c r="N957" s="1"/>
      <c r="O957" s="1"/>
      <c r="P957" s="1"/>
      <c r="Q957" s="1"/>
      <c r="R957" s="1"/>
      <c r="S957" s="1"/>
      <c r="T957" s="1"/>
      <c r="U957" s="2"/>
      <c r="V957" s="1"/>
      <c r="W957" s="1"/>
      <c r="X957" s="1"/>
      <c r="Y957" s="1"/>
      <c r="Z957" s="1"/>
    </row>
    <row r="958" spans="1:26" ht="24.75" customHeight="1">
      <c r="A958" s="1"/>
      <c r="B958" s="1"/>
      <c r="C958" s="1"/>
      <c r="D958" s="1"/>
      <c r="E958" s="1"/>
      <c r="F958" s="1"/>
      <c r="G958" s="1"/>
      <c r="H958" s="1"/>
      <c r="I958" s="1"/>
      <c r="J958" s="1"/>
      <c r="K958" s="1"/>
      <c r="L958" s="1"/>
      <c r="M958" s="1"/>
      <c r="N958" s="1"/>
      <c r="O958" s="1"/>
      <c r="P958" s="1"/>
      <c r="Q958" s="1"/>
      <c r="R958" s="1"/>
      <c r="S958" s="1"/>
      <c r="T958" s="1"/>
      <c r="U958" s="2"/>
      <c r="V958" s="1"/>
      <c r="W958" s="1"/>
      <c r="X958" s="1"/>
      <c r="Y958" s="1"/>
      <c r="Z958" s="1"/>
    </row>
    <row r="959" spans="1:26" ht="24.75" customHeight="1">
      <c r="A959" s="1"/>
      <c r="B959" s="1"/>
      <c r="C959" s="1"/>
      <c r="D959" s="1"/>
      <c r="E959" s="1"/>
      <c r="F959" s="1"/>
      <c r="G959" s="1"/>
      <c r="H959" s="1"/>
      <c r="I959" s="1"/>
      <c r="J959" s="1"/>
      <c r="K959" s="1"/>
      <c r="L959" s="1"/>
      <c r="M959" s="1"/>
      <c r="N959" s="1"/>
      <c r="O959" s="1"/>
      <c r="P959" s="1"/>
      <c r="Q959" s="1"/>
      <c r="R959" s="1"/>
      <c r="S959" s="1"/>
      <c r="T959" s="1"/>
      <c r="U959" s="2"/>
      <c r="V959" s="1"/>
      <c r="W959" s="1"/>
      <c r="X959" s="1"/>
      <c r="Y959" s="1"/>
      <c r="Z959" s="1"/>
    </row>
    <row r="960" spans="1:26" ht="24.75" customHeight="1">
      <c r="A960" s="1"/>
      <c r="B960" s="1"/>
      <c r="C960" s="1"/>
      <c r="D960" s="1"/>
      <c r="E960" s="1"/>
      <c r="F960" s="1"/>
      <c r="G960" s="1"/>
      <c r="H960" s="1"/>
      <c r="I960" s="1"/>
      <c r="J960" s="1"/>
      <c r="K960" s="1"/>
      <c r="L960" s="1"/>
      <c r="M960" s="1"/>
      <c r="N960" s="1"/>
      <c r="O960" s="1"/>
      <c r="P960" s="1"/>
      <c r="Q960" s="1"/>
      <c r="R960" s="1"/>
      <c r="S960" s="1"/>
      <c r="T960" s="1"/>
      <c r="U960" s="2"/>
      <c r="V960" s="1"/>
      <c r="W960" s="1"/>
      <c r="X960" s="1"/>
      <c r="Y960" s="1"/>
      <c r="Z960" s="1"/>
    </row>
    <row r="961" spans="1:26" ht="24.75" customHeight="1">
      <c r="A961" s="1"/>
      <c r="B961" s="1"/>
      <c r="C961" s="1"/>
      <c r="D961" s="1"/>
      <c r="E961" s="1"/>
      <c r="F961" s="1"/>
      <c r="G961" s="1"/>
      <c r="H961" s="1"/>
      <c r="I961" s="1"/>
      <c r="J961" s="1"/>
      <c r="K961" s="1"/>
      <c r="L961" s="1"/>
      <c r="M961" s="1"/>
      <c r="N961" s="1"/>
      <c r="O961" s="1"/>
      <c r="P961" s="1"/>
      <c r="Q961" s="1"/>
      <c r="R961" s="1"/>
      <c r="S961" s="1"/>
      <c r="T961" s="1"/>
      <c r="U961" s="2"/>
      <c r="V961" s="1"/>
      <c r="W961" s="1"/>
      <c r="X961" s="1"/>
      <c r="Y961" s="1"/>
      <c r="Z961" s="1"/>
    </row>
    <row r="962" spans="1:26" ht="24.75" customHeight="1">
      <c r="A962" s="1"/>
      <c r="B962" s="1"/>
      <c r="C962" s="1"/>
      <c r="D962" s="1"/>
      <c r="E962" s="1"/>
      <c r="F962" s="1"/>
      <c r="G962" s="1"/>
      <c r="H962" s="1"/>
      <c r="I962" s="1"/>
      <c r="J962" s="1"/>
      <c r="K962" s="1"/>
      <c r="L962" s="1"/>
      <c r="M962" s="1"/>
      <c r="N962" s="1"/>
      <c r="O962" s="1"/>
      <c r="P962" s="1"/>
      <c r="Q962" s="1"/>
      <c r="R962" s="1"/>
      <c r="S962" s="1"/>
      <c r="T962" s="1"/>
      <c r="U962" s="2"/>
      <c r="V962" s="1"/>
      <c r="W962" s="1"/>
      <c r="X962" s="1"/>
      <c r="Y962" s="1"/>
      <c r="Z962" s="1"/>
    </row>
    <row r="963" spans="1:26" ht="24.75" customHeight="1">
      <c r="A963" s="1"/>
      <c r="B963" s="1"/>
      <c r="C963" s="1"/>
      <c r="D963" s="1"/>
      <c r="E963" s="1"/>
      <c r="F963" s="1"/>
      <c r="G963" s="1"/>
      <c r="H963" s="1"/>
      <c r="I963" s="1"/>
      <c r="J963" s="1"/>
      <c r="K963" s="1"/>
      <c r="L963" s="1"/>
      <c r="M963" s="1"/>
      <c r="N963" s="1"/>
      <c r="O963" s="1"/>
      <c r="P963" s="1"/>
      <c r="Q963" s="1"/>
      <c r="R963" s="1"/>
      <c r="S963" s="1"/>
      <c r="T963" s="1"/>
      <c r="U963" s="2"/>
      <c r="V963" s="1"/>
      <c r="W963" s="1"/>
      <c r="X963" s="1"/>
      <c r="Y963" s="1"/>
      <c r="Z963" s="1"/>
    </row>
    <row r="964" spans="1:26" ht="24.75" customHeight="1">
      <c r="A964" s="1"/>
      <c r="B964" s="1"/>
      <c r="C964" s="1"/>
      <c r="D964" s="1"/>
      <c r="E964" s="1"/>
      <c r="F964" s="1"/>
      <c r="G964" s="1"/>
      <c r="H964" s="1"/>
      <c r="I964" s="1"/>
      <c r="J964" s="1"/>
      <c r="K964" s="1"/>
      <c r="L964" s="1"/>
      <c r="M964" s="1"/>
      <c r="N964" s="1"/>
      <c r="O964" s="1"/>
      <c r="P964" s="1"/>
      <c r="Q964" s="1"/>
      <c r="R964" s="1"/>
      <c r="S964" s="1"/>
      <c r="T964" s="1"/>
      <c r="U964" s="2"/>
      <c r="V964" s="1"/>
      <c r="W964" s="1"/>
      <c r="X964" s="1"/>
      <c r="Y964" s="1"/>
      <c r="Z964" s="1"/>
    </row>
    <row r="965" spans="1:26" ht="24.75" customHeight="1">
      <c r="A965" s="1"/>
      <c r="B965" s="1"/>
      <c r="C965" s="1"/>
      <c r="D965" s="1"/>
      <c r="E965" s="1"/>
      <c r="F965" s="1"/>
      <c r="G965" s="1"/>
      <c r="H965" s="1"/>
      <c r="I965" s="1"/>
      <c r="J965" s="1"/>
      <c r="K965" s="1"/>
      <c r="L965" s="1"/>
      <c r="M965" s="1"/>
      <c r="N965" s="1"/>
      <c r="O965" s="1"/>
      <c r="P965" s="1"/>
      <c r="Q965" s="1"/>
      <c r="R965" s="1"/>
      <c r="S965" s="1"/>
      <c r="T965" s="1"/>
      <c r="U965" s="2"/>
      <c r="V965" s="1"/>
      <c r="W965" s="1"/>
      <c r="X965" s="1"/>
      <c r="Y965" s="1"/>
      <c r="Z965" s="1"/>
    </row>
    <row r="966" spans="1:26" ht="24.75" customHeight="1">
      <c r="A966" s="1"/>
      <c r="B966" s="1"/>
      <c r="C966" s="1"/>
      <c r="D966" s="1"/>
      <c r="E966" s="1"/>
      <c r="F966" s="1"/>
      <c r="G966" s="1"/>
      <c r="H966" s="1"/>
      <c r="I966" s="1"/>
      <c r="J966" s="1"/>
      <c r="K966" s="1"/>
      <c r="L966" s="1"/>
      <c r="M966" s="1"/>
      <c r="N966" s="1"/>
      <c r="O966" s="1"/>
      <c r="P966" s="1"/>
      <c r="Q966" s="1"/>
      <c r="R966" s="1"/>
      <c r="S966" s="1"/>
      <c r="T966" s="1"/>
      <c r="U966" s="2"/>
      <c r="V966" s="1"/>
      <c r="W966" s="1"/>
      <c r="X966" s="1"/>
      <c r="Y966" s="1"/>
      <c r="Z966" s="1"/>
    </row>
    <row r="967" spans="1:26" ht="24.75" customHeight="1">
      <c r="A967" s="1"/>
      <c r="B967" s="1"/>
      <c r="C967" s="1"/>
      <c r="D967" s="1"/>
      <c r="E967" s="1"/>
      <c r="F967" s="1"/>
      <c r="G967" s="1"/>
      <c r="H967" s="1"/>
      <c r="I967" s="1"/>
      <c r="J967" s="1"/>
      <c r="K967" s="1"/>
      <c r="L967" s="1"/>
      <c r="M967" s="1"/>
      <c r="N967" s="1"/>
      <c r="O967" s="1"/>
      <c r="P967" s="1"/>
      <c r="Q967" s="1"/>
      <c r="R967" s="1"/>
      <c r="S967" s="1"/>
      <c r="T967" s="1"/>
      <c r="U967" s="2"/>
      <c r="V967" s="1"/>
      <c r="W967" s="1"/>
      <c r="X967" s="1"/>
      <c r="Y967" s="1"/>
      <c r="Z967" s="1"/>
    </row>
    <row r="968" spans="1:26" ht="24.75" customHeight="1">
      <c r="A968" s="1"/>
      <c r="B968" s="1"/>
      <c r="C968" s="1"/>
      <c r="D968" s="1"/>
      <c r="E968" s="1"/>
      <c r="F968" s="1"/>
      <c r="G968" s="1"/>
      <c r="H968" s="1"/>
      <c r="I968" s="1"/>
      <c r="J968" s="1"/>
      <c r="K968" s="1"/>
      <c r="L968" s="1"/>
      <c r="M968" s="1"/>
      <c r="N968" s="1"/>
      <c r="O968" s="1"/>
      <c r="P968" s="1"/>
      <c r="Q968" s="1"/>
      <c r="R968" s="1"/>
      <c r="S968" s="1"/>
      <c r="T968" s="1"/>
      <c r="U968" s="2"/>
      <c r="V968" s="1"/>
      <c r="W968" s="1"/>
      <c r="X968" s="1"/>
      <c r="Y968" s="1"/>
      <c r="Z968" s="1"/>
    </row>
    <row r="969" spans="1:26" ht="24.75" customHeight="1">
      <c r="A969" s="1"/>
      <c r="B969" s="1"/>
      <c r="C969" s="1"/>
      <c r="D969" s="1"/>
      <c r="E969" s="1"/>
      <c r="F969" s="1"/>
      <c r="G969" s="1"/>
      <c r="H969" s="1"/>
      <c r="I969" s="1"/>
      <c r="J969" s="1"/>
      <c r="K969" s="1"/>
      <c r="L969" s="1"/>
      <c r="M969" s="1"/>
      <c r="N969" s="1"/>
      <c r="O969" s="1"/>
      <c r="P969" s="1"/>
      <c r="Q969" s="1"/>
      <c r="R969" s="1"/>
      <c r="S969" s="1"/>
      <c r="T969" s="1"/>
      <c r="U969" s="2"/>
      <c r="V969" s="1"/>
      <c r="W969" s="1"/>
      <c r="X969" s="1"/>
      <c r="Y969" s="1"/>
      <c r="Z969" s="1"/>
    </row>
    <row r="970" spans="1:26" ht="24.75" customHeight="1">
      <c r="A970" s="1"/>
      <c r="B970" s="1"/>
      <c r="C970" s="1"/>
      <c r="D970" s="1"/>
      <c r="E970" s="1"/>
      <c r="F970" s="1"/>
      <c r="G970" s="1"/>
      <c r="H970" s="1"/>
      <c r="I970" s="1"/>
      <c r="J970" s="1"/>
      <c r="K970" s="1"/>
      <c r="L970" s="1"/>
      <c r="M970" s="1"/>
      <c r="N970" s="1"/>
      <c r="O970" s="1"/>
      <c r="P970" s="1"/>
      <c r="Q970" s="1"/>
      <c r="R970" s="1"/>
      <c r="S970" s="1"/>
      <c r="T970" s="1"/>
      <c r="U970" s="2"/>
      <c r="V970" s="1"/>
      <c r="W970" s="1"/>
      <c r="X970" s="1"/>
      <c r="Y970" s="1"/>
      <c r="Z970" s="1"/>
    </row>
    <row r="971" spans="1:26" ht="24.75" customHeight="1">
      <c r="A971" s="1"/>
      <c r="B971" s="1"/>
      <c r="C971" s="1"/>
      <c r="D971" s="1"/>
      <c r="E971" s="1"/>
      <c r="F971" s="1"/>
      <c r="G971" s="1"/>
      <c r="H971" s="1"/>
      <c r="I971" s="1"/>
      <c r="J971" s="1"/>
      <c r="K971" s="1"/>
      <c r="L971" s="1"/>
      <c r="M971" s="1"/>
      <c r="N971" s="1"/>
      <c r="O971" s="1"/>
      <c r="P971" s="1"/>
      <c r="Q971" s="1"/>
      <c r="R971" s="1"/>
      <c r="S971" s="1"/>
      <c r="T971" s="1"/>
      <c r="U971" s="2"/>
      <c r="V971" s="1"/>
      <c r="W971" s="1"/>
      <c r="X971" s="1"/>
      <c r="Y971" s="1"/>
      <c r="Z971" s="1"/>
    </row>
    <row r="972" spans="1:26" ht="24.75" customHeight="1">
      <c r="A972" s="1"/>
      <c r="B972" s="1"/>
      <c r="C972" s="1"/>
      <c r="D972" s="1"/>
      <c r="E972" s="1"/>
      <c r="F972" s="1"/>
      <c r="G972" s="1"/>
      <c r="H972" s="1"/>
      <c r="I972" s="1"/>
      <c r="J972" s="1"/>
      <c r="K972" s="1"/>
      <c r="L972" s="1"/>
      <c r="M972" s="1"/>
      <c r="N972" s="1"/>
      <c r="O972" s="1"/>
      <c r="P972" s="1"/>
      <c r="Q972" s="1"/>
      <c r="R972" s="1"/>
      <c r="S972" s="1"/>
      <c r="T972" s="1"/>
      <c r="U972" s="2"/>
      <c r="V972" s="1"/>
      <c r="W972" s="1"/>
      <c r="X972" s="1"/>
      <c r="Y972" s="1"/>
      <c r="Z972" s="1"/>
    </row>
    <row r="973" spans="1:26" ht="24.75" customHeight="1">
      <c r="A973" s="1"/>
      <c r="B973" s="1"/>
      <c r="C973" s="1"/>
      <c r="D973" s="1"/>
      <c r="E973" s="1"/>
      <c r="F973" s="1"/>
      <c r="G973" s="1"/>
      <c r="H973" s="1"/>
      <c r="I973" s="1"/>
      <c r="J973" s="1"/>
      <c r="K973" s="1"/>
      <c r="L973" s="1"/>
      <c r="M973" s="1"/>
      <c r="N973" s="1"/>
      <c r="O973" s="1"/>
      <c r="P973" s="1"/>
      <c r="Q973" s="1"/>
      <c r="R973" s="1"/>
      <c r="S973" s="1"/>
      <c r="T973" s="1"/>
      <c r="U973" s="2"/>
      <c r="V973" s="1"/>
      <c r="W973" s="1"/>
      <c r="X973" s="1"/>
      <c r="Y973" s="1"/>
      <c r="Z973" s="1"/>
    </row>
    <row r="974" spans="1:26" ht="24.75" customHeight="1">
      <c r="A974" s="1"/>
      <c r="B974" s="1"/>
      <c r="C974" s="1"/>
      <c r="D974" s="1"/>
      <c r="E974" s="1"/>
      <c r="F974" s="1"/>
      <c r="G974" s="1"/>
      <c r="H974" s="1"/>
      <c r="I974" s="1"/>
      <c r="J974" s="1"/>
      <c r="K974" s="1"/>
      <c r="L974" s="1"/>
      <c r="M974" s="1"/>
      <c r="N974" s="1"/>
      <c r="O974" s="1"/>
      <c r="P974" s="1"/>
      <c r="Q974" s="1"/>
      <c r="R974" s="1"/>
      <c r="S974" s="1"/>
      <c r="T974" s="1"/>
      <c r="U974" s="2"/>
      <c r="V974" s="1"/>
      <c r="W974" s="1"/>
      <c r="X974" s="1"/>
      <c r="Y974" s="1"/>
      <c r="Z974" s="1"/>
    </row>
    <row r="975" spans="1:26" ht="24.75" customHeight="1">
      <c r="A975" s="1"/>
      <c r="B975" s="1"/>
      <c r="C975" s="1"/>
      <c r="D975" s="1"/>
      <c r="E975" s="1"/>
      <c r="F975" s="1"/>
      <c r="G975" s="1"/>
      <c r="H975" s="1"/>
      <c r="I975" s="1"/>
      <c r="J975" s="1"/>
      <c r="K975" s="1"/>
      <c r="L975" s="1"/>
      <c r="M975" s="1"/>
      <c r="N975" s="1"/>
      <c r="O975" s="1"/>
      <c r="P975" s="1"/>
      <c r="Q975" s="1"/>
      <c r="R975" s="1"/>
      <c r="S975" s="1"/>
      <c r="T975" s="1"/>
      <c r="U975" s="2"/>
      <c r="V975" s="1"/>
      <c r="W975" s="1"/>
      <c r="X975" s="1"/>
      <c r="Y975" s="1"/>
      <c r="Z975" s="1"/>
    </row>
    <row r="976" spans="1:26" ht="24.75" customHeight="1">
      <c r="A976" s="1"/>
      <c r="B976" s="1"/>
      <c r="C976" s="1"/>
      <c r="D976" s="1"/>
      <c r="E976" s="1"/>
      <c r="F976" s="1"/>
      <c r="G976" s="1"/>
      <c r="H976" s="1"/>
      <c r="I976" s="1"/>
      <c r="J976" s="1"/>
      <c r="K976" s="1"/>
      <c r="L976" s="1"/>
      <c r="M976" s="1"/>
      <c r="N976" s="1"/>
      <c r="O976" s="1"/>
      <c r="P976" s="1"/>
      <c r="Q976" s="1"/>
      <c r="R976" s="1"/>
      <c r="S976" s="1"/>
      <c r="T976" s="1"/>
      <c r="U976" s="2"/>
      <c r="V976" s="1"/>
      <c r="W976" s="1"/>
      <c r="X976" s="1"/>
      <c r="Y976" s="1"/>
      <c r="Z976" s="1"/>
    </row>
    <row r="977" spans="1:26" ht="24.75" customHeight="1">
      <c r="A977" s="1"/>
      <c r="B977" s="1"/>
      <c r="C977" s="1"/>
      <c r="D977" s="1"/>
      <c r="E977" s="1"/>
      <c r="F977" s="1"/>
      <c r="G977" s="1"/>
      <c r="H977" s="1"/>
      <c r="I977" s="1"/>
      <c r="J977" s="1"/>
      <c r="K977" s="1"/>
      <c r="L977" s="1"/>
      <c r="M977" s="1"/>
      <c r="N977" s="1"/>
      <c r="O977" s="1"/>
      <c r="P977" s="1"/>
      <c r="Q977" s="1"/>
      <c r="R977" s="1"/>
      <c r="S977" s="1"/>
      <c r="T977" s="1"/>
      <c r="U977" s="2"/>
      <c r="V977" s="1"/>
      <c r="W977" s="1"/>
      <c r="X977" s="1"/>
      <c r="Y977" s="1"/>
      <c r="Z977" s="1"/>
    </row>
    <row r="978" spans="1:26" ht="24.75" customHeight="1">
      <c r="A978" s="1"/>
      <c r="B978" s="1"/>
      <c r="C978" s="1"/>
      <c r="D978" s="1"/>
      <c r="E978" s="1"/>
      <c r="F978" s="1"/>
      <c r="G978" s="1"/>
      <c r="H978" s="1"/>
      <c r="I978" s="1"/>
      <c r="J978" s="1"/>
      <c r="K978" s="1"/>
      <c r="L978" s="1"/>
      <c r="M978" s="1"/>
      <c r="N978" s="1"/>
      <c r="O978" s="1"/>
      <c r="P978" s="1"/>
      <c r="Q978" s="1"/>
      <c r="R978" s="1"/>
      <c r="S978" s="1"/>
      <c r="T978" s="1"/>
      <c r="U978" s="2"/>
      <c r="V978" s="1"/>
      <c r="W978" s="1"/>
      <c r="X978" s="1"/>
      <c r="Y978" s="1"/>
      <c r="Z978" s="1"/>
    </row>
    <row r="979" spans="1:26" ht="24.75" customHeight="1">
      <c r="A979" s="1"/>
      <c r="B979" s="1"/>
      <c r="C979" s="1"/>
      <c r="D979" s="1"/>
      <c r="E979" s="1"/>
      <c r="F979" s="1"/>
      <c r="G979" s="1"/>
      <c r="H979" s="1"/>
      <c r="I979" s="1"/>
      <c r="J979" s="1"/>
      <c r="K979" s="1"/>
      <c r="L979" s="1"/>
      <c r="M979" s="1"/>
      <c r="N979" s="1"/>
      <c r="O979" s="1"/>
      <c r="P979" s="1"/>
      <c r="Q979" s="1"/>
      <c r="R979" s="1"/>
      <c r="S979" s="1"/>
      <c r="T979" s="1"/>
      <c r="U979" s="2"/>
      <c r="V979" s="1"/>
      <c r="W979" s="1"/>
      <c r="X979" s="1"/>
      <c r="Y979" s="1"/>
      <c r="Z979" s="1"/>
    </row>
    <row r="980" spans="1:26" ht="24.75" customHeight="1">
      <c r="A980" s="1"/>
      <c r="B980" s="1"/>
      <c r="C980" s="1"/>
      <c r="D980" s="1"/>
      <c r="E980" s="1"/>
      <c r="F980" s="1"/>
      <c r="G980" s="1"/>
      <c r="H980" s="1"/>
      <c r="I980" s="1"/>
      <c r="J980" s="1"/>
      <c r="K980" s="1"/>
      <c r="L980" s="1"/>
      <c r="M980" s="1"/>
      <c r="N980" s="1"/>
      <c r="O980" s="1"/>
      <c r="P980" s="1"/>
      <c r="Q980" s="1"/>
      <c r="R980" s="1"/>
      <c r="S980" s="1"/>
      <c r="T980" s="1"/>
      <c r="U980" s="2"/>
      <c r="V980" s="1"/>
      <c r="W980" s="1"/>
      <c r="X980" s="1"/>
      <c r="Y980" s="1"/>
      <c r="Z980" s="1"/>
    </row>
    <row r="981" spans="1:26" ht="24.75" customHeight="1">
      <c r="A981" s="1"/>
      <c r="B981" s="1"/>
      <c r="C981" s="1"/>
      <c r="D981" s="1"/>
      <c r="E981" s="1"/>
      <c r="F981" s="1"/>
      <c r="G981" s="1"/>
      <c r="H981" s="1"/>
      <c r="I981" s="1"/>
      <c r="J981" s="1"/>
      <c r="K981" s="1"/>
      <c r="L981" s="1"/>
      <c r="M981" s="1"/>
      <c r="N981" s="1"/>
      <c r="O981" s="1"/>
      <c r="P981" s="1"/>
      <c r="Q981" s="1"/>
      <c r="R981" s="1"/>
      <c r="S981" s="1"/>
      <c r="T981" s="1"/>
      <c r="U981" s="2"/>
      <c r="V981" s="1"/>
      <c r="W981" s="1"/>
      <c r="X981" s="1"/>
      <c r="Y981" s="1"/>
      <c r="Z981" s="1"/>
    </row>
    <row r="982" spans="1:26" ht="24.75" customHeight="1">
      <c r="A982" s="1"/>
      <c r="B982" s="1"/>
      <c r="C982" s="1"/>
      <c r="D982" s="1"/>
      <c r="E982" s="1"/>
      <c r="F982" s="1"/>
      <c r="G982" s="1"/>
      <c r="H982" s="1"/>
      <c r="I982" s="1"/>
      <c r="J982" s="1"/>
      <c r="K982" s="1"/>
      <c r="L982" s="1"/>
      <c r="M982" s="1"/>
      <c r="N982" s="1"/>
      <c r="O982" s="1"/>
      <c r="P982" s="1"/>
      <c r="Q982" s="1"/>
      <c r="R982" s="1"/>
      <c r="S982" s="1"/>
      <c r="T982" s="1"/>
      <c r="U982" s="2"/>
      <c r="V982" s="1"/>
      <c r="W982" s="1"/>
      <c r="X982" s="1"/>
      <c r="Y982" s="1"/>
      <c r="Z982" s="1"/>
    </row>
    <row r="983" spans="1:26" ht="24.75" customHeight="1">
      <c r="A983" s="1"/>
      <c r="B983" s="1"/>
      <c r="C983" s="1"/>
      <c r="D983" s="1"/>
      <c r="E983" s="1"/>
      <c r="F983" s="1"/>
      <c r="G983" s="1"/>
      <c r="H983" s="1"/>
      <c r="I983" s="1"/>
      <c r="J983" s="1"/>
      <c r="K983" s="1"/>
      <c r="L983" s="1"/>
      <c r="M983" s="1"/>
      <c r="N983" s="1"/>
      <c r="O983" s="1"/>
      <c r="P983" s="1"/>
      <c r="Q983" s="1"/>
      <c r="R983" s="1"/>
      <c r="S983" s="1"/>
      <c r="T983" s="1"/>
      <c r="U983" s="2"/>
      <c r="V983" s="1"/>
      <c r="W983" s="1"/>
      <c r="X983" s="1"/>
      <c r="Y983" s="1"/>
      <c r="Z983" s="1"/>
    </row>
    <row r="984" spans="1:26" ht="24.75" customHeight="1">
      <c r="A984" s="1"/>
      <c r="B984" s="1"/>
      <c r="C984" s="1"/>
      <c r="D984" s="1"/>
      <c r="E984" s="1"/>
      <c r="F984" s="1"/>
      <c r="G984" s="1"/>
      <c r="H984" s="1"/>
      <c r="I984" s="1"/>
      <c r="J984" s="1"/>
      <c r="K984" s="1"/>
      <c r="L984" s="1"/>
      <c r="M984" s="1"/>
      <c r="N984" s="1"/>
      <c r="O984" s="1"/>
      <c r="P984" s="1"/>
      <c r="Q984" s="1"/>
      <c r="R984" s="1"/>
      <c r="S984" s="1"/>
      <c r="T984" s="1"/>
      <c r="U984" s="2"/>
      <c r="V984" s="1"/>
      <c r="W984" s="1"/>
      <c r="X984" s="1"/>
      <c r="Y984" s="1"/>
      <c r="Z984" s="1"/>
    </row>
    <row r="985" spans="1:26" ht="24.75" customHeight="1">
      <c r="A985" s="1"/>
      <c r="B985" s="1"/>
      <c r="C985" s="1"/>
      <c r="D985" s="1"/>
      <c r="E985" s="1"/>
      <c r="F985" s="1"/>
      <c r="G985" s="1"/>
      <c r="H985" s="1"/>
      <c r="I985" s="1"/>
      <c r="J985" s="1"/>
      <c r="K985" s="1"/>
      <c r="L985" s="1"/>
      <c r="M985" s="1"/>
      <c r="N985" s="1"/>
      <c r="O985" s="1"/>
      <c r="P985" s="1"/>
      <c r="Q985" s="1"/>
      <c r="R985" s="1"/>
      <c r="S985" s="1"/>
      <c r="T985" s="1"/>
      <c r="U985" s="2"/>
      <c r="V985" s="1"/>
      <c r="W985" s="1"/>
      <c r="X985" s="1"/>
      <c r="Y985" s="1"/>
      <c r="Z985" s="1"/>
    </row>
    <row r="986" spans="1:26" ht="24.75" customHeight="1">
      <c r="A986" s="1"/>
      <c r="B986" s="1"/>
      <c r="C986" s="1"/>
      <c r="D986" s="1"/>
      <c r="E986" s="1"/>
      <c r="F986" s="1"/>
      <c r="G986" s="1"/>
      <c r="H986" s="1"/>
      <c r="I986" s="1"/>
      <c r="J986" s="1"/>
      <c r="K986" s="1"/>
      <c r="L986" s="1"/>
      <c r="M986" s="1"/>
      <c r="N986" s="1"/>
      <c r="O986" s="1"/>
      <c r="P986" s="1"/>
      <c r="Q986" s="1"/>
      <c r="R986" s="1"/>
      <c r="S986" s="1"/>
      <c r="T986" s="1"/>
      <c r="U986" s="2"/>
      <c r="V986" s="1"/>
      <c r="W986" s="1"/>
      <c r="X986" s="1"/>
      <c r="Y986" s="1"/>
      <c r="Z986" s="1"/>
    </row>
    <row r="987" spans="1:26" ht="24.75" customHeight="1">
      <c r="A987" s="1"/>
      <c r="B987" s="1"/>
      <c r="C987" s="1"/>
      <c r="D987" s="1"/>
      <c r="E987" s="1"/>
      <c r="F987" s="1"/>
      <c r="G987" s="1"/>
      <c r="H987" s="1"/>
      <c r="I987" s="1"/>
      <c r="J987" s="1"/>
      <c r="K987" s="1"/>
      <c r="L987" s="1"/>
      <c r="M987" s="1"/>
      <c r="N987" s="1"/>
      <c r="O987" s="1"/>
      <c r="P987" s="1"/>
      <c r="Q987" s="1"/>
      <c r="R987" s="1"/>
      <c r="S987" s="1"/>
      <c r="T987" s="1"/>
      <c r="U987" s="2"/>
      <c r="V987" s="1"/>
      <c r="W987" s="1"/>
      <c r="X987" s="1"/>
      <c r="Y987" s="1"/>
      <c r="Z987" s="1"/>
    </row>
    <row r="988" spans="1:26" ht="24.75" customHeight="1">
      <c r="A988" s="1"/>
      <c r="B988" s="1"/>
      <c r="C988" s="1"/>
      <c r="D988" s="1"/>
      <c r="E988" s="1"/>
      <c r="F988" s="1"/>
      <c r="G988" s="1"/>
      <c r="H988" s="1"/>
      <c r="I988" s="1"/>
      <c r="J988" s="1"/>
      <c r="K988" s="1"/>
      <c r="L988" s="1"/>
      <c r="M988" s="1"/>
      <c r="N988" s="1"/>
      <c r="O988" s="1"/>
      <c r="P988" s="1"/>
      <c r="Q988" s="1"/>
      <c r="R988" s="1"/>
      <c r="S988" s="1"/>
      <c r="T988" s="1"/>
      <c r="U988" s="2"/>
      <c r="V988" s="1"/>
      <c r="W988" s="1"/>
      <c r="X988" s="1"/>
      <c r="Y988" s="1"/>
      <c r="Z988" s="1"/>
    </row>
    <row r="989" spans="1:26" ht="24.75" customHeight="1">
      <c r="A989" s="1"/>
      <c r="B989" s="1"/>
      <c r="C989" s="1"/>
      <c r="D989" s="1"/>
      <c r="E989" s="1"/>
      <c r="F989" s="1"/>
      <c r="G989" s="1"/>
      <c r="H989" s="1"/>
      <c r="I989" s="1"/>
      <c r="J989" s="1"/>
      <c r="K989" s="1"/>
      <c r="L989" s="1"/>
      <c r="M989" s="1"/>
      <c r="N989" s="1"/>
      <c r="O989" s="1"/>
      <c r="P989" s="1"/>
      <c r="Q989" s="1"/>
      <c r="R989" s="1"/>
      <c r="S989" s="1"/>
      <c r="T989" s="1"/>
      <c r="U989" s="2"/>
      <c r="V989" s="1"/>
      <c r="W989" s="1"/>
      <c r="X989" s="1"/>
      <c r="Y989" s="1"/>
      <c r="Z989" s="1"/>
    </row>
    <row r="990" spans="1:26" ht="24.75" customHeight="1">
      <c r="A990" s="1"/>
      <c r="B990" s="1"/>
      <c r="C990" s="1"/>
      <c r="D990" s="1"/>
      <c r="E990" s="1"/>
      <c r="F990" s="1"/>
      <c r="G990" s="1"/>
      <c r="H990" s="1"/>
      <c r="I990" s="1"/>
      <c r="J990" s="1"/>
      <c r="K990" s="1"/>
      <c r="L990" s="1"/>
      <c r="M990" s="1"/>
      <c r="N990" s="1"/>
      <c r="O990" s="1"/>
      <c r="P990" s="1"/>
      <c r="Q990" s="1"/>
      <c r="R990" s="1"/>
      <c r="S990" s="1"/>
      <c r="T990" s="1"/>
      <c r="U990" s="2"/>
      <c r="V990" s="1"/>
      <c r="W990" s="1"/>
      <c r="X990" s="1"/>
      <c r="Y990" s="1"/>
      <c r="Z990" s="1"/>
    </row>
    <row r="991" spans="1:26" ht="24.75" customHeight="1">
      <c r="A991" s="1"/>
      <c r="B991" s="1"/>
      <c r="C991" s="1"/>
      <c r="D991" s="1"/>
      <c r="E991" s="1"/>
      <c r="F991" s="1"/>
      <c r="G991" s="1"/>
      <c r="H991" s="1"/>
      <c r="I991" s="1"/>
      <c r="J991" s="1"/>
      <c r="K991" s="1"/>
      <c r="L991" s="1"/>
      <c r="M991" s="1"/>
      <c r="N991" s="1"/>
      <c r="O991" s="1"/>
      <c r="P991" s="1"/>
      <c r="Q991" s="1"/>
      <c r="R991" s="1"/>
      <c r="S991" s="1"/>
      <c r="T991" s="1"/>
      <c r="U991" s="2"/>
      <c r="V991" s="1"/>
      <c r="W991" s="1"/>
      <c r="X991" s="1"/>
      <c r="Y991" s="1"/>
      <c r="Z991" s="1"/>
    </row>
    <row r="992" spans="1:26" ht="24.75" customHeight="1">
      <c r="A992" s="1"/>
      <c r="B992" s="1"/>
      <c r="C992" s="1"/>
      <c r="D992" s="1"/>
      <c r="E992" s="1"/>
      <c r="F992" s="1"/>
      <c r="G992" s="1"/>
      <c r="H992" s="1"/>
      <c r="I992" s="1"/>
      <c r="J992" s="1"/>
      <c r="K992" s="1"/>
      <c r="L992" s="1"/>
      <c r="M992" s="1"/>
      <c r="N992" s="1"/>
      <c r="O992" s="1"/>
      <c r="P992" s="1"/>
      <c r="Q992" s="1"/>
      <c r="R992" s="1"/>
      <c r="S992" s="1"/>
      <c r="T992" s="1"/>
      <c r="U992" s="2"/>
      <c r="V992" s="1"/>
      <c r="W992" s="1"/>
      <c r="X992" s="1"/>
      <c r="Y992" s="1"/>
      <c r="Z992" s="1"/>
    </row>
    <row r="993" spans="1:26" ht="24.75" customHeight="1">
      <c r="A993" s="1"/>
      <c r="B993" s="1"/>
      <c r="C993" s="1"/>
      <c r="D993" s="1"/>
      <c r="E993" s="1"/>
      <c r="F993" s="1"/>
      <c r="G993" s="1"/>
      <c r="H993" s="1"/>
      <c r="I993" s="1"/>
      <c r="J993" s="1"/>
      <c r="K993" s="1"/>
      <c r="L993" s="1"/>
      <c r="M993" s="1"/>
      <c r="N993" s="1"/>
      <c r="O993" s="1"/>
      <c r="P993" s="1"/>
      <c r="Q993" s="1"/>
      <c r="R993" s="1"/>
      <c r="S993" s="1"/>
      <c r="T993" s="1"/>
      <c r="U993" s="2"/>
      <c r="V993" s="1"/>
      <c r="W993" s="1"/>
      <c r="X993" s="1"/>
      <c r="Y993" s="1"/>
      <c r="Z993" s="1"/>
    </row>
    <row r="994" spans="1:26" ht="24.75" customHeight="1">
      <c r="A994" s="1"/>
      <c r="B994" s="1"/>
      <c r="C994" s="1"/>
      <c r="D994" s="1"/>
      <c r="E994" s="1"/>
      <c r="F994" s="1"/>
      <c r="G994" s="1"/>
      <c r="H994" s="1"/>
      <c r="I994" s="1"/>
      <c r="J994" s="1"/>
      <c r="K994" s="1"/>
      <c r="L994" s="1"/>
      <c r="M994" s="1"/>
      <c r="N994" s="1"/>
      <c r="O994" s="1"/>
      <c r="P994" s="1"/>
      <c r="Q994" s="1"/>
      <c r="R994" s="1"/>
      <c r="S994" s="1"/>
      <c r="T994" s="1"/>
      <c r="U994" s="2"/>
      <c r="V994" s="1"/>
      <c r="W994" s="1"/>
      <c r="X994" s="1"/>
      <c r="Y994" s="1"/>
      <c r="Z994" s="1"/>
    </row>
    <row r="995" spans="1:26" ht="24.75" customHeight="1">
      <c r="A995" s="1"/>
      <c r="B995" s="1"/>
      <c r="C995" s="1"/>
      <c r="D995" s="1"/>
      <c r="E995" s="1"/>
      <c r="F995" s="1"/>
      <c r="G995" s="1"/>
      <c r="H995" s="1"/>
      <c r="I995" s="1"/>
      <c r="J995" s="1"/>
      <c r="K995" s="1"/>
      <c r="L995" s="1"/>
      <c r="M995" s="1"/>
      <c r="N995" s="1"/>
      <c r="O995" s="1"/>
      <c r="P995" s="1"/>
      <c r="Q995" s="1"/>
      <c r="R995" s="1"/>
      <c r="S995" s="1"/>
      <c r="T995" s="1"/>
      <c r="U995" s="2"/>
      <c r="V995" s="1"/>
      <c r="W995" s="1"/>
      <c r="X995" s="1"/>
      <c r="Y995" s="1"/>
      <c r="Z995" s="1"/>
    </row>
    <row r="996" spans="1:26" ht="24.75" customHeight="1">
      <c r="A996" s="1"/>
      <c r="B996" s="1"/>
      <c r="C996" s="1"/>
      <c r="D996" s="1"/>
      <c r="E996" s="1"/>
      <c r="F996" s="1"/>
      <c r="G996" s="1"/>
      <c r="H996" s="1"/>
      <c r="I996" s="1"/>
      <c r="J996" s="1"/>
      <c r="K996" s="1"/>
      <c r="L996" s="1"/>
      <c r="M996" s="1"/>
      <c r="N996" s="1"/>
      <c r="O996" s="1"/>
      <c r="P996" s="1"/>
      <c r="Q996" s="1"/>
      <c r="R996" s="1"/>
      <c r="S996" s="1"/>
      <c r="T996" s="1"/>
      <c r="U996" s="2"/>
      <c r="V996" s="1"/>
      <c r="W996" s="1"/>
      <c r="X996" s="1"/>
      <c r="Y996" s="1"/>
      <c r="Z996" s="1"/>
    </row>
    <row r="997" spans="1:26" ht="24.75" customHeight="1">
      <c r="A997" s="1"/>
      <c r="B997" s="1"/>
      <c r="C997" s="1"/>
      <c r="D997" s="1"/>
      <c r="E997" s="1"/>
      <c r="F997" s="1"/>
      <c r="G997" s="1"/>
      <c r="H997" s="1"/>
      <c r="I997" s="1"/>
      <c r="J997" s="1"/>
      <c r="K997" s="1"/>
      <c r="L997" s="1"/>
      <c r="M997" s="1"/>
      <c r="N997" s="1"/>
      <c r="O997" s="1"/>
      <c r="P997" s="1"/>
      <c r="Q997" s="1"/>
      <c r="R997" s="1"/>
      <c r="S997" s="1"/>
      <c r="T997" s="1"/>
      <c r="U997" s="2"/>
      <c r="V997" s="1"/>
      <c r="W997" s="1"/>
      <c r="X997" s="1"/>
      <c r="Y997" s="1"/>
      <c r="Z997" s="1"/>
    </row>
    <row r="998" spans="1:26" ht="24.75" customHeight="1">
      <c r="A998" s="1"/>
      <c r="B998" s="1"/>
      <c r="C998" s="1"/>
      <c r="D998" s="1"/>
      <c r="E998" s="1"/>
      <c r="F998" s="1"/>
      <c r="G998" s="1"/>
      <c r="H998" s="1"/>
      <c r="I998" s="1"/>
      <c r="J998" s="1"/>
      <c r="K998" s="1"/>
      <c r="L998" s="1"/>
      <c r="M998" s="1"/>
      <c r="N998" s="1"/>
      <c r="O998" s="1"/>
      <c r="P998" s="1"/>
      <c r="Q998" s="1"/>
      <c r="R998" s="1"/>
      <c r="S998" s="1"/>
      <c r="T998" s="1"/>
      <c r="U998" s="2"/>
      <c r="V998" s="1"/>
      <c r="W998" s="1"/>
      <c r="X998" s="1"/>
      <c r="Y998" s="1"/>
      <c r="Z998" s="1"/>
    </row>
    <row r="999" spans="1:26" ht="24.75" customHeight="1">
      <c r="A999" s="1"/>
      <c r="B999" s="1"/>
      <c r="C999" s="1"/>
      <c r="D999" s="1"/>
      <c r="E999" s="1"/>
      <c r="F999" s="1"/>
      <c r="G999" s="1"/>
      <c r="H999" s="1"/>
      <c r="I999" s="1"/>
      <c r="J999" s="1"/>
      <c r="K999" s="1"/>
      <c r="L999" s="1"/>
      <c r="M999" s="1"/>
      <c r="N999" s="1"/>
      <c r="O999" s="1"/>
      <c r="P999" s="1"/>
      <c r="Q999" s="1"/>
      <c r="R999" s="1"/>
      <c r="S999" s="1"/>
      <c r="T999" s="1"/>
      <c r="U999" s="2"/>
      <c r="V999" s="1"/>
      <c r="W999" s="1"/>
      <c r="X999" s="1"/>
      <c r="Y999" s="1"/>
      <c r="Z999" s="1"/>
    </row>
    <row r="1000" spans="1:26" ht="24.75" customHeight="1">
      <c r="A1000" s="1"/>
      <c r="B1000" s="1"/>
      <c r="C1000" s="1"/>
      <c r="D1000" s="1"/>
      <c r="E1000" s="1"/>
      <c r="F1000" s="1"/>
      <c r="G1000" s="1"/>
      <c r="H1000" s="1"/>
      <c r="I1000" s="1"/>
      <c r="J1000" s="1"/>
      <c r="K1000" s="1"/>
      <c r="L1000" s="1"/>
      <c r="M1000" s="1"/>
      <c r="N1000" s="1"/>
      <c r="O1000" s="1"/>
      <c r="P1000" s="1"/>
      <c r="Q1000" s="1"/>
      <c r="R1000" s="1"/>
      <c r="S1000" s="1"/>
      <c r="T1000" s="1"/>
      <c r="U1000" s="2"/>
      <c r="V1000" s="1"/>
      <c r="W1000" s="1"/>
      <c r="X1000" s="1"/>
      <c r="Y1000" s="1"/>
      <c r="Z1000" s="1"/>
    </row>
  </sheetData>
  <mergeCells count="101">
    <mergeCell ref="B204:B206"/>
    <mergeCell ref="C204:C206"/>
    <mergeCell ref="B209:D209"/>
    <mergeCell ref="A210:D210"/>
    <mergeCell ref="A135:A158"/>
    <mergeCell ref="B135:B136"/>
    <mergeCell ref="B138:B144"/>
    <mergeCell ref="B145:B146"/>
    <mergeCell ref="B147:B149"/>
    <mergeCell ref="B158:D158"/>
    <mergeCell ref="A159:A209"/>
    <mergeCell ref="C135:C136"/>
    <mergeCell ref="C138:C144"/>
    <mergeCell ref="C145:C146"/>
    <mergeCell ref="C147:C149"/>
    <mergeCell ref="C150:C153"/>
    <mergeCell ref="B173:B179"/>
    <mergeCell ref="C173:C179"/>
    <mergeCell ref="B180:B183"/>
    <mergeCell ref="C180:C183"/>
    <mergeCell ref="B184:B186"/>
    <mergeCell ref="C184:C186"/>
    <mergeCell ref="B187:B192"/>
    <mergeCell ref="C187:C192"/>
    <mergeCell ref="B150:B153"/>
    <mergeCell ref="B159:B162"/>
    <mergeCell ref="C159:C162"/>
    <mergeCell ref="B163:B167"/>
    <mergeCell ref="C163:C167"/>
    <mergeCell ref="B168:B172"/>
    <mergeCell ref="C168:C172"/>
    <mergeCell ref="B202:B203"/>
    <mergeCell ref="C202:C203"/>
    <mergeCell ref="B194:B199"/>
    <mergeCell ref="C194:C199"/>
    <mergeCell ref="B200:B201"/>
    <mergeCell ref="C200:C201"/>
    <mergeCell ref="C94:C103"/>
    <mergeCell ref="B104:B105"/>
    <mergeCell ref="C104:C105"/>
    <mergeCell ref="B106:B110"/>
    <mergeCell ref="C106:C110"/>
    <mergeCell ref="B111:B113"/>
    <mergeCell ref="C111:C113"/>
    <mergeCell ref="B94:B103"/>
    <mergeCell ref="A94:A134"/>
    <mergeCell ref="B114:B118"/>
    <mergeCell ref="C114:C118"/>
    <mergeCell ref="B119:B120"/>
    <mergeCell ref="C119:C120"/>
    <mergeCell ref="B122:B125"/>
    <mergeCell ref="C122:C125"/>
    <mergeCell ref="B128:B130"/>
    <mergeCell ref="C128:C130"/>
    <mergeCell ref="B131:B132"/>
    <mergeCell ref="C131:C132"/>
    <mergeCell ref="B134:D134"/>
    <mergeCell ref="B79:B85"/>
    <mergeCell ref="C79:C85"/>
    <mergeCell ref="B75:B78"/>
    <mergeCell ref="B57:B66"/>
    <mergeCell ref="C57:C66"/>
    <mergeCell ref="A69:A93"/>
    <mergeCell ref="B70:B74"/>
    <mergeCell ref="C70:C74"/>
    <mergeCell ref="C75:C78"/>
    <mergeCell ref="B86:B89"/>
    <mergeCell ref="C86:C89"/>
    <mergeCell ref="B93:D93"/>
    <mergeCell ref="B47:B56"/>
    <mergeCell ref="C47:C56"/>
    <mergeCell ref="C6:C23"/>
    <mergeCell ref="B24:B25"/>
    <mergeCell ref="C24:C25"/>
    <mergeCell ref="Q4:Q5"/>
    <mergeCell ref="R4:R5"/>
    <mergeCell ref="S4:S5"/>
    <mergeCell ref="A1:E1"/>
    <mergeCell ref="A4:A5"/>
    <mergeCell ref="C4:C5"/>
    <mergeCell ref="D4:D5"/>
    <mergeCell ref="E4:E5"/>
    <mergeCell ref="F4:F5"/>
    <mergeCell ref="A6:A68"/>
    <mergeCell ref="B68:D68"/>
    <mergeCell ref="B4:B5"/>
    <mergeCell ref="B6:B23"/>
    <mergeCell ref="B26:B36"/>
    <mergeCell ref="C26:C36"/>
    <mergeCell ref="B37:B39"/>
    <mergeCell ref="C37:C39"/>
    <mergeCell ref="B40:B46"/>
    <mergeCell ref="U4:U5"/>
    <mergeCell ref="G4:H4"/>
    <mergeCell ref="I4:I5"/>
    <mergeCell ref="J4:L4"/>
    <mergeCell ref="M4:M5"/>
    <mergeCell ref="N4:N5"/>
    <mergeCell ref="O4:O5"/>
    <mergeCell ref="P4:P5"/>
    <mergeCell ref="C40:C46"/>
  </mergeCell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dimension ref="A1:Z1000"/>
  <sheetViews>
    <sheetView workbookViewId="0">
      <pane xSplit="3" ySplit="5" topLeftCell="D78" activePane="bottomRight" state="frozen"/>
      <selection pane="topRight" activeCell="D1" sqref="D1"/>
      <selection pane="bottomLeft" activeCell="A6" sqref="A6"/>
      <selection pane="bottomRight" activeCell="P86" sqref="P86"/>
    </sheetView>
  </sheetViews>
  <sheetFormatPr defaultColWidth="14.42578125" defaultRowHeight="15" customHeight="1"/>
  <cols>
    <col min="1" max="1" width="6.7109375" style="3" customWidth="1"/>
    <col min="2" max="2" width="7.28515625" style="3" customWidth="1"/>
    <col min="3" max="3" width="11.28515625" style="3" customWidth="1"/>
    <col min="4" max="4" width="5.85546875" style="3" customWidth="1"/>
    <col min="5" max="5" width="35.85546875" style="3" customWidth="1"/>
    <col min="6" max="6" width="7.42578125" style="3" customWidth="1"/>
    <col min="7" max="7" width="10.7109375" style="3" customWidth="1"/>
    <col min="8" max="8" width="8.28515625" style="3" customWidth="1"/>
    <col min="9" max="9" width="10.5703125" style="3" customWidth="1"/>
    <col min="10" max="10" width="11.85546875" style="3" customWidth="1"/>
    <col min="11" max="11" width="9.28515625" style="3" customWidth="1"/>
    <col min="12" max="12" width="6.7109375" style="3" customWidth="1"/>
    <col min="13" max="13" width="9" style="3" customWidth="1"/>
    <col min="14" max="14" width="9.7109375" style="3" customWidth="1"/>
    <col min="15" max="15" width="6.5703125" style="3" customWidth="1"/>
    <col min="16" max="16" width="9.7109375" style="3" customWidth="1"/>
    <col min="17" max="17" width="8.28515625" style="3" customWidth="1"/>
    <col min="18" max="18" width="10" style="3" customWidth="1"/>
    <col min="19" max="19" width="10.42578125" style="3" customWidth="1"/>
    <col min="20" max="20" width="15.7109375" style="3" customWidth="1"/>
    <col min="21" max="21" width="49" style="21" customWidth="1"/>
    <col min="22" max="16384" width="14.42578125" style="3"/>
  </cols>
  <sheetData>
    <row r="1" spans="1:26" ht="24.75" customHeight="1">
      <c r="A1" s="172" t="s">
        <v>379</v>
      </c>
      <c r="B1" s="173"/>
      <c r="C1" s="173"/>
      <c r="D1" s="173"/>
      <c r="E1" s="174"/>
      <c r="F1" s="1"/>
      <c r="G1" s="1"/>
      <c r="H1" s="1"/>
      <c r="I1" s="1"/>
      <c r="J1" s="1"/>
      <c r="K1" s="1"/>
      <c r="L1" s="1"/>
      <c r="M1" s="1"/>
      <c r="N1" s="1"/>
      <c r="O1" s="1"/>
      <c r="P1" s="1"/>
      <c r="Q1" s="1"/>
      <c r="R1" s="1"/>
      <c r="S1" s="1"/>
      <c r="T1" s="1"/>
      <c r="U1" s="2"/>
      <c r="V1" s="1"/>
      <c r="W1" s="1"/>
      <c r="X1" s="1"/>
      <c r="Y1" s="1"/>
      <c r="Z1" s="1"/>
    </row>
    <row r="2" spans="1:26" ht="24.75" hidden="1" customHeight="1">
      <c r="A2" s="1"/>
      <c r="B2" s="1"/>
      <c r="C2" s="1"/>
      <c r="D2" s="1"/>
      <c r="E2" s="1"/>
      <c r="F2" s="1"/>
      <c r="G2" s="1"/>
      <c r="H2" s="1"/>
      <c r="I2" s="1"/>
      <c r="J2" s="1"/>
      <c r="K2" s="1"/>
      <c r="L2" s="1"/>
      <c r="M2" s="1"/>
      <c r="N2" s="1"/>
      <c r="O2" s="1"/>
      <c r="P2" s="1"/>
      <c r="Q2" s="1"/>
      <c r="R2" s="1"/>
      <c r="S2" s="1"/>
      <c r="T2" s="1"/>
      <c r="U2" s="2"/>
      <c r="V2" s="1"/>
      <c r="W2" s="1"/>
      <c r="X2" s="1"/>
      <c r="Y2" s="1"/>
      <c r="Z2" s="1"/>
    </row>
    <row r="3" spans="1:26" ht="24.75" hidden="1" customHeight="1">
      <c r="A3" s="1"/>
      <c r="B3" s="4"/>
      <c r="C3" s="4"/>
      <c r="D3" s="4"/>
      <c r="E3" s="4"/>
      <c r="F3" s="4"/>
      <c r="G3" s="4"/>
      <c r="H3" s="4"/>
      <c r="I3" s="4"/>
      <c r="J3" s="4"/>
      <c r="K3" s="4"/>
      <c r="L3" s="4"/>
      <c r="M3" s="4"/>
      <c r="N3" s="4"/>
      <c r="O3" s="4"/>
      <c r="P3" s="4"/>
      <c r="Q3" s="4"/>
      <c r="R3" s="4"/>
      <c r="S3" s="4"/>
      <c r="T3" s="4"/>
      <c r="U3" s="60" t="s">
        <v>1</v>
      </c>
      <c r="V3" s="1"/>
      <c r="W3" s="1"/>
      <c r="X3" s="1"/>
      <c r="Y3" s="1"/>
      <c r="Z3" s="1"/>
    </row>
    <row r="4" spans="1:26" ht="24.75" customHeight="1">
      <c r="A4" s="168" t="s">
        <v>2</v>
      </c>
      <c r="B4" s="168" t="s">
        <v>3</v>
      </c>
      <c r="C4" s="168" t="s">
        <v>4</v>
      </c>
      <c r="D4" s="168" t="s">
        <v>5</v>
      </c>
      <c r="E4" s="168" t="s">
        <v>6</v>
      </c>
      <c r="F4" s="168" t="s">
        <v>7</v>
      </c>
      <c r="G4" s="166" t="s">
        <v>8</v>
      </c>
      <c r="H4" s="167"/>
      <c r="I4" s="168" t="s">
        <v>9</v>
      </c>
      <c r="J4" s="166" t="s">
        <v>10</v>
      </c>
      <c r="K4" s="170"/>
      <c r="L4" s="167"/>
      <c r="M4" s="168" t="s">
        <v>570</v>
      </c>
      <c r="N4" s="168" t="s">
        <v>11</v>
      </c>
      <c r="O4" s="168" t="s">
        <v>12</v>
      </c>
      <c r="P4" s="168" t="s">
        <v>380</v>
      </c>
      <c r="Q4" s="168" t="s">
        <v>14</v>
      </c>
      <c r="R4" s="168" t="s">
        <v>15</v>
      </c>
      <c r="S4" s="168" t="s">
        <v>16</v>
      </c>
      <c r="T4" s="5" t="s">
        <v>597</v>
      </c>
      <c r="U4" s="164" t="s">
        <v>17</v>
      </c>
      <c r="V4" s="1"/>
      <c r="W4" s="1"/>
      <c r="X4" s="1"/>
      <c r="Y4" s="1"/>
      <c r="Z4" s="1"/>
    </row>
    <row r="5" spans="1:26" ht="24.75" customHeight="1">
      <c r="A5" s="169"/>
      <c r="B5" s="169"/>
      <c r="C5" s="169"/>
      <c r="D5" s="169"/>
      <c r="E5" s="169"/>
      <c r="F5" s="169"/>
      <c r="G5" s="5" t="s">
        <v>18</v>
      </c>
      <c r="H5" s="5" t="s">
        <v>19</v>
      </c>
      <c r="I5" s="169"/>
      <c r="J5" s="5" t="s">
        <v>571</v>
      </c>
      <c r="K5" s="5" t="s">
        <v>20</v>
      </c>
      <c r="L5" s="5" t="s">
        <v>21</v>
      </c>
      <c r="M5" s="169"/>
      <c r="N5" s="169"/>
      <c r="O5" s="169"/>
      <c r="P5" s="169"/>
      <c r="Q5" s="169"/>
      <c r="R5" s="169"/>
      <c r="S5" s="169"/>
      <c r="T5" s="5" t="s">
        <v>22</v>
      </c>
      <c r="U5" s="169"/>
      <c r="V5" s="1"/>
      <c r="W5" s="1"/>
      <c r="X5" s="1"/>
      <c r="Y5" s="1"/>
      <c r="Z5" s="1"/>
    </row>
    <row r="6" spans="1:26" ht="24.75" customHeight="1">
      <c r="A6" s="175" t="s">
        <v>23</v>
      </c>
      <c r="B6" s="168" t="s">
        <v>24</v>
      </c>
      <c r="C6" s="168" t="s">
        <v>25</v>
      </c>
      <c r="D6" s="5">
        <v>1</v>
      </c>
      <c r="E6" s="5" t="s">
        <v>26</v>
      </c>
      <c r="F6" s="5"/>
      <c r="G6" s="5"/>
      <c r="H6" s="5"/>
      <c r="I6" s="5"/>
      <c r="J6" s="5"/>
      <c r="K6" s="5"/>
      <c r="L6" s="5"/>
      <c r="M6" s="5"/>
      <c r="N6" s="5"/>
      <c r="O6" s="5"/>
      <c r="P6" s="5"/>
      <c r="Q6" s="5"/>
      <c r="R6" s="5"/>
      <c r="S6" s="5"/>
      <c r="T6" s="6">
        <f t="shared" ref="T6:T69" si="0">SUM(F6:S6)</f>
        <v>0</v>
      </c>
      <c r="U6" s="9"/>
      <c r="V6" s="1"/>
      <c r="W6" s="1"/>
      <c r="X6" s="1"/>
      <c r="Y6" s="1"/>
      <c r="Z6" s="1"/>
    </row>
    <row r="7" spans="1:26" ht="75">
      <c r="A7" s="171"/>
      <c r="B7" s="171"/>
      <c r="C7" s="171"/>
      <c r="D7" s="5">
        <v>2</v>
      </c>
      <c r="E7" s="5" t="s">
        <v>27</v>
      </c>
      <c r="F7" s="5"/>
      <c r="G7" s="5"/>
      <c r="H7" s="5"/>
      <c r="I7" s="5"/>
      <c r="J7" s="5"/>
      <c r="K7" s="6">
        <v>94.68</v>
      </c>
      <c r="L7" s="5"/>
      <c r="M7" s="5"/>
      <c r="N7" s="5"/>
      <c r="O7" s="5"/>
      <c r="P7" s="8">
        <v>1.2</v>
      </c>
      <c r="Q7" s="5"/>
      <c r="R7" s="5"/>
      <c r="S7" s="5"/>
      <c r="T7" s="6">
        <f t="shared" si="0"/>
        <v>95.88000000000001</v>
      </c>
      <c r="U7" s="9" t="s">
        <v>28</v>
      </c>
      <c r="V7" s="1"/>
      <c r="W7" s="1"/>
      <c r="X7" s="1"/>
      <c r="Y7" s="1"/>
      <c r="Z7" s="1"/>
    </row>
    <row r="8" spans="1:26" ht="30">
      <c r="A8" s="171"/>
      <c r="B8" s="171"/>
      <c r="C8" s="171"/>
      <c r="D8" s="5">
        <v>3</v>
      </c>
      <c r="E8" s="5" t="s">
        <v>29</v>
      </c>
      <c r="F8" s="8">
        <v>64.349999999999994</v>
      </c>
      <c r="G8" s="5"/>
      <c r="H8" s="5"/>
      <c r="I8" s="5"/>
      <c r="J8" s="5"/>
      <c r="K8" s="5"/>
      <c r="L8" s="5"/>
      <c r="M8" s="5"/>
      <c r="N8" s="5"/>
      <c r="O8" s="8">
        <v>51.38</v>
      </c>
      <c r="P8" s="5"/>
      <c r="Q8" s="5"/>
      <c r="R8" s="8">
        <v>2.96</v>
      </c>
      <c r="S8" s="5"/>
      <c r="T8" s="6">
        <f t="shared" si="0"/>
        <v>118.68999999999998</v>
      </c>
      <c r="U8" s="9" t="s">
        <v>30</v>
      </c>
      <c r="V8" s="1"/>
      <c r="W8" s="1"/>
      <c r="X8" s="1"/>
      <c r="Y8" s="1"/>
      <c r="Z8" s="1"/>
    </row>
    <row r="9" spans="1:26" ht="30">
      <c r="A9" s="171"/>
      <c r="B9" s="171"/>
      <c r="C9" s="171"/>
      <c r="D9" s="5">
        <v>4</v>
      </c>
      <c r="E9" s="5" t="s">
        <v>31</v>
      </c>
      <c r="F9" s="5"/>
      <c r="G9" s="5"/>
      <c r="H9" s="5"/>
      <c r="I9" s="5"/>
      <c r="J9" s="5"/>
      <c r="K9" s="5"/>
      <c r="L9" s="5"/>
      <c r="M9" s="6">
        <v>32.28</v>
      </c>
      <c r="N9" s="5"/>
      <c r="O9" s="5"/>
      <c r="P9" s="8">
        <f>48.96+1.61</f>
        <v>50.57</v>
      </c>
      <c r="Q9" s="5"/>
      <c r="R9" s="5"/>
      <c r="S9" s="5"/>
      <c r="T9" s="6">
        <f t="shared" si="0"/>
        <v>82.85</v>
      </c>
      <c r="U9" s="9" t="s">
        <v>32</v>
      </c>
      <c r="V9" s="1"/>
      <c r="W9" s="1"/>
      <c r="X9" s="1"/>
      <c r="Y9" s="1"/>
      <c r="Z9" s="1"/>
    </row>
    <row r="10" spans="1:26" ht="24.75" customHeight="1">
      <c r="A10" s="171"/>
      <c r="B10" s="171"/>
      <c r="C10" s="171"/>
      <c r="D10" s="5">
        <v>5</v>
      </c>
      <c r="E10" s="5" t="s">
        <v>33</v>
      </c>
      <c r="F10" s="5"/>
      <c r="G10" s="5"/>
      <c r="H10" s="5"/>
      <c r="I10" s="5"/>
      <c r="J10" s="5"/>
      <c r="K10" s="5"/>
      <c r="L10" s="5"/>
      <c r="M10" s="5"/>
      <c r="N10" s="5"/>
      <c r="O10" s="5"/>
      <c r="P10" s="6">
        <v>53.8</v>
      </c>
      <c r="Q10" s="5"/>
      <c r="R10" s="5"/>
      <c r="S10" s="5"/>
      <c r="T10" s="6">
        <f t="shared" si="0"/>
        <v>53.8</v>
      </c>
      <c r="U10" s="9" t="s">
        <v>34</v>
      </c>
      <c r="V10" s="1"/>
      <c r="W10" s="1"/>
      <c r="X10" s="1"/>
      <c r="Y10" s="1"/>
      <c r="Z10" s="1"/>
    </row>
    <row r="11" spans="1:26" ht="24.75" customHeight="1">
      <c r="A11" s="171"/>
      <c r="B11" s="171"/>
      <c r="C11" s="171"/>
      <c r="D11" s="5">
        <v>6</v>
      </c>
      <c r="E11" s="5" t="s">
        <v>35</v>
      </c>
      <c r="F11" s="5"/>
      <c r="G11" s="5"/>
      <c r="H11" s="5"/>
      <c r="I11" s="5"/>
      <c r="J11" s="5"/>
      <c r="K11" s="5"/>
      <c r="L11" s="5"/>
      <c r="M11" s="5"/>
      <c r="N11" s="8"/>
      <c r="O11" s="5"/>
      <c r="P11" s="8">
        <v>0.9</v>
      </c>
      <c r="Q11" s="5"/>
      <c r="R11" s="5"/>
      <c r="S11" s="5"/>
      <c r="T11" s="6">
        <f t="shared" si="0"/>
        <v>0.9</v>
      </c>
      <c r="U11" s="9" t="s">
        <v>36</v>
      </c>
      <c r="V11" s="1"/>
      <c r="W11" s="1"/>
      <c r="X11" s="1"/>
      <c r="Y11" s="1"/>
      <c r="Z11" s="1"/>
    </row>
    <row r="12" spans="1:26" ht="30">
      <c r="A12" s="171"/>
      <c r="B12" s="171"/>
      <c r="C12" s="171"/>
      <c r="D12" s="5">
        <v>7</v>
      </c>
      <c r="E12" s="5" t="s">
        <v>37</v>
      </c>
      <c r="F12" s="5"/>
      <c r="G12" s="5"/>
      <c r="H12" s="5"/>
      <c r="I12" s="5"/>
      <c r="J12" s="5"/>
      <c r="K12" s="5"/>
      <c r="L12" s="5"/>
      <c r="M12" s="5"/>
      <c r="N12" s="5"/>
      <c r="O12" s="5"/>
      <c r="P12" s="8">
        <v>0.06</v>
      </c>
      <c r="Q12" s="8"/>
      <c r="R12" s="5"/>
      <c r="S12" s="5"/>
      <c r="T12" s="6">
        <f t="shared" si="0"/>
        <v>0.06</v>
      </c>
      <c r="U12" s="9" t="s">
        <v>38</v>
      </c>
      <c r="V12" s="1"/>
      <c r="W12" s="1"/>
      <c r="X12" s="1"/>
      <c r="Y12" s="1"/>
      <c r="Z12" s="1"/>
    </row>
    <row r="13" spans="1:26" ht="24.75" customHeight="1">
      <c r="A13" s="171"/>
      <c r="B13" s="171"/>
      <c r="C13" s="171"/>
      <c r="D13" s="5">
        <v>8</v>
      </c>
      <c r="E13" s="5" t="s">
        <v>39</v>
      </c>
      <c r="F13" s="5"/>
      <c r="G13" s="5"/>
      <c r="H13" s="5"/>
      <c r="I13" s="5"/>
      <c r="J13" s="5"/>
      <c r="K13" s="5"/>
      <c r="L13" s="5"/>
      <c r="M13" s="5"/>
      <c r="N13" s="6"/>
      <c r="O13" s="5"/>
      <c r="P13" s="5"/>
      <c r="Q13" s="5"/>
      <c r="R13" s="5"/>
      <c r="S13" s="5"/>
      <c r="T13" s="6">
        <f t="shared" si="0"/>
        <v>0</v>
      </c>
      <c r="U13" s="9"/>
      <c r="V13" s="1"/>
      <c r="W13" s="1"/>
      <c r="X13" s="1"/>
      <c r="Y13" s="1"/>
      <c r="Z13" s="1"/>
    </row>
    <row r="14" spans="1:26" ht="75">
      <c r="A14" s="171"/>
      <c r="B14" s="171"/>
      <c r="C14" s="171"/>
      <c r="D14" s="5">
        <v>9</v>
      </c>
      <c r="E14" s="5" t="s">
        <v>40</v>
      </c>
      <c r="F14" s="5"/>
      <c r="G14" s="5"/>
      <c r="H14" s="5"/>
      <c r="I14" s="5"/>
      <c r="J14" s="5"/>
      <c r="K14" s="5"/>
      <c r="L14" s="5"/>
      <c r="M14" s="5"/>
      <c r="N14" s="6">
        <v>0.18</v>
      </c>
      <c r="O14" s="5"/>
      <c r="P14" s="5"/>
      <c r="Q14" s="8"/>
      <c r="R14" s="5"/>
      <c r="S14" s="8">
        <v>0.35</v>
      </c>
      <c r="T14" s="6">
        <f t="shared" si="0"/>
        <v>0.53</v>
      </c>
      <c r="U14" s="9" t="s">
        <v>41</v>
      </c>
      <c r="V14" s="1"/>
      <c r="W14" s="1"/>
      <c r="X14" s="1"/>
      <c r="Y14" s="1"/>
      <c r="Z14" s="1"/>
    </row>
    <row r="15" spans="1:26" ht="60">
      <c r="A15" s="171"/>
      <c r="B15" s="171"/>
      <c r="C15" s="171"/>
      <c r="D15" s="5">
        <v>10</v>
      </c>
      <c r="E15" s="5" t="s">
        <v>42</v>
      </c>
      <c r="F15" s="5"/>
      <c r="G15" s="5"/>
      <c r="H15" s="5"/>
      <c r="I15" s="6"/>
      <c r="J15" s="5"/>
      <c r="K15" s="5"/>
      <c r="L15" s="5"/>
      <c r="M15" s="5"/>
      <c r="N15" s="6">
        <v>0.45750000000000002</v>
      </c>
      <c r="O15" s="5"/>
      <c r="P15" s="5"/>
      <c r="Q15" s="5"/>
      <c r="R15" s="5"/>
      <c r="S15" s="5"/>
      <c r="T15" s="6">
        <f t="shared" si="0"/>
        <v>0.45750000000000002</v>
      </c>
      <c r="U15" s="10" t="s">
        <v>43</v>
      </c>
      <c r="V15" s="1"/>
      <c r="W15" s="1"/>
      <c r="X15" s="1"/>
      <c r="Y15" s="1"/>
      <c r="Z15" s="1"/>
    </row>
    <row r="16" spans="1:26" ht="24.75" customHeight="1">
      <c r="A16" s="171"/>
      <c r="B16" s="171"/>
      <c r="C16" s="171"/>
      <c r="D16" s="5">
        <v>11</v>
      </c>
      <c r="E16" s="5" t="s">
        <v>44</v>
      </c>
      <c r="F16" s="5"/>
      <c r="G16" s="8"/>
      <c r="H16" s="8"/>
      <c r="I16" s="5"/>
      <c r="J16" s="5"/>
      <c r="K16" s="5"/>
      <c r="L16" s="5"/>
      <c r="M16" s="5"/>
      <c r="N16" s="5"/>
      <c r="O16" s="5"/>
      <c r="P16" s="5"/>
      <c r="Q16" s="5"/>
      <c r="R16" s="5"/>
      <c r="S16" s="5"/>
      <c r="T16" s="6">
        <f t="shared" si="0"/>
        <v>0</v>
      </c>
      <c r="U16" s="9"/>
      <c r="V16" s="1"/>
      <c r="W16" s="1"/>
      <c r="X16" s="1"/>
      <c r="Y16" s="1"/>
      <c r="Z16" s="1"/>
    </row>
    <row r="17" spans="1:26" ht="105">
      <c r="A17" s="171"/>
      <c r="B17" s="171"/>
      <c r="C17" s="171"/>
      <c r="D17" s="5">
        <v>12</v>
      </c>
      <c r="E17" s="5" t="s">
        <v>45</v>
      </c>
      <c r="F17" s="5"/>
      <c r="G17" s="5"/>
      <c r="H17" s="5"/>
      <c r="I17" s="5"/>
      <c r="J17" s="5"/>
      <c r="K17" s="5"/>
      <c r="L17" s="5"/>
      <c r="M17" s="5"/>
      <c r="N17" s="6">
        <v>3.4950000000000001</v>
      </c>
      <c r="O17" s="5"/>
      <c r="P17" s="5"/>
      <c r="Q17" s="5"/>
      <c r="R17" s="5"/>
      <c r="S17" s="5"/>
      <c r="T17" s="6">
        <f t="shared" si="0"/>
        <v>3.4950000000000001</v>
      </c>
      <c r="U17" s="9" t="s">
        <v>46</v>
      </c>
      <c r="V17" s="1"/>
      <c r="W17" s="1"/>
      <c r="X17" s="1"/>
      <c r="Y17" s="1"/>
      <c r="Z17" s="1"/>
    </row>
    <row r="18" spans="1:26" ht="24.75" customHeight="1">
      <c r="A18" s="171"/>
      <c r="B18" s="171"/>
      <c r="C18" s="171"/>
      <c r="D18" s="5">
        <v>13</v>
      </c>
      <c r="E18" s="5" t="s">
        <v>47</v>
      </c>
      <c r="F18" s="5"/>
      <c r="G18" s="5"/>
      <c r="H18" s="5"/>
      <c r="I18" s="5"/>
      <c r="J18" s="5"/>
      <c r="K18" s="5"/>
      <c r="L18" s="5"/>
      <c r="M18" s="5"/>
      <c r="N18" s="5"/>
      <c r="O18" s="5"/>
      <c r="P18" s="8"/>
      <c r="Q18" s="5"/>
      <c r="R18" s="5"/>
      <c r="S18" s="5"/>
      <c r="T18" s="6">
        <f t="shared" si="0"/>
        <v>0</v>
      </c>
      <c r="U18" s="9"/>
      <c r="V18" s="1"/>
      <c r="W18" s="1"/>
      <c r="X18" s="1"/>
      <c r="Y18" s="1"/>
      <c r="Z18" s="1"/>
    </row>
    <row r="19" spans="1:26" ht="24.75" customHeight="1">
      <c r="A19" s="171"/>
      <c r="B19" s="171"/>
      <c r="C19" s="171"/>
      <c r="D19" s="5">
        <v>14</v>
      </c>
      <c r="E19" s="5" t="s">
        <v>48</v>
      </c>
      <c r="F19" s="5"/>
      <c r="G19" s="5"/>
      <c r="H19" s="5"/>
      <c r="I19" s="5"/>
      <c r="J19" s="5"/>
      <c r="K19" s="5"/>
      <c r="L19" s="5"/>
      <c r="M19" s="5"/>
      <c r="N19" s="5"/>
      <c r="O19" s="5"/>
      <c r="P19" s="5"/>
      <c r="Q19" s="5"/>
      <c r="R19" s="5"/>
      <c r="S19" s="5"/>
      <c r="T19" s="6">
        <f t="shared" si="0"/>
        <v>0</v>
      </c>
      <c r="U19" s="9"/>
      <c r="V19" s="1"/>
      <c r="W19" s="1"/>
      <c r="X19" s="1"/>
      <c r="Y19" s="1"/>
      <c r="Z19" s="1"/>
    </row>
    <row r="20" spans="1:26" ht="30">
      <c r="A20" s="171"/>
      <c r="B20" s="171"/>
      <c r="C20" s="171"/>
      <c r="D20" s="5">
        <v>15</v>
      </c>
      <c r="E20" s="5" t="s">
        <v>49</v>
      </c>
      <c r="F20" s="5"/>
      <c r="G20" s="5"/>
      <c r="H20" s="5"/>
      <c r="I20" s="8"/>
      <c r="J20" s="5"/>
      <c r="K20" s="5"/>
      <c r="L20" s="5"/>
      <c r="M20" s="5"/>
      <c r="N20" s="6">
        <v>0.74785000000000001</v>
      </c>
      <c r="O20" s="5"/>
      <c r="P20" s="8"/>
      <c r="Q20" s="8"/>
      <c r="R20" s="5"/>
      <c r="S20" s="5"/>
      <c r="T20" s="6">
        <f t="shared" si="0"/>
        <v>0.74785000000000001</v>
      </c>
      <c r="U20" s="9" t="s">
        <v>447</v>
      </c>
      <c r="V20" s="1"/>
      <c r="W20" s="1"/>
      <c r="X20" s="1"/>
      <c r="Y20" s="1"/>
      <c r="Z20" s="1"/>
    </row>
    <row r="21" spans="1:26" ht="24.75" customHeight="1">
      <c r="A21" s="171"/>
      <c r="B21" s="171"/>
      <c r="C21" s="171"/>
      <c r="D21" s="5">
        <v>16</v>
      </c>
      <c r="E21" s="5" t="s">
        <v>51</v>
      </c>
      <c r="F21" s="5"/>
      <c r="G21" s="5"/>
      <c r="H21" s="5"/>
      <c r="I21" s="5"/>
      <c r="J21" s="5"/>
      <c r="K21" s="5"/>
      <c r="L21" s="5"/>
      <c r="M21" s="5"/>
      <c r="N21" s="5"/>
      <c r="O21" s="5"/>
      <c r="P21" s="5"/>
      <c r="Q21" s="5"/>
      <c r="R21" s="5"/>
      <c r="S21" s="5"/>
      <c r="T21" s="6">
        <f t="shared" si="0"/>
        <v>0</v>
      </c>
      <c r="U21" s="9"/>
      <c r="V21" s="1"/>
      <c r="W21" s="1"/>
      <c r="X21" s="1"/>
      <c r="Y21" s="1"/>
      <c r="Z21" s="1"/>
    </row>
    <row r="22" spans="1:26" ht="30">
      <c r="A22" s="171"/>
      <c r="B22" s="171"/>
      <c r="C22" s="171"/>
      <c r="D22" s="5">
        <v>17</v>
      </c>
      <c r="E22" s="5" t="s">
        <v>52</v>
      </c>
      <c r="F22" s="5"/>
      <c r="G22" s="5"/>
      <c r="H22" s="5"/>
      <c r="I22" s="6"/>
      <c r="J22" s="5"/>
      <c r="K22" s="5"/>
      <c r="L22" s="5"/>
      <c r="M22" s="5"/>
      <c r="N22" s="6">
        <v>0.66300000000000003</v>
      </c>
      <c r="O22" s="5"/>
      <c r="P22" s="8">
        <v>0.6</v>
      </c>
      <c r="Q22" s="6">
        <v>2.8</v>
      </c>
      <c r="R22" s="5"/>
      <c r="S22" s="8"/>
      <c r="T22" s="6">
        <f t="shared" si="0"/>
        <v>4.0629999999999997</v>
      </c>
      <c r="U22" s="9" t="s">
        <v>470</v>
      </c>
      <c r="V22" s="1"/>
      <c r="W22" s="1"/>
      <c r="X22" s="1"/>
      <c r="Y22" s="1"/>
      <c r="Z22" s="1"/>
    </row>
    <row r="23" spans="1:26" ht="24.75" customHeight="1">
      <c r="A23" s="171"/>
      <c r="B23" s="169"/>
      <c r="C23" s="169"/>
      <c r="D23" s="5">
        <v>18</v>
      </c>
      <c r="E23" s="5" t="s">
        <v>54</v>
      </c>
      <c r="F23" s="5"/>
      <c r="G23" s="5"/>
      <c r="H23" s="5"/>
      <c r="I23" s="5"/>
      <c r="J23" s="5"/>
      <c r="K23" s="5"/>
      <c r="L23" s="5"/>
      <c r="M23" s="5"/>
      <c r="N23" s="5"/>
      <c r="O23" s="5"/>
      <c r="P23" s="8">
        <f>0.775+0.15</f>
        <v>0.92500000000000004</v>
      </c>
      <c r="Q23" s="8"/>
      <c r="R23" s="5"/>
      <c r="S23" s="8"/>
      <c r="T23" s="6">
        <f t="shared" si="0"/>
        <v>0.92500000000000004</v>
      </c>
      <c r="U23" s="9" t="s">
        <v>55</v>
      </c>
      <c r="V23" s="1"/>
      <c r="W23" s="1"/>
      <c r="X23" s="1"/>
      <c r="Y23" s="1"/>
      <c r="Z23" s="1"/>
    </row>
    <row r="24" spans="1:26" ht="24.75" customHeight="1">
      <c r="A24" s="171"/>
      <c r="B24" s="168" t="s">
        <v>56</v>
      </c>
      <c r="C24" s="168" t="s">
        <v>57</v>
      </c>
      <c r="D24" s="5">
        <v>19</v>
      </c>
      <c r="E24" s="5" t="s">
        <v>57</v>
      </c>
      <c r="F24" s="5"/>
      <c r="G24" s="5"/>
      <c r="H24" s="5"/>
      <c r="I24" s="5"/>
      <c r="J24" s="5"/>
      <c r="K24" s="5"/>
      <c r="L24" s="5"/>
      <c r="M24" s="5"/>
      <c r="N24" s="5"/>
      <c r="O24" s="5"/>
      <c r="P24" s="5"/>
      <c r="Q24" s="5"/>
      <c r="R24" s="5"/>
      <c r="S24" s="5"/>
      <c r="T24" s="6">
        <f t="shared" si="0"/>
        <v>0</v>
      </c>
      <c r="U24" s="9"/>
      <c r="V24" s="1"/>
      <c r="W24" s="1"/>
      <c r="X24" s="1"/>
      <c r="Y24" s="1"/>
      <c r="Z24" s="1"/>
    </row>
    <row r="25" spans="1:26" ht="24.75" customHeight="1">
      <c r="A25" s="171"/>
      <c r="B25" s="169"/>
      <c r="C25" s="169"/>
      <c r="D25" s="5">
        <v>20</v>
      </c>
      <c r="E25" s="5" t="s">
        <v>58</v>
      </c>
      <c r="F25" s="5"/>
      <c r="G25" s="5"/>
      <c r="H25" s="5"/>
      <c r="I25" s="5"/>
      <c r="J25" s="5"/>
      <c r="K25" s="5"/>
      <c r="L25" s="5"/>
      <c r="M25" s="5"/>
      <c r="N25" s="5"/>
      <c r="O25" s="5"/>
      <c r="P25" s="5"/>
      <c r="Q25" s="6">
        <v>0.5</v>
      </c>
      <c r="R25" s="5"/>
      <c r="S25" s="5"/>
      <c r="T25" s="6">
        <f t="shared" si="0"/>
        <v>0.5</v>
      </c>
      <c r="U25" s="9" t="s">
        <v>359</v>
      </c>
      <c r="V25" s="1"/>
      <c r="W25" s="1"/>
      <c r="X25" s="1"/>
      <c r="Y25" s="1"/>
      <c r="Z25" s="1"/>
    </row>
    <row r="26" spans="1:26" ht="24.75" customHeight="1">
      <c r="A26" s="171"/>
      <c r="B26" s="168" t="s">
        <v>60</v>
      </c>
      <c r="C26" s="168" t="s">
        <v>61</v>
      </c>
      <c r="D26" s="5">
        <v>21</v>
      </c>
      <c r="E26" s="5" t="s">
        <v>62</v>
      </c>
      <c r="F26" s="123"/>
      <c r="G26" s="123"/>
      <c r="H26" s="124"/>
      <c r="I26" s="125">
        <v>2.38</v>
      </c>
      <c r="J26" s="123"/>
      <c r="K26" s="125"/>
      <c r="L26" s="123"/>
      <c r="M26" s="123"/>
      <c r="N26" s="125">
        <f>0.992+0.4565+0.175+1</f>
        <v>2.6234999999999999</v>
      </c>
      <c r="O26" s="123"/>
      <c r="P26" s="124">
        <f>11.52+2.52</f>
        <v>14.04</v>
      </c>
      <c r="Q26" s="124">
        <f>0.17</f>
        <v>0.17</v>
      </c>
      <c r="R26" s="125">
        <f>0.5+0.238</f>
        <v>0.73799999999999999</v>
      </c>
      <c r="S26" s="123"/>
      <c r="T26" s="125">
        <f t="shared" ref="T26:T36" si="1">SUM(F26:S26)</f>
        <v>19.951499999999999</v>
      </c>
      <c r="U26" s="9" t="s">
        <v>65</v>
      </c>
      <c r="V26" s="1"/>
      <c r="W26" s="1"/>
      <c r="X26" s="1"/>
      <c r="Y26" s="1"/>
      <c r="Z26" s="1"/>
    </row>
    <row r="27" spans="1:26" ht="24.75" customHeight="1">
      <c r="A27" s="171"/>
      <c r="B27" s="171"/>
      <c r="C27" s="171"/>
      <c r="D27" s="5">
        <v>22</v>
      </c>
      <c r="E27" s="5" t="s">
        <v>64</v>
      </c>
      <c r="F27" s="124"/>
      <c r="G27" s="123"/>
      <c r="H27" s="124"/>
      <c r="I27" s="125"/>
      <c r="J27" s="123"/>
      <c r="K27" s="123"/>
      <c r="L27" s="123"/>
      <c r="M27" s="124">
        <v>0.75</v>
      </c>
      <c r="N27" s="123"/>
      <c r="O27" s="123"/>
      <c r="P27" s="124">
        <v>76.2</v>
      </c>
      <c r="Q27" s="124"/>
      <c r="R27" s="125"/>
      <c r="S27" s="123"/>
      <c r="T27" s="125">
        <f t="shared" si="1"/>
        <v>76.95</v>
      </c>
      <c r="U27" s="9" t="s">
        <v>65</v>
      </c>
      <c r="V27" s="1"/>
      <c r="W27" s="1"/>
      <c r="X27" s="1"/>
      <c r="Y27" s="1"/>
      <c r="Z27" s="1"/>
    </row>
    <row r="28" spans="1:26" ht="24.75" customHeight="1">
      <c r="A28" s="171"/>
      <c r="B28" s="171"/>
      <c r="C28" s="171"/>
      <c r="D28" s="5">
        <v>23</v>
      </c>
      <c r="E28" s="5" t="s">
        <v>66</v>
      </c>
      <c r="F28" s="123"/>
      <c r="G28" s="123"/>
      <c r="H28" s="123"/>
      <c r="I28" s="123"/>
      <c r="J28" s="123"/>
      <c r="K28" s="125"/>
      <c r="L28" s="123"/>
      <c r="M28" s="123"/>
      <c r="N28" s="123"/>
      <c r="O28" s="124">
        <f>18.15475+0.038</f>
        <v>18.19275</v>
      </c>
      <c r="P28" s="123"/>
      <c r="Q28" s="124"/>
      <c r="R28" s="123"/>
      <c r="S28" s="123"/>
      <c r="T28" s="125">
        <f t="shared" si="1"/>
        <v>18.19275</v>
      </c>
      <c r="U28" s="9" t="s">
        <v>65</v>
      </c>
      <c r="V28" s="1"/>
      <c r="W28" s="1"/>
      <c r="X28" s="1"/>
      <c r="Y28" s="1"/>
      <c r="Z28" s="1"/>
    </row>
    <row r="29" spans="1:26" ht="24.75" customHeight="1">
      <c r="A29" s="171"/>
      <c r="B29" s="171"/>
      <c r="C29" s="171"/>
      <c r="D29" s="5">
        <v>24</v>
      </c>
      <c r="E29" s="5" t="s">
        <v>67</v>
      </c>
      <c r="F29" s="123"/>
      <c r="G29" s="123"/>
      <c r="H29" s="124"/>
      <c r="I29" s="123"/>
      <c r="J29" s="123"/>
      <c r="K29" s="123"/>
      <c r="L29" s="123"/>
      <c r="M29" s="123"/>
      <c r="N29" s="125">
        <f>1.72+1.72+1+1</f>
        <v>5.4399999999999995</v>
      </c>
      <c r="O29" s="124"/>
      <c r="P29" s="123">
        <f>2+10+0.4</f>
        <v>12.4</v>
      </c>
      <c r="Q29" s="125"/>
      <c r="R29" s="123"/>
      <c r="S29" s="123"/>
      <c r="T29" s="125">
        <f t="shared" si="1"/>
        <v>17.84</v>
      </c>
      <c r="U29" s="9" t="s">
        <v>360</v>
      </c>
      <c r="V29" s="1"/>
      <c r="W29" s="1"/>
      <c r="X29" s="1"/>
      <c r="Y29" s="1"/>
      <c r="Z29" s="1"/>
    </row>
    <row r="30" spans="1:26" ht="24.75" customHeight="1">
      <c r="A30" s="171"/>
      <c r="B30" s="171"/>
      <c r="C30" s="171"/>
      <c r="D30" s="5">
        <v>25</v>
      </c>
      <c r="E30" s="5" t="s">
        <v>69</v>
      </c>
      <c r="F30" s="123"/>
      <c r="G30" s="123"/>
      <c r="H30" s="123"/>
      <c r="I30" s="123"/>
      <c r="J30" s="123"/>
      <c r="K30" s="123"/>
      <c r="L30" s="123"/>
      <c r="M30" s="123"/>
      <c r="N30" s="125">
        <v>0.5</v>
      </c>
      <c r="O30" s="123"/>
      <c r="P30" s="123"/>
      <c r="Q30" s="123"/>
      <c r="R30" s="123"/>
      <c r="S30" s="123"/>
      <c r="T30" s="125">
        <f t="shared" si="1"/>
        <v>0.5</v>
      </c>
      <c r="U30" s="9" t="s">
        <v>65</v>
      </c>
      <c r="V30" s="1"/>
      <c r="W30" s="1"/>
      <c r="X30" s="1"/>
      <c r="Y30" s="1"/>
      <c r="Z30" s="1"/>
    </row>
    <row r="31" spans="1:26" ht="24.75" customHeight="1">
      <c r="A31" s="171"/>
      <c r="B31" s="171"/>
      <c r="C31" s="171"/>
      <c r="D31" s="5">
        <v>26</v>
      </c>
      <c r="E31" s="5" t="s">
        <v>70</v>
      </c>
      <c r="F31" s="123"/>
      <c r="G31" s="123"/>
      <c r="H31" s="123"/>
      <c r="I31" s="125"/>
      <c r="J31" s="123"/>
      <c r="K31" s="123"/>
      <c r="L31" s="123"/>
      <c r="M31" s="123"/>
      <c r="N31" s="125">
        <v>2.4300000000000002</v>
      </c>
      <c r="O31" s="123"/>
      <c r="P31" s="123"/>
      <c r="Q31" s="125">
        <v>3.5</v>
      </c>
      <c r="R31" s="124"/>
      <c r="S31" s="123"/>
      <c r="T31" s="125">
        <f t="shared" si="1"/>
        <v>5.93</v>
      </c>
      <c r="U31" s="9" t="s">
        <v>360</v>
      </c>
      <c r="V31" s="1"/>
      <c r="W31" s="1"/>
      <c r="X31" s="1"/>
      <c r="Y31" s="1"/>
      <c r="Z31" s="1"/>
    </row>
    <row r="32" spans="1:26" ht="24.75" customHeight="1">
      <c r="A32" s="171"/>
      <c r="B32" s="171"/>
      <c r="C32" s="171"/>
      <c r="D32" s="5">
        <v>27</v>
      </c>
      <c r="E32" s="5" t="s">
        <v>72</v>
      </c>
      <c r="F32" s="123"/>
      <c r="G32" s="123"/>
      <c r="H32" s="124"/>
      <c r="I32" s="125"/>
      <c r="J32" s="123"/>
      <c r="K32" s="123"/>
      <c r="L32" s="123"/>
      <c r="M32" s="123"/>
      <c r="N32" s="125"/>
      <c r="O32" s="124"/>
      <c r="P32" s="124"/>
      <c r="Q32" s="123"/>
      <c r="R32" s="123"/>
      <c r="S32" s="123"/>
      <c r="T32" s="125">
        <f t="shared" si="1"/>
        <v>0</v>
      </c>
      <c r="U32" s="9"/>
      <c r="V32" s="1"/>
      <c r="W32" s="1"/>
      <c r="X32" s="1"/>
      <c r="Y32" s="1"/>
      <c r="Z32" s="1"/>
    </row>
    <row r="33" spans="1:26" ht="24.75" customHeight="1">
      <c r="A33" s="171"/>
      <c r="B33" s="171"/>
      <c r="C33" s="171"/>
      <c r="D33" s="5">
        <v>28</v>
      </c>
      <c r="E33" s="5" t="s">
        <v>31</v>
      </c>
      <c r="F33" s="123"/>
      <c r="G33" s="123"/>
      <c r="H33" s="123"/>
      <c r="I33" s="123"/>
      <c r="J33" s="123"/>
      <c r="K33" s="125">
        <v>3.2280000000000002</v>
      </c>
      <c r="L33" s="123"/>
      <c r="M33" s="125">
        <v>3.2280000000000002</v>
      </c>
      <c r="N33" s="123"/>
      <c r="O33" s="123"/>
      <c r="P33" s="123"/>
      <c r="Q33" s="123"/>
      <c r="R33" s="123"/>
      <c r="S33" s="123"/>
      <c r="T33" s="125">
        <f t="shared" si="1"/>
        <v>6.4560000000000004</v>
      </c>
      <c r="U33" s="9" t="s">
        <v>65</v>
      </c>
      <c r="V33" s="1"/>
      <c r="W33" s="1"/>
      <c r="X33" s="1"/>
      <c r="Y33" s="1"/>
      <c r="Z33" s="1"/>
    </row>
    <row r="34" spans="1:26" ht="24.75" customHeight="1">
      <c r="A34" s="171"/>
      <c r="B34" s="171"/>
      <c r="C34" s="171"/>
      <c r="D34" s="5">
        <v>29</v>
      </c>
      <c r="E34" s="5" t="s">
        <v>33</v>
      </c>
      <c r="F34" s="123"/>
      <c r="G34" s="123"/>
      <c r="H34" s="123"/>
      <c r="I34" s="123"/>
      <c r="J34" s="123"/>
      <c r="K34" s="123"/>
      <c r="L34" s="123"/>
      <c r="M34" s="123"/>
      <c r="N34" s="123"/>
      <c r="O34" s="123"/>
      <c r="P34" s="125">
        <v>8.07</v>
      </c>
      <c r="Q34" s="123"/>
      <c r="R34" s="123"/>
      <c r="S34" s="123"/>
      <c r="T34" s="125">
        <f t="shared" si="1"/>
        <v>8.07</v>
      </c>
      <c r="U34" s="9" t="s">
        <v>65</v>
      </c>
      <c r="V34" s="1"/>
      <c r="W34" s="1"/>
      <c r="X34" s="1"/>
      <c r="Y34" s="1"/>
      <c r="Z34" s="1"/>
    </row>
    <row r="35" spans="1:26" ht="24.75" customHeight="1">
      <c r="A35" s="171"/>
      <c r="B35" s="171"/>
      <c r="C35" s="171"/>
      <c r="D35" s="5">
        <v>30</v>
      </c>
      <c r="E35" s="5" t="s">
        <v>73</v>
      </c>
      <c r="F35" s="123"/>
      <c r="G35" s="123"/>
      <c r="H35" s="123"/>
      <c r="I35" s="125"/>
      <c r="J35" s="123"/>
      <c r="K35" s="123"/>
      <c r="L35" s="123"/>
      <c r="M35" s="123"/>
      <c r="N35" s="123"/>
      <c r="O35" s="123"/>
      <c r="P35" s="123"/>
      <c r="Q35" s="125">
        <v>3</v>
      </c>
      <c r="R35" s="124">
        <v>1.536</v>
      </c>
      <c r="S35" s="123"/>
      <c r="T35" s="125">
        <f t="shared" si="1"/>
        <v>4.5359999999999996</v>
      </c>
      <c r="U35" s="9" t="s">
        <v>360</v>
      </c>
      <c r="V35" s="1"/>
      <c r="W35" s="1"/>
      <c r="X35" s="1"/>
      <c r="Y35" s="1"/>
      <c r="Z35" s="1"/>
    </row>
    <row r="36" spans="1:26" ht="24.75" customHeight="1">
      <c r="A36" s="171"/>
      <c r="B36" s="169"/>
      <c r="C36" s="169"/>
      <c r="D36" s="5">
        <v>31</v>
      </c>
      <c r="E36" s="5" t="s">
        <v>54</v>
      </c>
      <c r="F36" s="123"/>
      <c r="G36" s="123"/>
      <c r="H36" s="123"/>
      <c r="I36" s="123"/>
      <c r="J36" s="123"/>
      <c r="K36" s="123"/>
      <c r="L36" s="123"/>
      <c r="M36" s="123"/>
      <c r="N36" s="123"/>
      <c r="O36" s="123"/>
      <c r="P36" s="123"/>
      <c r="Q36" s="123"/>
      <c r="R36" s="123"/>
      <c r="S36" s="123"/>
      <c r="T36" s="125">
        <f t="shared" si="1"/>
        <v>0</v>
      </c>
      <c r="U36" s="9"/>
      <c r="V36" s="1"/>
      <c r="W36" s="1"/>
      <c r="X36" s="1"/>
      <c r="Y36" s="1"/>
      <c r="Z36" s="1"/>
    </row>
    <row r="37" spans="1:26" ht="24.75" customHeight="1">
      <c r="A37" s="171"/>
      <c r="B37" s="168" t="s">
        <v>75</v>
      </c>
      <c r="C37" s="168" t="s">
        <v>76</v>
      </c>
      <c r="D37" s="5">
        <v>32</v>
      </c>
      <c r="E37" s="5" t="s">
        <v>77</v>
      </c>
      <c r="F37" s="5"/>
      <c r="G37" s="5"/>
      <c r="H37" s="5"/>
      <c r="I37" s="6"/>
      <c r="J37" s="5"/>
      <c r="K37" s="5"/>
      <c r="L37" s="5"/>
      <c r="M37" s="6"/>
      <c r="N37" s="6">
        <v>1.87</v>
      </c>
      <c r="O37" s="8">
        <v>58.5</v>
      </c>
      <c r="P37" s="8">
        <v>8.6300000000000008</v>
      </c>
      <c r="Q37" s="6">
        <v>1</v>
      </c>
      <c r="R37" s="8">
        <v>4.2249999999999996</v>
      </c>
      <c r="S37" s="5"/>
      <c r="T37" s="6">
        <f t="shared" si="0"/>
        <v>74.224999999999994</v>
      </c>
      <c r="U37" s="9" t="s">
        <v>361</v>
      </c>
      <c r="V37" s="1"/>
      <c r="W37" s="1"/>
      <c r="X37" s="1"/>
      <c r="Y37" s="1"/>
      <c r="Z37" s="1"/>
    </row>
    <row r="38" spans="1:26" ht="24.75" customHeight="1">
      <c r="A38" s="171"/>
      <c r="B38" s="171"/>
      <c r="C38" s="171"/>
      <c r="D38" s="5">
        <v>33</v>
      </c>
      <c r="E38" s="5" t="s">
        <v>79</v>
      </c>
      <c r="F38" s="5"/>
      <c r="G38" s="5"/>
      <c r="H38" s="5"/>
      <c r="I38" s="5"/>
      <c r="J38" s="5"/>
      <c r="K38" s="5"/>
      <c r="L38" s="5"/>
      <c r="M38" s="5"/>
      <c r="N38" s="5"/>
      <c r="O38" s="5"/>
      <c r="P38" s="5"/>
      <c r="Q38" s="5"/>
      <c r="R38" s="5"/>
      <c r="S38" s="5"/>
      <c r="T38" s="6">
        <f t="shared" si="0"/>
        <v>0</v>
      </c>
      <c r="U38" s="9"/>
      <c r="V38" s="1"/>
      <c r="W38" s="1"/>
      <c r="X38" s="1"/>
      <c r="Y38" s="1"/>
      <c r="Z38" s="1"/>
    </row>
    <row r="39" spans="1:26" ht="24.75" customHeight="1">
      <c r="A39" s="171"/>
      <c r="B39" s="169"/>
      <c r="C39" s="169"/>
      <c r="D39" s="5">
        <v>34</v>
      </c>
      <c r="E39" s="5" t="s">
        <v>80</v>
      </c>
      <c r="F39" s="5"/>
      <c r="G39" s="5"/>
      <c r="H39" s="5"/>
      <c r="I39" s="5"/>
      <c r="J39" s="5"/>
      <c r="K39" s="5"/>
      <c r="L39" s="5"/>
      <c r="M39" s="5"/>
      <c r="N39" s="6"/>
      <c r="O39" s="5"/>
      <c r="P39" s="8"/>
      <c r="Q39" s="5"/>
      <c r="R39" s="5"/>
      <c r="S39" s="5"/>
      <c r="T39" s="6">
        <f t="shared" si="0"/>
        <v>0</v>
      </c>
      <c r="U39" s="9"/>
      <c r="V39" s="1"/>
      <c r="W39" s="1"/>
      <c r="X39" s="1"/>
      <c r="Y39" s="1"/>
      <c r="Z39" s="1"/>
    </row>
    <row r="40" spans="1:26" ht="24.75" customHeight="1">
      <c r="A40" s="171"/>
      <c r="B40" s="168" t="s">
        <v>81</v>
      </c>
      <c r="C40" s="168" t="s">
        <v>82</v>
      </c>
      <c r="D40" s="5">
        <v>35</v>
      </c>
      <c r="E40" s="5" t="s">
        <v>83</v>
      </c>
      <c r="F40" s="5"/>
      <c r="G40" s="5"/>
      <c r="H40" s="5"/>
      <c r="I40" s="6"/>
      <c r="J40" s="5"/>
      <c r="K40" s="5"/>
      <c r="L40" s="5"/>
      <c r="M40" s="5"/>
      <c r="N40" s="6">
        <v>2.75</v>
      </c>
      <c r="O40" s="5"/>
      <c r="P40" s="8">
        <v>3.68</v>
      </c>
      <c r="Q40" s="8"/>
      <c r="R40" s="5">
        <v>0.1</v>
      </c>
      <c r="S40" s="5"/>
      <c r="T40" s="6">
        <f t="shared" si="0"/>
        <v>6.5299999999999994</v>
      </c>
      <c r="U40" s="9" t="s">
        <v>620</v>
      </c>
      <c r="V40" s="1"/>
      <c r="W40" s="1"/>
      <c r="X40" s="1"/>
      <c r="Y40" s="1"/>
      <c r="Z40" s="1"/>
    </row>
    <row r="41" spans="1:26" ht="24.75" customHeight="1">
      <c r="A41" s="171"/>
      <c r="B41" s="171"/>
      <c r="C41" s="171"/>
      <c r="D41" s="5">
        <v>36</v>
      </c>
      <c r="E41" s="5" t="s">
        <v>84</v>
      </c>
      <c r="F41" s="5"/>
      <c r="G41" s="5"/>
      <c r="H41" s="5"/>
      <c r="I41" s="5"/>
      <c r="J41" s="5"/>
      <c r="K41" s="6"/>
      <c r="L41" s="5"/>
      <c r="M41" s="5"/>
      <c r="N41" s="6">
        <v>0.45</v>
      </c>
      <c r="O41" s="5"/>
      <c r="P41" s="5"/>
      <c r="Q41" s="5"/>
      <c r="R41" s="5"/>
      <c r="S41" s="5"/>
      <c r="T41" s="6">
        <f t="shared" si="0"/>
        <v>0.45</v>
      </c>
      <c r="U41" s="9" t="s">
        <v>502</v>
      </c>
      <c r="V41" s="1"/>
      <c r="W41" s="1"/>
      <c r="X41" s="1"/>
      <c r="Y41" s="1"/>
      <c r="Z41" s="1"/>
    </row>
    <row r="42" spans="1:26" ht="24.75" customHeight="1">
      <c r="A42" s="171"/>
      <c r="B42" s="171"/>
      <c r="C42" s="171"/>
      <c r="D42" s="5">
        <v>37</v>
      </c>
      <c r="E42" s="5" t="s">
        <v>86</v>
      </c>
      <c r="F42" s="5"/>
      <c r="G42" s="5"/>
      <c r="H42" s="5"/>
      <c r="I42" s="5"/>
      <c r="J42" s="5"/>
      <c r="K42" s="6"/>
      <c r="L42" s="5"/>
      <c r="M42" s="5"/>
      <c r="N42" s="5"/>
      <c r="O42" s="5"/>
      <c r="P42" s="5"/>
      <c r="Q42" s="5"/>
      <c r="R42" s="5"/>
      <c r="S42" s="5"/>
      <c r="T42" s="6">
        <f t="shared" si="0"/>
        <v>0</v>
      </c>
      <c r="U42" s="9"/>
      <c r="V42" s="1"/>
      <c r="W42" s="1"/>
      <c r="X42" s="1"/>
      <c r="Y42" s="1"/>
      <c r="Z42" s="1"/>
    </row>
    <row r="43" spans="1:26" ht="24.75" customHeight="1">
      <c r="A43" s="171"/>
      <c r="B43" s="171"/>
      <c r="C43" s="171"/>
      <c r="D43" s="5">
        <v>38</v>
      </c>
      <c r="E43" s="5" t="s">
        <v>87</v>
      </c>
      <c r="F43" s="5"/>
      <c r="G43" s="5"/>
      <c r="H43" s="5"/>
      <c r="I43" s="5"/>
      <c r="J43" s="5"/>
      <c r="K43" s="5"/>
      <c r="L43" s="5"/>
      <c r="M43" s="5"/>
      <c r="N43" s="6">
        <v>11.77</v>
      </c>
      <c r="O43" s="8">
        <v>0.28999999999999998</v>
      </c>
      <c r="P43" s="8">
        <v>16.2</v>
      </c>
      <c r="Q43" s="8">
        <v>2.1</v>
      </c>
      <c r="R43" s="5">
        <v>1</v>
      </c>
      <c r="S43" s="5"/>
      <c r="T43" s="6">
        <f t="shared" si="0"/>
        <v>31.36</v>
      </c>
      <c r="U43" s="9" t="s">
        <v>621</v>
      </c>
      <c r="V43" s="1"/>
      <c r="W43" s="1"/>
      <c r="X43" s="1"/>
      <c r="Y43" s="1"/>
      <c r="Z43" s="1"/>
    </row>
    <row r="44" spans="1:26" ht="24.75" customHeight="1">
      <c r="A44" s="171"/>
      <c r="B44" s="171"/>
      <c r="C44" s="171"/>
      <c r="D44" s="5">
        <v>39</v>
      </c>
      <c r="E44" s="5" t="s">
        <v>88</v>
      </c>
      <c r="F44" s="5"/>
      <c r="G44" s="5"/>
      <c r="H44" s="5"/>
      <c r="I44" s="5"/>
      <c r="J44" s="5"/>
      <c r="K44" s="5"/>
      <c r="L44" s="5"/>
      <c r="M44" s="5"/>
      <c r="N44" s="5"/>
      <c r="O44" s="5"/>
      <c r="P44" s="8">
        <v>1.55</v>
      </c>
      <c r="Q44" s="8">
        <v>15.5</v>
      </c>
      <c r="R44" s="5"/>
      <c r="S44" s="5"/>
      <c r="T44" s="6">
        <f t="shared" si="0"/>
        <v>17.05</v>
      </c>
      <c r="U44" s="9" t="s">
        <v>622</v>
      </c>
      <c r="V44" s="1"/>
      <c r="W44" s="1"/>
      <c r="X44" s="1"/>
      <c r="Y44" s="1"/>
      <c r="Z44" s="1"/>
    </row>
    <row r="45" spans="1:26" ht="117.75" customHeight="1">
      <c r="A45" s="171"/>
      <c r="B45" s="171"/>
      <c r="C45" s="171"/>
      <c r="D45" s="5">
        <v>40</v>
      </c>
      <c r="E45" s="5" t="s">
        <v>89</v>
      </c>
      <c r="F45" s="5"/>
      <c r="G45" s="5"/>
      <c r="H45" s="5"/>
      <c r="I45" s="5"/>
      <c r="J45" s="5"/>
      <c r="K45" s="5"/>
      <c r="L45" s="5"/>
      <c r="M45" s="5"/>
      <c r="N45" s="6">
        <v>0.10920000000000001</v>
      </c>
      <c r="O45" s="5"/>
      <c r="P45" s="8">
        <v>0.27</v>
      </c>
      <c r="Q45" s="6">
        <v>0.56999999999999995</v>
      </c>
      <c r="R45" s="8">
        <v>2</v>
      </c>
      <c r="S45" s="5"/>
      <c r="T45" s="6">
        <f t="shared" si="0"/>
        <v>2.9492000000000003</v>
      </c>
      <c r="U45" s="9" t="s">
        <v>834</v>
      </c>
      <c r="V45" s="1"/>
      <c r="W45" s="1"/>
      <c r="X45" s="1"/>
      <c r="Y45" s="1"/>
      <c r="Z45" s="1"/>
    </row>
    <row r="46" spans="1:26" ht="24.75" customHeight="1">
      <c r="A46" s="171"/>
      <c r="B46" s="169"/>
      <c r="C46" s="169"/>
      <c r="D46" s="5">
        <v>41</v>
      </c>
      <c r="E46" s="5" t="s">
        <v>54</v>
      </c>
      <c r="F46" s="5"/>
      <c r="G46" s="5"/>
      <c r="H46" s="5"/>
      <c r="I46" s="5"/>
      <c r="J46" s="5"/>
      <c r="K46" s="5"/>
      <c r="L46" s="5"/>
      <c r="M46" s="5"/>
      <c r="N46" s="5"/>
      <c r="O46" s="5"/>
      <c r="P46" s="5"/>
      <c r="Q46" s="5"/>
      <c r="R46" s="5"/>
      <c r="S46" s="5"/>
      <c r="T46" s="6">
        <f t="shared" si="0"/>
        <v>0</v>
      </c>
      <c r="U46" s="9"/>
      <c r="V46" s="1"/>
      <c r="W46" s="1"/>
      <c r="X46" s="1"/>
      <c r="Y46" s="1"/>
      <c r="Z46" s="1"/>
    </row>
    <row r="47" spans="1:26" ht="24.75" customHeight="1">
      <c r="A47" s="171"/>
      <c r="B47" s="168" t="s">
        <v>90</v>
      </c>
      <c r="C47" s="168" t="s">
        <v>91</v>
      </c>
      <c r="D47" s="5">
        <v>42</v>
      </c>
      <c r="E47" s="5" t="s">
        <v>92</v>
      </c>
      <c r="F47" s="8">
        <v>1.56</v>
      </c>
      <c r="G47" s="5"/>
      <c r="H47" s="5"/>
      <c r="I47" s="6"/>
      <c r="J47" s="5"/>
      <c r="K47" s="5"/>
      <c r="L47" s="5"/>
      <c r="M47" s="5"/>
      <c r="N47" s="6">
        <v>1.37</v>
      </c>
      <c r="O47" s="5"/>
      <c r="P47" s="8">
        <v>0.5</v>
      </c>
      <c r="Q47" s="5"/>
      <c r="R47" s="5"/>
      <c r="S47" s="5"/>
      <c r="T47" s="6">
        <f t="shared" si="0"/>
        <v>3.43</v>
      </c>
      <c r="U47" s="9"/>
      <c r="V47" s="1"/>
      <c r="W47" s="1"/>
      <c r="X47" s="1"/>
      <c r="Y47" s="1"/>
      <c r="Z47" s="1"/>
    </row>
    <row r="48" spans="1:26" ht="24.75" customHeight="1">
      <c r="A48" s="171"/>
      <c r="B48" s="171"/>
      <c r="C48" s="171"/>
      <c r="D48" s="5">
        <v>43</v>
      </c>
      <c r="E48" s="5" t="s">
        <v>93</v>
      </c>
      <c r="F48" s="8">
        <v>1.5</v>
      </c>
      <c r="G48" s="5"/>
      <c r="H48" s="5"/>
      <c r="I48" s="6"/>
      <c r="J48" s="5"/>
      <c r="K48" s="5"/>
      <c r="L48" s="5"/>
      <c r="M48" s="5"/>
      <c r="N48" s="6">
        <v>0.45750000000000002</v>
      </c>
      <c r="O48" s="5"/>
      <c r="P48" s="8">
        <v>0.4</v>
      </c>
      <c r="Q48" s="5"/>
      <c r="R48" s="5"/>
      <c r="S48" s="5"/>
      <c r="T48" s="6">
        <f t="shared" si="0"/>
        <v>2.3574999999999999</v>
      </c>
      <c r="U48" s="9"/>
      <c r="V48" s="1"/>
      <c r="W48" s="1"/>
      <c r="X48" s="1"/>
      <c r="Y48" s="1"/>
      <c r="Z48" s="1"/>
    </row>
    <row r="49" spans="1:26" ht="24.75" customHeight="1">
      <c r="A49" s="171"/>
      <c r="B49" s="171"/>
      <c r="C49" s="171"/>
      <c r="D49" s="5">
        <v>44</v>
      </c>
      <c r="E49" s="5" t="s">
        <v>94</v>
      </c>
      <c r="F49" s="8">
        <v>0.68</v>
      </c>
      <c r="G49" s="5"/>
      <c r="H49" s="5"/>
      <c r="I49" s="6"/>
      <c r="J49" s="5"/>
      <c r="K49" s="5"/>
      <c r="L49" s="5"/>
      <c r="M49" s="5"/>
      <c r="N49" s="6">
        <v>2.44</v>
      </c>
      <c r="O49" s="8">
        <v>0.35</v>
      </c>
      <c r="P49" s="8">
        <v>0.5</v>
      </c>
      <c r="Q49" s="5"/>
      <c r="R49" s="5"/>
      <c r="S49" s="5"/>
      <c r="T49" s="6">
        <f t="shared" si="0"/>
        <v>3.97</v>
      </c>
      <c r="U49" s="9" t="s">
        <v>503</v>
      </c>
      <c r="V49" s="1"/>
      <c r="W49" s="1"/>
      <c r="X49" s="1"/>
      <c r="Y49" s="1"/>
      <c r="Z49" s="1"/>
    </row>
    <row r="50" spans="1:26" ht="24.75" customHeight="1">
      <c r="A50" s="171"/>
      <c r="B50" s="171"/>
      <c r="C50" s="171"/>
      <c r="D50" s="5">
        <v>45</v>
      </c>
      <c r="E50" s="5" t="s">
        <v>96</v>
      </c>
      <c r="F50" s="8">
        <v>0.08</v>
      </c>
      <c r="G50" s="5"/>
      <c r="H50" s="5"/>
      <c r="I50" s="5"/>
      <c r="J50" s="5"/>
      <c r="K50" s="5"/>
      <c r="L50" s="5"/>
      <c r="M50" s="5"/>
      <c r="N50" s="6">
        <v>1</v>
      </c>
      <c r="O50" s="8">
        <v>0.08</v>
      </c>
      <c r="P50" s="5"/>
      <c r="Q50" s="5"/>
      <c r="R50" s="5"/>
      <c r="S50" s="5"/>
      <c r="T50" s="6">
        <f t="shared" si="0"/>
        <v>1.1600000000000001</v>
      </c>
      <c r="U50" s="9"/>
      <c r="V50" s="1"/>
      <c r="W50" s="1"/>
      <c r="X50" s="1"/>
      <c r="Y50" s="1"/>
      <c r="Z50" s="1"/>
    </row>
    <row r="51" spans="1:26" ht="24.75" customHeight="1">
      <c r="A51" s="171"/>
      <c r="B51" s="171"/>
      <c r="C51" s="171"/>
      <c r="D51" s="5">
        <v>46</v>
      </c>
      <c r="E51" s="5" t="s">
        <v>97</v>
      </c>
      <c r="F51" s="5"/>
      <c r="G51" s="5"/>
      <c r="H51" s="5"/>
      <c r="I51" s="5"/>
      <c r="J51" s="5"/>
      <c r="K51" s="5"/>
      <c r="L51" s="5"/>
      <c r="M51" s="5"/>
      <c r="N51" s="5"/>
      <c r="O51" s="5"/>
      <c r="P51" s="5"/>
      <c r="Q51" s="5"/>
      <c r="R51" s="5"/>
      <c r="S51" s="5"/>
      <c r="T51" s="6">
        <f t="shared" si="0"/>
        <v>0</v>
      </c>
      <c r="U51" s="9"/>
      <c r="V51" s="1"/>
      <c r="W51" s="1"/>
      <c r="X51" s="1"/>
      <c r="Y51" s="1"/>
      <c r="Z51" s="1"/>
    </row>
    <row r="52" spans="1:26" ht="24.75" customHeight="1">
      <c r="A52" s="171"/>
      <c r="B52" s="171"/>
      <c r="C52" s="171"/>
      <c r="D52" s="5">
        <v>47</v>
      </c>
      <c r="E52" s="5" t="s">
        <v>98</v>
      </c>
      <c r="F52" s="8">
        <v>0.5</v>
      </c>
      <c r="G52" s="5"/>
      <c r="H52" s="5"/>
      <c r="I52" s="5"/>
      <c r="J52" s="5"/>
      <c r="K52" s="5"/>
      <c r="L52" s="5"/>
      <c r="M52" s="5"/>
      <c r="N52" s="5"/>
      <c r="O52" s="5"/>
      <c r="P52" s="5"/>
      <c r="Q52" s="5"/>
      <c r="R52" s="5"/>
      <c r="S52" s="5"/>
      <c r="T52" s="6">
        <f t="shared" si="0"/>
        <v>0.5</v>
      </c>
      <c r="U52" s="9"/>
      <c r="V52" s="1"/>
      <c r="W52" s="1"/>
      <c r="X52" s="1"/>
      <c r="Y52" s="1"/>
      <c r="Z52" s="1"/>
    </row>
    <row r="53" spans="1:26" ht="24.75" customHeight="1">
      <c r="A53" s="171"/>
      <c r="B53" s="171"/>
      <c r="C53" s="171"/>
      <c r="D53" s="5">
        <v>48</v>
      </c>
      <c r="E53" s="5" t="s">
        <v>99</v>
      </c>
      <c r="F53" s="5"/>
      <c r="G53" s="5"/>
      <c r="H53" s="5"/>
      <c r="I53" s="5"/>
      <c r="J53" s="5"/>
      <c r="K53" s="5"/>
      <c r="L53" s="5"/>
      <c r="M53" s="5"/>
      <c r="N53" s="6">
        <v>0.1</v>
      </c>
      <c r="O53" s="5"/>
      <c r="P53" s="8"/>
      <c r="Q53" s="5"/>
      <c r="R53" s="5"/>
      <c r="S53" s="5"/>
      <c r="T53" s="6">
        <f t="shared" si="0"/>
        <v>0.1</v>
      </c>
      <c r="U53" s="9"/>
      <c r="V53" s="1"/>
      <c r="W53" s="1"/>
      <c r="X53" s="1"/>
      <c r="Y53" s="1"/>
      <c r="Z53" s="1"/>
    </row>
    <row r="54" spans="1:26" ht="24.75" customHeight="1">
      <c r="A54" s="171"/>
      <c r="B54" s="171"/>
      <c r="C54" s="171"/>
      <c r="D54" s="5">
        <v>49</v>
      </c>
      <c r="E54" s="5" t="s">
        <v>100</v>
      </c>
      <c r="F54" s="5"/>
      <c r="G54" s="5"/>
      <c r="H54" s="5"/>
      <c r="I54" s="5"/>
      <c r="J54" s="5"/>
      <c r="K54" s="5"/>
      <c r="L54" s="5"/>
      <c r="M54" s="5"/>
      <c r="N54" s="5"/>
      <c r="O54" s="5"/>
      <c r="P54" s="5"/>
      <c r="Q54" s="6">
        <v>1</v>
      </c>
      <c r="R54" s="8">
        <v>0.7</v>
      </c>
      <c r="S54" s="5"/>
      <c r="T54" s="6">
        <f t="shared" si="0"/>
        <v>1.7</v>
      </c>
      <c r="U54" s="9" t="s">
        <v>310</v>
      </c>
      <c r="V54" s="1"/>
      <c r="W54" s="1"/>
      <c r="X54" s="1"/>
      <c r="Y54" s="1"/>
      <c r="Z54" s="1"/>
    </row>
    <row r="55" spans="1:26" ht="24.75" customHeight="1">
      <c r="A55" s="171"/>
      <c r="B55" s="171"/>
      <c r="C55" s="171"/>
      <c r="D55" s="5">
        <v>50</v>
      </c>
      <c r="E55" s="5" t="s">
        <v>102</v>
      </c>
      <c r="F55" s="5"/>
      <c r="G55" s="5"/>
      <c r="H55" s="5"/>
      <c r="I55" s="6"/>
      <c r="J55" s="5"/>
      <c r="K55" s="5"/>
      <c r="L55" s="5"/>
      <c r="M55" s="5"/>
      <c r="N55" s="6">
        <v>0.73</v>
      </c>
      <c r="O55" s="5"/>
      <c r="P55" s="8">
        <v>0.37</v>
      </c>
      <c r="Q55" s="6">
        <v>1.5</v>
      </c>
      <c r="R55" s="8">
        <v>0.113</v>
      </c>
      <c r="S55" s="5"/>
      <c r="T55" s="6">
        <f t="shared" si="0"/>
        <v>2.7130000000000001</v>
      </c>
      <c r="U55" s="9" t="s">
        <v>310</v>
      </c>
      <c r="V55" s="1"/>
      <c r="W55" s="1"/>
      <c r="X55" s="1"/>
      <c r="Y55" s="1"/>
      <c r="Z55" s="1"/>
    </row>
    <row r="56" spans="1:26" ht="24.75" customHeight="1">
      <c r="A56" s="171"/>
      <c r="B56" s="169"/>
      <c r="C56" s="169"/>
      <c r="D56" s="5">
        <v>51</v>
      </c>
      <c r="E56" s="5" t="s">
        <v>54</v>
      </c>
      <c r="F56" s="5"/>
      <c r="G56" s="5"/>
      <c r="H56" s="5"/>
      <c r="I56" s="5"/>
      <c r="J56" s="5"/>
      <c r="K56" s="5"/>
      <c r="L56" s="5"/>
      <c r="M56" s="5"/>
      <c r="N56" s="8"/>
      <c r="O56" s="5"/>
      <c r="P56" s="5">
        <v>1</v>
      </c>
      <c r="Q56" s="5"/>
      <c r="R56" s="5"/>
      <c r="S56" s="5"/>
      <c r="T56" s="6">
        <f t="shared" si="0"/>
        <v>1</v>
      </c>
      <c r="U56" s="9"/>
      <c r="V56" s="1"/>
      <c r="W56" s="1"/>
      <c r="X56" s="1"/>
      <c r="Y56" s="1"/>
      <c r="Z56" s="1"/>
    </row>
    <row r="57" spans="1:26" ht="24.75" customHeight="1">
      <c r="A57" s="171"/>
      <c r="B57" s="168" t="s">
        <v>103</v>
      </c>
      <c r="C57" s="168" t="s">
        <v>104</v>
      </c>
      <c r="D57" s="5">
        <v>52</v>
      </c>
      <c r="E57" s="5" t="s">
        <v>105</v>
      </c>
      <c r="F57" s="123"/>
      <c r="G57" s="123"/>
      <c r="H57" s="123"/>
      <c r="I57" s="125"/>
      <c r="J57" s="123"/>
      <c r="K57" s="125"/>
      <c r="L57" s="123"/>
      <c r="M57" s="123"/>
      <c r="N57" s="125">
        <v>2</v>
      </c>
      <c r="O57" s="124">
        <v>16.79</v>
      </c>
      <c r="P57" s="123"/>
      <c r="Q57" s="123"/>
      <c r="R57" s="123"/>
      <c r="S57" s="123"/>
      <c r="T57" s="125">
        <f t="shared" ref="T57:T66" si="2">SUM(F57:S57)</f>
        <v>18.79</v>
      </c>
      <c r="U57" s="9" t="s">
        <v>65</v>
      </c>
      <c r="V57" s="1"/>
      <c r="W57" s="1"/>
      <c r="X57" s="1"/>
      <c r="Y57" s="1"/>
      <c r="Z57" s="1"/>
    </row>
    <row r="58" spans="1:26" ht="24.75" customHeight="1">
      <c r="A58" s="171"/>
      <c r="B58" s="171"/>
      <c r="C58" s="171"/>
      <c r="D58" s="5">
        <v>53</v>
      </c>
      <c r="E58" s="5" t="s">
        <v>106</v>
      </c>
      <c r="F58" s="123"/>
      <c r="G58" s="123"/>
      <c r="H58" s="123"/>
      <c r="I58" s="123"/>
      <c r="J58" s="123"/>
      <c r="K58" s="125"/>
      <c r="L58" s="123"/>
      <c r="M58" s="123"/>
      <c r="N58" s="125"/>
      <c r="O58" s="124">
        <v>1.875</v>
      </c>
      <c r="P58" s="123"/>
      <c r="Q58" s="124">
        <v>3</v>
      </c>
      <c r="R58" s="123"/>
      <c r="S58" s="123"/>
      <c r="T58" s="125">
        <f t="shared" si="2"/>
        <v>4.875</v>
      </c>
      <c r="U58" s="9" t="s">
        <v>65</v>
      </c>
      <c r="V58" s="1"/>
      <c r="W58" s="1"/>
      <c r="X58" s="1"/>
      <c r="Y58" s="1"/>
      <c r="Z58" s="1"/>
    </row>
    <row r="59" spans="1:26" ht="24.75" customHeight="1">
      <c r="A59" s="171"/>
      <c r="B59" s="171"/>
      <c r="C59" s="171"/>
      <c r="D59" s="5">
        <v>54</v>
      </c>
      <c r="E59" s="5" t="s">
        <v>107</v>
      </c>
      <c r="F59" s="123"/>
      <c r="G59" s="123"/>
      <c r="H59" s="124"/>
      <c r="I59" s="123"/>
      <c r="J59" s="123"/>
      <c r="K59" s="123"/>
      <c r="L59" s="123"/>
      <c r="M59" s="123"/>
      <c r="N59" s="123"/>
      <c r="O59" s="124"/>
      <c r="P59" s="124"/>
      <c r="Q59" s="123"/>
      <c r="R59" s="123"/>
      <c r="S59" s="123"/>
      <c r="T59" s="125">
        <f t="shared" si="2"/>
        <v>0</v>
      </c>
      <c r="U59" s="9"/>
      <c r="V59" s="1"/>
      <c r="W59" s="1"/>
      <c r="X59" s="1"/>
      <c r="Y59" s="1"/>
      <c r="Z59" s="1"/>
    </row>
    <row r="60" spans="1:26" ht="24.75" customHeight="1">
      <c r="A60" s="171"/>
      <c r="B60" s="171"/>
      <c r="C60" s="171"/>
      <c r="D60" s="5">
        <v>55</v>
      </c>
      <c r="E60" s="5" t="s">
        <v>108</v>
      </c>
      <c r="F60" s="123"/>
      <c r="G60" s="123"/>
      <c r="H60" s="123"/>
      <c r="I60" s="123"/>
      <c r="J60" s="123"/>
      <c r="K60" s="125"/>
      <c r="L60" s="123"/>
      <c r="M60" s="123"/>
      <c r="N60" s="123"/>
      <c r="O60" s="123"/>
      <c r="P60" s="123"/>
      <c r="Q60" s="123"/>
      <c r="R60" s="123"/>
      <c r="S60" s="123"/>
      <c r="T60" s="125">
        <f t="shared" si="2"/>
        <v>0</v>
      </c>
      <c r="U60" s="9"/>
      <c r="V60" s="1"/>
      <c r="W60" s="1"/>
      <c r="X60" s="1"/>
      <c r="Y60" s="1"/>
      <c r="Z60" s="1"/>
    </row>
    <row r="61" spans="1:26" ht="24.75" customHeight="1">
      <c r="A61" s="171"/>
      <c r="B61" s="171"/>
      <c r="C61" s="171"/>
      <c r="D61" s="5">
        <v>56</v>
      </c>
      <c r="E61" s="5" t="s">
        <v>109</v>
      </c>
      <c r="F61" s="123"/>
      <c r="G61" s="123"/>
      <c r="H61" s="123"/>
      <c r="I61" s="123"/>
      <c r="J61" s="123"/>
      <c r="K61" s="123"/>
      <c r="L61" s="123"/>
      <c r="M61" s="123"/>
      <c r="N61" s="123"/>
      <c r="O61" s="124">
        <v>3.73</v>
      </c>
      <c r="P61" s="123"/>
      <c r="Q61" s="123"/>
      <c r="R61" s="123"/>
      <c r="S61" s="123"/>
      <c r="T61" s="125">
        <f t="shared" si="2"/>
        <v>3.73</v>
      </c>
      <c r="U61" s="9" t="s">
        <v>65</v>
      </c>
      <c r="V61" s="1"/>
      <c r="W61" s="1"/>
      <c r="X61" s="1"/>
      <c r="Y61" s="1"/>
      <c r="Z61" s="1"/>
    </row>
    <row r="62" spans="1:26" ht="24.75" customHeight="1">
      <c r="A62" s="171"/>
      <c r="B62" s="171"/>
      <c r="C62" s="171"/>
      <c r="D62" s="5">
        <v>57</v>
      </c>
      <c r="E62" s="5" t="s">
        <v>110</v>
      </c>
      <c r="F62" s="123"/>
      <c r="G62" s="123"/>
      <c r="H62" s="124"/>
      <c r="I62" s="123"/>
      <c r="J62" s="123"/>
      <c r="K62" s="123"/>
      <c r="L62" s="123"/>
      <c r="M62" s="125">
        <v>2.1</v>
      </c>
      <c r="N62" s="123"/>
      <c r="O62" s="123"/>
      <c r="P62" s="123"/>
      <c r="Q62" s="123"/>
      <c r="R62" s="123"/>
      <c r="S62" s="123"/>
      <c r="T62" s="125">
        <f t="shared" si="2"/>
        <v>2.1</v>
      </c>
      <c r="U62" s="9" t="s">
        <v>65</v>
      </c>
      <c r="V62" s="1"/>
      <c r="W62" s="1"/>
      <c r="X62" s="1"/>
      <c r="Y62" s="1"/>
      <c r="Z62" s="1"/>
    </row>
    <row r="63" spans="1:26" ht="24.75" customHeight="1">
      <c r="A63" s="171"/>
      <c r="B63" s="171"/>
      <c r="C63" s="171"/>
      <c r="D63" s="5">
        <v>58</v>
      </c>
      <c r="E63" s="5" t="s">
        <v>111</v>
      </c>
      <c r="F63" s="123"/>
      <c r="G63" s="123"/>
      <c r="H63" s="123"/>
      <c r="I63" s="123"/>
      <c r="J63" s="123"/>
      <c r="K63" s="125"/>
      <c r="L63" s="123"/>
      <c r="M63" s="123"/>
      <c r="N63" s="123"/>
      <c r="O63" s="124">
        <v>0.93</v>
      </c>
      <c r="P63" s="123"/>
      <c r="Q63" s="124">
        <v>0.75</v>
      </c>
      <c r="R63" s="123"/>
      <c r="S63" s="123"/>
      <c r="T63" s="125">
        <f t="shared" si="2"/>
        <v>1.6800000000000002</v>
      </c>
      <c r="U63" s="9" t="s">
        <v>65</v>
      </c>
      <c r="V63" s="1"/>
      <c r="W63" s="1"/>
      <c r="X63" s="1"/>
      <c r="Y63" s="1"/>
      <c r="Z63" s="1"/>
    </row>
    <row r="64" spans="1:26" ht="24.75" customHeight="1">
      <c r="A64" s="171"/>
      <c r="B64" s="171"/>
      <c r="C64" s="171"/>
      <c r="D64" s="5">
        <v>59</v>
      </c>
      <c r="E64" s="5" t="s">
        <v>112</v>
      </c>
      <c r="F64" s="123"/>
      <c r="G64" s="123"/>
      <c r="H64" s="123"/>
      <c r="I64" s="123"/>
      <c r="J64" s="123"/>
      <c r="K64" s="123"/>
      <c r="L64" s="123"/>
      <c r="M64" s="123"/>
      <c r="N64" s="123"/>
      <c r="O64" s="123"/>
      <c r="P64" s="123"/>
      <c r="Q64" s="123"/>
      <c r="R64" s="123"/>
      <c r="S64" s="123"/>
      <c r="T64" s="125">
        <f t="shared" si="2"/>
        <v>0</v>
      </c>
      <c r="U64" s="9"/>
      <c r="V64" s="1"/>
      <c r="W64" s="1"/>
      <c r="X64" s="1"/>
      <c r="Y64" s="1"/>
      <c r="Z64" s="1"/>
    </row>
    <row r="65" spans="1:26" ht="24.75" customHeight="1">
      <c r="A65" s="171"/>
      <c r="B65" s="171"/>
      <c r="C65" s="171"/>
      <c r="D65" s="5">
        <v>60</v>
      </c>
      <c r="E65" s="5" t="s">
        <v>113</v>
      </c>
      <c r="F65" s="123"/>
      <c r="G65" s="123"/>
      <c r="H65" s="123"/>
      <c r="I65" s="123"/>
      <c r="J65" s="123"/>
      <c r="K65" s="123"/>
      <c r="L65" s="123"/>
      <c r="M65" s="123"/>
      <c r="N65" s="123"/>
      <c r="O65" s="123"/>
      <c r="P65" s="123"/>
      <c r="Q65" s="123"/>
      <c r="R65" s="123"/>
      <c r="S65" s="123"/>
      <c r="T65" s="125">
        <f t="shared" si="2"/>
        <v>0</v>
      </c>
      <c r="U65" s="9"/>
      <c r="V65" s="1"/>
      <c r="W65" s="1"/>
      <c r="X65" s="1"/>
      <c r="Y65" s="1"/>
      <c r="Z65" s="1"/>
    </row>
    <row r="66" spans="1:26" ht="24.75" customHeight="1">
      <c r="A66" s="171"/>
      <c r="B66" s="169"/>
      <c r="C66" s="169"/>
      <c r="D66" s="5">
        <v>61</v>
      </c>
      <c r="E66" s="5" t="s">
        <v>54</v>
      </c>
      <c r="F66" s="123"/>
      <c r="G66" s="123"/>
      <c r="H66" s="123"/>
      <c r="I66" s="123"/>
      <c r="J66" s="123"/>
      <c r="K66" s="123"/>
      <c r="L66" s="123"/>
      <c r="M66" s="123"/>
      <c r="N66" s="123"/>
      <c r="O66" s="123"/>
      <c r="P66" s="123"/>
      <c r="Q66" s="123"/>
      <c r="R66" s="123"/>
      <c r="S66" s="123"/>
      <c r="T66" s="125">
        <f t="shared" si="2"/>
        <v>0</v>
      </c>
      <c r="U66" s="9"/>
      <c r="V66" s="1"/>
      <c r="W66" s="1"/>
      <c r="X66" s="1"/>
      <c r="Y66" s="1"/>
      <c r="Z66" s="1"/>
    </row>
    <row r="67" spans="1:26" ht="24.75" customHeight="1">
      <c r="A67" s="171"/>
      <c r="B67" s="5" t="s">
        <v>114</v>
      </c>
      <c r="C67" s="5" t="s">
        <v>115</v>
      </c>
      <c r="D67" s="5">
        <v>62</v>
      </c>
      <c r="E67" s="5" t="s">
        <v>116</v>
      </c>
      <c r="F67" s="5"/>
      <c r="G67" s="5"/>
      <c r="H67" s="5"/>
      <c r="I67" s="5"/>
      <c r="J67" s="5"/>
      <c r="K67" s="5"/>
      <c r="L67" s="5"/>
      <c r="M67" s="6"/>
      <c r="N67" s="5"/>
      <c r="O67" s="8">
        <v>1</v>
      </c>
      <c r="P67" s="8"/>
      <c r="Q67" s="6">
        <v>0.25</v>
      </c>
      <c r="R67" s="5"/>
      <c r="S67" s="8"/>
      <c r="T67" s="6">
        <f t="shared" si="0"/>
        <v>1.25</v>
      </c>
      <c r="U67" s="61" t="s">
        <v>577</v>
      </c>
      <c r="V67" s="1"/>
      <c r="W67" s="1"/>
      <c r="X67" s="1"/>
      <c r="Y67" s="1"/>
      <c r="Z67" s="1"/>
    </row>
    <row r="68" spans="1:26" ht="24.75" customHeight="1">
      <c r="A68" s="169"/>
      <c r="B68" s="176" t="s">
        <v>117</v>
      </c>
      <c r="C68" s="177"/>
      <c r="D68" s="178"/>
      <c r="E68" s="51"/>
      <c r="F68" s="51">
        <f t="shared" ref="F68:S68" si="3">SUM(F6:F67)</f>
        <v>68.67</v>
      </c>
      <c r="G68" s="51">
        <f t="shared" si="3"/>
        <v>0</v>
      </c>
      <c r="H68" s="51">
        <f t="shared" si="3"/>
        <v>0</v>
      </c>
      <c r="I68" s="51">
        <f t="shared" si="3"/>
        <v>2.38</v>
      </c>
      <c r="J68" s="51">
        <f t="shared" si="3"/>
        <v>0</v>
      </c>
      <c r="K68" s="51">
        <f t="shared" si="3"/>
        <v>97.908000000000001</v>
      </c>
      <c r="L68" s="51">
        <f t="shared" si="3"/>
        <v>0</v>
      </c>
      <c r="M68" s="51">
        <f t="shared" si="3"/>
        <v>38.358000000000004</v>
      </c>
      <c r="N68" s="51">
        <f t="shared" si="3"/>
        <v>41.583550000000002</v>
      </c>
      <c r="O68" s="51">
        <f t="shared" si="3"/>
        <v>153.11774999999997</v>
      </c>
      <c r="P68" s="51">
        <f t="shared" si="3"/>
        <v>251.86500000000004</v>
      </c>
      <c r="Q68" s="51">
        <f t="shared" si="3"/>
        <v>35.64</v>
      </c>
      <c r="R68" s="51">
        <f t="shared" si="3"/>
        <v>13.371999999999998</v>
      </c>
      <c r="S68" s="51">
        <f t="shared" si="3"/>
        <v>0.35</v>
      </c>
      <c r="T68" s="6">
        <f t="shared" si="0"/>
        <v>703.24429999999995</v>
      </c>
      <c r="U68" s="70"/>
      <c r="V68" s="1"/>
      <c r="W68" s="1"/>
      <c r="X68" s="1"/>
      <c r="Y68" s="1"/>
      <c r="Z68" s="1"/>
    </row>
    <row r="69" spans="1:26" ht="39.75" customHeight="1">
      <c r="A69" s="175" t="s">
        <v>118</v>
      </c>
      <c r="B69" s="5" t="s">
        <v>119</v>
      </c>
      <c r="C69" s="5" t="s">
        <v>120</v>
      </c>
      <c r="D69" s="5">
        <v>63</v>
      </c>
      <c r="E69" s="5" t="s">
        <v>121</v>
      </c>
      <c r="F69" s="5"/>
      <c r="G69" s="5"/>
      <c r="H69" s="5"/>
      <c r="I69" s="5"/>
      <c r="J69" s="5"/>
      <c r="K69" s="5"/>
      <c r="L69" s="5"/>
      <c r="M69" s="8"/>
      <c r="N69" s="6">
        <v>5.65</v>
      </c>
      <c r="O69" s="5"/>
      <c r="P69" s="6"/>
      <c r="Q69" s="5"/>
      <c r="R69" s="8">
        <v>5</v>
      </c>
      <c r="S69" s="8"/>
      <c r="T69" s="6">
        <f t="shared" si="0"/>
        <v>10.65</v>
      </c>
      <c r="U69" s="9" t="s">
        <v>407</v>
      </c>
      <c r="V69" s="18"/>
      <c r="W69" s="1"/>
      <c r="X69" s="1"/>
      <c r="Y69" s="1"/>
      <c r="Z69" s="1"/>
    </row>
    <row r="70" spans="1:26" ht="39.75" customHeight="1">
      <c r="A70" s="171"/>
      <c r="B70" s="168" t="s">
        <v>122</v>
      </c>
      <c r="C70" s="168" t="s">
        <v>123</v>
      </c>
      <c r="D70" s="5">
        <v>64</v>
      </c>
      <c r="E70" s="5" t="s">
        <v>124</v>
      </c>
      <c r="F70" s="15"/>
      <c r="G70" s="37"/>
      <c r="H70" s="15"/>
      <c r="I70" s="17"/>
      <c r="J70" s="15"/>
      <c r="K70" s="17"/>
      <c r="L70" s="15"/>
      <c r="M70" s="15"/>
      <c r="N70" s="17">
        <v>0.6</v>
      </c>
      <c r="O70" s="16">
        <v>0.6</v>
      </c>
      <c r="P70" s="17">
        <f>29.3375+2.105</f>
        <v>31.442499999999999</v>
      </c>
      <c r="Q70" s="17">
        <v>0.79500000000000004</v>
      </c>
      <c r="R70" s="16">
        <v>2</v>
      </c>
      <c r="S70" s="16"/>
      <c r="T70" s="6">
        <f t="shared" ref="T70:T133" si="4">SUM(F70:S70)</f>
        <v>35.4375</v>
      </c>
      <c r="U70" s="9" t="s">
        <v>439</v>
      </c>
      <c r="V70" s="18"/>
      <c r="W70" s="1"/>
      <c r="X70" s="1"/>
      <c r="Y70" s="1"/>
      <c r="Z70" s="1"/>
    </row>
    <row r="71" spans="1:26" ht="39.75" customHeight="1">
      <c r="A71" s="171"/>
      <c r="B71" s="171"/>
      <c r="C71" s="171"/>
      <c r="D71" s="5">
        <v>65</v>
      </c>
      <c r="E71" s="5" t="s">
        <v>126</v>
      </c>
      <c r="F71" s="15"/>
      <c r="G71" s="15"/>
      <c r="H71" s="15"/>
      <c r="I71" s="15"/>
      <c r="J71" s="15"/>
      <c r="K71" s="15"/>
      <c r="L71" s="15"/>
      <c r="M71" s="15"/>
      <c r="N71" s="17"/>
      <c r="O71" s="15"/>
      <c r="P71" s="16">
        <v>0.17</v>
      </c>
      <c r="Q71" s="15"/>
      <c r="R71" s="15"/>
      <c r="S71" s="16"/>
      <c r="T71" s="6">
        <f t="shared" si="4"/>
        <v>0.17</v>
      </c>
      <c r="U71" s="9" t="s">
        <v>366</v>
      </c>
      <c r="V71" s="1"/>
      <c r="W71" s="1"/>
      <c r="X71" s="1"/>
      <c r="Y71" s="1"/>
      <c r="Z71" s="1"/>
    </row>
    <row r="72" spans="1:26" ht="39.75" customHeight="1">
      <c r="A72" s="171"/>
      <c r="B72" s="171"/>
      <c r="C72" s="171"/>
      <c r="D72" s="5">
        <v>66</v>
      </c>
      <c r="E72" s="5" t="s">
        <v>128</v>
      </c>
      <c r="F72" s="15"/>
      <c r="G72" s="15"/>
      <c r="H72" s="15"/>
      <c r="I72" s="15"/>
      <c r="J72" s="15"/>
      <c r="K72" s="17"/>
      <c r="L72" s="15"/>
      <c r="M72" s="15"/>
      <c r="N72" s="17">
        <v>0.2</v>
      </c>
      <c r="O72" s="15"/>
      <c r="P72" s="16"/>
      <c r="Q72" s="17">
        <v>0.05</v>
      </c>
      <c r="R72" s="34">
        <v>0.15</v>
      </c>
      <c r="S72" s="15"/>
      <c r="T72" s="6">
        <f t="shared" si="4"/>
        <v>0.4</v>
      </c>
      <c r="U72" s="9" t="s">
        <v>129</v>
      </c>
      <c r="V72" s="1"/>
      <c r="W72" s="1"/>
      <c r="X72" s="1"/>
      <c r="Y72" s="1"/>
      <c r="Z72" s="1"/>
    </row>
    <row r="73" spans="1:26" ht="39.75" customHeight="1">
      <c r="A73" s="171"/>
      <c r="B73" s="171"/>
      <c r="C73" s="171"/>
      <c r="D73" s="5">
        <v>67</v>
      </c>
      <c r="E73" s="5" t="s">
        <v>131</v>
      </c>
      <c r="F73" s="15"/>
      <c r="G73" s="15"/>
      <c r="H73" s="15"/>
      <c r="I73" s="15">
        <v>1.075</v>
      </c>
      <c r="J73" s="15"/>
      <c r="K73" s="17"/>
      <c r="L73" s="15"/>
      <c r="M73" s="15"/>
      <c r="N73" s="17">
        <v>0.4</v>
      </c>
      <c r="O73" s="15">
        <v>0.875</v>
      </c>
      <c r="P73" s="16">
        <v>2</v>
      </c>
      <c r="Q73" s="17">
        <v>0.495</v>
      </c>
      <c r="R73" s="16">
        <v>2.5</v>
      </c>
      <c r="S73" s="16"/>
      <c r="T73" s="6">
        <f t="shared" si="4"/>
        <v>7.3449999999999998</v>
      </c>
      <c r="U73" s="9" t="s">
        <v>504</v>
      </c>
      <c r="V73" s="1"/>
      <c r="W73" s="1"/>
      <c r="X73" s="1"/>
      <c r="Y73" s="1"/>
      <c r="Z73" s="1"/>
    </row>
    <row r="74" spans="1:26" ht="39.75" customHeight="1">
      <c r="A74" s="171"/>
      <c r="B74" s="169"/>
      <c r="C74" s="169"/>
      <c r="D74" s="5">
        <v>68</v>
      </c>
      <c r="E74" s="5" t="s">
        <v>133</v>
      </c>
      <c r="F74" s="16"/>
      <c r="G74" s="15"/>
      <c r="H74" s="15"/>
      <c r="I74" s="17"/>
      <c r="J74" s="15"/>
      <c r="K74" s="17"/>
      <c r="L74" s="15"/>
      <c r="M74" s="15"/>
      <c r="N74" s="17">
        <v>1.1000000000000001</v>
      </c>
      <c r="O74" s="16"/>
      <c r="P74" s="16">
        <v>3.37</v>
      </c>
      <c r="Q74" s="17">
        <v>3</v>
      </c>
      <c r="R74" s="16">
        <v>5.7</v>
      </c>
      <c r="S74" s="16">
        <v>5.21</v>
      </c>
      <c r="T74" s="6">
        <f t="shared" si="4"/>
        <v>18.380000000000003</v>
      </c>
      <c r="U74" s="9" t="s">
        <v>398</v>
      </c>
      <c r="V74" s="1"/>
      <c r="W74" s="1"/>
      <c r="X74" s="1"/>
      <c r="Y74" s="1"/>
      <c r="Z74" s="1"/>
    </row>
    <row r="75" spans="1:26" ht="39.75" customHeight="1">
      <c r="A75" s="171"/>
      <c r="B75" s="168" t="s">
        <v>136</v>
      </c>
      <c r="C75" s="168" t="s">
        <v>137</v>
      </c>
      <c r="D75" s="5">
        <v>69</v>
      </c>
      <c r="E75" s="5" t="s">
        <v>138</v>
      </c>
      <c r="F75" s="20"/>
      <c r="G75" s="20"/>
      <c r="H75" s="20"/>
      <c r="I75" s="20"/>
      <c r="J75" s="20"/>
      <c r="K75" s="20"/>
      <c r="L75" s="20"/>
      <c r="M75" s="20">
        <v>0.68400000000000005</v>
      </c>
      <c r="N75" s="20"/>
      <c r="O75" s="20">
        <v>28.434000000000001</v>
      </c>
      <c r="P75" s="20">
        <v>0.3</v>
      </c>
      <c r="Q75" s="20"/>
      <c r="R75" s="20"/>
      <c r="S75" s="20"/>
      <c r="T75" s="6">
        <f t="shared" si="4"/>
        <v>29.418000000000003</v>
      </c>
      <c r="U75" s="10" t="s">
        <v>505</v>
      </c>
      <c r="V75" s="1"/>
      <c r="W75" s="1"/>
      <c r="X75" s="1"/>
      <c r="Y75" s="1"/>
      <c r="Z75" s="1"/>
    </row>
    <row r="76" spans="1:26" ht="39.75" customHeight="1">
      <c r="A76" s="171"/>
      <c r="B76" s="171"/>
      <c r="C76" s="171"/>
      <c r="D76" s="5">
        <v>70</v>
      </c>
      <c r="E76" s="5" t="s">
        <v>140</v>
      </c>
      <c r="F76" s="20"/>
      <c r="G76" s="20"/>
      <c r="H76" s="20"/>
      <c r="I76" s="20">
        <v>0.26</v>
      </c>
      <c r="J76" s="20"/>
      <c r="K76" s="20"/>
      <c r="L76" s="20"/>
      <c r="M76" s="20"/>
      <c r="N76" s="20"/>
      <c r="O76" s="20"/>
      <c r="P76" s="20">
        <v>0.3</v>
      </c>
      <c r="Q76" s="20"/>
      <c r="R76" s="20"/>
      <c r="S76" s="20"/>
      <c r="T76" s="6">
        <f t="shared" si="4"/>
        <v>0.56000000000000005</v>
      </c>
      <c r="U76" s="46" t="s">
        <v>506</v>
      </c>
      <c r="V76" s="1"/>
      <c r="W76" s="1"/>
      <c r="X76" s="1"/>
      <c r="Y76" s="1"/>
      <c r="Z76" s="1"/>
    </row>
    <row r="77" spans="1:26" ht="39.75" customHeight="1">
      <c r="A77" s="171"/>
      <c r="B77" s="171"/>
      <c r="C77" s="171"/>
      <c r="D77" s="5">
        <v>71</v>
      </c>
      <c r="E77" s="5" t="s">
        <v>142</v>
      </c>
      <c r="F77" s="20"/>
      <c r="G77" s="20"/>
      <c r="H77" s="20"/>
      <c r="I77" s="20"/>
      <c r="J77" s="20"/>
      <c r="K77" s="20"/>
      <c r="L77" s="20"/>
      <c r="M77" s="20"/>
      <c r="N77" s="20"/>
      <c r="O77" s="20"/>
      <c r="P77" s="20"/>
      <c r="Q77" s="20"/>
      <c r="R77" s="20"/>
      <c r="S77" s="20"/>
      <c r="T77" s="6">
        <f t="shared" si="4"/>
        <v>0</v>
      </c>
      <c r="U77" s="46"/>
      <c r="V77" s="1"/>
      <c r="W77" s="1"/>
      <c r="X77" s="1"/>
      <c r="Y77" s="1"/>
      <c r="Z77" s="1"/>
    </row>
    <row r="78" spans="1:26" ht="39.75" customHeight="1">
      <c r="A78" s="171"/>
      <c r="B78" s="169"/>
      <c r="C78" s="169"/>
      <c r="D78" s="5">
        <v>72</v>
      </c>
      <c r="E78" s="5" t="s">
        <v>143</v>
      </c>
      <c r="F78" s="23"/>
      <c r="G78" s="23"/>
      <c r="H78" s="23"/>
      <c r="I78" s="23"/>
      <c r="J78" s="23"/>
      <c r="K78" s="23"/>
      <c r="L78" s="23"/>
      <c r="M78" s="23"/>
      <c r="N78" s="23">
        <v>2.3610000000000002</v>
      </c>
      <c r="O78" s="23"/>
      <c r="P78" s="23"/>
      <c r="Q78" s="23">
        <v>1.788</v>
      </c>
      <c r="R78" s="23">
        <v>2.3359999999999999</v>
      </c>
      <c r="S78" s="23"/>
      <c r="T78" s="6">
        <f t="shared" si="4"/>
        <v>6.4849999999999994</v>
      </c>
      <c r="U78" s="46" t="s">
        <v>507</v>
      </c>
      <c r="V78" s="1"/>
      <c r="W78" s="1"/>
      <c r="X78" s="1"/>
      <c r="Y78" s="1"/>
      <c r="Z78" s="1"/>
    </row>
    <row r="79" spans="1:26" ht="39.75" customHeight="1">
      <c r="A79" s="171"/>
      <c r="B79" s="168" t="s">
        <v>145</v>
      </c>
      <c r="C79" s="168" t="s">
        <v>146</v>
      </c>
      <c r="D79" s="5">
        <v>73</v>
      </c>
      <c r="E79" s="5" t="s">
        <v>147</v>
      </c>
      <c r="F79" s="128">
        <v>4.4000000000000004</v>
      </c>
      <c r="G79" s="128"/>
      <c r="H79" s="128">
        <v>2.5</v>
      </c>
      <c r="I79" s="128">
        <f>2.5+2.4+2+1.5</f>
        <v>8.4</v>
      </c>
      <c r="J79" s="112"/>
      <c r="K79" s="128">
        <f>2.2</f>
        <v>2.2000000000000002</v>
      </c>
      <c r="L79" s="112"/>
      <c r="M79" s="128">
        <f>3.9+4</f>
        <v>7.9</v>
      </c>
      <c r="N79" s="128">
        <f>3.5+0.4</f>
        <v>3.9</v>
      </c>
      <c r="O79" s="128"/>
      <c r="P79" s="128">
        <f>1.2+0.15+1.4</f>
        <v>2.75</v>
      </c>
      <c r="Q79" s="112"/>
      <c r="R79" s="128">
        <f>3.5+2.2+0.9+2.4+0.8</f>
        <v>9.8000000000000007</v>
      </c>
      <c r="S79" s="128">
        <v>0.4</v>
      </c>
      <c r="T79" s="129">
        <f>SUM(F79:S79)</f>
        <v>42.249999999999993</v>
      </c>
      <c r="U79" s="130" t="s">
        <v>807</v>
      </c>
      <c r="V79" s="1"/>
      <c r="W79" s="1"/>
      <c r="X79" s="1"/>
      <c r="Y79" s="1"/>
      <c r="Z79" s="1"/>
    </row>
    <row r="80" spans="1:26" ht="39.75" customHeight="1">
      <c r="A80" s="171"/>
      <c r="B80" s="171"/>
      <c r="C80" s="171"/>
      <c r="D80" s="5">
        <v>74</v>
      </c>
      <c r="E80" s="5" t="s">
        <v>148</v>
      </c>
      <c r="F80" s="128">
        <f>33+2.4</f>
        <v>35.4</v>
      </c>
      <c r="G80" s="128"/>
      <c r="H80" s="112"/>
      <c r="I80" s="112"/>
      <c r="J80" s="112"/>
      <c r="K80" s="112"/>
      <c r="L80" s="112"/>
      <c r="M80" s="112"/>
      <c r="N80" s="112"/>
      <c r="O80" s="112"/>
      <c r="P80" s="112"/>
      <c r="Q80" s="112"/>
      <c r="R80" s="112"/>
      <c r="S80" s="112"/>
      <c r="T80" s="129">
        <f t="shared" ref="T80:T85" si="5">SUM(F80:S80)</f>
        <v>35.4</v>
      </c>
      <c r="U80" s="130" t="s">
        <v>808</v>
      </c>
      <c r="V80" s="1"/>
      <c r="W80" s="1"/>
      <c r="X80" s="1"/>
      <c r="Y80" s="1"/>
      <c r="Z80" s="1"/>
    </row>
    <row r="81" spans="1:26" ht="39.75" customHeight="1">
      <c r="A81" s="171"/>
      <c r="B81" s="171"/>
      <c r="C81" s="171"/>
      <c r="D81" s="5">
        <v>75</v>
      </c>
      <c r="E81" s="5" t="s">
        <v>149</v>
      </c>
      <c r="F81" s="128">
        <f>1.8+0.6</f>
        <v>2.4</v>
      </c>
      <c r="G81" s="128"/>
      <c r="H81" s="112"/>
      <c r="I81" s="112"/>
      <c r="J81" s="112"/>
      <c r="K81" s="112"/>
      <c r="L81" s="112"/>
      <c r="M81" s="112"/>
      <c r="N81" s="112"/>
      <c r="O81" s="112"/>
      <c r="P81" s="128">
        <f>3.5</f>
        <v>3.5</v>
      </c>
      <c r="Q81" s="112"/>
      <c r="R81" s="112"/>
      <c r="S81" s="112"/>
      <c r="T81" s="129">
        <f t="shared" si="5"/>
        <v>5.9</v>
      </c>
      <c r="U81" s="130" t="s">
        <v>809</v>
      </c>
      <c r="V81" s="1"/>
      <c r="W81" s="1"/>
      <c r="X81" s="1"/>
      <c r="Y81" s="1"/>
      <c r="Z81" s="1"/>
    </row>
    <row r="82" spans="1:26" ht="39.75" customHeight="1">
      <c r="A82" s="171"/>
      <c r="B82" s="171"/>
      <c r="C82" s="171"/>
      <c r="D82" s="5">
        <v>76</v>
      </c>
      <c r="E82" s="5" t="s">
        <v>150</v>
      </c>
      <c r="F82" s="112"/>
      <c r="G82" s="112"/>
      <c r="H82" s="112"/>
      <c r="I82" s="112"/>
      <c r="J82" s="112"/>
      <c r="K82" s="128"/>
      <c r="L82" s="112"/>
      <c r="M82" s="128">
        <v>1.7</v>
      </c>
      <c r="N82" s="112"/>
      <c r="O82" s="112"/>
      <c r="P82" s="112"/>
      <c r="Q82" s="112"/>
      <c r="R82" s="112"/>
      <c r="S82" s="112"/>
      <c r="T82" s="129">
        <f t="shared" si="5"/>
        <v>1.7</v>
      </c>
      <c r="U82" s="131" t="s">
        <v>769</v>
      </c>
      <c r="V82" s="1"/>
      <c r="W82" s="1"/>
      <c r="X82" s="1"/>
      <c r="Y82" s="1"/>
      <c r="Z82" s="1"/>
    </row>
    <row r="83" spans="1:26" ht="39.75" customHeight="1">
      <c r="A83" s="171"/>
      <c r="B83" s="171"/>
      <c r="C83" s="171"/>
      <c r="D83" s="5">
        <v>77</v>
      </c>
      <c r="E83" s="5" t="s">
        <v>151</v>
      </c>
      <c r="F83" s="128">
        <v>1.1000000000000001</v>
      </c>
      <c r="G83" s="128"/>
      <c r="H83" s="128">
        <v>1.5</v>
      </c>
      <c r="I83" s="128">
        <f>1+1</f>
        <v>2</v>
      </c>
      <c r="J83" s="112"/>
      <c r="K83" s="128">
        <v>1.1000000000000001</v>
      </c>
      <c r="L83" s="112"/>
      <c r="M83" s="128"/>
      <c r="N83" s="128">
        <v>0.4</v>
      </c>
      <c r="O83" s="112"/>
      <c r="P83" s="112"/>
      <c r="Q83" s="112"/>
      <c r="R83" s="112"/>
      <c r="S83" s="128">
        <v>0.5</v>
      </c>
      <c r="T83" s="129">
        <f t="shared" si="5"/>
        <v>6.6</v>
      </c>
      <c r="U83" s="130" t="s">
        <v>810</v>
      </c>
      <c r="V83" s="1"/>
      <c r="W83" s="1"/>
      <c r="X83" s="1"/>
      <c r="Y83" s="1"/>
      <c r="Z83" s="1"/>
    </row>
    <row r="84" spans="1:26" ht="39.75" customHeight="1">
      <c r="A84" s="171"/>
      <c r="B84" s="171"/>
      <c r="C84" s="171"/>
      <c r="D84" s="5">
        <v>78</v>
      </c>
      <c r="E84" s="5" t="s">
        <v>152</v>
      </c>
      <c r="F84" s="112"/>
      <c r="G84" s="112"/>
      <c r="H84" s="112"/>
      <c r="I84" s="112"/>
      <c r="J84" s="112"/>
      <c r="K84" s="112"/>
      <c r="L84" s="112"/>
      <c r="M84" s="112"/>
      <c r="N84" s="112"/>
      <c r="O84" s="112"/>
      <c r="P84" s="112"/>
      <c r="Q84" s="128">
        <f>9.41+1.2</f>
        <v>10.61</v>
      </c>
      <c r="R84" s="112"/>
      <c r="S84" s="112"/>
      <c r="T84" s="129">
        <f t="shared" si="5"/>
        <v>10.61</v>
      </c>
      <c r="U84" s="130" t="s">
        <v>811</v>
      </c>
      <c r="V84" s="1"/>
      <c r="W84" s="1"/>
      <c r="X84" s="1"/>
      <c r="Y84" s="1"/>
      <c r="Z84" s="1"/>
    </row>
    <row r="85" spans="1:26" ht="39.75" customHeight="1">
      <c r="A85" s="171"/>
      <c r="B85" s="169"/>
      <c r="C85" s="169"/>
      <c r="D85" s="5">
        <v>79</v>
      </c>
      <c r="E85" s="5" t="s">
        <v>54</v>
      </c>
      <c r="F85" s="112"/>
      <c r="G85" s="112"/>
      <c r="H85" s="112"/>
      <c r="I85" s="112"/>
      <c r="J85" s="112"/>
      <c r="K85" s="112"/>
      <c r="L85" s="112"/>
      <c r="M85" s="112"/>
      <c r="N85" s="112"/>
      <c r="O85" s="112"/>
      <c r="P85" s="112"/>
      <c r="Q85" s="112"/>
      <c r="R85" s="112"/>
      <c r="S85" s="112"/>
      <c r="T85" s="129">
        <f t="shared" si="5"/>
        <v>0</v>
      </c>
      <c r="U85" s="112"/>
      <c r="V85" s="1"/>
      <c r="W85" s="1"/>
      <c r="X85" s="1"/>
      <c r="Y85" s="1"/>
      <c r="Z85" s="1"/>
    </row>
    <row r="86" spans="1:26" ht="39.75" customHeight="1">
      <c r="A86" s="171"/>
      <c r="B86" s="168" t="s">
        <v>153</v>
      </c>
      <c r="C86" s="168" t="s">
        <v>154</v>
      </c>
      <c r="D86" s="5">
        <v>80</v>
      </c>
      <c r="E86" s="5" t="s">
        <v>155</v>
      </c>
      <c r="F86" s="5"/>
      <c r="G86" s="5"/>
      <c r="H86" s="5"/>
      <c r="I86" s="5"/>
      <c r="J86" s="5"/>
      <c r="K86" s="25"/>
      <c r="L86" s="5"/>
      <c r="M86" s="6"/>
      <c r="N86" s="5"/>
      <c r="O86" s="5"/>
      <c r="P86" s="8">
        <v>1.2</v>
      </c>
      <c r="Q86" s="6">
        <v>1</v>
      </c>
      <c r="R86" s="8"/>
      <c r="S86" s="5"/>
      <c r="T86" s="6">
        <f t="shared" si="4"/>
        <v>2.2000000000000002</v>
      </c>
      <c r="U86" s="45" t="s">
        <v>508</v>
      </c>
      <c r="V86" s="1"/>
      <c r="W86" s="1"/>
      <c r="X86" s="1"/>
      <c r="Y86" s="1"/>
      <c r="Z86" s="1"/>
    </row>
    <row r="87" spans="1:26" ht="39.75" customHeight="1">
      <c r="A87" s="171"/>
      <c r="B87" s="171"/>
      <c r="C87" s="171"/>
      <c r="D87" s="5">
        <v>81</v>
      </c>
      <c r="E87" s="5" t="s">
        <v>156</v>
      </c>
      <c r="F87" s="5"/>
      <c r="G87" s="5"/>
      <c r="H87" s="5"/>
      <c r="I87" s="5"/>
      <c r="J87" s="5"/>
      <c r="K87" s="5"/>
      <c r="L87" s="5"/>
      <c r="M87" s="6"/>
      <c r="N87" s="6"/>
      <c r="O87" s="5"/>
      <c r="P87" s="8"/>
      <c r="Q87" s="8"/>
      <c r="R87" s="5"/>
      <c r="S87" s="5"/>
      <c r="T87" s="6">
        <f t="shared" si="4"/>
        <v>0</v>
      </c>
      <c r="U87" s="36"/>
      <c r="V87" s="1"/>
      <c r="W87" s="1"/>
      <c r="X87" s="1"/>
      <c r="Y87" s="1"/>
      <c r="Z87" s="1"/>
    </row>
    <row r="88" spans="1:26" ht="39.75" customHeight="1">
      <c r="A88" s="171"/>
      <c r="B88" s="171"/>
      <c r="C88" s="171"/>
      <c r="D88" s="5">
        <v>82</v>
      </c>
      <c r="E88" s="5" t="s">
        <v>157</v>
      </c>
      <c r="F88" s="5"/>
      <c r="G88" s="5"/>
      <c r="H88" s="5"/>
      <c r="I88" s="5"/>
      <c r="J88" s="5"/>
      <c r="K88" s="5"/>
      <c r="L88" s="5"/>
      <c r="M88" s="5"/>
      <c r="N88" s="5"/>
      <c r="O88" s="5"/>
      <c r="P88" s="8"/>
      <c r="Q88" s="5"/>
      <c r="R88" s="5"/>
      <c r="S88" s="5"/>
      <c r="T88" s="6">
        <f t="shared" si="4"/>
        <v>0</v>
      </c>
      <c r="U88" s="68"/>
      <c r="V88" s="1"/>
      <c r="W88" s="1"/>
      <c r="X88" s="1"/>
      <c r="Y88" s="1"/>
      <c r="Z88" s="1"/>
    </row>
    <row r="89" spans="1:26" ht="39.75" customHeight="1">
      <c r="A89" s="171"/>
      <c r="B89" s="169"/>
      <c r="C89" s="169"/>
      <c r="D89" s="5">
        <v>83</v>
      </c>
      <c r="E89" s="5" t="s">
        <v>158</v>
      </c>
      <c r="F89" s="5"/>
      <c r="G89" s="5"/>
      <c r="H89" s="5"/>
      <c r="I89" s="5"/>
      <c r="J89" s="5"/>
      <c r="K89" s="6">
        <v>1</v>
      </c>
      <c r="L89" s="5"/>
      <c r="M89" s="8"/>
      <c r="N89" s="6"/>
      <c r="O89" s="5"/>
      <c r="P89" s="8">
        <v>0.54</v>
      </c>
      <c r="Q89" s="6"/>
      <c r="R89" s="8"/>
      <c r="S89" s="5"/>
      <c r="T89" s="6">
        <f t="shared" si="4"/>
        <v>1.54</v>
      </c>
      <c r="U89" s="36" t="s">
        <v>509</v>
      </c>
      <c r="V89" s="1"/>
      <c r="W89" s="1"/>
      <c r="X89" s="1"/>
      <c r="Y89" s="1"/>
      <c r="Z89" s="1"/>
    </row>
    <row r="90" spans="1:26" ht="39.75" customHeight="1">
      <c r="A90" s="171"/>
      <c r="B90" s="5" t="s">
        <v>159</v>
      </c>
      <c r="C90" s="5" t="s">
        <v>160</v>
      </c>
      <c r="D90" s="5">
        <v>84</v>
      </c>
      <c r="E90" s="5" t="s">
        <v>161</v>
      </c>
      <c r="F90" s="5"/>
      <c r="G90" s="5"/>
      <c r="H90" s="5"/>
      <c r="I90" s="6"/>
      <c r="J90" s="5"/>
      <c r="K90" s="6"/>
      <c r="L90" s="5"/>
      <c r="M90" s="5"/>
      <c r="N90" s="6">
        <v>0.78</v>
      </c>
      <c r="O90" s="5"/>
      <c r="P90" s="5"/>
      <c r="Q90" s="6">
        <v>2.5</v>
      </c>
      <c r="R90" s="8">
        <v>0.2</v>
      </c>
      <c r="S90" s="5"/>
      <c r="T90" s="6">
        <f t="shared" si="4"/>
        <v>3.4800000000000004</v>
      </c>
      <c r="U90" s="9" t="s">
        <v>581</v>
      </c>
      <c r="V90" s="1"/>
      <c r="W90" s="1"/>
      <c r="X90" s="1"/>
      <c r="Y90" s="1"/>
      <c r="Z90" s="1"/>
    </row>
    <row r="91" spans="1:26" ht="39.75" customHeight="1">
      <c r="A91" s="171"/>
      <c r="B91" s="5" t="s">
        <v>162</v>
      </c>
      <c r="C91" s="5" t="s">
        <v>163</v>
      </c>
      <c r="D91" s="5">
        <v>85</v>
      </c>
      <c r="E91" s="5" t="s">
        <v>164</v>
      </c>
      <c r="F91" s="5"/>
      <c r="G91" s="5"/>
      <c r="H91" s="5"/>
      <c r="I91" s="5"/>
      <c r="J91" s="5"/>
      <c r="K91" s="6"/>
      <c r="L91" s="5"/>
      <c r="M91" s="5"/>
      <c r="N91" s="6">
        <v>0.2</v>
      </c>
      <c r="O91" s="5"/>
      <c r="P91" s="5"/>
      <c r="Q91" s="6">
        <v>1</v>
      </c>
      <c r="R91" s="8"/>
      <c r="S91" s="5"/>
      <c r="T91" s="6">
        <f t="shared" si="4"/>
        <v>1.2</v>
      </c>
      <c r="U91" s="9" t="s">
        <v>165</v>
      </c>
      <c r="V91" s="1"/>
      <c r="W91" s="1"/>
      <c r="X91" s="1"/>
      <c r="Y91" s="1"/>
      <c r="Z91" s="1"/>
    </row>
    <row r="92" spans="1:26" ht="39.75" customHeight="1">
      <c r="A92" s="171"/>
      <c r="B92" s="5" t="s">
        <v>166</v>
      </c>
      <c r="C92" s="5" t="s">
        <v>54</v>
      </c>
      <c r="D92" s="5">
        <v>86</v>
      </c>
      <c r="E92" s="5" t="s">
        <v>167</v>
      </c>
      <c r="F92" s="5"/>
      <c r="G92" s="5"/>
      <c r="H92" s="5"/>
      <c r="I92" s="5"/>
      <c r="J92" s="5"/>
      <c r="K92" s="5"/>
      <c r="L92" s="5"/>
      <c r="M92" s="5"/>
      <c r="N92" s="5"/>
      <c r="O92" s="5"/>
      <c r="P92" s="5"/>
      <c r="Q92" s="5"/>
      <c r="R92" s="5"/>
      <c r="S92" s="5"/>
      <c r="T92" s="6">
        <f t="shared" si="4"/>
        <v>0</v>
      </c>
      <c r="U92" s="9"/>
      <c r="V92" s="1"/>
      <c r="W92" s="1"/>
      <c r="X92" s="1"/>
      <c r="Y92" s="1"/>
      <c r="Z92" s="1"/>
    </row>
    <row r="93" spans="1:26" ht="39.75" customHeight="1">
      <c r="A93" s="169"/>
      <c r="B93" s="176" t="s">
        <v>168</v>
      </c>
      <c r="C93" s="177"/>
      <c r="D93" s="178"/>
      <c r="E93" s="51"/>
      <c r="F93" s="51">
        <f t="shared" ref="F93:S93" si="6">SUM(F69:F92)</f>
        <v>43.3</v>
      </c>
      <c r="G93" s="51">
        <f t="shared" si="6"/>
        <v>0</v>
      </c>
      <c r="H93" s="51">
        <f t="shared" si="6"/>
        <v>4</v>
      </c>
      <c r="I93" s="51">
        <f t="shared" si="6"/>
        <v>11.734999999999999</v>
      </c>
      <c r="J93" s="51">
        <f t="shared" si="6"/>
        <v>0</v>
      </c>
      <c r="K93" s="51">
        <f t="shared" si="6"/>
        <v>4.3000000000000007</v>
      </c>
      <c r="L93" s="51">
        <f t="shared" si="6"/>
        <v>0</v>
      </c>
      <c r="M93" s="56">
        <f t="shared" si="6"/>
        <v>10.283999999999999</v>
      </c>
      <c r="N93" s="52">
        <f t="shared" si="6"/>
        <v>15.591000000000001</v>
      </c>
      <c r="O93" s="51">
        <f t="shared" si="6"/>
        <v>29.909000000000002</v>
      </c>
      <c r="P93" s="52">
        <f t="shared" si="6"/>
        <v>45.572499999999991</v>
      </c>
      <c r="Q93" s="51">
        <f t="shared" si="6"/>
        <v>21.238</v>
      </c>
      <c r="R93" s="56">
        <f t="shared" si="6"/>
        <v>27.686</v>
      </c>
      <c r="S93" s="56">
        <f t="shared" si="6"/>
        <v>6.11</v>
      </c>
      <c r="T93" s="52">
        <f t="shared" si="4"/>
        <v>219.72550000000004</v>
      </c>
      <c r="U93" s="9"/>
      <c r="V93" s="1"/>
      <c r="W93" s="1"/>
      <c r="X93" s="1"/>
      <c r="Y93" s="1"/>
      <c r="Z93" s="1"/>
    </row>
    <row r="94" spans="1:26" ht="39.75" customHeight="1">
      <c r="A94" s="175" t="s">
        <v>169</v>
      </c>
      <c r="B94" s="168" t="s">
        <v>170</v>
      </c>
      <c r="C94" s="168" t="s">
        <v>171</v>
      </c>
      <c r="D94" s="5">
        <v>87</v>
      </c>
      <c r="E94" s="5" t="s">
        <v>172</v>
      </c>
      <c r="F94" s="114">
        <v>0</v>
      </c>
      <c r="G94" s="114"/>
      <c r="H94" s="114"/>
      <c r="I94" s="114"/>
      <c r="J94" s="114"/>
      <c r="K94" s="115">
        <v>4</v>
      </c>
      <c r="L94" s="114"/>
      <c r="M94" s="114"/>
      <c r="N94" s="114"/>
      <c r="O94" s="114"/>
      <c r="P94" s="114"/>
      <c r="Q94" s="114"/>
      <c r="R94" s="114"/>
      <c r="S94" s="116"/>
      <c r="T94" s="117">
        <f>SUM(F94:S94)</f>
        <v>4</v>
      </c>
      <c r="U94" s="88" t="s">
        <v>732</v>
      </c>
      <c r="V94" s="1"/>
      <c r="W94" s="1"/>
      <c r="X94" s="1"/>
      <c r="Y94" s="1"/>
      <c r="Z94" s="1"/>
    </row>
    <row r="95" spans="1:26" ht="39.75" customHeight="1">
      <c r="A95" s="171"/>
      <c r="B95" s="171"/>
      <c r="C95" s="171"/>
      <c r="D95" s="5">
        <v>88</v>
      </c>
      <c r="E95" s="5" t="s">
        <v>173</v>
      </c>
      <c r="F95" s="114"/>
      <c r="G95" s="114"/>
      <c r="H95" s="114"/>
      <c r="I95" s="114"/>
      <c r="J95" s="114"/>
      <c r="K95" s="114"/>
      <c r="L95" s="114"/>
      <c r="M95" s="114"/>
      <c r="N95" s="114"/>
      <c r="O95" s="114"/>
      <c r="P95" s="118">
        <v>3</v>
      </c>
      <c r="Q95" s="114"/>
      <c r="R95" s="114"/>
      <c r="S95" s="116"/>
      <c r="T95" s="117">
        <f t="shared" ref="T95:T103" si="7">SUM(F95:S95)</f>
        <v>3</v>
      </c>
      <c r="U95" s="88" t="s">
        <v>733</v>
      </c>
      <c r="V95" s="1"/>
      <c r="W95" s="1"/>
      <c r="X95" s="1"/>
      <c r="Y95" s="1"/>
      <c r="Z95" s="1"/>
    </row>
    <row r="96" spans="1:26" ht="39.75" customHeight="1">
      <c r="A96" s="171"/>
      <c r="B96" s="171"/>
      <c r="C96" s="171"/>
      <c r="D96" s="5">
        <v>89</v>
      </c>
      <c r="E96" s="5" t="s">
        <v>174</v>
      </c>
      <c r="F96" s="114"/>
      <c r="G96" s="114"/>
      <c r="H96" s="114"/>
      <c r="I96" s="114"/>
      <c r="J96" s="114"/>
      <c r="K96" s="114"/>
      <c r="L96" s="114"/>
      <c r="M96" s="114"/>
      <c r="N96" s="114"/>
      <c r="O96" s="114"/>
      <c r="P96" s="114"/>
      <c r="Q96" s="114"/>
      <c r="R96" s="114"/>
      <c r="S96" s="116"/>
      <c r="T96" s="117">
        <f t="shared" si="7"/>
        <v>0</v>
      </c>
      <c r="U96" s="88"/>
      <c r="V96" s="1"/>
      <c r="W96" s="1"/>
      <c r="X96" s="1"/>
      <c r="Y96" s="1"/>
      <c r="Z96" s="1"/>
    </row>
    <row r="97" spans="1:26" ht="39.75" customHeight="1">
      <c r="A97" s="171"/>
      <c r="B97" s="171"/>
      <c r="C97" s="171"/>
      <c r="D97" s="5">
        <v>90</v>
      </c>
      <c r="E97" s="5" t="s">
        <v>175</v>
      </c>
      <c r="F97" s="114"/>
      <c r="G97" s="114"/>
      <c r="H97" s="114"/>
      <c r="I97" s="114"/>
      <c r="J97" s="114"/>
      <c r="K97" s="114"/>
      <c r="L97" s="114"/>
      <c r="M97" s="114"/>
      <c r="N97" s="114"/>
      <c r="O97" s="114"/>
      <c r="P97" s="118"/>
      <c r="Q97" s="114"/>
      <c r="R97" s="114"/>
      <c r="S97" s="116"/>
      <c r="T97" s="117">
        <f t="shared" si="7"/>
        <v>0</v>
      </c>
      <c r="U97" s="88"/>
      <c r="V97" s="1"/>
      <c r="W97" s="1"/>
      <c r="X97" s="1"/>
      <c r="Y97" s="1"/>
      <c r="Z97" s="1"/>
    </row>
    <row r="98" spans="1:26" ht="39.75" customHeight="1">
      <c r="A98" s="171"/>
      <c r="B98" s="171"/>
      <c r="C98" s="171"/>
      <c r="D98" s="5">
        <v>91</v>
      </c>
      <c r="E98" s="5" t="s">
        <v>176</v>
      </c>
      <c r="F98" s="114"/>
      <c r="G98" s="114"/>
      <c r="H98" s="114"/>
      <c r="I98" s="114"/>
      <c r="J98" s="114"/>
      <c r="K98" s="115">
        <v>0</v>
      </c>
      <c r="L98" s="114"/>
      <c r="M98" s="114"/>
      <c r="N98" s="114"/>
      <c r="O98" s="114"/>
      <c r="P98" s="118">
        <v>2</v>
      </c>
      <c r="Q98" s="114"/>
      <c r="R98" s="114"/>
      <c r="S98" s="116"/>
      <c r="T98" s="117">
        <f t="shared" si="7"/>
        <v>2</v>
      </c>
      <c r="U98" s="121" t="s">
        <v>469</v>
      </c>
      <c r="V98" s="1"/>
      <c r="W98" s="1"/>
      <c r="X98" s="1"/>
      <c r="Y98" s="1"/>
      <c r="Z98" s="1"/>
    </row>
    <row r="99" spans="1:26" ht="39.75" customHeight="1">
      <c r="A99" s="171"/>
      <c r="B99" s="171"/>
      <c r="C99" s="171"/>
      <c r="D99" s="5">
        <v>92</v>
      </c>
      <c r="E99" s="5" t="s">
        <v>178</v>
      </c>
      <c r="F99" s="114"/>
      <c r="G99" s="114"/>
      <c r="H99" s="114"/>
      <c r="I99" s="114"/>
      <c r="J99" s="114"/>
      <c r="K99" s="114"/>
      <c r="L99" s="114"/>
      <c r="M99" s="114"/>
      <c r="N99" s="114"/>
      <c r="O99" s="114"/>
      <c r="P99" s="118"/>
      <c r="Q99" s="114"/>
      <c r="R99" s="114"/>
      <c r="S99" s="116"/>
      <c r="T99" s="117">
        <f t="shared" si="7"/>
        <v>0</v>
      </c>
      <c r="U99" s="122"/>
      <c r="V99" s="1"/>
      <c r="W99" s="1"/>
      <c r="X99" s="1"/>
      <c r="Y99" s="1"/>
      <c r="Z99" s="1"/>
    </row>
    <row r="100" spans="1:26" ht="39.75" customHeight="1">
      <c r="A100" s="171"/>
      <c r="B100" s="171"/>
      <c r="C100" s="171"/>
      <c r="D100" s="5">
        <v>93</v>
      </c>
      <c r="E100" s="5" t="s">
        <v>180</v>
      </c>
      <c r="F100" s="114"/>
      <c r="G100" s="114"/>
      <c r="H100" s="114"/>
      <c r="I100" s="118"/>
      <c r="J100" s="114"/>
      <c r="K100" s="114"/>
      <c r="L100" s="114"/>
      <c r="M100" s="114"/>
      <c r="N100" s="114"/>
      <c r="O100" s="114"/>
      <c r="P100" s="114"/>
      <c r="Q100" s="114"/>
      <c r="R100" s="114"/>
      <c r="S100" s="116"/>
      <c r="T100" s="117">
        <f t="shared" si="7"/>
        <v>0</v>
      </c>
      <c r="U100" s="121"/>
      <c r="V100" s="1"/>
      <c r="W100" s="1"/>
      <c r="X100" s="1"/>
      <c r="Y100" s="1"/>
      <c r="Z100" s="1"/>
    </row>
    <row r="101" spans="1:26" ht="39.75" customHeight="1">
      <c r="A101" s="171"/>
      <c r="B101" s="171"/>
      <c r="C101" s="171"/>
      <c r="D101" s="5">
        <v>94</v>
      </c>
      <c r="E101" s="5" t="s">
        <v>181</v>
      </c>
      <c r="F101" s="114"/>
      <c r="G101" s="114"/>
      <c r="H101" s="114"/>
      <c r="I101" s="118"/>
      <c r="J101" s="114"/>
      <c r="K101" s="114"/>
      <c r="L101" s="114"/>
      <c r="M101" s="114"/>
      <c r="N101" s="114"/>
      <c r="O101" s="114"/>
      <c r="P101" s="114"/>
      <c r="Q101" s="114"/>
      <c r="R101" s="114"/>
      <c r="S101" s="116"/>
      <c r="T101" s="117">
        <f t="shared" si="7"/>
        <v>0</v>
      </c>
      <c r="U101" s="122"/>
      <c r="V101" s="1"/>
      <c r="W101" s="1"/>
      <c r="X101" s="1"/>
      <c r="Y101" s="1"/>
      <c r="Z101" s="1"/>
    </row>
    <row r="102" spans="1:26" ht="39.75" customHeight="1">
      <c r="A102" s="171"/>
      <c r="B102" s="171"/>
      <c r="C102" s="171"/>
      <c r="D102" s="5">
        <v>95</v>
      </c>
      <c r="E102" s="5" t="s">
        <v>182</v>
      </c>
      <c r="F102" s="114"/>
      <c r="G102" s="114"/>
      <c r="H102" s="118"/>
      <c r="I102" s="115">
        <v>7</v>
      </c>
      <c r="J102" s="114"/>
      <c r="K102" s="114"/>
      <c r="L102" s="114"/>
      <c r="M102" s="114"/>
      <c r="N102" s="114"/>
      <c r="O102" s="114"/>
      <c r="P102" s="114"/>
      <c r="Q102" s="114"/>
      <c r="R102" s="114"/>
      <c r="S102" s="116"/>
      <c r="T102" s="117">
        <f t="shared" si="7"/>
        <v>7</v>
      </c>
      <c r="U102" s="88" t="s">
        <v>728</v>
      </c>
      <c r="V102" s="1"/>
      <c r="W102" s="1"/>
      <c r="X102" s="1"/>
      <c r="Y102" s="1"/>
      <c r="Z102" s="1"/>
    </row>
    <row r="103" spans="1:26" ht="39.75" customHeight="1">
      <c r="A103" s="171"/>
      <c r="B103" s="169"/>
      <c r="C103" s="169"/>
      <c r="D103" s="5">
        <v>96</v>
      </c>
      <c r="E103" s="5" t="s">
        <v>183</v>
      </c>
      <c r="F103" s="114"/>
      <c r="G103" s="114"/>
      <c r="H103" s="114"/>
      <c r="I103" s="114"/>
      <c r="J103" s="114"/>
      <c r="K103" s="114"/>
      <c r="L103" s="114"/>
      <c r="M103" s="114"/>
      <c r="N103" s="115">
        <v>0</v>
      </c>
      <c r="O103" s="114"/>
      <c r="P103" s="114"/>
      <c r="Q103" s="115">
        <v>1</v>
      </c>
      <c r="R103" s="118">
        <v>1</v>
      </c>
      <c r="S103" s="116"/>
      <c r="T103" s="117">
        <f t="shared" si="7"/>
        <v>2</v>
      </c>
      <c r="U103" s="88" t="s">
        <v>421</v>
      </c>
      <c r="V103" s="1"/>
      <c r="W103" s="1"/>
      <c r="X103" s="1"/>
      <c r="Y103" s="1"/>
      <c r="Z103" s="1"/>
    </row>
    <row r="104" spans="1:26" ht="39.75" customHeight="1">
      <c r="A104" s="171"/>
      <c r="B104" s="168" t="s">
        <v>184</v>
      </c>
      <c r="C104" s="168" t="s">
        <v>185</v>
      </c>
      <c r="D104" s="5">
        <v>97</v>
      </c>
      <c r="E104" s="5" t="s">
        <v>186</v>
      </c>
      <c r="F104" s="5"/>
      <c r="G104" s="5"/>
      <c r="H104" s="5"/>
      <c r="I104" s="6"/>
      <c r="J104" s="5"/>
      <c r="K104" s="6"/>
      <c r="L104" s="5"/>
      <c r="M104" s="6"/>
      <c r="N104" s="6">
        <v>5.5</v>
      </c>
      <c r="O104" s="5"/>
      <c r="P104" s="8">
        <v>15.8</v>
      </c>
      <c r="Q104" s="6">
        <v>4</v>
      </c>
      <c r="R104" s="8">
        <v>17.55</v>
      </c>
      <c r="S104" s="5"/>
      <c r="T104" s="6">
        <f t="shared" si="4"/>
        <v>42.85</v>
      </c>
      <c r="U104" s="10" t="s">
        <v>510</v>
      </c>
      <c r="V104" s="1"/>
      <c r="W104" s="1"/>
      <c r="X104" s="1"/>
      <c r="Y104" s="1"/>
      <c r="Z104" s="1"/>
    </row>
    <row r="105" spans="1:26" ht="39.75" customHeight="1">
      <c r="A105" s="171"/>
      <c r="B105" s="169"/>
      <c r="C105" s="169"/>
      <c r="D105" s="5">
        <v>98</v>
      </c>
      <c r="E105" s="5" t="s">
        <v>54</v>
      </c>
      <c r="F105" s="5"/>
      <c r="G105" s="5"/>
      <c r="H105" s="5"/>
      <c r="I105" s="5"/>
      <c r="J105" s="5"/>
      <c r="K105" s="5"/>
      <c r="L105" s="5"/>
      <c r="M105" s="5"/>
      <c r="N105" s="5"/>
      <c r="O105" s="5"/>
      <c r="P105" s="5"/>
      <c r="Q105" s="5"/>
      <c r="R105" s="5"/>
      <c r="S105" s="5"/>
      <c r="T105" s="6">
        <f t="shared" si="4"/>
        <v>0</v>
      </c>
      <c r="U105" s="46"/>
      <c r="V105" s="1"/>
      <c r="W105" s="1"/>
      <c r="X105" s="1"/>
      <c r="Y105" s="1"/>
      <c r="Z105" s="1"/>
    </row>
    <row r="106" spans="1:26" ht="39.75" customHeight="1">
      <c r="A106" s="171"/>
      <c r="B106" s="168" t="s">
        <v>188</v>
      </c>
      <c r="C106" s="168" t="s">
        <v>189</v>
      </c>
      <c r="D106" s="5">
        <v>99</v>
      </c>
      <c r="E106" s="5" t="s">
        <v>190</v>
      </c>
      <c r="F106" s="5"/>
      <c r="G106" s="5"/>
      <c r="H106" s="8"/>
      <c r="I106" s="6">
        <v>2</v>
      </c>
      <c r="J106" s="5"/>
      <c r="K106" s="6"/>
      <c r="L106" s="5"/>
      <c r="M106" s="5"/>
      <c r="N106" s="6">
        <v>0.8</v>
      </c>
      <c r="O106" s="5"/>
      <c r="P106" s="5"/>
      <c r="Q106" s="6">
        <v>2</v>
      </c>
      <c r="R106" s="5"/>
      <c r="S106" s="5"/>
      <c r="T106" s="6">
        <f t="shared" si="4"/>
        <v>4.8</v>
      </c>
      <c r="U106" s="46" t="s">
        <v>374</v>
      </c>
      <c r="V106" s="1"/>
      <c r="W106" s="1"/>
      <c r="X106" s="1"/>
      <c r="Y106" s="1"/>
      <c r="Z106" s="1"/>
    </row>
    <row r="107" spans="1:26" ht="39.75" customHeight="1">
      <c r="A107" s="171"/>
      <c r="B107" s="171"/>
      <c r="C107" s="171"/>
      <c r="D107" s="5">
        <v>100</v>
      </c>
      <c r="E107" s="5" t="s">
        <v>192</v>
      </c>
      <c r="F107" s="5"/>
      <c r="G107" s="5"/>
      <c r="H107" s="5"/>
      <c r="I107" s="6">
        <v>0.3</v>
      </c>
      <c r="J107" s="5"/>
      <c r="K107" s="6"/>
      <c r="L107" s="5"/>
      <c r="M107" s="5"/>
      <c r="N107" s="5"/>
      <c r="O107" s="5"/>
      <c r="P107" s="5"/>
      <c r="Q107" s="5"/>
      <c r="R107" s="5"/>
      <c r="S107" s="5"/>
      <c r="T107" s="6">
        <f t="shared" si="4"/>
        <v>0.3</v>
      </c>
      <c r="U107" s="46" t="s">
        <v>193</v>
      </c>
      <c r="V107" s="1"/>
      <c r="W107" s="1"/>
      <c r="X107" s="1"/>
      <c r="Y107" s="1"/>
      <c r="Z107" s="1"/>
    </row>
    <row r="108" spans="1:26" ht="39.75" customHeight="1">
      <c r="A108" s="171"/>
      <c r="B108" s="171"/>
      <c r="C108" s="171"/>
      <c r="D108" s="5">
        <v>101</v>
      </c>
      <c r="E108" s="5" t="s">
        <v>194</v>
      </c>
      <c r="F108" s="5"/>
      <c r="G108" s="5"/>
      <c r="H108" s="5"/>
      <c r="I108" s="5"/>
      <c r="J108" s="5"/>
      <c r="K108" s="5"/>
      <c r="L108" s="5"/>
      <c r="M108" s="5"/>
      <c r="N108" s="5"/>
      <c r="O108" s="5"/>
      <c r="P108" s="5"/>
      <c r="Q108" s="5"/>
      <c r="R108" s="5"/>
      <c r="S108" s="5"/>
      <c r="T108" s="6">
        <f t="shared" si="4"/>
        <v>0</v>
      </c>
      <c r="U108" s="9"/>
      <c r="V108" s="1"/>
      <c r="W108" s="1"/>
      <c r="X108" s="1"/>
      <c r="Y108" s="1"/>
      <c r="Z108" s="1"/>
    </row>
    <row r="109" spans="1:26" ht="39.75" customHeight="1">
      <c r="A109" s="171"/>
      <c r="B109" s="171"/>
      <c r="C109" s="171"/>
      <c r="D109" s="5">
        <v>102</v>
      </c>
      <c r="E109" s="5" t="s">
        <v>195</v>
      </c>
      <c r="F109" s="5"/>
      <c r="G109" s="5"/>
      <c r="H109" s="5"/>
      <c r="I109" s="5"/>
      <c r="J109" s="5"/>
      <c r="K109" s="5"/>
      <c r="L109" s="5"/>
      <c r="M109" s="5"/>
      <c r="N109" s="5"/>
      <c r="O109" s="5"/>
      <c r="P109" s="5"/>
      <c r="Q109" s="6"/>
      <c r="R109" s="5"/>
      <c r="S109" s="5"/>
      <c r="T109" s="6">
        <f t="shared" si="4"/>
        <v>0</v>
      </c>
      <c r="U109" s="9"/>
      <c r="V109" s="1"/>
      <c r="W109" s="1"/>
      <c r="X109" s="1"/>
      <c r="Y109" s="1"/>
      <c r="Z109" s="1"/>
    </row>
    <row r="110" spans="1:26" ht="39.75" customHeight="1">
      <c r="A110" s="171"/>
      <c r="B110" s="169"/>
      <c r="C110" s="169"/>
      <c r="D110" s="5">
        <v>103</v>
      </c>
      <c r="E110" s="5" t="s">
        <v>54</v>
      </c>
      <c r="F110" s="5"/>
      <c r="G110" s="5"/>
      <c r="H110" s="5"/>
      <c r="I110" s="5"/>
      <c r="J110" s="5"/>
      <c r="K110" s="5"/>
      <c r="L110" s="5"/>
      <c r="M110" s="5"/>
      <c r="N110" s="5"/>
      <c r="O110" s="5"/>
      <c r="P110" s="8">
        <v>2</v>
      </c>
      <c r="Q110" s="5"/>
      <c r="R110" s="8"/>
      <c r="S110" s="8"/>
      <c r="T110" s="6">
        <f t="shared" si="4"/>
        <v>2</v>
      </c>
      <c r="U110" s="10" t="s">
        <v>511</v>
      </c>
      <c r="V110" s="1"/>
      <c r="W110" s="1"/>
      <c r="X110" s="1"/>
      <c r="Y110" s="1"/>
      <c r="Z110" s="1"/>
    </row>
    <row r="111" spans="1:26" ht="39.75" customHeight="1">
      <c r="A111" s="171"/>
      <c r="B111" s="168" t="s">
        <v>197</v>
      </c>
      <c r="C111" s="168" t="s">
        <v>198</v>
      </c>
      <c r="D111" s="5">
        <v>104</v>
      </c>
      <c r="E111" s="5" t="s">
        <v>199</v>
      </c>
      <c r="F111" s="5"/>
      <c r="G111" s="5"/>
      <c r="H111" s="5"/>
      <c r="I111" s="5"/>
      <c r="J111" s="5"/>
      <c r="K111" s="5"/>
      <c r="L111" s="5"/>
      <c r="M111" s="5"/>
      <c r="N111" s="8">
        <v>2</v>
      </c>
      <c r="O111" s="5"/>
      <c r="P111" s="8">
        <v>3</v>
      </c>
      <c r="Q111" s="8">
        <v>1</v>
      </c>
      <c r="R111" s="8"/>
      <c r="S111" s="8"/>
      <c r="T111" s="6">
        <f t="shared" si="4"/>
        <v>6</v>
      </c>
      <c r="U111" s="113" t="s">
        <v>691</v>
      </c>
      <c r="V111" s="1"/>
      <c r="W111" s="1"/>
      <c r="X111" s="1"/>
      <c r="Y111" s="1"/>
      <c r="Z111" s="1"/>
    </row>
    <row r="112" spans="1:26" ht="39.75" customHeight="1">
      <c r="A112" s="171"/>
      <c r="B112" s="171"/>
      <c r="C112" s="171"/>
      <c r="D112" s="5">
        <v>105</v>
      </c>
      <c r="E112" s="5" t="s">
        <v>200</v>
      </c>
      <c r="F112" s="5"/>
      <c r="G112" s="5"/>
      <c r="H112" s="5"/>
      <c r="I112" s="5"/>
      <c r="J112" s="5"/>
      <c r="K112" s="5"/>
      <c r="L112" s="5"/>
      <c r="M112" s="5"/>
      <c r="N112" s="5"/>
      <c r="O112" s="5"/>
      <c r="P112" s="5"/>
      <c r="Q112" s="5"/>
      <c r="R112" s="5"/>
      <c r="S112" s="5"/>
      <c r="T112" s="6">
        <f t="shared" si="4"/>
        <v>0</v>
      </c>
      <c r="U112" s="9"/>
      <c r="V112" s="1"/>
      <c r="W112" s="1"/>
      <c r="X112" s="1"/>
      <c r="Y112" s="1"/>
      <c r="Z112" s="1"/>
    </row>
    <row r="113" spans="1:26" ht="39.75" customHeight="1">
      <c r="A113" s="171"/>
      <c r="B113" s="169"/>
      <c r="C113" s="169"/>
      <c r="D113" s="5">
        <v>106</v>
      </c>
      <c r="E113" s="5" t="s">
        <v>201</v>
      </c>
      <c r="F113" s="5"/>
      <c r="G113" s="5"/>
      <c r="H113" s="5"/>
      <c r="I113" s="6"/>
      <c r="J113" s="5"/>
      <c r="K113" s="6"/>
      <c r="L113" s="5"/>
      <c r="M113" s="5"/>
      <c r="N113" s="6"/>
      <c r="O113" s="5"/>
      <c r="P113" s="8"/>
      <c r="Q113" s="6">
        <v>2</v>
      </c>
      <c r="R113" s="8">
        <v>3</v>
      </c>
      <c r="S113" s="8"/>
      <c r="T113" s="6">
        <f t="shared" si="4"/>
        <v>5</v>
      </c>
      <c r="U113" s="113" t="s">
        <v>689</v>
      </c>
      <c r="V113" s="1"/>
      <c r="W113" s="1"/>
      <c r="X113" s="1"/>
      <c r="Y113" s="1"/>
      <c r="Z113" s="1"/>
    </row>
    <row r="114" spans="1:26" ht="39.75" customHeight="1">
      <c r="A114" s="171"/>
      <c r="B114" s="168" t="s">
        <v>202</v>
      </c>
      <c r="C114" s="168" t="s">
        <v>203</v>
      </c>
      <c r="D114" s="5">
        <v>107</v>
      </c>
      <c r="E114" s="5" t="s">
        <v>204</v>
      </c>
      <c r="F114" s="5"/>
      <c r="G114" s="5"/>
      <c r="H114" s="5"/>
      <c r="I114" s="6"/>
      <c r="J114" s="5"/>
      <c r="K114" s="6"/>
      <c r="L114" s="5"/>
      <c r="M114" s="5"/>
      <c r="N114" s="6"/>
      <c r="O114" s="5"/>
      <c r="P114" s="8">
        <v>3</v>
      </c>
      <c r="Q114" s="5"/>
      <c r="R114" s="8"/>
      <c r="S114" s="5"/>
      <c r="T114" s="6">
        <f t="shared" si="4"/>
        <v>3</v>
      </c>
      <c r="U114" s="46" t="s">
        <v>205</v>
      </c>
      <c r="V114" s="1"/>
      <c r="W114" s="1"/>
      <c r="X114" s="1"/>
      <c r="Y114" s="1"/>
      <c r="Z114" s="1"/>
    </row>
    <row r="115" spans="1:26" ht="39.75" customHeight="1">
      <c r="A115" s="171"/>
      <c r="B115" s="171"/>
      <c r="C115" s="171"/>
      <c r="D115" s="5">
        <v>108</v>
      </c>
      <c r="E115" s="5" t="s">
        <v>206</v>
      </c>
      <c r="F115" s="5"/>
      <c r="G115" s="5"/>
      <c r="H115" s="5"/>
      <c r="I115" s="6"/>
      <c r="J115" s="5"/>
      <c r="K115" s="6"/>
      <c r="L115" s="5"/>
      <c r="M115" s="5"/>
      <c r="N115" s="5"/>
      <c r="O115" s="5"/>
      <c r="P115" s="8">
        <v>4.8</v>
      </c>
      <c r="Q115" s="5"/>
      <c r="R115" s="5"/>
      <c r="S115" s="5"/>
      <c r="T115" s="6">
        <f t="shared" si="4"/>
        <v>4.8</v>
      </c>
      <c r="U115" s="46" t="s">
        <v>207</v>
      </c>
      <c r="V115" s="1"/>
      <c r="W115" s="1"/>
      <c r="X115" s="1"/>
      <c r="Y115" s="1"/>
      <c r="Z115" s="1"/>
    </row>
    <row r="116" spans="1:26" ht="39.75" customHeight="1">
      <c r="A116" s="171"/>
      <c r="B116" s="171"/>
      <c r="C116" s="171"/>
      <c r="D116" s="5">
        <v>109</v>
      </c>
      <c r="E116" s="5" t="s">
        <v>208</v>
      </c>
      <c r="F116" s="5"/>
      <c r="G116" s="5"/>
      <c r="H116" s="8"/>
      <c r="I116" s="6"/>
      <c r="J116" s="5"/>
      <c r="K116" s="6"/>
      <c r="L116" s="5"/>
      <c r="M116" s="5"/>
      <c r="N116" s="5"/>
      <c r="O116" s="5"/>
      <c r="P116" s="5"/>
      <c r="Q116" s="5"/>
      <c r="R116" s="5"/>
      <c r="S116" s="5"/>
      <c r="T116" s="6">
        <f t="shared" si="4"/>
        <v>0</v>
      </c>
      <c r="U116" s="9"/>
      <c r="V116" s="1"/>
      <c r="W116" s="1"/>
      <c r="X116" s="1"/>
      <c r="Y116" s="1"/>
      <c r="Z116" s="1"/>
    </row>
    <row r="117" spans="1:26" ht="39.75" customHeight="1">
      <c r="A117" s="171"/>
      <c r="B117" s="171"/>
      <c r="C117" s="171"/>
      <c r="D117" s="5">
        <v>110</v>
      </c>
      <c r="E117" s="5" t="s">
        <v>209</v>
      </c>
      <c r="F117" s="5"/>
      <c r="G117" s="5"/>
      <c r="H117" s="5"/>
      <c r="I117" s="6"/>
      <c r="J117" s="5"/>
      <c r="K117" s="6"/>
      <c r="L117" s="5"/>
      <c r="M117" s="8"/>
      <c r="N117" s="6">
        <v>3</v>
      </c>
      <c r="O117" s="8">
        <v>5.5979999999999999</v>
      </c>
      <c r="P117" s="6"/>
      <c r="Q117" s="8">
        <v>6</v>
      </c>
      <c r="R117" s="8">
        <v>7</v>
      </c>
      <c r="S117" s="5"/>
      <c r="T117" s="6">
        <f t="shared" si="4"/>
        <v>21.597999999999999</v>
      </c>
      <c r="U117" s="9" t="s">
        <v>375</v>
      </c>
      <c r="V117" s="1"/>
      <c r="W117" s="1"/>
      <c r="X117" s="1"/>
      <c r="Y117" s="1"/>
      <c r="Z117" s="1"/>
    </row>
    <row r="118" spans="1:26" ht="39.75" customHeight="1">
      <c r="A118" s="171"/>
      <c r="B118" s="169"/>
      <c r="C118" s="169"/>
      <c r="D118" s="5">
        <v>111</v>
      </c>
      <c r="E118" s="5" t="s">
        <v>54</v>
      </c>
      <c r="F118" s="5"/>
      <c r="G118" s="5"/>
      <c r="H118" s="5"/>
      <c r="I118" s="8"/>
      <c r="J118" s="5"/>
      <c r="K118" s="8"/>
      <c r="L118" s="5"/>
      <c r="M118" s="5">
        <v>6</v>
      </c>
      <c r="N118" s="5"/>
      <c r="O118" s="5"/>
      <c r="P118" s="8"/>
      <c r="Q118" s="6"/>
      <c r="R118" s="5"/>
      <c r="S118" s="8"/>
      <c r="T118" s="6">
        <f t="shared" si="4"/>
        <v>6</v>
      </c>
      <c r="U118" s="113" t="s">
        <v>683</v>
      </c>
      <c r="V118" s="1"/>
      <c r="W118" s="1"/>
      <c r="X118" s="1"/>
      <c r="Y118" s="1"/>
      <c r="Z118" s="1"/>
    </row>
    <row r="119" spans="1:26" ht="39.75" customHeight="1">
      <c r="A119" s="171"/>
      <c r="B119" s="168" t="s">
        <v>211</v>
      </c>
      <c r="C119" s="168" t="s">
        <v>212</v>
      </c>
      <c r="D119" s="5">
        <v>112</v>
      </c>
      <c r="E119" s="5" t="s">
        <v>213</v>
      </c>
      <c r="F119" s="5"/>
      <c r="G119" s="5"/>
      <c r="H119" s="5"/>
      <c r="I119" s="6"/>
      <c r="J119" s="5"/>
      <c r="K119" s="6"/>
      <c r="L119" s="5"/>
      <c r="M119" s="5"/>
      <c r="N119" s="5"/>
      <c r="O119" s="5"/>
      <c r="P119" s="5"/>
      <c r="Q119" s="6"/>
      <c r="R119" s="5"/>
      <c r="S119" s="5"/>
      <c r="T119" s="6">
        <f t="shared" si="4"/>
        <v>0</v>
      </c>
      <c r="U119" s="9"/>
      <c r="V119" s="1"/>
      <c r="W119" s="1"/>
      <c r="X119" s="1"/>
      <c r="Y119" s="1"/>
      <c r="Z119" s="1"/>
    </row>
    <row r="120" spans="1:26" ht="39.75" customHeight="1">
      <c r="A120" s="171"/>
      <c r="B120" s="169"/>
      <c r="C120" s="169"/>
      <c r="D120" s="5">
        <v>113</v>
      </c>
      <c r="E120" s="5" t="s">
        <v>214</v>
      </c>
      <c r="F120" s="5"/>
      <c r="G120" s="5"/>
      <c r="H120" s="5"/>
      <c r="I120" s="6"/>
      <c r="J120" s="5"/>
      <c r="K120" s="6"/>
      <c r="L120" s="5"/>
      <c r="M120" s="6"/>
      <c r="N120" s="6">
        <v>0.5</v>
      </c>
      <c r="O120" s="5"/>
      <c r="P120" s="5"/>
      <c r="Q120" s="6">
        <v>0.5</v>
      </c>
      <c r="R120" s="5"/>
      <c r="S120" s="5"/>
      <c r="T120" s="6">
        <f t="shared" si="4"/>
        <v>1</v>
      </c>
      <c r="U120" s="10" t="s">
        <v>215</v>
      </c>
      <c r="V120" s="1"/>
      <c r="W120" s="1"/>
      <c r="X120" s="1"/>
      <c r="Y120" s="1"/>
      <c r="Z120" s="1"/>
    </row>
    <row r="121" spans="1:26" ht="109.5" customHeight="1">
      <c r="A121" s="171"/>
      <c r="B121" s="5" t="s">
        <v>216</v>
      </c>
      <c r="C121" s="5" t="s">
        <v>217</v>
      </c>
      <c r="D121" s="5">
        <v>114</v>
      </c>
      <c r="E121" s="5" t="s">
        <v>218</v>
      </c>
      <c r="F121" s="5"/>
      <c r="G121" s="5"/>
      <c r="H121" s="8"/>
      <c r="I121" s="5"/>
      <c r="J121" s="5"/>
      <c r="K121" s="5"/>
      <c r="L121" s="5"/>
      <c r="M121" s="5"/>
      <c r="N121" s="8">
        <v>1.5</v>
      </c>
      <c r="O121" s="5"/>
      <c r="P121" s="8">
        <v>6.5</v>
      </c>
      <c r="Q121" s="6">
        <v>2</v>
      </c>
      <c r="R121" s="8">
        <v>1</v>
      </c>
      <c r="S121" s="8"/>
      <c r="T121" s="6">
        <f t="shared" si="4"/>
        <v>11</v>
      </c>
      <c r="U121" s="113" t="s">
        <v>681</v>
      </c>
      <c r="V121" s="1"/>
      <c r="W121" s="1"/>
      <c r="X121" s="1"/>
      <c r="Y121" s="1"/>
      <c r="Z121" s="1"/>
    </row>
    <row r="122" spans="1:26" ht="39.75" customHeight="1">
      <c r="A122" s="171"/>
      <c r="B122" s="168" t="s">
        <v>219</v>
      </c>
      <c r="C122" s="168" t="s">
        <v>220</v>
      </c>
      <c r="D122" s="5">
        <v>115</v>
      </c>
      <c r="E122" s="5" t="s">
        <v>221</v>
      </c>
      <c r="F122" s="5"/>
      <c r="G122" s="5"/>
      <c r="H122" s="5"/>
      <c r="I122" s="5"/>
      <c r="J122" s="5"/>
      <c r="K122" s="5"/>
      <c r="L122" s="5"/>
      <c r="M122" s="6"/>
      <c r="N122" s="5"/>
      <c r="O122" s="5"/>
      <c r="P122" s="5"/>
      <c r="Q122" s="5"/>
      <c r="R122" s="5"/>
      <c r="S122" s="5"/>
      <c r="T122" s="6">
        <f t="shared" si="4"/>
        <v>0</v>
      </c>
      <c r="U122" s="9"/>
      <c r="V122" s="1"/>
      <c r="W122" s="1"/>
      <c r="X122" s="1"/>
      <c r="Y122" s="1"/>
      <c r="Z122" s="1"/>
    </row>
    <row r="123" spans="1:26" ht="39.75" customHeight="1">
      <c r="A123" s="171"/>
      <c r="B123" s="171"/>
      <c r="C123" s="171"/>
      <c r="D123" s="5">
        <v>116</v>
      </c>
      <c r="E123" s="5" t="s">
        <v>222</v>
      </c>
      <c r="F123" s="5"/>
      <c r="G123" s="5"/>
      <c r="H123" s="5"/>
      <c r="I123" s="5"/>
      <c r="J123" s="5"/>
      <c r="K123" s="5"/>
      <c r="L123" s="5"/>
      <c r="M123" s="6">
        <v>7.4</v>
      </c>
      <c r="N123" s="5"/>
      <c r="O123" s="5"/>
      <c r="P123" s="5"/>
      <c r="Q123" s="6">
        <v>6.7</v>
      </c>
      <c r="R123" s="5"/>
      <c r="S123" s="5"/>
      <c r="T123" s="6">
        <f t="shared" si="4"/>
        <v>14.100000000000001</v>
      </c>
      <c r="U123" s="113" t="s">
        <v>679</v>
      </c>
      <c r="V123" s="1"/>
      <c r="W123" s="1"/>
      <c r="X123" s="1"/>
      <c r="Y123" s="1"/>
      <c r="Z123" s="1"/>
    </row>
    <row r="124" spans="1:26" ht="39.75" customHeight="1">
      <c r="A124" s="171"/>
      <c r="B124" s="171"/>
      <c r="C124" s="171"/>
      <c r="D124" s="5">
        <v>117</v>
      </c>
      <c r="E124" s="5" t="s">
        <v>224</v>
      </c>
      <c r="F124" s="5"/>
      <c r="G124" s="5"/>
      <c r="H124" s="5"/>
      <c r="I124" s="5"/>
      <c r="J124" s="5"/>
      <c r="K124" s="5"/>
      <c r="L124" s="5"/>
      <c r="M124" s="5"/>
      <c r="N124" s="5"/>
      <c r="O124" s="5"/>
      <c r="P124" s="5"/>
      <c r="Q124" s="5"/>
      <c r="R124" s="5"/>
      <c r="S124" s="5"/>
      <c r="T124" s="6">
        <f t="shared" si="4"/>
        <v>0</v>
      </c>
      <c r="U124" s="46"/>
      <c r="V124" s="1"/>
      <c r="W124" s="1"/>
      <c r="X124" s="1"/>
      <c r="Y124" s="1"/>
      <c r="Z124" s="1"/>
    </row>
    <row r="125" spans="1:26" ht="39.75" customHeight="1">
      <c r="A125" s="171"/>
      <c r="B125" s="169"/>
      <c r="C125" s="169"/>
      <c r="D125" s="5">
        <v>118</v>
      </c>
      <c r="E125" s="5" t="s">
        <v>54</v>
      </c>
      <c r="F125" s="5"/>
      <c r="G125" s="5"/>
      <c r="H125" s="5"/>
      <c r="I125" s="5"/>
      <c r="J125" s="5"/>
      <c r="K125" s="5"/>
      <c r="L125" s="5"/>
      <c r="M125" s="5"/>
      <c r="N125" s="5"/>
      <c r="O125" s="5"/>
      <c r="P125" s="5"/>
      <c r="Q125" s="6"/>
      <c r="R125" s="5"/>
      <c r="S125" s="5"/>
      <c r="T125" s="6">
        <f t="shared" si="4"/>
        <v>0</v>
      </c>
      <c r="U125" s="9"/>
      <c r="V125" s="1"/>
      <c r="W125" s="1"/>
      <c r="X125" s="1"/>
      <c r="Y125" s="1"/>
      <c r="Z125" s="1"/>
    </row>
    <row r="126" spans="1:26" ht="39.75" customHeight="1">
      <c r="A126" s="171"/>
      <c r="B126" s="5" t="s">
        <v>225</v>
      </c>
      <c r="C126" s="5" t="s">
        <v>226</v>
      </c>
      <c r="D126" s="5">
        <v>119</v>
      </c>
      <c r="E126" s="5" t="s">
        <v>227</v>
      </c>
      <c r="F126" s="5"/>
      <c r="G126" s="5"/>
      <c r="H126" s="8">
        <v>0</v>
      </c>
      <c r="I126" s="6">
        <v>1</v>
      </c>
      <c r="J126" s="5"/>
      <c r="K126" s="5"/>
      <c r="L126" s="5"/>
      <c r="M126" s="5"/>
      <c r="N126" s="6">
        <v>1</v>
      </c>
      <c r="O126" s="5"/>
      <c r="P126" s="8">
        <v>8</v>
      </c>
      <c r="Q126" s="6">
        <v>2</v>
      </c>
      <c r="R126" s="5"/>
      <c r="S126" s="5"/>
      <c r="T126" s="6">
        <f t="shared" si="4"/>
        <v>12</v>
      </c>
      <c r="U126" s="113" t="s">
        <v>678</v>
      </c>
      <c r="V126" s="1"/>
      <c r="W126" s="1"/>
      <c r="X126" s="1"/>
      <c r="Y126" s="1"/>
      <c r="Z126" s="1"/>
    </row>
    <row r="127" spans="1:26" ht="39.75" customHeight="1">
      <c r="A127" s="171"/>
      <c r="B127" s="5" t="s">
        <v>228</v>
      </c>
      <c r="C127" s="5" t="s">
        <v>229</v>
      </c>
      <c r="D127" s="5">
        <v>120</v>
      </c>
      <c r="E127" s="5" t="s">
        <v>230</v>
      </c>
      <c r="F127" s="5"/>
      <c r="G127" s="5"/>
      <c r="H127" s="5"/>
      <c r="I127" s="5"/>
      <c r="J127" s="5"/>
      <c r="K127" s="8"/>
      <c r="L127" s="5"/>
      <c r="M127" s="8"/>
      <c r="N127" s="6"/>
      <c r="O127" s="5"/>
      <c r="P127" s="8"/>
      <c r="Q127" s="6"/>
      <c r="R127" s="8"/>
      <c r="S127" s="5"/>
      <c r="T127" s="6">
        <f t="shared" si="4"/>
        <v>0</v>
      </c>
      <c r="U127" s="9"/>
      <c r="V127" s="1"/>
      <c r="W127" s="1"/>
      <c r="X127" s="1"/>
      <c r="Y127" s="1"/>
      <c r="Z127" s="1"/>
    </row>
    <row r="128" spans="1:26" ht="39.75" customHeight="1">
      <c r="A128" s="171"/>
      <c r="B128" s="168" t="s">
        <v>231</v>
      </c>
      <c r="C128" s="168" t="s">
        <v>232</v>
      </c>
      <c r="D128" s="5">
        <v>121</v>
      </c>
      <c r="E128" s="5" t="s">
        <v>233</v>
      </c>
      <c r="F128" s="5"/>
      <c r="G128" s="5"/>
      <c r="H128" s="5"/>
      <c r="I128" s="6"/>
      <c r="J128" s="5"/>
      <c r="K128" s="5"/>
      <c r="L128" s="5"/>
      <c r="M128" s="5"/>
      <c r="N128" s="5"/>
      <c r="O128" s="5"/>
      <c r="P128" s="5"/>
      <c r="Q128" s="5"/>
      <c r="R128" s="5"/>
      <c r="S128" s="5"/>
      <c r="T128" s="6">
        <f t="shared" si="4"/>
        <v>0</v>
      </c>
      <c r="U128" s="10"/>
      <c r="V128" s="18"/>
      <c r="W128" s="1"/>
      <c r="X128" s="1"/>
      <c r="Y128" s="1"/>
      <c r="Z128" s="1"/>
    </row>
    <row r="129" spans="1:26" ht="39.75" customHeight="1">
      <c r="A129" s="171"/>
      <c r="B129" s="171"/>
      <c r="C129" s="171"/>
      <c r="D129" s="5">
        <v>122</v>
      </c>
      <c r="E129" s="5" t="s">
        <v>234</v>
      </c>
      <c r="F129" s="5"/>
      <c r="G129" s="5"/>
      <c r="H129" s="5"/>
      <c r="I129" s="5"/>
      <c r="J129" s="5"/>
      <c r="K129" s="5"/>
      <c r="L129" s="5"/>
      <c r="M129" s="5"/>
      <c r="N129" s="5"/>
      <c r="O129" s="5"/>
      <c r="P129" s="5"/>
      <c r="Q129" s="5"/>
      <c r="R129" s="5"/>
      <c r="S129" s="5"/>
      <c r="T129" s="6">
        <f t="shared" si="4"/>
        <v>0</v>
      </c>
      <c r="U129" s="10"/>
      <c r="V129" s="18"/>
      <c r="W129" s="1"/>
      <c r="X129" s="1"/>
      <c r="Y129" s="1"/>
      <c r="Z129" s="1"/>
    </row>
    <row r="130" spans="1:26" ht="39.75" customHeight="1">
      <c r="A130" s="171"/>
      <c r="B130" s="169"/>
      <c r="C130" s="169"/>
      <c r="D130" s="5">
        <v>123</v>
      </c>
      <c r="E130" s="5" t="s">
        <v>235</v>
      </c>
      <c r="F130" s="5"/>
      <c r="G130" s="5"/>
      <c r="H130" s="5"/>
      <c r="I130" s="5"/>
      <c r="J130" s="5"/>
      <c r="K130" s="5"/>
      <c r="L130" s="5"/>
      <c r="M130" s="5"/>
      <c r="N130" s="5"/>
      <c r="O130" s="5"/>
      <c r="P130" s="8"/>
      <c r="Q130" s="6">
        <v>2</v>
      </c>
      <c r="R130" s="5"/>
      <c r="S130" s="5"/>
      <c r="T130" s="6">
        <f t="shared" si="4"/>
        <v>2</v>
      </c>
      <c r="U130" s="10" t="s">
        <v>236</v>
      </c>
      <c r="V130" s="18"/>
      <c r="W130" s="1"/>
      <c r="X130" s="1"/>
      <c r="Y130" s="1"/>
      <c r="Z130" s="1"/>
    </row>
    <row r="131" spans="1:26" ht="39.75" customHeight="1">
      <c r="A131" s="171"/>
      <c r="B131" s="168" t="s">
        <v>237</v>
      </c>
      <c r="C131" s="168" t="s">
        <v>238</v>
      </c>
      <c r="D131" s="5">
        <v>124</v>
      </c>
      <c r="E131" s="5" t="s">
        <v>239</v>
      </c>
      <c r="F131" s="5"/>
      <c r="G131" s="5"/>
      <c r="H131" s="8"/>
      <c r="I131" s="5"/>
      <c r="J131" s="5"/>
      <c r="K131" s="5"/>
      <c r="L131" s="5"/>
      <c r="M131" s="5"/>
      <c r="N131" s="5"/>
      <c r="O131" s="5"/>
      <c r="P131" s="5"/>
      <c r="Q131" s="8">
        <v>2</v>
      </c>
      <c r="R131" s="5"/>
      <c r="S131" s="5"/>
      <c r="T131" s="6">
        <f t="shared" si="4"/>
        <v>2</v>
      </c>
      <c r="U131" s="10" t="s">
        <v>240</v>
      </c>
      <c r="V131" s="1"/>
      <c r="W131" s="1"/>
      <c r="X131" s="1"/>
      <c r="Y131" s="1"/>
      <c r="Z131" s="1"/>
    </row>
    <row r="132" spans="1:26" ht="39.75" customHeight="1">
      <c r="A132" s="171"/>
      <c r="B132" s="169"/>
      <c r="C132" s="169"/>
      <c r="D132" s="5">
        <v>125</v>
      </c>
      <c r="E132" s="5" t="s">
        <v>241</v>
      </c>
      <c r="F132" s="5"/>
      <c r="G132" s="5"/>
      <c r="H132" s="8"/>
      <c r="I132" s="5"/>
      <c r="J132" s="5"/>
      <c r="K132" s="5"/>
      <c r="L132" s="5"/>
      <c r="M132" s="5"/>
      <c r="N132" s="5"/>
      <c r="O132" s="5"/>
      <c r="P132" s="5"/>
      <c r="Q132" s="8"/>
      <c r="R132" s="5"/>
      <c r="S132" s="5"/>
      <c r="T132" s="6">
        <f t="shared" si="4"/>
        <v>0</v>
      </c>
      <c r="U132" s="9"/>
      <c r="V132" s="1"/>
      <c r="W132" s="1"/>
      <c r="X132" s="1"/>
      <c r="Y132" s="1"/>
      <c r="Z132" s="1"/>
    </row>
    <row r="133" spans="1:26" ht="39.75" customHeight="1">
      <c r="A133" s="171"/>
      <c r="B133" s="5" t="s">
        <v>242</v>
      </c>
      <c r="C133" s="5" t="s">
        <v>243</v>
      </c>
      <c r="D133" s="5">
        <v>126</v>
      </c>
      <c r="E133" s="5" t="s">
        <v>167</v>
      </c>
      <c r="F133" s="5"/>
      <c r="G133" s="5"/>
      <c r="H133" s="5"/>
      <c r="I133" s="5"/>
      <c r="J133" s="5"/>
      <c r="K133" s="5"/>
      <c r="L133" s="5"/>
      <c r="M133" s="5"/>
      <c r="N133" s="5"/>
      <c r="O133" s="5"/>
      <c r="P133" s="5"/>
      <c r="Q133" s="5"/>
      <c r="R133" s="5"/>
      <c r="S133" s="5"/>
      <c r="T133" s="6">
        <f t="shared" si="4"/>
        <v>0</v>
      </c>
      <c r="U133" s="9"/>
      <c r="V133" s="1"/>
      <c r="W133" s="1"/>
      <c r="X133" s="1"/>
      <c r="Y133" s="1"/>
      <c r="Z133" s="1"/>
    </row>
    <row r="134" spans="1:26" ht="39.75" customHeight="1">
      <c r="A134" s="169"/>
      <c r="B134" s="176" t="s">
        <v>244</v>
      </c>
      <c r="C134" s="177"/>
      <c r="D134" s="178"/>
      <c r="E134" s="51"/>
      <c r="F134" s="51">
        <f t="shared" ref="F134:S134" si="8">SUM(F94:F133)</f>
        <v>0</v>
      </c>
      <c r="G134" s="51">
        <f t="shared" si="8"/>
        <v>0</v>
      </c>
      <c r="H134" s="51">
        <f t="shared" si="8"/>
        <v>0</v>
      </c>
      <c r="I134" s="51">
        <f t="shared" si="8"/>
        <v>10.3</v>
      </c>
      <c r="J134" s="51">
        <f t="shared" si="8"/>
        <v>0</v>
      </c>
      <c r="K134" s="52">
        <f t="shared" si="8"/>
        <v>4</v>
      </c>
      <c r="L134" s="51">
        <f t="shared" si="8"/>
        <v>0</v>
      </c>
      <c r="M134" s="51">
        <f t="shared" si="8"/>
        <v>13.4</v>
      </c>
      <c r="N134" s="51">
        <f t="shared" si="8"/>
        <v>14.3</v>
      </c>
      <c r="O134" s="51">
        <f t="shared" si="8"/>
        <v>5.5979999999999999</v>
      </c>
      <c r="P134" s="51">
        <f t="shared" si="8"/>
        <v>48.1</v>
      </c>
      <c r="Q134" s="51">
        <f t="shared" si="8"/>
        <v>31.2</v>
      </c>
      <c r="R134" s="51">
        <f t="shared" si="8"/>
        <v>29.55</v>
      </c>
      <c r="S134" s="51">
        <f t="shared" si="8"/>
        <v>0</v>
      </c>
      <c r="T134" s="52">
        <f t="shared" ref="T134:T197" si="9">SUM(F134:S134)</f>
        <v>156.44800000000001</v>
      </c>
      <c r="U134" s="9"/>
      <c r="V134" s="1"/>
      <c r="W134" s="1"/>
      <c r="X134" s="1"/>
      <c r="Y134" s="1"/>
      <c r="Z134" s="1"/>
    </row>
    <row r="135" spans="1:26" ht="39.75" customHeight="1">
      <c r="A135" s="175" t="s">
        <v>245</v>
      </c>
      <c r="B135" s="168" t="s">
        <v>246</v>
      </c>
      <c r="C135" s="168" t="s">
        <v>247</v>
      </c>
      <c r="D135" s="5">
        <v>127</v>
      </c>
      <c r="E135" s="5" t="s">
        <v>248</v>
      </c>
      <c r="F135" s="98"/>
      <c r="G135" s="98"/>
      <c r="H135" s="98"/>
      <c r="I135" s="98"/>
      <c r="J135" s="98"/>
      <c r="K135" s="98"/>
      <c r="L135" s="98"/>
      <c r="M135" s="98"/>
      <c r="N135" s="98"/>
      <c r="O135" s="98"/>
      <c r="P135" s="98"/>
      <c r="Q135" s="98"/>
      <c r="R135" s="98"/>
      <c r="S135" s="98"/>
      <c r="T135" s="99">
        <f t="shared" si="9"/>
        <v>0</v>
      </c>
      <c r="U135" s="100"/>
      <c r="V135" s="1"/>
      <c r="W135" s="1"/>
      <c r="X135" s="1"/>
      <c r="Y135" s="1"/>
      <c r="Z135" s="1"/>
    </row>
    <row r="136" spans="1:26" ht="39.75" customHeight="1">
      <c r="A136" s="171"/>
      <c r="B136" s="169"/>
      <c r="C136" s="169"/>
      <c r="D136" s="5">
        <v>128</v>
      </c>
      <c r="E136" s="5" t="s">
        <v>249</v>
      </c>
      <c r="F136" s="98"/>
      <c r="G136" s="98"/>
      <c r="H136" s="98"/>
      <c r="I136" s="98"/>
      <c r="J136" s="98"/>
      <c r="K136" s="99"/>
      <c r="L136" s="98"/>
      <c r="M136" s="98"/>
      <c r="N136" s="99"/>
      <c r="O136" s="98"/>
      <c r="P136" s="99"/>
      <c r="Q136" s="99">
        <f>(3*0.75)+(3*0.1)</f>
        <v>2.5499999999999998</v>
      </c>
      <c r="R136" s="98"/>
      <c r="S136" s="98"/>
      <c r="T136" s="99">
        <f t="shared" si="9"/>
        <v>2.5499999999999998</v>
      </c>
      <c r="U136" s="101" t="s">
        <v>662</v>
      </c>
      <c r="V136" s="1"/>
      <c r="W136" s="1"/>
      <c r="X136" s="1"/>
      <c r="Y136" s="1"/>
      <c r="Z136" s="1"/>
    </row>
    <row r="137" spans="1:26" ht="39.75" customHeight="1">
      <c r="A137" s="171"/>
      <c r="B137" s="28"/>
      <c r="C137" s="28"/>
      <c r="D137" s="5">
        <v>129</v>
      </c>
      <c r="E137" s="5" t="s">
        <v>250</v>
      </c>
      <c r="F137" s="98"/>
      <c r="G137" s="98"/>
      <c r="H137" s="98"/>
      <c r="I137" s="98"/>
      <c r="J137" s="98"/>
      <c r="K137" s="98"/>
      <c r="L137" s="98"/>
      <c r="M137" s="98"/>
      <c r="N137" s="98"/>
      <c r="O137" s="98"/>
      <c r="P137" s="98"/>
      <c r="Q137" s="98"/>
      <c r="R137" s="98"/>
      <c r="S137" s="98"/>
      <c r="T137" s="99">
        <f t="shared" si="9"/>
        <v>0</v>
      </c>
      <c r="U137" s="100"/>
      <c r="V137" s="1"/>
      <c r="W137" s="1"/>
      <c r="X137" s="1"/>
      <c r="Y137" s="1"/>
      <c r="Z137" s="1"/>
    </row>
    <row r="138" spans="1:26" ht="39.75" customHeight="1">
      <c r="A138" s="171"/>
      <c r="B138" s="168" t="s">
        <v>251</v>
      </c>
      <c r="C138" s="168" t="s">
        <v>252</v>
      </c>
      <c r="D138" s="5">
        <v>130</v>
      </c>
      <c r="E138" s="5" t="s">
        <v>253</v>
      </c>
      <c r="F138" s="98"/>
      <c r="G138" s="98"/>
      <c r="H138" s="98"/>
      <c r="I138" s="98"/>
      <c r="J138" s="98"/>
      <c r="K138" s="98"/>
      <c r="L138" s="98"/>
      <c r="M138" s="98"/>
      <c r="N138" s="98"/>
      <c r="O138" s="98"/>
      <c r="P138" s="98"/>
      <c r="Q138" s="98"/>
      <c r="R138" s="98"/>
      <c r="S138" s="98"/>
      <c r="T138" s="99">
        <f t="shared" si="9"/>
        <v>0</v>
      </c>
      <c r="U138" s="100"/>
      <c r="V138" s="1"/>
      <c r="W138" s="1"/>
      <c r="X138" s="1"/>
      <c r="Y138" s="1"/>
      <c r="Z138" s="1"/>
    </row>
    <row r="139" spans="1:26" ht="39.75" customHeight="1">
      <c r="A139" s="171"/>
      <c r="B139" s="171"/>
      <c r="C139" s="171"/>
      <c r="D139" s="5">
        <v>131</v>
      </c>
      <c r="E139" s="5" t="s">
        <v>254</v>
      </c>
      <c r="F139" s="98"/>
      <c r="G139" s="98"/>
      <c r="H139" s="98"/>
      <c r="I139" s="98"/>
      <c r="J139" s="98"/>
      <c r="K139" s="98"/>
      <c r="L139" s="98"/>
      <c r="M139" s="98"/>
      <c r="N139" s="99">
        <f>0.01*27</f>
        <v>0.27</v>
      </c>
      <c r="O139" s="98"/>
      <c r="P139" s="98"/>
      <c r="Q139" s="98"/>
      <c r="R139" s="98"/>
      <c r="S139" s="98"/>
      <c r="T139" s="99">
        <f t="shared" si="9"/>
        <v>0.27</v>
      </c>
      <c r="U139" s="102" t="s">
        <v>667</v>
      </c>
      <c r="V139" s="1"/>
      <c r="W139" s="1"/>
      <c r="X139" s="1"/>
      <c r="Y139" s="1"/>
      <c r="Z139" s="1"/>
    </row>
    <row r="140" spans="1:26" ht="39.75" customHeight="1">
      <c r="A140" s="171"/>
      <c r="B140" s="171"/>
      <c r="C140" s="171"/>
      <c r="D140" s="5">
        <v>132</v>
      </c>
      <c r="E140" s="5" t="s">
        <v>255</v>
      </c>
      <c r="F140" s="98"/>
      <c r="G140" s="98"/>
      <c r="H140" s="98"/>
      <c r="I140" s="98"/>
      <c r="J140" s="98"/>
      <c r="K140" s="98"/>
      <c r="L140" s="98"/>
      <c r="M140" s="98"/>
      <c r="N140" s="98"/>
      <c r="O140" s="98"/>
      <c r="P140" s="98"/>
      <c r="Q140" s="98"/>
      <c r="R140" s="98"/>
      <c r="S140" s="98"/>
      <c r="T140" s="99">
        <f t="shared" si="9"/>
        <v>0</v>
      </c>
      <c r="U140" s="100"/>
      <c r="V140" s="1"/>
      <c r="W140" s="1"/>
      <c r="X140" s="1"/>
      <c r="Y140" s="1"/>
      <c r="Z140" s="1"/>
    </row>
    <row r="141" spans="1:26" ht="39.75" customHeight="1">
      <c r="A141" s="171"/>
      <c r="B141" s="171"/>
      <c r="C141" s="171"/>
      <c r="D141" s="5">
        <v>133</v>
      </c>
      <c r="E141" s="5" t="s">
        <v>256</v>
      </c>
      <c r="F141" s="98"/>
      <c r="G141" s="98"/>
      <c r="H141" s="98"/>
      <c r="I141" s="98"/>
      <c r="J141" s="98"/>
      <c r="K141" s="98"/>
      <c r="L141" s="98"/>
      <c r="M141" s="98"/>
      <c r="N141" s="98"/>
      <c r="O141" s="98"/>
      <c r="P141" s="98"/>
      <c r="Q141" s="98"/>
      <c r="R141" s="98"/>
      <c r="S141" s="98"/>
      <c r="T141" s="99">
        <f t="shared" si="9"/>
        <v>0</v>
      </c>
      <c r="U141" s="100"/>
      <c r="V141" s="1"/>
      <c r="W141" s="1"/>
      <c r="X141" s="1"/>
      <c r="Y141" s="1"/>
      <c r="Z141" s="1"/>
    </row>
    <row r="142" spans="1:26" ht="39.75" customHeight="1">
      <c r="A142" s="171"/>
      <c r="B142" s="171"/>
      <c r="C142" s="171"/>
      <c r="D142" s="5">
        <v>134</v>
      </c>
      <c r="E142" s="5" t="s">
        <v>257</v>
      </c>
      <c r="F142" s="98"/>
      <c r="G142" s="98"/>
      <c r="H142" s="98"/>
      <c r="I142" s="98"/>
      <c r="J142" s="98"/>
      <c r="K142" s="98"/>
      <c r="L142" s="98"/>
      <c r="M142" s="98"/>
      <c r="N142" s="98"/>
      <c r="O142" s="98"/>
      <c r="P142" s="99">
        <f>(15*0.005*12)+(15*0.0025*12)+(3*4*0.1)</f>
        <v>2.5499999999999998</v>
      </c>
      <c r="Q142" s="98"/>
      <c r="R142" s="98"/>
      <c r="S142" s="98"/>
      <c r="T142" s="99">
        <f t="shared" si="9"/>
        <v>2.5499999999999998</v>
      </c>
      <c r="U142" s="100" t="s">
        <v>258</v>
      </c>
      <c r="V142" s="1"/>
      <c r="W142" s="1"/>
      <c r="X142" s="1"/>
      <c r="Y142" s="1"/>
      <c r="Z142" s="1"/>
    </row>
    <row r="143" spans="1:26" ht="39.75" customHeight="1">
      <c r="A143" s="171"/>
      <c r="B143" s="171"/>
      <c r="C143" s="171"/>
      <c r="D143" s="5">
        <v>135</v>
      </c>
      <c r="E143" s="5" t="s">
        <v>259</v>
      </c>
      <c r="F143" s="98"/>
      <c r="G143" s="98"/>
      <c r="H143" s="98"/>
      <c r="I143" s="98"/>
      <c r="J143" s="98"/>
      <c r="K143" s="98"/>
      <c r="L143" s="98"/>
      <c r="M143" s="98"/>
      <c r="N143" s="98"/>
      <c r="O143" s="98"/>
      <c r="P143" s="98"/>
      <c r="Q143" s="98"/>
      <c r="R143" s="98"/>
      <c r="S143" s="98"/>
      <c r="T143" s="99">
        <f t="shared" si="9"/>
        <v>0</v>
      </c>
      <c r="U143" s="100"/>
      <c r="V143" s="1"/>
      <c r="W143" s="1"/>
      <c r="X143" s="1"/>
      <c r="Y143" s="1"/>
      <c r="Z143" s="1"/>
    </row>
    <row r="144" spans="1:26" ht="39.75" customHeight="1">
      <c r="A144" s="171"/>
      <c r="B144" s="169"/>
      <c r="C144" s="169"/>
      <c r="D144" s="5">
        <v>136</v>
      </c>
      <c r="E144" s="5" t="s">
        <v>260</v>
      </c>
      <c r="F144" s="98"/>
      <c r="G144" s="98"/>
      <c r="H144" s="98"/>
      <c r="I144" s="98"/>
      <c r="J144" s="98"/>
      <c r="K144" s="98"/>
      <c r="L144" s="98"/>
      <c r="M144" s="98"/>
      <c r="N144" s="98"/>
      <c r="O144" s="98"/>
      <c r="P144" s="99"/>
      <c r="Q144" s="98"/>
      <c r="R144" s="98"/>
      <c r="S144" s="98"/>
      <c r="T144" s="99">
        <f t="shared" si="9"/>
        <v>0</v>
      </c>
      <c r="U144" s="101"/>
      <c r="V144" s="1"/>
      <c r="W144" s="1"/>
      <c r="X144" s="1"/>
      <c r="Y144" s="1"/>
      <c r="Z144" s="1"/>
    </row>
    <row r="145" spans="1:26" ht="39.75" customHeight="1">
      <c r="A145" s="171"/>
      <c r="B145" s="168" t="s">
        <v>261</v>
      </c>
      <c r="C145" s="168" t="s">
        <v>262</v>
      </c>
      <c r="D145" s="5">
        <v>137</v>
      </c>
      <c r="E145" s="5" t="s">
        <v>263</v>
      </c>
      <c r="F145" s="98"/>
      <c r="G145" s="98"/>
      <c r="H145" s="98"/>
      <c r="I145" s="98"/>
      <c r="J145" s="98"/>
      <c r="K145" s="98"/>
      <c r="L145" s="98"/>
      <c r="M145" s="99"/>
      <c r="N145" s="98"/>
      <c r="O145" s="98"/>
      <c r="P145" s="99">
        <f>0.24*3</f>
        <v>0.72</v>
      </c>
      <c r="Q145" s="98"/>
      <c r="R145" s="98"/>
      <c r="S145" s="98"/>
      <c r="T145" s="99">
        <f t="shared" si="9"/>
        <v>0.72</v>
      </c>
      <c r="U145" s="101" t="s">
        <v>264</v>
      </c>
      <c r="V145" s="1"/>
      <c r="W145" s="1"/>
      <c r="X145" s="1"/>
      <c r="Y145" s="1"/>
      <c r="Z145" s="1"/>
    </row>
    <row r="146" spans="1:26" ht="39.75" customHeight="1">
      <c r="A146" s="171"/>
      <c r="B146" s="169"/>
      <c r="C146" s="169"/>
      <c r="D146" s="5">
        <v>138</v>
      </c>
      <c r="E146" s="5" t="s">
        <v>265</v>
      </c>
      <c r="F146" s="103"/>
      <c r="G146" s="103"/>
      <c r="H146" s="104"/>
      <c r="I146" s="104"/>
      <c r="J146" s="103"/>
      <c r="K146" s="104"/>
      <c r="L146" s="103"/>
      <c r="M146" s="104"/>
      <c r="N146" s="103"/>
      <c r="O146" s="103"/>
      <c r="P146" s="103"/>
      <c r="Q146" s="103"/>
      <c r="R146" s="103"/>
      <c r="S146" s="103"/>
      <c r="T146" s="104">
        <f t="shared" si="9"/>
        <v>0</v>
      </c>
      <c r="U146" s="105"/>
      <c r="V146" s="1"/>
      <c r="W146" s="1"/>
      <c r="X146" s="1"/>
      <c r="Y146" s="1"/>
      <c r="Z146" s="1"/>
    </row>
    <row r="147" spans="1:26" ht="39.75" customHeight="1">
      <c r="A147" s="171"/>
      <c r="B147" s="168" t="s">
        <v>266</v>
      </c>
      <c r="C147" s="168" t="s">
        <v>267</v>
      </c>
      <c r="D147" s="5">
        <v>139</v>
      </c>
      <c r="E147" s="5" t="s">
        <v>268</v>
      </c>
      <c r="F147" s="98"/>
      <c r="G147" s="98"/>
      <c r="H147" s="98"/>
      <c r="I147" s="98"/>
      <c r="J147" s="98"/>
      <c r="K147" s="98"/>
      <c r="L147" s="98"/>
      <c r="M147" s="98"/>
      <c r="N147" s="99"/>
      <c r="O147" s="98"/>
      <c r="P147" s="99">
        <v>3</v>
      </c>
      <c r="Q147" s="98"/>
      <c r="R147" s="99"/>
      <c r="S147" s="98"/>
      <c r="T147" s="99">
        <f t="shared" si="9"/>
        <v>3</v>
      </c>
      <c r="U147" s="101" t="s">
        <v>668</v>
      </c>
      <c r="V147" s="1"/>
      <c r="W147" s="1"/>
      <c r="X147" s="1"/>
      <c r="Y147" s="1"/>
      <c r="Z147" s="1"/>
    </row>
    <row r="148" spans="1:26" ht="39.75" customHeight="1">
      <c r="A148" s="171"/>
      <c r="B148" s="171"/>
      <c r="C148" s="171"/>
      <c r="D148" s="5">
        <v>140</v>
      </c>
      <c r="E148" s="5" t="s">
        <v>269</v>
      </c>
      <c r="F148" s="98"/>
      <c r="G148" s="98"/>
      <c r="H148" s="98"/>
      <c r="I148" s="98"/>
      <c r="J148" s="98"/>
      <c r="K148" s="98"/>
      <c r="L148" s="98"/>
      <c r="M148" s="98"/>
      <c r="N148" s="98"/>
      <c r="O148" s="98"/>
      <c r="P148" s="99">
        <f>3+(3*0.055)+(0.08*3)</f>
        <v>3.4050000000000002</v>
      </c>
      <c r="Q148" s="98"/>
      <c r="R148" s="98"/>
      <c r="S148" s="98"/>
      <c r="T148" s="99">
        <f t="shared" si="9"/>
        <v>3.4050000000000002</v>
      </c>
      <c r="U148" s="101" t="s">
        <v>666</v>
      </c>
      <c r="V148" s="1"/>
      <c r="W148" s="1"/>
      <c r="X148" s="1"/>
      <c r="Y148" s="1"/>
      <c r="Z148" s="1"/>
    </row>
    <row r="149" spans="1:26" ht="39.75" customHeight="1">
      <c r="A149" s="171"/>
      <c r="B149" s="169"/>
      <c r="C149" s="169"/>
      <c r="D149" s="5">
        <v>141</v>
      </c>
      <c r="E149" s="5" t="s">
        <v>270</v>
      </c>
      <c r="F149" s="98"/>
      <c r="G149" s="98"/>
      <c r="H149" s="98"/>
      <c r="I149" s="98"/>
      <c r="J149" s="98"/>
      <c r="K149" s="98"/>
      <c r="L149" s="98"/>
      <c r="M149" s="98"/>
      <c r="N149" s="98"/>
      <c r="O149" s="98"/>
      <c r="P149" s="98"/>
      <c r="Q149" s="98"/>
      <c r="R149" s="98"/>
      <c r="S149" s="98"/>
      <c r="T149" s="99">
        <f t="shared" si="9"/>
        <v>0</v>
      </c>
      <c r="U149" s="100"/>
      <c r="V149" s="1"/>
      <c r="W149" s="1"/>
      <c r="X149" s="1"/>
      <c r="Y149" s="1"/>
      <c r="Z149" s="1"/>
    </row>
    <row r="150" spans="1:26" ht="39.75" customHeight="1">
      <c r="A150" s="171"/>
      <c r="B150" s="168" t="s">
        <v>271</v>
      </c>
      <c r="C150" s="168" t="s">
        <v>272</v>
      </c>
      <c r="D150" s="5">
        <v>142</v>
      </c>
      <c r="E150" s="5" t="s">
        <v>273</v>
      </c>
      <c r="F150" s="98"/>
      <c r="G150" s="98"/>
      <c r="H150" s="98"/>
      <c r="I150" s="98"/>
      <c r="J150" s="98"/>
      <c r="K150" s="98"/>
      <c r="L150" s="98"/>
      <c r="M150" s="98"/>
      <c r="N150" s="98"/>
      <c r="O150" s="98"/>
      <c r="P150" s="98"/>
      <c r="Q150" s="98"/>
      <c r="R150" s="98">
        <v>169.96</v>
      </c>
      <c r="S150" s="98"/>
      <c r="T150" s="99">
        <f t="shared" si="9"/>
        <v>169.96</v>
      </c>
      <c r="U150" s="100"/>
      <c r="V150" s="1"/>
      <c r="W150" s="1"/>
      <c r="X150" s="1"/>
      <c r="Y150" s="1"/>
      <c r="Z150" s="1"/>
    </row>
    <row r="151" spans="1:26" ht="39.75" customHeight="1">
      <c r="A151" s="171"/>
      <c r="B151" s="171"/>
      <c r="C151" s="171"/>
      <c r="D151" s="5">
        <v>143</v>
      </c>
      <c r="E151" s="5" t="s">
        <v>274</v>
      </c>
      <c r="F151" s="98"/>
      <c r="G151" s="98"/>
      <c r="H151" s="98"/>
      <c r="I151" s="98"/>
      <c r="J151" s="98"/>
      <c r="K151" s="98"/>
      <c r="L151" s="98"/>
      <c r="M151" s="98"/>
      <c r="N151" s="98"/>
      <c r="O151" s="98"/>
      <c r="P151" s="98"/>
      <c r="Q151" s="98"/>
      <c r="R151" s="98"/>
      <c r="S151" s="98"/>
      <c r="T151" s="99">
        <f t="shared" si="9"/>
        <v>0</v>
      </c>
      <c r="U151" s="100"/>
      <c r="V151" s="1"/>
      <c r="W151" s="1"/>
      <c r="X151" s="1"/>
      <c r="Y151" s="1"/>
      <c r="Z151" s="1"/>
    </row>
    <row r="152" spans="1:26" ht="39.75" customHeight="1">
      <c r="A152" s="171"/>
      <c r="B152" s="171"/>
      <c r="C152" s="171"/>
      <c r="D152" s="5">
        <v>144</v>
      </c>
      <c r="E152" s="5" t="s">
        <v>275</v>
      </c>
      <c r="F152" s="98"/>
      <c r="G152" s="98"/>
      <c r="H152" s="98"/>
      <c r="I152" s="98"/>
      <c r="J152" s="98"/>
      <c r="K152" s="98"/>
      <c r="L152" s="98"/>
      <c r="M152" s="98"/>
      <c r="N152" s="98"/>
      <c r="O152" s="98"/>
      <c r="P152" s="98"/>
      <c r="Q152" s="98"/>
      <c r="R152" s="98"/>
      <c r="S152" s="98"/>
      <c r="T152" s="99">
        <f t="shared" si="9"/>
        <v>0</v>
      </c>
      <c r="U152" s="100"/>
      <c r="V152" s="1"/>
      <c r="W152" s="1"/>
      <c r="X152" s="1"/>
      <c r="Y152" s="1"/>
      <c r="Z152" s="1"/>
    </row>
    <row r="153" spans="1:26" ht="39.75" customHeight="1">
      <c r="A153" s="171"/>
      <c r="B153" s="169"/>
      <c r="C153" s="169"/>
      <c r="D153" s="5">
        <v>145</v>
      </c>
      <c r="E153" s="5" t="s">
        <v>276</v>
      </c>
      <c r="F153" s="98"/>
      <c r="G153" s="98"/>
      <c r="H153" s="98"/>
      <c r="I153" s="98"/>
      <c r="J153" s="98"/>
      <c r="K153" s="98"/>
      <c r="L153" s="98"/>
      <c r="M153" s="98"/>
      <c r="N153" s="98"/>
      <c r="O153" s="98"/>
      <c r="P153" s="98"/>
      <c r="Q153" s="98"/>
      <c r="R153" s="98"/>
      <c r="S153" s="98"/>
      <c r="T153" s="99">
        <f t="shared" si="9"/>
        <v>0</v>
      </c>
      <c r="U153" s="100"/>
      <c r="V153" s="1"/>
      <c r="W153" s="1"/>
      <c r="X153" s="1"/>
      <c r="Y153" s="1"/>
      <c r="Z153" s="1"/>
    </row>
    <row r="154" spans="1:26" ht="39.75" customHeight="1">
      <c r="A154" s="171"/>
      <c r="B154" s="5" t="s">
        <v>277</v>
      </c>
      <c r="C154" s="5" t="s">
        <v>278</v>
      </c>
      <c r="D154" s="5">
        <v>146</v>
      </c>
      <c r="E154" s="5" t="s">
        <v>279</v>
      </c>
      <c r="F154" s="98"/>
      <c r="G154" s="98"/>
      <c r="H154" s="98"/>
      <c r="I154" s="98"/>
      <c r="J154" s="98"/>
      <c r="K154" s="98"/>
      <c r="L154" s="98"/>
      <c r="M154" s="98"/>
      <c r="N154" s="98"/>
      <c r="O154" s="98"/>
      <c r="P154" s="98"/>
      <c r="Q154" s="98"/>
      <c r="R154" s="99">
        <v>5.4</v>
      </c>
      <c r="S154" s="98"/>
      <c r="T154" s="99">
        <f t="shared" si="9"/>
        <v>5.4</v>
      </c>
      <c r="U154" s="102" t="s">
        <v>280</v>
      </c>
      <c r="V154" s="1"/>
      <c r="W154" s="1"/>
      <c r="X154" s="1"/>
      <c r="Y154" s="1"/>
      <c r="Z154" s="1"/>
    </row>
    <row r="155" spans="1:26" ht="39.75" customHeight="1">
      <c r="A155" s="171"/>
      <c r="B155" s="5" t="s">
        <v>281</v>
      </c>
      <c r="C155" s="5" t="s">
        <v>282</v>
      </c>
      <c r="D155" s="5">
        <v>147</v>
      </c>
      <c r="E155" s="5" t="s">
        <v>149</v>
      </c>
      <c r="F155" s="98"/>
      <c r="G155" s="98"/>
      <c r="H155" s="98"/>
      <c r="I155" s="98"/>
      <c r="J155" s="98"/>
      <c r="K155" s="98"/>
      <c r="L155" s="98"/>
      <c r="M155" s="98"/>
      <c r="N155" s="98"/>
      <c r="O155" s="98"/>
      <c r="P155" s="98"/>
      <c r="Q155" s="98"/>
      <c r="R155" s="98"/>
      <c r="S155" s="98"/>
      <c r="T155" s="99">
        <f t="shared" si="9"/>
        <v>0</v>
      </c>
      <c r="U155" s="100"/>
      <c r="V155" s="1"/>
      <c r="W155" s="1"/>
      <c r="X155" s="1"/>
      <c r="Y155" s="1"/>
      <c r="Z155" s="1"/>
    </row>
    <row r="156" spans="1:26" ht="39.75" customHeight="1">
      <c r="A156" s="171"/>
      <c r="B156" s="5" t="s">
        <v>283</v>
      </c>
      <c r="C156" s="5" t="s">
        <v>284</v>
      </c>
      <c r="D156" s="5">
        <v>148</v>
      </c>
      <c r="E156" s="5" t="s">
        <v>285</v>
      </c>
      <c r="F156" s="98"/>
      <c r="G156" s="98"/>
      <c r="H156" s="98"/>
      <c r="I156" s="98"/>
      <c r="J156" s="98"/>
      <c r="K156" s="98"/>
      <c r="L156" s="98"/>
      <c r="M156" s="98"/>
      <c r="N156" s="99"/>
      <c r="O156" s="98"/>
      <c r="P156" s="99"/>
      <c r="Q156" s="98"/>
      <c r="R156" s="98"/>
      <c r="S156" s="98"/>
      <c r="T156" s="99">
        <f t="shared" si="9"/>
        <v>0</v>
      </c>
      <c r="U156" s="101"/>
      <c r="V156" s="1"/>
      <c r="W156" s="1"/>
      <c r="X156" s="1"/>
      <c r="Y156" s="1"/>
      <c r="Z156" s="1"/>
    </row>
    <row r="157" spans="1:26" ht="39.75" customHeight="1">
      <c r="A157" s="171"/>
      <c r="B157" s="5" t="s">
        <v>286</v>
      </c>
      <c r="C157" s="5" t="s">
        <v>287</v>
      </c>
      <c r="D157" s="5">
        <v>149</v>
      </c>
      <c r="E157" s="5" t="s">
        <v>288</v>
      </c>
      <c r="F157" s="106"/>
      <c r="G157" s="106"/>
      <c r="H157" s="106"/>
      <c r="I157" s="106"/>
      <c r="J157" s="106"/>
      <c r="K157" s="106"/>
      <c r="L157" s="106"/>
      <c r="M157" s="106"/>
      <c r="N157" s="106"/>
      <c r="O157" s="106"/>
      <c r="P157" s="99">
        <f>(3*1.75)+(0.05*27)</f>
        <v>6.6</v>
      </c>
      <c r="Q157" s="106"/>
      <c r="R157" s="106"/>
      <c r="S157" s="106"/>
      <c r="T157" s="99">
        <f t="shared" si="9"/>
        <v>6.6</v>
      </c>
      <c r="U157" s="101"/>
      <c r="V157" s="1"/>
      <c r="W157" s="1"/>
      <c r="X157" s="1"/>
      <c r="Y157" s="1"/>
      <c r="Z157" s="1"/>
    </row>
    <row r="158" spans="1:26" ht="39.75" customHeight="1">
      <c r="A158" s="169"/>
      <c r="B158" s="176" t="s">
        <v>289</v>
      </c>
      <c r="C158" s="177"/>
      <c r="D158" s="178"/>
      <c r="E158" s="51"/>
      <c r="F158" s="51">
        <f t="shared" ref="F158:S158" si="10">SUM(F135:F157)</f>
        <v>0</v>
      </c>
      <c r="G158" s="51">
        <f t="shared" si="10"/>
        <v>0</v>
      </c>
      <c r="H158" s="51">
        <f t="shared" si="10"/>
        <v>0</v>
      </c>
      <c r="I158" s="51">
        <f t="shared" si="10"/>
        <v>0</v>
      </c>
      <c r="J158" s="51">
        <f t="shared" si="10"/>
        <v>0</v>
      </c>
      <c r="K158" s="51">
        <f t="shared" si="10"/>
        <v>0</v>
      </c>
      <c r="L158" s="51">
        <f t="shared" si="10"/>
        <v>0</v>
      </c>
      <c r="M158" s="51">
        <f t="shared" si="10"/>
        <v>0</v>
      </c>
      <c r="N158" s="51">
        <f t="shared" si="10"/>
        <v>0.27</v>
      </c>
      <c r="O158" s="51">
        <f t="shared" si="10"/>
        <v>0</v>
      </c>
      <c r="P158" s="51">
        <f t="shared" si="10"/>
        <v>16.274999999999999</v>
      </c>
      <c r="Q158" s="51">
        <f t="shared" si="10"/>
        <v>2.5499999999999998</v>
      </c>
      <c r="R158" s="51">
        <f t="shared" si="10"/>
        <v>175.36</v>
      </c>
      <c r="S158" s="51">
        <f t="shared" si="10"/>
        <v>0</v>
      </c>
      <c r="T158" s="52">
        <f t="shared" si="9"/>
        <v>194.45500000000001</v>
      </c>
      <c r="U158" s="9"/>
      <c r="V158" s="29"/>
      <c r="W158" s="29"/>
      <c r="X158" s="29"/>
      <c r="Y158" s="29"/>
      <c r="Z158" s="29"/>
    </row>
    <row r="159" spans="1:26" ht="39.75" customHeight="1">
      <c r="A159" s="175" t="s">
        <v>290</v>
      </c>
      <c r="B159" s="168" t="s">
        <v>291</v>
      </c>
      <c r="C159" s="168" t="s">
        <v>247</v>
      </c>
      <c r="D159" s="5">
        <v>150</v>
      </c>
      <c r="E159" s="5" t="s">
        <v>292</v>
      </c>
      <c r="F159" s="5"/>
      <c r="G159" s="8">
        <v>299.25</v>
      </c>
      <c r="H159" s="8">
        <v>399</v>
      </c>
      <c r="I159" s="5"/>
      <c r="J159" s="5"/>
      <c r="K159" s="5"/>
      <c r="L159" s="5"/>
      <c r="M159" s="5"/>
      <c r="N159" s="6">
        <v>2.5</v>
      </c>
      <c r="O159" s="5"/>
      <c r="P159" s="8"/>
      <c r="Q159" s="5"/>
      <c r="R159" s="5"/>
      <c r="S159" s="5"/>
      <c r="T159" s="6">
        <f t="shared" si="9"/>
        <v>700.75</v>
      </c>
      <c r="U159" s="62" t="s">
        <v>376</v>
      </c>
      <c r="V159" s="1"/>
      <c r="W159" s="1"/>
      <c r="X159" s="1"/>
      <c r="Y159" s="1"/>
      <c r="Z159" s="1"/>
    </row>
    <row r="160" spans="1:26" ht="64.5" customHeight="1">
      <c r="A160" s="171"/>
      <c r="B160" s="171"/>
      <c r="C160" s="171"/>
      <c r="D160" s="5">
        <v>151</v>
      </c>
      <c r="E160" s="5" t="s">
        <v>294</v>
      </c>
      <c r="F160" s="5"/>
      <c r="G160" s="8"/>
      <c r="H160" s="8"/>
      <c r="I160" s="6"/>
      <c r="J160" s="5"/>
      <c r="K160" s="5"/>
      <c r="L160" s="5"/>
      <c r="M160" s="5"/>
      <c r="N160" s="6"/>
      <c r="O160" s="8"/>
      <c r="P160" s="8"/>
      <c r="Q160" s="6"/>
      <c r="R160" s="8">
        <v>6</v>
      </c>
      <c r="S160" s="5"/>
      <c r="T160" s="6">
        <f t="shared" si="9"/>
        <v>6</v>
      </c>
      <c r="U160" s="9" t="s">
        <v>640</v>
      </c>
      <c r="V160" s="1"/>
      <c r="W160" s="1"/>
      <c r="X160" s="1"/>
      <c r="Y160" s="1"/>
      <c r="Z160" s="1"/>
    </row>
    <row r="161" spans="1:26" ht="101.25" customHeight="1">
      <c r="A161" s="171"/>
      <c r="B161" s="171"/>
      <c r="C161" s="171"/>
      <c r="D161" s="5">
        <v>152</v>
      </c>
      <c r="E161" s="5" t="s">
        <v>295</v>
      </c>
      <c r="F161" s="5"/>
      <c r="G161" s="5"/>
      <c r="H161" s="5"/>
      <c r="I161" s="5"/>
      <c r="J161" s="5"/>
      <c r="K161" s="5"/>
      <c r="L161" s="5"/>
      <c r="M161" s="5"/>
      <c r="N161" s="5"/>
      <c r="O161" s="5"/>
      <c r="P161" s="8">
        <v>15</v>
      </c>
      <c r="Q161" s="5"/>
      <c r="R161" s="5"/>
      <c r="S161" s="5"/>
      <c r="T161" s="6">
        <f t="shared" si="9"/>
        <v>15</v>
      </c>
      <c r="U161" s="9" t="s">
        <v>296</v>
      </c>
      <c r="V161" s="1"/>
      <c r="W161" s="1"/>
      <c r="X161" s="1"/>
      <c r="Y161" s="1"/>
      <c r="Z161" s="1"/>
    </row>
    <row r="162" spans="1:26" ht="39.75" customHeight="1">
      <c r="A162" s="171"/>
      <c r="B162" s="179"/>
      <c r="C162" s="179"/>
      <c r="D162" s="5">
        <v>153</v>
      </c>
      <c r="E162" s="5" t="s">
        <v>297</v>
      </c>
      <c r="F162" s="24"/>
      <c r="G162" s="24"/>
      <c r="H162" s="24"/>
      <c r="I162" s="24"/>
      <c r="J162" s="24"/>
      <c r="K162" s="24"/>
      <c r="L162" s="24"/>
      <c r="M162" s="24"/>
      <c r="N162" s="6"/>
      <c r="O162" s="24"/>
      <c r="P162" s="24"/>
      <c r="Q162" s="24"/>
      <c r="R162" s="24"/>
      <c r="S162" s="24"/>
      <c r="T162" s="6">
        <f t="shared" si="9"/>
        <v>0</v>
      </c>
      <c r="U162" s="9" t="s">
        <v>298</v>
      </c>
      <c r="V162" s="1"/>
      <c r="W162" s="1"/>
      <c r="X162" s="1"/>
      <c r="Y162" s="1"/>
      <c r="Z162" s="1"/>
    </row>
    <row r="163" spans="1:26" ht="39.75" customHeight="1">
      <c r="A163" s="171"/>
      <c r="B163" s="168" t="s">
        <v>299</v>
      </c>
      <c r="C163" s="168" t="s">
        <v>300</v>
      </c>
      <c r="D163" s="5">
        <v>154</v>
      </c>
      <c r="E163" s="5" t="s">
        <v>301</v>
      </c>
      <c r="F163" s="5"/>
      <c r="G163" s="5"/>
      <c r="H163" s="5"/>
      <c r="I163" s="5"/>
      <c r="J163" s="5"/>
      <c r="K163" s="6"/>
      <c r="L163" s="5"/>
      <c r="M163" s="6"/>
      <c r="N163" s="5"/>
      <c r="O163" s="5"/>
      <c r="P163" s="5"/>
      <c r="Q163" s="8"/>
      <c r="R163" s="5"/>
      <c r="S163" s="5"/>
      <c r="T163" s="6">
        <f t="shared" si="9"/>
        <v>0</v>
      </c>
      <c r="U163" s="9"/>
      <c r="V163" s="1"/>
      <c r="W163" s="1"/>
      <c r="X163" s="1"/>
      <c r="Y163" s="1"/>
      <c r="Z163" s="1"/>
    </row>
    <row r="164" spans="1:26" ht="39.75" customHeight="1">
      <c r="A164" s="171"/>
      <c r="B164" s="171"/>
      <c r="C164" s="171"/>
      <c r="D164" s="5">
        <v>155</v>
      </c>
      <c r="E164" s="5" t="s">
        <v>302</v>
      </c>
      <c r="F164" s="5"/>
      <c r="G164" s="5"/>
      <c r="H164" s="5"/>
      <c r="I164" s="5"/>
      <c r="J164" s="5"/>
      <c r="K164" s="5"/>
      <c r="L164" s="5"/>
      <c r="M164" s="5"/>
      <c r="N164" s="5"/>
      <c r="O164" s="5"/>
      <c r="P164" s="8"/>
      <c r="Q164" s="5"/>
      <c r="R164" s="5"/>
      <c r="S164" s="5"/>
      <c r="T164" s="6">
        <f t="shared" si="9"/>
        <v>0</v>
      </c>
      <c r="U164" s="9"/>
      <c r="V164" s="1"/>
      <c r="W164" s="1"/>
      <c r="X164" s="1"/>
      <c r="Y164" s="1"/>
      <c r="Z164" s="1"/>
    </row>
    <row r="165" spans="1:26" ht="39.75" customHeight="1">
      <c r="A165" s="171"/>
      <c r="B165" s="171"/>
      <c r="C165" s="171"/>
      <c r="D165" s="5">
        <v>156</v>
      </c>
      <c r="E165" s="5" t="s">
        <v>303</v>
      </c>
      <c r="F165" s="5"/>
      <c r="G165" s="5"/>
      <c r="H165" s="8"/>
      <c r="I165" s="6"/>
      <c r="J165" s="5"/>
      <c r="K165" s="5"/>
      <c r="L165" s="5"/>
      <c r="M165" s="5"/>
      <c r="N165" s="5"/>
      <c r="O165" s="5"/>
      <c r="P165" s="8">
        <v>1.6</v>
      </c>
      <c r="Q165" s="5"/>
      <c r="R165" s="5"/>
      <c r="S165" s="5"/>
      <c r="T165" s="6">
        <f t="shared" si="9"/>
        <v>1.6</v>
      </c>
      <c r="U165" s="9"/>
      <c r="V165" s="1"/>
      <c r="W165" s="1"/>
      <c r="X165" s="1"/>
      <c r="Y165" s="1"/>
      <c r="Z165" s="1"/>
    </row>
    <row r="166" spans="1:26" ht="39.75" customHeight="1">
      <c r="A166" s="171"/>
      <c r="B166" s="171"/>
      <c r="C166" s="171"/>
      <c r="D166" s="5">
        <v>157</v>
      </c>
      <c r="E166" s="5" t="s">
        <v>304</v>
      </c>
      <c r="F166" s="5"/>
      <c r="G166" s="5"/>
      <c r="H166" s="5"/>
      <c r="I166" s="5"/>
      <c r="J166" s="5"/>
      <c r="K166" s="5"/>
      <c r="L166" s="5"/>
      <c r="M166" s="5"/>
      <c r="N166" s="5"/>
      <c r="O166" s="5"/>
      <c r="P166" s="5"/>
      <c r="Q166" s="5"/>
      <c r="R166" s="5"/>
      <c r="S166" s="5"/>
      <c r="T166" s="6">
        <f t="shared" si="9"/>
        <v>0</v>
      </c>
      <c r="U166" s="9"/>
      <c r="V166" s="1"/>
      <c r="W166" s="1"/>
      <c r="X166" s="1"/>
      <c r="Y166" s="1"/>
      <c r="Z166" s="1"/>
    </row>
    <row r="167" spans="1:26" ht="39.75" customHeight="1">
      <c r="A167" s="171"/>
      <c r="B167" s="169"/>
      <c r="C167" s="169"/>
      <c r="D167" s="5">
        <v>158</v>
      </c>
      <c r="E167" s="5" t="s">
        <v>305</v>
      </c>
      <c r="F167" s="5"/>
      <c r="G167" s="5"/>
      <c r="H167" s="5"/>
      <c r="I167" s="5"/>
      <c r="J167" s="5"/>
      <c r="K167" s="5"/>
      <c r="L167" s="5"/>
      <c r="M167" s="5"/>
      <c r="N167" s="5"/>
      <c r="O167" s="5"/>
      <c r="P167" s="5"/>
      <c r="Q167" s="6"/>
      <c r="R167" s="5"/>
      <c r="S167" s="5"/>
      <c r="T167" s="6">
        <f t="shared" si="9"/>
        <v>0</v>
      </c>
      <c r="U167" s="9"/>
      <c r="V167" s="1"/>
      <c r="W167" s="1"/>
      <c r="X167" s="1"/>
      <c r="Y167" s="1"/>
      <c r="Z167" s="1"/>
    </row>
    <row r="168" spans="1:26" ht="39.75" customHeight="1">
      <c r="A168" s="171"/>
      <c r="B168" s="168" t="s">
        <v>306</v>
      </c>
      <c r="C168" s="168" t="s">
        <v>252</v>
      </c>
      <c r="D168" s="5">
        <v>159</v>
      </c>
      <c r="E168" s="5" t="s">
        <v>253</v>
      </c>
      <c r="F168" s="5"/>
      <c r="G168" s="5"/>
      <c r="H168" s="5"/>
      <c r="I168" s="5"/>
      <c r="J168" s="5"/>
      <c r="K168" s="6"/>
      <c r="L168" s="5"/>
      <c r="M168" s="5"/>
      <c r="N168" s="8">
        <v>19.690000000000001</v>
      </c>
      <c r="O168" s="8">
        <v>246.31</v>
      </c>
      <c r="P168" s="8">
        <v>26</v>
      </c>
      <c r="Q168" s="6">
        <v>1.93</v>
      </c>
      <c r="R168" s="5"/>
      <c r="S168" s="5"/>
      <c r="T168" s="6">
        <f t="shared" si="9"/>
        <v>293.93</v>
      </c>
      <c r="U168" s="9" t="s">
        <v>512</v>
      </c>
      <c r="V168" s="1"/>
      <c r="W168" s="1"/>
      <c r="X168" s="1"/>
      <c r="Y168" s="1"/>
      <c r="Z168" s="1"/>
    </row>
    <row r="169" spans="1:26" ht="39.75" customHeight="1">
      <c r="A169" s="171"/>
      <c r="B169" s="171"/>
      <c r="C169" s="171"/>
      <c r="D169" s="5">
        <v>160</v>
      </c>
      <c r="E169" s="5" t="s">
        <v>308</v>
      </c>
      <c r="F169" s="5"/>
      <c r="G169" s="5"/>
      <c r="H169" s="5"/>
      <c r="I169" s="5"/>
      <c r="J169" s="5"/>
      <c r="K169" s="5"/>
      <c r="L169" s="5"/>
      <c r="M169" s="5"/>
      <c r="N169" s="5"/>
      <c r="O169" s="5"/>
      <c r="P169" s="5"/>
      <c r="Q169" s="5"/>
      <c r="R169" s="5"/>
      <c r="S169" s="5"/>
      <c r="T169" s="6">
        <f t="shared" si="9"/>
        <v>0</v>
      </c>
      <c r="U169" s="9"/>
      <c r="V169" s="1"/>
      <c r="W169" s="1"/>
      <c r="X169" s="1"/>
      <c r="Y169" s="1"/>
      <c r="Z169" s="1"/>
    </row>
    <row r="170" spans="1:26" ht="39.75" customHeight="1">
      <c r="A170" s="171"/>
      <c r="B170" s="171"/>
      <c r="C170" s="171"/>
      <c r="D170" s="5">
        <v>161</v>
      </c>
      <c r="E170" s="5" t="s">
        <v>255</v>
      </c>
      <c r="F170" s="5"/>
      <c r="G170" s="5"/>
      <c r="H170" s="5"/>
      <c r="I170" s="5"/>
      <c r="J170" s="5"/>
      <c r="K170" s="5"/>
      <c r="L170" s="5"/>
      <c r="M170" s="5"/>
      <c r="N170" s="5"/>
      <c r="O170" s="5"/>
      <c r="P170" s="5"/>
      <c r="Q170" s="5"/>
      <c r="R170" s="5"/>
      <c r="S170" s="5"/>
      <c r="T170" s="6">
        <f t="shared" si="9"/>
        <v>0</v>
      </c>
      <c r="U170" s="9"/>
      <c r="V170" s="1"/>
      <c r="W170" s="1"/>
      <c r="X170" s="1"/>
      <c r="Y170" s="1"/>
      <c r="Z170" s="1"/>
    </row>
    <row r="171" spans="1:26" ht="39.75" customHeight="1">
      <c r="A171" s="171"/>
      <c r="B171" s="171"/>
      <c r="C171" s="171"/>
      <c r="D171" s="5">
        <v>162</v>
      </c>
      <c r="E171" s="5" t="s">
        <v>256</v>
      </c>
      <c r="F171" s="5"/>
      <c r="G171" s="5"/>
      <c r="H171" s="5"/>
      <c r="I171" s="5"/>
      <c r="J171" s="5"/>
      <c r="K171" s="5"/>
      <c r="L171" s="5"/>
      <c r="M171" s="5"/>
      <c r="N171" s="5"/>
      <c r="O171" s="5"/>
      <c r="P171" s="5"/>
      <c r="Q171" s="5"/>
      <c r="R171" s="5"/>
      <c r="S171" s="5"/>
      <c r="T171" s="6">
        <f t="shared" si="9"/>
        <v>0</v>
      </c>
      <c r="U171" s="9"/>
      <c r="V171" s="1"/>
      <c r="W171" s="1"/>
      <c r="X171" s="1"/>
      <c r="Y171" s="1"/>
      <c r="Z171" s="1"/>
    </row>
    <row r="172" spans="1:26" ht="39.75" customHeight="1">
      <c r="A172" s="171"/>
      <c r="B172" s="169"/>
      <c r="C172" s="169"/>
      <c r="D172" s="5">
        <v>163</v>
      </c>
      <c r="E172" s="5" t="s">
        <v>309</v>
      </c>
      <c r="F172" s="5"/>
      <c r="G172" s="5"/>
      <c r="H172" s="5"/>
      <c r="I172" s="5"/>
      <c r="J172" s="5"/>
      <c r="K172" s="5"/>
      <c r="L172" s="5"/>
      <c r="M172" s="5"/>
      <c r="N172" s="5"/>
      <c r="O172" s="8"/>
      <c r="P172" s="8">
        <v>1.2</v>
      </c>
      <c r="Q172" s="6">
        <v>0.5</v>
      </c>
      <c r="R172" s="5"/>
      <c r="S172" s="5"/>
      <c r="T172" s="6">
        <f t="shared" si="9"/>
        <v>1.7</v>
      </c>
      <c r="U172" s="9" t="s">
        <v>310</v>
      </c>
      <c r="V172" s="1"/>
      <c r="W172" s="1"/>
      <c r="X172" s="1"/>
      <c r="Y172" s="1"/>
      <c r="Z172" s="1"/>
    </row>
    <row r="173" spans="1:26" ht="39.75" customHeight="1">
      <c r="A173" s="171"/>
      <c r="B173" s="168" t="s">
        <v>311</v>
      </c>
      <c r="C173" s="168" t="s">
        <v>312</v>
      </c>
      <c r="D173" s="5">
        <v>164</v>
      </c>
      <c r="E173" s="5" t="s">
        <v>313</v>
      </c>
      <c r="F173" s="5"/>
      <c r="G173" s="8"/>
      <c r="H173" s="8"/>
      <c r="I173" s="5"/>
      <c r="J173" s="5"/>
      <c r="K173" s="5"/>
      <c r="L173" s="5"/>
      <c r="M173" s="5"/>
      <c r="N173" s="5"/>
      <c r="O173" s="5"/>
      <c r="P173" s="5"/>
      <c r="Q173" s="5"/>
      <c r="R173" s="5"/>
      <c r="S173" s="5"/>
      <c r="T173" s="6">
        <f t="shared" si="9"/>
        <v>0</v>
      </c>
      <c r="U173" s="9"/>
      <c r="V173" s="1"/>
      <c r="W173" s="1"/>
      <c r="X173" s="1"/>
      <c r="Y173" s="1"/>
      <c r="Z173" s="1"/>
    </row>
    <row r="174" spans="1:26" ht="39.75" customHeight="1">
      <c r="A174" s="171"/>
      <c r="B174" s="171"/>
      <c r="C174" s="171"/>
      <c r="D174" s="5">
        <v>165</v>
      </c>
      <c r="E174" s="5" t="s">
        <v>314</v>
      </c>
      <c r="F174" s="5"/>
      <c r="G174" s="8"/>
      <c r="H174" s="8"/>
      <c r="I174" s="5"/>
      <c r="J174" s="5"/>
      <c r="K174" s="5"/>
      <c r="L174" s="5"/>
      <c r="M174" s="5"/>
      <c r="N174" s="5"/>
      <c r="O174" s="5"/>
      <c r="P174" s="5"/>
      <c r="Q174" s="5"/>
      <c r="R174" s="5"/>
      <c r="S174" s="5"/>
      <c r="T174" s="6">
        <f t="shared" si="9"/>
        <v>0</v>
      </c>
      <c r="U174" s="9"/>
      <c r="V174" s="1"/>
      <c r="W174" s="1"/>
      <c r="X174" s="1"/>
      <c r="Y174" s="1"/>
      <c r="Z174" s="1"/>
    </row>
    <row r="175" spans="1:26" ht="39.75" customHeight="1">
      <c r="A175" s="171"/>
      <c r="B175" s="171"/>
      <c r="C175" s="171"/>
      <c r="D175" s="5">
        <v>166</v>
      </c>
      <c r="E175" s="5" t="s">
        <v>315</v>
      </c>
      <c r="F175" s="5"/>
      <c r="G175" s="8"/>
      <c r="H175" s="8"/>
      <c r="I175" s="5"/>
      <c r="J175" s="5"/>
      <c r="K175" s="5"/>
      <c r="L175" s="5"/>
      <c r="M175" s="5"/>
      <c r="N175" s="5"/>
      <c r="O175" s="5"/>
      <c r="P175" s="5"/>
      <c r="Q175" s="5"/>
      <c r="R175" s="5"/>
      <c r="S175" s="5"/>
      <c r="T175" s="6">
        <f t="shared" si="9"/>
        <v>0</v>
      </c>
      <c r="U175" s="9"/>
      <c r="V175" s="1"/>
      <c r="W175" s="1"/>
      <c r="X175" s="1"/>
      <c r="Y175" s="1"/>
      <c r="Z175" s="1"/>
    </row>
    <row r="176" spans="1:26" ht="39.75" customHeight="1">
      <c r="A176" s="171"/>
      <c r="B176" s="171"/>
      <c r="C176" s="171"/>
      <c r="D176" s="5">
        <v>167</v>
      </c>
      <c r="E176" s="5" t="s">
        <v>316</v>
      </c>
      <c r="F176" s="5"/>
      <c r="G176" s="8"/>
      <c r="H176" s="8"/>
      <c r="I176" s="5"/>
      <c r="J176" s="5"/>
      <c r="K176" s="5"/>
      <c r="L176" s="5"/>
      <c r="M176" s="5"/>
      <c r="N176" s="5"/>
      <c r="O176" s="5"/>
      <c r="P176" s="5"/>
      <c r="Q176" s="5"/>
      <c r="R176" s="5"/>
      <c r="S176" s="5"/>
      <c r="T176" s="6">
        <f t="shared" si="9"/>
        <v>0</v>
      </c>
      <c r="U176" s="9"/>
      <c r="V176" s="1"/>
      <c r="W176" s="1"/>
      <c r="X176" s="1"/>
      <c r="Y176" s="1"/>
      <c r="Z176" s="1"/>
    </row>
    <row r="177" spans="1:26" ht="39.75" customHeight="1">
      <c r="A177" s="171"/>
      <c r="B177" s="171"/>
      <c r="C177" s="171"/>
      <c r="D177" s="5">
        <v>168</v>
      </c>
      <c r="E177" s="5" t="s">
        <v>317</v>
      </c>
      <c r="F177" s="5"/>
      <c r="G177" s="8"/>
      <c r="H177" s="8"/>
      <c r="I177" s="5"/>
      <c r="J177" s="5"/>
      <c r="K177" s="5"/>
      <c r="L177" s="5"/>
      <c r="M177" s="5"/>
      <c r="N177" s="5"/>
      <c r="O177" s="5"/>
      <c r="P177" s="5"/>
      <c r="Q177" s="5"/>
      <c r="R177" s="5"/>
      <c r="S177" s="5"/>
      <c r="T177" s="6">
        <f t="shared" si="9"/>
        <v>0</v>
      </c>
      <c r="U177" s="9"/>
      <c r="V177" s="1"/>
      <c r="W177" s="1"/>
      <c r="X177" s="1"/>
      <c r="Y177" s="1"/>
      <c r="Z177" s="1"/>
    </row>
    <row r="178" spans="1:26" ht="39.75" customHeight="1">
      <c r="A178" s="171"/>
      <c r="B178" s="171"/>
      <c r="C178" s="171"/>
      <c r="D178" s="5">
        <v>169</v>
      </c>
      <c r="E178" s="5" t="s">
        <v>318</v>
      </c>
      <c r="F178" s="5"/>
      <c r="G178" s="8"/>
      <c r="H178" s="8"/>
      <c r="I178" s="6"/>
      <c r="J178" s="5"/>
      <c r="K178" s="5"/>
      <c r="L178" s="5"/>
      <c r="M178" s="5"/>
      <c r="N178" s="5"/>
      <c r="O178" s="5"/>
      <c r="P178" s="5"/>
      <c r="Q178" s="5"/>
      <c r="R178" s="5"/>
      <c r="S178" s="5"/>
      <c r="T178" s="6">
        <f t="shared" si="9"/>
        <v>0</v>
      </c>
      <c r="U178" s="9"/>
      <c r="V178" s="1"/>
      <c r="W178" s="1"/>
      <c r="X178" s="1"/>
      <c r="Y178" s="1"/>
      <c r="Z178" s="1"/>
    </row>
    <row r="179" spans="1:26" ht="39.75" customHeight="1">
      <c r="A179" s="171"/>
      <c r="B179" s="169"/>
      <c r="C179" s="169"/>
      <c r="D179" s="5">
        <v>170</v>
      </c>
      <c r="E179" s="5" t="s">
        <v>319</v>
      </c>
      <c r="F179" s="5"/>
      <c r="G179" s="5"/>
      <c r="H179" s="5"/>
      <c r="I179" s="5"/>
      <c r="J179" s="5"/>
      <c r="K179" s="5"/>
      <c r="L179" s="5"/>
      <c r="M179" s="5"/>
      <c r="N179" s="5"/>
      <c r="O179" s="5"/>
      <c r="P179" s="5"/>
      <c r="Q179" s="5"/>
      <c r="R179" s="5"/>
      <c r="S179" s="5"/>
      <c r="T179" s="6">
        <f t="shared" si="9"/>
        <v>0</v>
      </c>
      <c r="U179" s="9"/>
      <c r="V179" s="1"/>
      <c r="W179" s="1"/>
      <c r="X179" s="1"/>
      <c r="Y179" s="1"/>
      <c r="Z179" s="1"/>
    </row>
    <row r="180" spans="1:26" ht="39.75" customHeight="1">
      <c r="A180" s="171"/>
      <c r="B180" s="168" t="s">
        <v>320</v>
      </c>
      <c r="C180" s="168" t="s">
        <v>321</v>
      </c>
      <c r="D180" s="5">
        <v>171</v>
      </c>
      <c r="E180" s="5" t="s">
        <v>322</v>
      </c>
      <c r="F180" s="5"/>
      <c r="G180" s="5"/>
      <c r="H180" s="5"/>
      <c r="I180" s="5"/>
      <c r="J180" s="5"/>
      <c r="K180" s="5"/>
      <c r="L180" s="5"/>
      <c r="M180" s="5"/>
      <c r="N180" s="5"/>
      <c r="O180" s="5"/>
      <c r="P180" s="5"/>
      <c r="Q180" s="5"/>
      <c r="R180" s="5"/>
      <c r="S180" s="5"/>
      <c r="T180" s="6">
        <f t="shared" si="9"/>
        <v>0</v>
      </c>
      <c r="U180" s="9"/>
      <c r="V180" s="1"/>
      <c r="W180" s="1"/>
      <c r="X180" s="1"/>
      <c r="Y180" s="1"/>
      <c r="Z180" s="1"/>
    </row>
    <row r="181" spans="1:26" ht="39.75" customHeight="1">
      <c r="A181" s="171"/>
      <c r="B181" s="171"/>
      <c r="C181" s="171"/>
      <c r="D181" s="5">
        <v>172</v>
      </c>
      <c r="E181" s="5" t="s">
        <v>323</v>
      </c>
      <c r="F181" s="5"/>
      <c r="G181" s="5"/>
      <c r="H181" s="5"/>
      <c r="I181" s="5"/>
      <c r="J181" s="5"/>
      <c r="K181" s="5"/>
      <c r="L181" s="5"/>
      <c r="M181" s="5"/>
      <c r="N181" s="5"/>
      <c r="O181" s="5"/>
      <c r="P181" s="6"/>
      <c r="Q181" s="5"/>
      <c r="R181" s="5"/>
      <c r="S181" s="5"/>
      <c r="T181" s="6">
        <f t="shared" si="9"/>
        <v>0</v>
      </c>
      <c r="U181" s="9"/>
      <c r="V181" s="1"/>
      <c r="W181" s="1"/>
      <c r="X181" s="1"/>
      <c r="Y181" s="1"/>
      <c r="Z181" s="1"/>
    </row>
    <row r="182" spans="1:26" ht="39.75" customHeight="1">
      <c r="A182" s="171"/>
      <c r="B182" s="171"/>
      <c r="C182" s="171"/>
      <c r="D182" s="5">
        <v>173</v>
      </c>
      <c r="E182" s="5" t="s">
        <v>324</v>
      </c>
      <c r="F182" s="5"/>
      <c r="G182" s="5"/>
      <c r="H182" s="5"/>
      <c r="I182" s="5"/>
      <c r="J182" s="5"/>
      <c r="K182" s="5"/>
      <c r="L182" s="5"/>
      <c r="M182" s="5"/>
      <c r="N182" s="5"/>
      <c r="O182" s="5"/>
      <c r="P182" s="5"/>
      <c r="Q182" s="5"/>
      <c r="R182" s="5"/>
      <c r="S182" s="5"/>
      <c r="T182" s="6">
        <f t="shared" si="9"/>
        <v>0</v>
      </c>
      <c r="U182" s="9"/>
      <c r="V182" s="1"/>
      <c r="W182" s="1"/>
      <c r="X182" s="1"/>
      <c r="Y182" s="1"/>
      <c r="Z182" s="1"/>
    </row>
    <row r="183" spans="1:26" ht="39.75" customHeight="1">
      <c r="A183" s="171"/>
      <c r="B183" s="169"/>
      <c r="C183" s="169"/>
      <c r="D183" s="5">
        <v>174</v>
      </c>
      <c r="E183" s="5" t="s">
        <v>325</v>
      </c>
      <c r="F183" s="5"/>
      <c r="G183" s="5"/>
      <c r="H183" s="5"/>
      <c r="I183" s="5"/>
      <c r="J183" s="5"/>
      <c r="K183" s="5"/>
      <c r="L183" s="5"/>
      <c r="M183" s="5"/>
      <c r="N183" s="5"/>
      <c r="O183" s="5"/>
      <c r="P183" s="6"/>
      <c r="Q183" s="5"/>
      <c r="R183" s="5"/>
      <c r="S183" s="5"/>
      <c r="T183" s="6">
        <f t="shared" si="9"/>
        <v>0</v>
      </c>
      <c r="U183" s="9"/>
      <c r="V183" s="1"/>
      <c r="W183" s="1"/>
      <c r="X183" s="1"/>
      <c r="Y183" s="1"/>
      <c r="Z183" s="1"/>
    </row>
    <row r="184" spans="1:26" ht="39.75" customHeight="1">
      <c r="A184" s="171"/>
      <c r="B184" s="168" t="s">
        <v>326</v>
      </c>
      <c r="C184" s="168" t="s">
        <v>267</v>
      </c>
      <c r="D184" s="5">
        <v>175</v>
      </c>
      <c r="E184" s="5" t="s">
        <v>268</v>
      </c>
      <c r="F184" s="134"/>
      <c r="G184" s="134"/>
      <c r="H184" s="134"/>
      <c r="I184" s="135">
        <v>6</v>
      </c>
      <c r="J184" s="134"/>
      <c r="K184" s="134"/>
      <c r="L184" s="134"/>
      <c r="M184" s="134"/>
      <c r="N184" s="136">
        <f>4.95+1.5</f>
        <v>6.45</v>
      </c>
      <c r="O184" s="134"/>
      <c r="P184" s="135">
        <v>4</v>
      </c>
      <c r="Q184" s="137">
        <v>4.2857000000000003</v>
      </c>
      <c r="R184" s="135">
        <f>0.504+0.252</f>
        <v>0.75600000000000001</v>
      </c>
      <c r="S184" s="135"/>
      <c r="T184" s="136">
        <f t="shared" ref="T184:T186" si="11">SUM(F184:S184)</f>
        <v>21.491700000000002</v>
      </c>
      <c r="U184" s="138" t="s">
        <v>864</v>
      </c>
      <c r="V184" s="1"/>
      <c r="W184" s="1"/>
      <c r="X184" s="1"/>
      <c r="Y184" s="1"/>
      <c r="Z184" s="1"/>
    </row>
    <row r="185" spans="1:26" ht="39.75" customHeight="1">
      <c r="A185" s="171"/>
      <c r="B185" s="171"/>
      <c r="C185" s="171"/>
      <c r="D185" s="5">
        <v>176</v>
      </c>
      <c r="E185" s="5" t="s">
        <v>269</v>
      </c>
      <c r="F185" s="134"/>
      <c r="G185" s="134"/>
      <c r="H185" s="134"/>
      <c r="I185" s="134"/>
      <c r="J185" s="134"/>
      <c r="K185" s="134"/>
      <c r="L185" s="134"/>
      <c r="M185" s="135">
        <v>17.399999999999999</v>
      </c>
      <c r="N185" s="134"/>
      <c r="O185" s="134"/>
      <c r="P185" s="135">
        <v>32.65</v>
      </c>
      <c r="Q185" s="135">
        <v>3.2</v>
      </c>
      <c r="R185" s="134"/>
      <c r="S185" s="134"/>
      <c r="T185" s="136">
        <f t="shared" si="11"/>
        <v>53.25</v>
      </c>
      <c r="U185" s="138" t="s">
        <v>865</v>
      </c>
      <c r="V185" s="1"/>
      <c r="W185" s="1"/>
      <c r="X185" s="1"/>
      <c r="Y185" s="1"/>
      <c r="Z185" s="1"/>
    </row>
    <row r="186" spans="1:26" ht="39.75" customHeight="1">
      <c r="A186" s="171"/>
      <c r="B186" s="169"/>
      <c r="C186" s="169"/>
      <c r="D186" s="5">
        <v>177</v>
      </c>
      <c r="E186" s="5" t="s">
        <v>270</v>
      </c>
      <c r="F186" s="134"/>
      <c r="G186" s="134"/>
      <c r="H186" s="134"/>
      <c r="I186" s="134"/>
      <c r="J186" s="134"/>
      <c r="K186" s="134"/>
      <c r="L186" s="134"/>
      <c r="M186" s="134"/>
      <c r="N186" s="136">
        <v>1</v>
      </c>
      <c r="O186" s="134"/>
      <c r="P186" s="134"/>
      <c r="Q186" s="134"/>
      <c r="R186" s="134"/>
      <c r="S186" s="134"/>
      <c r="T186" s="136">
        <f t="shared" si="11"/>
        <v>1</v>
      </c>
      <c r="U186" s="138" t="s">
        <v>839</v>
      </c>
      <c r="V186" s="1"/>
      <c r="W186" s="1"/>
      <c r="X186" s="1"/>
      <c r="Y186" s="1"/>
      <c r="Z186" s="1"/>
    </row>
    <row r="187" spans="1:26" ht="39.75" customHeight="1">
      <c r="A187" s="171"/>
      <c r="B187" s="168" t="s">
        <v>327</v>
      </c>
      <c r="C187" s="168" t="s">
        <v>328</v>
      </c>
      <c r="D187" s="5">
        <v>178</v>
      </c>
      <c r="E187" s="5" t="s">
        <v>329</v>
      </c>
      <c r="F187" s="5"/>
      <c r="G187" s="5"/>
      <c r="H187" s="5"/>
      <c r="I187" s="5"/>
      <c r="J187" s="5"/>
      <c r="K187" s="5"/>
      <c r="L187" s="5"/>
      <c r="M187" s="5"/>
      <c r="N187" s="5"/>
      <c r="O187" s="5"/>
      <c r="P187" s="5"/>
      <c r="Q187" s="5"/>
      <c r="R187" s="5"/>
      <c r="S187" s="5"/>
      <c r="T187" s="6">
        <f t="shared" si="9"/>
        <v>0</v>
      </c>
      <c r="U187" s="9"/>
      <c r="V187" s="1"/>
      <c r="W187" s="1"/>
      <c r="X187" s="1"/>
      <c r="Y187" s="1"/>
      <c r="Z187" s="1"/>
    </row>
    <row r="188" spans="1:26" ht="39.75" customHeight="1">
      <c r="A188" s="171"/>
      <c r="B188" s="171"/>
      <c r="C188" s="171"/>
      <c r="D188" s="5">
        <v>179</v>
      </c>
      <c r="E188" s="5" t="s">
        <v>149</v>
      </c>
      <c r="F188" s="5"/>
      <c r="G188" s="5"/>
      <c r="H188" s="5"/>
      <c r="I188" s="5"/>
      <c r="J188" s="5"/>
      <c r="K188" s="5"/>
      <c r="L188" s="5"/>
      <c r="M188" s="5"/>
      <c r="N188" s="5"/>
      <c r="O188" s="5"/>
      <c r="P188" s="5"/>
      <c r="Q188" s="5"/>
      <c r="R188" s="5"/>
      <c r="S188" s="5"/>
      <c r="T188" s="6">
        <f t="shared" si="9"/>
        <v>0</v>
      </c>
      <c r="U188" s="9"/>
      <c r="V188" s="1"/>
      <c r="W188" s="1"/>
      <c r="X188" s="1"/>
      <c r="Y188" s="1"/>
      <c r="Z188" s="1"/>
    </row>
    <row r="189" spans="1:26" ht="39.75" customHeight="1">
      <c r="A189" s="171"/>
      <c r="B189" s="171"/>
      <c r="C189" s="171"/>
      <c r="D189" s="5">
        <v>180</v>
      </c>
      <c r="E189" s="5" t="s">
        <v>330</v>
      </c>
      <c r="F189" s="5"/>
      <c r="G189" s="5"/>
      <c r="H189" s="5"/>
      <c r="I189" s="5"/>
      <c r="J189" s="5"/>
      <c r="K189" s="6"/>
      <c r="L189" s="5"/>
      <c r="M189" s="5"/>
      <c r="N189" s="5"/>
      <c r="O189" s="5"/>
      <c r="P189" s="8"/>
      <c r="Q189" s="5"/>
      <c r="R189" s="5"/>
      <c r="S189" s="5"/>
      <c r="T189" s="6">
        <f t="shared" si="9"/>
        <v>0</v>
      </c>
      <c r="U189" s="9"/>
      <c r="V189" s="1"/>
      <c r="W189" s="1"/>
      <c r="X189" s="1"/>
      <c r="Y189" s="1"/>
      <c r="Z189" s="1"/>
    </row>
    <row r="190" spans="1:26" ht="39.75" customHeight="1">
      <c r="A190" s="171"/>
      <c r="B190" s="171"/>
      <c r="C190" s="171"/>
      <c r="D190" s="5">
        <v>181</v>
      </c>
      <c r="E190" s="5" t="s">
        <v>331</v>
      </c>
      <c r="F190" s="5"/>
      <c r="G190" s="5"/>
      <c r="H190" s="5"/>
      <c r="I190" s="5"/>
      <c r="J190" s="5"/>
      <c r="K190" s="5"/>
      <c r="L190" s="5"/>
      <c r="M190" s="5"/>
      <c r="N190" s="5"/>
      <c r="O190" s="5"/>
      <c r="P190" s="5"/>
      <c r="Q190" s="5"/>
      <c r="R190" s="5"/>
      <c r="S190" s="5"/>
      <c r="T190" s="6">
        <f t="shared" si="9"/>
        <v>0</v>
      </c>
      <c r="U190" s="9"/>
      <c r="V190" s="1"/>
      <c r="W190" s="1"/>
      <c r="X190" s="1"/>
      <c r="Y190" s="1"/>
      <c r="Z190" s="1"/>
    </row>
    <row r="191" spans="1:26" ht="39.75" customHeight="1">
      <c r="A191" s="171"/>
      <c r="B191" s="171"/>
      <c r="C191" s="171"/>
      <c r="D191" s="5">
        <v>182</v>
      </c>
      <c r="E191" s="5" t="s">
        <v>332</v>
      </c>
      <c r="F191" s="5"/>
      <c r="G191" s="5"/>
      <c r="H191" s="5"/>
      <c r="I191" s="5"/>
      <c r="J191" s="5"/>
      <c r="K191" s="5"/>
      <c r="L191" s="5"/>
      <c r="M191" s="5"/>
      <c r="N191" s="5"/>
      <c r="O191" s="5"/>
      <c r="P191" s="6">
        <v>65.819999999999993</v>
      </c>
      <c r="Q191" s="5"/>
      <c r="R191" s="5"/>
      <c r="S191" s="5"/>
      <c r="T191" s="6">
        <f t="shared" si="9"/>
        <v>65.819999999999993</v>
      </c>
      <c r="U191" s="9" t="s">
        <v>513</v>
      </c>
      <c r="V191" s="1"/>
      <c r="W191" s="1"/>
      <c r="X191" s="1"/>
      <c r="Y191" s="1"/>
      <c r="Z191" s="1"/>
    </row>
    <row r="192" spans="1:26" ht="39.75" customHeight="1">
      <c r="A192" s="171"/>
      <c r="B192" s="169"/>
      <c r="C192" s="169"/>
      <c r="D192" s="5">
        <v>183</v>
      </c>
      <c r="E192" s="5" t="s">
        <v>334</v>
      </c>
      <c r="F192" s="5"/>
      <c r="G192" s="5"/>
      <c r="H192" s="5"/>
      <c r="I192" s="5"/>
      <c r="J192" s="5"/>
      <c r="K192" s="5"/>
      <c r="L192" s="5"/>
      <c r="M192" s="5"/>
      <c r="N192" s="5"/>
      <c r="O192" s="5"/>
      <c r="P192" s="8"/>
      <c r="Q192" s="5"/>
      <c r="R192" s="5"/>
      <c r="S192" s="5"/>
      <c r="T192" s="6">
        <f t="shared" si="9"/>
        <v>0</v>
      </c>
      <c r="U192" s="9"/>
      <c r="V192" s="1"/>
      <c r="W192" s="1"/>
      <c r="X192" s="1"/>
      <c r="Y192" s="1"/>
      <c r="Z192" s="1"/>
    </row>
    <row r="193" spans="1:26" ht="39.75" customHeight="1">
      <c r="A193" s="171"/>
      <c r="B193" s="5" t="s">
        <v>335</v>
      </c>
      <c r="C193" s="5" t="s">
        <v>336</v>
      </c>
      <c r="D193" s="5">
        <v>184</v>
      </c>
      <c r="E193" s="5" t="s">
        <v>337</v>
      </c>
      <c r="F193" s="5"/>
      <c r="G193" s="5"/>
      <c r="H193" s="5"/>
      <c r="I193" s="5"/>
      <c r="J193" s="5"/>
      <c r="K193" s="5"/>
      <c r="L193" s="5"/>
      <c r="M193" s="5"/>
      <c r="N193" s="5"/>
      <c r="O193" s="5"/>
      <c r="P193" s="6"/>
      <c r="Q193" s="5"/>
      <c r="R193" s="5"/>
      <c r="S193" s="5"/>
      <c r="T193" s="6">
        <f t="shared" si="9"/>
        <v>0</v>
      </c>
      <c r="U193" s="9"/>
      <c r="V193" s="1"/>
      <c r="W193" s="1"/>
      <c r="X193" s="1"/>
      <c r="Y193" s="1"/>
      <c r="Z193" s="1"/>
    </row>
    <row r="194" spans="1:26" ht="39.75" customHeight="1">
      <c r="A194" s="171"/>
      <c r="B194" s="168" t="s">
        <v>338</v>
      </c>
      <c r="C194" s="168" t="s">
        <v>272</v>
      </c>
      <c r="D194" s="5">
        <v>185</v>
      </c>
      <c r="E194" s="5" t="s">
        <v>273</v>
      </c>
      <c r="F194" s="5"/>
      <c r="G194" s="5"/>
      <c r="H194" s="5"/>
      <c r="I194" s="5"/>
      <c r="J194" s="5"/>
      <c r="K194" s="5"/>
      <c r="L194" s="5"/>
      <c r="M194" s="5"/>
      <c r="N194" s="5"/>
      <c r="O194" s="5"/>
      <c r="P194" s="5"/>
      <c r="Q194" s="5"/>
      <c r="R194" s="5">
        <v>1555.9</v>
      </c>
      <c r="S194" s="5"/>
      <c r="T194" s="6">
        <f t="shared" si="9"/>
        <v>1555.9</v>
      </c>
      <c r="U194" s="9" t="s">
        <v>639</v>
      </c>
      <c r="V194" s="1"/>
      <c r="W194" s="1"/>
      <c r="X194" s="1"/>
      <c r="Y194" s="1"/>
      <c r="Z194" s="1"/>
    </row>
    <row r="195" spans="1:26" ht="39.75" customHeight="1">
      <c r="A195" s="171"/>
      <c r="B195" s="171"/>
      <c r="C195" s="171"/>
      <c r="D195" s="5">
        <v>186</v>
      </c>
      <c r="E195" s="5" t="s">
        <v>274</v>
      </c>
      <c r="F195" s="5"/>
      <c r="G195" s="5"/>
      <c r="H195" s="5"/>
      <c r="I195" s="5"/>
      <c r="J195" s="5"/>
      <c r="K195" s="5"/>
      <c r="L195" s="5"/>
      <c r="M195" s="5"/>
      <c r="N195" s="5"/>
      <c r="O195" s="5"/>
      <c r="P195" s="8">
        <v>0.35</v>
      </c>
      <c r="Q195" s="6"/>
      <c r="R195" s="5"/>
      <c r="S195" s="5"/>
      <c r="T195" s="6">
        <f t="shared" si="9"/>
        <v>0.35</v>
      </c>
      <c r="U195" s="9" t="s">
        <v>636</v>
      </c>
      <c r="V195" s="1"/>
      <c r="W195" s="1"/>
      <c r="X195" s="1"/>
      <c r="Y195" s="1"/>
      <c r="Z195" s="1"/>
    </row>
    <row r="196" spans="1:26" ht="39.75" customHeight="1">
      <c r="A196" s="171"/>
      <c r="B196" s="171"/>
      <c r="C196" s="171"/>
      <c r="D196" s="5">
        <v>187</v>
      </c>
      <c r="E196" s="5" t="s">
        <v>339</v>
      </c>
      <c r="F196" s="5"/>
      <c r="G196" s="5"/>
      <c r="H196" s="5"/>
      <c r="I196" s="5"/>
      <c r="J196" s="5"/>
      <c r="K196" s="5"/>
      <c r="L196" s="5"/>
      <c r="M196" s="5"/>
      <c r="N196" s="5"/>
      <c r="O196" s="5"/>
      <c r="P196" s="5"/>
      <c r="Q196" s="5"/>
      <c r="R196" s="5"/>
      <c r="S196" s="5"/>
      <c r="T196" s="6">
        <f t="shared" si="9"/>
        <v>0</v>
      </c>
      <c r="U196" s="9"/>
      <c r="V196" s="1"/>
      <c r="W196" s="1"/>
      <c r="X196" s="1"/>
      <c r="Y196" s="1"/>
      <c r="Z196" s="1"/>
    </row>
    <row r="197" spans="1:26" ht="39.75" customHeight="1">
      <c r="A197" s="171"/>
      <c r="B197" s="171"/>
      <c r="C197" s="171"/>
      <c r="D197" s="5">
        <v>188</v>
      </c>
      <c r="E197" s="5" t="s">
        <v>275</v>
      </c>
      <c r="F197" s="5"/>
      <c r="G197" s="5"/>
      <c r="H197" s="5"/>
      <c r="I197" s="5"/>
      <c r="J197" s="5"/>
      <c r="K197" s="5"/>
      <c r="L197" s="5"/>
      <c r="M197" s="5"/>
      <c r="N197" s="5"/>
      <c r="O197" s="5"/>
      <c r="P197" s="5"/>
      <c r="Q197" s="5"/>
      <c r="R197" s="5"/>
      <c r="S197" s="5"/>
      <c r="T197" s="6">
        <f t="shared" si="9"/>
        <v>0</v>
      </c>
      <c r="U197" s="9"/>
      <c r="V197" s="1"/>
      <c r="W197" s="1"/>
      <c r="X197" s="1"/>
      <c r="Y197" s="1"/>
      <c r="Z197" s="1"/>
    </row>
    <row r="198" spans="1:26" ht="39.75" customHeight="1">
      <c r="A198" s="171"/>
      <c r="B198" s="171"/>
      <c r="C198" s="171"/>
      <c r="D198" s="5">
        <v>189</v>
      </c>
      <c r="E198" s="5" t="s">
        <v>276</v>
      </c>
      <c r="F198" s="5"/>
      <c r="G198" s="5"/>
      <c r="H198" s="5"/>
      <c r="I198" s="5"/>
      <c r="J198" s="5"/>
      <c r="K198" s="5"/>
      <c r="L198" s="5"/>
      <c r="M198" s="5"/>
      <c r="N198" s="5"/>
      <c r="O198" s="5"/>
      <c r="P198" s="5"/>
      <c r="Q198" s="5"/>
      <c r="R198" s="5"/>
      <c r="S198" s="5"/>
      <c r="T198" s="6">
        <f t="shared" ref="T198:T208" si="12">SUM(F198:S198)</f>
        <v>0</v>
      </c>
      <c r="U198" s="9"/>
      <c r="V198" s="1"/>
      <c r="W198" s="1"/>
      <c r="X198" s="1"/>
      <c r="Y198" s="1"/>
      <c r="Z198" s="1"/>
    </row>
    <row r="199" spans="1:26" ht="39.75" customHeight="1">
      <c r="A199" s="171"/>
      <c r="B199" s="169"/>
      <c r="C199" s="169"/>
      <c r="D199" s="5">
        <v>190</v>
      </c>
      <c r="E199" s="5" t="s">
        <v>340</v>
      </c>
      <c r="F199" s="5"/>
      <c r="G199" s="5"/>
      <c r="H199" s="5"/>
      <c r="I199" s="5"/>
      <c r="J199" s="5"/>
      <c r="K199" s="5"/>
      <c r="L199" s="5"/>
      <c r="M199" s="5"/>
      <c r="N199" s="5"/>
      <c r="O199" s="5"/>
      <c r="P199" s="8"/>
      <c r="Q199" s="5"/>
      <c r="R199" s="5"/>
      <c r="S199" s="5"/>
      <c r="T199" s="6">
        <f t="shared" si="12"/>
        <v>0</v>
      </c>
      <c r="U199" s="9"/>
      <c r="V199" s="1"/>
      <c r="W199" s="1"/>
      <c r="X199" s="1"/>
      <c r="Y199" s="1"/>
      <c r="Z199" s="1"/>
    </row>
    <row r="200" spans="1:26" ht="39.75" customHeight="1">
      <c r="A200" s="171"/>
      <c r="B200" s="168" t="s">
        <v>341</v>
      </c>
      <c r="C200" s="168" t="s">
        <v>342</v>
      </c>
      <c r="D200" s="5">
        <v>191</v>
      </c>
      <c r="E200" s="5" t="s">
        <v>343</v>
      </c>
      <c r="F200" s="5"/>
      <c r="G200" s="5"/>
      <c r="H200" s="5"/>
      <c r="I200" s="5"/>
      <c r="J200" s="5"/>
      <c r="K200" s="5"/>
      <c r="L200" s="5"/>
      <c r="M200" s="5"/>
      <c r="N200" s="6"/>
      <c r="O200" s="5"/>
      <c r="P200" s="5"/>
      <c r="Q200" s="5"/>
      <c r="R200" s="5"/>
      <c r="S200" s="5"/>
      <c r="T200" s="6">
        <f t="shared" si="12"/>
        <v>0</v>
      </c>
      <c r="U200" s="9"/>
      <c r="V200" s="1"/>
      <c r="W200" s="1"/>
      <c r="X200" s="1"/>
      <c r="Y200" s="1"/>
      <c r="Z200" s="1"/>
    </row>
    <row r="201" spans="1:26" ht="39.75" customHeight="1">
      <c r="A201" s="171"/>
      <c r="B201" s="169"/>
      <c r="C201" s="169"/>
      <c r="D201" s="5">
        <v>192</v>
      </c>
      <c r="E201" s="5" t="s">
        <v>345</v>
      </c>
      <c r="F201" s="5"/>
      <c r="G201" s="5"/>
      <c r="H201" s="8"/>
      <c r="I201" s="5"/>
      <c r="J201" s="5"/>
      <c r="K201" s="5"/>
      <c r="L201" s="5"/>
      <c r="M201" s="5"/>
      <c r="N201" s="6">
        <v>0.5</v>
      </c>
      <c r="O201" s="5"/>
      <c r="P201" s="6">
        <v>15</v>
      </c>
      <c r="Q201" s="8"/>
      <c r="R201" s="5"/>
      <c r="S201" s="5"/>
      <c r="T201" s="6">
        <f t="shared" si="12"/>
        <v>15.5</v>
      </c>
      <c r="U201" s="61" t="s">
        <v>652</v>
      </c>
      <c r="V201" s="1"/>
      <c r="W201" s="1"/>
      <c r="X201" s="1"/>
      <c r="Y201" s="1"/>
      <c r="Z201" s="1"/>
    </row>
    <row r="202" spans="1:26" ht="39.75" customHeight="1">
      <c r="A202" s="171"/>
      <c r="B202" s="168" t="s">
        <v>346</v>
      </c>
      <c r="C202" s="168" t="s">
        <v>278</v>
      </c>
      <c r="D202" s="5">
        <v>193</v>
      </c>
      <c r="E202" s="5" t="s">
        <v>347</v>
      </c>
      <c r="F202" s="5"/>
      <c r="G202" s="5"/>
      <c r="H202" s="5"/>
      <c r="I202" s="5"/>
      <c r="J202" s="5"/>
      <c r="K202" s="5"/>
      <c r="L202" s="5"/>
      <c r="M202" s="5"/>
      <c r="N202" s="5"/>
      <c r="O202" s="5"/>
      <c r="P202" s="6"/>
      <c r="Q202" s="5"/>
      <c r="R202" s="5"/>
      <c r="S202" s="8"/>
      <c r="T202" s="6">
        <f t="shared" si="12"/>
        <v>0</v>
      </c>
      <c r="U202" s="9"/>
      <c r="V202" s="1"/>
      <c r="W202" s="1"/>
      <c r="X202" s="1"/>
      <c r="Y202" s="1"/>
      <c r="Z202" s="1"/>
    </row>
    <row r="203" spans="1:26" ht="39.75" customHeight="1">
      <c r="A203" s="171"/>
      <c r="B203" s="169"/>
      <c r="C203" s="169"/>
      <c r="D203" s="5">
        <v>194</v>
      </c>
      <c r="E203" s="5" t="s">
        <v>279</v>
      </c>
      <c r="F203" s="5"/>
      <c r="G203" s="5"/>
      <c r="H203" s="5"/>
      <c r="I203" s="5"/>
      <c r="J203" s="5"/>
      <c r="K203" s="5"/>
      <c r="L203" s="5"/>
      <c r="M203" s="5"/>
      <c r="N203" s="6"/>
      <c r="O203" s="5"/>
      <c r="P203" s="5"/>
      <c r="Q203" s="6"/>
      <c r="R203" s="6">
        <v>34.33</v>
      </c>
      <c r="S203" s="5"/>
      <c r="T203" s="6">
        <f t="shared" si="12"/>
        <v>34.33</v>
      </c>
      <c r="U203" s="9" t="s">
        <v>629</v>
      </c>
      <c r="V203" s="1"/>
      <c r="W203" s="1"/>
      <c r="X203" s="1"/>
      <c r="Y203" s="1"/>
      <c r="Z203" s="1"/>
    </row>
    <row r="204" spans="1:26" ht="39.75" customHeight="1">
      <c r="A204" s="171"/>
      <c r="B204" s="168" t="s">
        <v>348</v>
      </c>
      <c r="C204" s="168" t="s">
        <v>349</v>
      </c>
      <c r="D204" s="5">
        <v>195</v>
      </c>
      <c r="E204" s="5" t="s">
        <v>350</v>
      </c>
      <c r="F204" s="5"/>
      <c r="G204" s="5"/>
      <c r="H204" s="5"/>
      <c r="I204" s="5"/>
      <c r="J204" s="5"/>
      <c r="K204" s="5"/>
      <c r="L204" s="5"/>
      <c r="M204" s="5"/>
      <c r="N204" s="5"/>
      <c r="O204" s="5"/>
      <c r="P204" s="6">
        <v>0.7</v>
      </c>
      <c r="Q204" s="8">
        <v>0.73</v>
      </c>
      <c r="R204" s="6">
        <v>1.2</v>
      </c>
      <c r="S204" s="5"/>
      <c r="T204" s="6">
        <f t="shared" si="12"/>
        <v>2.63</v>
      </c>
      <c r="U204" s="61" t="s">
        <v>351</v>
      </c>
      <c r="V204" s="1"/>
      <c r="W204" s="1"/>
      <c r="X204" s="1"/>
      <c r="Y204" s="1"/>
      <c r="Z204" s="1"/>
    </row>
    <row r="205" spans="1:26" ht="39.75" customHeight="1">
      <c r="A205" s="171"/>
      <c r="B205" s="171"/>
      <c r="C205" s="171"/>
      <c r="D205" s="5">
        <v>196</v>
      </c>
      <c r="E205" s="5" t="s">
        <v>352</v>
      </c>
      <c r="F205" s="5"/>
      <c r="G205" s="5"/>
      <c r="H205" s="5"/>
      <c r="I205" s="5"/>
      <c r="J205" s="5"/>
      <c r="K205" s="5"/>
      <c r="L205" s="5"/>
      <c r="M205" s="5"/>
      <c r="N205" s="5"/>
      <c r="O205" s="5"/>
      <c r="P205" s="5"/>
      <c r="Q205" s="5"/>
      <c r="R205" s="5"/>
      <c r="S205" s="5"/>
      <c r="T205" s="6">
        <f t="shared" si="12"/>
        <v>0</v>
      </c>
      <c r="U205" s="9"/>
      <c r="V205" s="1"/>
      <c r="W205" s="1"/>
      <c r="X205" s="1"/>
      <c r="Y205" s="1"/>
      <c r="Z205" s="1"/>
    </row>
    <row r="206" spans="1:26" ht="39.75" customHeight="1">
      <c r="A206" s="171"/>
      <c r="B206" s="169"/>
      <c r="C206" s="169"/>
      <c r="D206" s="5">
        <v>197</v>
      </c>
      <c r="E206" s="5" t="s">
        <v>353</v>
      </c>
      <c r="F206" s="5"/>
      <c r="G206" s="5"/>
      <c r="H206" s="5"/>
      <c r="I206" s="5"/>
      <c r="J206" s="5"/>
      <c r="K206" s="5"/>
      <c r="L206" s="5"/>
      <c r="M206" s="5"/>
      <c r="N206" s="5"/>
      <c r="O206" s="5"/>
      <c r="P206" s="6"/>
      <c r="Q206" s="5"/>
      <c r="R206" s="5"/>
      <c r="S206" s="5"/>
      <c r="T206" s="6">
        <f t="shared" si="12"/>
        <v>0</v>
      </c>
      <c r="U206" s="9"/>
      <c r="V206" s="1"/>
      <c r="W206" s="1"/>
      <c r="X206" s="1"/>
      <c r="Y206" s="1"/>
      <c r="Z206" s="1"/>
    </row>
    <row r="207" spans="1:26" ht="39.75" customHeight="1">
      <c r="A207" s="171"/>
      <c r="B207" s="5" t="s">
        <v>354</v>
      </c>
      <c r="C207" s="5" t="s">
        <v>284</v>
      </c>
      <c r="D207" s="5">
        <v>198</v>
      </c>
      <c r="E207" s="5" t="s">
        <v>285</v>
      </c>
      <c r="F207" s="5"/>
      <c r="G207" s="5"/>
      <c r="H207" s="5"/>
      <c r="I207" s="5"/>
      <c r="J207" s="5"/>
      <c r="K207" s="5"/>
      <c r="L207" s="5"/>
      <c r="M207" s="5"/>
      <c r="N207" s="5"/>
      <c r="O207" s="5"/>
      <c r="P207" s="5"/>
      <c r="Q207" s="5"/>
      <c r="R207" s="5"/>
      <c r="S207" s="5"/>
      <c r="T207" s="6">
        <f t="shared" si="12"/>
        <v>0</v>
      </c>
      <c r="U207" s="9"/>
      <c r="V207" s="1"/>
      <c r="W207" s="1"/>
      <c r="X207" s="1"/>
      <c r="Y207" s="1"/>
      <c r="Z207" s="1"/>
    </row>
    <row r="208" spans="1:26" ht="110.25" customHeight="1">
      <c r="A208" s="171"/>
      <c r="B208" s="5" t="s">
        <v>355</v>
      </c>
      <c r="C208" s="5" t="s">
        <v>287</v>
      </c>
      <c r="D208" s="5">
        <v>199</v>
      </c>
      <c r="E208" s="5" t="s">
        <v>288</v>
      </c>
      <c r="F208" s="24"/>
      <c r="G208" s="24"/>
      <c r="H208" s="24"/>
      <c r="I208" s="24"/>
      <c r="J208" s="24"/>
      <c r="K208" s="24"/>
      <c r="L208" s="24"/>
      <c r="M208" s="24"/>
      <c r="N208" s="24"/>
      <c r="O208" s="24"/>
      <c r="P208" s="24">
        <v>139.6</v>
      </c>
      <c r="Q208" s="24"/>
      <c r="R208" s="24"/>
      <c r="S208" s="24"/>
      <c r="T208" s="6">
        <f t="shared" si="12"/>
        <v>139.6</v>
      </c>
      <c r="U208" s="76" t="s">
        <v>631</v>
      </c>
      <c r="V208" s="1"/>
      <c r="W208" s="1"/>
      <c r="X208" s="1"/>
      <c r="Y208" s="1"/>
      <c r="Z208" s="1"/>
    </row>
    <row r="209" spans="1:26" ht="39.75" customHeight="1">
      <c r="A209" s="169"/>
      <c r="B209" s="176" t="s">
        <v>356</v>
      </c>
      <c r="C209" s="183"/>
      <c r="D209" s="184"/>
      <c r="E209" s="51"/>
      <c r="F209" s="51">
        <f t="shared" ref="F209:T209" si="13">SUM(F159:F208)</f>
        <v>0</v>
      </c>
      <c r="G209" s="56">
        <f t="shared" si="13"/>
        <v>299.25</v>
      </c>
      <c r="H209" s="56">
        <f t="shared" si="13"/>
        <v>399</v>
      </c>
      <c r="I209" s="51">
        <f t="shared" si="13"/>
        <v>6</v>
      </c>
      <c r="J209" s="51">
        <f t="shared" si="13"/>
        <v>0</v>
      </c>
      <c r="K209" s="51">
        <f t="shared" si="13"/>
        <v>0</v>
      </c>
      <c r="L209" s="51">
        <f t="shared" si="13"/>
        <v>0</v>
      </c>
      <c r="M209" s="51">
        <f t="shared" si="13"/>
        <v>17.399999999999999</v>
      </c>
      <c r="N209" s="52">
        <f t="shared" si="13"/>
        <v>30.14</v>
      </c>
      <c r="O209" s="51">
        <f t="shared" si="13"/>
        <v>246.31</v>
      </c>
      <c r="P209" s="56">
        <f t="shared" si="13"/>
        <v>301.91999999999996</v>
      </c>
      <c r="Q209" s="51">
        <f t="shared" si="13"/>
        <v>10.645700000000001</v>
      </c>
      <c r="R209" s="51">
        <f t="shared" si="13"/>
        <v>1598.1860000000001</v>
      </c>
      <c r="S209" s="51">
        <f t="shared" si="13"/>
        <v>0</v>
      </c>
      <c r="T209" s="52">
        <f t="shared" si="13"/>
        <v>2908.8517000000002</v>
      </c>
      <c r="U209" s="70"/>
      <c r="V209" s="1"/>
      <c r="W209" s="1"/>
      <c r="X209" s="1"/>
      <c r="Y209" s="1"/>
      <c r="Z209" s="1"/>
    </row>
    <row r="210" spans="1:26" ht="39.75" customHeight="1">
      <c r="A210" s="180" t="s">
        <v>357</v>
      </c>
      <c r="B210" s="181"/>
      <c r="C210" s="181"/>
      <c r="D210" s="182"/>
      <c r="E210" s="64"/>
      <c r="F210" s="65">
        <f t="shared" ref="F210:T210" si="14">F209+F158+F134+F93+F68</f>
        <v>111.97</v>
      </c>
      <c r="G210" s="66">
        <f t="shared" si="14"/>
        <v>299.25</v>
      </c>
      <c r="H210" s="66">
        <f t="shared" si="14"/>
        <v>403</v>
      </c>
      <c r="I210" s="65">
        <f t="shared" si="14"/>
        <v>30.414999999999999</v>
      </c>
      <c r="J210" s="65">
        <f t="shared" si="14"/>
        <v>0</v>
      </c>
      <c r="K210" s="67">
        <f t="shared" si="14"/>
        <v>106.208</v>
      </c>
      <c r="L210" s="65">
        <f t="shared" si="14"/>
        <v>0</v>
      </c>
      <c r="M210" s="66">
        <f t="shared" si="14"/>
        <v>79.442000000000007</v>
      </c>
      <c r="N210" s="67">
        <f t="shared" si="14"/>
        <v>101.88455</v>
      </c>
      <c r="O210" s="65">
        <f t="shared" si="14"/>
        <v>434.93475000000001</v>
      </c>
      <c r="P210" s="66">
        <f t="shared" si="14"/>
        <v>663.73249999999996</v>
      </c>
      <c r="Q210" s="65">
        <f t="shared" si="14"/>
        <v>101.27370000000001</v>
      </c>
      <c r="R210" s="66">
        <f t="shared" si="14"/>
        <v>1844.1540000000002</v>
      </c>
      <c r="S210" s="66">
        <f t="shared" si="14"/>
        <v>6.46</v>
      </c>
      <c r="T210" s="67">
        <f t="shared" si="14"/>
        <v>4182.7245000000003</v>
      </c>
      <c r="U210" s="82"/>
      <c r="V210" s="1"/>
      <c r="W210" s="1"/>
      <c r="X210" s="1"/>
      <c r="Y210" s="1"/>
      <c r="Z210" s="1"/>
    </row>
    <row r="211" spans="1:26" ht="24.75" customHeight="1">
      <c r="A211" s="1"/>
      <c r="B211" s="1"/>
      <c r="C211" s="1"/>
      <c r="D211" s="1"/>
      <c r="E211" s="1"/>
      <c r="F211" s="1"/>
      <c r="G211" s="1"/>
      <c r="H211" s="1"/>
      <c r="I211" s="1"/>
      <c r="J211" s="1"/>
      <c r="K211" s="1"/>
      <c r="L211" s="1"/>
      <c r="M211" s="1"/>
      <c r="N211" s="1"/>
      <c r="O211" s="1"/>
      <c r="P211" s="1"/>
      <c r="Q211" s="1"/>
      <c r="R211" s="1"/>
      <c r="S211" s="1"/>
      <c r="T211" s="32"/>
      <c r="U211" s="2"/>
      <c r="V211" s="1"/>
      <c r="W211" s="1"/>
      <c r="X211" s="1"/>
      <c r="Y211" s="1"/>
      <c r="Z211" s="1"/>
    </row>
    <row r="212" spans="1:26" ht="24.75" customHeight="1">
      <c r="A212" s="1"/>
      <c r="B212" s="1"/>
      <c r="C212" s="1"/>
      <c r="D212" s="1"/>
      <c r="E212" s="1"/>
      <c r="F212" s="1"/>
      <c r="G212" s="1"/>
      <c r="H212" s="1"/>
      <c r="I212" s="1"/>
      <c r="J212" s="1"/>
      <c r="K212" s="1"/>
      <c r="L212" s="1"/>
      <c r="M212" s="1"/>
      <c r="N212" s="1"/>
      <c r="O212" s="1"/>
      <c r="P212" s="1"/>
      <c r="Q212" s="1"/>
      <c r="R212" s="1"/>
      <c r="S212" s="1"/>
      <c r="T212" s="1"/>
      <c r="U212" s="2"/>
      <c r="V212" s="1"/>
      <c r="W212" s="1"/>
      <c r="X212" s="1"/>
      <c r="Y212" s="1"/>
      <c r="Z212" s="1"/>
    </row>
    <row r="213" spans="1:26" ht="24.75" customHeight="1">
      <c r="A213" s="1"/>
      <c r="B213" s="1"/>
      <c r="C213" s="1"/>
      <c r="D213" s="1"/>
      <c r="E213" s="1"/>
      <c r="F213" s="1"/>
      <c r="G213" s="1"/>
      <c r="H213" s="1"/>
      <c r="I213" s="1"/>
      <c r="J213" s="1"/>
      <c r="K213" s="1"/>
      <c r="L213" s="1"/>
      <c r="M213" s="1"/>
      <c r="N213" s="1"/>
      <c r="O213" s="1"/>
      <c r="P213" s="1"/>
      <c r="Q213" s="1"/>
      <c r="R213" s="1"/>
      <c r="S213" s="1"/>
      <c r="T213" s="1"/>
      <c r="U213" s="2"/>
      <c r="V213" s="1"/>
      <c r="W213" s="1"/>
      <c r="X213" s="1"/>
      <c r="Y213" s="1"/>
      <c r="Z213" s="1"/>
    </row>
    <row r="214" spans="1:26" ht="24.75" customHeight="1">
      <c r="A214" s="1"/>
      <c r="B214" s="1"/>
      <c r="C214" s="1"/>
      <c r="D214" s="1"/>
      <c r="E214" s="1"/>
      <c r="F214" s="1"/>
      <c r="G214" s="1"/>
      <c r="H214" s="1"/>
      <c r="I214" s="1"/>
      <c r="J214" s="1"/>
      <c r="K214" s="1"/>
      <c r="L214" s="1"/>
      <c r="M214" s="1"/>
      <c r="N214" s="1"/>
      <c r="O214" s="1"/>
      <c r="P214" s="1"/>
      <c r="Q214" s="1"/>
      <c r="R214" s="1"/>
      <c r="S214" s="1"/>
      <c r="T214" s="1"/>
      <c r="U214" s="2"/>
      <c r="V214" s="1"/>
      <c r="W214" s="1"/>
      <c r="X214" s="1"/>
      <c r="Y214" s="1"/>
      <c r="Z214" s="1"/>
    </row>
    <row r="215" spans="1:26" ht="24.75" customHeight="1">
      <c r="A215" s="1"/>
      <c r="B215" s="1"/>
      <c r="C215" s="1"/>
      <c r="D215" s="1"/>
      <c r="E215" s="1"/>
      <c r="F215" s="1"/>
      <c r="G215" s="1"/>
      <c r="H215" s="1"/>
      <c r="I215" s="1"/>
      <c r="J215" s="1"/>
      <c r="K215" s="1"/>
      <c r="L215" s="1"/>
      <c r="M215" s="1"/>
      <c r="N215" s="1"/>
      <c r="O215" s="1"/>
      <c r="P215" s="1"/>
      <c r="Q215" s="1"/>
      <c r="R215" s="1"/>
      <c r="S215" s="1"/>
      <c r="T215" s="1"/>
      <c r="U215" s="2"/>
      <c r="V215" s="1"/>
      <c r="W215" s="1"/>
      <c r="X215" s="1"/>
      <c r="Y215" s="1"/>
      <c r="Z215" s="1"/>
    </row>
    <row r="216" spans="1:26" ht="24.75" customHeight="1">
      <c r="A216" s="1"/>
      <c r="B216" s="1"/>
      <c r="C216" s="1"/>
      <c r="D216" s="1"/>
      <c r="E216" s="1"/>
      <c r="F216" s="1"/>
      <c r="G216" s="1"/>
      <c r="H216" s="1"/>
      <c r="I216" s="1"/>
      <c r="J216" s="1"/>
      <c r="K216" s="1"/>
      <c r="L216" s="1"/>
      <c r="M216" s="1"/>
      <c r="N216" s="1"/>
      <c r="O216" s="1"/>
      <c r="P216" s="1"/>
      <c r="Q216" s="1"/>
      <c r="R216" s="1"/>
      <c r="S216" s="1"/>
      <c r="T216" s="1"/>
      <c r="U216" s="2"/>
      <c r="V216" s="1"/>
      <c r="W216" s="1"/>
      <c r="X216" s="1"/>
      <c r="Y216" s="1"/>
      <c r="Z216" s="1"/>
    </row>
    <row r="217" spans="1:26" ht="24.75" customHeight="1">
      <c r="A217" s="1"/>
      <c r="B217" s="1"/>
      <c r="C217" s="1"/>
      <c r="D217" s="1"/>
      <c r="E217" s="1"/>
      <c r="F217" s="1"/>
      <c r="G217" s="1"/>
      <c r="H217" s="1"/>
      <c r="I217" s="1"/>
      <c r="J217" s="1"/>
      <c r="K217" s="1"/>
      <c r="L217" s="1"/>
      <c r="M217" s="1"/>
      <c r="N217" s="1"/>
      <c r="O217" s="1"/>
      <c r="P217" s="1"/>
      <c r="Q217" s="1"/>
      <c r="R217" s="1"/>
      <c r="S217" s="1"/>
      <c r="T217" s="1"/>
      <c r="U217" s="2"/>
      <c r="V217" s="1"/>
      <c r="W217" s="1"/>
      <c r="X217" s="1"/>
      <c r="Y217" s="1"/>
      <c r="Z217" s="1"/>
    </row>
    <row r="218" spans="1:26" ht="24.75" customHeight="1">
      <c r="A218" s="1"/>
      <c r="B218" s="1"/>
      <c r="C218" s="1"/>
      <c r="D218" s="1"/>
      <c r="E218" s="1"/>
      <c r="F218" s="1"/>
      <c r="G218" s="1"/>
      <c r="H218" s="1"/>
      <c r="I218" s="1"/>
      <c r="J218" s="1"/>
      <c r="K218" s="1"/>
      <c r="L218" s="1"/>
      <c r="M218" s="1"/>
      <c r="N218" s="1"/>
      <c r="O218" s="1"/>
      <c r="P218" s="1"/>
      <c r="Q218" s="1"/>
      <c r="R218" s="1"/>
      <c r="S218" s="1"/>
      <c r="T218" s="1"/>
      <c r="U218" s="2"/>
      <c r="V218" s="1"/>
      <c r="W218" s="1"/>
      <c r="X218" s="1"/>
      <c r="Y218" s="1"/>
      <c r="Z218" s="1"/>
    </row>
    <row r="219" spans="1:26" ht="24.75" customHeight="1">
      <c r="A219" s="1"/>
      <c r="B219" s="1"/>
      <c r="C219" s="1"/>
      <c r="D219" s="1"/>
      <c r="E219" s="1"/>
      <c r="F219" s="1"/>
      <c r="G219" s="1"/>
      <c r="H219" s="1"/>
      <c r="I219" s="1"/>
      <c r="J219" s="1"/>
      <c r="K219" s="1"/>
      <c r="L219" s="1"/>
      <c r="M219" s="1"/>
      <c r="N219" s="1"/>
      <c r="O219" s="1"/>
      <c r="P219" s="1"/>
      <c r="Q219" s="1"/>
      <c r="R219" s="1"/>
      <c r="S219" s="1"/>
      <c r="T219" s="1"/>
      <c r="U219" s="2"/>
      <c r="V219" s="1"/>
      <c r="W219" s="1"/>
      <c r="X219" s="1"/>
      <c r="Y219" s="1"/>
      <c r="Z219" s="1"/>
    </row>
    <row r="220" spans="1:26" ht="24.75" customHeight="1">
      <c r="A220" s="1"/>
      <c r="B220" s="1"/>
      <c r="C220" s="1"/>
      <c r="D220" s="1"/>
      <c r="E220" s="1"/>
      <c r="F220" s="1"/>
      <c r="G220" s="1"/>
      <c r="H220" s="1"/>
      <c r="I220" s="1"/>
      <c r="J220" s="1"/>
      <c r="K220" s="1"/>
      <c r="L220" s="1"/>
      <c r="M220" s="1"/>
      <c r="N220" s="1"/>
      <c r="O220" s="1"/>
      <c r="P220" s="1"/>
      <c r="Q220" s="1"/>
      <c r="R220" s="1"/>
      <c r="S220" s="1"/>
      <c r="T220" s="1"/>
      <c r="U220" s="2"/>
      <c r="V220" s="1"/>
      <c r="W220" s="1"/>
      <c r="X220" s="1"/>
      <c r="Y220" s="1"/>
      <c r="Z220" s="1"/>
    </row>
    <row r="221" spans="1:26" ht="24.75" customHeight="1">
      <c r="A221" s="1"/>
      <c r="B221" s="1"/>
      <c r="C221" s="1"/>
      <c r="D221" s="1"/>
      <c r="E221" s="1"/>
      <c r="F221" s="1"/>
      <c r="G221" s="1"/>
      <c r="H221" s="1"/>
      <c r="I221" s="1"/>
      <c r="J221" s="1"/>
      <c r="K221" s="1"/>
      <c r="L221" s="1"/>
      <c r="M221" s="1"/>
      <c r="N221" s="1"/>
      <c r="O221" s="1"/>
      <c r="P221" s="1"/>
      <c r="Q221" s="1"/>
      <c r="R221" s="1"/>
      <c r="S221" s="1"/>
      <c r="T221" s="1"/>
      <c r="U221" s="2"/>
      <c r="V221" s="1"/>
      <c r="W221" s="1"/>
      <c r="X221" s="1"/>
      <c r="Y221" s="1"/>
      <c r="Z221" s="1"/>
    </row>
    <row r="222" spans="1:26" ht="24.75" customHeight="1">
      <c r="A222" s="1"/>
      <c r="B222" s="1"/>
      <c r="C222" s="1"/>
      <c r="D222" s="1"/>
      <c r="E222" s="1"/>
      <c r="F222" s="1"/>
      <c r="G222" s="1"/>
      <c r="H222" s="1"/>
      <c r="I222" s="1"/>
      <c r="J222" s="1"/>
      <c r="K222" s="1"/>
      <c r="L222" s="1"/>
      <c r="M222" s="1"/>
      <c r="N222" s="1"/>
      <c r="O222" s="1"/>
      <c r="P222" s="1"/>
      <c r="Q222" s="1"/>
      <c r="R222" s="1"/>
      <c r="S222" s="1"/>
      <c r="T222" s="1"/>
      <c r="U222" s="2"/>
      <c r="V222" s="1"/>
      <c r="W222" s="1"/>
      <c r="X222" s="1"/>
      <c r="Y222" s="1"/>
      <c r="Z222" s="1"/>
    </row>
    <row r="223" spans="1:26" ht="24.75" customHeight="1">
      <c r="A223" s="1"/>
      <c r="B223" s="1"/>
      <c r="C223" s="1"/>
      <c r="D223" s="1"/>
      <c r="E223" s="1"/>
      <c r="F223" s="1"/>
      <c r="G223" s="1"/>
      <c r="H223" s="1"/>
      <c r="I223" s="1"/>
      <c r="J223" s="1"/>
      <c r="K223" s="1"/>
      <c r="L223" s="1"/>
      <c r="M223" s="1"/>
      <c r="N223" s="1"/>
      <c r="O223" s="1"/>
      <c r="P223" s="1"/>
      <c r="Q223" s="1"/>
      <c r="R223" s="1"/>
      <c r="S223" s="1"/>
      <c r="T223" s="1"/>
      <c r="U223" s="2"/>
      <c r="V223" s="1"/>
      <c r="W223" s="1"/>
      <c r="X223" s="1"/>
      <c r="Y223" s="1"/>
      <c r="Z223" s="1"/>
    </row>
    <row r="224" spans="1:26" ht="24.75" customHeight="1">
      <c r="A224" s="1"/>
      <c r="B224" s="1"/>
      <c r="C224" s="1"/>
      <c r="D224" s="1"/>
      <c r="E224" s="1"/>
      <c r="F224" s="1"/>
      <c r="G224" s="1"/>
      <c r="H224" s="1"/>
      <c r="I224" s="1"/>
      <c r="J224" s="1"/>
      <c r="K224" s="1"/>
      <c r="L224" s="1"/>
      <c r="M224" s="1"/>
      <c r="N224" s="1"/>
      <c r="O224" s="1"/>
      <c r="P224" s="1"/>
      <c r="Q224" s="1"/>
      <c r="R224" s="1"/>
      <c r="S224" s="1"/>
      <c r="T224" s="1"/>
      <c r="U224" s="2"/>
      <c r="V224" s="1"/>
      <c r="W224" s="1"/>
      <c r="X224" s="1"/>
      <c r="Y224" s="1"/>
      <c r="Z224" s="1"/>
    </row>
    <row r="225" spans="1:26" ht="24.75" customHeight="1">
      <c r="A225" s="1"/>
      <c r="B225" s="1"/>
      <c r="C225" s="1"/>
      <c r="D225" s="1"/>
      <c r="E225" s="1"/>
      <c r="F225" s="1"/>
      <c r="G225" s="1"/>
      <c r="H225" s="1"/>
      <c r="I225" s="1"/>
      <c r="J225" s="1"/>
      <c r="K225" s="1"/>
      <c r="L225" s="1"/>
      <c r="M225" s="1"/>
      <c r="N225" s="1"/>
      <c r="O225" s="1"/>
      <c r="P225" s="1"/>
      <c r="Q225" s="1"/>
      <c r="R225" s="1"/>
      <c r="S225" s="1"/>
      <c r="T225" s="1"/>
      <c r="U225" s="2"/>
      <c r="V225" s="1"/>
      <c r="W225" s="1"/>
      <c r="X225" s="1"/>
      <c r="Y225" s="1"/>
      <c r="Z225" s="1"/>
    </row>
    <row r="226" spans="1:26" ht="24.75" customHeight="1">
      <c r="A226" s="1"/>
      <c r="B226" s="1"/>
      <c r="C226" s="1"/>
      <c r="D226" s="1"/>
      <c r="E226" s="1"/>
      <c r="F226" s="1"/>
      <c r="G226" s="1"/>
      <c r="H226" s="1"/>
      <c r="I226" s="1"/>
      <c r="J226" s="1"/>
      <c r="K226" s="1"/>
      <c r="L226" s="1"/>
      <c r="M226" s="1"/>
      <c r="N226" s="1"/>
      <c r="O226" s="1"/>
      <c r="P226" s="1"/>
      <c r="Q226" s="1"/>
      <c r="R226" s="1"/>
      <c r="S226" s="1"/>
      <c r="T226" s="1"/>
      <c r="U226" s="2"/>
      <c r="V226" s="1"/>
      <c r="W226" s="1"/>
      <c r="X226" s="1"/>
      <c r="Y226" s="1"/>
      <c r="Z226" s="1"/>
    </row>
    <row r="227" spans="1:26" ht="24.75" customHeight="1">
      <c r="A227" s="1"/>
      <c r="B227" s="1"/>
      <c r="C227" s="1"/>
      <c r="D227" s="1"/>
      <c r="E227" s="1"/>
      <c r="F227" s="1"/>
      <c r="G227" s="1"/>
      <c r="H227" s="1"/>
      <c r="I227" s="1"/>
      <c r="J227" s="1"/>
      <c r="K227" s="1"/>
      <c r="L227" s="1"/>
      <c r="M227" s="1"/>
      <c r="N227" s="1"/>
      <c r="O227" s="1"/>
      <c r="P227" s="1"/>
      <c r="Q227" s="1"/>
      <c r="R227" s="1"/>
      <c r="S227" s="1"/>
      <c r="T227" s="1"/>
      <c r="U227" s="2"/>
      <c r="V227" s="1"/>
      <c r="W227" s="1"/>
      <c r="X227" s="1"/>
      <c r="Y227" s="1"/>
      <c r="Z227" s="1"/>
    </row>
    <row r="228" spans="1:26" ht="24.75" customHeight="1">
      <c r="A228" s="1"/>
      <c r="B228" s="1"/>
      <c r="C228" s="1"/>
      <c r="D228" s="1"/>
      <c r="E228" s="1"/>
      <c r="F228" s="1"/>
      <c r="G228" s="1"/>
      <c r="H228" s="1"/>
      <c r="I228" s="1"/>
      <c r="J228" s="1"/>
      <c r="K228" s="1"/>
      <c r="L228" s="1"/>
      <c r="M228" s="1"/>
      <c r="N228" s="1"/>
      <c r="O228" s="1"/>
      <c r="P228" s="1"/>
      <c r="Q228" s="1"/>
      <c r="R228" s="1"/>
      <c r="S228" s="1"/>
      <c r="T228" s="1"/>
      <c r="U228" s="2"/>
      <c r="V228" s="1"/>
      <c r="W228" s="1"/>
      <c r="X228" s="1"/>
      <c r="Y228" s="1"/>
      <c r="Z228" s="1"/>
    </row>
    <row r="229" spans="1:26" ht="24.75" customHeight="1">
      <c r="A229" s="1"/>
      <c r="B229" s="1"/>
      <c r="C229" s="1"/>
      <c r="D229" s="1"/>
      <c r="E229" s="1"/>
      <c r="F229" s="1"/>
      <c r="G229" s="1"/>
      <c r="H229" s="1"/>
      <c r="I229" s="1"/>
      <c r="J229" s="1"/>
      <c r="K229" s="1"/>
      <c r="L229" s="1"/>
      <c r="M229" s="1"/>
      <c r="N229" s="1"/>
      <c r="O229" s="1"/>
      <c r="P229" s="1"/>
      <c r="Q229" s="1"/>
      <c r="R229" s="1"/>
      <c r="S229" s="1"/>
      <c r="T229" s="1"/>
      <c r="U229" s="2"/>
      <c r="V229" s="1"/>
      <c r="W229" s="1"/>
      <c r="X229" s="1"/>
      <c r="Y229" s="1"/>
      <c r="Z229" s="1"/>
    </row>
    <row r="230" spans="1:26" ht="24.75" customHeight="1">
      <c r="A230" s="1"/>
      <c r="B230" s="1"/>
      <c r="C230" s="1"/>
      <c r="D230" s="1"/>
      <c r="E230" s="1"/>
      <c r="F230" s="1"/>
      <c r="G230" s="1"/>
      <c r="H230" s="1"/>
      <c r="I230" s="1"/>
      <c r="J230" s="1"/>
      <c r="K230" s="1"/>
      <c r="L230" s="1"/>
      <c r="M230" s="1"/>
      <c r="N230" s="1"/>
      <c r="O230" s="1"/>
      <c r="P230" s="1"/>
      <c r="Q230" s="1"/>
      <c r="R230" s="1"/>
      <c r="S230" s="1"/>
      <c r="T230" s="1"/>
      <c r="U230" s="2"/>
      <c r="V230" s="1"/>
      <c r="W230" s="1"/>
      <c r="X230" s="1"/>
      <c r="Y230" s="1"/>
      <c r="Z230" s="1"/>
    </row>
    <row r="231" spans="1:26" ht="24.75" customHeight="1">
      <c r="A231" s="1"/>
      <c r="B231" s="1"/>
      <c r="C231" s="1"/>
      <c r="D231" s="1"/>
      <c r="E231" s="1"/>
      <c r="F231" s="1"/>
      <c r="G231" s="1"/>
      <c r="H231" s="1"/>
      <c r="I231" s="1"/>
      <c r="J231" s="1"/>
      <c r="K231" s="1"/>
      <c r="L231" s="1"/>
      <c r="M231" s="1"/>
      <c r="N231" s="1"/>
      <c r="O231" s="1"/>
      <c r="P231" s="1"/>
      <c r="Q231" s="1"/>
      <c r="R231" s="1"/>
      <c r="S231" s="1"/>
      <c r="T231" s="1"/>
      <c r="U231" s="2"/>
      <c r="V231" s="1"/>
      <c r="W231" s="1"/>
      <c r="X231" s="1"/>
      <c r="Y231" s="1"/>
      <c r="Z231" s="1"/>
    </row>
    <row r="232" spans="1:26" ht="24.75" customHeight="1">
      <c r="A232" s="1"/>
      <c r="B232" s="1"/>
      <c r="C232" s="1"/>
      <c r="D232" s="1"/>
      <c r="E232" s="1"/>
      <c r="F232" s="1"/>
      <c r="G232" s="1"/>
      <c r="H232" s="1"/>
      <c r="I232" s="1"/>
      <c r="J232" s="1"/>
      <c r="K232" s="1"/>
      <c r="L232" s="1"/>
      <c r="M232" s="1"/>
      <c r="N232" s="1"/>
      <c r="O232" s="1"/>
      <c r="P232" s="1"/>
      <c r="Q232" s="1"/>
      <c r="R232" s="1"/>
      <c r="S232" s="1"/>
      <c r="T232" s="1"/>
      <c r="U232" s="2"/>
      <c r="V232" s="1"/>
      <c r="W232" s="1"/>
      <c r="X232" s="1"/>
      <c r="Y232" s="1"/>
      <c r="Z232" s="1"/>
    </row>
    <row r="233" spans="1:26" ht="24.75" customHeight="1">
      <c r="A233" s="1"/>
      <c r="B233" s="1"/>
      <c r="C233" s="1"/>
      <c r="D233" s="1"/>
      <c r="E233" s="1"/>
      <c r="F233" s="1"/>
      <c r="G233" s="1"/>
      <c r="H233" s="1"/>
      <c r="I233" s="1"/>
      <c r="J233" s="1"/>
      <c r="K233" s="1"/>
      <c r="L233" s="1"/>
      <c r="M233" s="1"/>
      <c r="N233" s="1"/>
      <c r="O233" s="1"/>
      <c r="P233" s="1"/>
      <c r="Q233" s="1"/>
      <c r="R233" s="1"/>
      <c r="S233" s="1"/>
      <c r="T233" s="1"/>
      <c r="U233" s="2"/>
      <c r="V233" s="1"/>
      <c r="W233" s="1"/>
      <c r="X233" s="1"/>
      <c r="Y233" s="1"/>
      <c r="Z233" s="1"/>
    </row>
    <row r="234" spans="1:26" ht="24.75" customHeight="1">
      <c r="A234" s="1"/>
      <c r="B234" s="1"/>
      <c r="C234" s="1"/>
      <c r="D234" s="1"/>
      <c r="E234" s="1"/>
      <c r="F234" s="1"/>
      <c r="G234" s="1"/>
      <c r="H234" s="1"/>
      <c r="I234" s="1"/>
      <c r="J234" s="1"/>
      <c r="K234" s="1"/>
      <c r="L234" s="1"/>
      <c r="M234" s="1"/>
      <c r="N234" s="1"/>
      <c r="O234" s="1"/>
      <c r="P234" s="1"/>
      <c r="Q234" s="1"/>
      <c r="R234" s="1"/>
      <c r="S234" s="1"/>
      <c r="T234" s="1"/>
      <c r="U234" s="2"/>
      <c r="V234" s="1"/>
      <c r="W234" s="1"/>
      <c r="X234" s="1"/>
      <c r="Y234" s="1"/>
      <c r="Z234" s="1"/>
    </row>
    <row r="235" spans="1:26" ht="24.75" customHeight="1">
      <c r="A235" s="1"/>
      <c r="B235" s="1"/>
      <c r="C235" s="1"/>
      <c r="D235" s="1"/>
      <c r="E235" s="1"/>
      <c r="F235" s="1"/>
      <c r="G235" s="1"/>
      <c r="H235" s="1"/>
      <c r="I235" s="1"/>
      <c r="J235" s="1"/>
      <c r="K235" s="1"/>
      <c r="L235" s="1"/>
      <c r="M235" s="1"/>
      <c r="N235" s="1"/>
      <c r="O235" s="1"/>
      <c r="P235" s="1"/>
      <c r="Q235" s="1"/>
      <c r="R235" s="1"/>
      <c r="S235" s="1"/>
      <c r="T235" s="1"/>
      <c r="U235" s="2"/>
      <c r="V235" s="1"/>
      <c r="W235" s="1"/>
      <c r="X235" s="1"/>
      <c r="Y235" s="1"/>
      <c r="Z235" s="1"/>
    </row>
    <row r="236" spans="1:26" ht="24.75" customHeight="1">
      <c r="A236" s="1"/>
      <c r="B236" s="1"/>
      <c r="C236" s="1"/>
      <c r="D236" s="1"/>
      <c r="E236" s="1"/>
      <c r="F236" s="1"/>
      <c r="G236" s="1"/>
      <c r="H236" s="1"/>
      <c r="I236" s="1"/>
      <c r="J236" s="1"/>
      <c r="K236" s="1"/>
      <c r="L236" s="1"/>
      <c r="M236" s="1"/>
      <c r="N236" s="1"/>
      <c r="O236" s="1"/>
      <c r="P236" s="1"/>
      <c r="Q236" s="1"/>
      <c r="R236" s="1"/>
      <c r="S236" s="1"/>
      <c r="T236" s="1"/>
      <c r="U236" s="2"/>
      <c r="V236" s="1"/>
      <c r="W236" s="1"/>
      <c r="X236" s="1"/>
      <c r="Y236" s="1"/>
      <c r="Z236" s="1"/>
    </row>
    <row r="237" spans="1:26" ht="24.75" customHeight="1">
      <c r="A237" s="1"/>
      <c r="B237" s="1"/>
      <c r="C237" s="1"/>
      <c r="D237" s="1"/>
      <c r="E237" s="1"/>
      <c r="F237" s="1"/>
      <c r="G237" s="1"/>
      <c r="H237" s="1"/>
      <c r="I237" s="1"/>
      <c r="J237" s="1"/>
      <c r="K237" s="1"/>
      <c r="L237" s="1"/>
      <c r="M237" s="1"/>
      <c r="N237" s="1"/>
      <c r="O237" s="1"/>
      <c r="P237" s="1"/>
      <c r="Q237" s="1"/>
      <c r="R237" s="1"/>
      <c r="S237" s="1"/>
      <c r="T237" s="1"/>
      <c r="U237" s="2"/>
      <c r="V237" s="1"/>
      <c r="W237" s="1"/>
      <c r="X237" s="1"/>
      <c r="Y237" s="1"/>
      <c r="Z237" s="1"/>
    </row>
    <row r="238" spans="1:26" ht="24.75" customHeight="1">
      <c r="A238" s="1"/>
      <c r="B238" s="1"/>
      <c r="C238" s="1"/>
      <c r="D238" s="1"/>
      <c r="E238" s="1"/>
      <c r="F238" s="1"/>
      <c r="G238" s="1"/>
      <c r="H238" s="1"/>
      <c r="I238" s="1"/>
      <c r="J238" s="1"/>
      <c r="K238" s="1"/>
      <c r="L238" s="1"/>
      <c r="M238" s="1"/>
      <c r="N238" s="1"/>
      <c r="O238" s="1"/>
      <c r="P238" s="1"/>
      <c r="Q238" s="1"/>
      <c r="R238" s="1"/>
      <c r="S238" s="1"/>
      <c r="T238" s="1"/>
      <c r="U238" s="2"/>
      <c r="V238" s="1"/>
      <c r="W238" s="1"/>
      <c r="X238" s="1"/>
      <c r="Y238" s="1"/>
      <c r="Z238" s="1"/>
    </row>
    <row r="239" spans="1:26" ht="24.75" customHeight="1">
      <c r="A239" s="1"/>
      <c r="B239" s="1"/>
      <c r="C239" s="1"/>
      <c r="D239" s="1"/>
      <c r="E239" s="1"/>
      <c r="F239" s="1"/>
      <c r="G239" s="1"/>
      <c r="H239" s="1"/>
      <c r="I239" s="1"/>
      <c r="J239" s="1"/>
      <c r="K239" s="1"/>
      <c r="L239" s="1"/>
      <c r="M239" s="1"/>
      <c r="N239" s="1"/>
      <c r="O239" s="1"/>
      <c r="P239" s="1"/>
      <c r="Q239" s="1"/>
      <c r="R239" s="1"/>
      <c r="S239" s="1"/>
      <c r="T239" s="1"/>
      <c r="U239" s="2"/>
      <c r="V239" s="1"/>
      <c r="W239" s="1"/>
      <c r="X239" s="1"/>
      <c r="Y239" s="1"/>
      <c r="Z239" s="1"/>
    </row>
    <row r="240" spans="1:26" ht="24.75" customHeight="1">
      <c r="A240" s="1"/>
      <c r="B240" s="1"/>
      <c r="C240" s="1"/>
      <c r="D240" s="1"/>
      <c r="E240" s="1"/>
      <c r="F240" s="1"/>
      <c r="G240" s="1"/>
      <c r="H240" s="1"/>
      <c r="I240" s="1"/>
      <c r="J240" s="1"/>
      <c r="K240" s="1"/>
      <c r="L240" s="1"/>
      <c r="M240" s="1"/>
      <c r="N240" s="1"/>
      <c r="O240" s="1"/>
      <c r="P240" s="1"/>
      <c r="Q240" s="1"/>
      <c r="R240" s="1"/>
      <c r="S240" s="1"/>
      <c r="T240" s="1"/>
      <c r="U240" s="2"/>
      <c r="V240" s="1"/>
      <c r="W240" s="1"/>
      <c r="X240" s="1"/>
      <c r="Y240" s="1"/>
      <c r="Z240" s="1"/>
    </row>
    <row r="241" spans="1:26" ht="24.75" customHeight="1">
      <c r="A241" s="1"/>
      <c r="B241" s="1"/>
      <c r="C241" s="1"/>
      <c r="D241" s="1"/>
      <c r="E241" s="1"/>
      <c r="F241" s="1"/>
      <c r="G241" s="1"/>
      <c r="H241" s="1"/>
      <c r="I241" s="1"/>
      <c r="J241" s="1"/>
      <c r="K241" s="1"/>
      <c r="L241" s="1"/>
      <c r="M241" s="1"/>
      <c r="N241" s="1"/>
      <c r="O241" s="1"/>
      <c r="P241" s="1"/>
      <c r="Q241" s="1"/>
      <c r="R241" s="1"/>
      <c r="S241" s="1"/>
      <c r="T241" s="1"/>
      <c r="U241" s="2"/>
      <c r="V241" s="1"/>
      <c r="W241" s="1"/>
      <c r="X241" s="1"/>
      <c r="Y241" s="1"/>
      <c r="Z241" s="1"/>
    </row>
    <row r="242" spans="1:26" ht="24.75" customHeight="1">
      <c r="A242" s="1"/>
      <c r="B242" s="1"/>
      <c r="C242" s="1"/>
      <c r="D242" s="1"/>
      <c r="E242" s="1"/>
      <c r="F242" s="1"/>
      <c r="G242" s="1"/>
      <c r="H242" s="1"/>
      <c r="I242" s="1"/>
      <c r="J242" s="1"/>
      <c r="K242" s="1"/>
      <c r="L242" s="1"/>
      <c r="M242" s="1"/>
      <c r="N242" s="1"/>
      <c r="O242" s="1"/>
      <c r="P242" s="1"/>
      <c r="Q242" s="1"/>
      <c r="R242" s="1"/>
      <c r="S242" s="1"/>
      <c r="T242" s="1"/>
      <c r="U242" s="2"/>
      <c r="V242" s="1"/>
      <c r="W242" s="1"/>
      <c r="X242" s="1"/>
      <c r="Y242" s="1"/>
      <c r="Z242" s="1"/>
    </row>
    <row r="243" spans="1:26" ht="24.75" customHeight="1">
      <c r="A243" s="1"/>
      <c r="B243" s="1"/>
      <c r="C243" s="1"/>
      <c r="D243" s="1"/>
      <c r="E243" s="1"/>
      <c r="F243" s="1"/>
      <c r="G243" s="1"/>
      <c r="H243" s="1"/>
      <c r="I243" s="1"/>
      <c r="J243" s="1"/>
      <c r="K243" s="1"/>
      <c r="L243" s="1"/>
      <c r="M243" s="1"/>
      <c r="N243" s="1"/>
      <c r="O243" s="1"/>
      <c r="P243" s="1"/>
      <c r="Q243" s="1"/>
      <c r="R243" s="1"/>
      <c r="S243" s="1"/>
      <c r="T243" s="1"/>
      <c r="U243" s="2"/>
      <c r="V243" s="1"/>
      <c r="W243" s="1"/>
      <c r="X243" s="1"/>
      <c r="Y243" s="1"/>
      <c r="Z243" s="1"/>
    </row>
    <row r="244" spans="1:26" ht="24.75" customHeight="1">
      <c r="A244" s="1"/>
      <c r="B244" s="1"/>
      <c r="C244" s="1"/>
      <c r="D244" s="1"/>
      <c r="E244" s="1"/>
      <c r="F244" s="1"/>
      <c r="G244" s="1"/>
      <c r="H244" s="1"/>
      <c r="I244" s="1"/>
      <c r="J244" s="1"/>
      <c r="K244" s="1"/>
      <c r="L244" s="1"/>
      <c r="M244" s="1"/>
      <c r="N244" s="1"/>
      <c r="O244" s="1"/>
      <c r="P244" s="1"/>
      <c r="Q244" s="1"/>
      <c r="R244" s="1"/>
      <c r="S244" s="1"/>
      <c r="T244" s="1"/>
      <c r="U244" s="2"/>
      <c r="V244" s="1"/>
      <c r="W244" s="1"/>
      <c r="X244" s="1"/>
      <c r="Y244" s="1"/>
      <c r="Z244" s="1"/>
    </row>
    <row r="245" spans="1:26" ht="24.75" customHeight="1">
      <c r="A245" s="1"/>
      <c r="B245" s="1"/>
      <c r="C245" s="1"/>
      <c r="D245" s="1"/>
      <c r="E245" s="1"/>
      <c r="F245" s="1"/>
      <c r="G245" s="1"/>
      <c r="H245" s="1"/>
      <c r="I245" s="1"/>
      <c r="J245" s="1"/>
      <c r="K245" s="1"/>
      <c r="L245" s="1"/>
      <c r="M245" s="1"/>
      <c r="N245" s="1"/>
      <c r="O245" s="1"/>
      <c r="P245" s="1"/>
      <c r="Q245" s="1"/>
      <c r="R245" s="1"/>
      <c r="S245" s="1"/>
      <c r="T245" s="1"/>
      <c r="U245" s="2"/>
      <c r="V245" s="1"/>
      <c r="W245" s="1"/>
      <c r="X245" s="1"/>
      <c r="Y245" s="1"/>
      <c r="Z245" s="1"/>
    </row>
    <row r="246" spans="1:26" ht="24.75" customHeight="1">
      <c r="A246" s="1"/>
      <c r="B246" s="1"/>
      <c r="C246" s="1"/>
      <c r="D246" s="1"/>
      <c r="E246" s="1"/>
      <c r="F246" s="1"/>
      <c r="G246" s="1"/>
      <c r="H246" s="1"/>
      <c r="I246" s="1"/>
      <c r="J246" s="1"/>
      <c r="K246" s="1"/>
      <c r="L246" s="1"/>
      <c r="M246" s="1"/>
      <c r="N246" s="1"/>
      <c r="O246" s="1"/>
      <c r="P246" s="1"/>
      <c r="Q246" s="1"/>
      <c r="R246" s="1"/>
      <c r="S246" s="1"/>
      <c r="T246" s="1"/>
      <c r="U246" s="2"/>
      <c r="V246" s="1"/>
      <c r="W246" s="1"/>
      <c r="X246" s="1"/>
      <c r="Y246" s="1"/>
      <c r="Z246" s="1"/>
    </row>
    <row r="247" spans="1:26" ht="24.75" customHeight="1">
      <c r="A247" s="1"/>
      <c r="B247" s="1"/>
      <c r="C247" s="1"/>
      <c r="D247" s="1"/>
      <c r="E247" s="1"/>
      <c r="F247" s="1"/>
      <c r="G247" s="1"/>
      <c r="H247" s="1"/>
      <c r="I247" s="1"/>
      <c r="J247" s="1"/>
      <c r="K247" s="1"/>
      <c r="L247" s="1"/>
      <c r="M247" s="1"/>
      <c r="N247" s="1"/>
      <c r="O247" s="1"/>
      <c r="P247" s="1"/>
      <c r="Q247" s="1"/>
      <c r="R247" s="1"/>
      <c r="S247" s="1"/>
      <c r="T247" s="1"/>
      <c r="U247" s="2"/>
      <c r="V247" s="1"/>
      <c r="W247" s="1"/>
      <c r="X247" s="1"/>
      <c r="Y247" s="1"/>
      <c r="Z247" s="1"/>
    </row>
    <row r="248" spans="1:26" ht="24.75" customHeight="1">
      <c r="A248" s="1"/>
      <c r="B248" s="1"/>
      <c r="C248" s="1"/>
      <c r="D248" s="1"/>
      <c r="E248" s="1"/>
      <c r="F248" s="1"/>
      <c r="G248" s="1"/>
      <c r="H248" s="1"/>
      <c r="I248" s="1"/>
      <c r="J248" s="1"/>
      <c r="K248" s="1"/>
      <c r="L248" s="1"/>
      <c r="M248" s="1"/>
      <c r="N248" s="1"/>
      <c r="O248" s="1"/>
      <c r="P248" s="1"/>
      <c r="Q248" s="1"/>
      <c r="R248" s="1"/>
      <c r="S248" s="1"/>
      <c r="T248" s="1"/>
      <c r="U248" s="2"/>
      <c r="V248" s="1"/>
      <c r="W248" s="1"/>
      <c r="X248" s="1"/>
      <c r="Y248" s="1"/>
      <c r="Z248" s="1"/>
    </row>
    <row r="249" spans="1:26" ht="24.75" customHeight="1">
      <c r="A249" s="1"/>
      <c r="B249" s="1"/>
      <c r="C249" s="1"/>
      <c r="D249" s="1"/>
      <c r="E249" s="1"/>
      <c r="F249" s="1"/>
      <c r="G249" s="1"/>
      <c r="H249" s="1"/>
      <c r="I249" s="1"/>
      <c r="J249" s="1"/>
      <c r="K249" s="1"/>
      <c r="L249" s="1"/>
      <c r="M249" s="1"/>
      <c r="N249" s="1"/>
      <c r="O249" s="1"/>
      <c r="P249" s="1"/>
      <c r="Q249" s="1"/>
      <c r="R249" s="1"/>
      <c r="S249" s="1"/>
      <c r="T249" s="1"/>
      <c r="U249" s="2"/>
      <c r="V249" s="1"/>
      <c r="W249" s="1"/>
      <c r="X249" s="1"/>
      <c r="Y249" s="1"/>
      <c r="Z249" s="1"/>
    </row>
    <row r="250" spans="1:26" ht="24.75" customHeight="1">
      <c r="A250" s="1"/>
      <c r="B250" s="1"/>
      <c r="C250" s="1"/>
      <c r="D250" s="1"/>
      <c r="E250" s="1"/>
      <c r="F250" s="1"/>
      <c r="G250" s="1"/>
      <c r="H250" s="1"/>
      <c r="I250" s="1"/>
      <c r="J250" s="1"/>
      <c r="K250" s="1"/>
      <c r="L250" s="1"/>
      <c r="M250" s="1"/>
      <c r="N250" s="1"/>
      <c r="O250" s="1"/>
      <c r="P250" s="1"/>
      <c r="Q250" s="1"/>
      <c r="R250" s="1"/>
      <c r="S250" s="1"/>
      <c r="T250" s="1"/>
      <c r="U250" s="2"/>
      <c r="V250" s="1"/>
      <c r="W250" s="1"/>
      <c r="X250" s="1"/>
      <c r="Y250" s="1"/>
      <c r="Z250" s="1"/>
    </row>
    <row r="251" spans="1:26" ht="24.75" customHeight="1">
      <c r="A251" s="1"/>
      <c r="B251" s="1"/>
      <c r="C251" s="1"/>
      <c r="D251" s="1"/>
      <c r="E251" s="1"/>
      <c r="F251" s="1"/>
      <c r="G251" s="1"/>
      <c r="H251" s="1"/>
      <c r="I251" s="1"/>
      <c r="J251" s="1"/>
      <c r="K251" s="1"/>
      <c r="L251" s="1"/>
      <c r="M251" s="1"/>
      <c r="N251" s="1"/>
      <c r="O251" s="1"/>
      <c r="P251" s="1"/>
      <c r="Q251" s="1"/>
      <c r="R251" s="1"/>
      <c r="S251" s="1"/>
      <c r="T251" s="1"/>
      <c r="U251" s="2"/>
      <c r="V251" s="1"/>
      <c r="W251" s="1"/>
      <c r="X251" s="1"/>
      <c r="Y251" s="1"/>
      <c r="Z251" s="1"/>
    </row>
    <row r="252" spans="1:26" ht="24.75" customHeight="1">
      <c r="A252" s="1"/>
      <c r="B252" s="1"/>
      <c r="C252" s="1"/>
      <c r="D252" s="1"/>
      <c r="E252" s="1"/>
      <c r="F252" s="1"/>
      <c r="G252" s="1"/>
      <c r="H252" s="1"/>
      <c r="I252" s="1"/>
      <c r="J252" s="1"/>
      <c r="K252" s="1"/>
      <c r="L252" s="1"/>
      <c r="M252" s="1"/>
      <c r="N252" s="1"/>
      <c r="O252" s="1"/>
      <c r="P252" s="1"/>
      <c r="Q252" s="1"/>
      <c r="R252" s="1"/>
      <c r="S252" s="1"/>
      <c r="T252" s="1"/>
      <c r="U252" s="2"/>
      <c r="V252" s="1"/>
      <c r="W252" s="1"/>
      <c r="X252" s="1"/>
      <c r="Y252" s="1"/>
      <c r="Z252" s="1"/>
    </row>
    <row r="253" spans="1:26" ht="24.75" customHeight="1">
      <c r="A253" s="1"/>
      <c r="B253" s="1"/>
      <c r="C253" s="1"/>
      <c r="D253" s="1"/>
      <c r="E253" s="1"/>
      <c r="F253" s="1"/>
      <c r="G253" s="1"/>
      <c r="H253" s="1"/>
      <c r="I253" s="1"/>
      <c r="J253" s="1"/>
      <c r="K253" s="1"/>
      <c r="L253" s="1"/>
      <c r="M253" s="1"/>
      <c r="N253" s="1"/>
      <c r="O253" s="1"/>
      <c r="P253" s="1"/>
      <c r="Q253" s="1"/>
      <c r="R253" s="1"/>
      <c r="S253" s="1"/>
      <c r="T253" s="1"/>
      <c r="U253" s="2"/>
      <c r="V253" s="1"/>
      <c r="W253" s="1"/>
      <c r="X253" s="1"/>
      <c r="Y253" s="1"/>
      <c r="Z253" s="1"/>
    </row>
    <row r="254" spans="1:26" ht="24.75" customHeight="1">
      <c r="A254" s="1"/>
      <c r="B254" s="1"/>
      <c r="C254" s="1"/>
      <c r="D254" s="1"/>
      <c r="E254" s="1"/>
      <c r="F254" s="1"/>
      <c r="G254" s="1"/>
      <c r="H254" s="1"/>
      <c r="I254" s="1"/>
      <c r="J254" s="1"/>
      <c r="K254" s="1"/>
      <c r="L254" s="1"/>
      <c r="M254" s="1"/>
      <c r="N254" s="1"/>
      <c r="O254" s="1"/>
      <c r="P254" s="1"/>
      <c r="Q254" s="1"/>
      <c r="R254" s="1"/>
      <c r="S254" s="1"/>
      <c r="T254" s="1"/>
      <c r="U254" s="2"/>
      <c r="V254" s="1"/>
      <c r="W254" s="1"/>
      <c r="X254" s="1"/>
      <c r="Y254" s="1"/>
      <c r="Z254" s="1"/>
    </row>
    <row r="255" spans="1:26" ht="24.75" customHeight="1">
      <c r="A255" s="1"/>
      <c r="B255" s="1"/>
      <c r="C255" s="1"/>
      <c r="D255" s="1"/>
      <c r="E255" s="1"/>
      <c r="F255" s="1"/>
      <c r="G255" s="1"/>
      <c r="H255" s="1"/>
      <c r="I255" s="1"/>
      <c r="J255" s="1"/>
      <c r="K255" s="1"/>
      <c r="L255" s="1"/>
      <c r="M255" s="1"/>
      <c r="N255" s="1"/>
      <c r="O255" s="1"/>
      <c r="P255" s="1"/>
      <c r="Q255" s="1"/>
      <c r="R255" s="1"/>
      <c r="S255" s="1"/>
      <c r="T255" s="1"/>
      <c r="U255" s="2"/>
      <c r="V255" s="1"/>
      <c r="W255" s="1"/>
      <c r="X255" s="1"/>
      <c r="Y255" s="1"/>
      <c r="Z255" s="1"/>
    </row>
    <row r="256" spans="1:26" ht="24.75" customHeight="1">
      <c r="A256" s="1"/>
      <c r="B256" s="1"/>
      <c r="C256" s="1"/>
      <c r="D256" s="1"/>
      <c r="E256" s="1"/>
      <c r="F256" s="1"/>
      <c r="G256" s="1"/>
      <c r="H256" s="1"/>
      <c r="I256" s="1"/>
      <c r="J256" s="1"/>
      <c r="K256" s="1"/>
      <c r="L256" s="1"/>
      <c r="M256" s="1"/>
      <c r="N256" s="1"/>
      <c r="O256" s="1"/>
      <c r="P256" s="1"/>
      <c r="Q256" s="1"/>
      <c r="R256" s="1"/>
      <c r="S256" s="1"/>
      <c r="T256" s="1"/>
      <c r="U256" s="2"/>
      <c r="V256" s="1"/>
      <c r="W256" s="1"/>
      <c r="X256" s="1"/>
      <c r="Y256" s="1"/>
      <c r="Z256" s="1"/>
    </row>
    <row r="257" spans="1:26" ht="24.75" customHeight="1">
      <c r="A257" s="1"/>
      <c r="B257" s="1"/>
      <c r="C257" s="1"/>
      <c r="D257" s="1"/>
      <c r="E257" s="1"/>
      <c r="F257" s="1"/>
      <c r="G257" s="1"/>
      <c r="H257" s="1"/>
      <c r="I257" s="1"/>
      <c r="J257" s="1"/>
      <c r="K257" s="1"/>
      <c r="L257" s="1"/>
      <c r="M257" s="1"/>
      <c r="N257" s="1"/>
      <c r="O257" s="1"/>
      <c r="P257" s="1"/>
      <c r="Q257" s="1"/>
      <c r="R257" s="1"/>
      <c r="S257" s="1"/>
      <c r="T257" s="1"/>
      <c r="U257" s="2"/>
      <c r="V257" s="1"/>
      <c r="W257" s="1"/>
      <c r="X257" s="1"/>
      <c r="Y257" s="1"/>
      <c r="Z257" s="1"/>
    </row>
    <row r="258" spans="1:26" ht="24.75" customHeight="1">
      <c r="A258" s="1"/>
      <c r="B258" s="1"/>
      <c r="C258" s="1"/>
      <c r="D258" s="1"/>
      <c r="E258" s="1"/>
      <c r="F258" s="1"/>
      <c r="G258" s="1"/>
      <c r="H258" s="1"/>
      <c r="I258" s="1"/>
      <c r="J258" s="1"/>
      <c r="K258" s="1"/>
      <c r="L258" s="1"/>
      <c r="M258" s="1"/>
      <c r="N258" s="1"/>
      <c r="O258" s="1"/>
      <c r="P258" s="1"/>
      <c r="Q258" s="1"/>
      <c r="R258" s="1"/>
      <c r="S258" s="1"/>
      <c r="T258" s="1"/>
      <c r="U258" s="2"/>
      <c r="V258" s="1"/>
      <c r="W258" s="1"/>
      <c r="X258" s="1"/>
      <c r="Y258" s="1"/>
      <c r="Z258" s="1"/>
    </row>
    <row r="259" spans="1:26" ht="24.75" customHeight="1">
      <c r="A259" s="1"/>
      <c r="B259" s="1"/>
      <c r="C259" s="1"/>
      <c r="D259" s="1"/>
      <c r="E259" s="1"/>
      <c r="F259" s="1"/>
      <c r="G259" s="1"/>
      <c r="H259" s="1"/>
      <c r="I259" s="1"/>
      <c r="J259" s="1"/>
      <c r="K259" s="1"/>
      <c r="L259" s="1"/>
      <c r="M259" s="1"/>
      <c r="N259" s="1"/>
      <c r="O259" s="1"/>
      <c r="P259" s="1"/>
      <c r="Q259" s="1"/>
      <c r="R259" s="1"/>
      <c r="S259" s="1"/>
      <c r="T259" s="1"/>
      <c r="U259" s="2"/>
      <c r="V259" s="1"/>
      <c r="W259" s="1"/>
      <c r="X259" s="1"/>
      <c r="Y259" s="1"/>
      <c r="Z259" s="1"/>
    </row>
    <row r="260" spans="1:26" ht="24.75" customHeight="1">
      <c r="A260" s="1"/>
      <c r="B260" s="1"/>
      <c r="C260" s="1"/>
      <c r="D260" s="1"/>
      <c r="E260" s="1"/>
      <c r="F260" s="1"/>
      <c r="G260" s="1"/>
      <c r="H260" s="1"/>
      <c r="I260" s="1"/>
      <c r="J260" s="1"/>
      <c r="K260" s="1"/>
      <c r="L260" s="1"/>
      <c r="M260" s="1"/>
      <c r="N260" s="1"/>
      <c r="O260" s="1"/>
      <c r="P260" s="1"/>
      <c r="Q260" s="1"/>
      <c r="R260" s="1"/>
      <c r="S260" s="1"/>
      <c r="T260" s="1"/>
      <c r="U260" s="2"/>
      <c r="V260" s="1"/>
      <c r="W260" s="1"/>
      <c r="X260" s="1"/>
      <c r="Y260" s="1"/>
      <c r="Z260" s="1"/>
    </row>
    <row r="261" spans="1:26" ht="24.75" customHeight="1">
      <c r="A261" s="1"/>
      <c r="B261" s="1"/>
      <c r="C261" s="1"/>
      <c r="D261" s="1"/>
      <c r="E261" s="1"/>
      <c r="F261" s="1"/>
      <c r="G261" s="1"/>
      <c r="H261" s="1"/>
      <c r="I261" s="1"/>
      <c r="J261" s="1"/>
      <c r="K261" s="1"/>
      <c r="L261" s="1"/>
      <c r="M261" s="1"/>
      <c r="N261" s="1"/>
      <c r="O261" s="1"/>
      <c r="P261" s="1"/>
      <c r="Q261" s="1"/>
      <c r="R261" s="1"/>
      <c r="S261" s="1"/>
      <c r="T261" s="1"/>
      <c r="U261" s="2"/>
      <c r="V261" s="1"/>
      <c r="W261" s="1"/>
      <c r="X261" s="1"/>
      <c r="Y261" s="1"/>
      <c r="Z261" s="1"/>
    </row>
    <row r="262" spans="1:26" ht="24.75" customHeight="1">
      <c r="A262" s="1"/>
      <c r="B262" s="1"/>
      <c r="C262" s="1"/>
      <c r="D262" s="1"/>
      <c r="E262" s="1"/>
      <c r="F262" s="1"/>
      <c r="G262" s="1"/>
      <c r="H262" s="1"/>
      <c r="I262" s="1"/>
      <c r="J262" s="1"/>
      <c r="K262" s="1"/>
      <c r="L262" s="1"/>
      <c r="M262" s="1"/>
      <c r="N262" s="1"/>
      <c r="O262" s="1"/>
      <c r="P262" s="1"/>
      <c r="Q262" s="1"/>
      <c r="R262" s="1"/>
      <c r="S262" s="1"/>
      <c r="T262" s="1"/>
      <c r="U262" s="2"/>
      <c r="V262" s="1"/>
      <c r="W262" s="1"/>
      <c r="X262" s="1"/>
      <c r="Y262" s="1"/>
      <c r="Z262" s="1"/>
    </row>
    <row r="263" spans="1:26" ht="24.75" customHeight="1">
      <c r="A263" s="1"/>
      <c r="B263" s="1"/>
      <c r="C263" s="1"/>
      <c r="D263" s="1"/>
      <c r="E263" s="1"/>
      <c r="F263" s="1"/>
      <c r="G263" s="1"/>
      <c r="H263" s="1"/>
      <c r="I263" s="1"/>
      <c r="J263" s="1"/>
      <c r="K263" s="1"/>
      <c r="L263" s="1"/>
      <c r="M263" s="1"/>
      <c r="N263" s="1"/>
      <c r="O263" s="1"/>
      <c r="P263" s="1"/>
      <c r="Q263" s="1"/>
      <c r="R263" s="1"/>
      <c r="S263" s="1"/>
      <c r="T263" s="1"/>
      <c r="U263" s="2"/>
      <c r="V263" s="1"/>
      <c r="W263" s="1"/>
      <c r="X263" s="1"/>
      <c r="Y263" s="1"/>
      <c r="Z263" s="1"/>
    </row>
    <row r="264" spans="1:26" ht="24.75" customHeight="1">
      <c r="A264" s="1"/>
      <c r="B264" s="1"/>
      <c r="C264" s="1"/>
      <c r="D264" s="1"/>
      <c r="E264" s="1"/>
      <c r="F264" s="1"/>
      <c r="G264" s="1"/>
      <c r="H264" s="1"/>
      <c r="I264" s="1"/>
      <c r="J264" s="1"/>
      <c r="K264" s="1"/>
      <c r="L264" s="1"/>
      <c r="M264" s="1"/>
      <c r="N264" s="1"/>
      <c r="O264" s="1"/>
      <c r="P264" s="1"/>
      <c r="Q264" s="1"/>
      <c r="R264" s="1"/>
      <c r="S264" s="1"/>
      <c r="T264" s="1"/>
      <c r="U264" s="2"/>
      <c r="V264" s="1"/>
      <c r="W264" s="1"/>
      <c r="X264" s="1"/>
      <c r="Y264" s="1"/>
      <c r="Z264" s="1"/>
    </row>
    <row r="265" spans="1:26" ht="24.75" customHeight="1">
      <c r="A265" s="1"/>
      <c r="B265" s="1"/>
      <c r="C265" s="1"/>
      <c r="D265" s="1"/>
      <c r="E265" s="1"/>
      <c r="F265" s="1"/>
      <c r="G265" s="1"/>
      <c r="H265" s="1"/>
      <c r="I265" s="1"/>
      <c r="J265" s="1"/>
      <c r="K265" s="1"/>
      <c r="L265" s="1"/>
      <c r="M265" s="1"/>
      <c r="N265" s="1"/>
      <c r="O265" s="1"/>
      <c r="P265" s="1"/>
      <c r="Q265" s="1"/>
      <c r="R265" s="1"/>
      <c r="S265" s="1"/>
      <c r="T265" s="1"/>
      <c r="U265" s="2"/>
      <c r="V265" s="1"/>
      <c r="W265" s="1"/>
      <c r="X265" s="1"/>
      <c r="Y265" s="1"/>
      <c r="Z265" s="1"/>
    </row>
    <row r="266" spans="1:26" ht="24.75" customHeight="1">
      <c r="A266" s="1"/>
      <c r="B266" s="1"/>
      <c r="C266" s="1"/>
      <c r="D266" s="1"/>
      <c r="E266" s="1"/>
      <c r="F266" s="1"/>
      <c r="G266" s="1"/>
      <c r="H266" s="1"/>
      <c r="I266" s="1"/>
      <c r="J266" s="1"/>
      <c r="K266" s="1"/>
      <c r="L266" s="1"/>
      <c r="M266" s="1"/>
      <c r="N266" s="1"/>
      <c r="O266" s="1"/>
      <c r="P266" s="1"/>
      <c r="Q266" s="1"/>
      <c r="R266" s="1"/>
      <c r="S266" s="1"/>
      <c r="T266" s="1"/>
      <c r="U266" s="2"/>
      <c r="V266" s="1"/>
      <c r="W266" s="1"/>
      <c r="X266" s="1"/>
      <c r="Y266" s="1"/>
      <c r="Z266" s="1"/>
    </row>
    <row r="267" spans="1:26" ht="24.75" customHeight="1">
      <c r="A267" s="1"/>
      <c r="B267" s="1"/>
      <c r="C267" s="1"/>
      <c r="D267" s="1"/>
      <c r="E267" s="1"/>
      <c r="F267" s="1"/>
      <c r="G267" s="1"/>
      <c r="H267" s="1"/>
      <c r="I267" s="1"/>
      <c r="J267" s="1"/>
      <c r="K267" s="1"/>
      <c r="L267" s="1"/>
      <c r="M267" s="1"/>
      <c r="N267" s="1"/>
      <c r="O267" s="1"/>
      <c r="P267" s="1"/>
      <c r="Q267" s="1"/>
      <c r="R267" s="1"/>
      <c r="S267" s="1"/>
      <c r="T267" s="1"/>
      <c r="U267" s="2"/>
      <c r="V267" s="1"/>
      <c r="W267" s="1"/>
      <c r="X267" s="1"/>
      <c r="Y267" s="1"/>
      <c r="Z267" s="1"/>
    </row>
    <row r="268" spans="1:26" ht="24.75" customHeight="1">
      <c r="A268" s="1"/>
      <c r="B268" s="1"/>
      <c r="C268" s="1"/>
      <c r="D268" s="1"/>
      <c r="E268" s="1"/>
      <c r="F268" s="1"/>
      <c r="G268" s="1"/>
      <c r="H268" s="1"/>
      <c r="I268" s="1"/>
      <c r="J268" s="1"/>
      <c r="K268" s="1"/>
      <c r="L268" s="1"/>
      <c r="M268" s="1"/>
      <c r="N268" s="1"/>
      <c r="O268" s="1"/>
      <c r="P268" s="1"/>
      <c r="Q268" s="1"/>
      <c r="R268" s="1"/>
      <c r="S268" s="1"/>
      <c r="T268" s="1"/>
      <c r="U268" s="2"/>
      <c r="V268" s="1"/>
      <c r="W268" s="1"/>
      <c r="X268" s="1"/>
      <c r="Y268" s="1"/>
      <c r="Z268" s="1"/>
    </row>
    <row r="269" spans="1:26" ht="24.75" customHeight="1">
      <c r="A269" s="1"/>
      <c r="B269" s="1"/>
      <c r="C269" s="1"/>
      <c r="D269" s="1"/>
      <c r="E269" s="1"/>
      <c r="F269" s="1"/>
      <c r="G269" s="1"/>
      <c r="H269" s="1"/>
      <c r="I269" s="1"/>
      <c r="J269" s="1"/>
      <c r="K269" s="1"/>
      <c r="L269" s="1"/>
      <c r="M269" s="1"/>
      <c r="N269" s="1"/>
      <c r="O269" s="1"/>
      <c r="P269" s="1"/>
      <c r="Q269" s="1"/>
      <c r="R269" s="1"/>
      <c r="S269" s="1"/>
      <c r="T269" s="1"/>
      <c r="U269" s="2"/>
      <c r="V269" s="1"/>
      <c r="W269" s="1"/>
      <c r="X269" s="1"/>
      <c r="Y269" s="1"/>
      <c r="Z269" s="1"/>
    </row>
    <row r="270" spans="1:26" ht="24.75" customHeight="1">
      <c r="A270" s="1"/>
      <c r="B270" s="1"/>
      <c r="C270" s="1"/>
      <c r="D270" s="1"/>
      <c r="E270" s="1"/>
      <c r="F270" s="1"/>
      <c r="G270" s="1"/>
      <c r="H270" s="1"/>
      <c r="I270" s="1"/>
      <c r="J270" s="1"/>
      <c r="K270" s="1"/>
      <c r="L270" s="1"/>
      <c r="M270" s="1"/>
      <c r="N270" s="1"/>
      <c r="O270" s="1"/>
      <c r="P270" s="1"/>
      <c r="Q270" s="1"/>
      <c r="R270" s="1"/>
      <c r="S270" s="1"/>
      <c r="T270" s="1"/>
      <c r="U270" s="2"/>
      <c r="V270" s="1"/>
      <c r="W270" s="1"/>
      <c r="X270" s="1"/>
      <c r="Y270" s="1"/>
      <c r="Z270" s="1"/>
    </row>
    <row r="271" spans="1:26" ht="24.75" customHeight="1">
      <c r="A271" s="1"/>
      <c r="B271" s="1"/>
      <c r="C271" s="1"/>
      <c r="D271" s="1"/>
      <c r="E271" s="1"/>
      <c r="F271" s="1"/>
      <c r="G271" s="1"/>
      <c r="H271" s="1"/>
      <c r="I271" s="1"/>
      <c r="J271" s="1"/>
      <c r="K271" s="1"/>
      <c r="L271" s="1"/>
      <c r="M271" s="1"/>
      <c r="N271" s="1"/>
      <c r="O271" s="1"/>
      <c r="P271" s="1"/>
      <c r="Q271" s="1"/>
      <c r="R271" s="1"/>
      <c r="S271" s="1"/>
      <c r="T271" s="1"/>
      <c r="U271" s="2"/>
      <c r="V271" s="1"/>
      <c r="W271" s="1"/>
      <c r="X271" s="1"/>
      <c r="Y271" s="1"/>
      <c r="Z271" s="1"/>
    </row>
    <row r="272" spans="1:26" ht="24.75" customHeight="1">
      <c r="A272" s="1"/>
      <c r="B272" s="1"/>
      <c r="C272" s="1"/>
      <c r="D272" s="1"/>
      <c r="E272" s="1"/>
      <c r="F272" s="1"/>
      <c r="G272" s="1"/>
      <c r="H272" s="1"/>
      <c r="I272" s="1"/>
      <c r="J272" s="1"/>
      <c r="K272" s="1"/>
      <c r="L272" s="1"/>
      <c r="M272" s="1"/>
      <c r="N272" s="1"/>
      <c r="O272" s="1"/>
      <c r="P272" s="1"/>
      <c r="Q272" s="1"/>
      <c r="R272" s="1"/>
      <c r="S272" s="1"/>
      <c r="T272" s="1"/>
      <c r="U272" s="2"/>
      <c r="V272" s="1"/>
      <c r="W272" s="1"/>
      <c r="X272" s="1"/>
      <c r="Y272" s="1"/>
      <c r="Z272" s="1"/>
    </row>
    <row r="273" spans="1:26" ht="24.75" customHeight="1">
      <c r="A273" s="1"/>
      <c r="B273" s="1"/>
      <c r="C273" s="1"/>
      <c r="D273" s="1"/>
      <c r="E273" s="1"/>
      <c r="F273" s="1"/>
      <c r="G273" s="1"/>
      <c r="H273" s="1"/>
      <c r="I273" s="1"/>
      <c r="J273" s="1"/>
      <c r="K273" s="1"/>
      <c r="L273" s="1"/>
      <c r="M273" s="1"/>
      <c r="N273" s="1"/>
      <c r="O273" s="1"/>
      <c r="P273" s="1"/>
      <c r="Q273" s="1"/>
      <c r="R273" s="1"/>
      <c r="S273" s="1"/>
      <c r="T273" s="1"/>
      <c r="U273" s="2"/>
      <c r="V273" s="1"/>
      <c r="W273" s="1"/>
      <c r="X273" s="1"/>
      <c r="Y273" s="1"/>
      <c r="Z273" s="1"/>
    </row>
    <row r="274" spans="1:26" ht="24.75" customHeight="1">
      <c r="A274" s="1"/>
      <c r="B274" s="1"/>
      <c r="C274" s="1"/>
      <c r="D274" s="1"/>
      <c r="E274" s="1"/>
      <c r="F274" s="1"/>
      <c r="G274" s="1"/>
      <c r="H274" s="1"/>
      <c r="I274" s="1"/>
      <c r="J274" s="1"/>
      <c r="K274" s="1"/>
      <c r="L274" s="1"/>
      <c r="M274" s="1"/>
      <c r="N274" s="1"/>
      <c r="O274" s="1"/>
      <c r="P274" s="1"/>
      <c r="Q274" s="1"/>
      <c r="R274" s="1"/>
      <c r="S274" s="1"/>
      <c r="T274" s="1"/>
      <c r="U274" s="2"/>
      <c r="V274" s="1"/>
      <c r="W274" s="1"/>
      <c r="X274" s="1"/>
      <c r="Y274" s="1"/>
      <c r="Z274" s="1"/>
    </row>
    <row r="275" spans="1:26" ht="24.75" customHeight="1">
      <c r="A275" s="1"/>
      <c r="B275" s="1"/>
      <c r="C275" s="1"/>
      <c r="D275" s="1"/>
      <c r="E275" s="1"/>
      <c r="F275" s="1"/>
      <c r="G275" s="1"/>
      <c r="H275" s="1"/>
      <c r="I275" s="1"/>
      <c r="J275" s="1"/>
      <c r="K275" s="1"/>
      <c r="L275" s="1"/>
      <c r="M275" s="1"/>
      <c r="N275" s="1"/>
      <c r="O275" s="1"/>
      <c r="P275" s="1"/>
      <c r="Q275" s="1"/>
      <c r="R275" s="1"/>
      <c r="S275" s="1"/>
      <c r="T275" s="1"/>
      <c r="U275" s="2"/>
      <c r="V275" s="1"/>
      <c r="W275" s="1"/>
      <c r="X275" s="1"/>
      <c r="Y275" s="1"/>
      <c r="Z275" s="1"/>
    </row>
    <row r="276" spans="1:26" ht="24.75" customHeight="1">
      <c r="A276" s="1"/>
      <c r="B276" s="1"/>
      <c r="C276" s="1"/>
      <c r="D276" s="1"/>
      <c r="E276" s="1"/>
      <c r="F276" s="1"/>
      <c r="G276" s="1"/>
      <c r="H276" s="1"/>
      <c r="I276" s="1"/>
      <c r="J276" s="1"/>
      <c r="K276" s="1"/>
      <c r="L276" s="1"/>
      <c r="M276" s="1"/>
      <c r="N276" s="1"/>
      <c r="O276" s="1"/>
      <c r="P276" s="1"/>
      <c r="Q276" s="1"/>
      <c r="R276" s="1"/>
      <c r="S276" s="1"/>
      <c r="T276" s="1"/>
      <c r="U276" s="2"/>
      <c r="V276" s="1"/>
      <c r="W276" s="1"/>
      <c r="X276" s="1"/>
      <c r="Y276" s="1"/>
      <c r="Z276" s="1"/>
    </row>
    <row r="277" spans="1:26" ht="24.75" customHeight="1">
      <c r="A277" s="1"/>
      <c r="B277" s="1"/>
      <c r="C277" s="1"/>
      <c r="D277" s="1"/>
      <c r="E277" s="1"/>
      <c r="F277" s="1"/>
      <c r="G277" s="1"/>
      <c r="H277" s="1"/>
      <c r="I277" s="1"/>
      <c r="J277" s="1"/>
      <c r="K277" s="1"/>
      <c r="L277" s="1"/>
      <c r="M277" s="1"/>
      <c r="N277" s="1"/>
      <c r="O277" s="1"/>
      <c r="P277" s="1"/>
      <c r="Q277" s="1"/>
      <c r="R277" s="1"/>
      <c r="S277" s="1"/>
      <c r="T277" s="1"/>
      <c r="U277" s="2"/>
      <c r="V277" s="1"/>
      <c r="W277" s="1"/>
      <c r="X277" s="1"/>
      <c r="Y277" s="1"/>
      <c r="Z277" s="1"/>
    </row>
    <row r="278" spans="1:26" ht="24.75" customHeight="1">
      <c r="A278" s="1"/>
      <c r="B278" s="1"/>
      <c r="C278" s="1"/>
      <c r="D278" s="1"/>
      <c r="E278" s="1"/>
      <c r="F278" s="1"/>
      <c r="G278" s="1"/>
      <c r="H278" s="1"/>
      <c r="I278" s="1"/>
      <c r="J278" s="1"/>
      <c r="K278" s="1"/>
      <c r="L278" s="1"/>
      <c r="M278" s="1"/>
      <c r="N278" s="1"/>
      <c r="O278" s="1"/>
      <c r="P278" s="1"/>
      <c r="Q278" s="1"/>
      <c r="R278" s="1"/>
      <c r="S278" s="1"/>
      <c r="T278" s="1"/>
      <c r="U278" s="2"/>
      <c r="V278" s="1"/>
      <c r="W278" s="1"/>
      <c r="X278" s="1"/>
      <c r="Y278" s="1"/>
      <c r="Z278" s="1"/>
    </row>
    <row r="279" spans="1:26" ht="24.75" customHeight="1">
      <c r="A279" s="1"/>
      <c r="B279" s="1"/>
      <c r="C279" s="1"/>
      <c r="D279" s="1"/>
      <c r="E279" s="1"/>
      <c r="F279" s="1"/>
      <c r="G279" s="1"/>
      <c r="H279" s="1"/>
      <c r="I279" s="1"/>
      <c r="J279" s="1"/>
      <c r="K279" s="1"/>
      <c r="L279" s="1"/>
      <c r="M279" s="1"/>
      <c r="N279" s="1"/>
      <c r="O279" s="1"/>
      <c r="P279" s="1"/>
      <c r="Q279" s="1"/>
      <c r="R279" s="1"/>
      <c r="S279" s="1"/>
      <c r="T279" s="1"/>
      <c r="U279" s="2"/>
      <c r="V279" s="1"/>
      <c r="W279" s="1"/>
      <c r="X279" s="1"/>
      <c r="Y279" s="1"/>
      <c r="Z279" s="1"/>
    </row>
    <row r="280" spans="1:26" ht="24.75" customHeight="1">
      <c r="A280" s="1"/>
      <c r="B280" s="1"/>
      <c r="C280" s="1"/>
      <c r="D280" s="1"/>
      <c r="E280" s="1"/>
      <c r="F280" s="1"/>
      <c r="G280" s="1"/>
      <c r="H280" s="1"/>
      <c r="I280" s="1"/>
      <c r="J280" s="1"/>
      <c r="K280" s="1"/>
      <c r="L280" s="1"/>
      <c r="M280" s="1"/>
      <c r="N280" s="1"/>
      <c r="O280" s="1"/>
      <c r="P280" s="1"/>
      <c r="Q280" s="1"/>
      <c r="R280" s="1"/>
      <c r="S280" s="1"/>
      <c r="T280" s="1"/>
      <c r="U280" s="2"/>
      <c r="V280" s="1"/>
      <c r="W280" s="1"/>
      <c r="X280" s="1"/>
      <c r="Y280" s="1"/>
      <c r="Z280" s="1"/>
    </row>
    <row r="281" spans="1:26" ht="24.75" customHeight="1">
      <c r="A281" s="1"/>
      <c r="B281" s="1"/>
      <c r="C281" s="1"/>
      <c r="D281" s="1"/>
      <c r="E281" s="1"/>
      <c r="F281" s="1"/>
      <c r="G281" s="1"/>
      <c r="H281" s="1"/>
      <c r="I281" s="1"/>
      <c r="J281" s="1"/>
      <c r="K281" s="1"/>
      <c r="L281" s="1"/>
      <c r="M281" s="1"/>
      <c r="N281" s="1"/>
      <c r="O281" s="1"/>
      <c r="P281" s="1"/>
      <c r="Q281" s="1"/>
      <c r="R281" s="1"/>
      <c r="S281" s="1"/>
      <c r="T281" s="1"/>
      <c r="U281" s="2"/>
      <c r="V281" s="1"/>
      <c r="W281" s="1"/>
      <c r="X281" s="1"/>
      <c r="Y281" s="1"/>
      <c r="Z281" s="1"/>
    </row>
    <row r="282" spans="1:26" ht="24.75" customHeight="1">
      <c r="A282" s="1"/>
      <c r="B282" s="1"/>
      <c r="C282" s="1"/>
      <c r="D282" s="1"/>
      <c r="E282" s="1"/>
      <c r="F282" s="1"/>
      <c r="G282" s="1"/>
      <c r="H282" s="1"/>
      <c r="I282" s="1"/>
      <c r="J282" s="1"/>
      <c r="K282" s="1"/>
      <c r="L282" s="1"/>
      <c r="M282" s="1"/>
      <c r="N282" s="1"/>
      <c r="O282" s="1"/>
      <c r="P282" s="1"/>
      <c r="Q282" s="1"/>
      <c r="R282" s="1"/>
      <c r="S282" s="1"/>
      <c r="T282" s="1"/>
      <c r="U282" s="2"/>
      <c r="V282" s="1"/>
      <c r="W282" s="1"/>
      <c r="X282" s="1"/>
      <c r="Y282" s="1"/>
      <c r="Z282" s="1"/>
    </row>
    <row r="283" spans="1:26" ht="24.75" customHeight="1">
      <c r="A283" s="1"/>
      <c r="B283" s="1"/>
      <c r="C283" s="1"/>
      <c r="D283" s="1"/>
      <c r="E283" s="1"/>
      <c r="F283" s="1"/>
      <c r="G283" s="1"/>
      <c r="H283" s="1"/>
      <c r="I283" s="1"/>
      <c r="J283" s="1"/>
      <c r="K283" s="1"/>
      <c r="L283" s="1"/>
      <c r="M283" s="1"/>
      <c r="N283" s="1"/>
      <c r="O283" s="1"/>
      <c r="P283" s="1"/>
      <c r="Q283" s="1"/>
      <c r="R283" s="1"/>
      <c r="S283" s="1"/>
      <c r="T283" s="1"/>
      <c r="U283" s="2"/>
      <c r="V283" s="1"/>
      <c r="W283" s="1"/>
      <c r="X283" s="1"/>
      <c r="Y283" s="1"/>
      <c r="Z283" s="1"/>
    </row>
    <row r="284" spans="1:26" ht="24.75" customHeight="1">
      <c r="A284" s="1"/>
      <c r="B284" s="1"/>
      <c r="C284" s="1"/>
      <c r="D284" s="1"/>
      <c r="E284" s="1"/>
      <c r="F284" s="1"/>
      <c r="G284" s="1"/>
      <c r="H284" s="1"/>
      <c r="I284" s="1"/>
      <c r="J284" s="1"/>
      <c r="K284" s="1"/>
      <c r="L284" s="1"/>
      <c r="M284" s="1"/>
      <c r="N284" s="1"/>
      <c r="O284" s="1"/>
      <c r="P284" s="1"/>
      <c r="Q284" s="1"/>
      <c r="R284" s="1"/>
      <c r="S284" s="1"/>
      <c r="T284" s="1"/>
      <c r="U284" s="2"/>
      <c r="V284" s="1"/>
      <c r="W284" s="1"/>
      <c r="X284" s="1"/>
      <c r="Y284" s="1"/>
      <c r="Z284" s="1"/>
    </row>
    <row r="285" spans="1:26" ht="24.75" customHeight="1">
      <c r="A285" s="1"/>
      <c r="B285" s="1"/>
      <c r="C285" s="1"/>
      <c r="D285" s="1"/>
      <c r="E285" s="1"/>
      <c r="F285" s="1"/>
      <c r="G285" s="1"/>
      <c r="H285" s="1"/>
      <c r="I285" s="1"/>
      <c r="J285" s="1"/>
      <c r="K285" s="1"/>
      <c r="L285" s="1"/>
      <c r="M285" s="1"/>
      <c r="N285" s="1"/>
      <c r="O285" s="1"/>
      <c r="P285" s="1"/>
      <c r="Q285" s="1"/>
      <c r="R285" s="1"/>
      <c r="S285" s="1"/>
      <c r="T285" s="1"/>
      <c r="U285" s="2"/>
      <c r="V285" s="1"/>
      <c r="W285" s="1"/>
      <c r="X285" s="1"/>
      <c r="Y285" s="1"/>
      <c r="Z285" s="1"/>
    </row>
    <row r="286" spans="1:26" ht="24.75" customHeight="1">
      <c r="A286" s="1"/>
      <c r="B286" s="1"/>
      <c r="C286" s="1"/>
      <c r="D286" s="1"/>
      <c r="E286" s="1"/>
      <c r="F286" s="1"/>
      <c r="G286" s="1"/>
      <c r="H286" s="1"/>
      <c r="I286" s="1"/>
      <c r="J286" s="1"/>
      <c r="K286" s="1"/>
      <c r="L286" s="1"/>
      <c r="M286" s="1"/>
      <c r="N286" s="1"/>
      <c r="O286" s="1"/>
      <c r="P286" s="1"/>
      <c r="Q286" s="1"/>
      <c r="R286" s="1"/>
      <c r="S286" s="1"/>
      <c r="T286" s="1"/>
      <c r="U286" s="2"/>
      <c r="V286" s="1"/>
      <c r="W286" s="1"/>
      <c r="X286" s="1"/>
      <c r="Y286" s="1"/>
      <c r="Z286" s="1"/>
    </row>
    <row r="287" spans="1:26" ht="24.75" customHeight="1">
      <c r="A287" s="1"/>
      <c r="B287" s="1"/>
      <c r="C287" s="1"/>
      <c r="D287" s="1"/>
      <c r="E287" s="1"/>
      <c r="F287" s="1"/>
      <c r="G287" s="1"/>
      <c r="H287" s="1"/>
      <c r="I287" s="1"/>
      <c r="J287" s="1"/>
      <c r="K287" s="1"/>
      <c r="L287" s="1"/>
      <c r="M287" s="1"/>
      <c r="N287" s="1"/>
      <c r="O287" s="1"/>
      <c r="P287" s="1"/>
      <c r="Q287" s="1"/>
      <c r="R287" s="1"/>
      <c r="S287" s="1"/>
      <c r="T287" s="1"/>
      <c r="U287" s="2"/>
      <c r="V287" s="1"/>
      <c r="W287" s="1"/>
      <c r="X287" s="1"/>
      <c r="Y287" s="1"/>
      <c r="Z287" s="1"/>
    </row>
    <row r="288" spans="1:26" ht="24.75" customHeight="1">
      <c r="A288" s="1"/>
      <c r="B288" s="1"/>
      <c r="C288" s="1"/>
      <c r="D288" s="1"/>
      <c r="E288" s="1"/>
      <c r="F288" s="1"/>
      <c r="G288" s="1"/>
      <c r="H288" s="1"/>
      <c r="I288" s="1"/>
      <c r="J288" s="1"/>
      <c r="K288" s="1"/>
      <c r="L288" s="1"/>
      <c r="M288" s="1"/>
      <c r="N288" s="1"/>
      <c r="O288" s="1"/>
      <c r="P288" s="1"/>
      <c r="Q288" s="1"/>
      <c r="R288" s="1"/>
      <c r="S288" s="1"/>
      <c r="T288" s="1"/>
      <c r="U288" s="2"/>
      <c r="V288" s="1"/>
      <c r="W288" s="1"/>
      <c r="X288" s="1"/>
      <c r="Y288" s="1"/>
      <c r="Z288" s="1"/>
    </row>
    <row r="289" spans="1:26" ht="24.75" customHeight="1">
      <c r="A289" s="1"/>
      <c r="B289" s="1"/>
      <c r="C289" s="1"/>
      <c r="D289" s="1"/>
      <c r="E289" s="1"/>
      <c r="F289" s="1"/>
      <c r="G289" s="1"/>
      <c r="H289" s="1"/>
      <c r="I289" s="1"/>
      <c r="J289" s="1"/>
      <c r="K289" s="1"/>
      <c r="L289" s="1"/>
      <c r="M289" s="1"/>
      <c r="N289" s="1"/>
      <c r="O289" s="1"/>
      <c r="P289" s="1"/>
      <c r="Q289" s="1"/>
      <c r="R289" s="1"/>
      <c r="S289" s="1"/>
      <c r="T289" s="1"/>
      <c r="U289" s="2"/>
      <c r="V289" s="1"/>
      <c r="W289" s="1"/>
      <c r="X289" s="1"/>
      <c r="Y289" s="1"/>
      <c r="Z289" s="1"/>
    </row>
    <row r="290" spans="1:26" ht="24.75" customHeight="1">
      <c r="A290" s="1"/>
      <c r="B290" s="1"/>
      <c r="C290" s="1"/>
      <c r="D290" s="1"/>
      <c r="E290" s="1"/>
      <c r="F290" s="1"/>
      <c r="G290" s="1"/>
      <c r="H290" s="1"/>
      <c r="I290" s="1"/>
      <c r="J290" s="1"/>
      <c r="K290" s="1"/>
      <c r="L290" s="1"/>
      <c r="M290" s="1"/>
      <c r="N290" s="1"/>
      <c r="O290" s="1"/>
      <c r="P290" s="1"/>
      <c r="Q290" s="1"/>
      <c r="R290" s="1"/>
      <c r="S290" s="1"/>
      <c r="T290" s="1"/>
      <c r="U290" s="2"/>
      <c r="V290" s="1"/>
      <c r="W290" s="1"/>
      <c r="X290" s="1"/>
      <c r="Y290" s="1"/>
      <c r="Z290" s="1"/>
    </row>
    <row r="291" spans="1:26" ht="24.75" customHeight="1">
      <c r="A291" s="1"/>
      <c r="B291" s="1"/>
      <c r="C291" s="1"/>
      <c r="D291" s="1"/>
      <c r="E291" s="1"/>
      <c r="F291" s="1"/>
      <c r="G291" s="1"/>
      <c r="H291" s="1"/>
      <c r="I291" s="1"/>
      <c r="J291" s="1"/>
      <c r="K291" s="1"/>
      <c r="L291" s="1"/>
      <c r="M291" s="1"/>
      <c r="N291" s="1"/>
      <c r="O291" s="1"/>
      <c r="P291" s="1"/>
      <c r="Q291" s="1"/>
      <c r="R291" s="1"/>
      <c r="S291" s="1"/>
      <c r="T291" s="1"/>
      <c r="U291" s="2"/>
      <c r="V291" s="1"/>
      <c r="W291" s="1"/>
      <c r="X291" s="1"/>
      <c r="Y291" s="1"/>
      <c r="Z291" s="1"/>
    </row>
    <row r="292" spans="1:26" ht="24.75" customHeight="1">
      <c r="A292" s="1"/>
      <c r="B292" s="1"/>
      <c r="C292" s="1"/>
      <c r="D292" s="1"/>
      <c r="E292" s="1"/>
      <c r="F292" s="1"/>
      <c r="G292" s="1"/>
      <c r="H292" s="1"/>
      <c r="I292" s="1"/>
      <c r="J292" s="1"/>
      <c r="K292" s="1"/>
      <c r="L292" s="1"/>
      <c r="M292" s="1"/>
      <c r="N292" s="1"/>
      <c r="O292" s="1"/>
      <c r="P292" s="1"/>
      <c r="Q292" s="1"/>
      <c r="R292" s="1"/>
      <c r="S292" s="1"/>
      <c r="T292" s="1"/>
      <c r="U292" s="2"/>
      <c r="V292" s="1"/>
      <c r="W292" s="1"/>
      <c r="X292" s="1"/>
      <c r="Y292" s="1"/>
      <c r="Z292" s="1"/>
    </row>
    <row r="293" spans="1:26" ht="24.75" customHeight="1">
      <c r="A293" s="1"/>
      <c r="B293" s="1"/>
      <c r="C293" s="1"/>
      <c r="D293" s="1"/>
      <c r="E293" s="1"/>
      <c r="F293" s="1"/>
      <c r="G293" s="1"/>
      <c r="H293" s="1"/>
      <c r="I293" s="1"/>
      <c r="J293" s="1"/>
      <c r="K293" s="1"/>
      <c r="L293" s="1"/>
      <c r="M293" s="1"/>
      <c r="N293" s="1"/>
      <c r="O293" s="1"/>
      <c r="P293" s="1"/>
      <c r="Q293" s="1"/>
      <c r="R293" s="1"/>
      <c r="S293" s="1"/>
      <c r="T293" s="1"/>
      <c r="U293" s="2"/>
      <c r="V293" s="1"/>
      <c r="W293" s="1"/>
      <c r="X293" s="1"/>
      <c r="Y293" s="1"/>
      <c r="Z293" s="1"/>
    </row>
    <row r="294" spans="1:26" ht="24.75" customHeight="1">
      <c r="A294" s="1"/>
      <c r="B294" s="1"/>
      <c r="C294" s="1"/>
      <c r="D294" s="1"/>
      <c r="E294" s="1"/>
      <c r="F294" s="1"/>
      <c r="G294" s="1"/>
      <c r="H294" s="1"/>
      <c r="I294" s="1"/>
      <c r="J294" s="1"/>
      <c r="K294" s="1"/>
      <c r="L294" s="1"/>
      <c r="M294" s="1"/>
      <c r="N294" s="1"/>
      <c r="O294" s="1"/>
      <c r="P294" s="1"/>
      <c r="Q294" s="1"/>
      <c r="R294" s="1"/>
      <c r="S294" s="1"/>
      <c r="T294" s="1"/>
      <c r="U294" s="2"/>
      <c r="V294" s="1"/>
      <c r="W294" s="1"/>
      <c r="X294" s="1"/>
      <c r="Y294" s="1"/>
      <c r="Z294" s="1"/>
    </row>
    <row r="295" spans="1:26" ht="24.75" customHeight="1">
      <c r="A295" s="1"/>
      <c r="B295" s="1"/>
      <c r="C295" s="1"/>
      <c r="D295" s="1"/>
      <c r="E295" s="1"/>
      <c r="F295" s="1"/>
      <c r="G295" s="1"/>
      <c r="H295" s="1"/>
      <c r="I295" s="1"/>
      <c r="J295" s="1"/>
      <c r="K295" s="1"/>
      <c r="L295" s="1"/>
      <c r="M295" s="1"/>
      <c r="N295" s="1"/>
      <c r="O295" s="1"/>
      <c r="P295" s="1"/>
      <c r="Q295" s="1"/>
      <c r="R295" s="1"/>
      <c r="S295" s="1"/>
      <c r="T295" s="1"/>
      <c r="U295" s="2"/>
      <c r="V295" s="1"/>
      <c r="W295" s="1"/>
      <c r="X295" s="1"/>
      <c r="Y295" s="1"/>
      <c r="Z295" s="1"/>
    </row>
    <row r="296" spans="1:26" ht="24.75" customHeight="1">
      <c r="A296" s="1"/>
      <c r="B296" s="1"/>
      <c r="C296" s="1"/>
      <c r="D296" s="1"/>
      <c r="E296" s="1"/>
      <c r="F296" s="1"/>
      <c r="G296" s="1"/>
      <c r="H296" s="1"/>
      <c r="I296" s="1"/>
      <c r="J296" s="1"/>
      <c r="K296" s="1"/>
      <c r="L296" s="1"/>
      <c r="M296" s="1"/>
      <c r="N296" s="1"/>
      <c r="O296" s="1"/>
      <c r="P296" s="1"/>
      <c r="Q296" s="1"/>
      <c r="R296" s="1"/>
      <c r="S296" s="1"/>
      <c r="T296" s="1"/>
      <c r="U296" s="2"/>
      <c r="V296" s="1"/>
      <c r="W296" s="1"/>
      <c r="X296" s="1"/>
      <c r="Y296" s="1"/>
      <c r="Z296" s="1"/>
    </row>
    <row r="297" spans="1:26" ht="24.75" customHeight="1">
      <c r="A297" s="1"/>
      <c r="B297" s="1"/>
      <c r="C297" s="1"/>
      <c r="D297" s="1"/>
      <c r="E297" s="1"/>
      <c r="F297" s="1"/>
      <c r="G297" s="1"/>
      <c r="H297" s="1"/>
      <c r="I297" s="1"/>
      <c r="J297" s="1"/>
      <c r="K297" s="1"/>
      <c r="L297" s="1"/>
      <c r="M297" s="1"/>
      <c r="N297" s="1"/>
      <c r="O297" s="1"/>
      <c r="P297" s="1"/>
      <c r="Q297" s="1"/>
      <c r="R297" s="1"/>
      <c r="S297" s="1"/>
      <c r="T297" s="1"/>
      <c r="U297" s="2"/>
      <c r="V297" s="1"/>
      <c r="W297" s="1"/>
      <c r="X297" s="1"/>
      <c r="Y297" s="1"/>
      <c r="Z297" s="1"/>
    </row>
    <row r="298" spans="1:26" ht="24.75" customHeight="1">
      <c r="A298" s="1"/>
      <c r="B298" s="1"/>
      <c r="C298" s="1"/>
      <c r="D298" s="1"/>
      <c r="E298" s="1"/>
      <c r="F298" s="1"/>
      <c r="G298" s="1"/>
      <c r="H298" s="1"/>
      <c r="I298" s="1"/>
      <c r="J298" s="1"/>
      <c r="K298" s="1"/>
      <c r="L298" s="1"/>
      <c r="M298" s="1"/>
      <c r="N298" s="1"/>
      <c r="O298" s="1"/>
      <c r="P298" s="1"/>
      <c r="Q298" s="1"/>
      <c r="R298" s="1"/>
      <c r="S298" s="1"/>
      <c r="T298" s="1"/>
      <c r="U298" s="2"/>
      <c r="V298" s="1"/>
      <c r="W298" s="1"/>
      <c r="X298" s="1"/>
      <c r="Y298" s="1"/>
      <c r="Z298" s="1"/>
    </row>
    <row r="299" spans="1:26" ht="24.75" customHeight="1">
      <c r="A299" s="1"/>
      <c r="B299" s="1"/>
      <c r="C299" s="1"/>
      <c r="D299" s="1"/>
      <c r="E299" s="1"/>
      <c r="F299" s="1"/>
      <c r="G299" s="1"/>
      <c r="H299" s="1"/>
      <c r="I299" s="1"/>
      <c r="J299" s="1"/>
      <c r="K299" s="1"/>
      <c r="L299" s="1"/>
      <c r="M299" s="1"/>
      <c r="N299" s="1"/>
      <c r="O299" s="1"/>
      <c r="P299" s="1"/>
      <c r="Q299" s="1"/>
      <c r="R299" s="1"/>
      <c r="S299" s="1"/>
      <c r="T299" s="1"/>
      <c r="U299" s="2"/>
      <c r="V299" s="1"/>
      <c r="W299" s="1"/>
      <c r="X299" s="1"/>
      <c r="Y299" s="1"/>
      <c r="Z299" s="1"/>
    </row>
    <row r="300" spans="1:26" ht="24.75" customHeight="1">
      <c r="A300" s="1"/>
      <c r="B300" s="1"/>
      <c r="C300" s="1"/>
      <c r="D300" s="1"/>
      <c r="E300" s="1"/>
      <c r="F300" s="1"/>
      <c r="G300" s="1"/>
      <c r="H300" s="1"/>
      <c r="I300" s="1"/>
      <c r="J300" s="1"/>
      <c r="K300" s="1"/>
      <c r="L300" s="1"/>
      <c r="M300" s="1"/>
      <c r="N300" s="1"/>
      <c r="O300" s="1"/>
      <c r="P300" s="1"/>
      <c r="Q300" s="1"/>
      <c r="R300" s="1"/>
      <c r="S300" s="1"/>
      <c r="T300" s="1"/>
      <c r="U300" s="2"/>
      <c r="V300" s="1"/>
      <c r="W300" s="1"/>
      <c r="X300" s="1"/>
      <c r="Y300" s="1"/>
      <c r="Z300" s="1"/>
    </row>
    <row r="301" spans="1:26" ht="24.75" customHeight="1">
      <c r="A301" s="1"/>
      <c r="B301" s="1"/>
      <c r="C301" s="1"/>
      <c r="D301" s="1"/>
      <c r="E301" s="1"/>
      <c r="F301" s="1"/>
      <c r="G301" s="1"/>
      <c r="H301" s="1"/>
      <c r="I301" s="1"/>
      <c r="J301" s="1"/>
      <c r="K301" s="1"/>
      <c r="L301" s="1"/>
      <c r="M301" s="1"/>
      <c r="N301" s="1"/>
      <c r="O301" s="1"/>
      <c r="P301" s="1"/>
      <c r="Q301" s="1"/>
      <c r="R301" s="1"/>
      <c r="S301" s="1"/>
      <c r="T301" s="1"/>
      <c r="U301" s="2"/>
      <c r="V301" s="1"/>
      <c r="W301" s="1"/>
      <c r="X301" s="1"/>
      <c r="Y301" s="1"/>
      <c r="Z301" s="1"/>
    </row>
    <row r="302" spans="1:26" ht="24.75" customHeight="1">
      <c r="A302" s="1"/>
      <c r="B302" s="1"/>
      <c r="C302" s="1"/>
      <c r="D302" s="1"/>
      <c r="E302" s="1"/>
      <c r="F302" s="1"/>
      <c r="G302" s="1"/>
      <c r="H302" s="1"/>
      <c r="I302" s="1"/>
      <c r="J302" s="1"/>
      <c r="K302" s="1"/>
      <c r="L302" s="1"/>
      <c r="M302" s="1"/>
      <c r="N302" s="1"/>
      <c r="O302" s="1"/>
      <c r="P302" s="1"/>
      <c r="Q302" s="1"/>
      <c r="R302" s="1"/>
      <c r="S302" s="1"/>
      <c r="T302" s="1"/>
      <c r="U302" s="2"/>
      <c r="V302" s="1"/>
      <c r="W302" s="1"/>
      <c r="X302" s="1"/>
      <c r="Y302" s="1"/>
      <c r="Z302" s="1"/>
    </row>
    <row r="303" spans="1:26" ht="24.75" customHeight="1">
      <c r="A303" s="1"/>
      <c r="B303" s="1"/>
      <c r="C303" s="1"/>
      <c r="D303" s="1"/>
      <c r="E303" s="1"/>
      <c r="F303" s="1"/>
      <c r="G303" s="1"/>
      <c r="H303" s="1"/>
      <c r="I303" s="1"/>
      <c r="J303" s="1"/>
      <c r="K303" s="1"/>
      <c r="L303" s="1"/>
      <c r="M303" s="1"/>
      <c r="N303" s="1"/>
      <c r="O303" s="1"/>
      <c r="P303" s="1"/>
      <c r="Q303" s="1"/>
      <c r="R303" s="1"/>
      <c r="S303" s="1"/>
      <c r="T303" s="1"/>
      <c r="U303" s="2"/>
      <c r="V303" s="1"/>
      <c r="W303" s="1"/>
      <c r="X303" s="1"/>
      <c r="Y303" s="1"/>
      <c r="Z303" s="1"/>
    </row>
    <row r="304" spans="1:26" ht="24.75" customHeight="1">
      <c r="A304" s="1"/>
      <c r="B304" s="1"/>
      <c r="C304" s="1"/>
      <c r="D304" s="1"/>
      <c r="E304" s="1"/>
      <c r="F304" s="1"/>
      <c r="G304" s="1"/>
      <c r="H304" s="1"/>
      <c r="I304" s="1"/>
      <c r="J304" s="1"/>
      <c r="K304" s="1"/>
      <c r="L304" s="1"/>
      <c r="M304" s="1"/>
      <c r="N304" s="1"/>
      <c r="O304" s="1"/>
      <c r="P304" s="1"/>
      <c r="Q304" s="1"/>
      <c r="R304" s="1"/>
      <c r="S304" s="1"/>
      <c r="T304" s="1"/>
      <c r="U304" s="2"/>
      <c r="V304" s="1"/>
      <c r="W304" s="1"/>
      <c r="X304" s="1"/>
      <c r="Y304" s="1"/>
      <c r="Z304" s="1"/>
    </row>
    <row r="305" spans="1:26" ht="24.75" customHeight="1">
      <c r="A305" s="1"/>
      <c r="B305" s="1"/>
      <c r="C305" s="1"/>
      <c r="D305" s="1"/>
      <c r="E305" s="1"/>
      <c r="F305" s="1"/>
      <c r="G305" s="1"/>
      <c r="H305" s="1"/>
      <c r="I305" s="1"/>
      <c r="J305" s="1"/>
      <c r="K305" s="1"/>
      <c r="L305" s="1"/>
      <c r="M305" s="1"/>
      <c r="N305" s="1"/>
      <c r="O305" s="1"/>
      <c r="P305" s="1"/>
      <c r="Q305" s="1"/>
      <c r="R305" s="1"/>
      <c r="S305" s="1"/>
      <c r="T305" s="1"/>
      <c r="U305" s="2"/>
      <c r="V305" s="1"/>
      <c r="W305" s="1"/>
      <c r="X305" s="1"/>
      <c r="Y305" s="1"/>
      <c r="Z305" s="1"/>
    </row>
    <row r="306" spans="1:26" ht="24.75" customHeight="1">
      <c r="A306" s="1"/>
      <c r="B306" s="1"/>
      <c r="C306" s="1"/>
      <c r="D306" s="1"/>
      <c r="E306" s="1"/>
      <c r="F306" s="1"/>
      <c r="G306" s="1"/>
      <c r="H306" s="1"/>
      <c r="I306" s="1"/>
      <c r="J306" s="1"/>
      <c r="K306" s="1"/>
      <c r="L306" s="1"/>
      <c r="M306" s="1"/>
      <c r="N306" s="1"/>
      <c r="O306" s="1"/>
      <c r="P306" s="1"/>
      <c r="Q306" s="1"/>
      <c r="R306" s="1"/>
      <c r="S306" s="1"/>
      <c r="T306" s="1"/>
      <c r="U306" s="2"/>
      <c r="V306" s="1"/>
      <c r="W306" s="1"/>
      <c r="X306" s="1"/>
      <c r="Y306" s="1"/>
      <c r="Z306" s="1"/>
    </row>
    <row r="307" spans="1:26" ht="24.75" customHeight="1">
      <c r="A307" s="1"/>
      <c r="B307" s="1"/>
      <c r="C307" s="1"/>
      <c r="D307" s="1"/>
      <c r="E307" s="1"/>
      <c r="F307" s="1"/>
      <c r="G307" s="1"/>
      <c r="H307" s="1"/>
      <c r="I307" s="1"/>
      <c r="J307" s="1"/>
      <c r="K307" s="1"/>
      <c r="L307" s="1"/>
      <c r="M307" s="1"/>
      <c r="N307" s="1"/>
      <c r="O307" s="1"/>
      <c r="P307" s="1"/>
      <c r="Q307" s="1"/>
      <c r="R307" s="1"/>
      <c r="S307" s="1"/>
      <c r="T307" s="1"/>
      <c r="U307" s="2"/>
      <c r="V307" s="1"/>
      <c r="W307" s="1"/>
      <c r="X307" s="1"/>
      <c r="Y307" s="1"/>
      <c r="Z307" s="1"/>
    </row>
    <row r="308" spans="1:26" ht="24.75" customHeight="1">
      <c r="A308" s="1"/>
      <c r="B308" s="1"/>
      <c r="C308" s="1"/>
      <c r="D308" s="1"/>
      <c r="E308" s="1"/>
      <c r="F308" s="1"/>
      <c r="G308" s="1"/>
      <c r="H308" s="1"/>
      <c r="I308" s="1"/>
      <c r="J308" s="1"/>
      <c r="K308" s="1"/>
      <c r="L308" s="1"/>
      <c r="M308" s="1"/>
      <c r="N308" s="1"/>
      <c r="O308" s="1"/>
      <c r="P308" s="1"/>
      <c r="Q308" s="1"/>
      <c r="R308" s="1"/>
      <c r="S308" s="1"/>
      <c r="T308" s="1"/>
      <c r="U308" s="2"/>
      <c r="V308" s="1"/>
      <c r="W308" s="1"/>
      <c r="X308" s="1"/>
      <c r="Y308" s="1"/>
      <c r="Z308" s="1"/>
    </row>
    <row r="309" spans="1:26" ht="24.75" customHeight="1">
      <c r="A309" s="1"/>
      <c r="B309" s="1"/>
      <c r="C309" s="1"/>
      <c r="D309" s="1"/>
      <c r="E309" s="1"/>
      <c r="F309" s="1"/>
      <c r="G309" s="1"/>
      <c r="H309" s="1"/>
      <c r="I309" s="1"/>
      <c r="J309" s="1"/>
      <c r="K309" s="1"/>
      <c r="L309" s="1"/>
      <c r="M309" s="1"/>
      <c r="N309" s="1"/>
      <c r="O309" s="1"/>
      <c r="P309" s="1"/>
      <c r="Q309" s="1"/>
      <c r="R309" s="1"/>
      <c r="S309" s="1"/>
      <c r="T309" s="1"/>
      <c r="U309" s="2"/>
      <c r="V309" s="1"/>
      <c r="W309" s="1"/>
      <c r="X309" s="1"/>
      <c r="Y309" s="1"/>
      <c r="Z309" s="1"/>
    </row>
    <row r="310" spans="1:26" ht="24.75" customHeight="1">
      <c r="A310" s="1"/>
      <c r="B310" s="1"/>
      <c r="C310" s="1"/>
      <c r="D310" s="1"/>
      <c r="E310" s="1"/>
      <c r="F310" s="1"/>
      <c r="G310" s="1"/>
      <c r="H310" s="1"/>
      <c r="I310" s="1"/>
      <c r="J310" s="1"/>
      <c r="K310" s="1"/>
      <c r="L310" s="1"/>
      <c r="M310" s="1"/>
      <c r="N310" s="1"/>
      <c r="O310" s="1"/>
      <c r="P310" s="1"/>
      <c r="Q310" s="1"/>
      <c r="R310" s="1"/>
      <c r="S310" s="1"/>
      <c r="T310" s="1"/>
      <c r="U310" s="2"/>
      <c r="V310" s="1"/>
      <c r="W310" s="1"/>
      <c r="X310" s="1"/>
      <c r="Y310" s="1"/>
      <c r="Z310" s="1"/>
    </row>
    <row r="311" spans="1:26" ht="24.75" customHeight="1">
      <c r="A311" s="1"/>
      <c r="B311" s="1"/>
      <c r="C311" s="1"/>
      <c r="D311" s="1"/>
      <c r="E311" s="1"/>
      <c r="F311" s="1"/>
      <c r="G311" s="1"/>
      <c r="H311" s="1"/>
      <c r="I311" s="1"/>
      <c r="J311" s="1"/>
      <c r="K311" s="1"/>
      <c r="L311" s="1"/>
      <c r="M311" s="1"/>
      <c r="N311" s="1"/>
      <c r="O311" s="1"/>
      <c r="P311" s="1"/>
      <c r="Q311" s="1"/>
      <c r="R311" s="1"/>
      <c r="S311" s="1"/>
      <c r="T311" s="1"/>
      <c r="U311" s="2"/>
      <c r="V311" s="1"/>
      <c r="W311" s="1"/>
      <c r="X311" s="1"/>
      <c r="Y311" s="1"/>
      <c r="Z311" s="1"/>
    </row>
    <row r="312" spans="1:26" ht="24.75" customHeight="1">
      <c r="A312" s="1"/>
      <c r="B312" s="1"/>
      <c r="C312" s="1"/>
      <c r="D312" s="1"/>
      <c r="E312" s="1"/>
      <c r="F312" s="1"/>
      <c r="G312" s="1"/>
      <c r="H312" s="1"/>
      <c r="I312" s="1"/>
      <c r="J312" s="1"/>
      <c r="K312" s="1"/>
      <c r="L312" s="1"/>
      <c r="M312" s="1"/>
      <c r="N312" s="1"/>
      <c r="O312" s="1"/>
      <c r="P312" s="1"/>
      <c r="Q312" s="1"/>
      <c r="R312" s="1"/>
      <c r="S312" s="1"/>
      <c r="T312" s="1"/>
      <c r="U312" s="2"/>
      <c r="V312" s="1"/>
      <c r="W312" s="1"/>
      <c r="X312" s="1"/>
      <c r="Y312" s="1"/>
      <c r="Z312" s="1"/>
    </row>
    <row r="313" spans="1:26" ht="24.75" customHeight="1">
      <c r="A313" s="1"/>
      <c r="B313" s="1"/>
      <c r="C313" s="1"/>
      <c r="D313" s="1"/>
      <c r="E313" s="1"/>
      <c r="F313" s="1"/>
      <c r="G313" s="1"/>
      <c r="H313" s="1"/>
      <c r="I313" s="1"/>
      <c r="J313" s="1"/>
      <c r="K313" s="1"/>
      <c r="L313" s="1"/>
      <c r="M313" s="1"/>
      <c r="N313" s="1"/>
      <c r="O313" s="1"/>
      <c r="P313" s="1"/>
      <c r="Q313" s="1"/>
      <c r="R313" s="1"/>
      <c r="S313" s="1"/>
      <c r="T313" s="1"/>
      <c r="U313" s="2"/>
      <c r="V313" s="1"/>
      <c r="W313" s="1"/>
      <c r="X313" s="1"/>
      <c r="Y313" s="1"/>
      <c r="Z313" s="1"/>
    </row>
    <row r="314" spans="1:26" ht="24.75" customHeight="1">
      <c r="A314" s="1"/>
      <c r="B314" s="1"/>
      <c r="C314" s="1"/>
      <c r="D314" s="1"/>
      <c r="E314" s="1"/>
      <c r="F314" s="1"/>
      <c r="G314" s="1"/>
      <c r="H314" s="1"/>
      <c r="I314" s="1"/>
      <c r="J314" s="1"/>
      <c r="K314" s="1"/>
      <c r="L314" s="1"/>
      <c r="M314" s="1"/>
      <c r="N314" s="1"/>
      <c r="O314" s="1"/>
      <c r="P314" s="1"/>
      <c r="Q314" s="1"/>
      <c r="R314" s="1"/>
      <c r="S314" s="1"/>
      <c r="T314" s="1"/>
      <c r="U314" s="2"/>
      <c r="V314" s="1"/>
      <c r="W314" s="1"/>
      <c r="X314" s="1"/>
      <c r="Y314" s="1"/>
      <c r="Z314" s="1"/>
    </row>
    <row r="315" spans="1:26" ht="24.75" customHeight="1">
      <c r="A315" s="1"/>
      <c r="B315" s="1"/>
      <c r="C315" s="1"/>
      <c r="D315" s="1"/>
      <c r="E315" s="1"/>
      <c r="F315" s="1"/>
      <c r="G315" s="1"/>
      <c r="H315" s="1"/>
      <c r="I315" s="1"/>
      <c r="J315" s="1"/>
      <c r="K315" s="1"/>
      <c r="L315" s="1"/>
      <c r="M315" s="1"/>
      <c r="N315" s="1"/>
      <c r="O315" s="1"/>
      <c r="P315" s="1"/>
      <c r="Q315" s="1"/>
      <c r="R315" s="1"/>
      <c r="S315" s="1"/>
      <c r="T315" s="1"/>
      <c r="U315" s="2"/>
      <c r="V315" s="1"/>
      <c r="W315" s="1"/>
      <c r="X315" s="1"/>
      <c r="Y315" s="1"/>
      <c r="Z315" s="1"/>
    </row>
    <row r="316" spans="1:26" ht="24.75" customHeight="1">
      <c r="A316" s="1"/>
      <c r="B316" s="1"/>
      <c r="C316" s="1"/>
      <c r="D316" s="1"/>
      <c r="E316" s="1"/>
      <c r="F316" s="1"/>
      <c r="G316" s="1"/>
      <c r="H316" s="1"/>
      <c r="I316" s="1"/>
      <c r="J316" s="1"/>
      <c r="K316" s="1"/>
      <c r="L316" s="1"/>
      <c r="M316" s="1"/>
      <c r="N316" s="1"/>
      <c r="O316" s="1"/>
      <c r="P316" s="1"/>
      <c r="Q316" s="1"/>
      <c r="R316" s="1"/>
      <c r="S316" s="1"/>
      <c r="T316" s="1"/>
      <c r="U316" s="2"/>
      <c r="V316" s="1"/>
      <c r="W316" s="1"/>
      <c r="X316" s="1"/>
      <c r="Y316" s="1"/>
      <c r="Z316" s="1"/>
    </row>
    <row r="317" spans="1:26" ht="24.75" customHeight="1">
      <c r="A317" s="1"/>
      <c r="B317" s="1"/>
      <c r="C317" s="1"/>
      <c r="D317" s="1"/>
      <c r="E317" s="1"/>
      <c r="F317" s="1"/>
      <c r="G317" s="1"/>
      <c r="H317" s="1"/>
      <c r="I317" s="1"/>
      <c r="J317" s="1"/>
      <c r="K317" s="1"/>
      <c r="L317" s="1"/>
      <c r="M317" s="1"/>
      <c r="N317" s="1"/>
      <c r="O317" s="1"/>
      <c r="P317" s="1"/>
      <c r="Q317" s="1"/>
      <c r="R317" s="1"/>
      <c r="S317" s="1"/>
      <c r="T317" s="1"/>
      <c r="U317" s="2"/>
      <c r="V317" s="1"/>
      <c r="W317" s="1"/>
      <c r="X317" s="1"/>
      <c r="Y317" s="1"/>
      <c r="Z317" s="1"/>
    </row>
    <row r="318" spans="1:26" ht="24.75" customHeight="1">
      <c r="A318" s="1"/>
      <c r="B318" s="1"/>
      <c r="C318" s="1"/>
      <c r="D318" s="1"/>
      <c r="E318" s="1"/>
      <c r="F318" s="1"/>
      <c r="G318" s="1"/>
      <c r="H318" s="1"/>
      <c r="I318" s="1"/>
      <c r="J318" s="1"/>
      <c r="K318" s="1"/>
      <c r="L318" s="1"/>
      <c r="M318" s="1"/>
      <c r="N318" s="1"/>
      <c r="O318" s="1"/>
      <c r="P318" s="1"/>
      <c r="Q318" s="1"/>
      <c r="R318" s="1"/>
      <c r="S318" s="1"/>
      <c r="T318" s="1"/>
      <c r="U318" s="2"/>
      <c r="V318" s="1"/>
      <c r="W318" s="1"/>
      <c r="X318" s="1"/>
      <c r="Y318" s="1"/>
      <c r="Z318" s="1"/>
    </row>
    <row r="319" spans="1:26" ht="24.75" customHeight="1">
      <c r="A319" s="1"/>
      <c r="B319" s="1"/>
      <c r="C319" s="1"/>
      <c r="D319" s="1"/>
      <c r="E319" s="1"/>
      <c r="F319" s="1"/>
      <c r="G319" s="1"/>
      <c r="H319" s="1"/>
      <c r="I319" s="1"/>
      <c r="J319" s="1"/>
      <c r="K319" s="1"/>
      <c r="L319" s="1"/>
      <c r="M319" s="1"/>
      <c r="N319" s="1"/>
      <c r="O319" s="1"/>
      <c r="P319" s="1"/>
      <c r="Q319" s="1"/>
      <c r="R319" s="1"/>
      <c r="S319" s="1"/>
      <c r="T319" s="1"/>
      <c r="U319" s="2"/>
      <c r="V319" s="1"/>
      <c r="W319" s="1"/>
      <c r="X319" s="1"/>
      <c r="Y319" s="1"/>
      <c r="Z319" s="1"/>
    </row>
    <row r="320" spans="1:26" ht="24.75" customHeight="1">
      <c r="A320" s="1"/>
      <c r="B320" s="1"/>
      <c r="C320" s="1"/>
      <c r="D320" s="1"/>
      <c r="E320" s="1"/>
      <c r="F320" s="1"/>
      <c r="G320" s="1"/>
      <c r="H320" s="1"/>
      <c r="I320" s="1"/>
      <c r="J320" s="1"/>
      <c r="K320" s="1"/>
      <c r="L320" s="1"/>
      <c r="M320" s="1"/>
      <c r="N320" s="1"/>
      <c r="O320" s="1"/>
      <c r="P320" s="1"/>
      <c r="Q320" s="1"/>
      <c r="R320" s="1"/>
      <c r="S320" s="1"/>
      <c r="T320" s="1"/>
      <c r="U320" s="2"/>
      <c r="V320" s="1"/>
      <c r="W320" s="1"/>
      <c r="X320" s="1"/>
      <c r="Y320" s="1"/>
      <c r="Z320" s="1"/>
    </row>
    <row r="321" spans="1:26" ht="24.75" customHeight="1">
      <c r="A321" s="1"/>
      <c r="B321" s="1"/>
      <c r="C321" s="1"/>
      <c r="D321" s="1"/>
      <c r="E321" s="1"/>
      <c r="F321" s="1"/>
      <c r="G321" s="1"/>
      <c r="H321" s="1"/>
      <c r="I321" s="1"/>
      <c r="J321" s="1"/>
      <c r="K321" s="1"/>
      <c r="L321" s="1"/>
      <c r="M321" s="1"/>
      <c r="N321" s="1"/>
      <c r="O321" s="1"/>
      <c r="P321" s="1"/>
      <c r="Q321" s="1"/>
      <c r="R321" s="1"/>
      <c r="S321" s="1"/>
      <c r="T321" s="1"/>
      <c r="U321" s="2"/>
      <c r="V321" s="1"/>
      <c r="W321" s="1"/>
      <c r="X321" s="1"/>
      <c r="Y321" s="1"/>
      <c r="Z321" s="1"/>
    </row>
    <row r="322" spans="1:26" ht="24.75" customHeight="1">
      <c r="A322" s="1"/>
      <c r="B322" s="1"/>
      <c r="C322" s="1"/>
      <c r="D322" s="1"/>
      <c r="E322" s="1"/>
      <c r="F322" s="1"/>
      <c r="G322" s="1"/>
      <c r="H322" s="1"/>
      <c r="I322" s="1"/>
      <c r="J322" s="1"/>
      <c r="K322" s="1"/>
      <c r="L322" s="1"/>
      <c r="M322" s="1"/>
      <c r="N322" s="1"/>
      <c r="O322" s="1"/>
      <c r="P322" s="1"/>
      <c r="Q322" s="1"/>
      <c r="R322" s="1"/>
      <c r="S322" s="1"/>
      <c r="T322" s="1"/>
      <c r="U322" s="2"/>
      <c r="V322" s="1"/>
      <c r="W322" s="1"/>
      <c r="X322" s="1"/>
      <c r="Y322" s="1"/>
      <c r="Z322" s="1"/>
    </row>
    <row r="323" spans="1:26" ht="24.75" customHeight="1">
      <c r="A323" s="1"/>
      <c r="B323" s="1"/>
      <c r="C323" s="1"/>
      <c r="D323" s="1"/>
      <c r="E323" s="1"/>
      <c r="F323" s="1"/>
      <c r="G323" s="1"/>
      <c r="H323" s="1"/>
      <c r="I323" s="1"/>
      <c r="J323" s="1"/>
      <c r="K323" s="1"/>
      <c r="L323" s="1"/>
      <c r="M323" s="1"/>
      <c r="N323" s="1"/>
      <c r="O323" s="1"/>
      <c r="P323" s="1"/>
      <c r="Q323" s="1"/>
      <c r="R323" s="1"/>
      <c r="S323" s="1"/>
      <c r="T323" s="1"/>
      <c r="U323" s="2"/>
      <c r="V323" s="1"/>
      <c r="W323" s="1"/>
      <c r="X323" s="1"/>
      <c r="Y323" s="1"/>
      <c r="Z323" s="1"/>
    </row>
    <row r="324" spans="1:26" ht="24.75" customHeight="1">
      <c r="A324" s="1"/>
      <c r="B324" s="1"/>
      <c r="C324" s="1"/>
      <c r="D324" s="1"/>
      <c r="E324" s="1"/>
      <c r="F324" s="1"/>
      <c r="G324" s="1"/>
      <c r="H324" s="1"/>
      <c r="I324" s="1"/>
      <c r="J324" s="1"/>
      <c r="K324" s="1"/>
      <c r="L324" s="1"/>
      <c r="M324" s="1"/>
      <c r="N324" s="1"/>
      <c r="O324" s="1"/>
      <c r="P324" s="1"/>
      <c r="Q324" s="1"/>
      <c r="R324" s="1"/>
      <c r="S324" s="1"/>
      <c r="T324" s="1"/>
      <c r="U324" s="2"/>
      <c r="V324" s="1"/>
      <c r="W324" s="1"/>
      <c r="X324" s="1"/>
      <c r="Y324" s="1"/>
      <c r="Z324" s="1"/>
    </row>
    <row r="325" spans="1:26" ht="24.75" customHeight="1">
      <c r="A325" s="1"/>
      <c r="B325" s="1"/>
      <c r="C325" s="1"/>
      <c r="D325" s="1"/>
      <c r="E325" s="1"/>
      <c r="F325" s="1"/>
      <c r="G325" s="1"/>
      <c r="H325" s="1"/>
      <c r="I325" s="1"/>
      <c r="J325" s="1"/>
      <c r="K325" s="1"/>
      <c r="L325" s="1"/>
      <c r="M325" s="1"/>
      <c r="N325" s="1"/>
      <c r="O325" s="1"/>
      <c r="P325" s="1"/>
      <c r="Q325" s="1"/>
      <c r="R325" s="1"/>
      <c r="S325" s="1"/>
      <c r="T325" s="1"/>
      <c r="U325" s="2"/>
      <c r="V325" s="1"/>
      <c r="W325" s="1"/>
      <c r="X325" s="1"/>
      <c r="Y325" s="1"/>
      <c r="Z325" s="1"/>
    </row>
    <row r="326" spans="1:26" ht="24.75" customHeight="1">
      <c r="A326" s="1"/>
      <c r="B326" s="1"/>
      <c r="C326" s="1"/>
      <c r="D326" s="1"/>
      <c r="E326" s="1"/>
      <c r="F326" s="1"/>
      <c r="G326" s="1"/>
      <c r="H326" s="1"/>
      <c r="I326" s="1"/>
      <c r="J326" s="1"/>
      <c r="K326" s="1"/>
      <c r="L326" s="1"/>
      <c r="M326" s="1"/>
      <c r="N326" s="1"/>
      <c r="O326" s="1"/>
      <c r="P326" s="1"/>
      <c r="Q326" s="1"/>
      <c r="R326" s="1"/>
      <c r="S326" s="1"/>
      <c r="T326" s="1"/>
      <c r="U326" s="2"/>
      <c r="V326" s="1"/>
      <c r="W326" s="1"/>
      <c r="X326" s="1"/>
      <c r="Y326" s="1"/>
      <c r="Z326" s="1"/>
    </row>
    <row r="327" spans="1:26" ht="24.75" customHeight="1">
      <c r="A327" s="1"/>
      <c r="B327" s="1"/>
      <c r="C327" s="1"/>
      <c r="D327" s="1"/>
      <c r="E327" s="1"/>
      <c r="F327" s="1"/>
      <c r="G327" s="1"/>
      <c r="H327" s="1"/>
      <c r="I327" s="1"/>
      <c r="J327" s="1"/>
      <c r="K327" s="1"/>
      <c r="L327" s="1"/>
      <c r="M327" s="1"/>
      <c r="N327" s="1"/>
      <c r="O327" s="1"/>
      <c r="P327" s="1"/>
      <c r="Q327" s="1"/>
      <c r="R327" s="1"/>
      <c r="S327" s="1"/>
      <c r="T327" s="1"/>
      <c r="U327" s="2"/>
      <c r="V327" s="1"/>
      <c r="W327" s="1"/>
      <c r="X327" s="1"/>
      <c r="Y327" s="1"/>
      <c r="Z327" s="1"/>
    </row>
    <row r="328" spans="1:26" ht="24.75" customHeight="1">
      <c r="A328" s="1"/>
      <c r="B328" s="1"/>
      <c r="C328" s="1"/>
      <c r="D328" s="1"/>
      <c r="E328" s="1"/>
      <c r="F328" s="1"/>
      <c r="G328" s="1"/>
      <c r="H328" s="1"/>
      <c r="I328" s="1"/>
      <c r="J328" s="1"/>
      <c r="K328" s="1"/>
      <c r="L328" s="1"/>
      <c r="M328" s="1"/>
      <c r="N328" s="1"/>
      <c r="O328" s="1"/>
      <c r="P328" s="1"/>
      <c r="Q328" s="1"/>
      <c r="R328" s="1"/>
      <c r="S328" s="1"/>
      <c r="T328" s="1"/>
      <c r="U328" s="2"/>
      <c r="V328" s="1"/>
      <c r="W328" s="1"/>
      <c r="X328" s="1"/>
      <c r="Y328" s="1"/>
      <c r="Z328" s="1"/>
    </row>
    <row r="329" spans="1:26" ht="24.75" customHeight="1">
      <c r="A329" s="1"/>
      <c r="B329" s="1"/>
      <c r="C329" s="1"/>
      <c r="D329" s="1"/>
      <c r="E329" s="1"/>
      <c r="F329" s="1"/>
      <c r="G329" s="1"/>
      <c r="H329" s="1"/>
      <c r="I329" s="1"/>
      <c r="J329" s="1"/>
      <c r="K329" s="1"/>
      <c r="L329" s="1"/>
      <c r="M329" s="1"/>
      <c r="N329" s="1"/>
      <c r="O329" s="1"/>
      <c r="P329" s="1"/>
      <c r="Q329" s="1"/>
      <c r="R329" s="1"/>
      <c r="S329" s="1"/>
      <c r="T329" s="1"/>
      <c r="U329" s="2"/>
      <c r="V329" s="1"/>
      <c r="W329" s="1"/>
      <c r="X329" s="1"/>
      <c r="Y329" s="1"/>
      <c r="Z329" s="1"/>
    </row>
    <row r="330" spans="1:26" ht="24.75" customHeight="1">
      <c r="A330" s="1"/>
      <c r="B330" s="1"/>
      <c r="C330" s="1"/>
      <c r="D330" s="1"/>
      <c r="E330" s="1"/>
      <c r="F330" s="1"/>
      <c r="G330" s="1"/>
      <c r="H330" s="1"/>
      <c r="I330" s="1"/>
      <c r="J330" s="1"/>
      <c r="K330" s="1"/>
      <c r="L330" s="1"/>
      <c r="M330" s="1"/>
      <c r="N330" s="1"/>
      <c r="O330" s="1"/>
      <c r="P330" s="1"/>
      <c r="Q330" s="1"/>
      <c r="R330" s="1"/>
      <c r="S330" s="1"/>
      <c r="T330" s="1"/>
      <c r="U330" s="2"/>
      <c r="V330" s="1"/>
      <c r="W330" s="1"/>
      <c r="X330" s="1"/>
      <c r="Y330" s="1"/>
      <c r="Z330" s="1"/>
    </row>
    <row r="331" spans="1:26" ht="24.75" customHeight="1">
      <c r="A331" s="1"/>
      <c r="B331" s="1"/>
      <c r="C331" s="1"/>
      <c r="D331" s="1"/>
      <c r="E331" s="1"/>
      <c r="F331" s="1"/>
      <c r="G331" s="1"/>
      <c r="H331" s="1"/>
      <c r="I331" s="1"/>
      <c r="J331" s="1"/>
      <c r="K331" s="1"/>
      <c r="L331" s="1"/>
      <c r="M331" s="1"/>
      <c r="N331" s="1"/>
      <c r="O331" s="1"/>
      <c r="P331" s="1"/>
      <c r="Q331" s="1"/>
      <c r="R331" s="1"/>
      <c r="S331" s="1"/>
      <c r="T331" s="1"/>
      <c r="U331" s="2"/>
      <c r="V331" s="1"/>
      <c r="W331" s="1"/>
      <c r="X331" s="1"/>
      <c r="Y331" s="1"/>
      <c r="Z331" s="1"/>
    </row>
    <row r="332" spans="1:26" ht="24.75" customHeight="1">
      <c r="A332" s="1"/>
      <c r="B332" s="1"/>
      <c r="C332" s="1"/>
      <c r="D332" s="1"/>
      <c r="E332" s="1"/>
      <c r="F332" s="1"/>
      <c r="G332" s="1"/>
      <c r="H332" s="1"/>
      <c r="I332" s="1"/>
      <c r="J332" s="1"/>
      <c r="K332" s="1"/>
      <c r="L332" s="1"/>
      <c r="M332" s="1"/>
      <c r="N332" s="1"/>
      <c r="O332" s="1"/>
      <c r="P332" s="1"/>
      <c r="Q332" s="1"/>
      <c r="R332" s="1"/>
      <c r="S332" s="1"/>
      <c r="T332" s="1"/>
      <c r="U332" s="2"/>
      <c r="V332" s="1"/>
      <c r="W332" s="1"/>
      <c r="X332" s="1"/>
      <c r="Y332" s="1"/>
      <c r="Z332" s="1"/>
    </row>
    <row r="333" spans="1:26" ht="24.75" customHeight="1">
      <c r="A333" s="1"/>
      <c r="B333" s="1"/>
      <c r="C333" s="1"/>
      <c r="D333" s="1"/>
      <c r="E333" s="1"/>
      <c r="F333" s="1"/>
      <c r="G333" s="1"/>
      <c r="H333" s="1"/>
      <c r="I333" s="1"/>
      <c r="J333" s="1"/>
      <c r="K333" s="1"/>
      <c r="L333" s="1"/>
      <c r="M333" s="1"/>
      <c r="N333" s="1"/>
      <c r="O333" s="1"/>
      <c r="P333" s="1"/>
      <c r="Q333" s="1"/>
      <c r="R333" s="1"/>
      <c r="S333" s="1"/>
      <c r="T333" s="1"/>
      <c r="U333" s="2"/>
      <c r="V333" s="1"/>
      <c r="W333" s="1"/>
      <c r="X333" s="1"/>
      <c r="Y333" s="1"/>
      <c r="Z333" s="1"/>
    </row>
    <row r="334" spans="1:26" ht="24.75" customHeight="1">
      <c r="A334" s="1"/>
      <c r="B334" s="1"/>
      <c r="C334" s="1"/>
      <c r="D334" s="1"/>
      <c r="E334" s="1"/>
      <c r="F334" s="1"/>
      <c r="G334" s="1"/>
      <c r="H334" s="1"/>
      <c r="I334" s="1"/>
      <c r="J334" s="1"/>
      <c r="K334" s="1"/>
      <c r="L334" s="1"/>
      <c r="M334" s="1"/>
      <c r="N334" s="1"/>
      <c r="O334" s="1"/>
      <c r="P334" s="1"/>
      <c r="Q334" s="1"/>
      <c r="R334" s="1"/>
      <c r="S334" s="1"/>
      <c r="T334" s="1"/>
      <c r="U334" s="2"/>
      <c r="V334" s="1"/>
      <c r="W334" s="1"/>
      <c r="X334" s="1"/>
      <c r="Y334" s="1"/>
      <c r="Z334" s="1"/>
    </row>
    <row r="335" spans="1:26" ht="24.75" customHeight="1">
      <c r="A335" s="1"/>
      <c r="B335" s="1"/>
      <c r="C335" s="1"/>
      <c r="D335" s="1"/>
      <c r="E335" s="1"/>
      <c r="F335" s="1"/>
      <c r="G335" s="1"/>
      <c r="H335" s="1"/>
      <c r="I335" s="1"/>
      <c r="J335" s="1"/>
      <c r="K335" s="1"/>
      <c r="L335" s="1"/>
      <c r="M335" s="1"/>
      <c r="N335" s="1"/>
      <c r="O335" s="1"/>
      <c r="P335" s="1"/>
      <c r="Q335" s="1"/>
      <c r="R335" s="1"/>
      <c r="S335" s="1"/>
      <c r="T335" s="1"/>
      <c r="U335" s="2"/>
      <c r="V335" s="1"/>
      <c r="W335" s="1"/>
      <c r="X335" s="1"/>
      <c r="Y335" s="1"/>
      <c r="Z335" s="1"/>
    </row>
    <row r="336" spans="1:26" ht="24.75" customHeight="1">
      <c r="A336" s="1"/>
      <c r="B336" s="1"/>
      <c r="C336" s="1"/>
      <c r="D336" s="1"/>
      <c r="E336" s="1"/>
      <c r="F336" s="1"/>
      <c r="G336" s="1"/>
      <c r="H336" s="1"/>
      <c r="I336" s="1"/>
      <c r="J336" s="1"/>
      <c r="K336" s="1"/>
      <c r="L336" s="1"/>
      <c r="M336" s="1"/>
      <c r="N336" s="1"/>
      <c r="O336" s="1"/>
      <c r="P336" s="1"/>
      <c r="Q336" s="1"/>
      <c r="R336" s="1"/>
      <c r="S336" s="1"/>
      <c r="T336" s="1"/>
      <c r="U336" s="2"/>
      <c r="V336" s="1"/>
      <c r="W336" s="1"/>
      <c r="X336" s="1"/>
      <c r="Y336" s="1"/>
      <c r="Z336" s="1"/>
    </row>
    <row r="337" spans="1:26" ht="24.75" customHeight="1">
      <c r="A337" s="1"/>
      <c r="B337" s="1"/>
      <c r="C337" s="1"/>
      <c r="D337" s="1"/>
      <c r="E337" s="1"/>
      <c r="F337" s="1"/>
      <c r="G337" s="1"/>
      <c r="H337" s="1"/>
      <c r="I337" s="1"/>
      <c r="J337" s="1"/>
      <c r="K337" s="1"/>
      <c r="L337" s="1"/>
      <c r="M337" s="1"/>
      <c r="N337" s="1"/>
      <c r="O337" s="1"/>
      <c r="P337" s="1"/>
      <c r="Q337" s="1"/>
      <c r="R337" s="1"/>
      <c r="S337" s="1"/>
      <c r="T337" s="1"/>
      <c r="U337" s="2"/>
      <c r="V337" s="1"/>
      <c r="W337" s="1"/>
      <c r="X337" s="1"/>
      <c r="Y337" s="1"/>
      <c r="Z337" s="1"/>
    </row>
    <row r="338" spans="1:26" ht="24.75" customHeight="1">
      <c r="A338" s="1"/>
      <c r="B338" s="1"/>
      <c r="C338" s="1"/>
      <c r="D338" s="1"/>
      <c r="E338" s="1"/>
      <c r="F338" s="1"/>
      <c r="G338" s="1"/>
      <c r="H338" s="1"/>
      <c r="I338" s="1"/>
      <c r="J338" s="1"/>
      <c r="K338" s="1"/>
      <c r="L338" s="1"/>
      <c r="M338" s="1"/>
      <c r="N338" s="1"/>
      <c r="O338" s="1"/>
      <c r="P338" s="1"/>
      <c r="Q338" s="1"/>
      <c r="R338" s="1"/>
      <c r="S338" s="1"/>
      <c r="T338" s="1"/>
      <c r="U338" s="2"/>
      <c r="V338" s="1"/>
      <c r="W338" s="1"/>
      <c r="X338" s="1"/>
      <c r="Y338" s="1"/>
      <c r="Z338" s="1"/>
    </row>
    <row r="339" spans="1:26" ht="24.75" customHeight="1">
      <c r="A339" s="1"/>
      <c r="B339" s="1"/>
      <c r="C339" s="1"/>
      <c r="D339" s="1"/>
      <c r="E339" s="1"/>
      <c r="F339" s="1"/>
      <c r="G339" s="1"/>
      <c r="H339" s="1"/>
      <c r="I339" s="1"/>
      <c r="J339" s="1"/>
      <c r="K339" s="1"/>
      <c r="L339" s="1"/>
      <c r="M339" s="1"/>
      <c r="N339" s="1"/>
      <c r="O339" s="1"/>
      <c r="P339" s="1"/>
      <c r="Q339" s="1"/>
      <c r="R339" s="1"/>
      <c r="S339" s="1"/>
      <c r="T339" s="1"/>
      <c r="U339" s="2"/>
      <c r="V339" s="1"/>
      <c r="W339" s="1"/>
      <c r="X339" s="1"/>
      <c r="Y339" s="1"/>
      <c r="Z339" s="1"/>
    </row>
    <row r="340" spans="1:26" ht="24.75" customHeight="1">
      <c r="A340" s="1"/>
      <c r="B340" s="1"/>
      <c r="C340" s="1"/>
      <c r="D340" s="1"/>
      <c r="E340" s="1"/>
      <c r="F340" s="1"/>
      <c r="G340" s="1"/>
      <c r="H340" s="1"/>
      <c r="I340" s="1"/>
      <c r="J340" s="1"/>
      <c r="K340" s="1"/>
      <c r="L340" s="1"/>
      <c r="M340" s="1"/>
      <c r="N340" s="1"/>
      <c r="O340" s="1"/>
      <c r="P340" s="1"/>
      <c r="Q340" s="1"/>
      <c r="R340" s="1"/>
      <c r="S340" s="1"/>
      <c r="T340" s="1"/>
      <c r="U340" s="2"/>
      <c r="V340" s="1"/>
      <c r="W340" s="1"/>
      <c r="X340" s="1"/>
      <c r="Y340" s="1"/>
      <c r="Z340" s="1"/>
    </row>
    <row r="341" spans="1:26" ht="24.75" customHeight="1">
      <c r="A341" s="1"/>
      <c r="B341" s="1"/>
      <c r="C341" s="1"/>
      <c r="D341" s="1"/>
      <c r="E341" s="1"/>
      <c r="F341" s="1"/>
      <c r="G341" s="1"/>
      <c r="H341" s="1"/>
      <c r="I341" s="1"/>
      <c r="J341" s="1"/>
      <c r="K341" s="1"/>
      <c r="L341" s="1"/>
      <c r="M341" s="1"/>
      <c r="N341" s="1"/>
      <c r="O341" s="1"/>
      <c r="P341" s="1"/>
      <c r="Q341" s="1"/>
      <c r="R341" s="1"/>
      <c r="S341" s="1"/>
      <c r="T341" s="1"/>
      <c r="U341" s="2"/>
      <c r="V341" s="1"/>
      <c r="W341" s="1"/>
      <c r="X341" s="1"/>
      <c r="Y341" s="1"/>
      <c r="Z341" s="1"/>
    </row>
    <row r="342" spans="1:26" ht="24.75" customHeight="1">
      <c r="A342" s="1"/>
      <c r="B342" s="1"/>
      <c r="C342" s="1"/>
      <c r="D342" s="1"/>
      <c r="E342" s="1"/>
      <c r="F342" s="1"/>
      <c r="G342" s="1"/>
      <c r="H342" s="1"/>
      <c r="I342" s="1"/>
      <c r="J342" s="1"/>
      <c r="K342" s="1"/>
      <c r="L342" s="1"/>
      <c r="M342" s="1"/>
      <c r="N342" s="1"/>
      <c r="O342" s="1"/>
      <c r="P342" s="1"/>
      <c r="Q342" s="1"/>
      <c r="R342" s="1"/>
      <c r="S342" s="1"/>
      <c r="T342" s="1"/>
      <c r="U342" s="2"/>
      <c r="V342" s="1"/>
      <c r="W342" s="1"/>
      <c r="X342" s="1"/>
      <c r="Y342" s="1"/>
      <c r="Z342" s="1"/>
    </row>
    <row r="343" spans="1:26" ht="24.75" customHeight="1">
      <c r="A343" s="1"/>
      <c r="B343" s="1"/>
      <c r="C343" s="1"/>
      <c r="D343" s="1"/>
      <c r="E343" s="1"/>
      <c r="F343" s="1"/>
      <c r="G343" s="1"/>
      <c r="H343" s="1"/>
      <c r="I343" s="1"/>
      <c r="J343" s="1"/>
      <c r="K343" s="1"/>
      <c r="L343" s="1"/>
      <c r="M343" s="1"/>
      <c r="N343" s="1"/>
      <c r="O343" s="1"/>
      <c r="P343" s="1"/>
      <c r="Q343" s="1"/>
      <c r="R343" s="1"/>
      <c r="S343" s="1"/>
      <c r="T343" s="1"/>
      <c r="U343" s="2"/>
      <c r="V343" s="1"/>
      <c r="W343" s="1"/>
      <c r="X343" s="1"/>
      <c r="Y343" s="1"/>
      <c r="Z343" s="1"/>
    </row>
    <row r="344" spans="1:26" ht="24.75" customHeight="1">
      <c r="A344" s="1"/>
      <c r="B344" s="1"/>
      <c r="C344" s="1"/>
      <c r="D344" s="1"/>
      <c r="E344" s="1"/>
      <c r="F344" s="1"/>
      <c r="G344" s="1"/>
      <c r="H344" s="1"/>
      <c r="I344" s="1"/>
      <c r="J344" s="1"/>
      <c r="K344" s="1"/>
      <c r="L344" s="1"/>
      <c r="M344" s="1"/>
      <c r="N344" s="1"/>
      <c r="O344" s="1"/>
      <c r="P344" s="1"/>
      <c r="Q344" s="1"/>
      <c r="R344" s="1"/>
      <c r="S344" s="1"/>
      <c r="T344" s="1"/>
      <c r="U344" s="2"/>
      <c r="V344" s="1"/>
      <c r="W344" s="1"/>
      <c r="X344" s="1"/>
      <c r="Y344" s="1"/>
      <c r="Z344" s="1"/>
    </row>
    <row r="345" spans="1:26" ht="24.75" customHeight="1">
      <c r="A345" s="1"/>
      <c r="B345" s="1"/>
      <c r="C345" s="1"/>
      <c r="D345" s="1"/>
      <c r="E345" s="1"/>
      <c r="F345" s="1"/>
      <c r="G345" s="1"/>
      <c r="H345" s="1"/>
      <c r="I345" s="1"/>
      <c r="J345" s="1"/>
      <c r="K345" s="1"/>
      <c r="L345" s="1"/>
      <c r="M345" s="1"/>
      <c r="N345" s="1"/>
      <c r="O345" s="1"/>
      <c r="P345" s="1"/>
      <c r="Q345" s="1"/>
      <c r="R345" s="1"/>
      <c r="S345" s="1"/>
      <c r="T345" s="1"/>
      <c r="U345" s="2"/>
      <c r="V345" s="1"/>
      <c r="W345" s="1"/>
      <c r="X345" s="1"/>
      <c r="Y345" s="1"/>
      <c r="Z345" s="1"/>
    </row>
    <row r="346" spans="1:26" ht="24.75" customHeight="1">
      <c r="A346" s="1"/>
      <c r="B346" s="1"/>
      <c r="C346" s="1"/>
      <c r="D346" s="1"/>
      <c r="E346" s="1"/>
      <c r="F346" s="1"/>
      <c r="G346" s="1"/>
      <c r="H346" s="1"/>
      <c r="I346" s="1"/>
      <c r="J346" s="1"/>
      <c r="K346" s="1"/>
      <c r="L346" s="1"/>
      <c r="M346" s="1"/>
      <c r="N346" s="1"/>
      <c r="O346" s="1"/>
      <c r="P346" s="1"/>
      <c r="Q346" s="1"/>
      <c r="R346" s="1"/>
      <c r="S346" s="1"/>
      <c r="T346" s="1"/>
      <c r="U346" s="2"/>
      <c r="V346" s="1"/>
      <c r="W346" s="1"/>
      <c r="X346" s="1"/>
      <c r="Y346" s="1"/>
      <c r="Z346" s="1"/>
    </row>
    <row r="347" spans="1:26" ht="24.75" customHeight="1">
      <c r="A347" s="1"/>
      <c r="B347" s="1"/>
      <c r="C347" s="1"/>
      <c r="D347" s="1"/>
      <c r="E347" s="1"/>
      <c r="F347" s="1"/>
      <c r="G347" s="1"/>
      <c r="H347" s="1"/>
      <c r="I347" s="1"/>
      <c r="J347" s="1"/>
      <c r="K347" s="1"/>
      <c r="L347" s="1"/>
      <c r="M347" s="1"/>
      <c r="N347" s="1"/>
      <c r="O347" s="1"/>
      <c r="P347" s="1"/>
      <c r="Q347" s="1"/>
      <c r="R347" s="1"/>
      <c r="S347" s="1"/>
      <c r="T347" s="1"/>
      <c r="U347" s="2"/>
      <c r="V347" s="1"/>
      <c r="W347" s="1"/>
      <c r="X347" s="1"/>
      <c r="Y347" s="1"/>
      <c r="Z347" s="1"/>
    </row>
    <row r="348" spans="1:26" ht="24.75" customHeight="1">
      <c r="A348" s="1"/>
      <c r="B348" s="1"/>
      <c r="C348" s="1"/>
      <c r="D348" s="1"/>
      <c r="E348" s="1"/>
      <c r="F348" s="1"/>
      <c r="G348" s="1"/>
      <c r="H348" s="1"/>
      <c r="I348" s="1"/>
      <c r="J348" s="1"/>
      <c r="K348" s="1"/>
      <c r="L348" s="1"/>
      <c r="M348" s="1"/>
      <c r="N348" s="1"/>
      <c r="O348" s="1"/>
      <c r="P348" s="1"/>
      <c r="Q348" s="1"/>
      <c r="R348" s="1"/>
      <c r="S348" s="1"/>
      <c r="T348" s="1"/>
      <c r="U348" s="2"/>
      <c r="V348" s="1"/>
      <c r="W348" s="1"/>
      <c r="X348" s="1"/>
      <c r="Y348" s="1"/>
      <c r="Z348" s="1"/>
    </row>
    <row r="349" spans="1:26" ht="24.75" customHeight="1">
      <c r="A349" s="1"/>
      <c r="B349" s="1"/>
      <c r="C349" s="1"/>
      <c r="D349" s="1"/>
      <c r="E349" s="1"/>
      <c r="F349" s="1"/>
      <c r="G349" s="1"/>
      <c r="H349" s="1"/>
      <c r="I349" s="1"/>
      <c r="J349" s="1"/>
      <c r="K349" s="1"/>
      <c r="L349" s="1"/>
      <c r="M349" s="1"/>
      <c r="N349" s="1"/>
      <c r="O349" s="1"/>
      <c r="P349" s="1"/>
      <c r="Q349" s="1"/>
      <c r="R349" s="1"/>
      <c r="S349" s="1"/>
      <c r="T349" s="1"/>
      <c r="U349" s="2"/>
      <c r="V349" s="1"/>
      <c r="W349" s="1"/>
      <c r="X349" s="1"/>
      <c r="Y349" s="1"/>
      <c r="Z349" s="1"/>
    </row>
    <row r="350" spans="1:26" ht="24.75" customHeight="1">
      <c r="A350" s="1"/>
      <c r="B350" s="1"/>
      <c r="C350" s="1"/>
      <c r="D350" s="1"/>
      <c r="E350" s="1"/>
      <c r="F350" s="1"/>
      <c r="G350" s="1"/>
      <c r="H350" s="1"/>
      <c r="I350" s="1"/>
      <c r="J350" s="1"/>
      <c r="K350" s="1"/>
      <c r="L350" s="1"/>
      <c r="M350" s="1"/>
      <c r="N350" s="1"/>
      <c r="O350" s="1"/>
      <c r="P350" s="1"/>
      <c r="Q350" s="1"/>
      <c r="R350" s="1"/>
      <c r="S350" s="1"/>
      <c r="T350" s="1"/>
      <c r="U350" s="2"/>
      <c r="V350" s="1"/>
      <c r="W350" s="1"/>
      <c r="X350" s="1"/>
      <c r="Y350" s="1"/>
      <c r="Z350" s="1"/>
    </row>
    <row r="351" spans="1:26" ht="24.75" customHeight="1">
      <c r="A351" s="1"/>
      <c r="B351" s="1"/>
      <c r="C351" s="1"/>
      <c r="D351" s="1"/>
      <c r="E351" s="1"/>
      <c r="F351" s="1"/>
      <c r="G351" s="1"/>
      <c r="H351" s="1"/>
      <c r="I351" s="1"/>
      <c r="J351" s="1"/>
      <c r="K351" s="1"/>
      <c r="L351" s="1"/>
      <c r="M351" s="1"/>
      <c r="N351" s="1"/>
      <c r="O351" s="1"/>
      <c r="P351" s="1"/>
      <c r="Q351" s="1"/>
      <c r="R351" s="1"/>
      <c r="S351" s="1"/>
      <c r="T351" s="1"/>
      <c r="U351" s="2"/>
      <c r="V351" s="1"/>
      <c r="W351" s="1"/>
      <c r="X351" s="1"/>
      <c r="Y351" s="1"/>
      <c r="Z351" s="1"/>
    </row>
    <row r="352" spans="1:26" ht="24.75" customHeight="1">
      <c r="A352" s="1"/>
      <c r="B352" s="1"/>
      <c r="C352" s="1"/>
      <c r="D352" s="1"/>
      <c r="E352" s="1"/>
      <c r="F352" s="1"/>
      <c r="G352" s="1"/>
      <c r="H352" s="1"/>
      <c r="I352" s="1"/>
      <c r="J352" s="1"/>
      <c r="K352" s="1"/>
      <c r="L352" s="1"/>
      <c r="M352" s="1"/>
      <c r="N352" s="1"/>
      <c r="O352" s="1"/>
      <c r="P352" s="1"/>
      <c r="Q352" s="1"/>
      <c r="R352" s="1"/>
      <c r="S352" s="1"/>
      <c r="T352" s="1"/>
      <c r="U352" s="2"/>
      <c r="V352" s="1"/>
      <c r="W352" s="1"/>
      <c r="X352" s="1"/>
      <c r="Y352" s="1"/>
      <c r="Z352" s="1"/>
    </row>
    <row r="353" spans="1:26" ht="24.75" customHeight="1">
      <c r="A353" s="1"/>
      <c r="B353" s="1"/>
      <c r="C353" s="1"/>
      <c r="D353" s="1"/>
      <c r="E353" s="1"/>
      <c r="F353" s="1"/>
      <c r="G353" s="1"/>
      <c r="H353" s="1"/>
      <c r="I353" s="1"/>
      <c r="J353" s="1"/>
      <c r="K353" s="1"/>
      <c r="L353" s="1"/>
      <c r="M353" s="1"/>
      <c r="N353" s="1"/>
      <c r="O353" s="1"/>
      <c r="P353" s="1"/>
      <c r="Q353" s="1"/>
      <c r="R353" s="1"/>
      <c r="S353" s="1"/>
      <c r="T353" s="1"/>
      <c r="U353" s="2"/>
      <c r="V353" s="1"/>
      <c r="W353" s="1"/>
      <c r="X353" s="1"/>
      <c r="Y353" s="1"/>
      <c r="Z353" s="1"/>
    </row>
    <row r="354" spans="1:26" ht="24.75" customHeight="1">
      <c r="A354" s="1"/>
      <c r="B354" s="1"/>
      <c r="C354" s="1"/>
      <c r="D354" s="1"/>
      <c r="E354" s="1"/>
      <c r="F354" s="1"/>
      <c r="G354" s="1"/>
      <c r="H354" s="1"/>
      <c r="I354" s="1"/>
      <c r="J354" s="1"/>
      <c r="K354" s="1"/>
      <c r="L354" s="1"/>
      <c r="M354" s="1"/>
      <c r="N354" s="1"/>
      <c r="O354" s="1"/>
      <c r="P354" s="1"/>
      <c r="Q354" s="1"/>
      <c r="R354" s="1"/>
      <c r="S354" s="1"/>
      <c r="T354" s="1"/>
      <c r="U354" s="2"/>
      <c r="V354" s="1"/>
      <c r="W354" s="1"/>
      <c r="X354" s="1"/>
      <c r="Y354" s="1"/>
      <c r="Z354" s="1"/>
    </row>
    <row r="355" spans="1:26" ht="24.75" customHeight="1">
      <c r="A355" s="1"/>
      <c r="B355" s="1"/>
      <c r="C355" s="1"/>
      <c r="D355" s="1"/>
      <c r="E355" s="1"/>
      <c r="F355" s="1"/>
      <c r="G355" s="1"/>
      <c r="H355" s="1"/>
      <c r="I355" s="1"/>
      <c r="J355" s="1"/>
      <c r="K355" s="1"/>
      <c r="L355" s="1"/>
      <c r="M355" s="1"/>
      <c r="N355" s="1"/>
      <c r="O355" s="1"/>
      <c r="P355" s="1"/>
      <c r="Q355" s="1"/>
      <c r="R355" s="1"/>
      <c r="S355" s="1"/>
      <c r="T355" s="1"/>
      <c r="U355" s="2"/>
      <c r="V355" s="1"/>
      <c r="W355" s="1"/>
      <c r="X355" s="1"/>
      <c r="Y355" s="1"/>
      <c r="Z355" s="1"/>
    </row>
    <row r="356" spans="1:26" ht="24.75" customHeight="1">
      <c r="A356" s="1"/>
      <c r="B356" s="1"/>
      <c r="C356" s="1"/>
      <c r="D356" s="1"/>
      <c r="E356" s="1"/>
      <c r="F356" s="1"/>
      <c r="G356" s="1"/>
      <c r="H356" s="1"/>
      <c r="I356" s="1"/>
      <c r="J356" s="1"/>
      <c r="K356" s="1"/>
      <c r="L356" s="1"/>
      <c r="M356" s="1"/>
      <c r="N356" s="1"/>
      <c r="O356" s="1"/>
      <c r="P356" s="1"/>
      <c r="Q356" s="1"/>
      <c r="R356" s="1"/>
      <c r="S356" s="1"/>
      <c r="T356" s="1"/>
      <c r="U356" s="2"/>
      <c r="V356" s="1"/>
      <c r="W356" s="1"/>
      <c r="X356" s="1"/>
      <c r="Y356" s="1"/>
      <c r="Z356" s="1"/>
    </row>
    <row r="357" spans="1:26" ht="24.75" customHeight="1">
      <c r="A357" s="1"/>
      <c r="B357" s="1"/>
      <c r="C357" s="1"/>
      <c r="D357" s="1"/>
      <c r="E357" s="1"/>
      <c r="F357" s="1"/>
      <c r="G357" s="1"/>
      <c r="H357" s="1"/>
      <c r="I357" s="1"/>
      <c r="J357" s="1"/>
      <c r="K357" s="1"/>
      <c r="L357" s="1"/>
      <c r="M357" s="1"/>
      <c r="N357" s="1"/>
      <c r="O357" s="1"/>
      <c r="P357" s="1"/>
      <c r="Q357" s="1"/>
      <c r="R357" s="1"/>
      <c r="S357" s="1"/>
      <c r="T357" s="1"/>
      <c r="U357" s="2"/>
      <c r="V357" s="1"/>
      <c r="W357" s="1"/>
      <c r="X357" s="1"/>
      <c r="Y357" s="1"/>
      <c r="Z357" s="1"/>
    </row>
    <row r="358" spans="1:26" ht="24.75" customHeight="1">
      <c r="A358" s="1"/>
      <c r="B358" s="1"/>
      <c r="C358" s="1"/>
      <c r="D358" s="1"/>
      <c r="E358" s="1"/>
      <c r="F358" s="1"/>
      <c r="G358" s="1"/>
      <c r="H358" s="1"/>
      <c r="I358" s="1"/>
      <c r="J358" s="1"/>
      <c r="K358" s="1"/>
      <c r="L358" s="1"/>
      <c r="M358" s="1"/>
      <c r="N358" s="1"/>
      <c r="O358" s="1"/>
      <c r="P358" s="1"/>
      <c r="Q358" s="1"/>
      <c r="R358" s="1"/>
      <c r="S358" s="1"/>
      <c r="T358" s="1"/>
      <c r="U358" s="2"/>
      <c r="V358" s="1"/>
      <c r="W358" s="1"/>
      <c r="X358" s="1"/>
      <c r="Y358" s="1"/>
      <c r="Z358" s="1"/>
    </row>
    <row r="359" spans="1:26" ht="24.75" customHeight="1">
      <c r="A359" s="1"/>
      <c r="B359" s="1"/>
      <c r="C359" s="1"/>
      <c r="D359" s="1"/>
      <c r="E359" s="1"/>
      <c r="F359" s="1"/>
      <c r="G359" s="1"/>
      <c r="H359" s="1"/>
      <c r="I359" s="1"/>
      <c r="J359" s="1"/>
      <c r="K359" s="1"/>
      <c r="L359" s="1"/>
      <c r="M359" s="1"/>
      <c r="N359" s="1"/>
      <c r="O359" s="1"/>
      <c r="P359" s="1"/>
      <c r="Q359" s="1"/>
      <c r="R359" s="1"/>
      <c r="S359" s="1"/>
      <c r="T359" s="1"/>
      <c r="U359" s="2"/>
      <c r="V359" s="1"/>
      <c r="W359" s="1"/>
      <c r="X359" s="1"/>
      <c r="Y359" s="1"/>
      <c r="Z359" s="1"/>
    </row>
    <row r="360" spans="1:26" ht="24.75" customHeight="1">
      <c r="A360" s="1"/>
      <c r="B360" s="1"/>
      <c r="C360" s="1"/>
      <c r="D360" s="1"/>
      <c r="E360" s="1"/>
      <c r="F360" s="1"/>
      <c r="G360" s="1"/>
      <c r="H360" s="1"/>
      <c r="I360" s="1"/>
      <c r="J360" s="1"/>
      <c r="K360" s="1"/>
      <c r="L360" s="1"/>
      <c r="M360" s="1"/>
      <c r="N360" s="1"/>
      <c r="O360" s="1"/>
      <c r="P360" s="1"/>
      <c r="Q360" s="1"/>
      <c r="R360" s="1"/>
      <c r="S360" s="1"/>
      <c r="T360" s="1"/>
      <c r="U360" s="2"/>
      <c r="V360" s="1"/>
      <c r="W360" s="1"/>
      <c r="X360" s="1"/>
      <c r="Y360" s="1"/>
      <c r="Z360" s="1"/>
    </row>
    <row r="361" spans="1:26" ht="24.75" customHeight="1">
      <c r="A361" s="1"/>
      <c r="B361" s="1"/>
      <c r="C361" s="1"/>
      <c r="D361" s="1"/>
      <c r="E361" s="1"/>
      <c r="F361" s="1"/>
      <c r="G361" s="1"/>
      <c r="H361" s="1"/>
      <c r="I361" s="1"/>
      <c r="J361" s="1"/>
      <c r="K361" s="1"/>
      <c r="L361" s="1"/>
      <c r="M361" s="1"/>
      <c r="N361" s="1"/>
      <c r="O361" s="1"/>
      <c r="P361" s="1"/>
      <c r="Q361" s="1"/>
      <c r="R361" s="1"/>
      <c r="S361" s="1"/>
      <c r="T361" s="1"/>
      <c r="U361" s="2"/>
      <c r="V361" s="1"/>
      <c r="W361" s="1"/>
      <c r="X361" s="1"/>
      <c r="Y361" s="1"/>
      <c r="Z361" s="1"/>
    </row>
    <row r="362" spans="1:26" ht="24.75" customHeight="1">
      <c r="A362" s="1"/>
      <c r="B362" s="1"/>
      <c r="C362" s="1"/>
      <c r="D362" s="1"/>
      <c r="E362" s="1"/>
      <c r="F362" s="1"/>
      <c r="G362" s="1"/>
      <c r="H362" s="1"/>
      <c r="I362" s="1"/>
      <c r="J362" s="1"/>
      <c r="K362" s="1"/>
      <c r="L362" s="1"/>
      <c r="M362" s="1"/>
      <c r="N362" s="1"/>
      <c r="O362" s="1"/>
      <c r="P362" s="1"/>
      <c r="Q362" s="1"/>
      <c r="R362" s="1"/>
      <c r="S362" s="1"/>
      <c r="T362" s="1"/>
      <c r="U362" s="2"/>
      <c r="V362" s="1"/>
      <c r="W362" s="1"/>
      <c r="X362" s="1"/>
      <c r="Y362" s="1"/>
      <c r="Z362" s="1"/>
    </row>
    <row r="363" spans="1:26" ht="24.75" customHeight="1">
      <c r="A363" s="1"/>
      <c r="B363" s="1"/>
      <c r="C363" s="1"/>
      <c r="D363" s="1"/>
      <c r="E363" s="1"/>
      <c r="F363" s="1"/>
      <c r="G363" s="1"/>
      <c r="H363" s="1"/>
      <c r="I363" s="1"/>
      <c r="J363" s="1"/>
      <c r="K363" s="1"/>
      <c r="L363" s="1"/>
      <c r="M363" s="1"/>
      <c r="N363" s="1"/>
      <c r="O363" s="1"/>
      <c r="P363" s="1"/>
      <c r="Q363" s="1"/>
      <c r="R363" s="1"/>
      <c r="S363" s="1"/>
      <c r="T363" s="1"/>
      <c r="U363" s="2"/>
      <c r="V363" s="1"/>
      <c r="W363" s="1"/>
      <c r="X363" s="1"/>
      <c r="Y363" s="1"/>
      <c r="Z363" s="1"/>
    </row>
    <row r="364" spans="1:26" ht="24.75" customHeight="1">
      <c r="A364" s="1"/>
      <c r="B364" s="1"/>
      <c r="C364" s="1"/>
      <c r="D364" s="1"/>
      <c r="E364" s="1"/>
      <c r="F364" s="1"/>
      <c r="G364" s="1"/>
      <c r="H364" s="1"/>
      <c r="I364" s="1"/>
      <c r="J364" s="1"/>
      <c r="K364" s="1"/>
      <c r="L364" s="1"/>
      <c r="M364" s="1"/>
      <c r="N364" s="1"/>
      <c r="O364" s="1"/>
      <c r="P364" s="1"/>
      <c r="Q364" s="1"/>
      <c r="R364" s="1"/>
      <c r="S364" s="1"/>
      <c r="T364" s="1"/>
      <c r="U364" s="2"/>
      <c r="V364" s="1"/>
      <c r="W364" s="1"/>
      <c r="X364" s="1"/>
      <c r="Y364" s="1"/>
      <c r="Z364" s="1"/>
    </row>
    <row r="365" spans="1:26" ht="24.75" customHeight="1">
      <c r="A365" s="1"/>
      <c r="B365" s="1"/>
      <c r="C365" s="1"/>
      <c r="D365" s="1"/>
      <c r="E365" s="1"/>
      <c r="F365" s="1"/>
      <c r="G365" s="1"/>
      <c r="H365" s="1"/>
      <c r="I365" s="1"/>
      <c r="J365" s="1"/>
      <c r="K365" s="1"/>
      <c r="L365" s="1"/>
      <c r="M365" s="1"/>
      <c r="N365" s="1"/>
      <c r="O365" s="1"/>
      <c r="P365" s="1"/>
      <c r="Q365" s="1"/>
      <c r="R365" s="1"/>
      <c r="S365" s="1"/>
      <c r="T365" s="1"/>
      <c r="U365" s="2"/>
      <c r="V365" s="1"/>
      <c r="W365" s="1"/>
      <c r="X365" s="1"/>
      <c r="Y365" s="1"/>
      <c r="Z365" s="1"/>
    </row>
    <row r="366" spans="1:26" ht="24.75" customHeight="1">
      <c r="A366" s="1"/>
      <c r="B366" s="1"/>
      <c r="C366" s="1"/>
      <c r="D366" s="1"/>
      <c r="E366" s="1"/>
      <c r="F366" s="1"/>
      <c r="G366" s="1"/>
      <c r="H366" s="1"/>
      <c r="I366" s="1"/>
      <c r="J366" s="1"/>
      <c r="K366" s="1"/>
      <c r="L366" s="1"/>
      <c r="M366" s="1"/>
      <c r="N366" s="1"/>
      <c r="O366" s="1"/>
      <c r="P366" s="1"/>
      <c r="Q366" s="1"/>
      <c r="R366" s="1"/>
      <c r="S366" s="1"/>
      <c r="T366" s="1"/>
      <c r="U366" s="2"/>
      <c r="V366" s="1"/>
      <c r="W366" s="1"/>
      <c r="X366" s="1"/>
      <c r="Y366" s="1"/>
      <c r="Z366" s="1"/>
    </row>
    <row r="367" spans="1:26" ht="24.75" customHeight="1">
      <c r="A367" s="1"/>
      <c r="B367" s="1"/>
      <c r="C367" s="1"/>
      <c r="D367" s="1"/>
      <c r="E367" s="1"/>
      <c r="F367" s="1"/>
      <c r="G367" s="1"/>
      <c r="H367" s="1"/>
      <c r="I367" s="1"/>
      <c r="J367" s="1"/>
      <c r="K367" s="1"/>
      <c r="L367" s="1"/>
      <c r="M367" s="1"/>
      <c r="N367" s="1"/>
      <c r="O367" s="1"/>
      <c r="P367" s="1"/>
      <c r="Q367" s="1"/>
      <c r="R367" s="1"/>
      <c r="S367" s="1"/>
      <c r="T367" s="1"/>
      <c r="U367" s="2"/>
      <c r="V367" s="1"/>
      <c r="W367" s="1"/>
      <c r="X367" s="1"/>
      <c r="Y367" s="1"/>
      <c r="Z367" s="1"/>
    </row>
    <row r="368" spans="1:26" ht="24.75" customHeight="1">
      <c r="A368" s="1"/>
      <c r="B368" s="1"/>
      <c r="C368" s="1"/>
      <c r="D368" s="1"/>
      <c r="E368" s="1"/>
      <c r="F368" s="1"/>
      <c r="G368" s="1"/>
      <c r="H368" s="1"/>
      <c r="I368" s="1"/>
      <c r="J368" s="1"/>
      <c r="K368" s="1"/>
      <c r="L368" s="1"/>
      <c r="M368" s="1"/>
      <c r="N368" s="1"/>
      <c r="O368" s="1"/>
      <c r="P368" s="1"/>
      <c r="Q368" s="1"/>
      <c r="R368" s="1"/>
      <c r="S368" s="1"/>
      <c r="T368" s="1"/>
      <c r="U368" s="2"/>
      <c r="V368" s="1"/>
      <c r="W368" s="1"/>
      <c r="X368" s="1"/>
      <c r="Y368" s="1"/>
      <c r="Z368" s="1"/>
    </row>
    <row r="369" spans="1:26" ht="24.75" customHeight="1">
      <c r="A369" s="1"/>
      <c r="B369" s="1"/>
      <c r="C369" s="1"/>
      <c r="D369" s="1"/>
      <c r="E369" s="1"/>
      <c r="F369" s="1"/>
      <c r="G369" s="1"/>
      <c r="H369" s="1"/>
      <c r="I369" s="1"/>
      <c r="J369" s="1"/>
      <c r="K369" s="1"/>
      <c r="L369" s="1"/>
      <c r="M369" s="1"/>
      <c r="N369" s="1"/>
      <c r="O369" s="1"/>
      <c r="P369" s="1"/>
      <c r="Q369" s="1"/>
      <c r="R369" s="1"/>
      <c r="S369" s="1"/>
      <c r="T369" s="1"/>
      <c r="U369" s="2"/>
      <c r="V369" s="1"/>
      <c r="W369" s="1"/>
      <c r="X369" s="1"/>
      <c r="Y369" s="1"/>
      <c r="Z369" s="1"/>
    </row>
    <row r="370" spans="1:26" ht="24.75" customHeight="1">
      <c r="A370" s="1"/>
      <c r="B370" s="1"/>
      <c r="C370" s="1"/>
      <c r="D370" s="1"/>
      <c r="E370" s="1"/>
      <c r="F370" s="1"/>
      <c r="G370" s="1"/>
      <c r="H370" s="1"/>
      <c r="I370" s="1"/>
      <c r="J370" s="1"/>
      <c r="K370" s="1"/>
      <c r="L370" s="1"/>
      <c r="M370" s="1"/>
      <c r="N370" s="1"/>
      <c r="O370" s="1"/>
      <c r="P370" s="1"/>
      <c r="Q370" s="1"/>
      <c r="R370" s="1"/>
      <c r="S370" s="1"/>
      <c r="T370" s="1"/>
      <c r="U370" s="2"/>
      <c r="V370" s="1"/>
      <c r="W370" s="1"/>
      <c r="X370" s="1"/>
      <c r="Y370" s="1"/>
      <c r="Z370" s="1"/>
    </row>
    <row r="371" spans="1:26" ht="24.75" customHeight="1">
      <c r="A371" s="1"/>
      <c r="B371" s="1"/>
      <c r="C371" s="1"/>
      <c r="D371" s="1"/>
      <c r="E371" s="1"/>
      <c r="F371" s="1"/>
      <c r="G371" s="1"/>
      <c r="H371" s="1"/>
      <c r="I371" s="1"/>
      <c r="J371" s="1"/>
      <c r="K371" s="1"/>
      <c r="L371" s="1"/>
      <c r="M371" s="1"/>
      <c r="N371" s="1"/>
      <c r="O371" s="1"/>
      <c r="P371" s="1"/>
      <c r="Q371" s="1"/>
      <c r="R371" s="1"/>
      <c r="S371" s="1"/>
      <c r="T371" s="1"/>
      <c r="U371" s="2"/>
      <c r="V371" s="1"/>
      <c r="W371" s="1"/>
      <c r="X371" s="1"/>
      <c r="Y371" s="1"/>
      <c r="Z371" s="1"/>
    </row>
    <row r="372" spans="1:26" ht="24.75" customHeight="1">
      <c r="A372" s="1"/>
      <c r="B372" s="1"/>
      <c r="C372" s="1"/>
      <c r="D372" s="1"/>
      <c r="E372" s="1"/>
      <c r="F372" s="1"/>
      <c r="G372" s="1"/>
      <c r="H372" s="1"/>
      <c r="I372" s="1"/>
      <c r="J372" s="1"/>
      <c r="K372" s="1"/>
      <c r="L372" s="1"/>
      <c r="M372" s="1"/>
      <c r="N372" s="1"/>
      <c r="O372" s="1"/>
      <c r="P372" s="1"/>
      <c r="Q372" s="1"/>
      <c r="R372" s="1"/>
      <c r="S372" s="1"/>
      <c r="T372" s="1"/>
      <c r="U372" s="2"/>
      <c r="V372" s="1"/>
      <c r="W372" s="1"/>
      <c r="X372" s="1"/>
      <c r="Y372" s="1"/>
      <c r="Z372" s="1"/>
    </row>
    <row r="373" spans="1:26" ht="24.75" customHeight="1">
      <c r="A373" s="1"/>
      <c r="B373" s="1"/>
      <c r="C373" s="1"/>
      <c r="D373" s="1"/>
      <c r="E373" s="1"/>
      <c r="F373" s="1"/>
      <c r="G373" s="1"/>
      <c r="H373" s="1"/>
      <c r="I373" s="1"/>
      <c r="J373" s="1"/>
      <c r="K373" s="1"/>
      <c r="L373" s="1"/>
      <c r="M373" s="1"/>
      <c r="N373" s="1"/>
      <c r="O373" s="1"/>
      <c r="P373" s="1"/>
      <c r="Q373" s="1"/>
      <c r="R373" s="1"/>
      <c r="S373" s="1"/>
      <c r="T373" s="1"/>
      <c r="U373" s="2"/>
      <c r="V373" s="1"/>
      <c r="W373" s="1"/>
      <c r="X373" s="1"/>
      <c r="Y373" s="1"/>
      <c r="Z373" s="1"/>
    </row>
    <row r="374" spans="1:26" ht="24.75" customHeight="1">
      <c r="A374" s="1"/>
      <c r="B374" s="1"/>
      <c r="C374" s="1"/>
      <c r="D374" s="1"/>
      <c r="E374" s="1"/>
      <c r="F374" s="1"/>
      <c r="G374" s="1"/>
      <c r="H374" s="1"/>
      <c r="I374" s="1"/>
      <c r="J374" s="1"/>
      <c r="K374" s="1"/>
      <c r="L374" s="1"/>
      <c r="M374" s="1"/>
      <c r="N374" s="1"/>
      <c r="O374" s="1"/>
      <c r="P374" s="1"/>
      <c r="Q374" s="1"/>
      <c r="R374" s="1"/>
      <c r="S374" s="1"/>
      <c r="T374" s="1"/>
      <c r="U374" s="2"/>
      <c r="V374" s="1"/>
      <c r="W374" s="1"/>
      <c r="X374" s="1"/>
      <c r="Y374" s="1"/>
      <c r="Z374" s="1"/>
    </row>
    <row r="375" spans="1:26" ht="24.75" customHeight="1">
      <c r="A375" s="1"/>
      <c r="B375" s="1"/>
      <c r="C375" s="1"/>
      <c r="D375" s="1"/>
      <c r="E375" s="1"/>
      <c r="F375" s="1"/>
      <c r="G375" s="1"/>
      <c r="H375" s="1"/>
      <c r="I375" s="1"/>
      <c r="J375" s="1"/>
      <c r="K375" s="1"/>
      <c r="L375" s="1"/>
      <c r="M375" s="1"/>
      <c r="N375" s="1"/>
      <c r="O375" s="1"/>
      <c r="P375" s="1"/>
      <c r="Q375" s="1"/>
      <c r="R375" s="1"/>
      <c r="S375" s="1"/>
      <c r="T375" s="1"/>
      <c r="U375" s="2"/>
      <c r="V375" s="1"/>
      <c r="W375" s="1"/>
      <c r="X375" s="1"/>
      <c r="Y375" s="1"/>
      <c r="Z375" s="1"/>
    </row>
    <row r="376" spans="1:26" ht="24.75" customHeight="1">
      <c r="A376" s="1"/>
      <c r="B376" s="1"/>
      <c r="C376" s="1"/>
      <c r="D376" s="1"/>
      <c r="E376" s="1"/>
      <c r="F376" s="1"/>
      <c r="G376" s="1"/>
      <c r="H376" s="1"/>
      <c r="I376" s="1"/>
      <c r="J376" s="1"/>
      <c r="K376" s="1"/>
      <c r="L376" s="1"/>
      <c r="M376" s="1"/>
      <c r="N376" s="1"/>
      <c r="O376" s="1"/>
      <c r="P376" s="1"/>
      <c r="Q376" s="1"/>
      <c r="R376" s="1"/>
      <c r="S376" s="1"/>
      <c r="T376" s="1"/>
      <c r="U376" s="2"/>
      <c r="V376" s="1"/>
      <c r="W376" s="1"/>
      <c r="X376" s="1"/>
      <c r="Y376" s="1"/>
      <c r="Z376" s="1"/>
    </row>
    <row r="377" spans="1:26" ht="24.75" customHeight="1">
      <c r="A377" s="1"/>
      <c r="B377" s="1"/>
      <c r="C377" s="1"/>
      <c r="D377" s="1"/>
      <c r="E377" s="1"/>
      <c r="F377" s="1"/>
      <c r="G377" s="1"/>
      <c r="H377" s="1"/>
      <c r="I377" s="1"/>
      <c r="J377" s="1"/>
      <c r="K377" s="1"/>
      <c r="L377" s="1"/>
      <c r="M377" s="1"/>
      <c r="N377" s="1"/>
      <c r="O377" s="1"/>
      <c r="P377" s="1"/>
      <c r="Q377" s="1"/>
      <c r="R377" s="1"/>
      <c r="S377" s="1"/>
      <c r="T377" s="1"/>
      <c r="U377" s="2"/>
      <c r="V377" s="1"/>
      <c r="W377" s="1"/>
      <c r="X377" s="1"/>
      <c r="Y377" s="1"/>
      <c r="Z377" s="1"/>
    </row>
    <row r="378" spans="1:26" ht="24.75" customHeight="1">
      <c r="A378" s="1"/>
      <c r="B378" s="1"/>
      <c r="C378" s="1"/>
      <c r="D378" s="1"/>
      <c r="E378" s="1"/>
      <c r="F378" s="1"/>
      <c r="G378" s="1"/>
      <c r="H378" s="1"/>
      <c r="I378" s="1"/>
      <c r="J378" s="1"/>
      <c r="K378" s="1"/>
      <c r="L378" s="1"/>
      <c r="M378" s="1"/>
      <c r="N378" s="1"/>
      <c r="O378" s="1"/>
      <c r="P378" s="1"/>
      <c r="Q378" s="1"/>
      <c r="R378" s="1"/>
      <c r="S378" s="1"/>
      <c r="T378" s="1"/>
      <c r="U378" s="2"/>
      <c r="V378" s="1"/>
      <c r="W378" s="1"/>
      <c r="X378" s="1"/>
      <c r="Y378" s="1"/>
      <c r="Z378" s="1"/>
    </row>
    <row r="379" spans="1:26" ht="24.75" customHeight="1">
      <c r="A379" s="1"/>
      <c r="B379" s="1"/>
      <c r="C379" s="1"/>
      <c r="D379" s="1"/>
      <c r="E379" s="1"/>
      <c r="F379" s="1"/>
      <c r="G379" s="1"/>
      <c r="H379" s="1"/>
      <c r="I379" s="1"/>
      <c r="J379" s="1"/>
      <c r="K379" s="1"/>
      <c r="L379" s="1"/>
      <c r="M379" s="1"/>
      <c r="N379" s="1"/>
      <c r="O379" s="1"/>
      <c r="P379" s="1"/>
      <c r="Q379" s="1"/>
      <c r="R379" s="1"/>
      <c r="S379" s="1"/>
      <c r="T379" s="1"/>
      <c r="U379" s="2"/>
      <c r="V379" s="1"/>
      <c r="W379" s="1"/>
      <c r="X379" s="1"/>
      <c r="Y379" s="1"/>
      <c r="Z379" s="1"/>
    </row>
    <row r="380" spans="1:26" ht="24.75" customHeight="1">
      <c r="A380" s="1"/>
      <c r="B380" s="1"/>
      <c r="C380" s="1"/>
      <c r="D380" s="1"/>
      <c r="E380" s="1"/>
      <c r="F380" s="1"/>
      <c r="G380" s="1"/>
      <c r="H380" s="1"/>
      <c r="I380" s="1"/>
      <c r="J380" s="1"/>
      <c r="K380" s="1"/>
      <c r="L380" s="1"/>
      <c r="M380" s="1"/>
      <c r="N380" s="1"/>
      <c r="O380" s="1"/>
      <c r="P380" s="1"/>
      <c r="Q380" s="1"/>
      <c r="R380" s="1"/>
      <c r="S380" s="1"/>
      <c r="T380" s="1"/>
      <c r="U380" s="2"/>
      <c r="V380" s="1"/>
      <c r="W380" s="1"/>
      <c r="X380" s="1"/>
      <c r="Y380" s="1"/>
      <c r="Z380" s="1"/>
    </row>
    <row r="381" spans="1:26" ht="24.75" customHeight="1">
      <c r="A381" s="1"/>
      <c r="B381" s="1"/>
      <c r="C381" s="1"/>
      <c r="D381" s="1"/>
      <c r="E381" s="1"/>
      <c r="F381" s="1"/>
      <c r="G381" s="1"/>
      <c r="H381" s="1"/>
      <c r="I381" s="1"/>
      <c r="J381" s="1"/>
      <c r="K381" s="1"/>
      <c r="L381" s="1"/>
      <c r="M381" s="1"/>
      <c r="N381" s="1"/>
      <c r="O381" s="1"/>
      <c r="P381" s="1"/>
      <c r="Q381" s="1"/>
      <c r="R381" s="1"/>
      <c r="S381" s="1"/>
      <c r="T381" s="1"/>
      <c r="U381" s="2"/>
      <c r="V381" s="1"/>
      <c r="W381" s="1"/>
      <c r="X381" s="1"/>
      <c r="Y381" s="1"/>
      <c r="Z381" s="1"/>
    </row>
    <row r="382" spans="1:26" ht="24.75" customHeight="1">
      <c r="A382" s="1"/>
      <c r="B382" s="1"/>
      <c r="C382" s="1"/>
      <c r="D382" s="1"/>
      <c r="E382" s="1"/>
      <c r="F382" s="1"/>
      <c r="G382" s="1"/>
      <c r="H382" s="1"/>
      <c r="I382" s="1"/>
      <c r="J382" s="1"/>
      <c r="K382" s="1"/>
      <c r="L382" s="1"/>
      <c r="M382" s="1"/>
      <c r="N382" s="1"/>
      <c r="O382" s="1"/>
      <c r="P382" s="1"/>
      <c r="Q382" s="1"/>
      <c r="R382" s="1"/>
      <c r="S382" s="1"/>
      <c r="T382" s="1"/>
      <c r="U382" s="2"/>
      <c r="V382" s="1"/>
      <c r="W382" s="1"/>
      <c r="X382" s="1"/>
      <c r="Y382" s="1"/>
      <c r="Z382" s="1"/>
    </row>
    <row r="383" spans="1:26" ht="24.75" customHeight="1">
      <c r="A383" s="1"/>
      <c r="B383" s="1"/>
      <c r="C383" s="1"/>
      <c r="D383" s="1"/>
      <c r="E383" s="1"/>
      <c r="F383" s="1"/>
      <c r="G383" s="1"/>
      <c r="H383" s="1"/>
      <c r="I383" s="1"/>
      <c r="J383" s="1"/>
      <c r="K383" s="1"/>
      <c r="L383" s="1"/>
      <c r="M383" s="1"/>
      <c r="N383" s="1"/>
      <c r="O383" s="1"/>
      <c r="P383" s="1"/>
      <c r="Q383" s="1"/>
      <c r="R383" s="1"/>
      <c r="S383" s="1"/>
      <c r="T383" s="1"/>
      <c r="U383" s="2"/>
      <c r="V383" s="1"/>
      <c r="W383" s="1"/>
      <c r="X383" s="1"/>
      <c r="Y383" s="1"/>
      <c r="Z383" s="1"/>
    </row>
    <row r="384" spans="1:26" ht="24.75" customHeight="1">
      <c r="A384" s="1"/>
      <c r="B384" s="1"/>
      <c r="C384" s="1"/>
      <c r="D384" s="1"/>
      <c r="E384" s="1"/>
      <c r="F384" s="1"/>
      <c r="G384" s="1"/>
      <c r="H384" s="1"/>
      <c r="I384" s="1"/>
      <c r="J384" s="1"/>
      <c r="K384" s="1"/>
      <c r="L384" s="1"/>
      <c r="M384" s="1"/>
      <c r="N384" s="1"/>
      <c r="O384" s="1"/>
      <c r="P384" s="1"/>
      <c r="Q384" s="1"/>
      <c r="R384" s="1"/>
      <c r="S384" s="1"/>
      <c r="T384" s="1"/>
      <c r="U384" s="2"/>
      <c r="V384" s="1"/>
      <c r="W384" s="1"/>
      <c r="X384" s="1"/>
      <c r="Y384" s="1"/>
      <c r="Z384" s="1"/>
    </row>
    <row r="385" spans="1:26" ht="24.75" customHeight="1">
      <c r="A385" s="1"/>
      <c r="B385" s="1"/>
      <c r="C385" s="1"/>
      <c r="D385" s="1"/>
      <c r="E385" s="1"/>
      <c r="F385" s="1"/>
      <c r="G385" s="1"/>
      <c r="H385" s="1"/>
      <c r="I385" s="1"/>
      <c r="J385" s="1"/>
      <c r="K385" s="1"/>
      <c r="L385" s="1"/>
      <c r="M385" s="1"/>
      <c r="N385" s="1"/>
      <c r="O385" s="1"/>
      <c r="P385" s="1"/>
      <c r="Q385" s="1"/>
      <c r="R385" s="1"/>
      <c r="S385" s="1"/>
      <c r="T385" s="1"/>
      <c r="U385" s="2"/>
      <c r="V385" s="1"/>
      <c r="W385" s="1"/>
      <c r="X385" s="1"/>
      <c r="Y385" s="1"/>
      <c r="Z385" s="1"/>
    </row>
    <row r="386" spans="1:26" ht="24.75" customHeight="1">
      <c r="A386" s="1"/>
      <c r="B386" s="1"/>
      <c r="C386" s="1"/>
      <c r="D386" s="1"/>
      <c r="E386" s="1"/>
      <c r="F386" s="1"/>
      <c r="G386" s="1"/>
      <c r="H386" s="1"/>
      <c r="I386" s="1"/>
      <c r="J386" s="1"/>
      <c r="K386" s="1"/>
      <c r="L386" s="1"/>
      <c r="M386" s="1"/>
      <c r="N386" s="1"/>
      <c r="O386" s="1"/>
      <c r="P386" s="1"/>
      <c r="Q386" s="1"/>
      <c r="R386" s="1"/>
      <c r="S386" s="1"/>
      <c r="T386" s="1"/>
      <c r="U386" s="2"/>
      <c r="V386" s="1"/>
      <c r="W386" s="1"/>
      <c r="X386" s="1"/>
      <c r="Y386" s="1"/>
      <c r="Z386" s="1"/>
    </row>
    <row r="387" spans="1:26" ht="24.75" customHeight="1">
      <c r="A387" s="1"/>
      <c r="B387" s="1"/>
      <c r="C387" s="1"/>
      <c r="D387" s="1"/>
      <c r="E387" s="1"/>
      <c r="F387" s="1"/>
      <c r="G387" s="1"/>
      <c r="H387" s="1"/>
      <c r="I387" s="1"/>
      <c r="J387" s="1"/>
      <c r="K387" s="1"/>
      <c r="L387" s="1"/>
      <c r="M387" s="1"/>
      <c r="N387" s="1"/>
      <c r="O387" s="1"/>
      <c r="P387" s="1"/>
      <c r="Q387" s="1"/>
      <c r="R387" s="1"/>
      <c r="S387" s="1"/>
      <c r="T387" s="1"/>
      <c r="U387" s="2"/>
      <c r="V387" s="1"/>
      <c r="W387" s="1"/>
      <c r="X387" s="1"/>
      <c r="Y387" s="1"/>
      <c r="Z387" s="1"/>
    </row>
    <row r="388" spans="1:26" ht="24.75" customHeight="1">
      <c r="A388" s="1"/>
      <c r="B388" s="1"/>
      <c r="C388" s="1"/>
      <c r="D388" s="1"/>
      <c r="E388" s="1"/>
      <c r="F388" s="1"/>
      <c r="G388" s="1"/>
      <c r="H388" s="1"/>
      <c r="I388" s="1"/>
      <c r="J388" s="1"/>
      <c r="K388" s="1"/>
      <c r="L388" s="1"/>
      <c r="M388" s="1"/>
      <c r="N388" s="1"/>
      <c r="O388" s="1"/>
      <c r="P388" s="1"/>
      <c r="Q388" s="1"/>
      <c r="R388" s="1"/>
      <c r="S388" s="1"/>
      <c r="T388" s="1"/>
      <c r="U388" s="2"/>
      <c r="V388" s="1"/>
      <c r="W388" s="1"/>
      <c r="X388" s="1"/>
      <c r="Y388" s="1"/>
      <c r="Z388" s="1"/>
    </row>
    <row r="389" spans="1:26" ht="24.75" customHeight="1">
      <c r="A389" s="1"/>
      <c r="B389" s="1"/>
      <c r="C389" s="1"/>
      <c r="D389" s="1"/>
      <c r="E389" s="1"/>
      <c r="F389" s="1"/>
      <c r="G389" s="1"/>
      <c r="H389" s="1"/>
      <c r="I389" s="1"/>
      <c r="J389" s="1"/>
      <c r="K389" s="1"/>
      <c r="L389" s="1"/>
      <c r="M389" s="1"/>
      <c r="N389" s="1"/>
      <c r="O389" s="1"/>
      <c r="P389" s="1"/>
      <c r="Q389" s="1"/>
      <c r="R389" s="1"/>
      <c r="S389" s="1"/>
      <c r="T389" s="1"/>
      <c r="U389" s="2"/>
      <c r="V389" s="1"/>
      <c r="W389" s="1"/>
      <c r="X389" s="1"/>
      <c r="Y389" s="1"/>
      <c r="Z389" s="1"/>
    </row>
    <row r="390" spans="1:26" ht="24.75" customHeight="1">
      <c r="A390" s="1"/>
      <c r="B390" s="1"/>
      <c r="C390" s="1"/>
      <c r="D390" s="1"/>
      <c r="E390" s="1"/>
      <c r="F390" s="1"/>
      <c r="G390" s="1"/>
      <c r="H390" s="1"/>
      <c r="I390" s="1"/>
      <c r="J390" s="1"/>
      <c r="K390" s="1"/>
      <c r="L390" s="1"/>
      <c r="M390" s="1"/>
      <c r="N390" s="1"/>
      <c r="O390" s="1"/>
      <c r="P390" s="1"/>
      <c r="Q390" s="1"/>
      <c r="R390" s="1"/>
      <c r="S390" s="1"/>
      <c r="T390" s="1"/>
      <c r="U390" s="2"/>
      <c r="V390" s="1"/>
      <c r="W390" s="1"/>
      <c r="X390" s="1"/>
      <c r="Y390" s="1"/>
      <c r="Z390" s="1"/>
    </row>
    <row r="391" spans="1:26" ht="24.75" customHeight="1">
      <c r="A391" s="1"/>
      <c r="B391" s="1"/>
      <c r="C391" s="1"/>
      <c r="D391" s="1"/>
      <c r="E391" s="1"/>
      <c r="F391" s="1"/>
      <c r="G391" s="1"/>
      <c r="H391" s="1"/>
      <c r="I391" s="1"/>
      <c r="J391" s="1"/>
      <c r="K391" s="1"/>
      <c r="L391" s="1"/>
      <c r="M391" s="1"/>
      <c r="N391" s="1"/>
      <c r="O391" s="1"/>
      <c r="P391" s="1"/>
      <c r="Q391" s="1"/>
      <c r="R391" s="1"/>
      <c r="S391" s="1"/>
      <c r="T391" s="1"/>
      <c r="U391" s="2"/>
      <c r="V391" s="1"/>
      <c r="W391" s="1"/>
      <c r="X391" s="1"/>
      <c r="Y391" s="1"/>
      <c r="Z391" s="1"/>
    </row>
    <row r="392" spans="1:26" ht="24.75" customHeight="1">
      <c r="A392" s="1"/>
      <c r="B392" s="1"/>
      <c r="C392" s="1"/>
      <c r="D392" s="1"/>
      <c r="E392" s="1"/>
      <c r="F392" s="1"/>
      <c r="G392" s="1"/>
      <c r="H392" s="1"/>
      <c r="I392" s="1"/>
      <c r="J392" s="1"/>
      <c r="K392" s="1"/>
      <c r="L392" s="1"/>
      <c r="M392" s="1"/>
      <c r="N392" s="1"/>
      <c r="O392" s="1"/>
      <c r="P392" s="1"/>
      <c r="Q392" s="1"/>
      <c r="R392" s="1"/>
      <c r="S392" s="1"/>
      <c r="T392" s="1"/>
      <c r="U392" s="2"/>
      <c r="V392" s="1"/>
      <c r="W392" s="1"/>
      <c r="X392" s="1"/>
      <c r="Y392" s="1"/>
      <c r="Z392" s="1"/>
    </row>
    <row r="393" spans="1:26" ht="24.75" customHeight="1">
      <c r="A393" s="1"/>
      <c r="B393" s="1"/>
      <c r="C393" s="1"/>
      <c r="D393" s="1"/>
      <c r="E393" s="1"/>
      <c r="F393" s="1"/>
      <c r="G393" s="1"/>
      <c r="H393" s="1"/>
      <c r="I393" s="1"/>
      <c r="J393" s="1"/>
      <c r="K393" s="1"/>
      <c r="L393" s="1"/>
      <c r="M393" s="1"/>
      <c r="N393" s="1"/>
      <c r="O393" s="1"/>
      <c r="P393" s="1"/>
      <c r="Q393" s="1"/>
      <c r="R393" s="1"/>
      <c r="S393" s="1"/>
      <c r="T393" s="1"/>
      <c r="U393" s="2"/>
      <c r="V393" s="1"/>
      <c r="W393" s="1"/>
      <c r="X393" s="1"/>
      <c r="Y393" s="1"/>
      <c r="Z393" s="1"/>
    </row>
    <row r="394" spans="1:26" ht="24.75" customHeight="1">
      <c r="A394" s="1"/>
      <c r="B394" s="1"/>
      <c r="C394" s="1"/>
      <c r="D394" s="1"/>
      <c r="E394" s="1"/>
      <c r="F394" s="1"/>
      <c r="G394" s="1"/>
      <c r="H394" s="1"/>
      <c r="I394" s="1"/>
      <c r="J394" s="1"/>
      <c r="K394" s="1"/>
      <c r="L394" s="1"/>
      <c r="M394" s="1"/>
      <c r="N394" s="1"/>
      <c r="O394" s="1"/>
      <c r="P394" s="1"/>
      <c r="Q394" s="1"/>
      <c r="R394" s="1"/>
      <c r="S394" s="1"/>
      <c r="T394" s="1"/>
      <c r="U394" s="2"/>
      <c r="V394" s="1"/>
      <c r="W394" s="1"/>
      <c r="X394" s="1"/>
      <c r="Y394" s="1"/>
      <c r="Z394" s="1"/>
    </row>
    <row r="395" spans="1:26" ht="24.75" customHeight="1">
      <c r="A395" s="1"/>
      <c r="B395" s="1"/>
      <c r="C395" s="1"/>
      <c r="D395" s="1"/>
      <c r="E395" s="1"/>
      <c r="F395" s="1"/>
      <c r="G395" s="1"/>
      <c r="H395" s="1"/>
      <c r="I395" s="1"/>
      <c r="J395" s="1"/>
      <c r="K395" s="1"/>
      <c r="L395" s="1"/>
      <c r="M395" s="1"/>
      <c r="N395" s="1"/>
      <c r="O395" s="1"/>
      <c r="P395" s="1"/>
      <c r="Q395" s="1"/>
      <c r="R395" s="1"/>
      <c r="S395" s="1"/>
      <c r="T395" s="1"/>
      <c r="U395" s="2"/>
      <c r="V395" s="1"/>
      <c r="W395" s="1"/>
      <c r="X395" s="1"/>
      <c r="Y395" s="1"/>
      <c r="Z395" s="1"/>
    </row>
    <row r="396" spans="1:26" ht="24.75" customHeight="1">
      <c r="A396" s="1"/>
      <c r="B396" s="1"/>
      <c r="C396" s="1"/>
      <c r="D396" s="1"/>
      <c r="E396" s="1"/>
      <c r="F396" s="1"/>
      <c r="G396" s="1"/>
      <c r="H396" s="1"/>
      <c r="I396" s="1"/>
      <c r="J396" s="1"/>
      <c r="K396" s="1"/>
      <c r="L396" s="1"/>
      <c r="M396" s="1"/>
      <c r="N396" s="1"/>
      <c r="O396" s="1"/>
      <c r="P396" s="1"/>
      <c r="Q396" s="1"/>
      <c r="R396" s="1"/>
      <c r="S396" s="1"/>
      <c r="T396" s="1"/>
      <c r="U396" s="2"/>
      <c r="V396" s="1"/>
      <c r="W396" s="1"/>
      <c r="X396" s="1"/>
      <c r="Y396" s="1"/>
      <c r="Z396" s="1"/>
    </row>
    <row r="397" spans="1:26" ht="24.75" customHeight="1">
      <c r="A397" s="1"/>
      <c r="B397" s="1"/>
      <c r="C397" s="1"/>
      <c r="D397" s="1"/>
      <c r="E397" s="1"/>
      <c r="F397" s="1"/>
      <c r="G397" s="1"/>
      <c r="H397" s="1"/>
      <c r="I397" s="1"/>
      <c r="J397" s="1"/>
      <c r="K397" s="1"/>
      <c r="L397" s="1"/>
      <c r="M397" s="1"/>
      <c r="N397" s="1"/>
      <c r="O397" s="1"/>
      <c r="P397" s="1"/>
      <c r="Q397" s="1"/>
      <c r="R397" s="1"/>
      <c r="S397" s="1"/>
      <c r="T397" s="1"/>
      <c r="U397" s="2"/>
      <c r="V397" s="1"/>
      <c r="W397" s="1"/>
      <c r="X397" s="1"/>
      <c r="Y397" s="1"/>
      <c r="Z397" s="1"/>
    </row>
    <row r="398" spans="1:26" ht="24.75" customHeight="1">
      <c r="A398" s="1"/>
      <c r="B398" s="1"/>
      <c r="C398" s="1"/>
      <c r="D398" s="1"/>
      <c r="E398" s="1"/>
      <c r="F398" s="1"/>
      <c r="G398" s="1"/>
      <c r="H398" s="1"/>
      <c r="I398" s="1"/>
      <c r="J398" s="1"/>
      <c r="K398" s="1"/>
      <c r="L398" s="1"/>
      <c r="M398" s="1"/>
      <c r="N398" s="1"/>
      <c r="O398" s="1"/>
      <c r="P398" s="1"/>
      <c r="Q398" s="1"/>
      <c r="R398" s="1"/>
      <c r="S398" s="1"/>
      <c r="T398" s="1"/>
      <c r="U398" s="2"/>
      <c r="V398" s="1"/>
      <c r="W398" s="1"/>
      <c r="X398" s="1"/>
      <c r="Y398" s="1"/>
      <c r="Z398" s="1"/>
    </row>
    <row r="399" spans="1:26" ht="24.75" customHeight="1">
      <c r="A399" s="1"/>
      <c r="B399" s="1"/>
      <c r="C399" s="1"/>
      <c r="D399" s="1"/>
      <c r="E399" s="1"/>
      <c r="F399" s="1"/>
      <c r="G399" s="1"/>
      <c r="H399" s="1"/>
      <c r="I399" s="1"/>
      <c r="J399" s="1"/>
      <c r="K399" s="1"/>
      <c r="L399" s="1"/>
      <c r="M399" s="1"/>
      <c r="N399" s="1"/>
      <c r="O399" s="1"/>
      <c r="P399" s="1"/>
      <c r="Q399" s="1"/>
      <c r="R399" s="1"/>
      <c r="S399" s="1"/>
      <c r="T399" s="1"/>
      <c r="U399" s="2"/>
      <c r="V399" s="1"/>
      <c r="W399" s="1"/>
      <c r="X399" s="1"/>
      <c r="Y399" s="1"/>
      <c r="Z399" s="1"/>
    </row>
    <row r="400" spans="1:26" ht="24.75" customHeight="1">
      <c r="A400" s="1"/>
      <c r="B400" s="1"/>
      <c r="C400" s="1"/>
      <c r="D400" s="1"/>
      <c r="E400" s="1"/>
      <c r="F400" s="1"/>
      <c r="G400" s="1"/>
      <c r="H400" s="1"/>
      <c r="I400" s="1"/>
      <c r="J400" s="1"/>
      <c r="K400" s="1"/>
      <c r="L400" s="1"/>
      <c r="M400" s="1"/>
      <c r="N400" s="1"/>
      <c r="O400" s="1"/>
      <c r="P400" s="1"/>
      <c r="Q400" s="1"/>
      <c r="R400" s="1"/>
      <c r="S400" s="1"/>
      <c r="T400" s="1"/>
      <c r="U400" s="2"/>
      <c r="V400" s="1"/>
      <c r="W400" s="1"/>
      <c r="X400" s="1"/>
      <c r="Y400" s="1"/>
      <c r="Z400" s="1"/>
    </row>
    <row r="401" spans="1:26" ht="24.75" customHeight="1">
      <c r="A401" s="1"/>
      <c r="B401" s="1"/>
      <c r="C401" s="1"/>
      <c r="D401" s="1"/>
      <c r="E401" s="1"/>
      <c r="F401" s="1"/>
      <c r="G401" s="1"/>
      <c r="H401" s="1"/>
      <c r="I401" s="1"/>
      <c r="J401" s="1"/>
      <c r="K401" s="1"/>
      <c r="L401" s="1"/>
      <c r="M401" s="1"/>
      <c r="N401" s="1"/>
      <c r="O401" s="1"/>
      <c r="P401" s="1"/>
      <c r="Q401" s="1"/>
      <c r="R401" s="1"/>
      <c r="S401" s="1"/>
      <c r="T401" s="1"/>
      <c r="U401" s="2"/>
      <c r="V401" s="1"/>
      <c r="W401" s="1"/>
      <c r="X401" s="1"/>
      <c r="Y401" s="1"/>
      <c r="Z401" s="1"/>
    </row>
    <row r="402" spans="1:26" ht="24.75" customHeight="1">
      <c r="A402" s="1"/>
      <c r="B402" s="1"/>
      <c r="C402" s="1"/>
      <c r="D402" s="1"/>
      <c r="E402" s="1"/>
      <c r="F402" s="1"/>
      <c r="G402" s="1"/>
      <c r="H402" s="1"/>
      <c r="I402" s="1"/>
      <c r="J402" s="1"/>
      <c r="K402" s="1"/>
      <c r="L402" s="1"/>
      <c r="M402" s="1"/>
      <c r="N402" s="1"/>
      <c r="O402" s="1"/>
      <c r="P402" s="1"/>
      <c r="Q402" s="1"/>
      <c r="R402" s="1"/>
      <c r="S402" s="1"/>
      <c r="T402" s="1"/>
      <c r="U402" s="2"/>
      <c r="V402" s="1"/>
      <c r="W402" s="1"/>
      <c r="X402" s="1"/>
      <c r="Y402" s="1"/>
      <c r="Z402" s="1"/>
    </row>
    <row r="403" spans="1:26" ht="24.75" customHeight="1">
      <c r="A403" s="1"/>
      <c r="B403" s="1"/>
      <c r="C403" s="1"/>
      <c r="D403" s="1"/>
      <c r="E403" s="1"/>
      <c r="F403" s="1"/>
      <c r="G403" s="1"/>
      <c r="H403" s="1"/>
      <c r="I403" s="1"/>
      <c r="J403" s="1"/>
      <c r="K403" s="1"/>
      <c r="L403" s="1"/>
      <c r="M403" s="1"/>
      <c r="N403" s="1"/>
      <c r="O403" s="1"/>
      <c r="P403" s="1"/>
      <c r="Q403" s="1"/>
      <c r="R403" s="1"/>
      <c r="S403" s="1"/>
      <c r="T403" s="1"/>
      <c r="U403" s="2"/>
      <c r="V403" s="1"/>
      <c r="W403" s="1"/>
      <c r="X403" s="1"/>
      <c r="Y403" s="1"/>
      <c r="Z403" s="1"/>
    </row>
    <row r="404" spans="1:26" ht="24.75" customHeight="1">
      <c r="A404" s="1"/>
      <c r="B404" s="1"/>
      <c r="C404" s="1"/>
      <c r="D404" s="1"/>
      <c r="E404" s="1"/>
      <c r="F404" s="1"/>
      <c r="G404" s="1"/>
      <c r="H404" s="1"/>
      <c r="I404" s="1"/>
      <c r="J404" s="1"/>
      <c r="K404" s="1"/>
      <c r="L404" s="1"/>
      <c r="M404" s="1"/>
      <c r="N404" s="1"/>
      <c r="O404" s="1"/>
      <c r="P404" s="1"/>
      <c r="Q404" s="1"/>
      <c r="R404" s="1"/>
      <c r="S404" s="1"/>
      <c r="T404" s="1"/>
      <c r="U404" s="2"/>
      <c r="V404" s="1"/>
      <c r="W404" s="1"/>
      <c r="X404" s="1"/>
      <c r="Y404" s="1"/>
      <c r="Z404" s="1"/>
    </row>
    <row r="405" spans="1:26" ht="24.75" customHeight="1">
      <c r="A405" s="1"/>
      <c r="B405" s="1"/>
      <c r="C405" s="1"/>
      <c r="D405" s="1"/>
      <c r="E405" s="1"/>
      <c r="F405" s="1"/>
      <c r="G405" s="1"/>
      <c r="H405" s="1"/>
      <c r="I405" s="1"/>
      <c r="J405" s="1"/>
      <c r="K405" s="1"/>
      <c r="L405" s="1"/>
      <c r="M405" s="1"/>
      <c r="N405" s="1"/>
      <c r="O405" s="1"/>
      <c r="P405" s="1"/>
      <c r="Q405" s="1"/>
      <c r="R405" s="1"/>
      <c r="S405" s="1"/>
      <c r="T405" s="1"/>
      <c r="U405" s="2"/>
      <c r="V405" s="1"/>
      <c r="W405" s="1"/>
      <c r="X405" s="1"/>
      <c r="Y405" s="1"/>
      <c r="Z405" s="1"/>
    </row>
    <row r="406" spans="1:26" ht="24.75" customHeight="1">
      <c r="A406" s="1"/>
      <c r="B406" s="1"/>
      <c r="C406" s="1"/>
      <c r="D406" s="1"/>
      <c r="E406" s="1"/>
      <c r="F406" s="1"/>
      <c r="G406" s="1"/>
      <c r="H406" s="1"/>
      <c r="I406" s="1"/>
      <c r="J406" s="1"/>
      <c r="K406" s="1"/>
      <c r="L406" s="1"/>
      <c r="M406" s="1"/>
      <c r="N406" s="1"/>
      <c r="O406" s="1"/>
      <c r="P406" s="1"/>
      <c r="Q406" s="1"/>
      <c r="R406" s="1"/>
      <c r="S406" s="1"/>
      <c r="T406" s="1"/>
      <c r="U406" s="2"/>
      <c r="V406" s="1"/>
      <c r="W406" s="1"/>
      <c r="X406" s="1"/>
      <c r="Y406" s="1"/>
      <c r="Z406" s="1"/>
    </row>
    <row r="407" spans="1:26" ht="24.75" customHeight="1">
      <c r="A407" s="1"/>
      <c r="B407" s="1"/>
      <c r="C407" s="1"/>
      <c r="D407" s="1"/>
      <c r="E407" s="1"/>
      <c r="F407" s="1"/>
      <c r="G407" s="1"/>
      <c r="H407" s="1"/>
      <c r="I407" s="1"/>
      <c r="J407" s="1"/>
      <c r="K407" s="1"/>
      <c r="L407" s="1"/>
      <c r="M407" s="1"/>
      <c r="N407" s="1"/>
      <c r="O407" s="1"/>
      <c r="P407" s="1"/>
      <c r="Q407" s="1"/>
      <c r="R407" s="1"/>
      <c r="S407" s="1"/>
      <c r="T407" s="1"/>
      <c r="U407" s="2"/>
      <c r="V407" s="1"/>
      <c r="W407" s="1"/>
      <c r="X407" s="1"/>
      <c r="Y407" s="1"/>
      <c r="Z407" s="1"/>
    </row>
    <row r="408" spans="1:26" ht="24.75" customHeight="1">
      <c r="A408" s="1"/>
      <c r="B408" s="1"/>
      <c r="C408" s="1"/>
      <c r="D408" s="1"/>
      <c r="E408" s="1"/>
      <c r="F408" s="1"/>
      <c r="G408" s="1"/>
      <c r="H408" s="1"/>
      <c r="I408" s="1"/>
      <c r="J408" s="1"/>
      <c r="K408" s="1"/>
      <c r="L408" s="1"/>
      <c r="M408" s="1"/>
      <c r="N408" s="1"/>
      <c r="O408" s="1"/>
      <c r="P408" s="1"/>
      <c r="Q408" s="1"/>
      <c r="R408" s="1"/>
      <c r="S408" s="1"/>
      <c r="T408" s="1"/>
      <c r="U408" s="2"/>
      <c r="V408" s="1"/>
      <c r="W408" s="1"/>
      <c r="X408" s="1"/>
      <c r="Y408" s="1"/>
      <c r="Z408" s="1"/>
    </row>
    <row r="409" spans="1:26" ht="24.75" customHeight="1">
      <c r="A409" s="1"/>
      <c r="B409" s="1"/>
      <c r="C409" s="1"/>
      <c r="D409" s="1"/>
      <c r="E409" s="1"/>
      <c r="F409" s="1"/>
      <c r="G409" s="1"/>
      <c r="H409" s="1"/>
      <c r="I409" s="1"/>
      <c r="J409" s="1"/>
      <c r="K409" s="1"/>
      <c r="L409" s="1"/>
      <c r="M409" s="1"/>
      <c r="N409" s="1"/>
      <c r="O409" s="1"/>
      <c r="P409" s="1"/>
      <c r="Q409" s="1"/>
      <c r="R409" s="1"/>
      <c r="S409" s="1"/>
      <c r="T409" s="1"/>
      <c r="U409" s="2"/>
      <c r="V409" s="1"/>
      <c r="W409" s="1"/>
      <c r="X409" s="1"/>
      <c r="Y409" s="1"/>
      <c r="Z409" s="1"/>
    </row>
    <row r="410" spans="1:26" ht="24.75" customHeight="1">
      <c r="A410" s="1"/>
      <c r="B410" s="1"/>
      <c r="C410" s="1"/>
      <c r="D410" s="1"/>
      <c r="E410" s="1"/>
      <c r="F410" s="1"/>
      <c r="G410" s="1"/>
      <c r="H410" s="1"/>
      <c r="I410" s="1"/>
      <c r="J410" s="1"/>
      <c r="K410" s="1"/>
      <c r="L410" s="1"/>
      <c r="M410" s="1"/>
      <c r="N410" s="1"/>
      <c r="O410" s="1"/>
      <c r="P410" s="1"/>
      <c r="Q410" s="1"/>
      <c r="R410" s="1"/>
      <c r="S410" s="1"/>
      <c r="T410" s="1"/>
      <c r="U410" s="2"/>
      <c r="V410" s="1"/>
      <c r="W410" s="1"/>
      <c r="X410" s="1"/>
      <c r="Y410" s="1"/>
      <c r="Z410" s="1"/>
    </row>
    <row r="411" spans="1:26" ht="24.75" customHeight="1">
      <c r="A411" s="1"/>
      <c r="B411" s="1"/>
      <c r="C411" s="1"/>
      <c r="D411" s="1"/>
      <c r="E411" s="1"/>
      <c r="F411" s="1"/>
      <c r="G411" s="1"/>
      <c r="H411" s="1"/>
      <c r="I411" s="1"/>
      <c r="J411" s="1"/>
      <c r="K411" s="1"/>
      <c r="L411" s="1"/>
      <c r="M411" s="1"/>
      <c r="N411" s="1"/>
      <c r="O411" s="1"/>
      <c r="P411" s="1"/>
      <c r="Q411" s="1"/>
      <c r="R411" s="1"/>
      <c r="S411" s="1"/>
      <c r="T411" s="1"/>
      <c r="U411" s="2"/>
      <c r="V411" s="1"/>
      <c r="W411" s="1"/>
      <c r="X411" s="1"/>
      <c r="Y411" s="1"/>
      <c r="Z411" s="1"/>
    </row>
    <row r="412" spans="1:26" ht="24.75" customHeight="1">
      <c r="A412" s="1"/>
      <c r="B412" s="1"/>
      <c r="C412" s="1"/>
      <c r="D412" s="1"/>
      <c r="E412" s="1"/>
      <c r="F412" s="1"/>
      <c r="G412" s="1"/>
      <c r="H412" s="1"/>
      <c r="I412" s="1"/>
      <c r="J412" s="1"/>
      <c r="K412" s="1"/>
      <c r="L412" s="1"/>
      <c r="M412" s="1"/>
      <c r="N412" s="1"/>
      <c r="O412" s="1"/>
      <c r="P412" s="1"/>
      <c r="Q412" s="1"/>
      <c r="R412" s="1"/>
      <c r="S412" s="1"/>
      <c r="T412" s="1"/>
      <c r="U412" s="2"/>
      <c r="V412" s="1"/>
      <c r="W412" s="1"/>
      <c r="X412" s="1"/>
      <c r="Y412" s="1"/>
      <c r="Z412" s="1"/>
    </row>
    <row r="413" spans="1:26" ht="24.75" customHeight="1">
      <c r="A413" s="1"/>
      <c r="B413" s="1"/>
      <c r="C413" s="1"/>
      <c r="D413" s="1"/>
      <c r="E413" s="1"/>
      <c r="F413" s="1"/>
      <c r="G413" s="1"/>
      <c r="H413" s="1"/>
      <c r="I413" s="1"/>
      <c r="J413" s="1"/>
      <c r="K413" s="1"/>
      <c r="L413" s="1"/>
      <c r="M413" s="1"/>
      <c r="N413" s="1"/>
      <c r="O413" s="1"/>
      <c r="P413" s="1"/>
      <c r="Q413" s="1"/>
      <c r="R413" s="1"/>
      <c r="S413" s="1"/>
      <c r="T413" s="1"/>
      <c r="U413" s="2"/>
      <c r="V413" s="1"/>
      <c r="W413" s="1"/>
      <c r="X413" s="1"/>
      <c r="Y413" s="1"/>
      <c r="Z413" s="1"/>
    </row>
    <row r="414" spans="1:26" ht="24.75" customHeight="1">
      <c r="A414" s="1"/>
      <c r="B414" s="1"/>
      <c r="C414" s="1"/>
      <c r="D414" s="1"/>
      <c r="E414" s="1"/>
      <c r="F414" s="1"/>
      <c r="G414" s="1"/>
      <c r="H414" s="1"/>
      <c r="I414" s="1"/>
      <c r="J414" s="1"/>
      <c r="K414" s="1"/>
      <c r="L414" s="1"/>
      <c r="M414" s="1"/>
      <c r="N414" s="1"/>
      <c r="O414" s="1"/>
      <c r="P414" s="1"/>
      <c r="Q414" s="1"/>
      <c r="R414" s="1"/>
      <c r="S414" s="1"/>
      <c r="T414" s="1"/>
      <c r="U414" s="2"/>
      <c r="V414" s="1"/>
      <c r="W414" s="1"/>
      <c r="X414" s="1"/>
      <c r="Y414" s="1"/>
      <c r="Z414" s="1"/>
    </row>
    <row r="415" spans="1:26" ht="24.75" customHeight="1">
      <c r="A415" s="1"/>
      <c r="B415" s="1"/>
      <c r="C415" s="1"/>
      <c r="D415" s="1"/>
      <c r="E415" s="1"/>
      <c r="F415" s="1"/>
      <c r="G415" s="1"/>
      <c r="H415" s="1"/>
      <c r="I415" s="1"/>
      <c r="J415" s="1"/>
      <c r="K415" s="1"/>
      <c r="L415" s="1"/>
      <c r="M415" s="1"/>
      <c r="N415" s="1"/>
      <c r="O415" s="1"/>
      <c r="P415" s="1"/>
      <c r="Q415" s="1"/>
      <c r="R415" s="1"/>
      <c r="S415" s="1"/>
      <c r="T415" s="1"/>
      <c r="U415" s="2"/>
      <c r="V415" s="1"/>
      <c r="W415" s="1"/>
      <c r="X415" s="1"/>
      <c r="Y415" s="1"/>
      <c r="Z415" s="1"/>
    </row>
    <row r="416" spans="1:26" ht="24.75" customHeight="1">
      <c r="A416" s="1"/>
      <c r="B416" s="1"/>
      <c r="C416" s="1"/>
      <c r="D416" s="1"/>
      <c r="E416" s="1"/>
      <c r="F416" s="1"/>
      <c r="G416" s="1"/>
      <c r="H416" s="1"/>
      <c r="I416" s="1"/>
      <c r="J416" s="1"/>
      <c r="K416" s="1"/>
      <c r="L416" s="1"/>
      <c r="M416" s="1"/>
      <c r="N416" s="1"/>
      <c r="O416" s="1"/>
      <c r="P416" s="1"/>
      <c r="Q416" s="1"/>
      <c r="R416" s="1"/>
      <c r="S416" s="1"/>
      <c r="T416" s="1"/>
      <c r="U416" s="2"/>
      <c r="V416" s="1"/>
      <c r="W416" s="1"/>
      <c r="X416" s="1"/>
      <c r="Y416" s="1"/>
      <c r="Z416" s="1"/>
    </row>
    <row r="417" spans="1:26" ht="24.75" customHeight="1">
      <c r="A417" s="1"/>
      <c r="B417" s="1"/>
      <c r="C417" s="1"/>
      <c r="D417" s="1"/>
      <c r="E417" s="1"/>
      <c r="F417" s="1"/>
      <c r="G417" s="1"/>
      <c r="H417" s="1"/>
      <c r="I417" s="1"/>
      <c r="J417" s="1"/>
      <c r="K417" s="1"/>
      <c r="L417" s="1"/>
      <c r="M417" s="1"/>
      <c r="N417" s="1"/>
      <c r="O417" s="1"/>
      <c r="P417" s="1"/>
      <c r="Q417" s="1"/>
      <c r="R417" s="1"/>
      <c r="S417" s="1"/>
      <c r="T417" s="1"/>
      <c r="U417" s="2"/>
      <c r="V417" s="1"/>
      <c r="W417" s="1"/>
      <c r="X417" s="1"/>
      <c r="Y417" s="1"/>
      <c r="Z417" s="1"/>
    </row>
    <row r="418" spans="1:26" ht="24.75" customHeight="1">
      <c r="A418" s="1"/>
      <c r="B418" s="1"/>
      <c r="C418" s="1"/>
      <c r="D418" s="1"/>
      <c r="E418" s="1"/>
      <c r="F418" s="1"/>
      <c r="G418" s="1"/>
      <c r="H418" s="1"/>
      <c r="I418" s="1"/>
      <c r="J418" s="1"/>
      <c r="K418" s="1"/>
      <c r="L418" s="1"/>
      <c r="M418" s="1"/>
      <c r="N418" s="1"/>
      <c r="O418" s="1"/>
      <c r="P418" s="1"/>
      <c r="Q418" s="1"/>
      <c r="R418" s="1"/>
      <c r="S418" s="1"/>
      <c r="T418" s="1"/>
      <c r="U418" s="2"/>
      <c r="V418" s="1"/>
      <c r="W418" s="1"/>
      <c r="X418" s="1"/>
      <c r="Y418" s="1"/>
      <c r="Z418" s="1"/>
    </row>
    <row r="419" spans="1:26" ht="24.75" customHeight="1">
      <c r="A419" s="1"/>
      <c r="B419" s="1"/>
      <c r="C419" s="1"/>
      <c r="D419" s="1"/>
      <c r="E419" s="1"/>
      <c r="F419" s="1"/>
      <c r="G419" s="1"/>
      <c r="H419" s="1"/>
      <c r="I419" s="1"/>
      <c r="J419" s="1"/>
      <c r="K419" s="1"/>
      <c r="L419" s="1"/>
      <c r="M419" s="1"/>
      <c r="N419" s="1"/>
      <c r="O419" s="1"/>
      <c r="P419" s="1"/>
      <c r="Q419" s="1"/>
      <c r="R419" s="1"/>
      <c r="S419" s="1"/>
      <c r="T419" s="1"/>
      <c r="U419" s="2"/>
      <c r="V419" s="1"/>
      <c r="W419" s="1"/>
      <c r="X419" s="1"/>
      <c r="Y419" s="1"/>
      <c r="Z419" s="1"/>
    </row>
    <row r="420" spans="1:26" ht="24.75" customHeight="1">
      <c r="A420" s="1"/>
      <c r="B420" s="1"/>
      <c r="C420" s="1"/>
      <c r="D420" s="1"/>
      <c r="E420" s="1"/>
      <c r="F420" s="1"/>
      <c r="G420" s="1"/>
      <c r="H420" s="1"/>
      <c r="I420" s="1"/>
      <c r="J420" s="1"/>
      <c r="K420" s="1"/>
      <c r="L420" s="1"/>
      <c r="M420" s="1"/>
      <c r="N420" s="1"/>
      <c r="O420" s="1"/>
      <c r="P420" s="1"/>
      <c r="Q420" s="1"/>
      <c r="R420" s="1"/>
      <c r="S420" s="1"/>
      <c r="T420" s="1"/>
      <c r="U420" s="2"/>
      <c r="V420" s="1"/>
      <c r="W420" s="1"/>
      <c r="X420" s="1"/>
      <c r="Y420" s="1"/>
      <c r="Z420" s="1"/>
    </row>
    <row r="421" spans="1:26" ht="24.75" customHeight="1">
      <c r="A421" s="1"/>
      <c r="B421" s="1"/>
      <c r="C421" s="1"/>
      <c r="D421" s="1"/>
      <c r="E421" s="1"/>
      <c r="F421" s="1"/>
      <c r="G421" s="1"/>
      <c r="H421" s="1"/>
      <c r="I421" s="1"/>
      <c r="J421" s="1"/>
      <c r="K421" s="1"/>
      <c r="L421" s="1"/>
      <c r="M421" s="1"/>
      <c r="N421" s="1"/>
      <c r="O421" s="1"/>
      <c r="P421" s="1"/>
      <c r="Q421" s="1"/>
      <c r="R421" s="1"/>
      <c r="S421" s="1"/>
      <c r="T421" s="1"/>
      <c r="U421" s="2"/>
      <c r="V421" s="1"/>
      <c r="W421" s="1"/>
      <c r="X421" s="1"/>
      <c r="Y421" s="1"/>
      <c r="Z421" s="1"/>
    </row>
    <row r="422" spans="1:26" ht="24.75" customHeight="1">
      <c r="A422" s="1"/>
      <c r="B422" s="1"/>
      <c r="C422" s="1"/>
      <c r="D422" s="1"/>
      <c r="E422" s="1"/>
      <c r="F422" s="1"/>
      <c r="G422" s="1"/>
      <c r="H422" s="1"/>
      <c r="I422" s="1"/>
      <c r="J422" s="1"/>
      <c r="K422" s="1"/>
      <c r="L422" s="1"/>
      <c r="M422" s="1"/>
      <c r="N422" s="1"/>
      <c r="O422" s="1"/>
      <c r="P422" s="1"/>
      <c r="Q422" s="1"/>
      <c r="R422" s="1"/>
      <c r="S422" s="1"/>
      <c r="T422" s="1"/>
      <c r="U422" s="2"/>
      <c r="V422" s="1"/>
      <c r="W422" s="1"/>
      <c r="X422" s="1"/>
      <c r="Y422" s="1"/>
      <c r="Z422" s="1"/>
    </row>
    <row r="423" spans="1:26" ht="24.75" customHeight="1">
      <c r="A423" s="1"/>
      <c r="B423" s="1"/>
      <c r="C423" s="1"/>
      <c r="D423" s="1"/>
      <c r="E423" s="1"/>
      <c r="F423" s="1"/>
      <c r="G423" s="1"/>
      <c r="H423" s="1"/>
      <c r="I423" s="1"/>
      <c r="J423" s="1"/>
      <c r="K423" s="1"/>
      <c r="L423" s="1"/>
      <c r="M423" s="1"/>
      <c r="N423" s="1"/>
      <c r="O423" s="1"/>
      <c r="P423" s="1"/>
      <c r="Q423" s="1"/>
      <c r="R423" s="1"/>
      <c r="S423" s="1"/>
      <c r="T423" s="1"/>
      <c r="U423" s="2"/>
      <c r="V423" s="1"/>
      <c r="W423" s="1"/>
      <c r="X423" s="1"/>
      <c r="Y423" s="1"/>
      <c r="Z423" s="1"/>
    </row>
    <row r="424" spans="1:26" ht="24.75" customHeight="1">
      <c r="A424" s="1"/>
      <c r="B424" s="1"/>
      <c r="C424" s="1"/>
      <c r="D424" s="1"/>
      <c r="E424" s="1"/>
      <c r="F424" s="1"/>
      <c r="G424" s="1"/>
      <c r="H424" s="1"/>
      <c r="I424" s="1"/>
      <c r="J424" s="1"/>
      <c r="K424" s="1"/>
      <c r="L424" s="1"/>
      <c r="M424" s="1"/>
      <c r="N424" s="1"/>
      <c r="O424" s="1"/>
      <c r="P424" s="1"/>
      <c r="Q424" s="1"/>
      <c r="R424" s="1"/>
      <c r="S424" s="1"/>
      <c r="T424" s="1"/>
      <c r="U424" s="2"/>
      <c r="V424" s="1"/>
      <c r="W424" s="1"/>
      <c r="X424" s="1"/>
      <c r="Y424" s="1"/>
      <c r="Z424" s="1"/>
    </row>
    <row r="425" spans="1:26" ht="24.75" customHeight="1">
      <c r="A425" s="1"/>
      <c r="B425" s="1"/>
      <c r="C425" s="1"/>
      <c r="D425" s="1"/>
      <c r="E425" s="1"/>
      <c r="F425" s="1"/>
      <c r="G425" s="1"/>
      <c r="H425" s="1"/>
      <c r="I425" s="1"/>
      <c r="J425" s="1"/>
      <c r="K425" s="1"/>
      <c r="L425" s="1"/>
      <c r="M425" s="1"/>
      <c r="N425" s="1"/>
      <c r="O425" s="1"/>
      <c r="P425" s="1"/>
      <c r="Q425" s="1"/>
      <c r="R425" s="1"/>
      <c r="S425" s="1"/>
      <c r="T425" s="1"/>
      <c r="U425" s="2"/>
      <c r="V425" s="1"/>
      <c r="W425" s="1"/>
      <c r="X425" s="1"/>
      <c r="Y425" s="1"/>
      <c r="Z425" s="1"/>
    </row>
    <row r="426" spans="1:26" ht="24.75" customHeight="1">
      <c r="A426" s="1"/>
      <c r="B426" s="1"/>
      <c r="C426" s="1"/>
      <c r="D426" s="1"/>
      <c r="E426" s="1"/>
      <c r="F426" s="1"/>
      <c r="G426" s="1"/>
      <c r="H426" s="1"/>
      <c r="I426" s="1"/>
      <c r="J426" s="1"/>
      <c r="K426" s="1"/>
      <c r="L426" s="1"/>
      <c r="M426" s="1"/>
      <c r="N426" s="1"/>
      <c r="O426" s="1"/>
      <c r="P426" s="1"/>
      <c r="Q426" s="1"/>
      <c r="R426" s="1"/>
      <c r="S426" s="1"/>
      <c r="T426" s="1"/>
      <c r="U426" s="2"/>
      <c r="V426" s="1"/>
      <c r="W426" s="1"/>
      <c r="X426" s="1"/>
      <c r="Y426" s="1"/>
      <c r="Z426" s="1"/>
    </row>
    <row r="427" spans="1:26" ht="24.75" customHeight="1">
      <c r="A427" s="1"/>
      <c r="B427" s="1"/>
      <c r="C427" s="1"/>
      <c r="D427" s="1"/>
      <c r="E427" s="1"/>
      <c r="F427" s="1"/>
      <c r="G427" s="1"/>
      <c r="H427" s="1"/>
      <c r="I427" s="1"/>
      <c r="J427" s="1"/>
      <c r="K427" s="1"/>
      <c r="L427" s="1"/>
      <c r="M427" s="1"/>
      <c r="N427" s="1"/>
      <c r="O427" s="1"/>
      <c r="P427" s="1"/>
      <c r="Q427" s="1"/>
      <c r="R427" s="1"/>
      <c r="S427" s="1"/>
      <c r="T427" s="1"/>
      <c r="U427" s="2"/>
      <c r="V427" s="1"/>
      <c r="W427" s="1"/>
      <c r="X427" s="1"/>
      <c r="Y427" s="1"/>
      <c r="Z427" s="1"/>
    </row>
    <row r="428" spans="1:26" ht="24.75" customHeight="1">
      <c r="A428" s="1"/>
      <c r="B428" s="1"/>
      <c r="C428" s="1"/>
      <c r="D428" s="1"/>
      <c r="E428" s="1"/>
      <c r="F428" s="1"/>
      <c r="G428" s="1"/>
      <c r="H428" s="1"/>
      <c r="I428" s="1"/>
      <c r="J428" s="1"/>
      <c r="K428" s="1"/>
      <c r="L428" s="1"/>
      <c r="M428" s="1"/>
      <c r="N428" s="1"/>
      <c r="O428" s="1"/>
      <c r="P428" s="1"/>
      <c r="Q428" s="1"/>
      <c r="R428" s="1"/>
      <c r="S428" s="1"/>
      <c r="T428" s="1"/>
      <c r="U428" s="2"/>
      <c r="V428" s="1"/>
      <c r="W428" s="1"/>
      <c r="X428" s="1"/>
      <c r="Y428" s="1"/>
      <c r="Z428" s="1"/>
    </row>
    <row r="429" spans="1:26" ht="24.75" customHeight="1">
      <c r="A429" s="1"/>
      <c r="B429" s="1"/>
      <c r="C429" s="1"/>
      <c r="D429" s="1"/>
      <c r="E429" s="1"/>
      <c r="F429" s="1"/>
      <c r="G429" s="1"/>
      <c r="H429" s="1"/>
      <c r="I429" s="1"/>
      <c r="J429" s="1"/>
      <c r="K429" s="1"/>
      <c r="L429" s="1"/>
      <c r="M429" s="1"/>
      <c r="N429" s="1"/>
      <c r="O429" s="1"/>
      <c r="P429" s="1"/>
      <c r="Q429" s="1"/>
      <c r="R429" s="1"/>
      <c r="S429" s="1"/>
      <c r="T429" s="1"/>
      <c r="U429" s="2"/>
      <c r="V429" s="1"/>
      <c r="W429" s="1"/>
      <c r="X429" s="1"/>
      <c r="Y429" s="1"/>
      <c r="Z429" s="1"/>
    </row>
    <row r="430" spans="1:26" ht="24.75" customHeight="1">
      <c r="A430" s="1"/>
      <c r="B430" s="1"/>
      <c r="C430" s="1"/>
      <c r="D430" s="1"/>
      <c r="E430" s="1"/>
      <c r="F430" s="1"/>
      <c r="G430" s="1"/>
      <c r="H430" s="1"/>
      <c r="I430" s="1"/>
      <c r="J430" s="1"/>
      <c r="K430" s="1"/>
      <c r="L430" s="1"/>
      <c r="M430" s="1"/>
      <c r="N430" s="1"/>
      <c r="O430" s="1"/>
      <c r="P430" s="1"/>
      <c r="Q430" s="1"/>
      <c r="R430" s="1"/>
      <c r="S430" s="1"/>
      <c r="T430" s="1"/>
      <c r="U430" s="2"/>
      <c r="V430" s="1"/>
      <c r="W430" s="1"/>
      <c r="X430" s="1"/>
      <c r="Y430" s="1"/>
      <c r="Z430" s="1"/>
    </row>
    <row r="431" spans="1:26" ht="24.75" customHeight="1">
      <c r="A431" s="1"/>
      <c r="B431" s="1"/>
      <c r="C431" s="1"/>
      <c r="D431" s="1"/>
      <c r="E431" s="1"/>
      <c r="F431" s="1"/>
      <c r="G431" s="1"/>
      <c r="H431" s="1"/>
      <c r="I431" s="1"/>
      <c r="J431" s="1"/>
      <c r="K431" s="1"/>
      <c r="L431" s="1"/>
      <c r="M431" s="1"/>
      <c r="N431" s="1"/>
      <c r="O431" s="1"/>
      <c r="P431" s="1"/>
      <c r="Q431" s="1"/>
      <c r="R431" s="1"/>
      <c r="S431" s="1"/>
      <c r="T431" s="1"/>
      <c r="U431" s="2"/>
      <c r="V431" s="1"/>
      <c r="W431" s="1"/>
      <c r="X431" s="1"/>
      <c r="Y431" s="1"/>
      <c r="Z431" s="1"/>
    </row>
    <row r="432" spans="1:26" ht="24.75" customHeight="1">
      <c r="A432" s="1"/>
      <c r="B432" s="1"/>
      <c r="C432" s="1"/>
      <c r="D432" s="1"/>
      <c r="E432" s="1"/>
      <c r="F432" s="1"/>
      <c r="G432" s="1"/>
      <c r="H432" s="1"/>
      <c r="I432" s="1"/>
      <c r="J432" s="1"/>
      <c r="K432" s="1"/>
      <c r="L432" s="1"/>
      <c r="M432" s="1"/>
      <c r="N432" s="1"/>
      <c r="O432" s="1"/>
      <c r="P432" s="1"/>
      <c r="Q432" s="1"/>
      <c r="R432" s="1"/>
      <c r="S432" s="1"/>
      <c r="T432" s="1"/>
      <c r="U432" s="2"/>
      <c r="V432" s="1"/>
      <c r="W432" s="1"/>
      <c r="X432" s="1"/>
      <c r="Y432" s="1"/>
      <c r="Z432" s="1"/>
    </row>
    <row r="433" spans="1:26" ht="24.75" customHeight="1">
      <c r="A433" s="1"/>
      <c r="B433" s="1"/>
      <c r="C433" s="1"/>
      <c r="D433" s="1"/>
      <c r="E433" s="1"/>
      <c r="F433" s="1"/>
      <c r="G433" s="1"/>
      <c r="H433" s="1"/>
      <c r="I433" s="1"/>
      <c r="J433" s="1"/>
      <c r="K433" s="1"/>
      <c r="L433" s="1"/>
      <c r="M433" s="1"/>
      <c r="N433" s="1"/>
      <c r="O433" s="1"/>
      <c r="P433" s="1"/>
      <c r="Q433" s="1"/>
      <c r="R433" s="1"/>
      <c r="S433" s="1"/>
      <c r="T433" s="1"/>
      <c r="U433" s="2"/>
      <c r="V433" s="1"/>
      <c r="W433" s="1"/>
      <c r="X433" s="1"/>
      <c r="Y433" s="1"/>
      <c r="Z433" s="1"/>
    </row>
    <row r="434" spans="1:26" ht="24.75" customHeight="1">
      <c r="A434" s="1"/>
      <c r="B434" s="1"/>
      <c r="C434" s="1"/>
      <c r="D434" s="1"/>
      <c r="E434" s="1"/>
      <c r="F434" s="1"/>
      <c r="G434" s="1"/>
      <c r="H434" s="1"/>
      <c r="I434" s="1"/>
      <c r="J434" s="1"/>
      <c r="K434" s="1"/>
      <c r="L434" s="1"/>
      <c r="M434" s="1"/>
      <c r="N434" s="1"/>
      <c r="O434" s="1"/>
      <c r="P434" s="1"/>
      <c r="Q434" s="1"/>
      <c r="R434" s="1"/>
      <c r="S434" s="1"/>
      <c r="T434" s="1"/>
      <c r="U434" s="2"/>
      <c r="V434" s="1"/>
      <c r="W434" s="1"/>
      <c r="X434" s="1"/>
      <c r="Y434" s="1"/>
      <c r="Z434" s="1"/>
    </row>
    <row r="435" spans="1:26" ht="24.75" customHeight="1">
      <c r="A435" s="1"/>
      <c r="B435" s="1"/>
      <c r="C435" s="1"/>
      <c r="D435" s="1"/>
      <c r="E435" s="1"/>
      <c r="F435" s="1"/>
      <c r="G435" s="1"/>
      <c r="H435" s="1"/>
      <c r="I435" s="1"/>
      <c r="J435" s="1"/>
      <c r="K435" s="1"/>
      <c r="L435" s="1"/>
      <c r="M435" s="1"/>
      <c r="N435" s="1"/>
      <c r="O435" s="1"/>
      <c r="P435" s="1"/>
      <c r="Q435" s="1"/>
      <c r="R435" s="1"/>
      <c r="S435" s="1"/>
      <c r="T435" s="1"/>
      <c r="U435" s="2"/>
      <c r="V435" s="1"/>
      <c r="W435" s="1"/>
      <c r="X435" s="1"/>
      <c r="Y435" s="1"/>
      <c r="Z435" s="1"/>
    </row>
    <row r="436" spans="1:26" ht="24.75" customHeight="1">
      <c r="A436" s="1"/>
      <c r="B436" s="1"/>
      <c r="C436" s="1"/>
      <c r="D436" s="1"/>
      <c r="E436" s="1"/>
      <c r="F436" s="1"/>
      <c r="G436" s="1"/>
      <c r="H436" s="1"/>
      <c r="I436" s="1"/>
      <c r="J436" s="1"/>
      <c r="K436" s="1"/>
      <c r="L436" s="1"/>
      <c r="M436" s="1"/>
      <c r="N436" s="1"/>
      <c r="O436" s="1"/>
      <c r="P436" s="1"/>
      <c r="Q436" s="1"/>
      <c r="R436" s="1"/>
      <c r="S436" s="1"/>
      <c r="T436" s="1"/>
      <c r="U436" s="2"/>
      <c r="V436" s="1"/>
      <c r="W436" s="1"/>
      <c r="X436" s="1"/>
      <c r="Y436" s="1"/>
      <c r="Z436" s="1"/>
    </row>
    <row r="437" spans="1:26" ht="24.75" customHeight="1">
      <c r="A437" s="1"/>
      <c r="B437" s="1"/>
      <c r="C437" s="1"/>
      <c r="D437" s="1"/>
      <c r="E437" s="1"/>
      <c r="F437" s="1"/>
      <c r="G437" s="1"/>
      <c r="H437" s="1"/>
      <c r="I437" s="1"/>
      <c r="J437" s="1"/>
      <c r="K437" s="1"/>
      <c r="L437" s="1"/>
      <c r="M437" s="1"/>
      <c r="N437" s="1"/>
      <c r="O437" s="1"/>
      <c r="P437" s="1"/>
      <c r="Q437" s="1"/>
      <c r="R437" s="1"/>
      <c r="S437" s="1"/>
      <c r="T437" s="1"/>
      <c r="U437" s="2"/>
      <c r="V437" s="1"/>
      <c r="W437" s="1"/>
      <c r="X437" s="1"/>
      <c r="Y437" s="1"/>
      <c r="Z437" s="1"/>
    </row>
    <row r="438" spans="1:26" ht="24.75" customHeight="1">
      <c r="A438" s="1"/>
      <c r="B438" s="1"/>
      <c r="C438" s="1"/>
      <c r="D438" s="1"/>
      <c r="E438" s="1"/>
      <c r="F438" s="1"/>
      <c r="G438" s="1"/>
      <c r="H438" s="1"/>
      <c r="I438" s="1"/>
      <c r="J438" s="1"/>
      <c r="K438" s="1"/>
      <c r="L438" s="1"/>
      <c r="M438" s="1"/>
      <c r="N438" s="1"/>
      <c r="O438" s="1"/>
      <c r="P438" s="1"/>
      <c r="Q438" s="1"/>
      <c r="R438" s="1"/>
      <c r="S438" s="1"/>
      <c r="T438" s="1"/>
      <c r="U438" s="2"/>
      <c r="V438" s="1"/>
      <c r="W438" s="1"/>
      <c r="X438" s="1"/>
      <c r="Y438" s="1"/>
      <c r="Z438" s="1"/>
    </row>
    <row r="439" spans="1:26" ht="24.75" customHeight="1">
      <c r="A439" s="1"/>
      <c r="B439" s="1"/>
      <c r="C439" s="1"/>
      <c r="D439" s="1"/>
      <c r="E439" s="1"/>
      <c r="F439" s="1"/>
      <c r="G439" s="1"/>
      <c r="H439" s="1"/>
      <c r="I439" s="1"/>
      <c r="J439" s="1"/>
      <c r="K439" s="1"/>
      <c r="L439" s="1"/>
      <c r="M439" s="1"/>
      <c r="N439" s="1"/>
      <c r="O439" s="1"/>
      <c r="P439" s="1"/>
      <c r="Q439" s="1"/>
      <c r="R439" s="1"/>
      <c r="S439" s="1"/>
      <c r="T439" s="1"/>
      <c r="U439" s="2"/>
      <c r="V439" s="1"/>
      <c r="W439" s="1"/>
      <c r="X439" s="1"/>
      <c r="Y439" s="1"/>
      <c r="Z439" s="1"/>
    </row>
    <row r="440" spans="1:26" ht="24.75" customHeight="1">
      <c r="A440" s="1"/>
      <c r="B440" s="1"/>
      <c r="C440" s="1"/>
      <c r="D440" s="1"/>
      <c r="E440" s="1"/>
      <c r="F440" s="1"/>
      <c r="G440" s="1"/>
      <c r="H440" s="1"/>
      <c r="I440" s="1"/>
      <c r="J440" s="1"/>
      <c r="K440" s="1"/>
      <c r="L440" s="1"/>
      <c r="M440" s="1"/>
      <c r="N440" s="1"/>
      <c r="O440" s="1"/>
      <c r="P440" s="1"/>
      <c r="Q440" s="1"/>
      <c r="R440" s="1"/>
      <c r="S440" s="1"/>
      <c r="T440" s="1"/>
      <c r="U440" s="2"/>
      <c r="V440" s="1"/>
      <c r="W440" s="1"/>
      <c r="X440" s="1"/>
      <c r="Y440" s="1"/>
      <c r="Z440" s="1"/>
    </row>
    <row r="441" spans="1:26" ht="24.75" customHeight="1">
      <c r="A441" s="1"/>
      <c r="B441" s="1"/>
      <c r="C441" s="1"/>
      <c r="D441" s="1"/>
      <c r="E441" s="1"/>
      <c r="F441" s="1"/>
      <c r="G441" s="1"/>
      <c r="H441" s="1"/>
      <c r="I441" s="1"/>
      <c r="J441" s="1"/>
      <c r="K441" s="1"/>
      <c r="L441" s="1"/>
      <c r="M441" s="1"/>
      <c r="N441" s="1"/>
      <c r="O441" s="1"/>
      <c r="P441" s="1"/>
      <c r="Q441" s="1"/>
      <c r="R441" s="1"/>
      <c r="S441" s="1"/>
      <c r="T441" s="1"/>
      <c r="U441" s="2"/>
      <c r="V441" s="1"/>
      <c r="W441" s="1"/>
      <c r="X441" s="1"/>
      <c r="Y441" s="1"/>
      <c r="Z441" s="1"/>
    </row>
    <row r="442" spans="1:26" ht="24.75" customHeight="1">
      <c r="A442" s="1"/>
      <c r="B442" s="1"/>
      <c r="C442" s="1"/>
      <c r="D442" s="1"/>
      <c r="E442" s="1"/>
      <c r="F442" s="1"/>
      <c r="G442" s="1"/>
      <c r="H442" s="1"/>
      <c r="I442" s="1"/>
      <c r="J442" s="1"/>
      <c r="K442" s="1"/>
      <c r="L442" s="1"/>
      <c r="M442" s="1"/>
      <c r="N442" s="1"/>
      <c r="O442" s="1"/>
      <c r="P442" s="1"/>
      <c r="Q442" s="1"/>
      <c r="R442" s="1"/>
      <c r="S442" s="1"/>
      <c r="T442" s="1"/>
      <c r="U442" s="2"/>
      <c r="V442" s="1"/>
      <c r="W442" s="1"/>
      <c r="X442" s="1"/>
      <c r="Y442" s="1"/>
      <c r="Z442" s="1"/>
    </row>
    <row r="443" spans="1:26" ht="24.75" customHeight="1">
      <c r="A443" s="1"/>
      <c r="B443" s="1"/>
      <c r="C443" s="1"/>
      <c r="D443" s="1"/>
      <c r="E443" s="1"/>
      <c r="F443" s="1"/>
      <c r="G443" s="1"/>
      <c r="H443" s="1"/>
      <c r="I443" s="1"/>
      <c r="J443" s="1"/>
      <c r="K443" s="1"/>
      <c r="L443" s="1"/>
      <c r="M443" s="1"/>
      <c r="N443" s="1"/>
      <c r="O443" s="1"/>
      <c r="P443" s="1"/>
      <c r="Q443" s="1"/>
      <c r="R443" s="1"/>
      <c r="S443" s="1"/>
      <c r="T443" s="1"/>
      <c r="U443" s="2"/>
      <c r="V443" s="1"/>
      <c r="W443" s="1"/>
      <c r="X443" s="1"/>
      <c r="Y443" s="1"/>
      <c r="Z443" s="1"/>
    </row>
    <row r="444" spans="1:26" ht="24.75" customHeight="1">
      <c r="A444" s="1"/>
      <c r="B444" s="1"/>
      <c r="C444" s="1"/>
      <c r="D444" s="1"/>
      <c r="E444" s="1"/>
      <c r="F444" s="1"/>
      <c r="G444" s="1"/>
      <c r="H444" s="1"/>
      <c r="I444" s="1"/>
      <c r="J444" s="1"/>
      <c r="K444" s="1"/>
      <c r="L444" s="1"/>
      <c r="M444" s="1"/>
      <c r="N444" s="1"/>
      <c r="O444" s="1"/>
      <c r="P444" s="1"/>
      <c r="Q444" s="1"/>
      <c r="R444" s="1"/>
      <c r="S444" s="1"/>
      <c r="T444" s="1"/>
      <c r="U444" s="2"/>
      <c r="V444" s="1"/>
      <c r="W444" s="1"/>
      <c r="X444" s="1"/>
      <c r="Y444" s="1"/>
      <c r="Z444" s="1"/>
    </row>
    <row r="445" spans="1:26" ht="24.75" customHeight="1">
      <c r="A445" s="1"/>
      <c r="B445" s="1"/>
      <c r="C445" s="1"/>
      <c r="D445" s="1"/>
      <c r="E445" s="1"/>
      <c r="F445" s="1"/>
      <c r="G445" s="1"/>
      <c r="H445" s="1"/>
      <c r="I445" s="1"/>
      <c r="J445" s="1"/>
      <c r="K445" s="1"/>
      <c r="L445" s="1"/>
      <c r="M445" s="1"/>
      <c r="N445" s="1"/>
      <c r="O445" s="1"/>
      <c r="P445" s="1"/>
      <c r="Q445" s="1"/>
      <c r="R445" s="1"/>
      <c r="S445" s="1"/>
      <c r="T445" s="1"/>
      <c r="U445" s="2"/>
      <c r="V445" s="1"/>
      <c r="W445" s="1"/>
      <c r="X445" s="1"/>
      <c r="Y445" s="1"/>
      <c r="Z445" s="1"/>
    </row>
    <row r="446" spans="1:26" ht="24.75" customHeight="1">
      <c r="A446" s="1"/>
      <c r="B446" s="1"/>
      <c r="C446" s="1"/>
      <c r="D446" s="1"/>
      <c r="E446" s="1"/>
      <c r="F446" s="1"/>
      <c r="G446" s="1"/>
      <c r="H446" s="1"/>
      <c r="I446" s="1"/>
      <c r="J446" s="1"/>
      <c r="K446" s="1"/>
      <c r="L446" s="1"/>
      <c r="M446" s="1"/>
      <c r="N446" s="1"/>
      <c r="O446" s="1"/>
      <c r="P446" s="1"/>
      <c r="Q446" s="1"/>
      <c r="R446" s="1"/>
      <c r="S446" s="1"/>
      <c r="T446" s="1"/>
      <c r="U446" s="2"/>
      <c r="V446" s="1"/>
      <c r="W446" s="1"/>
      <c r="X446" s="1"/>
      <c r="Y446" s="1"/>
      <c r="Z446" s="1"/>
    </row>
    <row r="447" spans="1:26" ht="24.75" customHeight="1">
      <c r="A447" s="1"/>
      <c r="B447" s="1"/>
      <c r="C447" s="1"/>
      <c r="D447" s="1"/>
      <c r="E447" s="1"/>
      <c r="F447" s="1"/>
      <c r="G447" s="1"/>
      <c r="H447" s="1"/>
      <c r="I447" s="1"/>
      <c r="J447" s="1"/>
      <c r="K447" s="1"/>
      <c r="L447" s="1"/>
      <c r="M447" s="1"/>
      <c r="N447" s="1"/>
      <c r="O447" s="1"/>
      <c r="P447" s="1"/>
      <c r="Q447" s="1"/>
      <c r="R447" s="1"/>
      <c r="S447" s="1"/>
      <c r="T447" s="1"/>
      <c r="U447" s="2"/>
      <c r="V447" s="1"/>
      <c r="W447" s="1"/>
      <c r="X447" s="1"/>
      <c r="Y447" s="1"/>
      <c r="Z447" s="1"/>
    </row>
    <row r="448" spans="1:26" ht="24.75" customHeight="1">
      <c r="A448" s="1"/>
      <c r="B448" s="1"/>
      <c r="C448" s="1"/>
      <c r="D448" s="1"/>
      <c r="E448" s="1"/>
      <c r="F448" s="1"/>
      <c r="G448" s="1"/>
      <c r="H448" s="1"/>
      <c r="I448" s="1"/>
      <c r="J448" s="1"/>
      <c r="K448" s="1"/>
      <c r="L448" s="1"/>
      <c r="M448" s="1"/>
      <c r="N448" s="1"/>
      <c r="O448" s="1"/>
      <c r="P448" s="1"/>
      <c r="Q448" s="1"/>
      <c r="R448" s="1"/>
      <c r="S448" s="1"/>
      <c r="T448" s="1"/>
      <c r="U448" s="2"/>
      <c r="V448" s="1"/>
      <c r="W448" s="1"/>
      <c r="X448" s="1"/>
      <c r="Y448" s="1"/>
      <c r="Z448" s="1"/>
    </row>
    <row r="449" spans="1:26" ht="24.75" customHeight="1">
      <c r="A449" s="1"/>
      <c r="B449" s="1"/>
      <c r="C449" s="1"/>
      <c r="D449" s="1"/>
      <c r="E449" s="1"/>
      <c r="F449" s="1"/>
      <c r="G449" s="1"/>
      <c r="H449" s="1"/>
      <c r="I449" s="1"/>
      <c r="J449" s="1"/>
      <c r="K449" s="1"/>
      <c r="L449" s="1"/>
      <c r="M449" s="1"/>
      <c r="N449" s="1"/>
      <c r="O449" s="1"/>
      <c r="P449" s="1"/>
      <c r="Q449" s="1"/>
      <c r="R449" s="1"/>
      <c r="S449" s="1"/>
      <c r="T449" s="1"/>
      <c r="U449" s="2"/>
      <c r="V449" s="1"/>
      <c r="W449" s="1"/>
      <c r="X449" s="1"/>
      <c r="Y449" s="1"/>
      <c r="Z449" s="1"/>
    </row>
    <row r="450" spans="1:26" ht="24.75" customHeight="1">
      <c r="A450" s="1"/>
      <c r="B450" s="1"/>
      <c r="C450" s="1"/>
      <c r="D450" s="1"/>
      <c r="E450" s="1"/>
      <c r="F450" s="1"/>
      <c r="G450" s="1"/>
      <c r="H450" s="1"/>
      <c r="I450" s="1"/>
      <c r="J450" s="1"/>
      <c r="K450" s="1"/>
      <c r="L450" s="1"/>
      <c r="M450" s="1"/>
      <c r="N450" s="1"/>
      <c r="O450" s="1"/>
      <c r="P450" s="1"/>
      <c r="Q450" s="1"/>
      <c r="R450" s="1"/>
      <c r="S450" s="1"/>
      <c r="T450" s="1"/>
      <c r="U450" s="2"/>
      <c r="V450" s="1"/>
      <c r="W450" s="1"/>
      <c r="X450" s="1"/>
      <c r="Y450" s="1"/>
      <c r="Z450" s="1"/>
    </row>
    <row r="451" spans="1:26" ht="24.75" customHeight="1">
      <c r="A451" s="1"/>
      <c r="B451" s="1"/>
      <c r="C451" s="1"/>
      <c r="D451" s="1"/>
      <c r="E451" s="1"/>
      <c r="F451" s="1"/>
      <c r="G451" s="1"/>
      <c r="H451" s="1"/>
      <c r="I451" s="1"/>
      <c r="J451" s="1"/>
      <c r="K451" s="1"/>
      <c r="L451" s="1"/>
      <c r="M451" s="1"/>
      <c r="N451" s="1"/>
      <c r="O451" s="1"/>
      <c r="P451" s="1"/>
      <c r="Q451" s="1"/>
      <c r="R451" s="1"/>
      <c r="S451" s="1"/>
      <c r="T451" s="1"/>
      <c r="U451" s="2"/>
      <c r="V451" s="1"/>
      <c r="W451" s="1"/>
      <c r="X451" s="1"/>
      <c r="Y451" s="1"/>
      <c r="Z451" s="1"/>
    </row>
    <row r="452" spans="1:26" ht="24.75" customHeight="1">
      <c r="A452" s="1"/>
      <c r="B452" s="1"/>
      <c r="C452" s="1"/>
      <c r="D452" s="1"/>
      <c r="E452" s="1"/>
      <c r="F452" s="1"/>
      <c r="G452" s="1"/>
      <c r="H452" s="1"/>
      <c r="I452" s="1"/>
      <c r="J452" s="1"/>
      <c r="K452" s="1"/>
      <c r="L452" s="1"/>
      <c r="M452" s="1"/>
      <c r="N452" s="1"/>
      <c r="O452" s="1"/>
      <c r="P452" s="1"/>
      <c r="Q452" s="1"/>
      <c r="R452" s="1"/>
      <c r="S452" s="1"/>
      <c r="T452" s="1"/>
      <c r="U452" s="2"/>
      <c r="V452" s="1"/>
      <c r="W452" s="1"/>
      <c r="X452" s="1"/>
      <c r="Y452" s="1"/>
      <c r="Z452" s="1"/>
    </row>
    <row r="453" spans="1:26" ht="24.75" customHeight="1">
      <c r="A453" s="1"/>
      <c r="B453" s="1"/>
      <c r="C453" s="1"/>
      <c r="D453" s="1"/>
      <c r="E453" s="1"/>
      <c r="F453" s="1"/>
      <c r="G453" s="1"/>
      <c r="H453" s="1"/>
      <c r="I453" s="1"/>
      <c r="J453" s="1"/>
      <c r="K453" s="1"/>
      <c r="L453" s="1"/>
      <c r="M453" s="1"/>
      <c r="N453" s="1"/>
      <c r="O453" s="1"/>
      <c r="P453" s="1"/>
      <c r="Q453" s="1"/>
      <c r="R453" s="1"/>
      <c r="S453" s="1"/>
      <c r="T453" s="1"/>
      <c r="U453" s="2"/>
      <c r="V453" s="1"/>
      <c r="W453" s="1"/>
      <c r="X453" s="1"/>
      <c r="Y453" s="1"/>
      <c r="Z453" s="1"/>
    </row>
    <row r="454" spans="1:26" ht="24.75" customHeight="1">
      <c r="A454" s="1"/>
      <c r="B454" s="1"/>
      <c r="C454" s="1"/>
      <c r="D454" s="1"/>
      <c r="E454" s="1"/>
      <c r="F454" s="1"/>
      <c r="G454" s="1"/>
      <c r="H454" s="1"/>
      <c r="I454" s="1"/>
      <c r="J454" s="1"/>
      <c r="K454" s="1"/>
      <c r="L454" s="1"/>
      <c r="M454" s="1"/>
      <c r="N454" s="1"/>
      <c r="O454" s="1"/>
      <c r="P454" s="1"/>
      <c r="Q454" s="1"/>
      <c r="R454" s="1"/>
      <c r="S454" s="1"/>
      <c r="T454" s="1"/>
      <c r="U454" s="2"/>
      <c r="V454" s="1"/>
      <c r="W454" s="1"/>
      <c r="X454" s="1"/>
      <c r="Y454" s="1"/>
      <c r="Z454" s="1"/>
    </row>
    <row r="455" spans="1:26" ht="24.75" customHeight="1">
      <c r="A455" s="1"/>
      <c r="B455" s="1"/>
      <c r="C455" s="1"/>
      <c r="D455" s="1"/>
      <c r="E455" s="1"/>
      <c r="F455" s="1"/>
      <c r="G455" s="1"/>
      <c r="H455" s="1"/>
      <c r="I455" s="1"/>
      <c r="J455" s="1"/>
      <c r="K455" s="1"/>
      <c r="L455" s="1"/>
      <c r="M455" s="1"/>
      <c r="N455" s="1"/>
      <c r="O455" s="1"/>
      <c r="P455" s="1"/>
      <c r="Q455" s="1"/>
      <c r="R455" s="1"/>
      <c r="S455" s="1"/>
      <c r="T455" s="1"/>
      <c r="U455" s="2"/>
      <c r="V455" s="1"/>
      <c r="W455" s="1"/>
      <c r="X455" s="1"/>
      <c r="Y455" s="1"/>
      <c r="Z455" s="1"/>
    </row>
    <row r="456" spans="1:26" ht="24.75" customHeight="1">
      <c r="A456" s="1"/>
      <c r="B456" s="1"/>
      <c r="C456" s="1"/>
      <c r="D456" s="1"/>
      <c r="E456" s="1"/>
      <c r="F456" s="1"/>
      <c r="G456" s="1"/>
      <c r="H456" s="1"/>
      <c r="I456" s="1"/>
      <c r="J456" s="1"/>
      <c r="K456" s="1"/>
      <c r="L456" s="1"/>
      <c r="M456" s="1"/>
      <c r="N456" s="1"/>
      <c r="O456" s="1"/>
      <c r="P456" s="1"/>
      <c r="Q456" s="1"/>
      <c r="R456" s="1"/>
      <c r="S456" s="1"/>
      <c r="T456" s="1"/>
      <c r="U456" s="2"/>
      <c r="V456" s="1"/>
      <c r="W456" s="1"/>
      <c r="X456" s="1"/>
      <c r="Y456" s="1"/>
      <c r="Z456" s="1"/>
    </row>
    <row r="457" spans="1:26" ht="24.75" customHeight="1">
      <c r="A457" s="1"/>
      <c r="B457" s="1"/>
      <c r="C457" s="1"/>
      <c r="D457" s="1"/>
      <c r="E457" s="1"/>
      <c r="F457" s="1"/>
      <c r="G457" s="1"/>
      <c r="H457" s="1"/>
      <c r="I457" s="1"/>
      <c r="J457" s="1"/>
      <c r="K457" s="1"/>
      <c r="L457" s="1"/>
      <c r="M457" s="1"/>
      <c r="N457" s="1"/>
      <c r="O457" s="1"/>
      <c r="P457" s="1"/>
      <c r="Q457" s="1"/>
      <c r="R457" s="1"/>
      <c r="S457" s="1"/>
      <c r="T457" s="1"/>
      <c r="U457" s="2"/>
      <c r="V457" s="1"/>
      <c r="W457" s="1"/>
      <c r="X457" s="1"/>
      <c r="Y457" s="1"/>
      <c r="Z457" s="1"/>
    </row>
    <row r="458" spans="1:26" ht="24.75" customHeight="1">
      <c r="A458" s="1"/>
      <c r="B458" s="1"/>
      <c r="C458" s="1"/>
      <c r="D458" s="1"/>
      <c r="E458" s="1"/>
      <c r="F458" s="1"/>
      <c r="G458" s="1"/>
      <c r="H458" s="1"/>
      <c r="I458" s="1"/>
      <c r="J458" s="1"/>
      <c r="K458" s="1"/>
      <c r="L458" s="1"/>
      <c r="M458" s="1"/>
      <c r="N458" s="1"/>
      <c r="O458" s="1"/>
      <c r="P458" s="1"/>
      <c r="Q458" s="1"/>
      <c r="R458" s="1"/>
      <c r="S458" s="1"/>
      <c r="T458" s="1"/>
      <c r="U458" s="2"/>
      <c r="V458" s="1"/>
      <c r="W458" s="1"/>
      <c r="X458" s="1"/>
      <c r="Y458" s="1"/>
      <c r="Z458" s="1"/>
    </row>
    <row r="459" spans="1:26" ht="24.75" customHeight="1">
      <c r="A459" s="1"/>
      <c r="B459" s="1"/>
      <c r="C459" s="1"/>
      <c r="D459" s="1"/>
      <c r="E459" s="1"/>
      <c r="F459" s="1"/>
      <c r="G459" s="1"/>
      <c r="H459" s="1"/>
      <c r="I459" s="1"/>
      <c r="J459" s="1"/>
      <c r="K459" s="1"/>
      <c r="L459" s="1"/>
      <c r="M459" s="1"/>
      <c r="N459" s="1"/>
      <c r="O459" s="1"/>
      <c r="P459" s="1"/>
      <c r="Q459" s="1"/>
      <c r="R459" s="1"/>
      <c r="S459" s="1"/>
      <c r="T459" s="1"/>
      <c r="U459" s="2"/>
      <c r="V459" s="1"/>
      <c r="W459" s="1"/>
      <c r="X459" s="1"/>
      <c r="Y459" s="1"/>
      <c r="Z459" s="1"/>
    </row>
    <row r="460" spans="1:26" ht="24.75" customHeight="1">
      <c r="A460" s="1"/>
      <c r="B460" s="1"/>
      <c r="C460" s="1"/>
      <c r="D460" s="1"/>
      <c r="E460" s="1"/>
      <c r="F460" s="1"/>
      <c r="G460" s="1"/>
      <c r="H460" s="1"/>
      <c r="I460" s="1"/>
      <c r="J460" s="1"/>
      <c r="K460" s="1"/>
      <c r="L460" s="1"/>
      <c r="M460" s="1"/>
      <c r="N460" s="1"/>
      <c r="O460" s="1"/>
      <c r="P460" s="1"/>
      <c r="Q460" s="1"/>
      <c r="R460" s="1"/>
      <c r="S460" s="1"/>
      <c r="T460" s="1"/>
      <c r="U460" s="2"/>
      <c r="V460" s="1"/>
      <c r="W460" s="1"/>
      <c r="X460" s="1"/>
      <c r="Y460" s="1"/>
      <c r="Z460" s="1"/>
    </row>
    <row r="461" spans="1:26" ht="24.75" customHeight="1">
      <c r="A461" s="1"/>
      <c r="B461" s="1"/>
      <c r="C461" s="1"/>
      <c r="D461" s="1"/>
      <c r="E461" s="1"/>
      <c r="F461" s="1"/>
      <c r="G461" s="1"/>
      <c r="H461" s="1"/>
      <c r="I461" s="1"/>
      <c r="J461" s="1"/>
      <c r="K461" s="1"/>
      <c r="L461" s="1"/>
      <c r="M461" s="1"/>
      <c r="N461" s="1"/>
      <c r="O461" s="1"/>
      <c r="P461" s="1"/>
      <c r="Q461" s="1"/>
      <c r="R461" s="1"/>
      <c r="S461" s="1"/>
      <c r="T461" s="1"/>
      <c r="U461" s="2"/>
      <c r="V461" s="1"/>
      <c r="W461" s="1"/>
      <c r="X461" s="1"/>
      <c r="Y461" s="1"/>
      <c r="Z461" s="1"/>
    </row>
    <row r="462" spans="1:26" ht="24.75" customHeight="1">
      <c r="A462" s="1"/>
      <c r="B462" s="1"/>
      <c r="C462" s="1"/>
      <c r="D462" s="1"/>
      <c r="E462" s="1"/>
      <c r="F462" s="1"/>
      <c r="G462" s="1"/>
      <c r="H462" s="1"/>
      <c r="I462" s="1"/>
      <c r="J462" s="1"/>
      <c r="K462" s="1"/>
      <c r="L462" s="1"/>
      <c r="M462" s="1"/>
      <c r="N462" s="1"/>
      <c r="O462" s="1"/>
      <c r="P462" s="1"/>
      <c r="Q462" s="1"/>
      <c r="R462" s="1"/>
      <c r="S462" s="1"/>
      <c r="T462" s="1"/>
      <c r="U462" s="2"/>
      <c r="V462" s="1"/>
      <c r="W462" s="1"/>
      <c r="X462" s="1"/>
      <c r="Y462" s="1"/>
      <c r="Z462" s="1"/>
    </row>
    <row r="463" spans="1:26" ht="24.75" customHeight="1">
      <c r="A463" s="1"/>
      <c r="B463" s="1"/>
      <c r="C463" s="1"/>
      <c r="D463" s="1"/>
      <c r="E463" s="1"/>
      <c r="F463" s="1"/>
      <c r="G463" s="1"/>
      <c r="H463" s="1"/>
      <c r="I463" s="1"/>
      <c r="J463" s="1"/>
      <c r="K463" s="1"/>
      <c r="L463" s="1"/>
      <c r="M463" s="1"/>
      <c r="N463" s="1"/>
      <c r="O463" s="1"/>
      <c r="P463" s="1"/>
      <c r="Q463" s="1"/>
      <c r="R463" s="1"/>
      <c r="S463" s="1"/>
      <c r="T463" s="1"/>
      <c r="U463" s="2"/>
      <c r="V463" s="1"/>
      <c r="W463" s="1"/>
      <c r="X463" s="1"/>
      <c r="Y463" s="1"/>
      <c r="Z463" s="1"/>
    </row>
    <row r="464" spans="1:26" ht="24.75" customHeight="1">
      <c r="A464" s="1"/>
      <c r="B464" s="1"/>
      <c r="C464" s="1"/>
      <c r="D464" s="1"/>
      <c r="E464" s="1"/>
      <c r="F464" s="1"/>
      <c r="G464" s="1"/>
      <c r="H464" s="1"/>
      <c r="I464" s="1"/>
      <c r="J464" s="1"/>
      <c r="K464" s="1"/>
      <c r="L464" s="1"/>
      <c r="M464" s="1"/>
      <c r="N464" s="1"/>
      <c r="O464" s="1"/>
      <c r="P464" s="1"/>
      <c r="Q464" s="1"/>
      <c r="R464" s="1"/>
      <c r="S464" s="1"/>
      <c r="T464" s="1"/>
      <c r="U464" s="2"/>
      <c r="V464" s="1"/>
      <c r="W464" s="1"/>
      <c r="X464" s="1"/>
      <c r="Y464" s="1"/>
      <c r="Z464" s="1"/>
    </row>
    <row r="465" spans="1:26" ht="24.75" customHeight="1">
      <c r="A465" s="1"/>
      <c r="B465" s="1"/>
      <c r="C465" s="1"/>
      <c r="D465" s="1"/>
      <c r="E465" s="1"/>
      <c r="F465" s="1"/>
      <c r="G465" s="1"/>
      <c r="H465" s="1"/>
      <c r="I465" s="1"/>
      <c r="J465" s="1"/>
      <c r="K465" s="1"/>
      <c r="L465" s="1"/>
      <c r="M465" s="1"/>
      <c r="N465" s="1"/>
      <c r="O465" s="1"/>
      <c r="P465" s="1"/>
      <c r="Q465" s="1"/>
      <c r="R465" s="1"/>
      <c r="S465" s="1"/>
      <c r="T465" s="1"/>
      <c r="U465" s="2"/>
      <c r="V465" s="1"/>
      <c r="W465" s="1"/>
      <c r="X465" s="1"/>
      <c r="Y465" s="1"/>
      <c r="Z465" s="1"/>
    </row>
    <row r="466" spans="1:26" ht="24.75" customHeight="1">
      <c r="A466" s="1"/>
      <c r="B466" s="1"/>
      <c r="C466" s="1"/>
      <c r="D466" s="1"/>
      <c r="E466" s="1"/>
      <c r="F466" s="1"/>
      <c r="G466" s="1"/>
      <c r="H466" s="1"/>
      <c r="I466" s="1"/>
      <c r="J466" s="1"/>
      <c r="K466" s="1"/>
      <c r="L466" s="1"/>
      <c r="M466" s="1"/>
      <c r="N466" s="1"/>
      <c r="O466" s="1"/>
      <c r="P466" s="1"/>
      <c r="Q466" s="1"/>
      <c r="R466" s="1"/>
      <c r="S466" s="1"/>
      <c r="T466" s="1"/>
      <c r="U466" s="2"/>
      <c r="V466" s="1"/>
      <c r="W466" s="1"/>
      <c r="X466" s="1"/>
      <c r="Y466" s="1"/>
      <c r="Z466" s="1"/>
    </row>
    <row r="467" spans="1:26" ht="24.75" customHeight="1">
      <c r="A467" s="1"/>
      <c r="B467" s="1"/>
      <c r="C467" s="1"/>
      <c r="D467" s="1"/>
      <c r="E467" s="1"/>
      <c r="F467" s="1"/>
      <c r="G467" s="1"/>
      <c r="H467" s="1"/>
      <c r="I467" s="1"/>
      <c r="J467" s="1"/>
      <c r="K467" s="1"/>
      <c r="L467" s="1"/>
      <c r="M467" s="1"/>
      <c r="N467" s="1"/>
      <c r="O467" s="1"/>
      <c r="P467" s="1"/>
      <c r="Q467" s="1"/>
      <c r="R467" s="1"/>
      <c r="S467" s="1"/>
      <c r="T467" s="1"/>
      <c r="U467" s="2"/>
      <c r="V467" s="1"/>
      <c r="W467" s="1"/>
      <c r="X467" s="1"/>
      <c r="Y467" s="1"/>
      <c r="Z467" s="1"/>
    </row>
    <row r="468" spans="1:26" ht="24.75" customHeight="1">
      <c r="A468" s="1"/>
      <c r="B468" s="1"/>
      <c r="C468" s="1"/>
      <c r="D468" s="1"/>
      <c r="E468" s="1"/>
      <c r="F468" s="1"/>
      <c r="G468" s="1"/>
      <c r="H468" s="1"/>
      <c r="I468" s="1"/>
      <c r="J468" s="1"/>
      <c r="K468" s="1"/>
      <c r="L468" s="1"/>
      <c r="M468" s="1"/>
      <c r="N468" s="1"/>
      <c r="O468" s="1"/>
      <c r="P468" s="1"/>
      <c r="Q468" s="1"/>
      <c r="R468" s="1"/>
      <c r="S468" s="1"/>
      <c r="T468" s="1"/>
      <c r="U468" s="2"/>
      <c r="V468" s="1"/>
      <c r="W468" s="1"/>
      <c r="X468" s="1"/>
      <c r="Y468" s="1"/>
      <c r="Z468" s="1"/>
    </row>
    <row r="469" spans="1:26" ht="24.75" customHeight="1">
      <c r="A469" s="1"/>
      <c r="B469" s="1"/>
      <c r="C469" s="1"/>
      <c r="D469" s="1"/>
      <c r="E469" s="1"/>
      <c r="F469" s="1"/>
      <c r="G469" s="1"/>
      <c r="H469" s="1"/>
      <c r="I469" s="1"/>
      <c r="J469" s="1"/>
      <c r="K469" s="1"/>
      <c r="L469" s="1"/>
      <c r="M469" s="1"/>
      <c r="N469" s="1"/>
      <c r="O469" s="1"/>
      <c r="P469" s="1"/>
      <c r="Q469" s="1"/>
      <c r="R469" s="1"/>
      <c r="S469" s="1"/>
      <c r="T469" s="1"/>
      <c r="U469" s="2"/>
      <c r="V469" s="1"/>
      <c r="W469" s="1"/>
      <c r="X469" s="1"/>
      <c r="Y469" s="1"/>
      <c r="Z469" s="1"/>
    </row>
    <row r="470" spans="1:26" ht="24.75" customHeight="1">
      <c r="A470" s="1"/>
      <c r="B470" s="1"/>
      <c r="C470" s="1"/>
      <c r="D470" s="1"/>
      <c r="E470" s="1"/>
      <c r="F470" s="1"/>
      <c r="G470" s="1"/>
      <c r="H470" s="1"/>
      <c r="I470" s="1"/>
      <c r="J470" s="1"/>
      <c r="K470" s="1"/>
      <c r="L470" s="1"/>
      <c r="M470" s="1"/>
      <c r="N470" s="1"/>
      <c r="O470" s="1"/>
      <c r="P470" s="1"/>
      <c r="Q470" s="1"/>
      <c r="R470" s="1"/>
      <c r="S470" s="1"/>
      <c r="T470" s="1"/>
      <c r="U470" s="2"/>
      <c r="V470" s="1"/>
      <c r="W470" s="1"/>
      <c r="X470" s="1"/>
      <c r="Y470" s="1"/>
      <c r="Z470" s="1"/>
    </row>
    <row r="471" spans="1:26" ht="24.75" customHeight="1">
      <c r="A471" s="1"/>
      <c r="B471" s="1"/>
      <c r="C471" s="1"/>
      <c r="D471" s="1"/>
      <c r="E471" s="1"/>
      <c r="F471" s="1"/>
      <c r="G471" s="1"/>
      <c r="H471" s="1"/>
      <c r="I471" s="1"/>
      <c r="J471" s="1"/>
      <c r="K471" s="1"/>
      <c r="L471" s="1"/>
      <c r="M471" s="1"/>
      <c r="N471" s="1"/>
      <c r="O471" s="1"/>
      <c r="P471" s="1"/>
      <c r="Q471" s="1"/>
      <c r="R471" s="1"/>
      <c r="S471" s="1"/>
      <c r="T471" s="1"/>
      <c r="U471" s="2"/>
      <c r="V471" s="1"/>
      <c r="W471" s="1"/>
      <c r="X471" s="1"/>
      <c r="Y471" s="1"/>
      <c r="Z471" s="1"/>
    </row>
    <row r="472" spans="1:26" ht="24.75" customHeight="1">
      <c r="A472" s="1"/>
      <c r="B472" s="1"/>
      <c r="C472" s="1"/>
      <c r="D472" s="1"/>
      <c r="E472" s="1"/>
      <c r="F472" s="1"/>
      <c r="G472" s="1"/>
      <c r="H472" s="1"/>
      <c r="I472" s="1"/>
      <c r="J472" s="1"/>
      <c r="K472" s="1"/>
      <c r="L472" s="1"/>
      <c r="M472" s="1"/>
      <c r="N472" s="1"/>
      <c r="O472" s="1"/>
      <c r="P472" s="1"/>
      <c r="Q472" s="1"/>
      <c r="R472" s="1"/>
      <c r="S472" s="1"/>
      <c r="T472" s="1"/>
      <c r="U472" s="2"/>
      <c r="V472" s="1"/>
      <c r="W472" s="1"/>
      <c r="X472" s="1"/>
      <c r="Y472" s="1"/>
      <c r="Z472" s="1"/>
    </row>
    <row r="473" spans="1:26" ht="24.75" customHeight="1">
      <c r="A473" s="1"/>
      <c r="B473" s="1"/>
      <c r="C473" s="1"/>
      <c r="D473" s="1"/>
      <c r="E473" s="1"/>
      <c r="F473" s="1"/>
      <c r="G473" s="1"/>
      <c r="H473" s="1"/>
      <c r="I473" s="1"/>
      <c r="J473" s="1"/>
      <c r="K473" s="1"/>
      <c r="L473" s="1"/>
      <c r="M473" s="1"/>
      <c r="N473" s="1"/>
      <c r="O473" s="1"/>
      <c r="P473" s="1"/>
      <c r="Q473" s="1"/>
      <c r="R473" s="1"/>
      <c r="S473" s="1"/>
      <c r="T473" s="1"/>
      <c r="U473" s="2"/>
      <c r="V473" s="1"/>
      <c r="W473" s="1"/>
      <c r="X473" s="1"/>
      <c r="Y473" s="1"/>
      <c r="Z473" s="1"/>
    </row>
    <row r="474" spans="1:26" ht="24.75" customHeight="1">
      <c r="A474" s="1"/>
      <c r="B474" s="1"/>
      <c r="C474" s="1"/>
      <c r="D474" s="1"/>
      <c r="E474" s="1"/>
      <c r="F474" s="1"/>
      <c r="G474" s="1"/>
      <c r="H474" s="1"/>
      <c r="I474" s="1"/>
      <c r="J474" s="1"/>
      <c r="K474" s="1"/>
      <c r="L474" s="1"/>
      <c r="M474" s="1"/>
      <c r="N474" s="1"/>
      <c r="O474" s="1"/>
      <c r="P474" s="1"/>
      <c r="Q474" s="1"/>
      <c r="R474" s="1"/>
      <c r="S474" s="1"/>
      <c r="T474" s="1"/>
      <c r="U474" s="2"/>
      <c r="V474" s="1"/>
      <c r="W474" s="1"/>
      <c r="X474" s="1"/>
      <c r="Y474" s="1"/>
      <c r="Z474" s="1"/>
    </row>
    <row r="475" spans="1:26" ht="24.75" customHeight="1">
      <c r="A475" s="1"/>
      <c r="B475" s="1"/>
      <c r="C475" s="1"/>
      <c r="D475" s="1"/>
      <c r="E475" s="1"/>
      <c r="F475" s="1"/>
      <c r="G475" s="1"/>
      <c r="H475" s="1"/>
      <c r="I475" s="1"/>
      <c r="J475" s="1"/>
      <c r="K475" s="1"/>
      <c r="L475" s="1"/>
      <c r="M475" s="1"/>
      <c r="N475" s="1"/>
      <c r="O475" s="1"/>
      <c r="P475" s="1"/>
      <c r="Q475" s="1"/>
      <c r="R475" s="1"/>
      <c r="S475" s="1"/>
      <c r="T475" s="1"/>
      <c r="U475" s="2"/>
      <c r="V475" s="1"/>
      <c r="W475" s="1"/>
      <c r="X475" s="1"/>
      <c r="Y475" s="1"/>
      <c r="Z475" s="1"/>
    </row>
    <row r="476" spans="1:26" ht="24.75" customHeight="1">
      <c r="A476" s="1"/>
      <c r="B476" s="1"/>
      <c r="C476" s="1"/>
      <c r="D476" s="1"/>
      <c r="E476" s="1"/>
      <c r="F476" s="1"/>
      <c r="G476" s="1"/>
      <c r="H476" s="1"/>
      <c r="I476" s="1"/>
      <c r="J476" s="1"/>
      <c r="K476" s="1"/>
      <c r="L476" s="1"/>
      <c r="M476" s="1"/>
      <c r="N476" s="1"/>
      <c r="O476" s="1"/>
      <c r="P476" s="1"/>
      <c r="Q476" s="1"/>
      <c r="R476" s="1"/>
      <c r="S476" s="1"/>
      <c r="T476" s="1"/>
      <c r="U476" s="2"/>
      <c r="V476" s="1"/>
      <c r="W476" s="1"/>
      <c r="X476" s="1"/>
      <c r="Y476" s="1"/>
      <c r="Z476" s="1"/>
    </row>
    <row r="477" spans="1:26" ht="24.75" customHeight="1">
      <c r="A477" s="1"/>
      <c r="B477" s="1"/>
      <c r="C477" s="1"/>
      <c r="D477" s="1"/>
      <c r="E477" s="1"/>
      <c r="F477" s="1"/>
      <c r="G477" s="1"/>
      <c r="H477" s="1"/>
      <c r="I477" s="1"/>
      <c r="J477" s="1"/>
      <c r="K477" s="1"/>
      <c r="L477" s="1"/>
      <c r="M477" s="1"/>
      <c r="N477" s="1"/>
      <c r="O477" s="1"/>
      <c r="P477" s="1"/>
      <c r="Q477" s="1"/>
      <c r="R477" s="1"/>
      <c r="S477" s="1"/>
      <c r="T477" s="1"/>
      <c r="U477" s="2"/>
      <c r="V477" s="1"/>
      <c r="W477" s="1"/>
      <c r="X477" s="1"/>
      <c r="Y477" s="1"/>
      <c r="Z477" s="1"/>
    </row>
    <row r="478" spans="1:26" ht="24.75" customHeight="1">
      <c r="A478" s="1"/>
      <c r="B478" s="1"/>
      <c r="C478" s="1"/>
      <c r="D478" s="1"/>
      <c r="E478" s="1"/>
      <c r="F478" s="1"/>
      <c r="G478" s="1"/>
      <c r="H478" s="1"/>
      <c r="I478" s="1"/>
      <c r="J478" s="1"/>
      <c r="K478" s="1"/>
      <c r="L478" s="1"/>
      <c r="M478" s="1"/>
      <c r="N478" s="1"/>
      <c r="O478" s="1"/>
      <c r="P478" s="1"/>
      <c r="Q478" s="1"/>
      <c r="R478" s="1"/>
      <c r="S478" s="1"/>
      <c r="T478" s="1"/>
      <c r="U478" s="2"/>
      <c r="V478" s="1"/>
      <c r="W478" s="1"/>
      <c r="X478" s="1"/>
      <c r="Y478" s="1"/>
      <c r="Z478" s="1"/>
    </row>
    <row r="479" spans="1:26" ht="24.75" customHeight="1">
      <c r="A479" s="1"/>
      <c r="B479" s="1"/>
      <c r="C479" s="1"/>
      <c r="D479" s="1"/>
      <c r="E479" s="1"/>
      <c r="F479" s="1"/>
      <c r="G479" s="1"/>
      <c r="H479" s="1"/>
      <c r="I479" s="1"/>
      <c r="J479" s="1"/>
      <c r="K479" s="1"/>
      <c r="L479" s="1"/>
      <c r="M479" s="1"/>
      <c r="N479" s="1"/>
      <c r="O479" s="1"/>
      <c r="P479" s="1"/>
      <c r="Q479" s="1"/>
      <c r="R479" s="1"/>
      <c r="S479" s="1"/>
      <c r="T479" s="1"/>
      <c r="U479" s="2"/>
      <c r="V479" s="1"/>
      <c r="W479" s="1"/>
      <c r="X479" s="1"/>
      <c r="Y479" s="1"/>
      <c r="Z479" s="1"/>
    </row>
    <row r="480" spans="1:26" ht="24.75" customHeight="1">
      <c r="A480" s="1"/>
      <c r="B480" s="1"/>
      <c r="C480" s="1"/>
      <c r="D480" s="1"/>
      <c r="E480" s="1"/>
      <c r="F480" s="1"/>
      <c r="G480" s="1"/>
      <c r="H480" s="1"/>
      <c r="I480" s="1"/>
      <c r="J480" s="1"/>
      <c r="K480" s="1"/>
      <c r="L480" s="1"/>
      <c r="M480" s="1"/>
      <c r="N480" s="1"/>
      <c r="O480" s="1"/>
      <c r="P480" s="1"/>
      <c r="Q480" s="1"/>
      <c r="R480" s="1"/>
      <c r="S480" s="1"/>
      <c r="T480" s="1"/>
      <c r="U480" s="2"/>
      <c r="V480" s="1"/>
      <c r="W480" s="1"/>
      <c r="X480" s="1"/>
      <c r="Y480" s="1"/>
      <c r="Z480" s="1"/>
    </row>
    <row r="481" spans="1:26" ht="24.75" customHeight="1">
      <c r="A481" s="1"/>
      <c r="B481" s="1"/>
      <c r="C481" s="1"/>
      <c r="D481" s="1"/>
      <c r="E481" s="1"/>
      <c r="F481" s="1"/>
      <c r="G481" s="1"/>
      <c r="H481" s="1"/>
      <c r="I481" s="1"/>
      <c r="J481" s="1"/>
      <c r="K481" s="1"/>
      <c r="L481" s="1"/>
      <c r="M481" s="1"/>
      <c r="N481" s="1"/>
      <c r="O481" s="1"/>
      <c r="P481" s="1"/>
      <c r="Q481" s="1"/>
      <c r="R481" s="1"/>
      <c r="S481" s="1"/>
      <c r="T481" s="1"/>
      <c r="U481" s="2"/>
      <c r="V481" s="1"/>
      <c r="W481" s="1"/>
      <c r="X481" s="1"/>
      <c r="Y481" s="1"/>
      <c r="Z481" s="1"/>
    </row>
    <row r="482" spans="1:26" ht="24.75" customHeight="1">
      <c r="A482" s="1"/>
      <c r="B482" s="1"/>
      <c r="C482" s="1"/>
      <c r="D482" s="1"/>
      <c r="E482" s="1"/>
      <c r="F482" s="1"/>
      <c r="G482" s="1"/>
      <c r="H482" s="1"/>
      <c r="I482" s="1"/>
      <c r="J482" s="1"/>
      <c r="K482" s="1"/>
      <c r="L482" s="1"/>
      <c r="M482" s="1"/>
      <c r="N482" s="1"/>
      <c r="O482" s="1"/>
      <c r="P482" s="1"/>
      <c r="Q482" s="1"/>
      <c r="R482" s="1"/>
      <c r="S482" s="1"/>
      <c r="T482" s="1"/>
      <c r="U482" s="2"/>
      <c r="V482" s="1"/>
      <c r="W482" s="1"/>
      <c r="X482" s="1"/>
      <c r="Y482" s="1"/>
      <c r="Z482" s="1"/>
    </row>
    <row r="483" spans="1:26" ht="24.75" customHeight="1">
      <c r="A483" s="1"/>
      <c r="B483" s="1"/>
      <c r="C483" s="1"/>
      <c r="D483" s="1"/>
      <c r="E483" s="1"/>
      <c r="F483" s="1"/>
      <c r="G483" s="1"/>
      <c r="H483" s="1"/>
      <c r="I483" s="1"/>
      <c r="J483" s="1"/>
      <c r="K483" s="1"/>
      <c r="L483" s="1"/>
      <c r="M483" s="1"/>
      <c r="N483" s="1"/>
      <c r="O483" s="1"/>
      <c r="P483" s="1"/>
      <c r="Q483" s="1"/>
      <c r="R483" s="1"/>
      <c r="S483" s="1"/>
      <c r="T483" s="1"/>
      <c r="U483" s="2"/>
      <c r="V483" s="1"/>
      <c r="W483" s="1"/>
      <c r="X483" s="1"/>
      <c r="Y483" s="1"/>
      <c r="Z483" s="1"/>
    </row>
    <row r="484" spans="1:26" ht="24.75" customHeight="1">
      <c r="A484" s="1"/>
      <c r="B484" s="1"/>
      <c r="C484" s="1"/>
      <c r="D484" s="1"/>
      <c r="E484" s="1"/>
      <c r="F484" s="1"/>
      <c r="G484" s="1"/>
      <c r="H484" s="1"/>
      <c r="I484" s="1"/>
      <c r="J484" s="1"/>
      <c r="K484" s="1"/>
      <c r="L484" s="1"/>
      <c r="M484" s="1"/>
      <c r="N484" s="1"/>
      <c r="O484" s="1"/>
      <c r="P484" s="1"/>
      <c r="Q484" s="1"/>
      <c r="R484" s="1"/>
      <c r="S484" s="1"/>
      <c r="T484" s="1"/>
      <c r="U484" s="2"/>
      <c r="V484" s="1"/>
      <c r="W484" s="1"/>
      <c r="X484" s="1"/>
      <c r="Y484" s="1"/>
      <c r="Z484" s="1"/>
    </row>
    <row r="485" spans="1:26" ht="24.75" customHeight="1">
      <c r="A485" s="1"/>
      <c r="B485" s="1"/>
      <c r="C485" s="1"/>
      <c r="D485" s="1"/>
      <c r="E485" s="1"/>
      <c r="F485" s="1"/>
      <c r="G485" s="1"/>
      <c r="H485" s="1"/>
      <c r="I485" s="1"/>
      <c r="J485" s="1"/>
      <c r="K485" s="1"/>
      <c r="L485" s="1"/>
      <c r="M485" s="1"/>
      <c r="N485" s="1"/>
      <c r="O485" s="1"/>
      <c r="P485" s="1"/>
      <c r="Q485" s="1"/>
      <c r="R485" s="1"/>
      <c r="S485" s="1"/>
      <c r="T485" s="1"/>
      <c r="U485" s="2"/>
      <c r="V485" s="1"/>
      <c r="W485" s="1"/>
      <c r="X485" s="1"/>
      <c r="Y485" s="1"/>
      <c r="Z485" s="1"/>
    </row>
    <row r="486" spans="1:26" ht="24.75" customHeight="1">
      <c r="A486" s="1"/>
      <c r="B486" s="1"/>
      <c r="C486" s="1"/>
      <c r="D486" s="1"/>
      <c r="E486" s="1"/>
      <c r="F486" s="1"/>
      <c r="G486" s="1"/>
      <c r="H486" s="1"/>
      <c r="I486" s="1"/>
      <c r="J486" s="1"/>
      <c r="K486" s="1"/>
      <c r="L486" s="1"/>
      <c r="M486" s="1"/>
      <c r="N486" s="1"/>
      <c r="O486" s="1"/>
      <c r="P486" s="1"/>
      <c r="Q486" s="1"/>
      <c r="R486" s="1"/>
      <c r="S486" s="1"/>
      <c r="T486" s="1"/>
      <c r="U486" s="2"/>
      <c r="V486" s="1"/>
      <c r="W486" s="1"/>
      <c r="X486" s="1"/>
      <c r="Y486" s="1"/>
      <c r="Z486" s="1"/>
    </row>
    <row r="487" spans="1:26" ht="24.75" customHeight="1">
      <c r="A487" s="1"/>
      <c r="B487" s="1"/>
      <c r="C487" s="1"/>
      <c r="D487" s="1"/>
      <c r="E487" s="1"/>
      <c r="F487" s="1"/>
      <c r="G487" s="1"/>
      <c r="H487" s="1"/>
      <c r="I487" s="1"/>
      <c r="J487" s="1"/>
      <c r="K487" s="1"/>
      <c r="L487" s="1"/>
      <c r="M487" s="1"/>
      <c r="N487" s="1"/>
      <c r="O487" s="1"/>
      <c r="P487" s="1"/>
      <c r="Q487" s="1"/>
      <c r="R487" s="1"/>
      <c r="S487" s="1"/>
      <c r="T487" s="1"/>
      <c r="U487" s="2"/>
      <c r="V487" s="1"/>
      <c r="W487" s="1"/>
      <c r="X487" s="1"/>
      <c r="Y487" s="1"/>
      <c r="Z487" s="1"/>
    </row>
    <row r="488" spans="1:26" ht="24.75" customHeight="1">
      <c r="A488" s="1"/>
      <c r="B488" s="1"/>
      <c r="C488" s="1"/>
      <c r="D488" s="1"/>
      <c r="E488" s="1"/>
      <c r="F488" s="1"/>
      <c r="G488" s="1"/>
      <c r="H488" s="1"/>
      <c r="I488" s="1"/>
      <c r="J488" s="1"/>
      <c r="K488" s="1"/>
      <c r="L488" s="1"/>
      <c r="M488" s="1"/>
      <c r="N488" s="1"/>
      <c r="O488" s="1"/>
      <c r="P488" s="1"/>
      <c r="Q488" s="1"/>
      <c r="R488" s="1"/>
      <c r="S488" s="1"/>
      <c r="T488" s="1"/>
      <c r="U488" s="2"/>
      <c r="V488" s="1"/>
      <c r="W488" s="1"/>
      <c r="X488" s="1"/>
      <c r="Y488" s="1"/>
      <c r="Z488" s="1"/>
    </row>
    <row r="489" spans="1:26" ht="24.75" customHeight="1">
      <c r="A489" s="1"/>
      <c r="B489" s="1"/>
      <c r="C489" s="1"/>
      <c r="D489" s="1"/>
      <c r="E489" s="1"/>
      <c r="F489" s="1"/>
      <c r="G489" s="1"/>
      <c r="H489" s="1"/>
      <c r="I489" s="1"/>
      <c r="J489" s="1"/>
      <c r="K489" s="1"/>
      <c r="L489" s="1"/>
      <c r="M489" s="1"/>
      <c r="N489" s="1"/>
      <c r="O489" s="1"/>
      <c r="P489" s="1"/>
      <c r="Q489" s="1"/>
      <c r="R489" s="1"/>
      <c r="S489" s="1"/>
      <c r="T489" s="1"/>
      <c r="U489" s="2"/>
      <c r="V489" s="1"/>
      <c r="W489" s="1"/>
      <c r="X489" s="1"/>
      <c r="Y489" s="1"/>
      <c r="Z489" s="1"/>
    </row>
    <row r="490" spans="1:26" ht="24.75" customHeight="1">
      <c r="A490" s="1"/>
      <c r="B490" s="1"/>
      <c r="C490" s="1"/>
      <c r="D490" s="1"/>
      <c r="E490" s="1"/>
      <c r="F490" s="1"/>
      <c r="G490" s="1"/>
      <c r="H490" s="1"/>
      <c r="I490" s="1"/>
      <c r="J490" s="1"/>
      <c r="K490" s="1"/>
      <c r="L490" s="1"/>
      <c r="M490" s="1"/>
      <c r="N490" s="1"/>
      <c r="O490" s="1"/>
      <c r="P490" s="1"/>
      <c r="Q490" s="1"/>
      <c r="R490" s="1"/>
      <c r="S490" s="1"/>
      <c r="T490" s="1"/>
      <c r="U490" s="2"/>
      <c r="V490" s="1"/>
      <c r="W490" s="1"/>
      <c r="X490" s="1"/>
      <c r="Y490" s="1"/>
      <c r="Z490" s="1"/>
    </row>
    <row r="491" spans="1:26" ht="24.75" customHeight="1">
      <c r="A491" s="1"/>
      <c r="B491" s="1"/>
      <c r="C491" s="1"/>
      <c r="D491" s="1"/>
      <c r="E491" s="1"/>
      <c r="F491" s="1"/>
      <c r="G491" s="1"/>
      <c r="H491" s="1"/>
      <c r="I491" s="1"/>
      <c r="J491" s="1"/>
      <c r="K491" s="1"/>
      <c r="L491" s="1"/>
      <c r="M491" s="1"/>
      <c r="N491" s="1"/>
      <c r="O491" s="1"/>
      <c r="P491" s="1"/>
      <c r="Q491" s="1"/>
      <c r="R491" s="1"/>
      <c r="S491" s="1"/>
      <c r="T491" s="1"/>
      <c r="U491" s="2"/>
      <c r="V491" s="1"/>
      <c r="W491" s="1"/>
      <c r="X491" s="1"/>
      <c r="Y491" s="1"/>
      <c r="Z491" s="1"/>
    </row>
    <row r="492" spans="1:26" ht="24.75" customHeight="1">
      <c r="A492" s="1"/>
      <c r="B492" s="1"/>
      <c r="C492" s="1"/>
      <c r="D492" s="1"/>
      <c r="E492" s="1"/>
      <c r="F492" s="1"/>
      <c r="G492" s="1"/>
      <c r="H492" s="1"/>
      <c r="I492" s="1"/>
      <c r="J492" s="1"/>
      <c r="K492" s="1"/>
      <c r="L492" s="1"/>
      <c r="M492" s="1"/>
      <c r="N492" s="1"/>
      <c r="O492" s="1"/>
      <c r="P492" s="1"/>
      <c r="Q492" s="1"/>
      <c r="R492" s="1"/>
      <c r="S492" s="1"/>
      <c r="T492" s="1"/>
      <c r="U492" s="2"/>
      <c r="V492" s="1"/>
      <c r="W492" s="1"/>
      <c r="X492" s="1"/>
      <c r="Y492" s="1"/>
      <c r="Z492" s="1"/>
    </row>
    <row r="493" spans="1:26" ht="24.75" customHeight="1">
      <c r="A493" s="1"/>
      <c r="B493" s="1"/>
      <c r="C493" s="1"/>
      <c r="D493" s="1"/>
      <c r="E493" s="1"/>
      <c r="F493" s="1"/>
      <c r="G493" s="1"/>
      <c r="H493" s="1"/>
      <c r="I493" s="1"/>
      <c r="J493" s="1"/>
      <c r="K493" s="1"/>
      <c r="L493" s="1"/>
      <c r="M493" s="1"/>
      <c r="N493" s="1"/>
      <c r="O493" s="1"/>
      <c r="P493" s="1"/>
      <c r="Q493" s="1"/>
      <c r="R493" s="1"/>
      <c r="S493" s="1"/>
      <c r="T493" s="1"/>
      <c r="U493" s="2"/>
      <c r="V493" s="1"/>
      <c r="W493" s="1"/>
      <c r="X493" s="1"/>
      <c r="Y493" s="1"/>
      <c r="Z493" s="1"/>
    </row>
    <row r="494" spans="1:26" ht="24.75" customHeight="1">
      <c r="A494" s="1"/>
      <c r="B494" s="1"/>
      <c r="C494" s="1"/>
      <c r="D494" s="1"/>
      <c r="E494" s="1"/>
      <c r="F494" s="1"/>
      <c r="G494" s="1"/>
      <c r="H494" s="1"/>
      <c r="I494" s="1"/>
      <c r="J494" s="1"/>
      <c r="K494" s="1"/>
      <c r="L494" s="1"/>
      <c r="M494" s="1"/>
      <c r="N494" s="1"/>
      <c r="O494" s="1"/>
      <c r="P494" s="1"/>
      <c r="Q494" s="1"/>
      <c r="R494" s="1"/>
      <c r="S494" s="1"/>
      <c r="T494" s="1"/>
      <c r="U494" s="2"/>
      <c r="V494" s="1"/>
      <c r="W494" s="1"/>
      <c r="X494" s="1"/>
      <c r="Y494" s="1"/>
      <c r="Z494" s="1"/>
    </row>
    <row r="495" spans="1:26" ht="24.75" customHeight="1">
      <c r="A495" s="1"/>
      <c r="B495" s="1"/>
      <c r="C495" s="1"/>
      <c r="D495" s="1"/>
      <c r="E495" s="1"/>
      <c r="F495" s="1"/>
      <c r="G495" s="1"/>
      <c r="H495" s="1"/>
      <c r="I495" s="1"/>
      <c r="J495" s="1"/>
      <c r="K495" s="1"/>
      <c r="L495" s="1"/>
      <c r="M495" s="1"/>
      <c r="N495" s="1"/>
      <c r="O495" s="1"/>
      <c r="P495" s="1"/>
      <c r="Q495" s="1"/>
      <c r="R495" s="1"/>
      <c r="S495" s="1"/>
      <c r="T495" s="1"/>
      <c r="U495" s="2"/>
      <c r="V495" s="1"/>
      <c r="W495" s="1"/>
      <c r="X495" s="1"/>
      <c r="Y495" s="1"/>
      <c r="Z495" s="1"/>
    </row>
    <row r="496" spans="1:26" ht="24.75" customHeight="1">
      <c r="A496" s="1"/>
      <c r="B496" s="1"/>
      <c r="C496" s="1"/>
      <c r="D496" s="1"/>
      <c r="E496" s="1"/>
      <c r="F496" s="1"/>
      <c r="G496" s="1"/>
      <c r="H496" s="1"/>
      <c r="I496" s="1"/>
      <c r="J496" s="1"/>
      <c r="K496" s="1"/>
      <c r="L496" s="1"/>
      <c r="M496" s="1"/>
      <c r="N496" s="1"/>
      <c r="O496" s="1"/>
      <c r="P496" s="1"/>
      <c r="Q496" s="1"/>
      <c r="R496" s="1"/>
      <c r="S496" s="1"/>
      <c r="T496" s="1"/>
      <c r="U496" s="2"/>
      <c r="V496" s="1"/>
      <c r="W496" s="1"/>
      <c r="X496" s="1"/>
      <c r="Y496" s="1"/>
      <c r="Z496" s="1"/>
    </row>
    <row r="497" spans="1:26" ht="24.75" customHeight="1">
      <c r="A497" s="1"/>
      <c r="B497" s="1"/>
      <c r="C497" s="1"/>
      <c r="D497" s="1"/>
      <c r="E497" s="1"/>
      <c r="F497" s="1"/>
      <c r="G497" s="1"/>
      <c r="H497" s="1"/>
      <c r="I497" s="1"/>
      <c r="J497" s="1"/>
      <c r="K497" s="1"/>
      <c r="L497" s="1"/>
      <c r="M497" s="1"/>
      <c r="N497" s="1"/>
      <c r="O497" s="1"/>
      <c r="P497" s="1"/>
      <c r="Q497" s="1"/>
      <c r="R497" s="1"/>
      <c r="S497" s="1"/>
      <c r="T497" s="1"/>
      <c r="U497" s="2"/>
      <c r="V497" s="1"/>
      <c r="W497" s="1"/>
      <c r="X497" s="1"/>
      <c r="Y497" s="1"/>
      <c r="Z497" s="1"/>
    </row>
    <row r="498" spans="1:26" ht="24.75" customHeight="1">
      <c r="A498" s="1"/>
      <c r="B498" s="1"/>
      <c r="C498" s="1"/>
      <c r="D498" s="1"/>
      <c r="E498" s="1"/>
      <c r="F498" s="1"/>
      <c r="G498" s="1"/>
      <c r="H498" s="1"/>
      <c r="I498" s="1"/>
      <c r="J498" s="1"/>
      <c r="K498" s="1"/>
      <c r="L498" s="1"/>
      <c r="M498" s="1"/>
      <c r="N498" s="1"/>
      <c r="O498" s="1"/>
      <c r="P498" s="1"/>
      <c r="Q498" s="1"/>
      <c r="R498" s="1"/>
      <c r="S498" s="1"/>
      <c r="T498" s="1"/>
      <c r="U498" s="2"/>
      <c r="V498" s="1"/>
      <c r="W498" s="1"/>
      <c r="X498" s="1"/>
      <c r="Y498" s="1"/>
      <c r="Z498" s="1"/>
    </row>
    <row r="499" spans="1:26" ht="24.75" customHeight="1">
      <c r="A499" s="1"/>
      <c r="B499" s="1"/>
      <c r="C499" s="1"/>
      <c r="D499" s="1"/>
      <c r="E499" s="1"/>
      <c r="F499" s="1"/>
      <c r="G499" s="1"/>
      <c r="H499" s="1"/>
      <c r="I499" s="1"/>
      <c r="J499" s="1"/>
      <c r="K499" s="1"/>
      <c r="L499" s="1"/>
      <c r="M499" s="1"/>
      <c r="N499" s="1"/>
      <c r="O499" s="1"/>
      <c r="P499" s="1"/>
      <c r="Q499" s="1"/>
      <c r="R499" s="1"/>
      <c r="S499" s="1"/>
      <c r="T499" s="1"/>
      <c r="U499" s="2"/>
      <c r="V499" s="1"/>
      <c r="W499" s="1"/>
      <c r="X499" s="1"/>
      <c r="Y499" s="1"/>
      <c r="Z499" s="1"/>
    </row>
    <row r="500" spans="1:26" ht="24.75" customHeight="1">
      <c r="A500" s="1"/>
      <c r="B500" s="1"/>
      <c r="C500" s="1"/>
      <c r="D500" s="1"/>
      <c r="E500" s="1"/>
      <c r="F500" s="1"/>
      <c r="G500" s="1"/>
      <c r="H500" s="1"/>
      <c r="I500" s="1"/>
      <c r="J500" s="1"/>
      <c r="K500" s="1"/>
      <c r="L500" s="1"/>
      <c r="M500" s="1"/>
      <c r="N500" s="1"/>
      <c r="O500" s="1"/>
      <c r="P500" s="1"/>
      <c r="Q500" s="1"/>
      <c r="R500" s="1"/>
      <c r="S500" s="1"/>
      <c r="T500" s="1"/>
      <c r="U500" s="2"/>
      <c r="V500" s="1"/>
      <c r="W500" s="1"/>
      <c r="X500" s="1"/>
      <c r="Y500" s="1"/>
      <c r="Z500" s="1"/>
    </row>
    <row r="501" spans="1:26" ht="24.75" customHeight="1">
      <c r="A501" s="1"/>
      <c r="B501" s="1"/>
      <c r="C501" s="1"/>
      <c r="D501" s="1"/>
      <c r="E501" s="1"/>
      <c r="F501" s="1"/>
      <c r="G501" s="1"/>
      <c r="H501" s="1"/>
      <c r="I501" s="1"/>
      <c r="J501" s="1"/>
      <c r="K501" s="1"/>
      <c r="L501" s="1"/>
      <c r="M501" s="1"/>
      <c r="N501" s="1"/>
      <c r="O501" s="1"/>
      <c r="P501" s="1"/>
      <c r="Q501" s="1"/>
      <c r="R501" s="1"/>
      <c r="S501" s="1"/>
      <c r="T501" s="1"/>
      <c r="U501" s="2"/>
      <c r="V501" s="1"/>
      <c r="W501" s="1"/>
      <c r="X501" s="1"/>
      <c r="Y501" s="1"/>
      <c r="Z501" s="1"/>
    </row>
    <row r="502" spans="1:26" ht="24.75" customHeight="1">
      <c r="A502" s="1"/>
      <c r="B502" s="1"/>
      <c r="C502" s="1"/>
      <c r="D502" s="1"/>
      <c r="E502" s="1"/>
      <c r="F502" s="1"/>
      <c r="G502" s="1"/>
      <c r="H502" s="1"/>
      <c r="I502" s="1"/>
      <c r="J502" s="1"/>
      <c r="K502" s="1"/>
      <c r="L502" s="1"/>
      <c r="M502" s="1"/>
      <c r="N502" s="1"/>
      <c r="O502" s="1"/>
      <c r="P502" s="1"/>
      <c r="Q502" s="1"/>
      <c r="R502" s="1"/>
      <c r="S502" s="1"/>
      <c r="T502" s="1"/>
      <c r="U502" s="2"/>
      <c r="V502" s="1"/>
      <c r="W502" s="1"/>
      <c r="X502" s="1"/>
      <c r="Y502" s="1"/>
      <c r="Z502" s="1"/>
    </row>
    <row r="503" spans="1:26" ht="24.75" customHeight="1">
      <c r="A503" s="1"/>
      <c r="B503" s="1"/>
      <c r="C503" s="1"/>
      <c r="D503" s="1"/>
      <c r="E503" s="1"/>
      <c r="F503" s="1"/>
      <c r="G503" s="1"/>
      <c r="H503" s="1"/>
      <c r="I503" s="1"/>
      <c r="J503" s="1"/>
      <c r="K503" s="1"/>
      <c r="L503" s="1"/>
      <c r="M503" s="1"/>
      <c r="N503" s="1"/>
      <c r="O503" s="1"/>
      <c r="P503" s="1"/>
      <c r="Q503" s="1"/>
      <c r="R503" s="1"/>
      <c r="S503" s="1"/>
      <c r="T503" s="1"/>
      <c r="U503" s="2"/>
      <c r="V503" s="1"/>
      <c r="W503" s="1"/>
      <c r="X503" s="1"/>
      <c r="Y503" s="1"/>
      <c r="Z503" s="1"/>
    </row>
    <row r="504" spans="1:26" ht="24.75" customHeight="1">
      <c r="A504" s="1"/>
      <c r="B504" s="1"/>
      <c r="C504" s="1"/>
      <c r="D504" s="1"/>
      <c r="E504" s="1"/>
      <c r="F504" s="1"/>
      <c r="G504" s="1"/>
      <c r="H504" s="1"/>
      <c r="I504" s="1"/>
      <c r="J504" s="1"/>
      <c r="K504" s="1"/>
      <c r="L504" s="1"/>
      <c r="M504" s="1"/>
      <c r="N504" s="1"/>
      <c r="O504" s="1"/>
      <c r="P504" s="1"/>
      <c r="Q504" s="1"/>
      <c r="R504" s="1"/>
      <c r="S504" s="1"/>
      <c r="T504" s="1"/>
      <c r="U504" s="2"/>
      <c r="V504" s="1"/>
      <c r="W504" s="1"/>
      <c r="X504" s="1"/>
      <c r="Y504" s="1"/>
      <c r="Z504" s="1"/>
    </row>
    <row r="505" spans="1:26" ht="24.75" customHeight="1">
      <c r="A505" s="1"/>
      <c r="B505" s="1"/>
      <c r="C505" s="1"/>
      <c r="D505" s="1"/>
      <c r="E505" s="1"/>
      <c r="F505" s="1"/>
      <c r="G505" s="1"/>
      <c r="H505" s="1"/>
      <c r="I505" s="1"/>
      <c r="J505" s="1"/>
      <c r="K505" s="1"/>
      <c r="L505" s="1"/>
      <c r="M505" s="1"/>
      <c r="N505" s="1"/>
      <c r="O505" s="1"/>
      <c r="P505" s="1"/>
      <c r="Q505" s="1"/>
      <c r="R505" s="1"/>
      <c r="S505" s="1"/>
      <c r="T505" s="1"/>
      <c r="U505" s="2"/>
      <c r="V505" s="1"/>
      <c r="W505" s="1"/>
      <c r="X505" s="1"/>
      <c r="Y505" s="1"/>
      <c r="Z505" s="1"/>
    </row>
    <row r="506" spans="1:26" ht="24.75" customHeight="1">
      <c r="A506" s="1"/>
      <c r="B506" s="1"/>
      <c r="C506" s="1"/>
      <c r="D506" s="1"/>
      <c r="E506" s="1"/>
      <c r="F506" s="1"/>
      <c r="G506" s="1"/>
      <c r="H506" s="1"/>
      <c r="I506" s="1"/>
      <c r="J506" s="1"/>
      <c r="K506" s="1"/>
      <c r="L506" s="1"/>
      <c r="M506" s="1"/>
      <c r="N506" s="1"/>
      <c r="O506" s="1"/>
      <c r="P506" s="1"/>
      <c r="Q506" s="1"/>
      <c r="R506" s="1"/>
      <c r="S506" s="1"/>
      <c r="T506" s="1"/>
      <c r="U506" s="2"/>
      <c r="V506" s="1"/>
      <c r="W506" s="1"/>
      <c r="X506" s="1"/>
      <c r="Y506" s="1"/>
      <c r="Z506" s="1"/>
    </row>
    <row r="507" spans="1:26" ht="24.75" customHeight="1">
      <c r="A507" s="1"/>
      <c r="B507" s="1"/>
      <c r="C507" s="1"/>
      <c r="D507" s="1"/>
      <c r="E507" s="1"/>
      <c r="F507" s="1"/>
      <c r="G507" s="1"/>
      <c r="H507" s="1"/>
      <c r="I507" s="1"/>
      <c r="J507" s="1"/>
      <c r="K507" s="1"/>
      <c r="L507" s="1"/>
      <c r="M507" s="1"/>
      <c r="N507" s="1"/>
      <c r="O507" s="1"/>
      <c r="P507" s="1"/>
      <c r="Q507" s="1"/>
      <c r="R507" s="1"/>
      <c r="S507" s="1"/>
      <c r="T507" s="1"/>
      <c r="U507" s="2"/>
      <c r="V507" s="1"/>
      <c r="W507" s="1"/>
      <c r="X507" s="1"/>
      <c r="Y507" s="1"/>
      <c r="Z507" s="1"/>
    </row>
    <row r="508" spans="1:26" ht="24.75" customHeight="1">
      <c r="A508" s="1"/>
      <c r="B508" s="1"/>
      <c r="C508" s="1"/>
      <c r="D508" s="1"/>
      <c r="E508" s="1"/>
      <c r="F508" s="1"/>
      <c r="G508" s="1"/>
      <c r="H508" s="1"/>
      <c r="I508" s="1"/>
      <c r="J508" s="1"/>
      <c r="K508" s="1"/>
      <c r="L508" s="1"/>
      <c r="M508" s="1"/>
      <c r="N508" s="1"/>
      <c r="O508" s="1"/>
      <c r="P508" s="1"/>
      <c r="Q508" s="1"/>
      <c r="R508" s="1"/>
      <c r="S508" s="1"/>
      <c r="T508" s="1"/>
      <c r="U508" s="2"/>
      <c r="V508" s="1"/>
      <c r="W508" s="1"/>
      <c r="X508" s="1"/>
      <c r="Y508" s="1"/>
      <c r="Z508" s="1"/>
    </row>
    <row r="509" spans="1:26" ht="24.75" customHeight="1">
      <c r="A509" s="1"/>
      <c r="B509" s="1"/>
      <c r="C509" s="1"/>
      <c r="D509" s="1"/>
      <c r="E509" s="1"/>
      <c r="F509" s="1"/>
      <c r="G509" s="1"/>
      <c r="H509" s="1"/>
      <c r="I509" s="1"/>
      <c r="J509" s="1"/>
      <c r="K509" s="1"/>
      <c r="L509" s="1"/>
      <c r="M509" s="1"/>
      <c r="N509" s="1"/>
      <c r="O509" s="1"/>
      <c r="P509" s="1"/>
      <c r="Q509" s="1"/>
      <c r="R509" s="1"/>
      <c r="S509" s="1"/>
      <c r="T509" s="1"/>
      <c r="U509" s="2"/>
      <c r="V509" s="1"/>
      <c r="W509" s="1"/>
      <c r="X509" s="1"/>
      <c r="Y509" s="1"/>
      <c r="Z509" s="1"/>
    </row>
    <row r="510" spans="1:26" ht="24.75" customHeight="1">
      <c r="A510" s="1"/>
      <c r="B510" s="1"/>
      <c r="C510" s="1"/>
      <c r="D510" s="1"/>
      <c r="E510" s="1"/>
      <c r="F510" s="1"/>
      <c r="G510" s="1"/>
      <c r="H510" s="1"/>
      <c r="I510" s="1"/>
      <c r="J510" s="1"/>
      <c r="K510" s="1"/>
      <c r="L510" s="1"/>
      <c r="M510" s="1"/>
      <c r="N510" s="1"/>
      <c r="O510" s="1"/>
      <c r="P510" s="1"/>
      <c r="Q510" s="1"/>
      <c r="R510" s="1"/>
      <c r="S510" s="1"/>
      <c r="T510" s="1"/>
      <c r="U510" s="2"/>
      <c r="V510" s="1"/>
      <c r="W510" s="1"/>
      <c r="X510" s="1"/>
      <c r="Y510" s="1"/>
      <c r="Z510" s="1"/>
    </row>
    <row r="511" spans="1:26" ht="24.75" customHeight="1">
      <c r="A511" s="1"/>
      <c r="B511" s="1"/>
      <c r="C511" s="1"/>
      <c r="D511" s="1"/>
      <c r="E511" s="1"/>
      <c r="F511" s="1"/>
      <c r="G511" s="1"/>
      <c r="H511" s="1"/>
      <c r="I511" s="1"/>
      <c r="J511" s="1"/>
      <c r="K511" s="1"/>
      <c r="L511" s="1"/>
      <c r="M511" s="1"/>
      <c r="N511" s="1"/>
      <c r="O511" s="1"/>
      <c r="P511" s="1"/>
      <c r="Q511" s="1"/>
      <c r="R511" s="1"/>
      <c r="S511" s="1"/>
      <c r="T511" s="1"/>
      <c r="U511" s="2"/>
      <c r="V511" s="1"/>
      <c r="W511" s="1"/>
      <c r="X511" s="1"/>
      <c r="Y511" s="1"/>
      <c r="Z511" s="1"/>
    </row>
    <row r="512" spans="1:26" ht="24.75" customHeight="1">
      <c r="A512" s="1"/>
      <c r="B512" s="1"/>
      <c r="C512" s="1"/>
      <c r="D512" s="1"/>
      <c r="E512" s="1"/>
      <c r="F512" s="1"/>
      <c r="G512" s="1"/>
      <c r="H512" s="1"/>
      <c r="I512" s="1"/>
      <c r="J512" s="1"/>
      <c r="K512" s="1"/>
      <c r="L512" s="1"/>
      <c r="M512" s="1"/>
      <c r="N512" s="1"/>
      <c r="O512" s="1"/>
      <c r="P512" s="1"/>
      <c r="Q512" s="1"/>
      <c r="R512" s="1"/>
      <c r="S512" s="1"/>
      <c r="T512" s="1"/>
      <c r="U512" s="2"/>
      <c r="V512" s="1"/>
      <c r="W512" s="1"/>
      <c r="X512" s="1"/>
      <c r="Y512" s="1"/>
      <c r="Z512" s="1"/>
    </row>
    <row r="513" spans="1:26" ht="24.75" customHeight="1">
      <c r="A513" s="1"/>
      <c r="B513" s="1"/>
      <c r="C513" s="1"/>
      <c r="D513" s="1"/>
      <c r="E513" s="1"/>
      <c r="F513" s="1"/>
      <c r="G513" s="1"/>
      <c r="H513" s="1"/>
      <c r="I513" s="1"/>
      <c r="J513" s="1"/>
      <c r="K513" s="1"/>
      <c r="L513" s="1"/>
      <c r="M513" s="1"/>
      <c r="N513" s="1"/>
      <c r="O513" s="1"/>
      <c r="P513" s="1"/>
      <c r="Q513" s="1"/>
      <c r="R513" s="1"/>
      <c r="S513" s="1"/>
      <c r="T513" s="1"/>
      <c r="U513" s="2"/>
      <c r="V513" s="1"/>
      <c r="W513" s="1"/>
      <c r="X513" s="1"/>
      <c r="Y513" s="1"/>
      <c r="Z513" s="1"/>
    </row>
    <row r="514" spans="1:26" ht="24.75" customHeight="1">
      <c r="A514" s="1"/>
      <c r="B514" s="1"/>
      <c r="C514" s="1"/>
      <c r="D514" s="1"/>
      <c r="E514" s="1"/>
      <c r="F514" s="1"/>
      <c r="G514" s="1"/>
      <c r="H514" s="1"/>
      <c r="I514" s="1"/>
      <c r="J514" s="1"/>
      <c r="K514" s="1"/>
      <c r="L514" s="1"/>
      <c r="M514" s="1"/>
      <c r="N514" s="1"/>
      <c r="O514" s="1"/>
      <c r="P514" s="1"/>
      <c r="Q514" s="1"/>
      <c r="R514" s="1"/>
      <c r="S514" s="1"/>
      <c r="T514" s="1"/>
      <c r="U514" s="2"/>
      <c r="V514" s="1"/>
      <c r="W514" s="1"/>
      <c r="X514" s="1"/>
      <c r="Y514" s="1"/>
      <c r="Z514" s="1"/>
    </row>
    <row r="515" spans="1:26" ht="24.75" customHeight="1">
      <c r="A515" s="1"/>
      <c r="B515" s="1"/>
      <c r="C515" s="1"/>
      <c r="D515" s="1"/>
      <c r="E515" s="1"/>
      <c r="F515" s="1"/>
      <c r="G515" s="1"/>
      <c r="H515" s="1"/>
      <c r="I515" s="1"/>
      <c r="J515" s="1"/>
      <c r="K515" s="1"/>
      <c r="L515" s="1"/>
      <c r="M515" s="1"/>
      <c r="N515" s="1"/>
      <c r="O515" s="1"/>
      <c r="P515" s="1"/>
      <c r="Q515" s="1"/>
      <c r="R515" s="1"/>
      <c r="S515" s="1"/>
      <c r="T515" s="1"/>
      <c r="U515" s="2"/>
      <c r="V515" s="1"/>
      <c r="W515" s="1"/>
      <c r="X515" s="1"/>
      <c r="Y515" s="1"/>
      <c r="Z515" s="1"/>
    </row>
    <row r="516" spans="1:26" ht="24.75" customHeight="1">
      <c r="A516" s="1"/>
      <c r="B516" s="1"/>
      <c r="C516" s="1"/>
      <c r="D516" s="1"/>
      <c r="E516" s="1"/>
      <c r="F516" s="1"/>
      <c r="G516" s="1"/>
      <c r="H516" s="1"/>
      <c r="I516" s="1"/>
      <c r="J516" s="1"/>
      <c r="K516" s="1"/>
      <c r="L516" s="1"/>
      <c r="M516" s="1"/>
      <c r="N516" s="1"/>
      <c r="O516" s="1"/>
      <c r="P516" s="1"/>
      <c r="Q516" s="1"/>
      <c r="R516" s="1"/>
      <c r="S516" s="1"/>
      <c r="T516" s="1"/>
      <c r="U516" s="2"/>
      <c r="V516" s="1"/>
      <c r="W516" s="1"/>
      <c r="X516" s="1"/>
      <c r="Y516" s="1"/>
      <c r="Z516" s="1"/>
    </row>
    <row r="517" spans="1:26" ht="24.75" customHeight="1">
      <c r="A517" s="1"/>
      <c r="B517" s="1"/>
      <c r="C517" s="1"/>
      <c r="D517" s="1"/>
      <c r="E517" s="1"/>
      <c r="F517" s="1"/>
      <c r="G517" s="1"/>
      <c r="H517" s="1"/>
      <c r="I517" s="1"/>
      <c r="J517" s="1"/>
      <c r="K517" s="1"/>
      <c r="L517" s="1"/>
      <c r="M517" s="1"/>
      <c r="N517" s="1"/>
      <c r="O517" s="1"/>
      <c r="P517" s="1"/>
      <c r="Q517" s="1"/>
      <c r="R517" s="1"/>
      <c r="S517" s="1"/>
      <c r="T517" s="1"/>
      <c r="U517" s="2"/>
      <c r="V517" s="1"/>
      <c r="W517" s="1"/>
      <c r="X517" s="1"/>
      <c r="Y517" s="1"/>
      <c r="Z517" s="1"/>
    </row>
    <row r="518" spans="1:26" ht="24.75" customHeight="1">
      <c r="A518" s="1"/>
      <c r="B518" s="1"/>
      <c r="C518" s="1"/>
      <c r="D518" s="1"/>
      <c r="E518" s="1"/>
      <c r="F518" s="1"/>
      <c r="G518" s="1"/>
      <c r="H518" s="1"/>
      <c r="I518" s="1"/>
      <c r="J518" s="1"/>
      <c r="K518" s="1"/>
      <c r="L518" s="1"/>
      <c r="M518" s="1"/>
      <c r="N518" s="1"/>
      <c r="O518" s="1"/>
      <c r="P518" s="1"/>
      <c r="Q518" s="1"/>
      <c r="R518" s="1"/>
      <c r="S518" s="1"/>
      <c r="T518" s="1"/>
      <c r="U518" s="2"/>
      <c r="V518" s="1"/>
      <c r="W518" s="1"/>
      <c r="X518" s="1"/>
      <c r="Y518" s="1"/>
      <c r="Z518" s="1"/>
    </row>
    <row r="519" spans="1:26" ht="24.75" customHeight="1">
      <c r="A519" s="1"/>
      <c r="B519" s="1"/>
      <c r="C519" s="1"/>
      <c r="D519" s="1"/>
      <c r="E519" s="1"/>
      <c r="F519" s="1"/>
      <c r="G519" s="1"/>
      <c r="H519" s="1"/>
      <c r="I519" s="1"/>
      <c r="J519" s="1"/>
      <c r="K519" s="1"/>
      <c r="L519" s="1"/>
      <c r="M519" s="1"/>
      <c r="N519" s="1"/>
      <c r="O519" s="1"/>
      <c r="P519" s="1"/>
      <c r="Q519" s="1"/>
      <c r="R519" s="1"/>
      <c r="S519" s="1"/>
      <c r="T519" s="1"/>
      <c r="U519" s="2"/>
      <c r="V519" s="1"/>
      <c r="W519" s="1"/>
      <c r="X519" s="1"/>
      <c r="Y519" s="1"/>
      <c r="Z519" s="1"/>
    </row>
    <row r="520" spans="1:26" ht="24.75" customHeight="1">
      <c r="A520" s="1"/>
      <c r="B520" s="1"/>
      <c r="C520" s="1"/>
      <c r="D520" s="1"/>
      <c r="E520" s="1"/>
      <c r="F520" s="1"/>
      <c r="G520" s="1"/>
      <c r="H520" s="1"/>
      <c r="I520" s="1"/>
      <c r="J520" s="1"/>
      <c r="K520" s="1"/>
      <c r="L520" s="1"/>
      <c r="M520" s="1"/>
      <c r="N520" s="1"/>
      <c r="O520" s="1"/>
      <c r="P520" s="1"/>
      <c r="Q520" s="1"/>
      <c r="R520" s="1"/>
      <c r="S520" s="1"/>
      <c r="T520" s="1"/>
      <c r="U520" s="2"/>
      <c r="V520" s="1"/>
      <c r="W520" s="1"/>
      <c r="X520" s="1"/>
      <c r="Y520" s="1"/>
      <c r="Z520" s="1"/>
    </row>
    <row r="521" spans="1:26" ht="24.75" customHeight="1">
      <c r="A521" s="1"/>
      <c r="B521" s="1"/>
      <c r="C521" s="1"/>
      <c r="D521" s="1"/>
      <c r="E521" s="1"/>
      <c r="F521" s="1"/>
      <c r="G521" s="1"/>
      <c r="H521" s="1"/>
      <c r="I521" s="1"/>
      <c r="J521" s="1"/>
      <c r="K521" s="1"/>
      <c r="L521" s="1"/>
      <c r="M521" s="1"/>
      <c r="N521" s="1"/>
      <c r="O521" s="1"/>
      <c r="P521" s="1"/>
      <c r="Q521" s="1"/>
      <c r="R521" s="1"/>
      <c r="S521" s="1"/>
      <c r="T521" s="1"/>
      <c r="U521" s="2"/>
      <c r="V521" s="1"/>
      <c r="W521" s="1"/>
      <c r="X521" s="1"/>
      <c r="Y521" s="1"/>
      <c r="Z521" s="1"/>
    </row>
    <row r="522" spans="1:26" ht="24.75" customHeight="1">
      <c r="A522" s="1"/>
      <c r="B522" s="1"/>
      <c r="C522" s="1"/>
      <c r="D522" s="1"/>
      <c r="E522" s="1"/>
      <c r="F522" s="1"/>
      <c r="G522" s="1"/>
      <c r="H522" s="1"/>
      <c r="I522" s="1"/>
      <c r="J522" s="1"/>
      <c r="K522" s="1"/>
      <c r="L522" s="1"/>
      <c r="M522" s="1"/>
      <c r="N522" s="1"/>
      <c r="O522" s="1"/>
      <c r="P522" s="1"/>
      <c r="Q522" s="1"/>
      <c r="R522" s="1"/>
      <c r="S522" s="1"/>
      <c r="T522" s="1"/>
      <c r="U522" s="2"/>
      <c r="V522" s="1"/>
      <c r="W522" s="1"/>
      <c r="X522" s="1"/>
      <c r="Y522" s="1"/>
      <c r="Z522" s="1"/>
    </row>
    <row r="523" spans="1:26" ht="24.75" customHeight="1">
      <c r="A523" s="1"/>
      <c r="B523" s="1"/>
      <c r="C523" s="1"/>
      <c r="D523" s="1"/>
      <c r="E523" s="1"/>
      <c r="F523" s="1"/>
      <c r="G523" s="1"/>
      <c r="H523" s="1"/>
      <c r="I523" s="1"/>
      <c r="J523" s="1"/>
      <c r="K523" s="1"/>
      <c r="L523" s="1"/>
      <c r="M523" s="1"/>
      <c r="N523" s="1"/>
      <c r="O523" s="1"/>
      <c r="P523" s="1"/>
      <c r="Q523" s="1"/>
      <c r="R523" s="1"/>
      <c r="S523" s="1"/>
      <c r="T523" s="1"/>
      <c r="U523" s="2"/>
      <c r="V523" s="1"/>
      <c r="W523" s="1"/>
      <c r="X523" s="1"/>
      <c r="Y523" s="1"/>
      <c r="Z523" s="1"/>
    </row>
    <row r="524" spans="1:26" ht="24.75" customHeight="1">
      <c r="A524" s="1"/>
      <c r="B524" s="1"/>
      <c r="C524" s="1"/>
      <c r="D524" s="1"/>
      <c r="E524" s="1"/>
      <c r="F524" s="1"/>
      <c r="G524" s="1"/>
      <c r="H524" s="1"/>
      <c r="I524" s="1"/>
      <c r="J524" s="1"/>
      <c r="K524" s="1"/>
      <c r="L524" s="1"/>
      <c r="M524" s="1"/>
      <c r="N524" s="1"/>
      <c r="O524" s="1"/>
      <c r="P524" s="1"/>
      <c r="Q524" s="1"/>
      <c r="R524" s="1"/>
      <c r="S524" s="1"/>
      <c r="T524" s="1"/>
      <c r="U524" s="2"/>
      <c r="V524" s="1"/>
      <c r="W524" s="1"/>
      <c r="X524" s="1"/>
      <c r="Y524" s="1"/>
      <c r="Z524" s="1"/>
    </row>
    <row r="525" spans="1:26" ht="24.75" customHeight="1">
      <c r="A525" s="1"/>
      <c r="B525" s="1"/>
      <c r="C525" s="1"/>
      <c r="D525" s="1"/>
      <c r="E525" s="1"/>
      <c r="F525" s="1"/>
      <c r="G525" s="1"/>
      <c r="H525" s="1"/>
      <c r="I525" s="1"/>
      <c r="J525" s="1"/>
      <c r="K525" s="1"/>
      <c r="L525" s="1"/>
      <c r="M525" s="1"/>
      <c r="N525" s="1"/>
      <c r="O525" s="1"/>
      <c r="P525" s="1"/>
      <c r="Q525" s="1"/>
      <c r="R525" s="1"/>
      <c r="S525" s="1"/>
      <c r="T525" s="1"/>
      <c r="U525" s="2"/>
      <c r="V525" s="1"/>
      <c r="W525" s="1"/>
      <c r="X525" s="1"/>
      <c r="Y525" s="1"/>
      <c r="Z525" s="1"/>
    </row>
    <row r="526" spans="1:26" ht="24.75" customHeight="1">
      <c r="A526" s="1"/>
      <c r="B526" s="1"/>
      <c r="C526" s="1"/>
      <c r="D526" s="1"/>
      <c r="E526" s="1"/>
      <c r="F526" s="1"/>
      <c r="G526" s="1"/>
      <c r="H526" s="1"/>
      <c r="I526" s="1"/>
      <c r="J526" s="1"/>
      <c r="K526" s="1"/>
      <c r="L526" s="1"/>
      <c r="M526" s="1"/>
      <c r="N526" s="1"/>
      <c r="O526" s="1"/>
      <c r="P526" s="1"/>
      <c r="Q526" s="1"/>
      <c r="R526" s="1"/>
      <c r="S526" s="1"/>
      <c r="T526" s="1"/>
      <c r="U526" s="2"/>
      <c r="V526" s="1"/>
      <c r="W526" s="1"/>
      <c r="X526" s="1"/>
      <c r="Y526" s="1"/>
      <c r="Z526" s="1"/>
    </row>
    <row r="527" spans="1:26" ht="24.75" customHeight="1">
      <c r="A527" s="1"/>
      <c r="B527" s="1"/>
      <c r="C527" s="1"/>
      <c r="D527" s="1"/>
      <c r="E527" s="1"/>
      <c r="F527" s="1"/>
      <c r="G527" s="1"/>
      <c r="H527" s="1"/>
      <c r="I527" s="1"/>
      <c r="J527" s="1"/>
      <c r="K527" s="1"/>
      <c r="L527" s="1"/>
      <c r="M527" s="1"/>
      <c r="N527" s="1"/>
      <c r="O527" s="1"/>
      <c r="P527" s="1"/>
      <c r="Q527" s="1"/>
      <c r="R527" s="1"/>
      <c r="S527" s="1"/>
      <c r="T527" s="1"/>
      <c r="U527" s="2"/>
      <c r="V527" s="1"/>
      <c r="W527" s="1"/>
      <c r="X527" s="1"/>
      <c r="Y527" s="1"/>
      <c r="Z527" s="1"/>
    </row>
    <row r="528" spans="1:26" ht="24.75" customHeight="1">
      <c r="A528" s="1"/>
      <c r="B528" s="1"/>
      <c r="C528" s="1"/>
      <c r="D528" s="1"/>
      <c r="E528" s="1"/>
      <c r="F528" s="1"/>
      <c r="G528" s="1"/>
      <c r="H528" s="1"/>
      <c r="I528" s="1"/>
      <c r="J528" s="1"/>
      <c r="K528" s="1"/>
      <c r="L528" s="1"/>
      <c r="M528" s="1"/>
      <c r="N528" s="1"/>
      <c r="O528" s="1"/>
      <c r="P528" s="1"/>
      <c r="Q528" s="1"/>
      <c r="R528" s="1"/>
      <c r="S528" s="1"/>
      <c r="T528" s="1"/>
      <c r="U528" s="2"/>
      <c r="V528" s="1"/>
      <c r="W528" s="1"/>
      <c r="X528" s="1"/>
      <c r="Y528" s="1"/>
      <c r="Z528" s="1"/>
    </row>
    <row r="529" spans="1:26" ht="24.75" customHeight="1">
      <c r="A529" s="1"/>
      <c r="B529" s="1"/>
      <c r="C529" s="1"/>
      <c r="D529" s="1"/>
      <c r="E529" s="1"/>
      <c r="F529" s="1"/>
      <c r="G529" s="1"/>
      <c r="H529" s="1"/>
      <c r="I529" s="1"/>
      <c r="J529" s="1"/>
      <c r="K529" s="1"/>
      <c r="L529" s="1"/>
      <c r="M529" s="1"/>
      <c r="N529" s="1"/>
      <c r="O529" s="1"/>
      <c r="P529" s="1"/>
      <c r="Q529" s="1"/>
      <c r="R529" s="1"/>
      <c r="S529" s="1"/>
      <c r="T529" s="1"/>
      <c r="U529" s="2"/>
      <c r="V529" s="1"/>
      <c r="W529" s="1"/>
      <c r="X529" s="1"/>
      <c r="Y529" s="1"/>
      <c r="Z529" s="1"/>
    </row>
    <row r="530" spans="1:26" ht="24.75" customHeight="1">
      <c r="A530" s="1"/>
      <c r="B530" s="1"/>
      <c r="C530" s="1"/>
      <c r="D530" s="1"/>
      <c r="E530" s="1"/>
      <c r="F530" s="1"/>
      <c r="G530" s="1"/>
      <c r="H530" s="1"/>
      <c r="I530" s="1"/>
      <c r="J530" s="1"/>
      <c r="K530" s="1"/>
      <c r="L530" s="1"/>
      <c r="M530" s="1"/>
      <c r="N530" s="1"/>
      <c r="O530" s="1"/>
      <c r="P530" s="1"/>
      <c r="Q530" s="1"/>
      <c r="R530" s="1"/>
      <c r="S530" s="1"/>
      <c r="T530" s="1"/>
      <c r="U530" s="2"/>
      <c r="V530" s="1"/>
      <c r="W530" s="1"/>
      <c r="X530" s="1"/>
      <c r="Y530" s="1"/>
      <c r="Z530" s="1"/>
    </row>
    <row r="531" spans="1:26" ht="24.75" customHeight="1">
      <c r="A531" s="1"/>
      <c r="B531" s="1"/>
      <c r="C531" s="1"/>
      <c r="D531" s="1"/>
      <c r="E531" s="1"/>
      <c r="F531" s="1"/>
      <c r="G531" s="1"/>
      <c r="H531" s="1"/>
      <c r="I531" s="1"/>
      <c r="J531" s="1"/>
      <c r="K531" s="1"/>
      <c r="L531" s="1"/>
      <c r="M531" s="1"/>
      <c r="N531" s="1"/>
      <c r="O531" s="1"/>
      <c r="P531" s="1"/>
      <c r="Q531" s="1"/>
      <c r="R531" s="1"/>
      <c r="S531" s="1"/>
      <c r="T531" s="1"/>
      <c r="U531" s="2"/>
      <c r="V531" s="1"/>
      <c r="W531" s="1"/>
      <c r="X531" s="1"/>
      <c r="Y531" s="1"/>
      <c r="Z531" s="1"/>
    </row>
    <row r="532" spans="1:26" ht="24.75" customHeight="1">
      <c r="A532" s="1"/>
      <c r="B532" s="1"/>
      <c r="C532" s="1"/>
      <c r="D532" s="1"/>
      <c r="E532" s="1"/>
      <c r="F532" s="1"/>
      <c r="G532" s="1"/>
      <c r="H532" s="1"/>
      <c r="I532" s="1"/>
      <c r="J532" s="1"/>
      <c r="K532" s="1"/>
      <c r="L532" s="1"/>
      <c r="M532" s="1"/>
      <c r="N532" s="1"/>
      <c r="O532" s="1"/>
      <c r="P532" s="1"/>
      <c r="Q532" s="1"/>
      <c r="R532" s="1"/>
      <c r="S532" s="1"/>
      <c r="T532" s="1"/>
      <c r="U532" s="2"/>
      <c r="V532" s="1"/>
      <c r="W532" s="1"/>
      <c r="X532" s="1"/>
      <c r="Y532" s="1"/>
      <c r="Z532" s="1"/>
    </row>
    <row r="533" spans="1:26" ht="24.75" customHeight="1">
      <c r="A533" s="1"/>
      <c r="B533" s="1"/>
      <c r="C533" s="1"/>
      <c r="D533" s="1"/>
      <c r="E533" s="1"/>
      <c r="F533" s="1"/>
      <c r="G533" s="1"/>
      <c r="H533" s="1"/>
      <c r="I533" s="1"/>
      <c r="J533" s="1"/>
      <c r="K533" s="1"/>
      <c r="L533" s="1"/>
      <c r="M533" s="1"/>
      <c r="N533" s="1"/>
      <c r="O533" s="1"/>
      <c r="P533" s="1"/>
      <c r="Q533" s="1"/>
      <c r="R533" s="1"/>
      <c r="S533" s="1"/>
      <c r="T533" s="1"/>
      <c r="U533" s="2"/>
      <c r="V533" s="1"/>
      <c r="W533" s="1"/>
      <c r="X533" s="1"/>
      <c r="Y533" s="1"/>
      <c r="Z533" s="1"/>
    </row>
    <row r="534" spans="1:26" ht="24.75" customHeight="1">
      <c r="A534" s="1"/>
      <c r="B534" s="1"/>
      <c r="C534" s="1"/>
      <c r="D534" s="1"/>
      <c r="E534" s="1"/>
      <c r="F534" s="1"/>
      <c r="G534" s="1"/>
      <c r="H534" s="1"/>
      <c r="I534" s="1"/>
      <c r="J534" s="1"/>
      <c r="K534" s="1"/>
      <c r="L534" s="1"/>
      <c r="M534" s="1"/>
      <c r="N534" s="1"/>
      <c r="O534" s="1"/>
      <c r="P534" s="1"/>
      <c r="Q534" s="1"/>
      <c r="R534" s="1"/>
      <c r="S534" s="1"/>
      <c r="T534" s="1"/>
      <c r="U534" s="2"/>
      <c r="V534" s="1"/>
      <c r="W534" s="1"/>
      <c r="X534" s="1"/>
      <c r="Y534" s="1"/>
      <c r="Z534" s="1"/>
    </row>
    <row r="535" spans="1:26" ht="24.75" customHeight="1">
      <c r="A535" s="1"/>
      <c r="B535" s="1"/>
      <c r="C535" s="1"/>
      <c r="D535" s="1"/>
      <c r="E535" s="1"/>
      <c r="F535" s="1"/>
      <c r="G535" s="1"/>
      <c r="H535" s="1"/>
      <c r="I535" s="1"/>
      <c r="J535" s="1"/>
      <c r="K535" s="1"/>
      <c r="L535" s="1"/>
      <c r="M535" s="1"/>
      <c r="N535" s="1"/>
      <c r="O535" s="1"/>
      <c r="P535" s="1"/>
      <c r="Q535" s="1"/>
      <c r="R535" s="1"/>
      <c r="S535" s="1"/>
      <c r="T535" s="1"/>
      <c r="U535" s="2"/>
      <c r="V535" s="1"/>
      <c r="W535" s="1"/>
      <c r="X535" s="1"/>
      <c r="Y535" s="1"/>
      <c r="Z535" s="1"/>
    </row>
    <row r="536" spans="1:26" ht="24.75" customHeight="1">
      <c r="A536" s="1"/>
      <c r="B536" s="1"/>
      <c r="C536" s="1"/>
      <c r="D536" s="1"/>
      <c r="E536" s="1"/>
      <c r="F536" s="1"/>
      <c r="G536" s="1"/>
      <c r="H536" s="1"/>
      <c r="I536" s="1"/>
      <c r="J536" s="1"/>
      <c r="K536" s="1"/>
      <c r="L536" s="1"/>
      <c r="M536" s="1"/>
      <c r="N536" s="1"/>
      <c r="O536" s="1"/>
      <c r="P536" s="1"/>
      <c r="Q536" s="1"/>
      <c r="R536" s="1"/>
      <c r="S536" s="1"/>
      <c r="T536" s="1"/>
      <c r="U536" s="2"/>
      <c r="V536" s="1"/>
      <c r="W536" s="1"/>
      <c r="X536" s="1"/>
      <c r="Y536" s="1"/>
      <c r="Z536" s="1"/>
    </row>
    <row r="537" spans="1:26" ht="24.75" customHeight="1">
      <c r="A537" s="1"/>
      <c r="B537" s="1"/>
      <c r="C537" s="1"/>
      <c r="D537" s="1"/>
      <c r="E537" s="1"/>
      <c r="F537" s="1"/>
      <c r="G537" s="1"/>
      <c r="H537" s="1"/>
      <c r="I537" s="1"/>
      <c r="J537" s="1"/>
      <c r="K537" s="1"/>
      <c r="L537" s="1"/>
      <c r="M537" s="1"/>
      <c r="N537" s="1"/>
      <c r="O537" s="1"/>
      <c r="P537" s="1"/>
      <c r="Q537" s="1"/>
      <c r="R537" s="1"/>
      <c r="S537" s="1"/>
      <c r="T537" s="1"/>
      <c r="U537" s="2"/>
      <c r="V537" s="1"/>
      <c r="W537" s="1"/>
      <c r="X537" s="1"/>
      <c r="Y537" s="1"/>
      <c r="Z537" s="1"/>
    </row>
    <row r="538" spans="1:26" ht="24.75" customHeight="1">
      <c r="A538" s="1"/>
      <c r="B538" s="1"/>
      <c r="C538" s="1"/>
      <c r="D538" s="1"/>
      <c r="E538" s="1"/>
      <c r="F538" s="1"/>
      <c r="G538" s="1"/>
      <c r="H538" s="1"/>
      <c r="I538" s="1"/>
      <c r="J538" s="1"/>
      <c r="K538" s="1"/>
      <c r="L538" s="1"/>
      <c r="M538" s="1"/>
      <c r="N538" s="1"/>
      <c r="O538" s="1"/>
      <c r="P538" s="1"/>
      <c r="Q538" s="1"/>
      <c r="R538" s="1"/>
      <c r="S538" s="1"/>
      <c r="T538" s="1"/>
      <c r="U538" s="2"/>
      <c r="V538" s="1"/>
      <c r="W538" s="1"/>
      <c r="X538" s="1"/>
      <c r="Y538" s="1"/>
      <c r="Z538" s="1"/>
    </row>
    <row r="539" spans="1:26" ht="24.75" customHeight="1">
      <c r="A539" s="1"/>
      <c r="B539" s="1"/>
      <c r="C539" s="1"/>
      <c r="D539" s="1"/>
      <c r="E539" s="1"/>
      <c r="F539" s="1"/>
      <c r="G539" s="1"/>
      <c r="H539" s="1"/>
      <c r="I539" s="1"/>
      <c r="J539" s="1"/>
      <c r="K539" s="1"/>
      <c r="L539" s="1"/>
      <c r="M539" s="1"/>
      <c r="N539" s="1"/>
      <c r="O539" s="1"/>
      <c r="P539" s="1"/>
      <c r="Q539" s="1"/>
      <c r="R539" s="1"/>
      <c r="S539" s="1"/>
      <c r="T539" s="1"/>
      <c r="U539" s="2"/>
      <c r="V539" s="1"/>
      <c r="W539" s="1"/>
      <c r="X539" s="1"/>
      <c r="Y539" s="1"/>
      <c r="Z539" s="1"/>
    </row>
    <row r="540" spans="1:26" ht="24.75" customHeight="1">
      <c r="A540" s="1"/>
      <c r="B540" s="1"/>
      <c r="C540" s="1"/>
      <c r="D540" s="1"/>
      <c r="E540" s="1"/>
      <c r="F540" s="1"/>
      <c r="G540" s="1"/>
      <c r="H540" s="1"/>
      <c r="I540" s="1"/>
      <c r="J540" s="1"/>
      <c r="K540" s="1"/>
      <c r="L540" s="1"/>
      <c r="M540" s="1"/>
      <c r="N540" s="1"/>
      <c r="O540" s="1"/>
      <c r="P540" s="1"/>
      <c r="Q540" s="1"/>
      <c r="R540" s="1"/>
      <c r="S540" s="1"/>
      <c r="T540" s="1"/>
      <c r="U540" s="2"/>
      <c r="V540" s="1"/>
      <c r="W540" s="1"/>
      <c r="X540" s="1"/>
      <c r="Y540" s="1"/>
      <c r="Z540" s="1"/>
    </row>
    <row r="541" spans="1:26" ht="24.75" customHeight="1">
      <c r="A541" s="1"/>
      <c r="B541" s="1"/>
      <c r="C541" s="1"/>
      <c r="D541" s="1"/>
      <c r="E541" s="1"/>
      <c r="F541" s="1"/>
      <c r="G541" s="1"/>
      <c r="H541" s="1"/>
      <c r="I541" s="1"/>
      <c r="J541" s="1"/>
      <c r="K541" s="1"/>
      <c r="L541" s="1"/>
      <c r="M541" s="1"/>
      <c r="N541" s="1"/>
      <c r="O541" s="1"/>
      <c r="P541" s="1"/>
      <c r="Q541" s="1"/>
      <c r="R541" s="1"/>
      <c r="S541" s="1"/>
      <c r="T541" s="1"/>
      <c r="U541" s="2"/>
      <c r="V541" s="1"/>
      <c r="W541" s="1"/>
      <c r="X541" s="1"/>
      <c r="Y541" s="1"/>
      <c r="Z541" s="1"/>
    </row>
    <row r="542" spans="1:26" ht="24.75" customHeight="1">
      <c r="A542" s="1"/>
      <c r="B542" s="1"/>
      <c r="C542" s="1"/>
      <c r="D542" s="1"/>
      <c r="E542" s="1"/>
      <c r="F542" s="1"/>
      <c r="G542" s="1"/>
      <c r="H542" s="1"/>
      <c r="I542" s="1"/>
      <c r="J542" s="1"/>
      <c r="K542" s="1"/>
      <c r="L542" s="1"/>
      <c r="M542" s="1"/>
      <c r="N542" s="1"/>
      <c r="O542" s="1"/>
      <c r="P542" s="1"/>
      <c r="Q542" s="1"/>
      <c r="R542" s="1"/>
      <c r="S542" s="1"/>
      <c r="T542" s="1"/>
      <c r="U542" s="2"/>
      <c r="V542" s="1"/>
      <c r="W542" s="1"/>
      <c r="X542" s="1"/>
      <c r="Y542" s="1"/>
      <c r="Z542" s="1"/>
    </row>
    <row r="543" spans="1:26" ht="24.75" customHeight="1">
      <c r="A543" s="1"/>
      <c r="B543" s="1"/>
      <c r="C543" s="1"/>
      <c r="D543" s="1"/>
      <c r="E543" s="1"/>
      <c r="F543" s="1"/>
      <c r="G543" s="1"/>
      <c r="H543" s="1"/>
      <c r="I543" s="1"/>
      <c r="J543" s="1"/>
      <c r="K543" s="1"/>
      <c r="L543" s="1"/>
      <c r="M543" s="1"/>
      <c r="N543" s="1"/>
      <c r="O543" s="1"/>
      <c r="P543" s="1"/>
      <c r="Q543" s="1"/>
      <c r="R543" s="1"/>
      <c r="S543" s="1"/>
      <c r="T543" s="1"/>
      <c r="U543" s="2"/>
      <c r="V543" s="1"/>
      <c r="W543" s="1"/>
      <c r="X543" s="1"/>
      <c r="Y543" s="1"/>
      <c r="Z543" s="1"/>
    </row>
    <row r="544" spans="1:26" ht="24.75" customHeight="1">
      <c r="A544" s="1"/>
      <c r="B544" s="1"/>
      <c r="C544" s="1"/>
      <c r="D544" s="1"/>
      <c r="E544" s="1"/>
      <c r="F544" s="1"/>
      <c r="G544" s="1"/>
      <c r="H544" s="1"/>
      <c r="I544" s="1"/>
      <c r="J544" s="1"/>
      <c r="K544" s="1"/>
      <c r="L544" s="1"/>
      <c r="M544" s="1"/>
      <c r="N544" s="1"/>
      <c r="O544" s="1"/>
      <c r="P544" s="1"/>
      <c r="Q544" s="1"/>
      <c r="R544" s="1"/>
      <c r="S544" s="1"/>
      <c r="T544" s="1"/>
      <c r="U544" s="2"/>
      <c r="V544" s="1"/>
      <c r="W544" s="1"/>
      <c r="X544" s="1"/>
      <c r="Y544" s="1"/>
      <c r="Z544" s="1"/>
    </row>
    <row r="545" spans="1:26" ht="24.75" customHeight="1">
      <c r="A545" s="1"/>
      <c r="B545" s="1"/>
      <c r="C545" s="1"/>
      <c r="D545" s="1"/>
      <c r="E545" s="1"/>
      <c r="F545" s="1"/>
      <c r="G545" s="1"/>
      <c r="H545" s="1"/>
      <c r="I545" s="1"/>
      <c r="J545" s="1"/>
      <c r="K545" s="1"/>
      <c r="L545" s="1"/>
      <c r="M545" s="1"/>
      <c r="N545" s="1"/>
      <c r="O545" s="1"/>
      <c r="P545" s="1"/>
      <c r="Q545" s="1"/>
      <c r="R545" s="1"/>
      <c r="S545" s="1"/>
      <c r="T545" s="1"/>
      <c r="U545" s="2"/>
      <c r="V545" s="1"/>
      <c r="W545" s="1"/>
      <c r="X545" s="1"/>
      <c r="Y545" s="1"/>
      <c r="Z545" s="1"/>
    </row>
    <row r="546" spans="1:26" ht="24.75" customHeight="1">
      <c r="A546" s="1"/>
      <c r="B546" s="1"/>
      <c r="C546" s="1"/>
      <c r="D546" s="1"/>
      <c r="E546" s="1"/>
      <c r="F546" s="1"/>
      <c r="G546" s="1"/>
      <c r="H546" s="1"/>
      <c r="I546" s="1"/>
      <c r="J546" s="1"/>
      <c r="K546" s="1"/>
      <c r="L546" s="1"/>
      <c r="M546" s="1"/>
      <c r="N546" s="1"/>
      <c r="O546" s="1"/>
      <c r="P546" s="1"/>
      <c r="Q546" s="1"/>
      <c r="R546" s="1"/>
      <c r="S546" s="1"/>
      <c r="T546" s="1"/>
      <c r="U546" s="2"/>
      <c r="V546" s="1"/>
      <c r="W546" s="1"/>
      <c r="X546" s="1"/>
      <c r="Y546" s="1"/>
      <c r="Z546" s="1"/>
    </row>
    <row r="547" spans="1:26" ht="24.75" customHeight="1">
      <c r="A547" s="1"/>
      <c r="B547" s="1"/>
      <c r="C547" s="1"/>
      <c r="D547" s="1"/>
      <c r="E547" s="1"/>
      <c r="F547" s="1"/>
      <c r="G547" s="1"/>
      <c r="H547" s="1"/>
      <c r="I547" s="1"/>
      <c r="J547" s="1"/>
      <c r="K547" s="1"/>
      <c r="L547" s="1"/>
      <c r="M547" s="1"/>
      <c r="N547" s="1"/>
      <c r="O547" s="1"/>
      <c r="P547" s="1"/>
      <c r="Q547" s="1"/>
      <c r="R547" s="1"/>
      <c r="S547" s="1"/>
      <c r="T547" s="1"/>
      <c r="U547" s="2"/>
      <c r="V547" s="1"/>
      <c r="W547" s="1"/>
      <c r="X547" s="1"/>
      <c r="Y547" s="1"/>
      <c r="Z547" s="1"/>
    </row>
    <row r="548" spans="1:26" ht="24.75" customHeight="1">
      <c r="A548" s="1"/>
      <c r="B548" s="1"/>
      <c r="C548" s="1"/>
      <c r="D548" s="1"/>
      <c r="E548" s="1"/>
      <c r="F548" s="1"/>
      <c r="G548" s="1"/>
      <c r="H548" s="1"/>
      <c r="I548" s="1"/>
      <c r="J548" s="1"/>
      <c r="K548" s="1"/>
      <c r="L548" s="1"/>
      <c r="M548" s="1"/>
      <c r="N548" s="1"/>
      <c r="O548" s="1"/>
      <c r="P548" s="1"/>
      <c r="Q548" s="1"/>
      <c r="R548" s="1"/>
      <c r="S548" s="1"/>
      <c r="T548" s="1"/>
      <c r="U548" s="2"/>
      <c r="V548" s="1"/>
      <c r="W548" s="1"/>
      <c r="X548" s="1"/>
      <c r="Y548" s="1"/>
      <c r="Z548" s="1"/>
    </row>
    <row r="549" spans="1:26" ht="24.75" customHeight="1">
      <c r="A549" s="1"/>
      <c r="B549" s="1"/>
      <c r="C549" s="1"/>
      <c r="D549" s="1"/>
      <c r="E549" s="1"/>
      <c r="F549" s="1"/>
      <c r="G549" s="1"/>
      <c r="H549" s="1"/>
      <c r="I549" s="1"/>
      <c r="J549" s="1"/>
      <c r="K549" s="1"/>
      <c r="L549" s="1"/>
      <c r="M549" s="1"/>
      <c r="N549" s="1"/>
      <c r="O549" s="1"/>
      <c r="P549" s="1"/>
      <c r="Q549" s="1"/>
      <c r="R549" s="1"/>
      <c r="S549" s="1"/>
      <c r="T549" s="1"/>
      <c r="U549" s="2"/>
      <c r="V549" s="1"/>
      <c r="W549" s="1"/>
      <c r="X549" s="1"/>
      <c r="Y549" s="1"/>
      <c r="Z549" s="1"/>
    </row>
    <row r="550" spans="1:26" ht="24.75" customHeight="1">
      <c r="A550" s="1"/>
      <c r="B550" s="1"/>
      <c r="C550" s="1"/>
      <c r="D550" s="1"/>
      <c r="E550" s="1"/>
      <c r="F550" s="1"/>
      <c r="G550" s="1"/>
      <c r="H550" s="1"/>
      <c r="I550" s="1"/>
      <c r="J550" s="1"/>
      <c r="K550" s="1"/>
      <c r="L550" s="1"/>
      <c r="M550" s="1"/>
      <c r="N550" s="1"/>
      <c r="O550" s="1"/>
      <c r="P550" s="1"/>
      <c r="Q550" s="1"/>
      <c r="R550" s="1"/>
      <c r="S550" s="1"/>
      <c r="T550" s="1"/>
      <c r="U550" s="2"/>
      <c r="V550" s="1"/>
      <c r="W550" s="1"/>
      <c r="X550" s="1"/>
      <c r="Y550" s="1"/>
      <c r="Z550" s="1"/>
    </row>
    <row r="551" spans="1:26" ht="24.75" customHeight="1">
      <c r="A551" s="1"/>
      <c r="B551" s="1"/>
      <c r="C551" s="1"/>
      <c r="D551" s="1"/>
      <c r="E551" s="1"/>
      <c r="F551" s="1"/>
      <c r="G551" s="1"/>
      <c r="H551" s="1"/>
      <c r="I551" s="1"/>
      <c r="J551" s="1"/>
      <c r="K551" s="1"/>
      <c r="L551" s="1"/>
      <c r="M551" s="1"/>
      <c r="N551" s="1"/>
      <c r="O551" s="1"/>
      <c r="P551" s="1"/>
      <c r="Q551" s="1"/>
      <c r="R551" s="1"/>
      <c r="S551" s="1"/>
      <c r="T551" s="1"/>
      <c r="U551" s="2"/>
      <c r="V551" s="1"/>
      <c r="W551" s="1"/>
      <c r="X551" s="1"/>
      <c r="Y551" s="1"/>
      <c r="Z551" s="1"/>
    </row>
    <row r="552" spans="1:26" ht="24.75" customHeight="1">
      <c r="A552" s="1"/>
      <c r="B552" s="1"/>
      <c r="C552" s="1"/>
      <c r="D552" s="1"/>
      <c r="E552" s="1"/>
      <c r="F552" s="1"/>
      <c r="G552" s="1"/>
      <c r="H552" s="1"/>
      <c r="I552" s="1"/>
      <c r="J552" s="1"/>
      <c r="K552" s="1"/>
      <c r="L552" s="1"/>
      <c r="M552" s="1"/>
      <c r="N552" s="1"/>
      <c r="O552" s="1"/>
      <c r="P552" s="1"/>
      <c r="Q552" s="1"/>
      <c r="R552" s="1"/>
      <c r="S552" s="1"/>
      <c r="T552" s="1"/>
      <c r="U552" s="2"/>
      <c r="V552" s="1"/>
      <c r="W552" s="1"/>
      <c r="X552" s="1"/>
      <c r="Y552" s="1"/>
      <c r="Z552" s="1"/>
    </row>
    <row r="553" spans="1:26" ht="24.75" customHeight="1">
      <c r="A553" s="1"/>
      <c r="B553" s="1"/>
      <c r="C553" s="1"/>
      <c r="D553" s="1"/>
      <c r="E553" s="1"/>
      <c r="F553" s="1"/>
      <c r="G553" s="1"/>
      <c r="H553" s="1"/>
      <c r="I553" s="1"/>
      <c r="J553" s="1"/>
      <c r="K553" s="1"/>
      <c r="L553" s="1"/>
      <c r="M553" s="1"/>
      <c r="N553" s="1"/>
      <c r="O553" s="1"/>
      <c r="P553" s="1"/>
      <c r="Q553" s="1"/>
      <c r="R553" s="1"/>
      <c r="S553" s="1"/>
      <c r="T553" s="1"/>
      <c r="U553" s="2"/>
      <c r="V553" s="1"/>
      <c r="W553" s="1"/>
      <c r="X553" s="1"/>
      <c r="Y553" s="1"/>
      <c r="Z553" s="1"/>
    </row>
    <row r="554" spans="1:26" ht="24.75" customHeight="1">
      <c r="A554" s="1"/>
      <c r="B554" s="1"/>
      <c r="C554" s="1"/>
      <c r="D554" s="1"/>
      <c r="E554" s="1"/>
      <c r="F554" s="1"/>
      <c r="G554" s="1"/>
      <c r="H554" s="1"/>
      <c r="I554" s="1"/>
      <c r="J554" s="1"/>
      <c r="K554" s="1"/>
      <c r="L554" s="1"/>
      <c r="M554" s="1"/>
      <c r="N554" s="1"/>
      <c r="O554" s="1"/>
      <c r="P554" s="1"/>
      <c r="Q554" s="1"/>
      <c r="R554" s="1"/>
      <c r="S554" s="1"/>
      <c r="T554" s="1"/>
      <c r="U554" s="2"/>
      <c r="V554" s="1"/>
      <c r="W554" s="1"/>
      <c r="X554" s="1"/>
      <c r="Y554" s="1"/>
      <c r="Z554" s="1"/>
    </row>
    <row r="555" spans="1:26" ht="24.75" customHeight="1">
      <c r="A555" s="1"/>
      <c r="B555" s="1"/>
      <c r="C555" s="1"/>
      <c r="D555" s="1"/>
      <c r="E555" s="1"/>
      <c r="F555" s="1"/>
      <c r="G555" s="1"/>
      <c r="H555" s="1"/>
      <c r="I555" s="1"/>
      <c r="J555" s="1"/>
      <c r="K555" s="1"/>
      <c r="L555" s="1"/>
      <c r="M555" s="1"/>
      <c r="N555" s="1"/>
      <c r="O555" s="1"/>
      <c r="P555" s="1"/>
      <c r="Q555" s="1"/>
      <c r="R555" s="1"/>
      <c r="S555" s="1"/>
      <c r="T555" s="1"/>
      <c r="U555" s="2"/>
      <c r="V555" s="1"/>
      <c r="W555" s="1"/>
      <c r="X555" s="1"/>
      <c r="Y555" s="1"/>
      <c r="Z555" s="1"/>
    </row>
    <row r="556" spans="1:26" ht="24.75" customHeight="1">
      <c r="A556" s="1"/>
      <c r="B556" s="1"/>
      <c r="C556" s="1"/>
      <c r="D556" s="1"/>
      <c r="E556" s="1"/>
      <c r="F556" s="1"/>
      <c r="G556" s="1"/>
      <c r="H556" s="1"/>
      <c r="I556" s="1"/>
      <c r="J556" s="1"/>
      <c r="K556" s="1"/>
      <c r="L556" s="1"/>
      <c r="M556" s="1"/>
      <c r="N556" s="1"/>
      <c r="O556" s="1"/>
      <c r="P556" s="1"/>
      <c r="Q556" s="1"/>
      <c r="R556" s="1"/>
      <c r="S556" s="1"/>
      <c r="T556" s="1"/>
      <c r="U556" s="2"/>
      <c r="V556" s="1"/>
      <c r="W556" s="1"/>
      <c r="X556" s="1"/>
      <c r="Y556" s="1"/>
      <c r="Z556" s="1"/>
    </row>
    <row r="557" spans="1:26" ht="24.75" customHeight="1">
      <c r="A557" s="1"/>
      <c r="B557" s="1"/>
      <c r="C557" s="1"/>
      <c r="D557" s="1"/>
      <c r="E557" s="1"/>
      <c r="F557" s="1"/>
      <c r="G557" s="1"/>
      <c r="H557" s="1"/>
      <c r="I557" s="1"/>
      <c r="J557" s="1"/>
      <c r="K557" s="1"/>
      <c r="L557" s="1"/>
      <c r="M557" s="1"/>
      <c r="N557" s="1"/>
      <c r="O557" s="1"/>
      <c r="P557" s="1"/>
      <c r="Q557" s="1"/>
      <c r="R557" s="1"/>
      <c r="S557" s="1"/>
      <c r="T557" s="1"/>
      <c r="U557" s="2"/>
      <c r="V557" s="1"/>
      <c r="W557" s="1"/>
      <c r="X557" s="1"/>
      <c r="Y557" s="1"/>
      <c r="Z557" s="1"/>
    </row>
    <row r="558" spans="1:26" ht="24.75" customHeight="1">
      <c r="A558" s="1"/>
      <c r="B558" s="1"/>
      <c r="C558" s="1"/>
      <c r="D558" s="1"/>
      <c r="E558" s="1"/>
      <c r="F558" s="1"/>
      <c r="G558" s="1"/>
      <c r="H558" s="1"/>
      <c r="I558" s="1"/>
      <c r="J558" s="1"/>
      <c r="K558" s="1"/>
      <c r="L558" s="1"/>
      <c r="M558" s="1"/>
      <c r="N558" s="1"/>
      <c r="O558" s="1"/>
      <c r="P558" s="1"/>
      <c r="Q558" s="1"/>
      <c r="R558" s="1"/>
      <c r="S558" s="1"/>
      <c r="T558" s="1"/>
      <c r="U558" s="2"/>
      <c r="V558" s="1"/>
      <c r="W558" s="1"/>
      <c r="X558" s="1"/>
      <c r="Y558" s="1"/>
      <c r="Z558" s="1"/>
    </row>
    <row r="559" spans="1:26" ht="24.75" customHeight="1">
      <c r="A559" s="1"/>
      <c r="B559" s="1"/>
      <c r="C559" s="1"/>
      <c r="D559" s="1"/>
      <c r="E559" s="1"/>
      <c r="F559" s="1"/>
      <c r="G559" s="1"/>
      <c r="H559" s="1"/>
      <c r="I559" s="1"/>
      <c r="J559" s="1"/>
      <c r="K559" s="1"/>
      <c r="L559" s="1"/>
      <c r="M559" s="1"/>
      <c r="N559" s="1"/>
      <c r="O559" s="1"/>
      <c r="P559" s="1"/>
      <c r="Q559" s="1"/>
      <c r="R559" s="1"/>
      <c r="S559" s="1"/>
      <c r="T559" s="1"/>
      <c r="U559" s="2"/>
      <c r="V559" s="1"/>
      <c r="W559" s="1"/>
      <c r="X559" s="1"/>
      <c r="Y559" s="1"/>
      <c r="Z559" s="1"/>
    </row>
    <row r="560" spans="1:26" ht="24.75" customHeight="1">
      <c r="A560" s="1"/>
      <c r="B560" s="1"/>
      <c r="C560" s="1"/>
      <c r="D560" s="1"/>
      <c r="E560" s="1"/>
      <c r="F560" s="1"/>
      <c r="G560" s="1"/>
      <c r="H560" s="1"/>
      <c r="I560" s="1"/>
      <c r="J560" s="1"/>
      <c r="K560" s="1"/>
      <c r="L560" s="1"/>
      <c r="M560" s="1"/>
      <c r="N560" s="1"/>
      <c r="O560" s="1"/>
      <c r="P560" s="1"/>
      <c r="Q560" s="1"/>
      <c r="R560" s="1"/>
      <c r="S560" s="1"/>
      <c r="T560" s="1"/>
      <c r="U560" s="2"/>
      <c r="V560" s="1"/>
      <c r="W560" s="1"/>
      <c r="X560" s="1"/>
      <c r="Y560" s="1"/>
      <c r="Z560" s="1"/>
    </row>
    <row r="561" spans="1:26" ht="24.75" customHeight="1">
      <c r="A561" s="1"/>
      <c r="B561" s="1"/>
      <c r="C561" s="1"/>
      <c r="D561" s="1"/>
      <c r="E561" s="1"/>
      <c r="F561" s="1"/>
      <c r="G561" s="1"/>
      <c r="H561" s="1"/>
      <c r="I561" s="1"/>
      <c r="J561" s="1"/>
      <c r="K561" s="1"/>
      <c r="L561" s="1"/>
      <c r="M561" s="1"/>
      <c r="N561" s="1"/>
      <c r="O561" s="1"/>
      <c r="P561" s="1"/>
      <c r="Q561" s="1"/>
      <c r="R561" s="1"/>
      <c r="S561" s="1"/>
      <c r="T561" s="1"/>
      <c r="U561" s="2"/>
      <c r="V561" s="1"/>
      <c r="W561" s="1"/>
      <c r="X561" s="1"/>
      <c r="Y561" s="1"/>
      <c r="Z561" s="1"/>
    </row>
    <row r="562" spans="1:26" ht="24.75" customHeight="1">
      <c r="A562" s="1"/>
      <c r="B562" s="1"/>
      <c r="C562" s="1"/>
      <c r="D562" s="1"/>
      <c r="E562" s="1"/>
      <c r="F562" s="1"/>
      <c r="G562" s="1"/>
      <c r="H562" s="1"/>
      <c r="I562" s="1"/>
      <c r="J562" s="1"/>
      <c r="K562" s="1"/>
      <c r="L562" s="1"/>
      <c r="M562" s="1"/>
      <c r="N562" s="1"/>
      <c r="O562" s="1"/>
      <c r="P562" s="1"/>
      <c r="Q562" s="1"/>
      <c r="R562" s="1"/>
      <c r="S562" s="1"/>
      <c r="T562" s="1"/>
      <c r="U562" s="2"/>
      <c r="V562" s="1"/>
      <c r="W562" s="1"/>
      <c r="X562" s="1"/>
      <c r="Y562" s="1"/>
      <c r="Z562" s="1"/>
    </row>
    <row r="563" spans="1:26" ht="24.75" customHeight="1">
      <c r="A563" s="1"/>
      <c r="B563" s="1"/>
      <c r="C563" s="1"/>
      <c r="D563" s="1"/>
      <c r="E563" s="1"/>
      <c r="F563" s="1"/>
      <c r="G563" s="1"/>
      <c r="H563" s="1"/>
      <c r="I563" s="1"/>
      <c r="J563" s="1"/>
      <c r="K563" s="1"/>
      <c r="L563" s="1"/>
      <c r="M563" s="1"/>
      <c r="N563" s="1"/>
      <c r="O563" s="1"/>
      <c r="P563" s="1"/>
      <c r="Q563" s="1"/>
      <c r="R563" s="1"/>
      <c r="S563" s="1"/>
      <c r="T563" s="1"/>
      <c r="U563" s="2"/>
      <c r="V563" s="1"/>
      <c r="W563" s="1"/>
      <c r="X563" s="1"/>
      <c r="Y563" s="1"/>
      <c r="Z563" s="1"/>
    </row>
    <row r="564" spans="1:26" ht="24.75" customHeight="1">
      <c r="A564" s="1"/>
      <c r="B564" s="1"/>
      <c r="C564" s="1"/>
      <c r="D564" s="1"/>
      <c r="E564" s="1"/>
      <c r="F564" s="1"/>
      <c r="G564" s="1"/>
      <c r="H564" s="1"/>
      <c r="I564" s="1"/>
      <c r="J564" s="1"/>
      <c r="K564" s="1"/>
      <c r="L564" s="1"/>
      <c r="M564" s="1"/>
      <c r="N564" s="1"/>
      <c r="O564" s="1"/>
      <c r="P564" s="1"/>
      <c r="Q564" s="1"/>
      <c r="R564" s="1"/>
      <c r="S564" s="1"/>
      <c r="T564" s="1"/>
      <c r="U564" s="2"/>
      <c r="V564" s="1"/>
      <c r="W564" s="1"/>
      <c r="X564" s="1"/>
      <c r="Y564" s="1"/>
      <c r="Z564" s="1"/>
    </row>
    <row r="565" spans="1:26" ht="24.75" customHeight="1">
      <c r="A565" s="1"/>
      <c r="B565" s="1"/>
      <c r="C565" s="1"/>
      <c r="D565" s="1"/>
      <c r="E565" s="1"/>
      <c r="F565" s="1"/>
      <c r="G565" s="1"/>
      <c r="H565" s="1"/>
      <c r="I565" s="1"/>
      <c r="J565" s="1"/>
      <c r="K565" s="1"/>
      <c r="L565" s="1"/>
      <c r="M565" s="1"/>
      <c r="N565" s="1"/>
      <c r="O565" s="1"/>
      <c r="P565" s="1"/>
      <c r="Q565" s="1"/>
      <c r="R565" s="1"/>
      <c r="S565" s="1"/>
      <c r="T565" s="1"/>
      <c r="U565" s="2"/>
      <c r="V565" s="1"/>
      <c r="W565" s="1"/>
      <c r="X565" s="1"/>
      <c r="Y565" s="1"/>
      <c r="Z565" s="1"/>
    </row>
    <row r="566" spans="1:26" ht="24.75" customHeight="1">
      <c r="A566" s="1"/>
      <c r="B566" s="1"/>
      <c r="C566" s="1"/>
      <c r="D566" s="1"/>
      <c r="E566" s="1"/>
      <c r="F566" s="1"/>
      <c r="G566" s="1"/>
      <c r="H566" s="1"/>
      <c r="I566" s="1"/>
      <c r="J566" s="1"/>
      <c r="K566" s="1"/>
      <c r="L566" s="1"/>
      <c r="M566" s="1"/>
      <c r="N566" s="1"/>
      <c r="O566" s="1"/>
      <c r="P566" s="1"/>
      <c r="Q566" s="1"/>
      <c r="R566" s="1"/>
      <c r="S566" s="1"/>
      <c r="T566" s="1"/>
      <c r="U566" s="2"/>
      <c r="V566" s="1"/>
      <c r="W566" s="1"/>
      <c r="X566" s="1"/>
      <c r="Y566" s="1"/>
      <c r="Z566" s="1"/>
    </row>
    <row r="567" spans="1:26" ht="24.75" customHeight="1">
      <c r="A567" s="1"/>
      <c r="B567" s="1"/>
      <c r="C567" s="1"/>
      <c r="D567" s="1"/>
      <c r="E567" s="1"/>
      <c r="F567" s="1"/>
      <c r="G567" s="1"/>
      <c r="H567" s="1"/>
      <c r="I567" s="1"/>
      <c r="J567" s="1"/>
      <c r="K567" s="1"/>
      <c r="L567" s="1"/>
      <c r="M567" s="1"/>
      <c r="N567" s="1"/>
      <c r="O567" s="1"/>
      <c r="P567" s="1"/>
      <c r="Q567" s="1"/>
      <c r="R567" s="1"/>
      <c r="S567" s="1"/>
      <c r="T567" s="1"/>
      <c r="U567" s="2"/>
      <c r="V567" s="1"/>
      <c r="W567" s="1"/>
      <c r="X567" s="1"/>
      <c r="Y567" s="1"/>
      <c r="Z567" s="1"/>
    </row>
    <row r="568" spans="1:26" ht="24.75" customHeight="1">
      <c r="A568" s="1"/>
      <c r="B568" s="1"/>
      <c r="C568" s="1"/>
      <c r="D568" s="1"/>
      <c r="E568" s="1"/>
      <c r="F568" s="1"/>
      <c r="G568" s="1"/>
      <c r="H568" s="1"/>
      <c r="I568" s="1"/>
      <c r="J568" s="1"/>
      <c r="K568" s="1"/>
      <c r="L568" s="1"/>
      <c r="M568" s="1"/>
      <c r="N568" s="1"/>
      <c r="O568" s="1"/>
      <c r="P568" s="1"/>
      <c r="Q568" s="1"/>
      <c r="R568" s="1"/>
      <c r="S568" s="1"/>
      <c r="T568" s="1"/>
      <c r="U568" s="2"/>
      <c r="V568" s="1"/>
      <c r="W568" s="1"/>
      <c r="X568" s="1"/>
      <c r="Y568" s="1"/>
      <c r="Z568" s="1"/>
    </row>
    <row r="569" spans="1:26" ht="24.75" customHeight="1">
      <c r="A569" s="1"/>
      <c r="B569" s="1"/>
      <c r="C569" s="1"/>
      <c r="D569" s="1"/>
      <c r="E569" s="1"/>
      <c r="F569" s="1"/>
      <c r="G569" s="1"/>
      <c r="H569" s="1"/>
      <c r="I569" s="1"/>
      <c r="J569" s="1"/>
      <c r="K569" s="1"/>
      <c r="L569" s="1"/>
      <c r="M569" s="1"/>
      <c r="N569" s="1"/>
      <c r="O569" s="1"/>
      <c r="P569" s="1"/>
      <c r="Q569" s="1"/>
      <c r="R569" s="1"/>
      <c r="S569" s="1"/>
      <c r="T569" s="1"/>
      <c r="U569" s="2"/>
      <c r="V569" s="1"/>
      <c r="W569" s="1"/>
      <c r="X569" s="1"/>
      <c r="Y569" s="1"/>
      <c r="Z569" s="1"/>
    </row>
    <row r="570" spans="1:26" ht="24.75" customHeight="1">
      <c r="A570" s="1"/>
      <c r="B570" s="1"/>
      <c r="C570" s="1"/>
      <c r="D570" s="1"/>
      <c r="E570" s="1"/>
      <c r="F570" s="1"/>
      <c r="G570" s="1"/>
      <c r="H570" s="1"/>
      <c r="I570" s="1"/>
      <c r="J570" s="1"/>
      <c r="K570" s="1"/>
      <c r="L570" s="1"/>
      <c r="M570" s="1"/>
      <c r="N570" s="1"/>
      <c r="O570" s="1"/>
      <c r="P570" s="1"/>
      <c r="Q570" s="1"/>
      <c r="R570" s="1"/>
      <c r="S570" s="1"/>
      <c r="T570" s="1"/>
      <c r="U570" s="2"/>
      <c r="V570" s="1"/>
      <c r="W570" s="1"/>
      <c r="X570" s="1"/>
      <c r="Y570" s="1"/>
      <c r="Z570" s="1"/>
    </row>
    <row r="571" spans="1:26" ht="24.75" customHeight="1">
      <c r="A571" s="1"/>
      <c r="B571" s="1"/>
      <c r="C571" s="1"/>
      <c r="D571" s="1"/>
      <c r="E571" s="1"/>
      <c r="F571" s="1"/>
      <c r="G571" s="1"/>
      <c r="H571" s="1"/>
      <c r="I571" s="1"/>
      <c r="J571" s="1"/>
      <c r="K571" s="1"/>
      <c r="L571" s="1"/>
      <c r="M571" s="1"/>
      <c r="N571" s="1"/>
      <c r="O571" s="1"/>
      <c r="P571" s="1"/>
      <c r="Q571" s="1"/>
      <c r="R571" s="1"/>
      <c r="S571" s="1"/>
      <c r="T571" s="1"/>
      <c r="U571" s="2"/>
      <c r="V571" s="1"/>
      <c r="W571" s="1"/>
      <c r="X571" s="1"/>
      <c r="Y571" s="1"/>
      <c r="Z571" s="1"/>
    </row>
    <row r="572" spans="1:26" ht="24.75" customHeight="1">
      <c r="A572" s="1"/>
      <c r="B572" s="1"/>
      <c r="C572" s="1"/>
      <c r="D572" s="1"/>
      <c r="E572" s="1"/>
      <c r="F572" s="1"/>
      <c r="G572" s="1"/>
      <c r="H572" s="1"/>
      <c r="I572" s="1"/>
      <c r="J572" s="1"/>
      <c r="K572" s="1"/>
      <c r="L572" s="1"/>
      <c r="M572" s="1"/>
      <c r="N572" s="1"/>
      <c r="O572" s="1"/>
      <c r="P572" s="1"/>
      <c r="Q572" s="1"/>
      <c r="R572" s="1"/>
      <c r="S572" s="1"/>
      <c r="T572" s="1"/>
      <c r="U572" s="2"/>
      <c r="V572" s="1"/>
      <c r="W572" s="1"/>
      <c r="X572" s="1"/>
      <c r="Y572" s="1"/>
      <c r="Z572" s="1"/>
    </row>
    <row r="573" spans="1:26" ht="24.75" customHeight="1">
      <c r="A573" s="1"/>
      <c r="B573" s="1"/>
      <c r="C573" s="1"/>
      <c r="D573" s="1"/>
      <c r="E573" s="1"/>
      <c r="F573" s="1"/>
      <c r="G573" s="1"/>
      <c r="H573" s="1"/>
      <c r="I573" s="1"/>
      <c r="J573" s="1"/>
      <c r="K573" s="1"/>
      <c r="L573" s="1"/>
      <c r="M573" s="1"/>
      <c r="N573" s="1"/>
      <c r="O573" s="1"/>
      <c r="P573" s="1"/>
      <c r="Q573" s="1"/>
      <c r="R573" s="1"/>
      <c r="S573" s="1"/>
      <c r="T573" s="1"/>
      <c r="U573" s="2"/>
      <c r="V573" s="1"/>
      <c r="W573" s="1"/>
      <c r="X573" s="1"/>
      <c r="Y573" s="1"/>
      <c r="Z573" s="1"/>
    </row>
    <row r="574" spans="1:26" ht="24.75" customHeight="1">
      <c r="A574" s="1"/>
      <c r="B574" s="1"/>
      <c r="C574" s="1"/>
      <c r="D574" s="1"/>
      <c r="E574" s="1"/>
      <c r="F574" s="1"/>
      <c r="G574" s="1"/>
      <c r="H574" s="1"/>
      <c r="I574" s="1"/>
      <c r="J574" s="1"/>
      <c r="K574" s="1"/>
      <c r="L574" s="1"/>
      <c r="M574" s="1"/>
      <c r="N574" s="1"/>
      <c r="O574" s="1"/>
      <c r="P574" s="1"/>
      <c r="Q574" s="1"/>
      <c r="R574" s="1"/>
      <c r="S574" s="1"/>
      <c r="T574" s="1"/>
      <c r="U574" s="2"/>
      <c r="V574" s="1"/>
      <c r="W574" s="1"/>
      <c r="X574" s="1"/>
      <c r="Y574" s="1"/>
      <c r="Z574" s="1"/>
    </row>
    <row r="575" spans="1:26" ht="24.75" customHeight="1">
      <c r="A575" s="1"/>
      <c r="B575" s="1"/>
      <c r="C575" s="1"/>
      <c r="D575" s="1"/>
      <c r="E575" s="1"/>
      <c r="F575" s="1"/>
      <c r="G575" s="1"/>
      <c r="H575" s="1"/>
      <c r="I575" s="1"/>
      <c r="J575" s="1"/>
      <c r="K575" s="1"/>
      <c r="L575" s="1"/>
      <c r="M575" s="1"/>
      <c r="N575" s="1"/>
      <c r="O575" s="1"/>
      <c r="P575" s="1"/>
      <c r="Q575" s="1"/>
      <c r="R575" s="1"/>
      <c r="S575" s="1"/>
      <c r="T575" s="1"/>
      <c r="U575" s="2"/>
      <c r="V575" s="1"/>
      <c r="W575" s="1"/>
      <c r="X575" s="1"/>
      <c r="Y575" s="1"/>
      <c r="Z575" s="1"/>
    </row>
    <row r="576" spans="1:26" ht="24.75" customHeight="1">
      <c r="A576" s="1"/>
      <c r="B576" s="1"/>
      <c r="C576" s="1"/>
      <c r="D576" s="1"/>
      <c r="E576" s="1"/>
      <c r="F576" s="1"/>
      <c r="G576" s="1"/>
      <c r="H576" s="1"/>
      <c r="I576" s="1"/>
      <c r="J576" s="1"/>
      <c r="K576" s="1"/>
      <c r="L576" s="1"/>
      <c r="M576" s="1"/>
      <c r="N576" s="1"/>
      <c r="O576" s="1"/>
      <c r="P576" s="1"/>
      <c r="Q576" s="1"/>
      <c r="R576" s="1"/>
      <c r="S576" s="1"/>
      <c r="T576" s="1"/>
      <c r="U576" s="2"/>
      <c r="V576" s="1"/>
      <c r="W576" s="1"/>
      <c r="X576" s="1"/>
      <c r="Y576" s="1"/>
      <c r="Z576" s="1"/>
    </row>
    <row r="577" spans="1:26" ht="24.75" customHeight="1">
      <c r="A577" s="1"/>
      <c r="B577" s="1"/>
      <c r="C577" s="1"/>
      <c r="D577" s="1"/>
      <c r="E577" s="1"/>
      <c r="F577" s="1"/>
      <c r="G577" s="1"/>
      <c r="H577" s="1"/>
      <c r="I577" s="1"/>
      <c r="J577" s="1"/>
      <c r="K577" s="1"/>
      <c r="L577" s="1"/>
      <c r="M577" s="1"/>
      <c r="N577" s="1"/>
      <c r="O577" s="1"/>
      <c r="P577" s="1"/>
      <c r="Q577" s="1"/>
      <c r="R577" s="1"/>
      <c r="S577" s="1"/>
      <c r="T577" s="1"/>
      <c r="U577" s="2"/>
      <c r="V577" s="1"/>
      <c r="W577" s="1"/>
      <c r="X577" s="1"/>
      <c r="Y577" s="1"/>
      <c r="Z577" s="1"/>
    </row>
    <row r="578" spans="1:26" ht="24.75" customHeight="1">
      <c r="A578" s="1"/>
      <c r="B578" s="1"/>
      <c r="C578" s="1"/>
      <c r="D578" s="1"/>
      <c r="E578" s="1"/>
      <c r="F578" s="1"/>
      <c r="G578" s="1"/>
      <c r="H578" s="1"/>
      <c r="I578" s="1"/>
      <c r="J578" s="1"/>
      <c r="K578" s="1"/>
      <c r="L578" s="1"/>
      <c r="M578" s="1"/>
      <c r="N578" s="1"/>
      <c r="O578" s="1"/>
      <c r="P578" s="1"/>
      <c r="Q578" s="1"/>
      <c r="R578" s="1"/>
      <c r="S578" s="1"/>
      <c r="T578" s="1"/>
      <c r="U578" s="2"/>
      <c r="V578" s="1"/>
      <c r="W578" s="1"/>
      <c r="X578" s="1"/>
      <c r="Y578" s="1"/>
      <c r="Z578" s="1"/>
    </row>
    <row r="579" spans="1:26" ht="24.75" customHeight="1">
      <c r="A579" s="1"/>
      <c r="B579" s="1"/>
      <c r="C579" s="1"/>
      <c r="D579" s="1"/>
      <c r="E579" s="1"/>
      <c r="F579" s="1"/>
      <c r="G579" s="1"/>
      <c r="H579" s="1"/>
      <c r="I579" s="1"/>
      <c r="J579" s="1"/>
      <c r="K579" s="1"/>
      <c r="L579" s="1"/>
      <c r="M579" s="1"/>
      <c r="N579" s="1"/>
      <c r="O579" s="1"/>
      <c r="P579" s="1"/>
      <c r="Q579" s="1"/>
      <c r="R579" s="1"/>
      <c r="S579" s="1"/>
      <c r="T579" s="1"/>
      <c r="U579" s="2"/>
      <c r="V579" s="1"/>
      <c r="W579" s="1"/>
      <c r="X579" s="1"/>
      <c r="Y579" s="1"/>
      <c r="Z579" s="1"/>
    </row>
    <row r="580" spans="1:26" ht="24.75" customHeight="1">
      <c r="A580" s="1"/>
      <c r="B580" s="1"/>
      <c r="C580" s="1"/>
      <c r="D580" s="1"/>
      <c r="E580" s="1"/>
      <c r="F580" s="1"/>
      <c r="G580" s="1"/>
      <c r="H580" s="1"/>
      <c r="I580" s="1"/>
      <c r="J580" s="1"/>
      <c r="K580" s="1"/>
      <c r="L580" s="1"/>
      <c r="M580" s="1"/>
      <c r="N580" s="1"/>
      <c r="O580" s="1"/>
      <c r="P580" s="1"/>
      <c r="Q580" s="1"/>
      <c r="R580" s="1"/>
      <c r="S580" s="1"/>
      <c r="T580" s="1"/>
      <c r="U580" s="2"/>
      <c r="V580" s="1"/>
      <c r="W580" s="1"/>
      <c r="X580" s="1"/>
      <c r="Y580" s="1"/>
      <c r="Z580" s="1"/>
    </row>
    <row r="581" spans="1:26" ht="24.75" customHeight="1">
      <c r="A581" s="1"/>
      <c r="B581" s="1"/>
      <c r="C581" s="1"/>
      <c r="D581" s="1"/>
      <c r="E581" s="1"/>
      <c r="F581" s="1"/>
      <c r="G581" s="1"/>
      <c r="H581" s="1"/>
      <c r="I581" s="1"/>
      <c r="J581" s="1"/>
      <c r="K581" s="1"/>
      <c r="L581" s="1"/>
      <c r="M581" s="1"/>
      <c r="N581" s="1"/>
      <c r="O581" s="1"/>
      <c r="P581" s="1"/>
      <c r="Q581" s="1"/>
      <c r="R581" s="1"/>
      <c r="S581" s="1"/>
      <c r="T581" s="1"/>
      <c r="U581" s="2"/>
      <c r="V581" s="1"/>
      <c r="W581" s="1"/>
      <c r="X581" s="1"/>
      <c r="Y581" s="1"/>
      <c r="Z581" s="1"/>
    </row>
    <row r="582" spans="1:26" ht="24.75" customHeight="1">
      <c r="A582" s="1"/>
      <c r="B582" s="1"/>
      <c r="C582" s="1"/>
      <c r="D582" s="1"/>
      <c r="E582" s="1"/>
      <c r="F582" s="1"/>
      <c r="G582" s="1"/>
      <c r="H582" s="1"/>
      <c r="I582" s="1"/>
      <c r="J582" s="1"/>
      <c r="K582" s="1"/>
      <c r="L582" s="1"/>
      <c r="M582" s="1"/>
      <c r="N582" s="1"/>
      <c r="O582" s="1"/>
      <c r="P582" s="1"/>
      <c r="Q582" s="1"/>
      <c r="R582" s="1"/>
      <c r="S582" s="1"/>
      <c r="T582" s="1"/>
      <c r="U582" s="2"/>
      <c r="V582" s="1"/>
      <c r="W582" s="1"/>
      <c r="X582" s="1"/>
      <c r="Y582" s="1"/>
      <c r="Z582" s="1"/>
    </row>
    <row r="583" spans="1:26" ht="24.75" customHeight="1">
      <c r="A583" s="1"/>
      <c r="B583" s="1"/>
      <c r="C583" s="1"/>
      <c r="D583" s="1"/>
      <c r="E583" s="1"/>
      <c r="F583" s="1"/>
      <c r="G583" s="1"/>
      <c r="H583" s="1"/>
      <c r="I583" s="1"/>
      <c r="J583" s="1"/>
      <c r="K583" s="1"/>
      <c r="L583" s="1"/>
      <c r="M583" s="1"/>
      <c r="N583" s="1"/>
      <c r="O583" s="1"/>
      <c r="P583" s="1"/>
      <c r="Q583" s="1"/>
      <c r="R583" s="1"/>
      <c r="S583" s="1"/>
      <c r="T583" s="1"/>
      <c r="U583" s="2"/>
      <c r="V583" s="1"/>
      <c r="W583" s="1"/>
      <c r="X583" s="1"/>
      <c r="Y583" s="1"/>
      <c r="Z583" s="1"/>
    </row>
    <row r="584" spans="1:26" ht="24.75" customHeight="1">
      <c r="A584" s="1"/>
      <c r="B584" s="1"/>
      <c r="C584" s="1"/>
      <c r="D584" s="1"/>
      <c r="E584" s="1"/>
      <c r="F584" s="1"/>
      <c r="G584" s="1"/>
      <c r="H584" s="1"/>
      <c r="I584" s="1"/>
      <c r="J584" s="1"/>
      <c r="K584" s="1"/>
      <c r="L584" s="1"/>
      <c r="M584" s="1"/>
      <c r="N584" s="1"/>
      <c r="O584" s="1"/>
      <c r="P584" s="1"/>
      <c r="Q584" s="1"/>
      <c r="R584" s="1"/>
      <c r="S584" s="1"/>
      <c r="T584" s="1"/>
      <c r="U584" s="2"/>
      <c r="V584" s="1"/>
      <c r="W584" s="1"/>
      <c r="X584" s="1"/>
      <c r="Y584" s="1"/>
      <c r="Z584" s="1"/>
    </row>
    <row r="585" spans="1:26" ht="24.75" customHeight="1">
      <c r="A585" s="1"/>
      <c r="B585" s="1"/>
      <c r="C585" s="1"/>
      <c r="D585" s="1"/>
      <c r="E585" s="1"/>
      <c r="F585" s="1"/>
      <c r="G585" s="1"/>
      <c r="H585" s="1"/>
      <c r="I585" s="1"/>
      <c r="J585" s="1"/>
      <c r="K585" s="1"/>
      <c r="L585" s="1"/>
      <c r="M585" s="1"/>
      <c r="N585" s="1"/>
      <c r="O585" s="1"/>
      <c r="P585" s="1"/>
      <c r="Q585" s="1"/>
      <c r="R585" s="1"/>
      <c r="S585" s="1"/>
      <c r="T585" s="1"/>
      <c r="U585" s="2"/>
      <c r="V585" s="1"/>
      <c r="W585" s="1"/>
      <c r="X585" s="1"/>
      <c r="Y585" s="1"/>
      <c r="Z585" s="1"/>
    </row>
    <row r="586" spans="1:26" ht="24.75" customHeight="1">
      <c r="A586" s="1"/>
      <c r="B586" s="1"/>
      <c r="C586" s="1"/>
      <c r="D586" s="1"/>
      <c r="E586" s="1"/>
      <c r="F586" s="1"/>
      <c r="G586" s="1"/>
      <c r="H586" s="1"/>
      <c r="I586" s="1"/>
      <c r="J586" s="1"/>
      <c r="K586" s="1"/>
      <c r="L586" s="1"/>
      <c r="M586" s="1"/>
      <c r="N586" s="1"/>
      <c r="O586" s="1"/>
      <c r="P586" s="1"/>
      <c r="Q586" s="1"/>
      <c r="R586" s="1"/>
      <c r="S586" s="1"/>
      <c r="T586" s="1"/>
      <c r="U586" s="2"/>
      <c r="V586" s="1"/>
      <c r="W586" s="1"/>
      <c r="X586" s="1"/>
      <c r="Y586" s="1"/>
      <c r="Z586" s="1"/>
    </row>
    <row r="587" spans="1:26" ht="24.75" customHeight="1">
      <c r="A587" s="1"/>
      <c r="B587" s="1"/>
      <c r="C587" s="1"/>
      <c r="D587" s="1"/>
      <c r="E587" s="1"/>
      <c r="F587" s="1"/>
      <c r="G587" s="1"/>
      <c r="H587" s="1"/>
      <c r="I587" s="1"/>
      <c r="J587" s="1"/>
      <c r="K587" s="1"/>
      <c r="L587" s="1"/>
      <c r="M587" s="1"/>
      <c r="N587" s="1"/>
      <c r="O587" s="1"/>
      <c r="P587" s="1"/>
      <c r="Q587" s="1"/>
      <c r="R587" s="1"/>
      <c r="S587" s="1"/>
      <c r="T587" s="1"/>
      <c r="U587" s="2"/>
      <c r="V587" s="1"/>
      <c r="W587" s="1"/>
      <c r="X587" s="1"/>
      <c r="Y587" s="1"/>
      <c r="Z587" s="1"/>
    </row>
    <row r="588" spans="1:26" ht="24.75" customHeight="1">
      <c r="A588" s="1"/>
      <c r="B588" s="1"/>
      <c r="C588" s="1"/>
      <c r="D588" s="1"/>
      <c r="E588" s="1"/>
      <c r="F588" s="1"/>
      <c r="G588" s="1"/>
      <c r="H588" s="1"/>
      <c r="I588" s="1"/>
      <c r="J588" s="1"/>
      <c r="K588" s="1"/>
      <c r="L588" s="1"/>
      <c r="M588" s="1"/>
      <c r="N588" s="1"/>
      <c r="O588" s="1"/>
      <c r="P588" s="1"/>
      <c r="Q588" s="1"/>
      <c r="R588" s="1"/>
      <c r="S588" s="1"/>
      <c r="T588" s="1"/>
      <c r="U588" s="2"/>
      <c r="V588" s="1"/>
      <c r="W588" s="1"/>
      <c r="X588" s="1"/>
      <c r="Y588" s="1"/>
      <c r="Z588" s="1"/>
    </row>
    <row r="589" spans="1:26" ht="24.75" customHeight="1">
      <c r="A589" s="1"/>
      <c r="B589" s="1"/>
      <c r="C589" s="1"/>
      <c r="D589" s="1"/>
      <c r="E589" s="1"/>
      <c r="F589" s="1"/>
      <c r="G589" s="1"/>
      <c r="H589" s="1"/>
      <c r="I589" s="1"/>
      <c r="J589" s="1"/>
      <c r="K589" s="1"/>
      <c r="L589" s="1"/>
      <c r="M589" s="1"/>
      <c r="N589" s="1"/>
      <c r="O589" s="1"/>
      <c r="P589" s="1"/>
      <c r="Q589" s="1"/>
      <c r="R589" s="1"/>
      <c r="S589" s="1"/>
      <c r="T589" s="1"/>
      <c r="U589" s="2"/>
      <c r="V589" s="1"/>
      <c r="W589" s="1"/>
      <c r="X589" s="1"/>
      <c r="Y589" s="1"/>
      <c r="Z589" s="1"/>
    </row>
    <row r="590" spans="1:26" ht="24.75" customHeight="1">
      <c r="A590" s="1"/>
      <c r="B590" s="1"/>
      <c r="C590" s="1"/>
      <c r="D590" s="1"/>
      <c r="E590" s="1"/>
      <c r="F590" s="1"/>
      <c r="G590" s="1"/>
      <c r="H590" s="1"/>
      <c r="I590" s="1"/>
      <c r="J590" s="1"/>
      <c r="K590" s="1"/>
      <c r="L590" s="1"/>
      <c r="M590" s="1"/>
      <c r="N590" s="1"/>
      <c r="O590" s="1"/>
      <c r="P590" s="1"/>
      <c r="Q590" s="1"/>
      <c r="R590" s="1"/>
      <c r="S590" s="1"/>
      <c r="T590" s="1"/>
      <c r="U590" s="2"/>
      <c r="V590" s="1"/>
      <c r="W590" s="1"/>
      <c r="X590" s="1"/>
      <c r="Y590" s="1"/>
      <c r="Z590" s="1"/>
    </row>
    <row r="591" spans="1:26" ht="24.75" customHeight="1">
      <c r="A591" s="1"/>
      <c r="B591" s="1"/>
      <c r="C591" s="1"/>
      <c r="D591" s="1"/>
      <c r="E591" s="1"/>
      <c r="F591" s="1"/>
      <c r="G591" s="1"/>
      <c r="H591" s="1"/>
      <c r="I591" s="1"/>
      <c r="J591" s="1"/>
      <c r="K591" s="1"/>
      <c r="L591" s="1"/>
      <c r="M591" s="1"/>
      <c r="N591" s="1"/>
      <c r="O591" s="1"/>
      <c r="P591" s="1"/>
      <c r="Q591" s="1"/>
      <c r="R591" s="1"/>
      <c r="S591" s="1"/>
      <c r="T591" s="1"/>
      <c r="U591" s="2"/>
      <c r="V591" s="1"/>
      <c r="W591" s="1"/>
      <c r="X591" s="1"/>
      <c r="Y591" s="1"/>
      <c r="Z591" s="1"/>
    </row>
    <row r="592" spans="1:26" ht="24.75" customHeight="1">
      <c r="A592" s="1"/>
      <c r="B592" s="1"/>
      <c r="C592" s="1"/>
      <c r="D592" s="1"/>
      <c r="E592" s="1"/>
      <c r="F592" s="1"/>
      <c r="G592" s="1"/>
      <c r="H592" s="1"/>
      <c r="I592" s="1"/>
      <c r="J592" s="1"/>
      <c r="K592" s="1"/>
      <c r="L592" s="1"/>
      <c r="M592" s="1"/>
      <c r="N592" s="1"/>
      <c r="O592" s="1"/>
      <c r="P592" s="1"/>
      <c r="Q592" s="1"/>
      <c r="R592" s="1"/>
      <c r="S592" s="1"/>
      <c r="T592" s="1"/>
      <c r="U592" s="2"/>
      <c r="V592" s="1"/>
      <c r="W592" s="1"/>
      <c r="X592" s="1"/>
      <c r="Y592" s="1"/>
      <c r="Z592" s="1"/>
    </row>
    <row r="593" spans="1:26" ht="24.75" customHeight="1">
      <c r="A593" s="1"/>
      <c r="B593" s="1"/>
      <c r="C593" s="1"/>
      <c r="D593" s="1"/>
      <c r="E593" s="1"/>
      <c r="F593" s="1"/>
      <c r="G593" s="1"/>
      <c r="H593" s="1"/>
      <c r="I593" s="1"/>
      <c r="J593" s="1"/>
      <c r="K593" s="1"/>
      <c r="L593" s="1"/>
      <c r="M593" s="1"/>
      <c r="N593" s="1"/>
      <c r="O593" s="1"/>
      <c r="P593" s="1"/>
      <c r="Q593" s="1"/>
      <c r="R593" s="1"/>
      <c r="S593" s="1"/>
      <c r="T593" s="1"/>
      <c r="U593" s="2"/>
      <c r="V593" s="1"/>
      <c r="W593" s="1"/>
      <c r="X593" s="1"/>
      <c r="Y593" s="1"/>
      <c r="Z593" s="1"/>
    </row>
    <row r="594" spans="1:26" ht="24.75" customHeight="1">
      <c r="A594" s="1"/>
      <c r="B594" s="1"/>
      <c r="C594" s="1"/>
      <c r="D594" s="1"/>
      <c r="E594" s="1"/>
      <c r="F594" s="1"/>
      <c r="G594" s="1"/>
      <c r="H594" s="1"/>
      <c r="I594" s="1"/>
      <c r="J594" s="1"/>
      <c r="K594" s="1"/>
      <c r="L594" s="1"/>
      <c r="M594" s="1"/>
      <c r="N594" s="1"/>
      <c r="O594" s="1"/>
      <c r="P594" s="1"/>
      <c r="Q594" s="1"/>
      <c r="R594" s="1"/>
      <c r="S594" s="1"/>
      <c r="T594" s="1"/>
      <c r="U594" s="2"/>
      <c r="V594" s="1"/>
      <c r="W594" s="1"/>
      <c r="X594" s="1"/>
      <c r="Y594" s="1"/>
      <c r="Z594" s="1"/>
    </row>
    <row r="595" spans="1:26" ht="24.75" customHeight="1">
      <c r="A595" s="1"/>
      <c r="B595" s="1"/>
      <c r="C595" s="1"/>
      <c r="D595" s="1"/>
      <c r="E595" s="1"/>
      <c r="F595" s="1"/>
      <c r="G595" s="1"/>
      <c r="H595" s="1"/>
      <c r="I595" s="1"/>
      <c r="J595" s="1"/>
      <c r="K595" s="1"/>
      <c r="L595" s="1"/>
      <c r="M595" s="1"/>
      <c r="N595" s="1"/>
      <c r="O595" s="1"/>
      <c r="P595" s="1"/>
      <c r="Q595" s="1"/>
      <c r="R595" s="1"/>
      <c r="S595" s="1"/>
      <c r="T595" s="1"/>
      <c r="U595" s="2"/>
      <c r="V595" s="1"/>
      <c r="W595" s="1"/>
      <c r="X595" s="1"/>
      <c r="Y595" s="1"/>
      <c r="Z595" s="1"/>
    </row>
    <row r="596" spans="1:26" ht="24.75" customHeight="1">
      <c r="A596" s="1"/>
      <c r="B596" s="1"/>
      <c r="C596" s="1"/>
      <c r="D596" s="1"/>
      <c r="E596" s="1"/>
      <c r="F596" s="1"/>
      <c r="G596" s="1"/>
      <c r="H596" s="1"/>
      <c r="I596" s="1"/>
      <c r="J596" s="1"/>
      <c r="K596" s="1"/>
      <c r="L596" s="1"/>
      <c r="M596" s="1"/>
      <c r="N596" s="1"/>
      <c r="O596" s="1"/>
      <c r="P596" s="1"/>
      <c r="Q596" s="1"/>
      <c r="R596" s="1"/>
      <c r="S596" s="1"/>
      <c r="T596" s="1"/>
      <c r="U596" s="2"/>
      <c r="V596" s="1"/>
      <c r="W596" s="1"/>
      <c r="X596" s="1"/>
      <c r="Y596" s="1"/>
      <c r="Z596" s="1"/>
    </row>
    <row r="597" spans="1:26" ht="24.75" customHeight="1">
      <c r="A597" s="1"/>
      <c r="B597" s="1"/>
      <c r="C597" s="1"/>
      <c r="D597" s="1"/>
      <c r="E597" s="1"/>
      <c r="F597" s="1"/>
      <c r="G597" s="1"/>
      <c r="H597" s="1"/>
      <c r="I597" s="1"/>
      <c r="J597" s="1"/>
      <c r="K597" s="1"/>
      <c r="L597" s="1"/>
      <c r="M597" s="1"/>
      <c r="N597" s="1"/>
      <c r="O597" s="1"/>
      <c r="P597" s="1"/>
      <c r="Q597" s="1"/>
      <c r="R597" s="1"/>
      <c r="S597" s="1"/>
      <c r="T597" s="1"/>
      <c r="U597" s="2"/>
      <c r="V597" s="1"/>
      <c r="W597" s="1"/>
      <c r="X597" s="1"/>
      <c r="Y597" s="1"/>
      <c r="Z597" s="1"/>
    </row>
    <row r="598" spans="1:26" ht="24.75" customHeight="1">
      <c r="A598" s="1"/>
      <c r="B598" s="1"/>
      <c r="C598" s="1"/>
      <c r="D598" s="1"/>
      <c r="E598" s="1"/>
      <c r="F598" s="1"/>
      <c r="G598" s="1"/>
      <c r="H598" s="1"/>
      <c r="I598" s="1"/>
      <c r="J598" s="1"/>
      <c r="K598" s="1"/>
      <c r="L598" s="1"/>
      <c r="M598" s="1"/>
      <c r="N598" s="1"/>
      <c r="O598" s="1"/>
      <c r="P598" s="1"/>
      <c r="Q598" s="1"/>
      <c r="R598" s="1"/>
      <c r="S598" s="1"/>
      <c r="T598" s="1"/>
      <c r="U598" s="2"/>
      <c r="V598" s="1"/>
      <c r="W598" s="1"/>
      <c r="X598" s="1"/>
      <c r="Y598" s="1"/>
      <c r="Z598" s="1"/>
    </row>
    <row r="599" spans="1:26" ht="24.75" customHeight="1">
      <c r="A599" s="1"/>
      <c r="B599" s="1"/>
      <c r="C599" s="1"/>
      <c r="D599" s="1"/>
      <c r="E599" s="1"/>
      <c r="F599" s="1"/>
      <c r="G599" s="1"/>
      <c r="H599" s="1"/>
      <c r="I599" s="1"/>
      <c r="J599" s="1"/>
      <c r="K599" s="1"/>
      <c r="L599" s="1"/>
      <c r="M599" s="1"/>
      <c r="N599" s="1"/>
      <c r="O599" s="1"/>
      <c r="P599" s="1"/>
      <c r="Q599" s="1"/>
      <c r="R599" s="1"/>
      <c r="S599" s="1"/>
      <c r="T599" s="1"/>
      <c r="U599" s="2"/>
      <c r="V599" s="1"/>
      <c r="W599" s="1"/>
      <c r="X599" s="1"/>
      <c r="Y599" s="1"/>
      <c r="Z599" s="1"/>
    </row>
    <row r="600" spans="1:26" ht="24.75" customHeight="1">
      <c r="A600" s="1"/>
      <c r="B600" s="1"/>
      <c r="C600" s="1"/>
      <c r="D600" s="1"/>
      <c r="E600" s="1"/>
      <c r="F600" s="1"/>
      <c r="G600" s="1"/>
      <c r="H600" s="1"/>
      <c r="I600" s="1"/>
      <c r="J600" s="1"/>
      <c r="K600" s="1"/>
      <c r="L600" s="1"/>
      <c r="M600" s="1"/>
      <c r="N600" s="1"/>
      <c r="O600" s="1"/>
      <c r="P600" s="1"/>
      <c r="Q600" s="1"/>
      <c r="R600" s="1"/>
      <c r="S600" s="1"/>
      <c r="T600" s="1"/>
      <c r="U600" s="2"/>
      <c r="V600" s="1"/>
      <c r="W600" s="1"/>
      <c r="X600" s="1"/>
      <c r="Y600" s="1"/>
      <c r="Z600" s="1"/>
    </row>
    <row r="601" spans="1:26" ht="24.75" customHeight="1">
      <c r="A601" s="1"/>
      <c r="B601" s="1"/>
      <c r="C601" s="1"/>
      <c r="D601" s="1"/>
      <c r="E601" s="1"/>
      <c r="F601" s="1"/>
      <c r="G601" s="1"/>
      <c r="H601" s="1"/>
      <c r="I601" s="1"/>
      <c r="J601" s="1"/>
      <c r="K601" s="1"/>
      <c r="L601" s="1"/>
      <c r="M601" s="1"/>
      <c r="N601" s="1"/>
      <c r="O601" s="1"/>
      <c r="P601" s="1"/>
      <c r="Q601" s="1"/>
      <c r="R601" s="1"/>
      <c r="S601" s="1"/>
      <c r="T601" s="1"/>
      <c r="U601" s="2"/>
      <c r="V601" s="1"/>
      <c r="W601" s="1"/>
      <c r="X601" s="1"/>
      <c r="Y601" s="1"/>
      <c r="Z601" s="1"/>
    </row>
    <row r="602" spans="1:26" ht="24.75" customHeight="1">
      <c r="A602" s="1"/>
      <c r="B602" s="1"/>
      <c r="C602" s="1"/>
      <c r="D602" s="1"/>
      <c r="E602" s="1"/>
      <c r="F602" s="1"/>
      <c r="G602" s="1"/>
      <c r="H602" s="1"/>
      <c r="I602" s="1"/>
      <c r="J602" s="1"/>
      <c r="K602" s="1"/>
      <c r="L602" s="1"/>
      <c r="M602" s="1"/>
      <c r="N602" s="1"/>
      <c r="O602" s="1"/>
      <c r="P602" s="1"/>
      <c r="Q602" s="1"/>
      <c r="R602" s="1"/>
      <c r="S602" s="1"/>
      <c r="T602" s="1"/>
      <c r="U602" s="2"/>
      <c r="V602" s="1"/>
      <c r="W602" s="1"/>
      <c r="X602" s="1"/>
      <c r="Y602" s="1"/>
      <c r="Z602" s="1"/>
    </row>
    <row r="603" spans="1:26" ht="24.75" customHeight="1">
      <c r="A603" s="1"/>
      <c r="B603" s="1"/>
      <c r="C603" s="1"/>
      <c r="D603" s="1"/>
      <c r="E603" s="1"/>
      <c r="F603" s="1"/>
      <c r="G603" s="1"/>
      <c r="H603" s="1"/>
      <c r="I603" s="1"/>
      <c r="J603" s="1"/>
      <c r="K603" s="1"/>
      <c r="L603" s="1"/>
      <c r="M603" s="1"/>
      <c r="N603" s="1"/>
      <c r="O603" s="1"/>
      <c r="P603" s="1"/>
      <c r="Q603" s="1"/>
      <c r="R603" s="1"/>
      <c r="S603" s="1"/>
      <c r="T603" s="1"/>
      <c r="U603" s="2"/>
      <c r="V603" s="1"/>
      <c r="W603" s="1"/>
      <c r="X603" s="1"/>
      <c r="Y603" s="1"/>
      <c r="Z603" s="1"/>
    </row>
    <row r="604" spans="1:26" ht="24.75" customHeight="1">
      <c r="A604" s="1"/>
      <c r="B604" s="1"/>
      <c r="C604" s="1"/>
      <c r="D604" s="1"/>
      <c r="E604" s="1"/>
      <c r="F604" s="1"/>
      <c r="G604" s="1"/>
      <c r="H604" s="1"/>
      <c r="I604" s="1"/>
      <c r="J604" s="1"/>
      <c r="K604" s="1"/>
      <c r="L604" s="1"/>
      <c r="M604" s="1"/>
      <c r="N604" s="1"/>
      <c r="O604" s="1"/>
      <c r="P604" s="1"/>
      <c r="Q604" s="1"/>
      <c r="R604" s="1"/>
      <c r="S604" s="1"/>
      <c r="T604" s="1"/>
      <c r="U604" s="2"/>
      <c r="V604" s="1"/>
      <c r="W604" s="1"/>
      <c r="X604" s="1"/>
      <c r="Y604" s="1"/>
      <c r="Z604" s="1"/>
    </row>
    <row r="605" spans="1:26" ht="24.75" customHeight="1">
      <c r="A605" s="1"/>
      <c r="B605" s="1"/>
      <c r="C605" s="1"/>
      <c r="D605" s="1"/>
      <c r="E605" s="1"/>
      <c r="F605" s="1"/>
      <c r="G605" s="1"/>
      <c r="H605" s="1"/>
      <c r="I605" s="1"/>
      <c r="J605" s="1"/>
      <c r="K605" s="1"/>
      <c r="L605" s="1"/>
      <c r="M605" s="1"/>
      <c r="N605" s="1"/>
      <c r="O605" s="1"/>
      <c r="P605" s="1"/>
      <c r="Q605" s="1"/>
      <c r="R605" s="1"/>
      <c r="S605" s="1"/>
      <c r="T605" s="1"/>
      <c r="U605" s="2"/>
      <c r="V605" s="1"/>
      <c r="W605" s="1"/>
      <c r="X605" s="1"/>
      <c r="Y605" s="1"/>
      <c r="Z605" s="1"/>
    </row>
    <row r="606" spans="1:26" ht="24.75" customHeight="1">
      <c r="A606" s="1"/>
      <c r="B606" s="1"/>
      <c r="C606" s="1"/>
      <c r="D606" s="1"/>
      <c r="E606" s="1"/>
      <c r="F606" s="1"/>
      <c r="G606" s="1"/>
      <c r="H606" s="1"/>
      <c r="I606" s="1"/>
      <c r="J606" s="1"/>
      <c r="K606" s="1"/>
      <c r="L606" s="1"/>
      <c r="M606" s="1"/>
      <c r="N606" s="1"/>
      <c r="O606" s="1"/>
      <c r="P606" s="1"/>
      <c r="Q606" s="1"/>
      <c r="R606" s="1"/>
      <c r="S606" s="1"/>
      <c r="T606" s="1"/>
      <c r="U606" s="2"/>
      <c r="V606" s="1"/>
      <c r="W606" s="1"/>
      <c r="X606" s="1"/>
      <c r="Y606" s="1"/>
      <c r="Z606" s="1"/>
    </row>
    <row r="607" spans="1:26" ht="24.75" customHeight="1">
      <c r="A607" s="1"/>
      <c r="B607" s="1"/>
      <c r="C607" s="1"/>
      <c r="D607" s="1"/>
      <c r="E607" s="1"/>
      <c r="F607" s="1"/>
      <c r="G607" s="1"/>
      <c r="H607" s="1"/>
      <c r="I607" s="1"/>
      <c r="J607" s="1"/>
      <c r="K607" s="1"/>
      <c r="L607" s="1"/>
      <c r="M607" s="1"/>
      <c r="N607" s="1"/>
      <c r="O607" s="1"/>
      <c r="P607" s="1"/>
      <c r="Q607" s="1"/>
      <c r="R607" s="1"/>
      <c r="S607" s="1"/>
      <c r="T607" s="1"/>
      <c r="U607" s="2"/>
      <c r="V607" s="1"/>
      <c r="W607" s="1"/>
      <c r="X607" s="1"/>
      <c r="Y607" s="1"/>
      <c r="Z607" s="1"/>
    </row>
    <row r="608" spans="1:26" ht="24.75" customHeight="1">
      <c r="A608" s="1"/>
      <c r="B608" s="1"/>
      <c r="C608" s="1"/>
      <c r="D608" s="1"/>
      <c r="E608" s="1"/>
      <c r="F608" s="1"/>
      <c r="G608" s="1"/>
      <c r="H608" s="1"/>
      <c r="I608" s="1"/>
      <c r="J608" s="1"/>
      <c r="K608" s="1"/>
      <c r="L608" s="1"/>
      <c r="M608" s="1"/>
      <c r="N608" s="1"/>
      <c r="O608" s="1"/>
      <c r="P608" s="1"/>
      <c r="Q608" s="1"/>
      <c r="R608" s="1"/>
      <c r="S608" s="1"/>
      <c r="T608" s="1"/>
      <c r="U608" s="2"/>
      <c r="V608" s="1"/>
      <c r="W608" s="1"/>
      <c r="X608" s="1"/>
      <c r="Y608" s="1"/>
      <c r="Z608" s="1"/>
    </row>
    <row r="609" spans="1:26" ht="24.75" customHeight="1">
      <c r="A609" s="1"/>
      <c r="B609" s="1"/>
      <c r="C609" s="1"/>
      <c r="D609" s="1"/>
      <c r="E609" s="1"/>
      <c r="F609" s="1"/>
      <c r="G609" s="1"/>
      <c r="H609" s="1"/>
      <c r="I609" s="1"/>
      <c r="J609" s="1"/>
      <c r="K609" s="1"/>
      <c r="L609" s="1"/>
      <c r="M609" s="1"/>
      <c r="N609" s="1"/>
      <c r="O609" s="1"/>
      <c r="P609" s="1"/>
      <c r="Q609" s="1"/>
      <c r="R609" s="1"/>
      <c r="S609" s="1"/>
      <c r="T609" s="1"/>
      <c r="U609" s="2"/>
      <c r="V609" s="1"/>
      <c r="W609" s="1"/>
      <c r="X609" s="1"/>
      <c r="Y609" s="1"/>
      <c r="Z609" s="1"/>
    </row>
    <row r="610" spans="1:26" ht="24.75" customHeight="1">
      <c r="A610" s="1"/>
      <c r="B610" s="1"/>
      <c r="C610" s="1"/>
      <c r="D610" s="1"/>
      <c r="E610" s="1"/>
      <c r="F610" s="1"/>
      <c r="G610" s="1"/>
      <c r="H610" s="1"/>
      <c r="I610" s="1"/>
      <c r="J610" s="1"/>
      <c r="K610" s="1"/>
      <c r="L610" s="1"/>
      <c r="M610" s="1"/>
      <c r="N610" s="1"/>
      <c r="O610" s="1"/>
      <c r="P610" s="1"/>
      <c r="Q610" s="1"/>
      <c r="R610" s="1"/>
      <c r="S610" s="1"/>
      <c r="T610" s="1"/>
      <c r="U610" s="2"/>
      <c r="V610" s="1"/>
      <c r="W610" s="1"/>
      <c r="X610" s="1"/>
      <c r="Y610" s="1"/>
      <c r="Z610" s="1"/>
    </row>
    <row r="611" spans="1:26" ht="24.75" customHeight="1">
      <c r="A611" s="1"/>
      <c r="B611" s="1"/>
      <c r="C611" s="1"/>
      <c r="D611" s="1"/>
      <c r="E611" s="1"/>
      <c r="F611" s="1"/>
      <c r="G611" s="1"/>
      <c r="H611" s="1"/>
      <c r="I611" s="1"/>
      <c r="J611" s="1"/>
      <c r="K611" s="1"/>
      <c r="L611" s="1"/>
      <c r="M611" s="1"/>
      <c r="N611" s="1"/>
      <c r="O611" s="1"/>
      <c r="P611" s="1"/>
      <c r="Q611" s="1"/>
      <c r="R611" s="1"/>
      <c r="S611" s="1"/>
      <c r="T611" s="1"/>
      <c r="U611" s="2"/>
      <c r="V611" s="1"/>
      <c r="W611" s="1"/>
      <c r="X611" s="1"/>
      <c r="Y611" s="1"/>
      <c r="Z611" s="1"/>
    </row>
    <row r="612" spans="1:26" ht="24.75" customHeight="1">
      <c r="A612" s="1"/>
      <c r="B612" s="1"/>
      <c r="C612" s="1"/>
      <c r="D612" s="1"/>
      <c r="E612" s="1"/>
      <c r="F612" s="1"/>
      <c r="G612" s="1"/>
      <c r="H612" s="1"/>
      <c r="I612" s="1"/>
      <c r="J612" s="1"/>
      <c r="K612" s="1"/>
      <c r="L612" s="1"/>
      <c r="M612" s="1"/>
      <c r="N612" s="1"/>
      <c r="O612" s="1"/>
      <c r="P612" s="1"/>
      <c r="Q612" s="1"/>
      <c r="R612" s="1"/>
      <c r="S612" s="1"/>
      <c r="T612" s="1"/>
      <c r="U612" s="2"/>
      <c r="V612" s="1"/>
      <c r="W612" s="1"/>
      <c r="X612" s="1"/>
      <c r="Y612" s="1"/>
      <c r="Z612" s="1"/>
    </row>
    <row r="613" spans="1:26" ht="24.75" customHeight="1">
      <c r="A613" s="1"/>
      <c r="B613" s="1"/>
      <c r="C613" s="1"/>
      <c r="D613" s="1"/>
      <c r="E613" s="1"/>
      <c r="F613" s="1"/>
      <c r="G613" s="1"/>
      <c r="H613" s="1"/>
      <c r="I613" s="1"/>
      <c r="J613" s="1"/>
      <c r="K613" s="1"/>
      <c r="L613" s="1"/>
      <c r="M613" s="1"/>
      <c r="N613" s="1"/>
      <c r="O613" s="1"/>
      <c r="P613" s="1"/>
      <c r="Q613" s="1"/>
      <c r="R613" s="1"/>
      <c r="S613" s="1"/>
      <c r="T613" s="1"/>
      <c r="U613" s="2"/>
      <c r="V613" s="1"/>
      <c r="W613" s="1"/>
      <c r="X613" s="1"/>
      <c r="Y613" s="1"/>
      <c r="Z613" s="1"/>
    </row>
    <row r="614" spans="1:26" ht="24.75" customHeight="1">
      <c r="A614" s="1"/>
      <c r="B614" s="1"/>
      <c r="C614" s="1"/>
      <c r="D614" s="1"/>
      <c r="E614" s="1"/>
      <c r="F614" s="1"/>
      <c r="G614" s="1"/>
      <c r="H614" s="1"/>
      <c r="I614" s="1"/>
      <c r="J614" s="1"/>
      <c r="K614" s="1"/>
      <c r="L614" s="1"/>
      <c r="M614" s="1"/>
      <c r="N614" s="1"/>
      <c r="O614" s="1"/>
      <c r="P614" s="1"/>
      <c r="Q614" s="1"/>
      <c r="R614" s="1"/>
      <c r="S614" s="1"/>
      <c r="T614" s="1"/>
      <c r="U614" s="2"/>
      <c r="V614" s="1"/>
      <c r="W614" s="1"/>
      <c r="X614" s="1"/>
      <c r="Y614" s="1"/>
      <c r="Z614" s="1"/>
    </row>
    <row r="615" spans="1:26" ht="24.75" customHeight="1">
      <c r="A615" s="1"/>
      <c r="B615" s="1"/>
      <c r="C615" s="1"/>
      <c r="D615" s="1"/>
      <c r="E615" s="1"/>
      <c r="F615" s="1"/>
      <c r="G615" s="1"/>
      <c r="H615" s="1"/>
      <c r="I615" s="1"/>
      <c r="J615" s="1"/>
      <c r="K615" s="1"/>
      <c r="L615" s="1"/>
      <c r="M615" s="1"/>
      <c r="N615" s="1"/>
      <c r="O615" s="1"/>
      <c r="P615" s="1"/>
      <c r="Q615" s="1"/>
      <c r="R615" s="1"/>
      <c r="S615" s="1"/>
      <c r="T615" s="1"/>
      <c r="U615" s="2"/>
      <c r="V615" s="1"/>
      <c r="W615" s="1"/>
      <c r="X615" s="1"/>
      <c r="Y615" s="1"/>
      <c r="Z615" s="1"/>
    </row>
    <row r="616" spans="1:26" ht="24.75" customHeight="1">
      <c r="A616" s="1"/>
      <c r="B616" s="1"/>
      <c r="C616" s="1"/>
      <c r="D616" s="1"/>
      <c r="E616" s="1"/>
      <c r="F616" s="1"/>
      <c r="G616" s="1"/>
      <c r="H616" s="1"/>
      <c r="I616" s="1"/>
      <c r="J616" s="1"/>
      <c r="K616" s="1"/>
      <c r="L616" s="1"/>
      <c r="M616" s="1"/>
      <c r="N616" s="1"/>
      <c r="O616" s="1"/>
      <c r="P616" s="1"/>
      <c r="Q616" s="1"/>
      <c r="R616" s="1"/>
      <c r="S616" s="1"/>
      <c r="T616" s="1"/>
      <c r="U616" s="2"/>
      <c r="V616" s="1"/>
      <c r="W616" s="1"/>
      <c r="X616" s="1"/>
      <c r="Y616" s="1"/>
      <c r="Z616" s="1"/>
    </row>
    <row r="617" spans="1:26" ht="24.75" customHeight="1">
      <c r="A617" s="1"/>
      <c r="B617" s="1"/>
      <c r="C617" s="1"/>
      <c r="D617" s="1"/>
      <c r="E617" s="1"/>
      <c r="F617" s="1"/>
      <c r="G617" s="1"/>
      <c r="H617" s="1"/>
      <c r="I617" s="1"/>
      <c r="J617" s="1"/>
      <c r="K617" s="1"/>
      <c r="L617" s="1"/>
      <c r="M617" s="1"/>
      <c r="N617" s="1"/>
      <c r="O617" s="1"/>
      <c r="P617" s="1"/>
      <c r="Q617" s="1"/>
      <c r="R617" s="1"/>
      <c r="S617" s="1"/>
      <c r="T617" s="1"/>
      <c r="U617" s="2"/>
      <c r="V617" s="1"/>
      <c r="W617" s="1"/>
      <c r="X617" s="1"/>
      <c r="Y617" s="1"/>
      <c r="Z617" s="1"/>
    </row>
    <row r="618" spans="1:26" ht="24.75" customHeight="1">
      <c r="A618" s="1"/>
      <c r="B618" s="1"/>
      <c r="C618" s="1"/>
      <c r="D618" s="1"/>
      <c r="E618" s="1"/>
      <c r="F618" s="1"/>
      <c r="G618" s="1"/>
      <c r="H618" s="1"/>
      <c r="I618" s="1"/>
      <c r="J618" s="1"/>
      <c r="K618" s="1"/>
      <c r="L618" s="1"/>
      <c r="M618" s="1"/>
      <c r="N618" s="1"/>
      <c r="O618" s="1"/>
      <c r="P618" s="1"/>
      <c r="Q618" s="1"/>
      <c r="R618" s="1"/>
      <c r="S618" s="1"/>
      <c r="T618" s="1"/>
      <c r="U618" s="2"/>
      <c r="V618" s="1"/>
      <c r="W618" s="1"/>
      <c r="X618" s="1"/>
      <c r="Y618" s="1"/>
      <c r="Z618" s="1"/>
    </row>
    <row r="619" spans="1:26" ht="24.75" customHeight="1">
      <c r="A619" s="1"/>
      <c r="B619" s="1"/>
      <c r="C619" s="1"/>
      <c r="D619" s="1"/>
      <c r="E619" s="1"/>
      <c r="F619" s="1"/>
      <c r="G619" s="1"/>
      <c r="H619" s="1"/>
      <c r="I619" s="1"/>
      <c r="J619" s="1"/>
      <c r="K619" s="1"/>
      <c r="L619" s="1"/>
      <c r="M619" s="1"/>
      <c r="N619" s="1"/>
      <c r="O619" s="1"/>
      <c r="P619" s="1"/>
      <c r="Q619" s="1"/>
      <c r="R619" s="1"/>
      <c r="S619" s="1"/>
      <c r="T619" s="1"/>
      <c r="U619" s="2"/>
      <c r="V619" s="1"/>
      <c r="W619" s="1"/>
      <c r="X619" s="1"/>
      <c r="Y619" s="1"/>
      <c r="Z619" s="1"/>
    </row>
    <row r="620" spans="1:26" ht="24.75" customHeight="1">
      <c r="A620" s="1"/>
      <c r="B620" s="1"/>
      <c r="C620" s="1"/>
      <c r="D620" s="1"/>
      <c r="E620" s="1"/>
      <c r="F620" s="1"/>
      <c r="G620" s="1"/>
      <c r="H620" s="1"/>
      <c r="I620" s="1"/>
      <c r="J620" s="1"/>
      <c r="K620" s="1"/>
      <c r="L620" s="1"/>
      <c r="M620" s="1"/>
      <c r="N620" s="1"/>
      <c r="O620" s="1"/>
      <c r="P620" s="1"/>
      <c r="Q620" s="1"/>
      <c r="R620" s="1"/>
      <c r="S620" s="1"/>
      <c r="T620" s="1"/>
      <c r="U620" s="2"/>
      <c r="V620" s="1"/>
      <c r="W620" s="1"/>
      <c r="X620" s="1"/>
      <c r="Y620" s="1"/>
      <c r="Z620" s="1"/>
    </row>
    <row r="621" spans="1:26" ht="24.75" customHeight="1">
      <c r="A621" s="1"/>
      <c r="B621" s="1"/>
      <c r="C621" s="1"/>
      <c r="D621" s="1"/>
      <c r="E621" s="1"/>
      <c r="F621" s="1"/>
      <c r="G621" s="1"/>
      <c r="H621" s="1"/>
      <c r="I621" s="1"/>
      <c r="J621" s="1"/>
      <c r="K621" s="1"/>
      <c r="L621" s="1"/>
      <c r="M621" s="1"/>
      <c r="N621" s="1"/>
      <c r="O621" s="1"/>
      <c r="P621" s="1"/>
      <c r="Q621" s="1"/>
      <c r="R621" s="1"/>
      <c r="S621" s="1"/>
      <c r="T621" s="1"/>
      <c r="U621" s="2"/>
      <c r="V621" s="1"/>
      <c r="W621" s="1"/>
      <c r="X621" s="1"/>
      <c r="Y621" s="1"/>
      <c r="Z621" s="1"/>
    </row>
    <row r="622" spans="1:26" ht="24.75" customHeight="1">
      <c r="A622" s="1"/>
      <c r="B622" s="1"/>
      <c r="C622" s="1"/>
      <c r="D622" s="1"/>
      <c r="E622" s="1"/>
      <c r="F622" s="1"/>
      <c r="G622" s="1"/>
      <c r="H622" s="1"/>
      <c r="I622" s="1"/>
      <c r="J622" s="1"/>
      <c r="K622" s="1"/>
      <c r="L622" s="1"/>
      <c r="M622" s="1"/>
      <c r="N622" s="1"/>
      <c r="O622" s="1"/>
      <c r="P622" s="1"/>
      <c r="Q622" s="1"/>
      <c r="R622" s="1"/>
      <c r="S622" s="1"/>
      <c r="T622" s="1"/>
      <c r="U622" s="2"/>
      <c r="V622" s="1"/>
      <c r="W622" s="1"/>
      <c r="X622" s="1"/>
      <c r="Y622" s="1"/>
      <c r="Z622" s="1"/>
    </row>
    <row r="623" spans="1:26" ht="24.75" customHeight="1">
      <c r="A623" s="1"/>
      <c r="B623" s="1"/>
      <c r="C623" s="1"/>
      <c r="D623" s="1"/>
      <c r="E623" s="1"/>
      <c r="F623" s="1"/>
      <c r="G623" s="1"/>
      <c r="H623" s="1"/>
      <c r="I623" s="1"/>
      <c r="J623" s="1"/>
      <c r="K623" s="1"/>
      <c r="L623" s="1"/>
      <c r="M623" s="1"/>
      <c r="N623" s="1"/>
      <c r="O623" s="1"/>
      <c r="P623" s="1"/>
      <c r="Q623" s="1"/>
      <c r="R623" s="1"/>
      <c r="S623" s="1"/>
      <c r="T623" s="1"/>
      <c r="U623" s="2"/>
      <c r="V623" s="1"/>
      <c r="W623" s="1"/>
      <c r="X623" s="1"/>
      <c r="Y623" s="1"/>
      <c r="Z623" s="1"/>
    </row>
    <row r="624" spans="1:26" ht="24.75" customHeight="1">
      <c r="A624" s="1"/>
      <c r="B624" s="1"/>
      <c r="C624" s="1"/>
      <c r="D624" s="1"/>
      <c r="E624" s="1"/>
      <c r="F624" s="1"/>
      <c r="G624" s="1"/>
      <c r="H624" s="1"/>
      <c r="I624" s="1"/>
      <c r="J624" s="1"/>
      <c r="K624" s="1"/>
      <c r="L624" s="1"/>
      <c r="M624" s="1"/>
      <c r="N624" s="1"/>
      <c r="O624" s="1"/>
      <c r="P624" s="1"/>
      <c r="Q624" s="1"/>
      <c r="R624" s="1"/>
      <c r="S624" s="1"/>
      <c r="T624" s="1"/>
      <c r="U624" s="2"/>
      <c r="V624" s="1"/>
      <c r="W624" s="1"/>
      <c r="X624" s="1"/>
      <c r="Y624" s="1"/>
      <c r="Z624" s="1"/>
    </row>
    <row r="625" spans="1:26" ht="24.75" customHeight="1">
      <c r="A625" s="1"/>
      <c r="B625" s="1"/>
      <c r="C625" s="1"/>
      <c r="D625" s="1"/>
      <c r="E625" s="1"/>
      <c r="F625" s="1"/>
      <c r="G625" s="1"/>
      <c r="H625" s="1"/>
      <c r="I625" s="1"/>
      <c r="J625" s="1"/>
      <c r="K625" s="1"/>
      <c r="L625" s="1"/>
      <c r="M625" s="1"/>
      <c r="N625" s="1"/>
      <c r="O625" s="1"/>
      <c r="P625" s="1"/>
      <c r="Q625" s="1"/>
      <c r="R625" s="1"/>
      <c r="S625" s="1"/>
      <c r="T625" s="1"/>
      <c r="U625" s="2"/>
      <c r="V625" s="1"/>
      <c r="W625" s="1"/>
      <c r="X625" s="1"/>
      <c r="Y625" s="1"/>
      <c r="Z625" s="1"/>
    </row>
    <row r="626" spans="1:26" ht="24.75" customHeight="1">
      <c r="A626" s="1"/>
      <c r="B626" s="1"/>
      <c r="C626" s="1"/>
      <c r="D626" s="1"/>
      <c r="E626" s="1"/>
      <c r="F626" s="1"/>
      <c r="G626" s="1"/>
      <c r="H626" s="1"/>
      <c r="I626" s="1"/>
      <c r="J626" s="1"/>
      <c r="K626" s="1"/>
      <c r="L626" s="1"/>
      <c r="M626" s="1"/>
      <c r="N626" s="1"/>
      <c r="O626" s="1"/>
      <c r="P626" s="1"/>
      <c r="Q626" s="1"/>
      <c r="R626" s="1"/>
      <c r="S626" s="1"/>
      <c r="T626" s="1"/>
      <c r="U626" s="2"/>
      <c r="V626" s="1"/>
      <c r="W626" s="1"/>
      <c r="X626" s="1"/>
      <c r="Y626" s="1"/>
      <c r="Z626" s="1"/>
    </row>
    <row r="627" spans="1:26" ht="24.75" customHeight="1">
      <c r="A627" s="1"/>
      <c r="B627" s="1"/>
      <c r="C627" s="1"/>
      <c r="D627" s="1"/>
      <c r="E627" s="1"/>
      <c r="F627" s="1"/>
      <c r="G627" s="1"/>
      <c r="H627" s="1"/>
      <c r="I627" s="1"/>
      <c r="J627" s="1"/>
      <c r="K627" s="1"/>
      <c r="L627" s="1"/>
      <c r="M627" s="1"/>
      <c r="N627" s="1"/>
      <c r="O627" s="1"/>
      <c r="P627" s="1"/>
      <c r="Q627" s="1"/>
      <c r="R627" s="1"/>
      <c r="S627" s="1"/>
      <c r="T627" s="1"/>
      <c r="U627" s="2"/>
      <c r="V627" s="1"/>
      <c r="W627" s="1"/>
      <c r="X627" s="1"/>
      <c r="Y627" s="1"/>
      <c r="Z627" s="1"/>
    </row>
    <row r="628" spans="1:26" ht="24.75" customHeight="1">
      <c r="A628" s="1"/>
      <c r="B628" s="1"/>
      <c r="C628" s="1"/>
      <c r="D628" s="1"/>
      <c r="E628" s="1"/>
      <c r="F628" s="1"/>
      <c r="G628" s="1"/>
      <c r="H628" s="1"/>
      <c r="I628" s="1"/>
      <c r="J628" s="1"/>
      <c r="K628" s="1"/>
      <c r="L628" s="1"/>
      <c r="M628" s="1"/>
      <c r="N628" s="1"/>
      <c r="O628" s="1"/>
      <c r="P628" s="1"/>
      <c r="Q628" s="1"/>
      <c r="R628" s="1"/>
      <c r="S628" s="1"/>
      <c r="T628" s="1"/>
      <c r="U628" s="2"/>
      <c r="V628" s="1"/>
      <c r="W628" s="1"/>
      <c r="X628" s="1"/>
      <c r="Y628" s="1"/>
      <c r="Z628" s="1"/>
    </row>
    <row r="629" spans="1:26" ht="24.75" customHeight="1">
      <c r="A629" s="1"/>
      <c r="B629" s="1"/>
      <c r="C629" s="1"/>
      <c r="D629" s="1"/>
      <c r="E629" s="1"/>
      <c r="F629" s="1"/>
      <c r="G629" s="1"/>
      <c r="H629" s="1"/>
      <c r="I629" s="1"/>
      <c r="J629" s="1"/>
      <c r="K629" s="1"/>
      <c r="L629" s="1"/>
      <c r="M629" s="1"/>
      <c r="N629" s="1"/>
      <c r="O629" s="1"/>
      <c r="P629" s="1"/>
      <c r="Q629" s="1"/>
      <c r="R629" s="1"/>
      <c r="S629" s="1"/>
      <c r="T629" s="1"/>
      <c r="U629" s="2"/>
      <c r="V629" s="1"/>
      <c r="W629" s="1"/>
      <c r="X629" s="1"/>
      <c r="Y629" s="1"/>
      <c r="Z629" s="1"/>
    </row>
    <row r="630" spans="1:26" ht="24.75" customHeight="1">
      <c r="A630" s="1"/>
      <c r="B630" s="1"/>
      <c r="C630" s="1"/>
      <c r="D630" s="1"/>
      <c r="E630" s="1"/>
      <c r="F630" s="1"/>
      <c r="G630" s="1"/>
      <c r="H630" s="1"/>
      <c r="I630" s="1"/>
      <c r="J630" s="1"/>
      <c r="K630" s="1"/>
      <c r="L630" s="1"/>
      <c r="M630" s="1"/>
      <c r="N630" s="1"/>
      <c r="O630" s="1"/>
      <c r="P630" s="1"/>
      <c r="Q630" s="1"/>
      <c r="R630" s="1"/>
      <c r="S630" s="1"/>
      <c r="T630" s="1"/>
      <c r="U630" s="2"/>
      <c r="V630" s="1"/>
      <c r="W630" s="1"/>
      <c r="X630" s="1"/>
      <c r="Y630" s="1"/>
      <c r="Z630" s="1"/>
    </row>
    <row r="631" spans="1:26" ht="24.75" customHeight="1">
      <c r="A631" s="1"/>
      <c r="B631" s="1"/>
      <c r="C631" s="1"/>
      <c r="D631" s="1"/>
      <c r="E631" s="1"/>
      <c r="F631" s="1"/>
      <c r="G631" s="1"/>
      <c r="H631" s="1"/>
      <c r="I631" s="1"/>
      <c r="J631" s="1"/>
      <c r="K631" s="1"/>
      <c r="L631" s="1"/>
      <c r="M631" s="1"/>
      <c r="N631" s="1"/>
      <c r="O631" s="1"/>
      <c r="P631" s="1"/>
      <c r="Q631" s="1"/>
      <c r="R631" s="1"/>
      <c r="S631" s="1"/>
      <c r="T631" s="1"/>
      <c r="U631" s="2"/>
      <c r="V631" s="1"/>
      <c r="W631" s="1"/>
      <c r="X631" s="1"/>
      <c r="Y631" s="1"/>
      <c r="Z631" s="1"/>
    </row>
    <row r="632" spans="1:26" ht="24.75" customHeight="1">
      <c r="A632" s="1"/>
      <c r="B632" s="1"/>
      <c r="C632" s="1"/>
      <c r="D632" s="1"/>
      <c r="E632" s="1"/>
      <c r="F632" s="1"/>
      <c r="G632" s="1"/>
      <c r="H632" s="1"/>
      <c r="I632" s="1"/>
      <c r="J632" s="1"/>
      <c r="K632" s="1"/>
      <c r="L632" s="1"/>
      <c r="M632" s="1"/>
      <c r="N632" s="1"/>
      <c r="O632" s="1"/>
      <c r="P632" s="1"/>
      <c r="Q632" s="1"/>
      <c r="R632" s="1"/>
      <c r="S632" s="1"/>
      <c r="T632" s="1"/>
      <c r="U632" s="2"/>
      <c r="V632" s="1"/>
      <c r="W632" s="1"/>
      <c r="X632" s="1"/>
      <c r="Y632" s="1"/>
      <c r="Z632" s="1"/>
    </row>
    <row r="633" spans="1:26" ht="24.75" customHeight="1">
      <c r="A633" s="1"/>
      <c r="B633" s="1"/>
      <c r="C633" s="1"/>
      <c r="D633" s="1"/>
      <c r="E633" s="1"/>
      <c r="F633" s="1"/>
      <c r="G633" s="1"/>
      <c r="H633" s="1"/>
      <c r="I633" s="1"/>
      <c r="J633" s="1"/>
      <c r="K633" s="1"/>
      <c r="L633" s="1"/>
      <c r="M633" s="1"/>
      <c r="N633" s="1"/>
      <c r="O633" s="1"/>
      <c r="P633" s="1"/>
      <c r="Q633" s="1"/>
      <c r="R633" s="1"/>
      <c r="S633" s="1"/>
      <c r="T633" s="1"/>
      <c r="U633" s="2"/>
      <c r="V633" s="1"/>
      <c r="W633" s="1"/>
      <c r="X633" s="1"/>
      <c r="Y633" s="1"/>
      <c r="Z633" s="1"/>
    </row>
    <row r="634" spans="1:26" ht="24.75" customHeight="1">
      <c r="A634" s="1"/>
      <c r="B634" s="1"/>
      <c r="C634" s="1"/>
      <c r="D634" s="1"/>
      <c r="E634" s="1"/>
      <c r="F634" s="1"/>
      <c r="G634" s="1"/>
      <c r="H634" s="1"/>
      <c r="I634" s="1"/>
      <c r="J634" s="1"/>
      <c r="K634" s="1"/>
      <c r="L634" s="1"/>
      <c r="M634" s="1"/>
      <c r="N634" s="1"/>
      <c r="O634" s="1"/>
      <c r="P634" s="1"/>
      <c r="Q634" s="1"/>
      <c r="R634" s="1"/>
      <c r="S634" s="1"/>
      <c r="T634" s="1"/>
      <c r="U634" s="2"/>
      <c r="V634" s="1"/>
      <c r="W634" s="1"/>
      <c r="X634" s="1"/>
      <c r="Y634" s="1"/>
      <c r="Z634" s="1"/>
    </row>
    <row r="635" spans="1:26" ht="24.75" customHeight="1">
      <c r="A635" s="1"/>
      <c r="B635" s="1"/>
      <c r="C635" s="1"/>
      <c r="D635" s="1"/>
      <c r="E635" s="1"/>
      <c r="F635" s="1"/>
      <c r="G635" s="1"/>
      <c r="H635" s="1"/>
      <c r="I635" s="1"/>
      <c r="J635" s="1"/>
      <c r="K635" s="1"/>
      <c r="L635" s="1"/>
      <c r="M635" s="1"/>
      <c r="N635" s="1"/>
      <c r="O635" s="1"/>
      <c r="P635" s="1"/>
      <c r="Q635" s="1"/>
      <c r="R635" s="1"/>
      <c r="S635" s="1"/>
      <c r="T635" s="1"/>
      <c r="U635" s="2"/>
      <c r="V635" s="1"/>
      <c r="W635" s="1"/>
      <c r="X635" s="1"/>
      <c r="Y635" s="1"/>
      <c r="Z635" s="1"/>
    </row>
    <row r="636" spans="1:26" ht="24.75" customHeight="1">
      <c r="A636" s="1"/>
      <c r="B636" s="1"/>
      <c r="C636" s="1"/>
      <c r="D636" s="1"/>
      <c r="E636" s="1"/>
      <c r="F636" s="1"/>
      <c r="G636" s="1"/>
      <c r="H636" s="1"/>
      <c r="I636" s="1"/>
      <c r="J636" s="1"/>
      <c r="K636" s="1"/>
      <c r="L636" s="1"/>
      <c r="M636" s="1"/>
      <c r="N636" s="1"/>
      <c r="O636" s="1"/>
      <c r="P636" s="1"/>
      <c r="Q636" s="1"/>
      <c r="R636" s="1"/>
      <c r="S636" s="1"/>
      <c r="T636" s="1"/>
      <c r="U636" s="2"/>
      <c r="V636" s="1"/>
      <c r="W636" s="1"/>
      <c r="X636" s="1"/>
      <c r="Y636" s="1"/>
      <c r="Z636" s="1"/>
    </row>
    <row r="637" spans="1:26" ht="24.75" customHeight="1">
      <c r="A637" s="1"/>
      <c r="B637" s="1"/>
      <c r="C637" s="1"/>
      <c r="D637" s="1"/>
      <c r="E637" s="1"/>
      <c r="F637" s="1"/>
      <c r="G637" s="1"/>
      <c r="H637" s="1"/>
      <c r="I637" s="1"/>
      <c r="J637" s="1"/>
      <c r="K637" s="1"/>
      <c r="L637" s="1"/>
      <c r="M637" s="1"/>
      <c r="N637" s="1"/>
      <c r="O637" s="1"/>
      <c r="P637" s="1"/>
      <c r="Q637" s="1"/>
      <c r="R637" s="1"/>
      <c r="S637" s="1"/>
      <c r="T637" s="1"/>
      <c r="U637" s="2"/>
      <c r="V637" s="1"/>
      <c r="W637" s="1"/>
      <c r="X637" s="1"/>
      <c r="Y637" s="1"/>
      <c r="Z637" s="1"/>
    </row>
    <row r="638" spans="1:26" ht="24.75" customHeight="1">
      <c r="A638" s="1"/>
      <c r="B638" s="1"/>
      <c r="C638" s="1"/>
      <c r="D638" s="1"/>
      <c r="E638" s="1"/>
      <c r="F638" s="1"/>
      <c r="G638" s="1"/>
      <c r="H638" s="1"/>
      <c r="I638" s="1"/>
      <c r="J638" s="1"/>
      <c r="K638" s="1"/>
      <c r="L638" s="1"/>
      <c r="M638" s="1"/>
      <c r="N638" s="1"/>
      <c r="O638" s="1"/>
      <c r="P638" s="1"/>
      <c r="Q638" s="1"/>
      <c r="R638" s="1"/>
      <c r="S638" s="1"/>
      <c r="T638" s="1"/>
      <c r="U638" s="2"/>
      <c r="V638" s="1"/>
      <c r="W638" s="1"/>
      <c r="X638" s="1"/>
      <c r="Y638" s="1"/>
      <c r="Z638" s="1"/>
    </row>
    <row r="639" spans="1:26" ht="24.75" customHeight="1">
      <c r="A639" s="1"/>
      <c r="B639" s="1"/>
      <c r="C639" s="1"/>
      <c r="D639" s="1"/>
      <c r="E639" s="1"/>
      <c r="F639" s="1"/>
      <c r="G639" s="1"/>
      <c r="H639" s="1"/>
      <c r="I639" s="1"/>
      <c r="J639" s="1"/>
      <c r="K639" s="1"/>
      <c r="L639" s="1"/>
      <c r="M639" s="1"/>
      <c r="N639" s="1"/>
      <c r="O639" s="1"/>
      <c r="P639" s="1"/>
      <c r="Q639" s="1"/>
      <c r="R639" s="1"/>
      <c r="S639" s="1"/>
      <c r="T639" s="1"/>
      <c r="U639" s="2"/>
      <c r="V639" s="1"/>
      <c r="W639" s="1"/>
      <c r="X639" s="1"/>
      <c r="Y639" s="1"/>
      <c r="Z639" s="1"/>
    </row>
    <row r="640" spans="1:26" ht="24.75" customHeight="1">
      <c r="A640" s="1"/>
      <c r="B640" s="1"/>
      <c r="C640" s="1"/>
      <c r="D640" s="1"/>
      <c r="E640" s="1"/>
      <c r="F640" s="1"/>
      <c r="G640" s="1"/>
      <c r="H640" s="1"/>
      <c r="I640" s="1"/>
      <c r="J640" s="1"/>
      <c r="K640" s="1"/>
      <c r="L640" s="1"/>
      <c r="M640" s="1"/>
      <c r="N640" s="1"/>
      <c r="O640" s="1"/>
      <c r="P640" s="1"/>
      <c r="Q640" s="1"/>
      <c r="R640" s="1"/>
      <c r="S640" s="1"/>
      <c r="T640" s="1"/>
      <c r="U640" s="2"/>
      <c r="V640" s="1"/>
      <c r="W640" s="1"/>
      <c r="X640" s="1"/>
      <c r="Y640" s="1"/>
      <c r="Z640" s="1"/>
    </row>
    <row r="641" spans="1:26" ht="24.75" customHeight="1">
      <c r="A641" s="1"/>
      <c r="B641" s="1"/>
      <c r="C641" s="1"/>
      <c r="D641" s="1"/>
      <c r="E641" s="1"/>
      <c r="F641" s="1"/>
      <c r="G641" s="1"/>
      <c r="H641" s="1"/>
      <c r="I641" s="1"/>
      <c r="J641" s="1"/>
      <c r="K641" s="1"/>
      <c r="L641" s="1"/>
      <c r="M641" s="1"/>
      <c r="N641" s="1"/>
      <c r="O641" s="1"/>
      <c r="P641" s="1"/>
      <c r="Q641" s="1"/>
      <c r="R641" s="1"/>
      <c r="S641" s="1"/>
      <c r="T641" s="1"/>
      <c r="U641" s="2"/>
      <c r="V641" s="1"/>
      <c r="W641" s="1"/>
      <c r="X641" s="1"/>
      <c r="Y641" s="1"/>
      <c r="Z641" s="1"/>
    </row>
    <row r="642" spans="1:26" ht="24.75" customHeight="1">
      <c r="A642" s="1"/>
      <c r="B642" s="1"/>
      <c r="C642" s="1"/>
      <c r="D642" s="1"/>
      <c r="E642" s="1"/>
      <c r="F642" s="1"/>
      <c r="G642" s="1"/>
      <c r="H642" s="1"/>
      <c r="I642" s="1"/>
      <c r="J642" s="1"/>
      <c r="K642" s="1"/>
      <c r="L642" s="1"/>
      <c r="M642" s="1"/>
      <c r="N642" s="1"/>
      <c r="O642" s="1"/>
      <c r="P642" s="1"/>
      <c r="Q642" s="1"/>
      <c r="R642" s="1"/>
      <c r="S642" s="1"/>
      <c r="T642" s="1"/>
      <c r="U642" s="2"/>
      <c r="V642" s="1"/>
      <c r="W642" s="1"/>
      <c r="X642" s="1"/>
      <c r="Y642" s="1"/>
      <c r="Z642" s="1"/>
    </row>
    <row r="643" spans="1:26" ht="24.75" customHeight="1">
      <c r="A643" s="1"/>
      <c r="B643" s="1"/>
      <c r="C643" s="1"/>
      <c r="D643" s="1"/>
      <c r="E643" s="1"/>
      <c r="F643" s="1"/>
      <c r="G643" s="1"/>
      <c r="H643" s="1"/>
      <c r="I643" s="1"/>
      <c r="J643" s="1"/>
      <c r="K643" s="1"/>
      <c r="L643" s="1"/>
      <c r="M643" s="1"/>
      <c r="N643" s="1"/>
      <c r="O643" s="1"/>
      <c r="P643" s="1"/>
      <c r="Q643" s="1"/>
      <c r="R643" s="1"/>
      <c r="S643" s="1"/>
      <c r="T643" s="1"/>
      <c r="U643" s="2"/>
      <c r="V643" s="1"/>
      <c r="W643" s="1"/>
      <c r="X643" s="1"/>
      <c r="Y643" s="1"/>
      <c r="Z643" s="1"/>
    </row>
    <row r="644" spans="1:26" ht="24.75" customHeight="1">
      <c r="A644" s="1"/>
      <c r="B644" s="1"/>
      <c r="C644" s="1"/>
      <c r="D644" s="1"/>
      <c r="E644" s="1"/>
      <c r="F644" s="1"/>
      <c r="G644" s="1"/>
      <c r="H644" s="1"/>
      <c r="I644" s="1"/>
      <c r="J644" s="1"/>
      <c r="K644" s="1"/>
      <c r="L644" s="1"/>
      <c r="M644" s="1"/>
      <c r="N644" s="1"/>
      <c r="O644" s="1"/>
      <c r="P644" s="1"/>
      <c r="Q644" s="1"/>
      <c r="R644" s="1"/>
      <c r="S644" s="1"/>
      <c r="T644" s="1"/>
      <c r="U644" s="2"/>
      <c r="V644" s="1"/>
      <c r="W644" s="1"/>
      <c r="X644" s="1"/>
      <c r="Y644" s="1"/>
      <c r="Z644" s="1"/>
    </row>
    <row r="645" spans="1:26" ht="24.75" customHeight="1">
      <c r="A645" s="1"/>
      <c r="B645" s="1"/>
      <c r="C645" s="1"/>
      <c r="D645" s="1"/>
      <c r="E645" s="1"/>
      <c r="F645" s="1"/>
      <c r="G645" s="1"/>
      <c r="H645" s="1"/>
      <c r="I645" s="1"/>
      <c r="J645" s="1"/>
      <c r="K645" s="1"/>
      <c r="L645" s="1"/>
      <c r="M645" s="1"/>
      <c r="N645" s="1"/>
      <c r="O645" s="1"/>
      <c r="P645" s="1"/>
      <c r="Q645" s="1"/>
      <c r="R645" s="1"/>
      <c r="S645" s="1"/>
      <c r="T645" s="1"/>
      <c r="U645" s="2"/>
      <c r="V645" s="1"/>
      <c r="W645" s="1"/>
      <c r="X645" s="1"/>
      <c r="Y645" s="1"/>
      <c r="Z645" s="1"/>
    </row>
    <row r="646" spans="1:26" ht="24.75" customHeight="1">
      <c r="A646" s="1"/>
      <c r="B646" s="1"/>
      <c r="C646" s="1"/>
      <c r="D646" s="1"/>
      <c r="E646" s="1"/>
      <c r="F646" s="1"/>
      <c r="G646" s="1"/>
      <c r="H646" s="1"/>
      <c r="I646" s="1"/>
      <c r="J646" s="1"/>
      <c r="K646" s="1"/>
      <c r="L646" s="1"/>
      <c r="M646" s="1"/>
      <c r="N646" s="1"/>
      <c r="O646" s="1"/>
      <c r="P646" s="1"/>
      <c r="Q646" s="1"/>
      <c r="R646" s="1"/>
      <c r="S646" s="1"/>
      <c r="T646" s="1"/>
      <c r="U646" s="2"/>
      <c r="V646" s="1"/>
      <c r="W646" s="1"/>
      <c r="X646" s="1"/>
      <c r="Y646" s="1"/>
      <c r="Z646" s="1"/>
    </row>
    <row r="647" spans="1:26" ht="24.75" customHeight="1">
      <c r="A647" s="1"/>
      <c r="B647" s="1"/>
      <c r="C647" s="1"/>
      <c r="D647" s="1"/>
      <c r="E647" s="1"/>
      <c r="F647" s="1"/>
      <c r="G647" s="1"/>
      <c r="H647" s="1"/>
      <c r="I647" s="1"/>
      <c r="J647" s="1"/>
      <c r="K647" s="1"/>
      <c r="L647" s="1"/>
      <c r="M647" s="1"/>
      <c r="N647" s="1"/>
      <c r="O647" s="1"/>
      <c r="P647" s="1"/>
      <c r="Q647" s="1"/>
      <c r="R647" s="1"/>
      <c r="S647" s="1"/>
      <c r="T647" s="1"/>
      <c r="U647" s="2"/>
      <c r="V647" s="1"/>
      <c r="W647" s="1"/>
      <c r="X647" s="1"/>
      <c r="Y647" s="1"/>
      <c r="Z647" s="1"/>
    </row>
    <row r="648" spans="1:26" ht="24.75" customHeight="1">
      <c r="A648" s="1"/>
      <c r="B648" s="1"/>
      <c r="C648" s="1"/>
      <c r="D648" s="1"/>
      <c r="E648" s="1"/>
      <c r="F648" s="1"/>
      <c r="G648" s="1"/>
      <c r="H648" s="1"/>
      <c r="I648" s="1"/>
      <c r="J648" s="1"/>
      <c r="K648" s="1"/>
      <c r="L648" s="1"/>
      <c r="M648" s="1"/>
      <c r="N648" s="1"/>
      <c r="O648" s="1"/>
      <c r="P648" s="1"/>
      <c r="Q648" s="1"/>
      <c r="R648" s="1"/>
      <c r="S648" s="1"/>
      <c r="T648" s="1"/>
      <c r="U648" s="2"/>
      <c r="V648" s="1"/>
      <c r="W648" s="1"/>
      <c r="X648" s="1"/>
      <c r="Y648" s="1"/>
      <c r="Z648" s="1"/>
    </row>
    <row r="649" spans="1:26" ht="24.75" customHeight="1">
      <c r="A649" s="1"/>
      <c r="B649" s="1"/>
      <c r="C649" s="1"/>
      <c r="D649" s="1"/>
      <c r="E649" s="1"/>
      <c r="F649" s="1"/>
      <c r="G649" s="1"/>
      <c r="H649" s="1"/>
      <c r="I649" s="1"/>
      <c r="J649" s="1"/>
      <c r="K649" s="1"/>
      <c r="L649" s="1"/>
      <c r="M649" s="1"/>
      <c r="N649" s="1"/>
      <c r="O649" s="1"/>
      <c r="P649" s="1"/>
      <c r="Q649" s="1"/>
      <c r="R649" s="1"/>
      <c r="S649" s="1"/>
      <c r="T649" s="1"/>
      <c r="U649" s="2"/>
      <c r="V649" s="1"/>
      <c r="W649" s="1"/>
      <c r="X649" s="1"/>
      <c r="Y649" s="1"/>
      <c r="Z649" s="1"/>
    </row>
    <row r="650" spans="1:26" ht="24.75" customHeight="1">
      <c r="A650" s="1"/>
      <c r="B650" s="1"/>
      <c r="C650" s="1"/>
      <c r="D650" s="1"/>
      <c r="E650" s="1"/>
      <c r="F650" s="1"/>
      <c r="G650" s="1"/>
      <c r="H650" s="1"/>
      <c r="I650" s="1"/>
      <c r="J650" s="1"/>
      <c r="K650" s="1"/>
      <c r="L650" s="1"/>
      <c r="M650" s="1"/>
      <c r="N650" s="1"/>
      <c r="O650" s="1"/>
      <c r="P650" s="1"/>
      <c r="Q650" s="1"/>
      <c r="R650" s="1"/>
      <c r="S650" s="1"/>
      <c r="T650" s="1"/>
      <c r="U650" s="2"/>
      <c r="V650" s="1"/>
      <c r="W650" s="1"/>
      <c r="X650" s="1"/>
      <c r="Y650" s="1"/>
      <c r="Z650" s="1"/>
    </row>
    <row r="651" spans="1:26" ht="24.75" customHeight="1">
      <c r="A651" s="1"/>
      <c r="B651" s="1"/>
      <c r="C651" s="1"/>
      <c r="D651" s="1"/>
      <c r="E651" s="1"/>
      <c r="F651" s="1"/>
      <c r="G651" s="1"/>
      <c r="H651" s="1"/>
      <c r="I651" s="1"/>
      <c r="J651" s="1"/>
      <c r="K651" s="1"/>
      <c r="L651" s="1"/>
      <c r="M651" s="1"/>
      <c r="N651" s="1"/>
      <c r="O651" s="1"/>
      <c r="P651" s="1"/>
      <c r="Q651" s="1"/>
      <c r="R651" s="1"/>
      <c r="S651" s="1"/>
      <c r="T651" s="1"/>
      <c r="U651" s="2"/>
      <c r="V651" s="1"/>
      <c r="W651" s="1"/>
      <c r="X651" s="1"/>
      <c r="Y651" s="1"/>
      <c r="Z651" s="1"/>
    </row>
    <row r="652" spans="1:26" ht="24.75" customHeight="1">
      <c r="A652" s="1"/>
      <c r="B652" s="1"/>
      <c r="C652" s="1"/>
      <c r="D652" s="1"/>
      <c r="E652" s="1"/>
      <c r="F652" s="1"/>
      <c r="G652" s="1"/>
      <c r="H652" s="1"/>
      <c r="I652" s="1"/>
      <c r="J652" s="1"/>
      <c r="K652" s="1"/>
      <c r="L652" s="1"/>
      <c r="M652" s="1"/>
      <c r="N652" s="1"/>
      <c r="O652" s="1"/>
      <c r="P652" s="1"/>
      <c r="Q652" s="1"/>
      <c r="R652" s="1"/>
      <c r="S652" s="1"/>
      <c r="T652" s="1"/>
      <c r="U652" s="2"/>
      <c r="V652" s="1"/>
      <c r="W652" s="1"/>
      <c r="X652" s="1"/>
      <c r="Y652" s="1"/>
      <c r="Z652" s="1"/>
    </row>
    <row r="653" spans="1:26" ht="24.75" customHeight="1">
      <c r="A653" s="1"/>
      <c r="B653" s="1"/>
      <c r="C653" s="1"/>
      <c r="D653" s="1"/>
      <c r="E653" s="1"/>
      <c r="F653" s="1"/>
      <c r="G653" s="1"/>
      <c r="H653" s="1"/>
      <c r="I653" s="1"/>
      <c r="J653" s="1"/>
      <c r="K653" s="1"/>
      <c r="L653" s="1"/>
      <c r="M653" s="1"/>
      <c r="N653" s="1"/>
      <c r="O653" s="1"/>
      <c r="P653" s="1"/>
      <c r="Q653" s="1"/>
      <c r="R653" s="1"/>
      <c r="S653" s="1"/>
      <c r="T653" s="1"/>
      <c r="U653" s="2"/>
      <c r="V653" s="1"/>
      <c r="W653" s="1"/>
      <c r="X653" s="1"/>
      <c r="Y653" s="1"/>
      <c r="Z653" s="1"/>
    </row>
    <row r="654" spans="1:26" ht="24.75" customHeight="1">
      <c r="A654" s="1"/>
      <c r="B654" s="1"/>
      <c r="C654" s="1"/>
      <c r="D654" s="1"/>
      <c r="E654" s="1"/>
      <c r="F654" s="1"/>
      <c r="G654" s="1"/>
      <c r="H654" s="1"/>
      <c r="I654" s="1"/>
      <c r="J654" s="1"/>
      <c r="K654" s="1"/>
      <c r="L654" s="1"/>
      <c r="M654" s="1"/>
      <c r="N654" s="1"/>
      <c r="O654" s="1"/>
      <c r="P654" s="1"/>
      <c r="Q654" s="1"/>
      <c r="R654" s="1"/>
      <c r="S654" s="1"/>
      <c r="T654" s="1"/>
      <c r="U654" s="2"/>
      <c r="V654" s="1"/>
      <c r="W654" s="1"/>
      <c r="X654" s="1"/>
      <c r="Y654" s="1"/>
      <c r="Z654" s="1"/>
    </row>
    <row r="655" spans="1:26" ht="24.75" customHeight="1">
      <c r="A655" s="1"/>
      <c r="B655" s="1"/>
      <c r="C655" s="1"/>
      <c r="D655" s="1"/>
      <c r="E655" s="1"/>
      <c r="F655" s="1"/>
      <c r="G655" s="1"/>
      <c r="H655" s="1"/>
      <c r="I655" s="1"/>
      <c r="J655" s="1"/>
      <c r="K655" s="1"/>
      <c r="L655" s="1"/>
      <c r="M655" s="1"/>
      <c r="N655" s="1"/>
      <c r="O655" s="1"/>
      <c r="P655" s="1"/>
      <c r="Q655" s="1"/>
      <c r="R655" s="1"/>
      <c r="S655" s="1"/>
      <c r="T655" s="1"/>
      <c r="U655" s="2"/>
      <c r="V655" s="1"/>
      <c r="W655" s="1"/>
      <c r="X655" s="1"/>
      <c r="Y655" s="1"/>
      <c r="Z655" s="1"/>
    </row>
    <row r="656" spans="1:26" ht="24.75" customHeight="1">
      <c r="A656" s="1"/>
      <c r="B656" s="1"/>
      <c r="C656" s="1"/>
      <c r="D656" s="1"/>
      <c r="E656" s="1"/>
      <c r="F656" s="1"/>
      <c r="G656" s="1"/>
      <c r="H656" s="1"/>
      <c r="I656" s="1"/>
      <c r="J656" s="1"/>
      <c r="K656" s="1"/>
      <c r="L656" s="1"/>
      <c r="M656" s="1"/>
      <c r="N656" s="1"/>
      <c r="O656" s="1"/>
      <c r="P656" s="1"/>
      <c r="Q656" s="1"/>
      <c r="R656" s="1"/>
      <c r="S656" s="1"/>
      <c r="T656" s="1"/>
      <c r="U656" s="2"/>
      <c r="V656" s="1"/>
      <c r="W656" s="1"/>
      <c r="X656" s="1"/>
      <c r="Y656" s="1"/>
      <c r="Z656" s="1"/>
    </row>
    <row r="657" spans="1:26" ht="24.75" customHeight="1">
      <c r="A657" s="1"/>
      <c r="B657" s="1"/>
      <c r="C657" s="1"/>
      <c r="D657" s="1"/>
      <c r="E657" s="1"/>
      <c r="F657" s="1"/>
      <c r="G657" s="1"/>
      <c r="H657" s="1"/>
      <c r="I657" s="1"/>
      <c r="J657" s="1"/>
      <c r="K657" s="1"/>
      <c r="L657" s="1"/>
      <c r="M657" s="1"/>
      <c r="N657" s="1"/>
      <c r="O657" s="1"/>
      <c r="P657" s="1"/>
      <c r="Q657" s="1"/>
      <c r="R657" s="1"/>
      <c r="S657" s="1"/>
      <c r="T657" s="1"/>
      <c r="U657" s="2"/>
      <c r="V657" s="1"/>
      <c r="W657" s="1"/>
      <c r="X657" s="1"/>
      <c r="Y657" s="1"/>
      <c r="Z657" s="1"/>
    </row>
    <row r="658" spans="1:26" ht="24.75" customHeight="1">
      <c r="A658" s="1"/>
      <c r="B658" s="1"/>
      <c r="C658" s="1"/>
      <c r="D658" s="1"/>
      <c r="E658" s="1"/>
      <c r="F658" s="1"/>
      <c r="G658" s="1"/>
      <c r="H658" s="1"/>
      <c r="I658" s="1"/>
      <c r="J658" s="1"/>
      <c r="K658" s="1"/>
      <c r="L658" s="1"/>
      <c r="M658" s="1"/>
      <c r="N658" s="1"/>
      <c r="O658" s="1"/>
      <c r="P658" s="1"/>
      <c r="Q658" s="1"/>
      <c r="R658" s="1"/>
      <c r="S658" s="1"/>
      <c r="T658" s="1"/>
      <c r="U658" s="2"/>
      <c r="V658" s="1"/>
      <c r="W658" s="1"/>
      <c r="X658" s="1"/>
      <c r="Y658" s="1"/>
      <c r="Z658" s="1"/>
    </row>
    <row r="659" spans="1:26" ht="24.75" customHeight="1">
      <c r="A659" s="1"/>
      <c r="B659" s="1"/>
      <c r="C659" s="1"/>
      <c r="D659" s="1"/>
      <c r="E659" s="1"/>
      <c r="F659" s="1"/>
      <c r="G659" s="1"/>
      <c r="H659" s="1"/>
      <c r="I659" s="1"/>
      <c r="J659" s="1"/>
      <c r="K659" s="1"/>
      <c r="L659" s="1"/>
      <c r="M659" s="1"/>
      <c r="N659" s="1"/>
      <c r="O659" s="1"/>
      <c r="P659" s="1"/>
      <c r="Q659" s="1"/>
      <c r="R659" s="1"/>
      <c r="S659" s="1"/>
      <c r="T659" s="1"/>
      <c r="U659" s="2"/>
      <c r="V659" s="1"/>
      <c r="W659" s="1"/>
      <c r="X659" s="1"/>
      <c r="Y659" s="1"/>
      <c r="Z659" s="1"/>
    </row>
    <row r="660" spans="1:26" ht="24.75" customHeight="1">
      <c r="A660" s="1"/>
      <c r="B660" s="1"/>
      <c r="C660" s="1"/>
      <c r="D660" s="1"/>
      <c r="E660" s="1"/>
      <c r="F660" s="1"/>
      <c r="G660" s="1"/>
      <c r="H660" s="1"/>
      <c r="I660" s="1"/>
      <c r="J660" s="1"/>
      <c r="K660" s="1"/>
      <c r="L660" s="1"/>
      <c r="M660" s="1"/>
      <c r="N660" s="1"/>
      <c r="O660" s="1"/>
      <c r="P660" s="1"/>
      <c r="Q660" s="1"/>
      <c r="R660" s="1"/>
      <c r="S660" s="1"/>
      <c r="T660" s="1"/>
      <c r="U660" s="2"/>
      <c r="V660" s="1"/>
      <c r="W660" s="1"/>
      <c r="X660" s="1"/>
      <c r="Y660" s="1"/>
      <c r="Z660" s="1"/>
    </row>
    <row r="661" spans="1:26" ht="24.75" customHeight="1">
      <c r="A661" s="1"/>
      <c r="B661" s="1"/>
      <c r="C661" s="1"/>
      <c r="D661" s="1"/>
      <c r="E661" s="1"/>
      <c r="F661" s="1"/>
      <c r="G661" s="1"/>
      <c r="H661" s="1"/>
      <c r="I661" s="1"/>
      <c r="J661" s="1"/>
      <c r="K661" s="1"/>
      <c r="L661" s="1"/>
      <c r="M661" s="1"/>
      <c r="N661" s="1"/>
      <c r="O661" s="1"/>
      <c r="P661" s="1"/>
      <c r="Q661" s="1"/>
      <c r="R661" s="1"/>
      <c r="S661" s="1"/>
      <c r="T661" s="1"/>
      <c r="U661" s="2"/>
      <c r="V661" s="1"/>
      <c r="W661" s="1"/>
      <c r="X661" s="1"/>
      <c r="Y661" s="1"/>
      <c r="Z661" s="1"/>
    </row>
    <row r="662" spans="1:26" ht="24.75" customHeight="1">
      <c r="A662" s="1"/>
      <c r="B662" s="1"/>
      <c r="C662" s="1"/>
      <c r="D662" s="1"/>
      <c r="E662" s="1"/>
      <c r="F662" s="1"/>
      <c r="G662" s="1"/>
      <c r="H662" s="1"/>
      <c r="I662" s="1"/>
      <c r="J662" s="1"/>
      <c r="K662" s="1"/>
      <c r="L662" s="1"/>
      <c r="M662" s="1"/>
      <c r="N662" s="1"/>
      <c r="O662" s="1"/>
      <c r="P662" s="1"/>
      <c r="Q662" s="1"/>
      <c r="R662" s="1"/>
      <c r="S662" s="1"/>
      <c r="T662" s="1"/>
      <c r="U662" s="2"/>
      <c r="V662" s="1"/>
      <c r="W662" s="1"/>
      <c r="X662" s="1"/>
      <c r="Y662" s="1"/>
      <c r="Z662" s="1"/>
    </row>
    <row r="663" spans="1:26" ht="24.75" customHeight="1">
      <c r="A663" s="1"/>
      <c r="B663" s="1"/>
      <c r="C663" s="1"/>
      <c r="D663" s="1"/>
      <c r="E663" s="1"/>
      <c r="F663" s="1"/>
      <c r="G663" s="1"/>
      <c r="H663" s="1"/>
      <c r="I663" s="1"/>
      <c r="J663" s="1"/>
      <c r="K663" s="1"/>
      <c r="L663" s="1"/>
      <c r="M663" s="1"/>
      <c r="N663" s="1"/>
      <c r="O663" s="1"/>
      <c r="P663" s="1"/>
      <c r="Q663" s="1"/>
      <c r="R663" s="1"/>
      <c r="S663" s="1"/>
      <c r="T663" s="1"/>
      <c r="U663" s="2"/>
      <c r="V663" s="1"/>
      <c r="W663" s="1"/>
      <c r="X663" s="1"/>
      <c r="Y663" s="1"/>
      <c r="Z663" s="1"/>
    </row>
    <row r="664" spans="1:26" ht="24.75" customHeight="1">
      <c r="A664" s="1"/>
      <c r="B664" s="1"/>
      <c r="C664" s="1"/>
      <c r="D664" s="1"/>
      <c r="E664" s="1"/>
      <c r="F664" s="1"/>
      <c r="G664" s="1"/>
      <c r="H664" s="1"/>
      <c r="I664" s="1"/>
      <c r="J664" s="1"/>
      <c r="K664" s="1"/>
      <c r="L664" s="1"/>
      <c r="M664" s="1"/>
      <c r="N664" s="1"/>
      <c r="O664" s="1"/>
      <c r="P664" s="1"/>
      <c r="Q664" s="1"/>
      <c r="R664" s="1"/>
      <c r="S664" s="1"/>
      <c r="T664" s="1"/>
      <c r="U664" s="2"/>
      <c r="V664" s="1"/>
      <c r="W664" s="1"/>
      <c r="X664" s="1"/>
      <c r="Y664" s="1"/>
      <c r="Z664" s="1"/>
    </row>
    <row r="665" spans="1:26" ht="24.75" customHeight="1">
      <c r="A665" s="1"/>
      <c r="B665" s="1"/>
      <c r="C665" s="1"/>
      <c r="D665" s="1"/>
      <c r="E665" s="1"/>
      <c r="F665" s="1"/>
      <c r="G665" s="1"/>
      <c r="H665" s="1"/>
      <c r="I665" s="1"/>
      <c r="J665" s="1"/>
      <c r="K665" s="1"/>
      <c r="L665" s="1"/>
      <c r="M665" s="1"/>
      <c r="N665" s="1"/>
      <c r="O665" s="1"/>
      <c r="P665" s="1"/>
      <c r="Q665" s="1"/>
      <c r="R665" s="1"/>
      <c r="S665" s="1"/>
      <c r="T665" s="1"/>
      <c r="U665" s="2"/>
      <c r="V665" s="1"/>
      <c r="W665" s="1"/>
      <c r="X665" s="1"/>
      <c r="Y665" s="1"/>
      <c r="Z665" s="1"/>
    </row>
    <row r="666" spans="1:26" ht="24.75" customHeight="1">
      <c r="A666" s="1"/>
      <c r="B666" s="1"/>
      <c r="C666" s="1"/>
      <c r="D666" s="1"/>
      <c r="E666" s="1"/>
      <c r="F666" s="1"/>
      <c r="G666" s="1"/>
      <c r="H666" s="1"/>
      <c r="I666" s="1"/>
      <c r="J666" s="1"/>
      <c r="K666" s="1"/>
      <c r="L666" s="1"/>
      <c r="M666" s="1"/>
      <c r="N666" s="1"/>
      <c r="O666" s="1"/>
      <c r="P666" s="1"/>
      <c r="Q666" s="1"/>
      <c r="R666" s="1"/>
      <c r="S666" s="1"/>
      <c r="T666" s="1"/>
      <c r="U666" s="2"/>
      <c r="V666" s="1"/>
      <c r="W666" s="1"/>
      <c r="X666" s="1"/>
      <c r="Y666" s="1"/>
      <c r="Z666" s="1"/>
    </row>
    <row r="667" spans="1:26" ht="24.75" customHeight="1">
      <c r="A667" s="1"/>
      <c r="B667" s="1"/>
      <c r="C667" s="1"/>
      <c r="D667" s="1"/>
      <c r="E667" s="1"/>
      <c r="F667" s="1"/>
      <c r="G667" s="1"/>
      <c r="H667" s="1"/>
      <c r="I667" s="1"/>
      <c r="J667" s="1"/>
      <c r="K667" s="1"/>
      <c r="L667" s="1"/>
      <c r="M667" s="1"/>
      <c r="N667" s="1"/>
      <c r="O667" s="1"/>
      <c r="P667" s="1"/>
      <c r="Q667" s="1"/>
      <c r="R667" s="1"/>
      <c r="S667" s="1"/>
      <c r="T667" s="1"/>
      <c r="U667" s="2"/>
      <c r="V667" s="1"/>
      <c r="W667" s="1"/>
      <c r="X667" s="1"/>
      <c r="Y667" s="1"/>
      <c r="Z667" s="1"/>
    </row>
    <row r="668" spans="1:26" ht="24.75" customHeight="1">
      <c r="A668" s="1"/>
      <c r="B668" s="1"/>
      <c r="C668" s="1"/>
      <c r="D668" s="1"/>
      <c r="E668" s="1"/>
      <c r="F668" s="1"/>
      <c r="G668" s="1"/>
      <c r="H668" s="1"/>
      <c r="I668" s="1"/>
      <c r="J668" s="1"/>
      <c r="K668" s="1"/>
      <c r="L668" s="1"/>
      <c r="M668" s="1"/>
      <c r="N668" s="1"/>
      <c r="O668" s="1"/>
      <c r="P668" s="1"/>
      <c r="Q668" s="1"/>
      <c r="R668" s="1"/>
      <c r="S668" s="1"/>
      <c r="T668" s="1"/>
      <c r="U668" s="2"/>
      <c r="V668" s="1"/>
      <c r="W668" s="1"/>
      <c r="X668" s="1"/>
      <c r="Y668" s="1"/>
      <c r="Z668" s="1"/>
    </row>
    <row r="669" spans="1:26" ht="24.75" customHeight="1">
      <c r="A669" s="1"/>
      <c r="B669" s="1"/>
      <c r="C669" s="1"/>
      <c r="D669" s="1"/>
      <c r="E669" s="1"/>
      <c r="F669" s="1"/>
      <c r="G669" s="1"/>
      <c r="H669" s="1"/>
      <c r="I669" s="1"/>
      <c r="J669" s="1"/>
      <c r="K669" s="1"/>
      <c r="L669" s="1"/>
      <c r="M669" s="1"/>
      <c r="N669" s="1"/>
      <c r="O669" s="1"/>
      <c r="P669" s="1"/>
      <c r="Q669" s="1"/>
      <c r="R669" s="1"/>
      <c r="S669" s="1"/>
      <c r="T669" s="1"/>
      <c r="U669" s="2"/>
      <c r="V669" s="1"/>
      <c r="W669" s="1"/>
      <c r="X669" s="1"/>
      <c r="Y669" s="1"/>
      <c r="Z669" s="1"/>
    </row>
    <row r="670" spans="1:26" ht="24.75" customHeight="1">
      <c r="A670" s="1"/>
      <c r="B670" s="1"/>
      <c r="C670" s="1"/>
      <c r="D670" s="1"/>
      <c r="E670" s="1"/>
      <c r="F670" s="1"/>
      <c r="G670" s="1"/>
      <c r="H670" s="1"/>
      <c r="I670" s="1"/>
      <c r="J670" s="1"/>
      <c r="K670" s="1"/>
      <c r="L670" s="1"/>
      <c r="M670" s="1"/>
      <c r="N670" s="1"/>
      <c r="O670" s="1"/>
      <c r="P670" s="1"/>
      <c r="Q670" s="1"/>
      <c r="R670" s="1"/>
      <c r="S670" s="1"/>
      <c r="T670" s="1"/>
      <c r="U670" s="2"/>
      <c r="V670" s="1"/>
      <c r="W670" s="1"/>
      <c r="X670" s="1"/>
      <c r="Y670" s="1"/>
      <c r="Z670" s="1"/>
    </row>
    <row r="671" spans="1:26" ht="24.75" customHeight="1">
      <c r="A671" s="1"/>
      <c r="B671" s="1"/>
      <c r="C671" s="1"/>
      <c r="D671" s="1"/>
      <c r="E671" s="1"/>
      <c r="F671" s="1"/>
      <c r="G671" s="1"/>
      <c r="H671" s="1"/>
      <c r="I671" s="1"/>
      <c r="J671" s="1"/>
      <c r="K671" s="1"/>
      <c r="L671" s="1"/>
      <c r="M671" s="1"/>
      <c r="N671" s="1"/>
      <c r="O671" s="1"/>
      <c r="P671" s="1"/>
      <c r="Q671" s="1"/>
      <c r="R671" s="1"/>
      <c r="S671" s="1"/>
      <c r="T671" s="1"/>
      <c r="U671" s="2"/>
      <c r="V671" s="1"/>
      <c r="W671" s="1"/>
      <c r="X671" s="1"/>
      <c r="Y671" s="1"/>
      <c r="Z671" s="1"/>
    </row>
    <row r="672" spans="1:26" ht="24.75" customHeight="1">
      <c r="A672" s="1"/>
      <c r="B672" s="1"/>
      <c r="C672" s="1"/>
      <c r="D672" s="1"/>
      <c r="E672" s="1"/>
      <c r="F672" s="1"/>
      <c r="G672" s="1"/>
      <c r="H672" s="1"/>
      <c r="I672" s="1"/>
      <c r="J672" s="1"/>
      <c r="K672" s="1"/>
      <c r="L672" s="1"/>
      <c r="M672" s="1"/>
      <c r="N672" s="1"/>
      <c r="O672" s="1"/>
      <c r="P672" s="1"/>
      <c r="Q672" s="1"/>
      <c r="R672" s="1"/>
      <c r="S672" s="1"/>
      <c r="T672" s="1"/>
      <c r="U672" s="2"/>
      <c r="V672" s="1"/>
      <c r="W672" s="1"/>
      <c r="X672" s="1"/>
      <c r="Y672" s="1"/>
      <c r="Z672" s="1"/>
    </row>
    <row r="673" spans="1:26" ht="24.75" customHeight="1">
      <c r="A673" s="1"/>
      <c r="B673" s="1"/>
      <c r="C673" s="1"/>
      <c r="D673" s="1"/>
      <c r="E673" s="1"/>
      <c r="F673" s="1"/>
      <c r="G673" s="1"/>
      <c r="H673" s="1"/>
      <c r="I673" s="1"/>
      <c r="J673" s="1"/>
      <c r="K673" s="1"/>
      <c r="L673" s="1"/>
      <c r="M673" s="1"/>
      <c r="N673" s="1"/>
      <c r="O673" s="1"/>
      <c r="P673" s="1"/>
      <c r="Q673" s="1"/>
      <c r="R673" s="1"/>
      <c r="S673" s="1"/>
      <c r="T673" s="1"/>
      <c r="U673" s="2"/>
      <c r="V673" s="1"/>
      <c r="W673" s="1"/>
      <c r="X673" s="1"/>
      <c r="Y673" s="1"/>
      <c r="Z673" s="1"/>
    </row>
    <row r="674" spans="1:26" ht="24.75" customHeight="1">
      <c r="A674" s="1"/>
      <c r="B674" s="1"/>
      <c r="C674" s="1"/>
      <c r="D674" s="1"/>
      <c r="E674" s="1"/>
      <c r="F674" s="1"/>
      <c r="G674" s="1"/>
      <c r="H674" s="1"/>
      <c r="I674" s="1"/>
      <c r="J674" s="1"/>
      <c r="K674" s="1"/>
      <c r="L674" s="1"/>
      <c r="M674" s="1"/>
      <c r="N674" s="1"/>
      <c r="O674" s="1"/>
      <c r="P674" s="1"/>
      <c r="Q674" s="1"/>
      <c r="R674" s="1"/>
      <c r="S674" s="1"/>
      <c r="T674" s="1"/>
      <c r="U674" s="2"/>
      <c r="V674" s="1"/>
      <c r="W674" s="1"/>
      <c r="X674" s="1"/>
      <c r="Y674" s="1"/>
      <c r="Z674" s="1"/>
    </row>
    <row r="675" spans="1:26" ht="24.75" customHeight="1">
      <c r="A675" s="1"/>
      <c r="B675" s="1"/>
      <c r="C675" s="1"/>
      <c r="D675" s="1"/>
      <c r="E675" s="1"/>
      <c r="F675" s="1"/>
      <c r="G675" s="1"/>
      <c r="H675" s="1"/>
      <c r="I675" s="1"/>
      <c r="J675" s="1"/>
      <c r="K675" s="1"/>
      <c r="L675" s="1"/>
      <c r="M675" s="1"/>
      <c r="N675" s="1"/>
      <c r="O675" s="1"/>
      <c r="P675" s="1"/>
      <c r="Q675" s="1"/>
      <c r="R675" s="1"/>
      <c r="S675" s="1"/>
      <c r="T675" s="1"/>
      <c r="U675" s="2"/>
      <c r="V675" s="1"/>
      <c r="W675" s="1"/>
      <c r="X675" s="1"/>
      <c r="Y675" s="1"/>
      <c r="Z675" s="1"/>
    </row>
    <row r="676" spans="1:26" ht="24.75" customHeight="1">
      <c r="A676" s="1"/>
      <c r="B676" s="1"/>
      <c r="C676" s="1"/>
      <c r="D676" s="1"/>
      <c r="E676" s="1"/>
      <c r="F676" s="1"/>
      <c r="G676" s="1"/>
      <c r="H676" s="1"/>
      <c r="I676" s="1"/>
      <c r="J676" s="1"/>
      <c r="K676" s="1"/>
      <c r="L676" s="1"/>
      <c r="M676" s="1"/>
      <c r="N676" s="1"/>
      <c r="O676" s="1"/>
      <c r="P676" s="1"/>
      <c r="Q676" s="1"/>
      <c r="R676" s="1"/>
      <c r="S676" s="1"/>
      <c r="T676" s="1"/>
      <c r="U676" s="2"/>
      <c r="V676" s="1"/>
      <c r="W676" s="1"/>
      <c r="X676" s="1"/>
      <c r="Y676" s="1"/>
      <c r="Z676" s="1"/>
    </row>
    <row r="677" spans="1:26" ht="24.75" customHeight="1">
      <c r="A677" s="1"/>
      <c r="B677" s="1"/>
      <c r="C677" s="1"/>
      <c r="D677" s="1"/>
      <c r="E677" s="1"/>
      <c r="F677" s="1"/>
      <c r="G677" s="1"/>
      <c r="H677" s="1"/>
      <c r="I677" s="1"/>
      <c r="J677" s="1"/>
      <c r="K677" s="1"/>
      <c r="L677" s="1"/>
      <c r="M677" s="1"/>
      <c r="N677" s="1"/>
      <c r="O677" s="1"/>
      <c r="P677" s="1"/>
      <c r="Q677" s="1"/>
      <c r="R677" s="1"/>
      <c r="S677" s="1"/>
      <c r="T677" s="1"/>
      <c r="U677" s="2"/>
      <c r="V677" s="1"/>
      <c r="W677" s="1"/>
      <c r="X677" s="1"/>
      <c r="Y677" s="1"/>
      <c r="Z677" s="1"/>
    </row>
    <row r="678" spans="1:26" ht="24.75" customHeight="1">
      <c r="A678" s="1"/>
      <c r="B678" s="1"/>
      <c r="C678" s="1"/>
      <c r="D678" s="1"/>
      <c r="E678" s="1"/>
      <c r="F678" s="1"/>
      <c r="G678" s="1"/>
      <c r="H678" s="1"/>
      <c r="I678" s="1"/>
      <c r="J678" s="1"/>
      <c r="K678" s="1"/>
      <c r="L678" s="1"/>
      <c r="M678" s="1"/>
      <c r="N678" s="1"/>
      <c r="O678" s="1"/>
      <c r="P678" s="1"/>
      <c r="Q678" s="1"/>
      <c r="R678" s="1"/>
      <c r="S678" s="1"/>
      <c r="T678" s="1"/>
      <c r="U678" s="2"/>
      <c r="V678" s="1"/>
      <c r="W678" s="1"/>
      <c r="X678" s="1"/>
      <c r="Y678" s="1"/>
      <c r="Z678" s="1"/>
    </row>
    <row r="679" spans="1:26" ht="24.75" customHeight="1">
      <c r="A679" s="1"/>
      <c r="B679" s="1"/>
      <c r="C679" s="1"/>
      <c r="D679" s="1"/>
      <c r="E679" s="1"/>
      <c r="F679" s="1"/>
      <c r="G679" s="1"/>
      <c r="H679" s="1"/>
      <c r="I679" s="1"/>
      <c r="J679" s="1"/>
      <c r="K679" s="1"/>
      <c r="L679" s="1"/>
      <c r="M679" s="1"/>
      <c r="N679" s="1"/>
      <c r="O679" s="1"/>
      <c r="P679" s="1"/>
      <c r="Q679" s="1"/>
      <c r="R679" s="1"/>
      <c r="S679" s="1"/>
      <c r="T679" s="1"/>
      <c r="U679" s="2"/>
      <c r="V679" s="1"/>
      <c r="W679" s="1"/>
      <c r="X679" s="1"/>
      <c r="Y679" s="1"/>
      <c r="Z679" s="1"/>
    </row>
    <row r="680" spans="1:26" ht="24.75" customHeight="1">
      <c r="A680" s="1"/>
      <c r="B680" s="1"/>
      <c r="C680" s="1"/>
      <c r="D680" s="1"/>
      <c r="E680" s="1"/>
      <c r="F680" s="1"/>
      <c r="G680" s="1"/>
      <c r="H680" s="1"/>
      <c r="I680" s="1"/>
      <c r="J680" s="1"/>
      <c r="K680" s="1"/>
      <c r="L680" s="1"/>
      <c r="M680" s="1"/>
      <c r="N680" s="1"/>
      <c r="O680" s="1"/>
      <c r="P680" s="1"/>
      <c r="Q680" s="1"/>
      <c r="R680" s="1"/>
      <c r="S680" s="1"/>
      <c r="T680" s="1"/>
      <c r="U680" s="2"/>
      <c r="V680" s="1"/>
      <c r="W680" s="1"/>
      <c r="X680" s="1"/>
      <c r="Y680" s="1"/>
      <c r="Z680" s="1"/>
    </row>
    <row r="681" spans="1:26" ht="24.75" customHeight="1">
      <c r="A681" s="1"/>
      <c r="B681" s="1"/>
      <c r="C681" s="1"/>
      <c r="D681" s="1"/>
      <c r="E681" s="1"/>
      <c r="F681" s="1"/>
      <c r="G681" s="1"/>
      <c r="H681" s="1"/>
      <c r="I681" s="1"/>
      <c r="J681" s="1"/>
      <c r="K681" s="1"/>
      <c r="L681" s="1"/>
      <c r="M681" s="1"/>
      <c r="N681" s="1"/>
      <c r="O681" s="1"/>
      <c r="P681" s="1"/>
      <c r="Q681" s="1"/>
      <c r="R681" s="1"/>
      <c r="S681" s="1"/>
      <c r="T681" s="1"/>
      <c r="U681" s="2"/>
      <c r="V681" s="1"/>
      <c r="W681" s="1"/>
      <c r="X681" s="1"/>
      <c r="Y681" s="1"/>
      <c r="Z681" s="1"/>
    </row>
    <row r="682" spans="1:26" ht="24.75" customHeight="1">
      <c r="A682" s="1"/>
      <c r="B682" s="1"/>
      <c r="C682" s="1"/>
      <c r="D682" s="1"/>
      <c r="E682" s="1"/>
      <c r="F682" s="1"/>
      <c r="G682" s="1"/>
      <c r="H682" s="1"/>
      <c r="I682" s="1"/>
      <c r="J682" s="1"/>
      <c r="K682" s="1"/>
      <c r="L682" s="1"/>
      <c r="M682" s="1"/>
      <c r="N682" s="1"/>
      <c r="O682" s="1"/>
      <c r="P682" s="1"/>
      <c r="Q682" s="1"/>
      <c r="R682" s="1"/>
      <c r="S682" s="1"/>
      <c r="T682" s="1"/>
      <c r="U682" s="2"/>
      <c r="V682" s="1"/>
      <c r="W682" s="1"/>
      <c r="X682" s="1"/>
      <c r="Y682" s="1"/>
      <c r="Z682" s="1"/>
    </row>
    <row r="683" spans="1:26" ht="24.75" customHeight="1">
      <c r="A683" s="1"/>
      <c r="B683" s="1"/>
      <c r="C683" s="1"/>
      <c r="D683" s="1"/>
      <c r="E683" s="1"/>
      <c r="F683" s="1"/>
      <c r="G683" s="1"/>
      <c r="H683" s="1"/>
      <c r="I683" s="1"/>
      <c r="J683" s="1"/>
      <c r="K683" s="1"/>
      <c r="L683" s="1"/>
      <c r="M683" s="1"/>
      <c r="N683" s="1"/>
      <c r="O683" s="1"/>
      <c r="P683" s="1"/>
      <c r="Q683" s="1"/>
      <c r="R683" s="1"/>
      <c r="S683" s="1"/>
      <c r="T683" s="1"/>
      <c r="U683" s="2"/>
      <c r="V683" s="1"/>
      <c r="W683" s="1"/>
      <c r="X683" s="1"/>
      <c r="Y683" s="1"/>
      <c r="Z683" s="1"/>
    </row>
    <row r="684" spans="1:26" ht="24.75" customHeight="1">
      <c r="A684" s="1"/>
      <c r="B684" s="1"/>
      <c r="C684" s="1"/>
      <c r="D684" s="1"/>
      <c r="E684" s="1"/>
      <c r="F684" s="1"/>
      <c r="G684" s="1"/>
      <c r="H684" s="1"/>
      <c r="I684" s="1"/>
      <c r="J684" s="1"/>
      <c r="K684" s="1"/>
      <c r="L684" s="1"/>
      <c r="M684" s="1"/>
      <c r="N684" s="1"/>
      <c r="O684" s="1"/>
      <c r="P684" s="1"/>
      <c r="Q684" s="1"/>
      <c r="R684" s="1"/>
      <c r="S684" s="1"/>
      <c r="T684" s="1"/>
      <c r="U684" s="2"/>
      <c r="V684" s="1"/>
      <c r="W684" s="1"/>
      <c r="X684" s="1"/>
      <c r="Y684" s="1"/>
      <c r="Z684" s="1"/>
    </row>
    <row r="685" spans="1:26" ht="24.75" customHeight="1">
      <c r="A685" s="1"/>
      <c r="B685" s="1"/>
      <c r="C685" s="1"/>
      <c r="D685" s="1"/>
      <c r="E685" s="1"/>
      <c r="F685" s="1"/>
      <c r="G685" s="1"/>
      <c r="H685" s="1"/>
      <c r="I685" s="1"/>
      <c r="J685" s="1"/>
      <c r="K685" s="1"/>
      <c r="L685" s="1"/>
      <c r="M685" s="1"/>
      <c r="N685" s="1"/>
      <c r="O685" s="1"/>
      <c r="P685" s="1"/>
      <c r="Q685" s="1"/>
      <c r="R685" s="1"/>
      <c r="S685" s="1"/>
      <c r="T685" s="1"/>
      <c r="U685" s="2"/>
      <c r="V685" s="1"/>
      <c r="W685" s="1"/>
      <c r="X685" s="1"/>
      <c r="Y685" s="1"/>
      <c r="Z685" s="1"/>
    </row>
    <row r="686" spans="1:26" ht="24.75" customHeight="1">
      <c r="A686" s="1"/>
      <c r="B686" s="1"/>
      <c r="C686" s="1"/>
      <c r="D686" s="1"/>
      <c r="E686" s="1"/>
      <c r="F686" s="1"/>
      <c r="G686" s="1"/>
      <c r="H686" s="1"/>
      <c r="I686" s="1"/>
      <c r="J686" s="1"/>
      <c r="K686" s="1"/>
      <c r="L686" s="1"/>
      <c r="M686" s="1"/>
      <c r="N686" s="1"/>
      <c r="O686" s="1"/>
      <c r="P686" s="1"/>
      <c r="Q686" s="1"/>
      <c r="R686" s="1"/>
      <c r="S686" s="1"/>
      <c r="T686" s="1"/>
      <c r="U686" s="2"/>
      <c r="V686" s="1"/>
      <c r="W686" s="1"/>
      <c r="X686" s="1"/>
      <c r="Y686" s="1"/>
      <c r="Z686" s="1"/>
    </row>
    <row r="687" spans="1:26" ht="24.75" customHeight="1">
      <c r="A687" s="1"/>
      <c r="B687" s="1"/>
      <c r="C687" s="1"/>
      <c r="D687" s="1"/>
      <c r="E687" s="1"/>
      <c r="F687" s="1"/>
      <c r="G687" s="1"/>
      <c r="H687" s="1"/>
      <c r="I687" s="1"/>
      <c r="J687" s="1"/>
      <c r="K687" s="1"/>
      <c r="L687" s="1"/>
      <c r="M687" s="1"/>
      <c r="N687" s="1"/>
      <c r="O687" s="1"/>
      <c r="P687" s="1"/>
      <c r="Q687" s="1"/>
      <c r="R687" s="1"/>
      <c r="S687" s="1"/>
      <c r="T687" s="1"/>
      <c r="U687" s="2"/>
      <c r="V687" s="1"/>
      <c r="W687" s="1"/>
      <c r="X687" s="1"/>
      <c r="Y687" s="1"/>
      <c r="Z687" s="1"/>
    </row>
    <row r="688" spans="1:26" ht="24.75" customHeight="1">
      <c r="A688" s="1"/>
      <c r="B688" s="1"/>
      <c r="C688" s="1"/>
      <c r="D688" s="1"/>
      <c r="E688" s="1"/>
      <c r="F688" s="1"/>
      <c r="G688" s="1"/>
      <c r="H688" s="1"/>
      <c r="I688" s="1"/>
      <c r="J688" s="1"/>
      <c r="K688" s="1"/>
      <c r="L688" s="1"/>
      <c r="M688" s="1"/>
      <c r="N688" s="1"/>
      <c r="O688" s="1"/>
      <c r="P688" s="1"/>
      <c r="Q688" s="1"/>
      <c r="R688" s="1"/>
      <c r="S688" s="1"/>
      <c r="T688" s="1"/>
      <c r="U688" s="2"/>
      <c r="V688" s="1"/>
      <c r="W688" s="1"/>
      <c r="X688" s="1"/>
      <c r="Y688" s="1"/>
      <c r="Z688" s="1"/>
    </row>
    <row r="689" spans="1:26" ht="24.75" customHeight="1">
      <c r="A689" s="1"/>
      <c r="B689" s="1"/>
      <c r="C689" s="1"/>
      <c r="D689" s="1"/>
      <c r="E689" s="1"/>
      <c r="F689" s="1"/>
      <c r="G689" s="1"/>
      <c r="H689" s="1"/>
      <c r="I689" s="1"/>
      <c r="J689" s="1"/>
      <c r="K689" s="1"/>
      <c r="L689" s="1"/>
      <c r="M689" s="1"/>
      <c r="N689" s="1"/>
      <c r="O689" s="1"/>
      <c r="P689" s="1"/>
      <c r="Q689" s="1"/>
      <c r="R689" s="1"/>
      <c r="S689" s="1"/>
      <c r="T689" s="1"/>
      <c r="U689" s="2"/>
      <c r="V689" s="1"/>
      <c r="W689" s="1"/>
      <c r="X689" s="1"/>
      <c r="Y689" s="1"/>
      <c r="Z689" s="1"/>
    </row>
    <row r="690" spans="1:26" ht="24.75" customHeight="1">
      <c r="A690" s="1"/>
      <c r="B690" s="1"/>
      <c r="C690" s="1"/>
      <c r="D690" s="1"/>
      <c r="E690" s="1"/>
      <c r="F690" s="1"/>
      <c r="G690" s="1"/>
      <c r="H690" s="1"/>
      <c r="I690" s="1"/>
      <c r="J690" s="1"/>
      <c r="K690" s="1"/>
      <c r="L690" s="1"/>
      <c r="M690" s="1"/>
      <c r="N690" s="1"/>
      <c r="O690" s="1"/>
      <c r="P690" s="1"/>
      <c r="Q690" s="1"/>
      <c r="R690" s="1"/>
      <c r="S690" s="1"/>
      <c r="T690" s="1"/>
      <c r="U690" s="2"/>
      <c r="V690" s="1"/>
      <c r="W690" s="1"/>
      <c r="X690" s="1"/>
      <c r="Y690" s="1"/>
      <c r="Z690" s="1"/>
    </row>
    <row r="691" spans="1:26" ht="24.75" customHeight="1">
      <c r="A691" s="1"/>
      <c r="B691" s="1"/>
      <c r="C691" s="1"/>
      <c r="D691" s="1"/>
      <c r="E691" s="1"/>
      <c r="F691" s="1"/>
      <c r="G691" s="1"/>
      <c r="H691" s="1"/>
      <c r="I691" s="1"/>
      <c r="J691" s="1"/>
      <c r="K691" s="1"/>
      <c r="L691" s="1"/>
      <c r="M691" s="1"/>
      <c r="N691" s="1"/>
      <c r="O691" s="1"/>
      <c r="P691" s="1"/>
      <c r="Q691" s="1"/>
      <c r="R691" s="1"/>
      <c r="S691" s="1"/>
      <c r="T691" s="1"/>
      <c r="U691" s="2"/>
      <c r="V691" s="1"/>
      <c r="W691" s="1"/>
      <c r="X691" s="1"/>
      <c r="Y691" s="1"/>
      <c r="Z691" s="1"/>
    </row>
    <row r="692" spans="1:26" ht="24.75" customHeight="1">
      <c r="A692" s="1"/>
      <c r="B692" s="1"/>
      <c r="C692" s="1"/>
      <c r="D692" s="1"/>
      <c r="E692" s="1"/>
      <c r="F692" s="1"/>
      <c r="G692" s="1"/>
      <c r="H692" s="1"/>
      <c r="I692" s="1"/>
      <c r="J692" s="1"/>
      <c r="K692" s="1"/>
      <c r="L692" s="1"/>
      <c r="M692" s="1"/>
      <c r="N692" s="1"/>
      <c r="O692" s="1"/>
      <c r="P692" s="1"/>
      <c r="Q692" s="1"/>
      <c r="R692" s="1"/>
      <c r="S692" s="1"/>
      <c r="T692" s="1"/>
      <c r="U692" s="2"/>
      <c r="V692" s="1"/>
      <c r="W692" s="1"/>
      <c r="X692" s="1"/>
      <c r="Y692" s="1"/>
      <c r="Z692" s="1"/>
    </row>
    <row r="693" spans="1:26" ht="24.75" customHeight="1">
      <c r="A693" s="1"/>
      <c r="B693" s="1"/>
      <c r="C693" s="1"/>
      <c r="D693" s="1"/>
      <c r="E693" s="1"/>
      <c r="F693" s="1"/>
      <c r="G693" s="1"/>
      <c r="H693" s="1"/>
      <c r="I693" s="1"/>
      <c r="J693" s="1"/>
      <c r="K693" s="1"/>
      <c r="L693" s="1"/>
      <c r="M693" s="1"/>
      <c r="N693" s="1"/>
      <c r="O693" s="1"/>
      <c r="P693" s="1"/>
      <c r="Q693" s="1"/>
      <c r="R693" s="1"/>
      <c r="S693" s="1"/>
      <c r="T693" s="1"/>
      <c r="U693" s="2"/>
      <c r="V693" s="1"/>
      <c r="W693" s="1"/>
      <c r="X693" s="1"/>
      <c r="Y693" s="1"/>
      <c r="Z693" s="1"/>
    </row>
    <row r="694" spans="1:26" ht="24.75" customHeight="1">
      <c r="A694" s="1"/>
      <c r="B694" s="1"/>
      <c r="C694" s="1"/>
      <c r="D694" s="1"/>
      <c r="E694" s="1"/>
      <c r="F694" s="1"/>
      <c r="G694" s="1"/>
      <c r="H694" s="1"/>
      <c r="I694" s="1"/>
      <c r="J694" s="1"/>
      <c r="K694" s="1"/>
      <c r="L694" s="1"/>
      <c r="M694" s="1"/>
      <c r="N694" s="1"/>
      <c r="O694" s="1"/>
      <c r="P694" s="1"/>
      <c r="Q694" s="1"/>
      <c r="R694" s="1"/>
      <c r="S694" s="1"/>
      <c r="T694" s="1"/>
      <c r="U694" s="2"/>
      <c r="V694" s="1"/>
      <c r="W694" s="1"/>
      <c r="X694" s="1"/>
      <c r="Y694" s="1"/>
      <c r="Z694" s="1"/>
    </row>
    <row r="695" spans="1:26" ht="24.75" customHeight="1">
      <c r="A695" s="1"/>
      <c r="B695" s="1"/>
      <c r="C695" s="1"/>
      <c r="D695" s="1"/>
      <c r="E695" s="1"/>
      <c r="F695" s="1"/>
      <c r="G695" s="1"/>
      <c r="H695" s="1"/>
      <c r="I695" s="1"/>
      <c r="J695" s="1"/>
      <c r="K695" s="1"/>
      <c r="L695" s="1"/>
      <c r="M695" s="1"/>
      <c r="N695" s="1"/>
      <c r="O695" s="1"/>
      <c r="P695" s="1"/>
      <c r="Q695" s="1"/>
      <c r="R695" s="1"/>
      <c r="S695" s="1"/>
      <c r="T695" s="1"/>
      <c r="U695" s="2"/>
      <c r="V695" s="1"/>
      <c r="W695" s="1"/>
      <c r="X695" s="1"/>
      <c r="Y695" s="1"/>
      <c r="Z695" s="1"/>
    </row>
    <row r="696" spans="1:26" ht="24.75" customHeight="1">
      <c r="A696" s="1"/>
      <c r="B696" s="1"/>
      <c r="C696" s="1"/>
      <c r="D696" s="1"/>
      <c r="E696" s="1"/>
      <c r="F696" s="1"/>
      <c r="G696" s="1"/>
      <c r="H696" s="1"/>
      <c r="I696" s="1"/>
      <c r="J696" s="1"/>
      <c r="K696" s="1"/>
      <c r="L696" s="1"/>
      <c r="M696" s="1"/>
      <c r="N696" s="1"/>
      <c r="O696" s="1"/>
      <c r="P696" s="1"/>
      <c r="Q696" s="1"/>
      <c r="R696" s="1"/>
      <c r="S696" s="1"/>
      <c r="T696" s="1"/>
      <c r="U696" s="2"/>
      <c r="V696" s="1"/>
      <c r="W696" s="1"/>
      <c r="X696" s="1"/>
      <c r="Y696" s="1"/>
      <c r="Z696" s="1"/>
    </row>
    <row r="697" spans="1:26" ht="24.75" customHeight="1">
      <c r="A697" s="1"/>
      <c r="B697" s="1"/>
      <c r="C697" s="1"/>
      <c r="D697" s="1"/>
      <c r="E697" s="1"/>
      <c r="F697" s="1"/>
      <c r="G697" s="1"/>
      <c r="H697" s="1"/>
      <c r="I697" s="1"/>
      <c r="J697" s="1"/>
      <c r="K697" s="1"/>
      <c r="L697" s="1"/>
      <c r="M697" s="1"/>
      <c r="N697" s="1"/>
      <c r="O697" s="1"/>
      <c r="P697" s="1"/>
      <c r="Q697" s="1"/>
      <c r="R697" s="1"/>
      <c r="S697" s="1"/>
      <c r="T697" s="1"/>
      <c r="U697" s="2"/>
      <c r="V697" s="1"/>
      <c r="W697" s="1"/>
      <c r="X697" s="1"/>
      <c r="Y697" s="1"/>
      <c r="Z697" s="1"/>
    </row>
    <row r="698" spans="1:26" ht="24.75" customHeight="1">
      <c r="A698" s="1"/>
      <c r="B698" s="1"/>
      <c r="C698" s="1"/>
      <c r="D698" s="1"/>
      <c r="E698" s="1"/>
      <c r="F698" s="1"/>
      <c r="G698" s="1"/>
      <c r="H698" s="1"/>
      <c r="I698" s="1"/>
      <c r="J698" s="1"/>
      <c r="K698" s="1"/>
      <c r="L698" s="1"/>
      <c r="M698" s="1"/>
      <c r="N698" s="1"/>
      <c r="O698" s="1"/>
      <c r="P698" s="1"/>
      <c r="Q698" s="1"/>
      <c r="R698" s="1"/>
      <c r="S698" s="1"/>
      <c r="T698" s="1"/>
      <c r="U698" s="2"/>
      <c r="V698" s="1"/>
      <c r="W698" s="1"/>
      <c r="X698" s="1"/>
      <c r="Y698" s="1"/>
      <c r="Z698" s="1"/>
    </row>
    <row r="699" spans="1:26" ht="24.75" customHeight="1">
      <c r="A699" s="1"/>
      <c r="B699" s="1"/>
      <c r="C699" s="1"/>
      <c r="D699" s="1"/>
      <c r="E699" s="1"/>
      <c r="F699" s="1"/>
      <c r="G699" s="1"/>
      <c r="H699" s="1"/>
      <c r="I699" s="1"/>
      <c r="J699" s="1"/>
      <c r="K699" s="1"/>
      <c r="L699" s="1"/>
      <c r="M699" s="1"/>
      <c r="N699" s="1"/>
      <c r="O699" s="1"/>
      <c r="P699" s="1"/>
      <c r="Q699" s="1"/>
      <c r="R699" s="1"/>
      <c r="S699" s="1"/>
      <c r="T699" s="1"/>
      <c r="U699" s="2"/>
      <c r="V699" s="1"/>
      <c r="W699" s="1"/>
      <c r="X699" s="1"/>
      <c r="Y699" s="1"/>
      <c r="Z699" s="1"/>
    </row>
    <row r="700" spans="1:26" ht="24.75" customHeight="1">
      <c r="A700" s="1"/>
      <c r="B700" s="1"/>
      <c r="C700" s="1"/>
      <c r="D700" s="1"/>
      <c r="E700" s="1"/>
      <c r="F700" s="1"/>
      <c r="G700" s="1"/>
      <c r="H700" s="1"/>
      <c r="I700" s="1"/>
      <c r="J700" s="1"/>
      <c r="K700" s="1"/>
      <c r="L700" s="1"/>
      <c r="M700" s="1"/>
      <c r="N700" s="1"/>
      <c r="O700" s="1"/>
      <c r="P700" s="1"/>
      <c r="Q700" s="1"/>
      <c r="R700" s="1"/>
      <c r="S700" s="1"/>
      <c r="T700" s="1"/>
      <c r="U700" s="2"/>
      <c r="V700" s="1"/>
      <c r="W700" s="1"/>
      <c r="X700" s="1"/>
      <c r="Y700" s="1"/>
      <c r="Z700" s="1"/>
    </row>
    <row r="701" spans="1:26" ht="24.75" customHeight="1">
      <c r="A701" s="1"/>
      <c r="B701" s="1"/>
      <c r="C701" s="1"/>
      <c r="D701" s="1"/>
      <c r="E701" s="1"/>
      <c r="F701" s="1"/>
      <c r="G701" s="1"/>
      <c r="H701" s="1"/>
      <c r="I701" s="1"/>
      <c r="J701" s="1"/>
      <c r="K701" s="1"/>
      <c r="L701" s="1"/>
      <c r="M701" s="1"/>
      <c r="N701" s="1"/>
      <c r="O701" s="1"/>
      <c r="P701" s="1"/>
      <c r="Q701" s="1"/>
      <c r="R701" s="1"/>
      <c r="S701" s="1"/>
      <c r="T701" s="1"/>
      <c r="U701" s="2"/>
      <c r="V701" s="1"/>
      <c r="W701" s="1"/>
      <c r="X701" s="1"/>
      <c r="Y701" s="1"/>
      <c r="Z701" s="1"/>
    </row>
    <row r="702" spans="1:26" ht="24.75" customHeight="1">
      <c r="A702" s="1"/>
      <c r="B702" s="1"/>
      <c r="C702" s="1"/>
      <c r="D702" s="1"/>
      <c r="E702" s="1"/>
      <c r="F702" s="1"/>
      <c r="G702" s="1"/>
      <c r="H702" s="1"/>
      <c r="I702" s="1"/>
      <c r="J702" s="1"/>
      <c r="K702" s="1"/>
      <c r="L702" s="1"/>
      <c r="M702" s="1"/>
      <c r="N702" s="1"/>
      <c r="O702" s="1"/>
      <c r="P702" s="1"/>
      <c r="Q702" s="1"/>
      <c r="R702" s="1"/>
      <c r="S702" s="1"/>
      <c r="T702" s="1"/>
      <c r="U702" s="2"/>
      <c r="V702" s="1"/>
      <c r="W702" s="1"/>
      <c r="X702" s="1"/>
      <c r="Y702" s="1"/>
      <c r="Z702" s="1"/>
    </row>
    <row r="703" spans="1:26" ht="24.75" customHeight="1">
      <c r="A703" s="1"/>
      <c r="B703" s="1"/>
      <c r="C703" s="1"/>
      <c r="D703" s="1"/>
      <c r="E703" s="1"/>
      <c r="F703" s="1"/>
      <c r="G703" s="1"/>
      <c r="H703" s="1"/>
      <c r="I703" s="1"/>
      <c r="J703" s="1"/>
      <c r="K703" s="1"/>
      <c r="L703" s="1"/>
      <c r="M703" s="1"/>
      <c r="N703" s="1"/>
      <c r="O703" s="1"/>
      <c r="P703" s="1"/>
      <c r="Q703" s="1"/>
      <c r="R703" s="1"/>
      <c r="S703" s="1"/>
      <c r="T703" s="1"/>
      <c r="U703" s="2"/>
      <c r="V703" s="1"/>
      <c r="W703" s="1"/>
      <c r="X703" s="1"/>
      <c r="Y703" s="1"/>
      <c r="Z703" s="1"/>
    </row>
    <row r="704" spans="1:26" ht="24.75" customHeight="1">
      <c r="A704" s="1"/>
      <c r="B704" s="1"/>
      <c r="C704" s="1"/>
      <c r="D704" s="1"/>
      <c r="E704" s="1"/>
      <c r="F704" s="1"/>
      <c r="G704" s="1"/>
      <c r="H704" s="1"/>
      <c r="I704" s="1"/>
      <c r="J704" s="1"/>
      <c r="K704" s="1"/>
      <c r="L704" s="1"/>
      <c r="M704" s="1"/>
      <c r="N704" s="1"/>
      <c r="O704" s="1"/>
      <c r="P704" s="1"/>
      <c r="Q704" s="1"/>
      <c r="R704" s="1"/>
      <c r="S704" s="1"/>
      <c r="T704" s="1"/>
      <c r="U704" s="2"/>
      <c r="V704" s="1"/>
      <c r="W704" s="1"/>
      <c r="X704" s="1"/>
      <c r="Y704" s="1"/>
      <c r="Z704" s="1"/>
    </row>
    <row r="705" spans="1:26" ht="24.75" customHeight="1">
      <c r="A705" s="1"/>
      <c r="B705" s="1"/>
      <c r="C705" s="1"/>
      <c r="D705" s="1"/>
      <c r="E705" s="1"/>
      <c r="F705" s="1"/>
      <c r="G705" s="1"/>
      <c r="H705" s="1"/>
      <c r="I705" s="1"/>
      <c r="J705" s="1"/>
      <c r="K705" s="1"/>
      <c r="L705" s="1"/>
      <c r="M705" s="1"/>
      <c r="N705" s="1"/>
      <c r="O705" s="1"/>
      <c r="P705" s="1"/>
      <c r="Q705" s="1"/>
      <c r="R705" s="1"/>
      <c r="S705" s="1"/>
      <c r="T705" s="1"/>
      <c r="U705" s="2"/>
      <c r="V705" s="1"/>
      <c r="W705" s="1"/>
      <c r="X705" s="1"/>
      <c r="Y705" s="1"/>
      <c r="Z705" s="1"/>
    </row>
    <row r="706" spans="1:26" ht="24.75" customHeight="1">
      <c r="A706" s="1"/>
      <c r="B706" s="1"/>
      <c r="C706" s="1"/>
      <c r="D706" s="1"/>
      <c r="E706" s="1"/>
      <c r="F706" s="1"/>
      <c r="G706" s="1"/>
      <c r="H706" s="1"/>
      <c r="I706" s="1"/>
      <c r="J706" s="1"/>
      <c r="K706" s="1"/>
      <c r="L706" s="1"/>
      <c r="M706" s="1"/>
      <c r="N706" s="1"/>
      <c r="O706" s="1"/>
      <c r="P706" s="1"/>
      <c r="Q706" s="1"/>
      <c r="R706" s="1"/>
      <c r="S706" s="1"/>
      <c r="T706" s="1"/>
      <c r="U706" s="2"/>
      <c r="V706" s="1"/>
      <c r="W706" s="1"/>
      <c r="X706" s="1"/>
      <c r="Y706" s="1"/>
      <c r="Z706" s="1"/>
    </row>
    <row r="707" spans="1:26" ht="24.75" customHeight="1">
      <c r="A707" s="1"/>
      <c r="B707" s="1"/>
      <c r="C707" s="1"/>
      <c r="D707" s="1"/>
      <c r="E707" s="1"/>
      <c r="F707" s="1"/>
      <c r="G707" s="1"/>
      <c r="H707" s="1"/>
      <c r="I707" s="1"/>
      <c r="J707" s="1"/>
      <c r="K707" s="1"/>
      <c r="L707" s="1"/>
      <c r="M707" s="1"/>
      <c r="N707" s="1"/>
      <c r="O707" s="1"/>
      <c r="P707" s="1"/>
      <c r="Q707" s="1"/>
      <c r="R707" s="1"/>
      <c r="S707" s="1"/>
      <c r="T707" s="1"/>
      <c r="U707" s="2"/>
      <c r="V707" s="1"/>
      <c r="W707" s="1"/>
      <c r="X707" s="1"/>
      <c r="Y707" s="1"/>
      <c r="Z707" s="1"/>
    </row>
    <row r="708" spans="1:26" ht="24.75" customHeight="1">
      <c r="A708" s="1"/>
      <c r="B708" s="1"/>
      <c r="C708" s="1"/>
      <c r="D708" s="1"/>
      <c r="E708" s="1"/>
      <c r="F708" s="1"/>
      <c r="G708" s="1"/>
      <c r="H708" s="1"/>
      <c r="I708" s="1"/>
      <c r="J708" s="1"/>
      <c r="K708" s="1"/>
      <c r="L708" s="1"/>
      <c r="M708" s="1"/>
      <c r="N708" s="1"/>
      <c r="O708" s="1"/>
      <c r="P708" s="1"/>
      <c r="Q708" s="1"/>
      <c r="R708" s="1"/>
      <c r="S708" s="1"/>
      <c r="T708" s="1"/>
      <c r="U708" s="2"/>
      <c r="V708" s="1"/>
      <c r="W708" s="1"/>
      <c r="X708" s="1"/>
      <c r="Y708" s="1"/>
      <c r="Z708" s="1"/>
    </row>
    <row r="709" spans="1:26" ht="24.75" customHeight="1">
      <c r="A709" s="1"/>
      <c r="B709" s="1"/>
      <c r="C709" s="1"/>
      <c r="D709" s="1"/>
      <c r="E709" s="1"/>
      <c r="F709" s="1"/>
      <c r="G709" s="1"/>
      <c r="H709" s="1"/>
      <c r="I709" s="1"/>
      <c r="J709" s="1"/>
      <c r="K709" s="1"/>
      <c r="L709" s="1"/>
      <c r="M709" s="1"/>
      <c r="N709" s="1"/>
      <c r="O709" s="1"/>
      <c r="P709" s="1"/>
      <c r="Q709" s="1"/>
      <c r="R709" s="1"/>
      <c r="S709" s="1"/>
      <c r="T709" s="1"/>
      <c r="U709" s="2"/>
      <c r="V709" s="1"/>
      <c r="W709" s="1"/>
      <c r="X709" s="1"/>
      <c r="Y709" s="1"/>
      <c r="Z709" s="1"/>
    </row>
    <row r="710" spans="1:26" ht="24.75" customHeight="1">
      <c r="A710" s="1"/>
      <c r="B710" s="1"/>
      <c r="C710" s="1"/>
      <c r="D710" s="1"/>
      <c r="E710" s="1"/>
      <c r="F710" s="1"/>
      <c r="G710" s="1"/>
      <c r="H710" s="1"/>
      <c r="I710" s="1"/>
      <c r="J710" s="1"/>
      <c r="K710" s="1"/>
      <c r="L710" s="1"/>
      <c r="M710" s="1"/>
      <c r="N710" s="1"/>
      <c r="O710" s="1"/>
      <c r="P710" s="1"/>
      <c r="Q710" s="1"/>
      <c r="R710" s="1"/>
      <c r="S710" s="1"/>
      <c r="T710" s="1"/>
      <c r="U710" s="2"/>
      <c r="V710" s="1"/>
      <c r="W710" s="1"/>
      <c r="X710" s="1"/>
      <c r="Y710" s="1"/>
      <c r="Z710" s="1"/>
    </row>
    <row r="711" spans="1:26" ht="24.75" customHeight="1">
      <c r="A711" s="1"/>
      <c r="B711" s="1"/>
      <c r="C711" s="1"/>
      <c r="D711" s="1"/>
      <c r="E711" s="1"/>
      <c r="F711" s="1"/>
      <c r="G711" s="1"/>
      <c r="H711" s="1"/>
      <c r="I711" s="1"/>
      <c r="J711" s="1"/>
      <c r="K711" s="1"/>
      <c r="L711" s="1"/>
      <c r="M711" s="1"/>
      <c r="N711" s="1"/>
      <c r="O711" s="1"/>
      <c r="P711" s="1"/>
      <c r="Q711" s="1"/>
      <c r="R711" s="1"/>
      <c r="S711" s="1"/>
      <c r="T711" s="1"/>
      <c r="U711" s="2"/>
      <c r="V711" s="1"/>
      <c r="W711" s="1"/>
      <c r="X711" s="1"/>
      <c r="Y711" s="1"/>
      <c r="Z711" s="1"/>
    </row>
    <row r="712" spans="1:26" ht="24.75" customHeight="1">
      <c r="A712" s="1"/>
      <c r="B712" s="1"/>
      <c r="C712" s="1"/>
      <c r="D712" s="1"/>
      <c r="E712" s="1"/>
      <c r="F712" s="1"/>
      <c r="G712" s="1"/>
      <c r="H712" s="1"/>
      <c r="I712" s="1"/>
      <c r="J712" s="1"/>
      <c r="K712" s="1"/>
      <c r="L712" s="1"/>
      <c r="M712" s="1"/>
      <c r="N712" s="1"/>
      <c r="O712" s="1"/>
      <c r="P712" s="1"/>
      <c r="Q712" s="1"/>
      <c r="R712" s="1"/>
      <c r="S712" s="1"/>
      <c r="T712" s="1"/>
      <c r="U712" s="2"/>
      <c r="V712" s="1"/>
      <c r="W712" s="1"/>
      <c r="X712" s="1"/>
      <c r="Y712" s="1"/>
      <c r="Z712" s="1"/>
    </row>
    <row r="713" spans="1:26" ht="24.75" customHeight="1">
      <c r="A713" s="1"/>
      <c r="B713" s="1"/>
      <c r="C713" s="1"/>
      <c r="D713" s="1"/>
      <c r="E713" s="1"/>
      <c r="F713" s="1"/>
      <c r="G713" s="1"/>
      <c r="H713" s="1"/>
      <c r="I713" s="1"/>
      <c r="J713" s="1"/>
      <c r="K713" s="1"/>
      <c r="L713" s="1"/>
      <c r="M713" s="1"/>
      <c r="N713" s="1"/>
      <c r="O713" s="1"/>
      <c r="P713" s="1"/>
      <c r="Q713" s="1"/>
      <c r="R713" s="1"/>
      <c r="S713" s="1"/>
      <c r="T713" s="1"/>
      <c r="U713" s="2"/>
      <c r="V713" s="1"/>
      <c r="W713" s="1"/>
      <c r="X713" s="1"/>
      <c r="Y713" s="1"/>
      <c r="Z713" s="1"/>
    </row>
    <row r="714" spans="1:26" ht="24.75" customHeight="1">
      <c r="A714" s="1"/>
      <c r="B714" s="1"/>
      <c r="C714" s="1"/>
      <c r="D714" s="1"/>
      <c r="E714" s="1"/>
      <c r="F714" s="1"/>
      <c r="G714" s="1"/>
      <c r="H714" s="1"/>
      <c r="I714" s="1"/>
      <c r="J714" s="1"/>
      <c r="K714" s="1"/>
      <c r="L714" s="1"/>
      <c r="M714" s="1"/>
      <c r="N714" s="1"/>
      <c r="O714" s="1"/>
      <c r="P714" s="1"/>
      <c r="Q714" s="1"/>
      <c r="R714" s="1"/>
      <c r="S714" s="1"/>
      <c r="T714" s="1"/>
      <c r="U714" s="2"/>
      <c r="V714" s="1"/>
      <c r="W714" s="1"/>
      <c r="X714" s="1"/>
      <c r="Y714" s="1"/>
      <c r="Z714" s="1"/>
    </row>
    <row r="715" spans="1:26" ht="24.75" customHeight="1">
      <c r="A715" s="1"/>
      <c r="B715" s="1"/>
      <c r="C715" s="1"/>
      <c r="D715" s="1"/>
      <c r="E715" s="1"/>
      <c r="F715" s="1"/>
      <c r="G715" s="1"/>
      <c r="H715" s="1"/>
      <c r="I715" s="1"/>
      <c r="J715" s="1"/>
      <c r="K715" s="1"/>
      <c r="L715" s="1"/>
      <c r="M715" s="1"/>
      <c r="N715" s="1"/>
      <c r="O715" s="1"/>
      <c r="P715" s="1"/>
      <c r="Q715" s="1"/>
      <c r="R715" s="1"/>
      <c r="S715" s="1"/>
      <c r="T715" s="1"/>
      <c r="U715" s="2"/>
      <c r="V715" s="1"/>
      <c r="W715" s="1"/>
      <c r="X715" s="1"/>
      <c r="Y715" s="1"/>
      <c r="Z715" s="1"/>
    </row>
    <row r="716" spans="1:26" ht="24.75" customHeight="1">
      <c r="A716" s="1"/>
      <c r="B716" s="1"/>
      <c r="C716" s="1"/>
      <c r="D716" s="1"/>
      <c r="E716" s="1"/>
      <c r="F716" s="1"/>
      <c r="G716" s="1"/>
      <c r="H716" s="1"/>
      <c r="I716" s="1"/>
      <c r="J716" s="1"/>
      <c r="K716" s="1"/>
      <c r="L716" s="1"/>
      <c r="M716" s="1"/>
      <c r="N716" s="1"/>
      <c r="O716" s="1"/>
      <c r="P716" s="1"/>
      <c r="Q716" s="1"/>
      <c r="R716" s="1"/>
      <c r="S716" s="1"/>
      <c r="T716" s="1"/>
      <c r="U716" s="2"/>
      <c r="V716" s="1"/>
      <c r="W716" s="1"/>
      <c r="X716" s="1"/>
      <c r="Y716" s="1"/>
      <c r="Z716" s="1"/>
    </row>
    <row r="717" spans="1:26" ht="24.75" customHeight="1">
      <c r="A717" s="1"/>
      <c r="B717" s="1"/>
      <c r="C717" s="1"/>
      <c r="D717" s="1"/>
      <c r="E717" s="1"/>
      <c r="F717" s="1"/>
      <c r="G717" s="1"/>
      <c r="H717" s="1"/>
      <c r="I717" s="1"/>
      <c r="J717" s="1"/>
      <c r="K717" s="1"/>
      <c r="L717" s="1"/>
      <c r="M717" s="1"/>
      <c r="N717" s="1"/>
      <c r="O717" s="1"/>
      <c r="P717" s="1"/>
      <c r="Q717" s="1"/>
      <c r="R717" s="1"/>
      <c r="S717" s="1"/>
      <c r="T717" s="1"/>
      <c r="U717" s="2"/>
      <c r="V717" s="1"/>
      <c r="W717" s="1"/>
      <c r="X717" s="1"/>
      <c r="Y717" s="1"/>
      <c r="Z717" s="1"/>
    </row>
    <row r="718" spans="1:26" ht="24.75" customHeight="1">
      <c r="A718" s="1"/>
      <c r="B718" s="1"/>
      <c r="C718" s="1"/>
      <c r="D718" s="1"/>
      <c r="E718" s="1"/>
      <c r="F718" s="1"/>
      <c r="G718" s="1"/>
      <c r="H718" s="1"/>
      <c r="I718" s="1"/>
      <c r="J718" s="1"/>
      <c r="K718" s="1"/>
      <c r="L718" s="1"/>
      <c r="M718" s="1"/>
      <c r="N718" s="1"/>
      <c r="O718" s="1"/>
      <c r="P718" s="1"/>
      <c r="Q718" s="1"/>
      <c r="R718" s="1"/>
      <c r="S718" s="1"/>
      <c r="T718" s="1"/>
      <c r="U718" s="2"/>
      <c r="V718" s="1"/>
      <c r="W718" s="1"/>
      <c r="X718" s="1"/>
      <c r="Y718" s="1"/>
      <c r="Z718" s="1"/>
    </row>
    <row r="719" spans="1:26" ht="24.75" customHeight="1">
      <c r="A719" s="1"/>
      <c r="B719" s="1"/>
      <c r="C719" s="1"/>
      <c r="D719" s="1"/>
      <c r="E719" s="1"/>
      <c r="F719" s="1"/>
      <c r="G719" s="1"/>
      <c r="H719" s="1"/>
      <c r="I719" s="1"/>
      <c r="J719" s="1"/>
      <c r="K719" s="1"/>
      <c r="L719" s="1"/>
      <c r="M719" s="1"/>
      <c r="N719" s="1"/>
      <c r="O719" s="1"/>
      <c r="P719" s="1"/>
      <c r="Q719" s="1"/>
      <c r="R719" s="1"/>
      <c r="S719" s="1"/>
      <c r="T719" s="1"/>
      <c r="U719" s="2"/>
      <c r="V719" s="1"/>
      <c r="W719" s="1"/>
      <c r="X719" s="1"/>
      <c r="Y719" s="1"/>
      <c r="Z719" s="1"/>
    </row>
    <row r="720" spans="1:26" ht="24.75" customHeight="1">
      <c r="A720" s="1"/>
      <c r="B720" s="1"/>
      <c r="C720" s="1"/>
      <c r="D720" s="1"/>
      <c r="E720" s="1"/>
      <c r="F720" s="1"/>
      <c r="G720" s="1"/>
      <c r="H720" s="1"/>
      <c r="I720" s="1"/>
      <c r="J720" s="1"/>
      <c r="K720" s="1"/>
      <c r="L720" s="1"/>
      <c r="M720" s="1"/>
      <c r="N720" s="1"/>
      <c r="O720" s="1"/>
      <c r="P720" s="1"/>
      <c r="Q720" s="1"/>
      <c r="R720" s="1"/>
      <c r="S720" s="1"/>
      <c r="T720" s="1"/>
      <c r="U720" s="2"/>
      <c r="V720" s="1"/>
      <c r="W720" s="1"/>
      <c r="X720" s="1"/>
      <c r="Y720" s="1"/>
      <c r="Z720" s="1"/>
    </row>
    <row r="721" spans="1:26" ht="24.75" customHeight="1">
      <c r="A721" s="1"/>
      <c r="B721" s="1"/>
      <c r="C721" s="1"/>
      <c r="D721" s="1"/>
      <c r="E721" s="1"/>
      <c r="F721" s="1"/>
      <c r="G721" s="1"/>
      <c r="H721" s="1"/>
      <c r="I721" s="1"/>
      <c r="J721" s="1"/>
      <c r="K721" s="1"/>
      <c r="L721" s="1"/>
      <c r="M721" s="1"/>
      <c r="N721" s="1"/>
      <c r="O721" s="1"/>
      <c r="P721" s="1"/>
      <c r="Q721" s="1"/>
      <c r="R721" s="1"/>
      <c r="S721" s="1"/>
      <c r="T721" s="1"/>
      <c r="U721" s="2"/>
      <c r="V721" s="1"/>
      <c r="W721" s="1"/>
      <c r="X721" s="1"/>
      <c r="Y721" s="1"/>
      <c r="Z721" s="1"/>
    </row>
    <row r="722" spans="1:26" ht="24.75" customHeight="1">
      <c r="A722" s="1"/>
      <c r="B722" s="1"/>
      <c r="C722" s="1"/>
      <c r="D722" s="1"/>
      <c r="E722" s="1"/>
      <c r="F722" s="1"/>
      <c r="G722" s="1"/>
      <c r="H722" s="1"/>
      <c r="I722" s="1"/>
      <c r="J722" s="1"/>
      <c r="K722" s="1"/>
      <c r="L722" s="1"/>
      <c r="M722" s="1"/>
      <c r="N722" s="1"/>
      <c r="O722" s="1"/>
      <c r="P722" s="1"/>
      <c r="Q722" s="1"/>
      <c r="R722" s="1"/>
      <c r="S722" s="1"/>
      <c r="T722" s="1"/>
      <c r="U722" s="2"/>
      <c r="V722" s="1"/>
      <c r="W722" s="1"/>
      <c r="X722" s="1"/>
      <c r="Y722" s="1"/>
      <c r="Z722" s="1"/>
    </row>
    <row r="723" spans="1:26" ht="24.75" customHeight="1">
      <c r="A723" s="1"/>
      <c r="B723" s="1"/>
      <c r="C723" s="1"/>
      <c r="D723" s="1"/>
      <c r="E723" s="1"/>
      <c r="F723" s="1"/>
      <c r="G723" s="1"/>
      <c r="H723" s="1"/>
      <c r="I723" s="1"/>
      <c r="J723" s="1"/>
      <c r="K723" s="1"/>
      <c r="L723" s="1"/>
      <c r="M723" s="1"/>
      <c r="N723" s="1"/>
      <c r="O723" s="1"/>
      <c r="P723" s="1"/>
      <c r="Q723" s="1"/>
      <c r="R723" s="1"/>
      <c r="S723" s="1"/>
      <c r="T723" s="1"/>
      <c r="U723" s="2"/>
      <c r="V723" s="1"/>
      <c r="W723" s="1"/>
      <c r="X723" s="1"/>
      <c r="Y723" s="1"/>
      <c r="Z723" s="1"/>
    </row>
    <row r="724" spans="1:26" ht="24.75" customHeight="1">
      <c r="A724" s="1"/>
      <c r="B724" s="1"/>
      <c r="C724" s="1"/>
      <c r="D724" s="1"/>
      <c r="E724" s="1"/>
      <c r="F724" s="1"/>
      <c r="G724" s="1"/>
      <c r="H724" s="1"/>
      <c r="I724" s="1"/>
      <c r="J724" s="1"/>
      <c r="K724" s="1"/>
      <c r="L724" s="1"/>
      <c r="M724" s="1"/>
      <c r="N724" s="1"/>
      <c r="O724" s="1"/>
      <c r="P724" s="1"/>
      <c r="Q724" s="1"/>
      <c r="R724" s="1"/>
      <c r="S724" s="1"/>
      <c r="T724" s="1"/>
      <c r="U724" s="2"/>
      <c r="V724" s="1"/>
      <c r="W724" s="1"/>
      <c r="X724" s="1"/>
      <c r="Y724" s="1"/>
      <c r="Z724" s="1"/>
    </row>
    <row r="725" spans="1:26" ht="24.75" customHeight="1">
      <c r="A725" s="1"/>
      <c r="B725" s="1"/>
      <c r="C725" s="1"/>
      <c r="D725" s="1"/>
      <c r="E725" s="1"/>
      <c r="F725" s="1"/>
      <c r="G725" s="1"/>
      <c r="H725" s="1"/>
      <c r="I725" s="1"/>
      <c r="J725" s="1"/>
      <c r="K725" s="1"/>
      <c r="L725" s="1"/>
      <c r="M725" s="1"/>
      <c r="N725" s="1"/>
      <c r="O725" s="1"/>
      <c r="P725" s="1"/>
      <c r="Q725" s="1"/>
      <c r="R725" s="1"/>
      <c r="S725" s="1"/>
      <c r="T725" s="1"/>
      <c r="U725" s="2"/>
      <c r="V725" s="1"/>
      <c r="W725" s="1"/>
      <c r="X725" s="1"/>
      <c r="Y725" s="1"/>
      <c r="Z725" s="1"/>
    </row>
    <row r="726" spans="1:26" ht="24.75" customHeight="1">
      <c r="A726" s="1"/>
      <c r="B726" s="1"/>
      <c r="C726" s="1"/>
      <c r="D726" s="1"/>
      <c r="E726" s="1"/>
      <c r="F726" s="1"/>
      <c r="G726" s="1"/>
      <c r="H726" s="1"/>
      <c r="I726" s="1"/>
      <c r="J726" s="1"/>
      <c r="K726" s="1"/>
      <c r="L726" s="1"/>
      <c r="M726" s="1"/>
      <c r="N726" s="1"/>
      <c r="O726" s="1"/>
      <c r="P726" s="1"/>
      <c r="Q726" s="1"/>
      <c r="R726" s="1"/>
      <c r="S726" s="1"/>
      <c r="T726" s="1"/>
      <c r="U726" s="2"/>
      <c r="V726" s="1"/>
      <c r="W726" s="1"/>
      <c r="X726" s="1"/>
      <c r="Y726" s="1"/>
      <c r="Z726" s="1"/>
    </row>
    <row r="727" spans="1:26" ht="24.75" customHeight="1">
      <c r="A727" s="1"/>
      <c r="B727" s="1"/>
      <c r="C727" s="1"/>
      <c r="D727" s="1"/>
      <c r="E727" s="1"/>
      <c r="F727" s="1"/>
      <c r="G727" s="1"/>
      <c r="H727" s="1"/>
      <c r="I727" s="1"/>
      <c r="J727" s="1"/>
      <c r="K727" s="1"/>
      <c r="L727" s="1"/>
      <c r="M727" s="1"/>
      <c r="N727" s="1"/>
      <c r="O727" s="1"/>
      <c r="P727" s="1"/>
      <c r="Q727" s="1"/>
      <c r="R727" s="1"/>
      <c r="S727" s="1"/>
      <c r="T727" s="1"/>
      <c r="U727" s="2"/>
      <c r="V727" s="1"/>
      <c r="W727" s="1"/>
      <c r="X727" s="1"/>
      <c r="Y727" s="1"/>
      <c r="Z727" s="1"/>
    </row>
    <row r="728" spans="1:26" ht="24.75" customHeight="1">
      <c r="A728" s="1"/>
      <c r="B728" s="1"/>
      <c r="C728" s="1"/>
      <c r="D728" s="1"/>
      <c r="E728" s="1"/>
      <c r="F728" s="1"/>
      <c r="G728" s="1"/>
      <c r="H728" s="1"/>
      <c r="I728" s="1"/>
      <c r="J728" s="1"/>
      <c r="K728" s="1"/>
      <c r="L728" s="1"/>
      <c r="M728" s="1"/>
      <c r="N728" s="1"/>
      <c r="O728" s="1"/>
      <c r="P728" s="1"/>
      <c r="Q728" s="1"/>
      <c r="R728" s="1"/>
      <c r="S728" s="1"/>
      <c r="T728" s="1"/>
      <c r="U728" s="2"/>
      <c r="V728" s="1"/>
      <c r="W728" s="1"/>
      <c r="X728" s="1"/>
      <c r="Y728" s="1"/>
      <c r="Z728" s="1"/>
    </row>
    <row r="729" spans="1:26" ht="24.75" customHeight="1">
      <c r="A729" s="1"/>
      <c r="B729" s="1"/>
      <c r="C729" s="1"/>
      <c r="D729" s="1"/>
      <c r="E729" s="1"/>
      <c r="F729" s="1"/>
      <c r="G729" s="1"/>
      <c r="H729" s="1"/>
      <c r="I729" s="1"/>
      <c r="J729" s="1"/>
      <c r="K729" s="1"/>
      <c r="L729" s="1"/>
      <c r="M729" s="1"/>
      <c r="N729" s="1"/>
      <c r="O729" s="1"/>
      <c r="P729" s="1"/>
      <c r="Q729" s="1"/>
      <c r="R729" s="1"/>
      <c r="S729" s="1"/>
      <c r="T729" s="1"/>
      <c r="U729" s="2"/>
      <c r="V729" s="1"/>
      <c r="W729" s="1"/>
      <c r="X729" s="1"/>
      <c r="Y729" s="1"/>
      <c r="Z729" s="1"/>
    </row>
    <row r="730" spans="1:26" ht="24.75" customHeight="1">
      <c r="A730" s="1"/>
      <c r="B730" s="1"/>
      <c r="C730" s="1"/>
      <c r="D730" s="1"/>
      <c r="E730" s="1"/>
      <c r="F730" s="1"/>
      <c r="G730" s="1"/>
      <c r="H730" s="1"/>
      <c r="I730" s="1"/>
      <c r="J730" s="1"/>
      <c r="K730" s="1"/>
      <c r="L730" s="1"/>
      <c r="M730" s="1"/>
      <c r="N730" s="1"/>
      <c r="O730" s="1"/>
      <c r="P730" s="1"/>
      <c r="Q730" s="1"/>
      <c r="R730" s="1"/>
      <c r="S730" s="1"/>
      <c r="T730" s="1"/>
      <c r="U730" s="2"/>
      <c r="V730" s="1"/>
      <c r="W730" s="1"/>
      <c r="X730" s="1"/>
      <c r="Y730" s="1"/>
      <c r="Z730" s="1"/>
    </row>
    <row r="731" spans="1:26" ht="24.75" customHeight="1">
      <c r="A731" s="1"/>
      <c r="B731" s="1"/>
      <c r="C731" s="1"/>
      <c r="D731" s="1"/>
      <c r="E731" s="1"/>
      <c r="F731" s="1"/>
      <c r="G731" s="1"/>
      <c r="H731" s="1"/>
      <c r="I731" s="1"/>
      <c r="J731" s="1"/>
      <c r="K731" s="1"/>
      <c r="L731" s="1"/>
      <c r="M731" s="1"/>
      <c r="N731" s="1"/>
      <c r="O731" s="1"/>
      <c r="P731" s="1"/>
      <c r="Q731" s="1"/>
      <c r="R731" s="1"/>
      <c r="S731" s="1"/>
      <c r="T731" s="1"/>
      <c r="U731" s="2"/>
      <c r="V731" s="1"/>
      <c r="W731" s="1"/>
      <c r="X731" s="1"/>
      <c r="Y731" s="1"/>
      <c r="Z731" s="1"/>
    </row>
    <row r="732" spans="1:26" ht="24.75" customHeight="1">
      <c r="A732" s="1"/>
      <c r="B732" s="1"/>
      <c r="C732" s="1"/>
      <c r="D732" s="1"/>
      <c r="E732" s="1"/>
      <c r="F732" s="1"/>
      <c r="G732" s="1"/>
      <c r="H732" s="1"/>
      <c r="I732" s="1"/>
      <c r="J732" s="1"/>
      <c r="K732" s="1"/>
      <c r="L732" s="1"/>
      <c r="M732" s="1"/>
      <c r="N732" s="1"/>
      <c r="O732" s="1"/>
      <c r="P732" s="1"/>
      <c r="Q732" s="1"/>
      <c r="R732" s="1"/>
      <c r="S732" s="1"/>
      <c r="T732" s="1"/>
      <c r="U732" s="2"/>
      <c r="V732" s="1"/>
      <c r="W732" s="1"/>
      <c r="X732" s="1"/>
      <c r="Y732" s="1"/>
      <c r="Z732" s="1"/>
    </row>
    <row r="733" spans="1:26" ht="24.75" customHeight="1">
      <c r="A733" s="1"/>
      <c r="B733" s="1"/>
      <c r="C733" s="1"/>
      <c r="D733" s="1"/>
      <c r="E733" s="1"/>
      <c r="F733" s="1"/>
      <c r="G733" s="1"/>
      <c r="H733" s="1"/>
      <c r="I733" s="1"/>
      <c r="J733" s="1"/>
      <c r="K733" s="1"/>
      <c r="L733" s="1"/>
      <c r="M733" s="1"/>
      <c r="N733" s="1"/>
      <c r="O733" s="1"/>
      <c r="P733" s="1"/>
      <c r="Q733" s="1"/>
      <c r="R733" s="1"/>
      <c r="S733" s="1"/>
      <c r="T733" s="1"/>
      <c r="U733" s="2"/>
      <c r="V733" s="1"/>
      <c r="W733" s="1"/>
      <c r="X733" s="1"/>
      <c r="Y733" s="1"/>
      <c r="Z733" s="1"/>
    </row>
    <row r="734" spans="1:26" ht="24.75" customHeight="1">
      <c r="A734" s="1"/>
      <c r="B734" s="1"/>
      <c r="C734" s="1"/>
      <c r="D734" s="1"/>
      <c r="E734" s="1"/>
      <c r="F734" s="1"/>
      <c r="G734" s="1"/>
      <c r="H734" s="1"/>
      <c r="I734" s="1"/>
      <c r="J734" s="1"/>
      <c r="K734" s="1"/>
      <c r="L734" s="1"/>
      <c r="M734" s="1"/>
      <c r="N734" s="1"/>
      <c r="O734" s="1"/>
      <c r="P734" s="1"/>
      <c r="Q734" s="1"/>
      <c r="R734" s="1"/>
      <c r="S734" s="1"/>
      <c r="T734" s="1"/>
      <c r="U734" s="2"/>
      <c r="V734" s="1"/>
      <c r="W734" s="1"/>
      <c r="X734" s="1"/>
      <c r="Y734" s="1"/>
      <c r="Z734" s="1"/>
    </row>
    <row r="735" spans="1:26" ht="24.75" customHeight="1">
      <c r="A735" s="1"/>
      <c r="B735" s="1"/>
      <c r="C735" s="1"/>
      <c r="D735" s="1"/>
      <c r="E735" s="1"/>
      <c r="F735" s="1"/>
      <c r="G735" s="1"/>
      <c r="H735" s="1"/>
      <c r="I735" s="1"/>
      <c r="J735" s="1"/>
      <c r="K735" s="1"/>
      <c r="L735" s="1"/>
      <c r="M735" s="1"/>
      <c r="N735" s="1"/>
      <c r="O735" s="1"/>
      <c r="P735" s="1"/>
      <c r="Q735" s="1"/>
      <c r="R735" s="1"/>
      <c r="S735" s="1"/>
      <c r="T735" s="1"/>
      <c r="U735" s="2"/>
      <c r="V735" s="1"/>
      <c r="W735" s="1"/>
      <c r="X735" s="1"/>
      <c r="Y735" s="1"/>
      <c r="Z735" s="1"/>
    </row>
    <row r="736" spans="1:26" ht="24.75" customHeight="1">
      <c r="A736" s="1"/>
      <c r="B736" s="1"/>
      <c r="C736" s="1"/>
      <c r="D736" s="1"/>
      <c r="E736" s="1"/>
      <c r="F736" s="1"/>
      <c r="G736" s="1"/>
      <c r="H736" s="1"/>
      <c r="I736" s="1"/>
      <c r="J736" s="1"/>
      <c r="K736" s="1"/>
      <c r="L736" s="1"/>
      <c r="M736" s="1"/>
      <c r="N736" s="1"/>
      <c r="O736" s="1"/>
      <c r="P736" s="1"/>
      <c r="Q736" s="1"/>
      <c r="R736" s="1"/>
      <c r="S736" s="1"/>
      <c r="T736" s="1"/>
      <c r="U736" s="2"/>
      <c r="V736" s="1"/>
      <c r="W736" s="1"/>
      <c r="X736" s="1"/>
      <c r="Y736" s="1"/>
      <c r="Z736" s="1"/>
    </row>
    <row r="737" spans="1:26" ht="24.75" customHeight="1">
      <c r="A737" s="1"/>
      <c r="B737" s="1"/>
      <c r="C737" s="1"/>
      <c r="D737" s="1"/>
      <c r="E737" s="1"/>
      <c r="F737" s="1"/>
      <c r="G737" s="1"/>
      <c r="H737" s="1"/>
      <c r="I737" s="1"/>
      <c r="J737" s="1"/>
      <c r="K737" s="1"/>
      <c r="L737" s="1"/>
      <c r="M737" s="1"/>
      <c r="N737" s="1"/>
      <c r="O737" s="1"/>
      <c r="P737" s="1"/>
      <c r="Q737" s="1"/>
      <c r="R737" s="1"/>
      <c r="S737" s="1"/>
      <c r="T737" s="1"/>
      <c r="U737" s="2"/>
      <c r="V737" s="1"/>
      <c r="W737" s="1"/>
      <c r="X737" s="1"/>
      <c r="Y737" s="1"/>
      <c r="Z737" s="1"/>
    </row>
    <row r="738" spans="1:26" ht="24.75" customHeight="1">
      <c r="A738" s="1"/>
      <c r="B738" s="1"/>
      <c r="C738" s="1"/>
      <c r="D738" s="1"/>
      <c r="E738" s="1"/>
      <c r="F738" s="1"/>
      <c r="G738" s="1"/>
      <c r="H738" s="1"/>
      <c r="I738" s="1"/>
      <c r="J738" s="1"/>
      <c r="K738" s="1"/>
      <c r="L738" s="1"/>
      <c r="M738" s="1"/>
      <c r="N738" s="1"/>
      <c r="O738" s="1"/>
      <c r="P738" s="1"/>
      <c r="Q738" s="1"/>
      <c r="R738" s="1"/>
      <c r="S738" s="1"/>
      <c r="T738" s="1"/>
      <c r="U738" s="2"/>
      <c r="V738" s="1"/>
      <c r="W738" s="1"/>
      <c r="X738" s="1"/>
      <c r="Y738" s="1"/>
      <c r="Z738" s="1"/>
    </row>
    <row r="739" spans="1:26" ht="24.75" customHeight="1">
      <c r="A739" s="1"/>
      <c r="B739" s="1"/>
      <c r="C739" s="1"/>
      <c r="D739" s="1"/>
      <c r="E739" s="1"/>
      <c r="F739" s="1"/>
      <c r="G739" s="1"/>
      <c r="H739" s="1"/>
      <c r="I739" s="1"/>
      <c r="J739" s="1"/>
      <c r="K739" s="1"/>
      <c r="L739" s="1"/>
      <c r="M739" s="1"/>
      <c r="N739" s="1"/>
      <c r="O739" s="1"/>
      <c r="P739" s="1"/>
      <c r="Q739" s="1"/>
      <c r="R739" s="1"/>
      <c r="S739" s="1"/>
      <c r="T739" s="1"/>
      <c r="U739" s="2"/>
      <c r="V739" s="1"/>
      <c r="W739" s="1"/>
      <c r="X739" s="1"/>
      <c r="Y739" s="1"/>
      <c r="Z739" s="1"/>
    </row>
    <row r="740" spans="1:26" ht="24.75" customHeight="1">
      <c r="A740" s="1"/>
      <c r="B740" s="1"/>
      <c r="C740" s="1"/>
      <c r="D740" s="1"/>
      <c r="E740" s="1"/>
      <c r="F740" s="1"/>
      <c r="G740" s="1"/>
      <c r="H740" s="1"/>
      <c r="I740" s="1"/>
      <c r="J740" s="1"/>
      <c r="K740" s="1"/>
      <c r="L740" s="1"/>
      <c r="M740" s="1"/>
      <c r="N740" s="1"/>
      <c r="O740" s="1"/>
      <c r="P740" s="1"/>
      <c r="Q740" s="1"/>
      <c r="R740" s="1"/>
      <c r="S740" s="1"/>
      <c r="T740" s="1"/>
      <c r="U740" s="2"/>
      <c r="V740" s="1"/>
      <c r="W740" s="1"/>
      <c r="X740" s="1"/>
      <c r="Y740" s="1"/>
      <c r="Z740" s="1"/>
    </row>
    <row r="741" spans="1:26" ht="24.75" customHeight="1">
      <c r="A741" s="1"/>
      <c r="B741" s="1"/>
      <c r="C741" s="1"/>
      <c r="D741" s="1"/>
      <c r="E741" s="1"/>
      <c r="F741" s="1"/>
      <c r="G741" s="1"/>
      <c r="H741" s="1"/>
      <c r="I741" s="1"/>
      <c r="J741" s="1"/>
      <c r="K741" s="1"/>
      <c r="L741" s="1"/>
      <c r="M741" s="1"/>
      <c r="N741" s="1"/>
      <c r="O741" s="1"/>
      <c r="P741" s="1"/>
      <c r="Q741" s="1"/>
      <c r="R741" s="1"/>
      <c r="S741" s="1"/>
      <c r="T741" s="1"/>
      <c r="U741" s="2"/>
      <c r="V741" s="1"/>
      <c r="W741" s="1"/>
      <c r="X741" s="1"/>
      <c r="Y741" s="1"/>
      <c r="Z741" s="1"/>
    </row>
    <row r="742" spans="1:26" ht="24.75" customHeight="1">
      <c r="A742" s="1"/>
      <c r="B742" s="1"/>
      <c r="C742" s="1"/>
      <c r="D742" s="1"/>
      <c r="E742" s="1"/>
      <c r="F742" s="1"/>
      <c r="G742" s="1"/>
      <c r="H742" s="1"/>
      <c r="I742" s="1"/>
      <c r="J742" s="1"/>
      <c r="K742" s="1"/>
      <c r="L742" s="1"/>
      <c r="M742" s="1"/>
      <c r="N742" s="1"/>
      <c r="O742" s="1"/>
      <c r="P742" s="1"/>
      <c r="Q742" s="1"/>
      <c r="R742" s="1"/>
      <c r="S742" s="1"/>
      <c r="T742" s="1"/>
      <c r="U742" s="2"/>
      <c r="V742" s="1"/>
      <c r="W742" s="1"/>
      <c r="X742" s="1"/>
      <c r="Y742" s="1"/>
      <c r="Z742" s="1"/>
    </row>
    <row r="743" spans="1:26" ht="24.75" customHeight="1">
      <c r="A743" s="1"/>
      <c r="B743" s="1"/>
      <c r="C743" s="1"/>
      <c r="D743" s="1"/>
      <c r="E743" s="1"/>
      <c r="F743" s="1"/>
      <c r="G743" s="1"/>
      <c r="H743" s="1"/>
      <c r="I743" s="1"/>
      <c r="J743" s="1"/>
      <c r="K743" s="1"/>
      <c r="L743" s="1"/>
      <c r="M743" s="1"/>
      <c r="N743" s="1"/>
      <c r="O743" s="1"/>
      <c r="P743" s="1"/>
      <c r="Q743" s="1"/>
      <c r="R743" s="1"/>
      <c r="S743" s="1"/>
      <c r="T743" s="1"/>
      <c r="U743" s="2"/>
      <c r="V743" s="1"/>
      <c r="W743" s="1"/>
      <c r="X743" s="1"/>
      <c r="Y743" s="1"/>
      <c r="Z743" s="1"/>
    </row>
    <row r="744" spans="1:26" ht="24.75" customHeight="1">
      <c r="A744" s="1"/>
      <c r="B744" s="1"/>
      <c r="C744" s="1"/>
      <c r="D744" s="1"/>
      <c r="E744" s="1"/>
      <c r="F744" s="1"/>
      <c r="G744" s="1"/>
      <c r="H744" s="1"/>
      <c r="I744" s="1"/>
      <c r="J744" s="1"/>
      <c r="K744" s="1"/>
      <c r="L744" s="1"/>
      <c r="M744" s="1"/>
      <c r="N744" s="1"/>
      <c r="O744" s="1"/>
      <c r="P744" s="1"/>
      <c r="Q744" s="1"/>
      <c r="R744" s="1"/>
      <c r="S744" s="1"/>
      <c r="T744" s="1"/>
      <c r="U744" s="2"/>
      <c r="V744" s="1"/>
      <c r="W744" s="1"/>
      <c r="X744" s="1"/>
      <c r="Y744" s="1"/>
      <c r="Z744" s="1"/>
    </row>
    <row r="745" spans="1:26" ht="24.75" customHeight="1">
      <c r="A745" s="1"/>
      <c r="B745" s="1"/>
      <c r="C745" s="1"/>
      <c r="D745" s="1"/>
      <c r="E745" s="1"/>
      <c r="F745" s="1"/>
      <c r="G745" s="1"/>
      <c r="H745" s="1"/>
      <c r="I745" s="1"/>
      <c r="J745" s="1"/>
      <c r="K745" s="1"/>
      <c r="L745" s="1"/>
      <c r="M745" s="1"/>
      <c r="N745" s="1"/>
      <c r="O745" s="1"/>
      <c r="P745" s="1"/>
      <c r="Q745" s="1"/>
      <c r="R745" s="1"/>
      <c r="S745" s="1"/>
      <c r="T745" s="1"/>
      <c r="U745" s="2"/>
      <c r="V745" s="1"/>
      <c r="W745" s="1"/>
      <c r="X745" s="1"/>
      <c r="Y745" s="1"/>
      <c r="Z745" s="1"/>
    </row>
    <row r="746" spans="1:26" ht="24.75" customHeight="1">
      <c r="A746" s="1"/>
      <c r="B746" s="1"/>
      <c r="C746" s="1"/>
      <c r="D746" s="1"/>
      <c r="E746" s="1"/>
      <c r="F746" s="1"/>
      <c r="G746" s="1"/>
      <c r="H746" s="1"/>
      <c r="I746" s="1"/>
      <c r="J746" s="1"/>
      <c r="K746" s="1"/>
      <c r="L746" s="1"/>
      <c r="M746" s="1"/>
      <c r="N746" s="1"/>
      <c r="O746" s="1"/>
      <c r="P746" s="1"/>
      <c r="Q746" s="1"/>
      <c r="R746" s="1"/>
      <c r="S746" s="1"/>
      <c r="T746" s="1"/>
      <c r="U746" s="2"/>
      <c r="V746" s="1"/>
      <c r="W746" s="1"/>
      <c r="X746" s="1"/>
      <c r="Y746" s="1"/>
      <c r="Z746" s="1"/>
    </row>
    <row r="747" spans="1:26" ht="24.75" customHeight="1">
      <c r="A747" s="1"/>
      <c r="B747" s="1"/>
      <c r="C747" s="1"/>
      <c r="D747" s="1"/>
      <c r="E747" s="1"/>
      <c r="F747" s="1"/>
      <c r="G747" s="1"/>
      <c r="H747" s="1"/>
      <c r="I747" s="1"/>
      <c r="J747" s="1"/>
      <c r="K747" s="1"/>
      <c r="L747" s="1"/>
      <c r="M747" s="1"/>
      <c r="N747" s="1"/>
      <c r="O747" s="1"/>
      <c r="P747" s="1"/>
      <c r="Q747" s="1"/>
      <c r="R747" s="1"/>
      <c r="S747" s="1"/>
      <c r="T747" s="1"/>
      <c r="U747" s="2"/>
      <c r="V747" s="1"/>
      <c r="W747" s="1"/>
      <c r="X747" s="1"/>
      <c r="Y747" s="1"/>
      <c r="Z747" s="1"/>
    </row>
    <row r="748" spans="1:26" ht="24.75" customHeight="1">
      <c r="A748" s="1"/>
      <c r="B748" s="1"/>
      <c r="C748" s="1"/>
      <c r="D748" s="1"/>
      <c r="E748" s="1"/>
      <c r="F748" s="1"/>
      <c r="G748" s="1"/>
      <c r="H748" s="1"/>
      <c r="I748" s="1"/>
      <c r="J748" s="1"/>
      <c r="K748" s="1"/>
      <c r="L748" s="1"/>
      <c r="M748" s="1"/>
      <c r="N748" s="1"/>
      <c r="O748" s="1"/>
      <c r="P748" s="1"/>
      <c r="Q748" s="1"/>
      <c r="R748" s="1"/>
      <c r="S748" s="1"/>
      <c r="T748" s="1"/>
      <c r="U748" s="2"/>
      <c r="V748" s="1"/>
      <c r="W748" s="1"/>
      <c r="X748" s="1"/>
      <c r="Y748" s="1"/>
      <c r="Z748" s="1"/>
    </row>
    <row r="749" spans="1:26" ht="24.75" customHeight="1">
      <c r="A749" s="1"/>
      <c r="B749" s="1"/>
      <c r="C749" s="1"/>
      <c r="D749" s="1"/>
      <c r="E749" s="1"/>
      <c r="F749" s="1"/>
      <c r="G749" s="1"/>
      <c r="H749" s="1"/>
      <c r="I749" s="1"/>
      <c r="J749" s="1"/>
      <c r="K749" s="1"/>
      <c r="L749" s="1"/>
      <c r="M749" s="1"/>
      <c r="N749" s="1"/>
      <c r="O749" s="1"/>
      <c r="P749" s="1"/>
      <c r="Q749" s="1"/>
      <c r="R749" s="1"/>
      <c r="S749" s="1"/>
      <c r="T749" s="1"/>
      <c r="U749" s="2"/>
      <c r="V749" s="1"/>
      <c r="W749" s="1"/>
      <c r="X749" s="1"/>
      <c r="Y749" s="1"/>
      <c r="Z749" s="1"/>
    </row>
    <row r="750" spans="1:26" ht="24.75" customHeight="1">
      <c r="A750" s="1"/>
      <c r="B750" s="1"/>
      <c r="C750" s="1"/>
      <c r="D750" s="1"/>
      <c r="E750" s="1"/>
      <c r="F750" s="1"/>
      <c r="G750" s="1"/>
      <c r="H750" s="1"/>
      <c r="I750" s="1"/>
      <c r="J750" s="1"/>
      <c r="K750" s="1"/>
      <c r="L750" s="1"/>
      <c r="M750" s="1"/>
      <c r="N750" s="1"/>
      <c r="O750" s="1"/>
      <c r="P750" s="1"/>
      <c r="Q750" s="1"/>
      <c r="R750" s="1"/>
      <c r="S750" s="1"/>
      <c r="T750" s="1"/>
      <c r="U750" s="2"/>
      <c r="V750" s="1"/>
      <c r="W750" s="1"/>
      <c r="X750" s="1"/>
      <c r="Y750" s="1"/>
      <c r="Z750" s="1"/>
    </row>
    <row r="751" spans="1:26" ht="24.75" customHeight="1">
      <c r="A751" s="1"/>
      <c r="B751" s="1"/>
      <c r="C751" s="1"/>
      <c r="D751" s="1"/>
      <c r="E751" s="1"/>
      <c r="F751" s="1"/>
      <c r="G751" s="1"/>
      <c r="H751" s="1"/>
      <c r="I751" s="1"/>
      <c r="J751" s="1"/>
      <c r="K751" s="1"/>
      <c r="L751" s="1"/>
      <c r="M751" s="1"/>
      <c r="N751" s="1"/>
      <c r="O751" s="1"/>
      <c r="P751" s="1"/>
      <c r="Q751" s="1"/>
      <c r="R751" s="1"/>
      <c r="S751" s="1"/>
      <c r="T751" s="1"/>
      <c r="U751" s="2"/>
      <c r="V751" s="1"/>
      <c r="W751" s="1"/>
      <c r="X751" s="1"/>
      <c r="Y751" s="1"/>
      <c r="Z751" s="1"/>
    </row>
    <row r="752" spans="1:26" ht="24.75" customHeight="1">
      <c r="A752" s="1"/>
      <c r="B752" s="1"/>
      <c r="C752" s="1"/>
      <c r="D752" s="1"/>
      <c r="E752" s="1"/>
      <c r="F752" s="1"/>
      <c r="G752" s="1"/>
      <c r="H752" s="1"/>
      <c r="I752" s="1"/>
      <c r="J752" s="1"/>
      <c r="K752" s="1"/>
      <c r="L752" s="1"/>
      <c r="M752" s="1"/>
      <c r="N752" s="1"/>
      <c r="O752" s="1"/>
      <c r="P752" s="1"/>
      <c r="Q752" s="1"/>
      <c r="R752" s="1"/>
      <c r="S752" s="1"/>
      <c r="T752" s="1"/>
      <c r="U752" s="2"/>
      <c r="V752" s="1"/>
      <c r="W752" s="1"/>
      <c r="X752" s="1"/>
      <c r="Y752" s="1"/>
      <c r="Z752" s="1"/>
    </row>
    <row r="753" spans="1:26" ht="24.75" customHeight="1">
      <c r="A753" s="1"/>
      <c r="B753" s="1"/>
      <c r="C753" s="1"/>
      <c r="D753" s="1"/>
      <c r="E753" s="1"/>
      <c r="F753" s="1"/>
      <c r="G753" s="1"/>
      <c r="H753" s="1"/>
      <c r="I753" s="1"/>
      <c r="J753" s="1"/>
      <c r="K753" s="1"/>
      <c r="L753" s="1"/>
      <c r="M753" s="1"/>
      <c r="N753" s="1"/>
      <c r="O753" s="1"/>
      <c r="P753" s="1"/>
      <c r="Q753" s="1"/>
      <c r="R753" s="1"/>
      <c r="S753" s="1"/>
      <c r="T753" s="1"/>
      <c r="U753" s="2"/>
      <c r="V753" s="1"/>
      <c r="W753" s="1"/>
      <c r="X753" s="1"/>
      <c r="Y753" s="1"/>
      <c r="Z753" s="1"/>
    </row>
    <row r="754" spans="1:26" ht="24.75" customHeight="1">
      <c r="A754" s="1"/>
      <c r="B754" s="1"/>
      <c r="C754" s="1"/>
      <c r="D754" s="1"/>
      <c r="E754" s="1"/>
      <c r="F754" s="1"/>
      <c r="G754" s="1"/>
      <c r="H754" s="1"/>
      <c r="I754" s="1"/>
      <c r="J754" s="1"/>
      <c r="K754" s="1"/>
      <c r="L754" s="1"/>
      <c r="M754" s="1"/>
      <c r="N754" s="1"/>
      <c r="O754" s="1"/>
      <c r="P754" s="1"/>
      <c r="Q754" s="1"/>
      <c r="R754" s="1"/>
      <c r="S754" s="1"/>
      <c r="T754" s="1"/>
      <c r="U754" s="2"/>
      <c r="V754" s="1"/>
      <c r="W754" s="1"/>
      <c r="X754" s="1"/>
      <c r="Y754" s="1"/>
      <c r="Z754" s="1"/>
    </row>
    <row r="755" spans="1:26" ht="24.75" customHeight="1">
      <c r="A755" s="1"/>
      <c r="B755" s="1"/>
      <c r="C755" s="1"/>
      <c r="D755" s="1"/>
      <c r="E755" s="1"/>
      <c r="F755" s="1"/>
      <c r="G755" s="1"/>
      <c r="H755" s="1"/>
      <c r="I755" s="1"/>
      <c r="J755" s="1"/>
      <c r="K755" s="1"/>
      <c r="L755" s="1"/>
      <c r="M755" s="1"/>
      <c r="N755" s="1"/>
      <c r="O755" s="1"/>
      <c r="P755" s="1"/>
      <c r="Q755" s="1"/>
      <c r="R755" s="1"/>
      <c r="S755" s="1"/>
      <c r="T755" s="1"/>
      <c r="U755" s="2"/>
      <c r="V755" s="1"/>
      <c r="W755" s="1"/>
      <c r="X755" s="1"/>
      <c r="Y755" s="1"/>
      <c r="Z755" s="1"/>
    </row>
    <row r="756" spans="1:26" ht="24.75" customHeight="1">
      <c r="A756" s="1"/>
      <c r="B756" s="1"/>
      <c r="C756" s="1"/>
      <c r="D756" s="1"/>
      <c r="E756" s="1"/>
      <c r="F756" s="1"/>
      <c r="G756" s="1"/>
      <c r="H756" s="1"/>
      <c r="I756" s="1"/>
      <c r="J756" s="1"/>
      <c r="K756" s="1"/>
      <c r="L756" s="1"/>
      <c r="M756" s="1"/>
      <c r="N756" s="1"/>
      <c r="O756" s="1"/>
      <c r="P756" s="1"/>
      <c r="Q756" s="1"/>
      <c r="R756" s="1"/>
      <c r="S756" s="1"/>
      <c r="T756" s="1"/>
      <c r="U756" s="2"/>
      <c r="V756" s="1"/>
      <c r="W756" s="1"/>
      <c r="X756" s="1"/>
      <c r="Y756" s="1"/>
      <c r="Z756" s="1"/>
    </row>
    <row r="757" spans="1:26" ht="24.75" customHeight="1">
      <c r="A757" s="1"/>
      <c r="B757" s="1"/>
      <c r="C757" s="1"/>
      <c r="D757" s="1"/>
      <c r="E757" s="1"/>
      <c r="F757" s="1"/>
      <c r="G757" s="1"/>
      <c r="H757" s="1"/>
      <c r="I757" s="1"/>
      <c r="J757" s="1"/>
      <c r="K757" s="1"/>
      <c r="L757" s="1"/>
      <c r="M757" s="1"/>
      <c r="N757" s="1"/>
      <c r="O757" s="1"/>
      <c r="P757" s="1"/>
      <c r="Q757" s="1"/>
      <c r="R757" s="1"/>
      <c r="S757" s="1"/>
      <c r="T757" s="1"/>
      <c r="U757" s="2"/>
      <c r="V757" s="1"/>
      <c r="W757" s="1"/>
      <c r="X757" s="1"/>
      <c r="Y757" s="1"/>
      <c r="Z757" s="1"/>
    </row>
    <row r="758" spans="1:26" ht="24.75" customHeight="1">
      <c r="A758" s="1"/>
      <c r="B758" s="1"/>
      <c r="C758" s="1"/>
      <c r="D758" s="1"/>
      <c r="E758" s="1"/>
      <c r="F758" s="1"/>
      <c r="G758" s="1"/>
      <c r="H758" s="1"/>
      <c r="I758" s="1"/>
      <c r="J758" s="1"/>
      <c r="K758" s="1"/>
      <c r="L758" s="1"/>
      <c r="M758" s="1"/>
      <c r="N758" s="1"/>
      <c r="O758" s="1"/>
      <c r="P758" s="1"/>
      <c r="Q758" s="1"/>
      <c r="R758" s="1"/>
      <c r="S758" s="1"/>
      <c r="T758" s="1"/>
      <c r="U758" s="2"/>
      <c r="V758" s="1"/>
      <c r="W758" s="1"/>
      <c r="X758" s="1"/>
      <c r="Y758" s="1"/>
      <c r="Z758" s="1"/>
    </row>
    <row r="759" spans="1:26" ht="24.75" customHeight="1">
      <c r="A759" s="1"/>
      <c r="B759" s="1"/>
      <c r="C759" s="1"/>
      <c r="D759" s="1"/>
      <c r="E759" s="1"/>
      <c r="F759" s="1"/>
      <c r="G759" s="1"/>
      <c r="H759" s="1"/>
      <c r="I759" s="1"/>
      <c r="J759" s="1"/>
      <c r="K759" s="1"/>
      <c r="L759" s="1"/>
      <c r="M759" s="1"/>
      <c r="N759" s="1"/>
      <c r="O759" s="1"/>
      <c r="P759" s="1"/>
      <c r="Q759" s="1"/>
      <c r="R759" s="1"/>
      <c r="S759" s="1"/>
      <c r="T759" s="1"/>
      <c r="U759" s="2"/>
      <c r="V759" s="1"/>
      <c r="W759" s="1"/>
      <c r="X759" s="1"/>
      <c r="Y759" s="1"/>
      <c r="Z759" s="1"/>
    </row>
    <row r="760" spans="1:26" ht="24.75" customHeight="1">
      <c r="A760" s="1"/>
      <c r="B760" s="1"/>
      <c r="C760" s="1"/>
      <c r="D760" s="1"/>
      <c r="E760" s="1"/>
      <c r="F760" s="1"/>
      <c r="G760" s="1"/>
      <c r="H760" s="1"/>
      <c r="I760" s="1"/>
      <c r="J760" s="1"/>
      <c r="K760" s="1"/>
      <c r="L760" s="1"/>
      <c r="M760" s="1"/>
      <c r="N760" s="1"/>
      <c r="O760" s="1"/>
      <c r="P760" s="1"/>
      <c r="Q760" s="1"/>
      <c r="R760" s="1"/>
      <c r="S760" s="1"/>
      <c r="T760" s="1"/>
      <c r="U760" s="2"/>
      <c r="V760" s="1"/>
      <c r="W760" s="1"/>
      <c r="X760" s="1"/>
      <c r="Y760" s="1"/>
      <c r="Z760" s="1"/>
    </row>
    <row r="761" spans="1:26" ht="24.75" customHeight="1">
      <c r="A761" s="1"/>
      <c r="B761" s="1"/>
      <c r="C761" s="1"/>
      <c r="D761" s="1"/>
      <c r="E761" s="1"/>
      <c r="F761" s="1"/>
      <c r="G761" s="1"/>
      <c r="H761" s="1"/>
      <c r="I761" s="1"/>
      <c r="J761" s="1"/>
      <c r="K761" s="1"/>
      <c r="L761" s="1"/>
      <c r="M761" s="1"/>
      <c r="N761" s="1"/>
      <c r="O761" s="1"/>
      <c r="P761" s="1"/>
      <c r="Q761" s="1"/>
      <c r="R761" s="1"/>
      <c r="S761" s="1"/>
      <c r="T761" s="1"/>
      <c r="U761" s="2"/>
      <c r="V761" s="1"/>
      <c r="W761" s="1"/>
      <c r="X761" s="1"/>
      <c r="Y761" s="1"/>
      <c r="Z761" s="1"/>
    </row>
    <row r="762" spans="1:26" ht="24.75" customHeight="1">
      <c r="A762" s="1"/>
      <c r="B762" s="1"/>
      <c r="C762" s="1"/>
      <c r="D762" s="1"/>
      <c r="E762" s="1"/>
      <c r="F762" s="1"/>
      <c r="G762" s="1"/>
      <c r="H762" s="1"/>
      <c r="I762" s="1"/>
      <c r="J762" s="1"/>
      <c r="K762" s="1"/>
      <c r="L762" s="1"/>
      <c r="M762" s="1"/>
      <c r="N762" s="1"/>
      <c r="O762" s="1"/>
      <c r="P762" s="1"/>
      <c r="Q762" s="1"/>
      <c r="R762" s="1"/>
      <c r="S762" s="1"/>
      <c r="T762" s="1"/>
      <c r="U762" s="2"/>
      <c r="V762" s="1"/>
      <c r="W762" s="1"/>
      <c r="X762" s="1"/>
      <c r="Y762" s="1"/>
      <c r="Z762" s="1"/>
    </row>
    <row r="763" spans="1:26" ht="24.75" customHeight="1">
      <c r="A763" s="1"/>
      <c r="B763" s="1"/>
      <c r="C763" s="1"/>
      <c r="D763" s="1"/>
      <c r="E763" s="1"/>
      <c r="F763" s="1"/>
      <c r="G763" s="1"/>
      <c r="H763" s="1"/>
      <c r="I763" s="1"/>
      <c r="J763" s="1"/>
      <c r="K763" s="1"/>
      <c r="L763" s="1"/>
      <c r="M763" s="1"/>
      <c r="N763" s="1"/>
      <c r="O763" s="1"/>
      <c r="P763" s="1"/>
      <c r="Q763" s="1"/>
      <c r="R763" s="1"/>
      <c r="S763" s="1"/>
      <c r="T763" s="1"/>
      <c r="U763" s="2"/>
      <c r="V763" s="1"/>
      <c r="W763" s="1"/>
      <c r="X763" s="1"/>
      <c r="Y763" s="1"/>
      <c r="Z763" s="1"/>
    </row>
    <row r="764" spans="1:26" ht="24.75" customHeight="1">
      <c r="A764" s="1"/>
      <c r="B764" s="1"/>
      <c r="C764" s="1"/>
      <c r="D764" s="1"/>
      <c r="E764" s="1"/>
      <c r="F764" s="1"/>
      <c r="G764" s="1"/>
      <c r="H764" s="1"/>
      <c r="I764" s="1"/>
      <c r="J764" s="1"/>
      <c r="K764" s="1"/>
      <c r="L764" s="1"/>
      <c r="M764" s="1"/>
      <c r="N764" s="1"/>
      <c r="O764" s="1"/>
      <c r="P764" s="1"/>
      <c r="Q764" s="1"/>
      <c r="R764" s="1"/>
      <c r="S764" s="1"/>
      <c r="T764" s="1"/>
      <c r="U764" s="2"/>
      <c r="V764" s="1"/>
      <c r="W764" s="1"/>
      <c r="X764" s="1"/>
      <c r="Y764" s="1"/>
      <c r="Z764" s="1"/>
    </row>
    <row r="765" spans="1:26" ht="24.75" customHeight="1">
      <c r="A765" s="1"/>
      <c r="B765" s="1"/>
      <c r="C765" s="1"/>
      <c r="D765" s="1"/>
      <c r="E765" s="1"/>
      <c r="F765" s="1"/>
      <c r="G765" s="1"/>
      <c r="H765" s="1"/>
      <c r="I765" s="1"/>
      <c r="J765" s="1"/>
      <c r="K765" s="1"/>
      <c r="L765" s="1"/>
      <c r="M765" s="1"/>
      <c r="N765" s="1"/>
      <c r="O765" s="1"/>
      <c r="P765" s="1"/>
      <c r="Q765" s="1"/>
      <c r="R765" s="1"/>
      <c r="S765" s="1"/>
      <c r="T765" s="1"/>
      <c r="U765" s="2"/>
      <c r="V765" s="1"/>
      <c r="W765" s="1"/>
      <c r="X765" s="1"/>
      <c r="Y765" s="1"/>
      <c r="Z765" s="1"/>
    </row>
    <row r="766" spans="1:26" ht="24.75" customHeight="1">
      <c r="A766" s="1"/>
      <c r="B766" s="1"/>
      <c r="C766" s="1"/>
      <c r="D766" s="1"/>
      <c r="E766" s="1"/>
      <c r="F766" s="1"/>
      <c r="G766" s="1"/>
      <c r="H766" s="1"/>
      <c r="I766" s="1"/>
      <c r="J766" s="1"/>
      <c r="K766" s="1"/>
      <c r="L766" s="1"/>
      <c r="M766" s="1"/>
      <c r="N766" s="1"/>
      <c r="O766" s="1"/>
      <c r="P766" s="1"/>
      <c r="Q766" s="1"/>
      <c r="R766" s="1"/>
      <c r="S766" s="1"/>
      <c r="T766" s="1"/>
      <c r="U766" s="2"/>
      <c r="V766" s="1"/>
      <c r="W766" s="1"/>
      <c r="X766" s="1"/>
      <c r="Y766" s="1"/>
      <c r="Z766" s="1"/>
    </row>
    <row r="767" spans="1:26" ht="24.75" customHeight="1">
      <c r="A767" s="1"/>
      <c r="B767" s="1"/>
      <c r="C767" s="1"/>
      <c r="D767" s="1"/>
      <c r="E767" s="1"/>
      <c r="F767" s="1"/>
      <c r="G767" s="1"/>
      <c r="H767" s="1"/>
      <c r="I767" s="1"/>
      <c r="J767" s="1"/>
      <c r="K767" s="1"/>
      <c r="L767" s="1"/>
      <c r="M767" s="1"/>
      <c r="N767" s="1"/>
      <c r="O767" s="1"/>
      <c r="P767" s="1"/>
      <c r="Q767" s="1"/>
      <c r="R767" s="1"/>
      <c r="S767" s="1"/>
      <c r="T767" s="1"/>
      <c r="U767" s="2"/>
      <c r="V767" s="1"/>
      <c r="W767" s="1"/>
      <c r="X767" s="1"/>
      <c r="Y767" s="1"/>
      <c r="Z767" s="1"/>
    </row>
    <row r="768" spans="1:26" ht="24.75" customHeight="1">
      <c r="A768" s="1"/>
      <c r="B768" s="1"/>
      <c r="C768" s="1"/>
      <c r="D768" s="1"/>
      <c r="E768" s="1"/>
      <c r="F768" s="1"/>
      <c r="G768" s="1"/>
      <c r="H768" s="1"/>
      <c r="I768" s="1"/>
      <c r="J768" s="1"/>
      <c r="K768" s="1"/>
      <c r="L768" s="1"/>
      <c r="M768" s="1"/>
      <c r="N768" s="1"/>
      <c r="O768" s="1"/>
      <c r="P768" s="1"/>
      <c r="Q768" s="1"/>
      <c r="R768" s="1"/>
      <c r="S768" s="1"/>
      <c r="T768" s="1"/>
      <c r="U768" s="2"/>
      <c r="V768" s="1"/>
      <c r="W768" s="1"/>
      <c r="X768" s="1"/>
      <c r="Y768" s="1"/>
      <c r="Z768" s="1"/>
    </row>
    <row r="769" spans="1:26" ht="24.75" customHeight="1">
      <c r="A769" s="1"/>
      <c r="B769" s="1"/>
      <c r="C769" s="1"/>
      <c r="D769" s="1"/>
      <c r="E769" s="1"/>
      <c r="F769" s="1"/>
      <c r="G769" s="1"/>
      <c r="H769" s="1"/>
      <c r="I769" s="1"/>
      <c r="J769" s="1"/>
      <c r="K769" s="1"/>
      <c r="L769" s="1"/>
      <c r="M769" s="1"/>
      <c r="N769" s="1"/>
      <c r="O769" s="1"/>
      <c r="P769" s="1"/>
      <c r="Q769" s="1"/>
      <c r="R769" s="1"/>
      <c r="S769" s="1"/>
      <c r="T769" s="1"/>
      <c r="U769" s="2"/>
      <c r="V769" s="1"/>
      <c r="W769" s="1"/>
      <c r="X769" s="1"/>
      <c r="Y769" s="1"/>
      <c r="Z769" s="1"/>
    </row>
    <row r="770" spans="1:26" ht="24.75" customHeight="1">
      <c r="A770" s="1"/>
      <c r="B770" s="1"/>
      <c r="C770" s="1"/>
      <c r="D770" s="1"/>
      <c r="E770" s="1"/>
      <c r="F770" s="1"/>
      <c r="G770" s="1"/>
      <c r="H770" s="1"/>
      <c r="I770" s="1"/>
      <c r="J770" s="1"/>
      <c r="K770" s="1"/>
      <c r="L770" s="1"/>
      <c r="M770" s="1"/>
      <c r="N770" s="1"/>
      <c r="O770" s="1"/>
      <c r="P770" s="1"/>
      <c r="Q770" s="1"/>
      <c r="R770" s="1"/>
      <c r="S770" s="1"/>
      <c r="T770" s="1"/>
      <c r="U770" s="2"/>
      <c r="V770" s="1"/>
      <c r="W770" s="1"/>
      <c r="X770" s="1"/>
      <c r="Y770" s="1"/>
      <c r="Z770" s="1"/>
    </row>
    <row r="771" spans="1:26" ht="24.75" customHeight="1">
      <c r="A771" s="1"/>
      <c r="B771" s="1"/>
      <c r="C771" s="1"/>
      <c r="D771" s="1"/>
      <c r="E771" s="1"/>
      <c r="F771" s="1"/>
      <c r="G771" s="1"/>
      <c r="H771" s="1"/>
      <c r="I771" s="1"/>
      <c r="J771" s="1"/>
      <c r="K771" s="1"/>
      <c r="L771" s="1"/>
      <c r="M771" s="1"/>
      <c r="N771" s="1"/>
      <c r="O771" s="1"/>
      <c r="P771" s="1"/>
      <c r="Q771" s="1"/>
      <c r="R771" s="1"/>
      <c r="S771" s="1"/>
      <c r="T771" s="1"/>
      <c r="U771" s="2"/>
      <c r="V771" s="1"/>
      <c r="W771" s="1"/>
      <c r="X771" s="1"/>
      <c r="Y771" s="1"/>
      <c r="Z771" s="1"/>
    </row>
    <row r="772" spans="1:26" ht="24.75" customHeight="1">
      <c r="A772" s="1"/>
      <c r="B772" s="1"/>
      <c r="C772" s="1"/>
      <c r="D772" s="1"/>
      <c r="E772" s="1"/>
      <c r="F772" s="1"/>
      <c r="G772" s="1"/>
      <c r="H772" s="1"/>
      <c r="I772" s="1"/>
      <c r="J772" s="1"/>
      <c r="K772" s="1"/>
      <c r="L772" s="1"/>
      <c r="M772" s="1"/>
      <c r="N772" s="1"/>
      <c r="O772" s="1"/>
      <c r="P772" s="1"/>
      <c r="Q772" s="1"/>
      <c r="R772" s="1"/>
      <c r="S772" s="1"/>
      <c r="T772" s="1"/>
      <c r="U772" s="2"/>
      <c r="V772" s="1"/>
      <c r="W772" s="1"/>
      <c r="X772" s="1"/>
      <c r="Y772" s="1"/>
      <c r="Z772" s="1"/>
    </row>
    <row r="773" spans="1:26" ht="24.75" customHeight="1">
      <c r="A773" s="1"/>
      <c r="B773" s="1"/>
      <c r="C773" s="1"/>
      <c r="D773" s="1"/>
      <c r="E773" s="1"/>
      <c r="F773" s="1"/>
      <c r="G773" s="1"/>
      <c r="H773" s="1"/>
      <c r="I773" s="1"/>
      <c r="J773" s="1"/>
      <c r="K773" s="1"/>
      <c r="L773" s="1"/>
      <c r="M773" s="1"/>
      <c r="N773" s="1"/>
      <c r="O773" s="1"/>
      <c r="P773" s="1"/>
      <c r="Q773" s="1"/>
      <c r="R773" s="1"/>
      <c r="S773" s="1"/>
      <c r="T773" s="1"/>
      <c r="U773" s="2"/>
      <c r="V773" s="1"/>
      <c r="W773" s="1"/>
      <c r="X773" s="1"/>
      <c r="Y773" s="1"/>
      <c r="Z773" s="1"/>
    </row>
    <row r="774" spans="1:26" ht="24.75" customHeight="1">
      <c r="A774" s="1"/>
      <c r="B774" s="1"/>
      <c r="C774" s="1"/>
      <c r="D774" s="1"/>
      <c r="E774" s="1"/>
      <c r="F774" s="1"/>
      <c r="G774" s="1"/>
      <c r="H774" s="1"/>
      <c r="I774" s="1"/>
      <c r="J774" s="1"/>
      <c r="K774" s="1"/>
      <c r="L774" s="1"/>
      <c r="M774" s="1"/>
      <c r="N774" s="1"/>
      <c r="O774" s="1"/>
      <c r="P774" s="1"/>
      <c r="Q774" s="1"/>
      <c r="R774" s="1"/>
      <c r="S774" s="1"/>
      <c r="T774" s="1"/>
      <c r="U774" s="2"/>
      <c r="V774" s="1"/>
      <c r="W774" s="1"/>
      <c r="X774" s="1"/>
      <c r="Y774" s="1"/>
      <c r="Z774" s="1"/>
    </row>
    <row r="775" spans="1:26" ht="24.75" customHeight="1">
      <c r="A775" s="1"/>
      <c r="B775" s="1"/>
      <c r="C775" s="1"/>
      <c r="D775" s="1"/>
      <c r="E775" s="1"/>
      <c r="F775" s="1"/>
      <c r="G775" s="1"/>
      <c r="H775" s="1"/>
      <c r="I775" s="1"/>
      <c r="J775" s="1"/>
      <c r="K775" s="1"/>
      <c r="L775" s="1"/>
      <c r="M775" s="1"/>
      <c r="N775" s="1"/>
      <c r="O775" s="1"/>
      <c r="P775" s="1"/>
      <c r="Q775" s="1"/>
      <c r="R775" s="1"/>
      <c r="S775" s="1"/>
      <c r="T775" s="1"/>
      <c r="U775" s="2"/>
      <c r="V775" s="1"/>
      <c r="W775" s="1"/>
      <c r="X775" s="1"/>
      <c r="Y775" s="1"/>
      <c r="Z775" s="1"/>
    </row>
    <row r="776" spans="1:26" ht="24.75" customHeight="1">
      <c r="A776" s="1"/>
      <c r="B776" s="1"/>
      <c r="C776" s="1"/>
      <c r="D776" s="1"/>
      <c r="E776" s="1"/>
      <c r="F776" s="1"/>
      <c r="G776" s="1"/>
      <c r="H776" s="1"/>
      <c r="I776" s="1"/>
      <c r="J776" s="1"/>
      <c r="K776" s="1"/>
      <c r="L776" s="1"/>
      <c r="M776" s="1"/>
      <c r="N776" s="1"/>
      <c r="O776" s="1"/>
      <c r="P776" s="1"/>
      <c r="Q776" s="1"/>
      <c r="R776" s="1"/>
      <c r="S776" s="1"/>
      <c r="T776" s="1"/>
      <c r="U776" s="2"/>
      <c r="V776" s="1"/>
      <c r="W776" s="1"/>
      <c r="X776" s="1"/>
      <c r="Y776" s="1"/>
      <c r="Z776" s="1"/>
    </row>
    <row r="777" spans="1:26" ht="24.75" customHeight="1">
      <c r="A777" s="1"/>
      <c r="B777" s="1"/>
      <c r="C777" s="1"/>
      <c r="D777" s="1"/>
      <c r="E777" s="1"/>
      <c r="F777" s="1"/>
      <c r="G777" s="1"/>
      <c r="H777" s="1"/>
      <c r="I777" s="1"/>
      <c r="J777" s="1"/>
      <c r="K777" s="1"/>
      <c r="L777" s="1"/>
      <c r="M777" s="1"/>
      <c r="N777" s="1"/>
      <c r="O777" s="1"/>
      <c r="P777" s="1"/>
      <c r="Q777" s="1"/>
      <c r="R777" s="1"/>
      <c r="S777" s="1"/>
      <c r="T777" s="1"/>
      <c r="U777" s="2"/>
      <c r="V777" s="1"/>
      <c r="W777" s="1"/>
      <c r="X777" s="1"/>
      <c r="Y777" s="1"/>
      <c r="Z777" s="1"/>
    </row>
    <row r="778" spans="1:26" ht="24.75" customHeight="1">
      <c r="A778" s="1"/>
      <c r="B778" s="1"/>
      <c r="C778" s="1"/>
      <c r="D778" s="1"/>
      <c r="E778" s="1"/>
      <c r="F778" s="1"/>
      <c r="G778" s="1"/>
      <c r="H778" s="1"/>
      <c r="I778" s="1"/>
      <c r="J778" s="1"/>
      <c r="K778" s="1"/>
      <c r="L778" s="1"/>
      <c r="M778" s="1"/>
      <c r="N778" s="1"/>
      <c r="O778" s="1"/>
      <c r="P778" s="1"/>
      <c r="Q778" s="1"/>
      <c r="R778" s="1"/>
      <c r="S778" s="1"/>
      <c r="T778" s="1"/>
      <c r="U778" s="2"/>
      <c r="V778" s="1"/>
      <c r="W778" s="1"/>
      <c r="X778" s="1"/>
      <c r="Y778" s="1"/>
      <c r="Z778" s="1"/>
    </row>
    <row r="779" spans="1:26" ht="24.75" customHeight="1">
      <c r="A779" s="1"/>
      <c r="B779" s="1"/>
      <c r="C779" s="1"/>
      <c r="D779" s="1"/>
      <c r="E779" s="1"/>
      <c r="F779" s="1"/>
      <c r="G779" s="1"/>
      <c r="H779" s="1"/>
      <c r="I779" s="1"/>
      <c r="J779" s="1"/>
      <c r="K779" s="1"/>
      <c r="L779" s="1"/>
      <c r="M779" s="1"/>
      <c r="N779" s="1"/>
      <c r="O779" s="1"/>
      <c r="P779" s="1"/>
      <c r="Q779" s="1"/>
      <c r="R779" s="1"/>
      <c r="S779" s="1"/>
      <c r="T779" s="1"/>
      <c r="U779" s="2"/>
      <c r="V779" s="1"/>
      <c r="W779" s="1"/>
      <c r="X779" s="1"/>
      <c r="Y779" s="1"/>
      <c r="Z779" s="1"/>
    </row>
    <row r="780" spans="1:26" ht="24.75" customHeight="1">
      <c r="A780" s="1"/>
      <c r="B780" s="1"/>
      <c r="C780" s="1"/>
      <c r="D780" s="1"/>
      <c r="E780" s="1"/>
      <c r="F780" s="1"/>
      <c r="G780" s="1"/>
      <c r="H780" s="1"/>
      <c r="I780" s="1"/>
      <c r="J780" s="1"/>
      <c r="K780" s="1"/>
      <c r="L780" s="1"/>
      <c r="M780" s="1"/>
      <c r="N780" s="1"/>
      <c r="O780" s="1"/>
      <c r="P780" s="1"/>
      <c r="Q780" s="1"/>
      <c r="R780" s="1"/>
      <c r="S780" s="1"/>
      <c r="T780" s="1"/>
      <c r="U780" s="2"/>
      <c r="V780" s="1"/>
      <c r="W780" s="1"/>
      <c r="X780" s="1"/>
      <c r="Y780" s="1"/>
      <c r="Z780" s="1"/>
    </row>
    <row r="781" spans="1:26" ht="24.75" customHeight="1">
      <c r="A781" s="1"/>
      <c r="B781" s="1"/>
      <c r="C781" s="1"/>
      <c r="D781" s="1"/>
      <c r="E781" s="1"/>
      <c r="F781" s="1"/>
      <c r="G781" s="1"/>
      <c r="H781" s="1"/>
      <c r="I781" s="1"/>
      <c r="J781" s="1"/>
      <c r="K781" s="1"/>
      <c r="L781" s="1"/>
      <c r="M781" s="1"/>
      <c r="N781" s="1"/>
      <c r="O781" s="1"/>
      <c r="P781" s="1"/>
      <c r="Q781" s="1"/>
      <c r="R781" s="1"/>
      <c r="S781" s="1"/>
      <c r="T781" s="1"/>
      <c r="U781" s="2"/>
      <c r="V781" s="1"/>
      <c r="W781" s="1"/>
      <c r="X781" s="1"/>
      <c r="Y781" s="1"/>
      <c r="Z781" s="1"/>
    </row>
    <row r="782" spans="1:26" ht="24.75" customHeight="1">
      <c r="A782" s="1"/>
      <c r="B782" s="1"/>
      <c r="C782" s="1"/>
      <c r="D782" s="1"/>
      <c r="E782" s="1"/>
      <c r="F782" s="1"/>
      <c r="G782" s="1"/>
      <c r="H782" s="1"/>
      <c r="I782" s="1"/>
      <c r="J782" s="1"/>
      <c r="K782" s="1"/>
      <c r="L782" s="1"/>
      <c r="M782" s="1"/>
      <c r="N782" s="1"/>
      <c r="O782" s="1"/>
      <c r="P782" s="1"/>
      <c r="Q782" s="1"/>
      <c r="R782" s="1"/>
      <c r="S782" s="1"/>
      <c r="T782" s="1"/>
      <c r="U782" s="2"/>
      <c r="V782" s="1"/>
      <c r="W782" s="1"/>
      <c r="X782" s="1"/>
      <c r="Y782" s="1"/>
      <c r="Z782" s="1"/>
    </row>
    <row r="783" spans="1:26" ht="24.75" customHeight="1">
      <c r="A783" s="1"/>
      <c r="B783" s="1"/>
      <c r="C783" s="1"/>
      <c r="D783" s="1"/>
      <c r="E783" s="1"/>
      <c r="F783" s="1"/>
      <c r="G783" s="1"/>
      <c r="H783" s="1"/>
      <c r="I783" s="1"/>
      <c r="J783" s="1"/>
      <c r="K783" s="1"/>
      <c r="L783" s="1"/>
      <c r="M783" s="1"/>
      <c r="N783" s="1"/>
      <c r="O783" s="1"/>
      <c r="P783" s="1"/>
      <c r="Q783" s="1"/>
      <c r="R783" s="1"/>
      <c r="S783" s="1"/>
      <c r="T783" s="1"/>
      <c r="U783" s="2"/>
      <c r="V783" s="1"/>
      <c r="W783" s="1"/>
      <c r="X783" s="1"/>
      <c r="Y783" s="1"/>
      <c r="Z783" s="1"/>
    </row>
    <row r="784" spans="1:26" ht="24.75" customHeight="1">
      <c r="A784" s="1"/>
      <c r="B784" s="1"/>
      <c r="C784" s="1"/>
      <c r="D784" s="1"/>
      <c r="E784" s="1"/>
      <c r="F784" s="1"/>
      <c r="G784" s="1"/>
      <c r="H784" s="1"/>
      <c r="I784" s="1"/>
      <c r="J784" s="1"/>
      <c r="K784" s="1"/>
      <c r="L784" s="1"/>
      <c r="M784" s="1"/>
      <c r="N784" s="1"/>
      <c r="O784" s="1"/>
      <c r="P784" s="1"/>
      <c r="Q784" s="1"/>
      <c r="R784" s="1"/>
      <c r="S784" s="1"/>
      <c r="T784" s="1"/>
      <c r="U784" s="2"/>
      <c r="V784" s="1"/>
      <c r="W784" s="1"/>
      <c r="X784" s="1"/>
      <c r="Y784" s="1"/>
      <c r="Z784" s="1"/>
    </row>
    <row r="785" spans="1:26" ht="24.75" customHeight="1">
      <c r="A785" s="1"/>
      <c r="B785" s="1"/>
      <c r="C785" s="1"/>
      <c r="D785" s="1"/>
      <c r="E785" s="1"/>
      <c r="F785" s="1"/>
      <c r="G785" s="1"/>
      <c r="H785" s="1"/>
      <c r="I785" s="1"/>
      <c r="J785" s="1"/>
      <c r="K785" s="1"/>
      <c r="L785" s="1"/>
      <c r="M785" s="1"/>
      <c r="N785" s="1"/>
      <c r="O785" s="1"/>
      <c r="P785" s="1"/>
      <c r="Q785" s="1"/>
      <c r="R785" s="1"/>
      <c r="S785" s="1"/>
      <c r="T785" s="1"/>
      <c r="U785" s="2"/>
      <c r="V785" s="1"/>
      <c r="W785" s="1"/>
      <c r="X785" s="1"/>
      <c r="Y785" s="1"/>
      <c r="Z785" s="1"/>
    </row>
    <row r="786" spans="1:26" ht="24.75" customHeight="1">
      <c r="A786" s="1"/>
      <c r="B786" s="1"/>
      <c r="C786" s="1"/>
      <c r="D786" s="1"/>
      <c r="E786" s="1"/>
      <c r="F786" s="1"/>
      <c r="G786" s="1"/>
      <c r="H786" s="1"/>
      <c r="I786" s="1"/>
      <c r="J786" s="1"/>
      <c r="K786" s="1"/>
      <c r="L786" s="1"/>
      <c r="M786" s="1"/>
      <c r="N786" s="1"/>
      <c r="O786" s="1"/>
      <c r="P786" s="1"/>
      <c r="Q786" s="1"/>
      <c r="R786" s="1"/>
      <c r="S786" s="1"/>
      <c r="T786" s="1"/>
      <c r="U786" s="2"/>
      <c r="V786" s="1"/>
      <c r="W786" s="1"/>
      <c r="X786" s="1"/>
      <c r="Y786" s="1"/>
      <c r="Z786" s="1"/>
    </row>
    <row r="787" spans="1:26" ht="24.75" customHeight="1">
      <c r="A787" s="1"/>
      <c r="B787" s="1"/>
      <c r="C787" s="1"/>
      <c r="D787" s="1"/>
      <c r="E787" s="1"/>
      <c r="F787" s="1"/>
      <c r="G787" s="1"/>
      <c r="H787" s="1"/>
      <c r="I787" s="1"/>
      <c r="J787" s="1"/>
      <c r="K787" s="1"/>
      <c r="L787" s="1"/>
      <c r="M787" s="1"/>
      <c r="N787" s="1"/>
      <c r="O787" s="1"/>
      <c r="P787" s="1"/>
      <c r="Q787" s="1"/>
      <c r="R787" s="1"/>
      <c r="S787" s="1"/>
      <c r="T787" s="1"/>
      <c r="U787" s="2"/>
      <c r="V787" s="1"/>
      <c r="W787" s="1"/>
      <c r="X787" s="1"/>
      <c r="Y787" s="1"/>
      <c r="Z787" s="1"/>
    </row>
    <row r="788" spans="1:26" ht="24.75" customHeight="1">
      <c r="A788" s="1"/>
      <c r="B788" s="1"/>
      <c r="C788" s="1"/>
      <c r="D788" s="1"/>
      <c r="E788" s="1"/>
      <c r="F788" s="1"/>
      <c r="G788" s="1"/>
      <c r="H788" s="1"/>
      <c r="I788" s="1"/>
      <c r="J788" s="1"/>
      <c r="K788" s="1"/>
      <c r="L788" s="1"/>
      <c r="M788" s="1"/>
      <c r="N788" s="1"/>
      <c r="O788" s="1"/>
      <c r="P788" s="1"/>
      <c r="Q788" s="1"/>
      <c r="R788" s="1"/>
      <c r="S788" s="1"/>
      <c r="T788" s="1"/>
      <c r="U788" s="2"/>
      <c r="V788" s="1"/>
      <c r="W788" s="1"/>
      <c r="X788" s="1"/>
      <c r="Y788" s="1"/>
      <c r="Z788" s="1"/>
    </row>
    <row r="789" spans="1:26" ht="24.75" customHeight="1">
      <c r="A789" s="1"/>
      <c r="B789" s="1"/>
      <c r="C789" s="1"/>
      <c r="D789" s="1"/>
      <c r="E789" s="1"/>
      <c r="F789" s="1"/>
      <c r="G789" s="1"/>
      <c r="H789" s="1"/>
      <c r="I789" s="1"/>
      <c r="J789" s="1"/>
      <c r="K789" s="1"/>
      <c r="L789" s="1"/>
      <c r="M789" s="1"/>
      <c r="N789" s="1"/>
      <c r="O789" s="1"/>
      <c r="P789" s="1"/>
      <c r="Q789" s="1"/>
      <c r="R789" s="1"/>
      <c r="S789" s="1"/>
      <c r="T789" s="1"/>
      <c r="U789" s="2"/>
      <c r="V789" s="1"/>
      <c r="W789" s="1"/>
      <c r="X789" s="1"/>
      <c r="Y789" s="1"/>
      <c r="Z789" s="1"/>
    </row>
    <row r="790" spans="1:26" ht="24.75" customHeight="1">
      <c r="A790" s="1"/>
      <c r="B790" s="1"/>
      <c r="C790" s="1"/>
      <c r="D790" s="1"/>
      <c r="E790" s="1"/>
      <c r="F790" s="1"/>
      <c r="G790" s="1"/>
      <c r="H790" s="1"/>
      <c r="I790" s="1"/>
      <c r="J790" s="1"/>
      <c r="K790" s="1"/>
      <c r="L790" s="1"/>
      <c r="M790" s="1"/>
      <c r="N790" s="1"/>
      <c r="O790" s="1"/>
      <c r="P790" s="1"/>
      <c r="Q790" s="1"/>
      <c r="R790" s="1"/>
      <c r="S790" s="1"/>
      <c r="T790" s="1"/>
      <c r="U790" s="2"/>
      <c r="V790" s="1"/>
      <c r="W790" s="1"/>
      <c r="X790" s="1"/>
      <c r="Y790" s="1"/>
      <c r="Z790" s="1"/>
    </row>
    <row r="791" spans="1:26" ht="24.75" customHeight="1">
      <c r="A791" s="1"/>
      <c r="B791" s="1"/>
      <c r="C791" s="1"/>
      <c r="D791" s="1"/>
      <c r="E791" s="1"/>
      <c r="F791" s="1"/>
      <c r="G791" s="1"/>
      <c r="H791" s="1"/>
      <c r="I791" s="1"/>
      <c r="J791" s="1"/>
      <c r="K791" s="1"/>
      <c r="L791" s="1"/>
      <c r="M791" s="1"/>
      <c r="N791" s="1"/>
      <c r="O791" s="1"/>
      <c r="P791" s="1"/>
      <c r="Q791" s="1"/>
      <c r="R791" s="1"/>
      <c r="S791" s="1"/>
      <c r="T791" s="1"/>
      <c r="U791" s="2"/>
      <c r="V791" s="1"/>
      <c r="W791" s="1"/>
      <c r="X791" s="1"/>
      <c r="Y791" s="1"/>
      <c r="Z791" s="1"/>
    </row>
    <row r="792" spans="1:26" ht="24.75" customHeight="1">
      <c r="A792" s="1"/>
      <c r="B792" s="1"/>
      <c r="C792" s="1"/>
      <c r="D792" s="1"/>
      <c r="E792" s="1"/>
      <c r="F792" s="1"/>
      <c r="G792" s="1"/>
      <c r="H792" s="1"/>
      <c r="I792" s="1"/>
      <c r="J792" s="1"/>
      <c r="K792" s="1"/>
      <c r="L792" s="1"/>
      <c r="M792" s="1"/>
      <c r="N792" s="1"/>
      <c r="O792" s="1"/>
      <c r="P792" s="1"/>
      <c r="Q792" s="1"/>
      <c r="R792" s="1"/>
      <c r="S792" s="1"/>
      <c r="T792" s="1"/>
      <c r="U792" s="2"/>
      <c r="V792" s="1"/>
      <c r="W792" s="1"/>
      <c r="X792" s="1"/>
      <c r="Y792" s="1"/>
      <c r="Z792" s="1"/>
    </row>
    <row r="793" spans="1:26" ht="24.75" customHeight="1">
      <c r="A793" s="1"/>
      <c r="B793" s="1"/>
      <c r="C793" s="1"/>
      <c r="D793" s="1"/>
      <c r="E793" s="1"/>
      <c r="F793" s="1"/>
      <c r="G793" s="1"/>
      <c r="H793" s="1"/>
      <c r="I793" s="1"/>
      <c r="J793" s="1"/>
      <c r="K793" s="1"/>
      <c r="L793" s="1"/>
      <c r="M793" s="1"/>
      <c r="N793" s="1"/>
      <c r="O793" s="1"/>
      <c r="P793" s="1"/>
      <c r="Q793" s="1"/>
      <c r="R793" s="1"/>
      <c r="S793" s="1"/>
      <c r="T793" s="1"/>
      <c r="U793" s="2"/>
      <c r="V793" s="1"/>
      <c r="W793" s="1"/>
      <c r="X793" s="1"/>
      <c r="Y793" s="1"/>
      <c r="Z793" s="1"/>
    </row>
    <row r="794" spans="1:26" ht="24.75" customHeight="1">
      <c r="A794" s="1"/>
      <c r="B794" s="1"/>
      <c r="C794" s="1"/>
      <c r="D794" s="1"/>
      <c r="E794" s="1"/>
      <c r="F794" s="1"/>
      <c r="G794" s="1"/>
      <c r="H794" s="1"/>
      <c r="I794" s="1"/>
      <c r="J794" s="1"/>
      <c r="K794" s="1"/>
      <c r="L794" s="1"/>
      <c r="M794" s="1"/>
      <c r="N794" s="1"/>
      <c r="O794" s="1"/>
      <c r="P794" s="1"/>
      <c r="Q794" s="1"/>
      <c r="R794" s="1"/>
      <c r="S794" s="1"/>
      <c r="T794" s="1"/>
      <c r="U794" s="2"/>
      <c r="V794" s="1"/>
      <c r="W794" s="1"/>
      <c r="X794" s="1"/>
      <c r="Y794" s="1"/>
      <c r="Z794" s="1"/>
    </row>
    <row r="795" spans="1:26" ht="24.75" customHeight="1">
      <c r="A795" s="1"/>
      <c r="B795" s="1"/>
      <c r="C795" s="1"/>
      <c r="D795" s="1"/>
      <c r="E795" s="1"/>
      <c r="F795" s="1"/>
      <c r="G795" s="1"/>
      <c r="H795" s="1"/>
      <c r="I795" s="1"/>
      <c r="J795" s="1"/>
      <c r="K795" s="1"/>
      <c r="L795" s="1"/>
      <c r="M795" s="1"/>
      <c r="N795" s="1"/>
      <c r="O795" s="1"/>
      <c r="P795" s="1"/>
      <c r="Q795" s="1"/>
      <c r="R795" s="1"/>
      <c r="S795" s="1"/>
      <c r="T795" s="1"/>
      <c r="U795" s="2"/>
      <c r="V795" s="1"/>
      <c r="W795" s="1"/>
      <c r="X795" s="1"/>
      <c r="Y795" s="1"/>
      <c r="Z795" s="1"/>
    </row>
    <row r="796" spans="1:26" ht="24.75" customHeight="1">
      <c r="A796" s="1"/>
      <c r="B796" s="1"/>
      <c r="C796" s="1"/>
      <c r="D796" s="1"/>
      <c r="E796" s="1"/>
      <c r="F796" s="1"/>
      <c r="G796" s="1"/>
      <c r="H796" s="1"/>
      <c r="I796" s="1"/>
      <c r="J796" s="1"/>
      <c r="K796" s="1"/>
      <c r="L796" s="1"/>
      <c r="M796" s="1"/>
      <c r="N796" s="1"/>
      <c r="O796" s="1"/>
      <c r="P796" s="1"/>
      <c r="Q796" s="1"/>
      <c r="R796" s="1"/>
      <c r="S796" s="1"/>
      <c r="T796" s="1"/>
      <c r="U796" s="2"/>
      <c r="V796" s="1"/>
      <c r="W796" s="1"/>
      <c r="X796" s="1"/>
      <c r="Y796" s="1"/>
      <c r="Z796" s="1"/>
    </row>
    <row r="797" spans="1:26" ht="24.75" customHeight="1">
      <c r="A797" s="1"/>
      <c r="B797" s="1"/>
      <c r="C797" s="1"/>
      <c r="D797" s="1"/>
      <c r="E797" s="1"/>
      <c r="F797" s="1"/>
      <c r="G797" s="1"/>
      <c r="H797" s="1"/>
      <c r="I797" s="1"/>
      <c r="J797" s="1"/>
      <c r="K797" s="1"/>
      <c r="L797" s="1"/>
      <c r="M797" s="1"/>
      <c r="N797" s="1"/>
      <c r="O797" s="1"/>
      <c r="P797" s="1"/>
      <c r="Q797" s="1"/>
      <c r="R797" s="1"/>
      <c r="S797" s="1"/>
      <c r="T797" s="1"/>
      <c r="U797" s="2"/>
      <c r="V797" s="1"/>
      <c r="W797" s="1"/>
      <c r="X797" s="1"/>
      <c r="Y797" s="1"/>
      <c r="Z797" s="1"/>
    </row>
    <row r="798" spans="1:26" ht="24.75" customHeight="1">
      <c r="A798" s="1"/>
      <c r="B798" s="1"/>
      <c r="C798" s="1"/>
      <c r="D798" s="1"/>
      <c r="E798" s="1"/>
      <c r="F798" s="1"/>
      <c r="G798" s="1"/>
      <c r="H798" s="1"/>
      <c r="I798" s="1"/>
      <c r="J798" s="1"/>
      <c r="K798" s="1"/>
      <c r="L798" s="1"/>
      <c r="M798" s="1"/>
      <c r="N798" s="1"/>
      <c r="O798" s="1"/>
      <c r="P798" s="1"/>
      <c r="Q798" s="1"/>
      <c r="R798" s="1"/>
      <c r="S798" s="1"/>
      <c r="T798" s="1"/>
      <c r="U798" s="2"/>
      <c r="V798" s="1"/>
      <c r="W798" s="1"/>
      <c r="X798" s="1"/>
      <c r="Y798" s="1"/>
      <c r="Z798" s="1"/>
    </row>
    <row r="799" spans="1:26" ht="24.75" customHeight="1">
      <c r="A799" s="1"/>
      <c r="B799" s="1"/>
      <c r="C799" s="1"/>
      <c r="D799" s="1"/>
      <c r="E799" s="1"/>
      <c r="F799" s="1"/>
      <c r="G799" s="1"/>
      <c r="H799" s="1"/>
      <c r="I799" s="1"/>
      <c r="J799" s="1"/>
      <c r="K799" s="1"/>
      <c r="L799" s="1"/>
      <c r="M799" s="1"/>
      <c r="N799" s="1"/>
      <c r="O799" s="1"/>
      <c r="P799" s="1"/>
      <c r="Q799" s="1"/>
      <c r="R799" s="1"/>
      <c r="S799" s="1"/>
      <c r="T799" s="1"/>
      <c r="U799" s="2"/>
      <c r="V799" s="1"/>
      <c r="W799" s="1"/>
      <c r="X799" s="1"/>
      <c r="Y799" s="1"/>
      <c r="Z799" s="1"/>
    </row>
    <row r="800" spans="1:26" ht="24.75" customHeight="1">
      <c r="A800" s="1"/>
      <c r="B800" s="1"/>
      <c r="C800" s="1"/>
      <c r="D800" s="1"/>
      <c r="E800" s="1"/>
      <c r="F800" s="1"/>
      <c r="G800" s="1"/>
      <c r="H800" s="1"/>
      <c r="I800" s="1"/>
      <c r="J800" s="1"/>
      <c r="K800" s="1"/>
      <c r="L800" s="1"/>
      <c r="M800" s="1"/>
      <c r="N800" s="1"/>
      <c r="O800" s="1"/>
      <c r="P800" s="1"/>
      <c r="Q800" s="1"/>
      <c r="R800" s="1"/>
      <c r="S800" s="1"/>
      <c r="T800" s="1"/>
      <c r="U800" s="2"/>
      <c r="V800" s="1"/>
      <c r="W800" s="1"/>
      <c r="X800" s="1"/>
      <c r="Y800" s="1"/>
      <c r="Z800" s="1"/>
    </row>
    <row r="801" spans="1:26" ht="24.75" customHeight="1">
      <c r="A801" s="1"/>
      <c r="B801" s="1"/>
      <c r="C801" s="1"/>
      <c r="D801" s="1"/>
      <c r="E801" s="1"/>
      <c r="F801" s="1"/>
      <c r="G801" s="1"/>
      <c r="H801" s="1"/>
      <c r="I801" s="1"/>
      <c r="J801" s="1"/>
      <c r="K801" s="1"/>
      <c r="L801" s="1"/>
      <c r="M801" s="1"/>
      <c r="N801" s="1"/>
      <c r="O801" s="1"/>
      <c r="P801" s="1"/>
      <c r="Q801" s="1"/>
      <c r="R801" s="1"/>
      <c r="S801" s="1"/>
      <c r="T801" s="1"/>
      <c r="U801" s="2"/>
      <c r="V801" s="1"/>
      <c r="W801" s="1"/>
      <c r="X801" s="1"/>
      <c r="Y801" s="1"/>
      <c r="Z801" s="1"/>
    </row>
    <row r="802" spans="1:26" ht="24.75" customHeight="1">
      <c r="A802" s="1"/>
      <c r="B802" s="1"/>
      <c r="C802" s="1"/>
      <c r="D802" s="1"/>
      <c r="E802" s="1"/>
      <c r="F802" s="1"/>
      <c r="G802" s="1"/>
      <c r="H802" s="1"/>
      <c r="I802" s="1"/>
      <c r="J802" s="1"/>
      <c r="K802" s="1"/>
      <c r="L802" s="1"/>
      <c r="M802" s="1"/>
      <c r="N802" s="1"/>
      <c r="O802" s="1"/>
      <c r="P802" s="1"/>
      <c r="Q802" s="1"/>
      <c r="R802" s="1"/>
      <c r="S802" s="1"/>
      <c r="T802" s="1"/>
      <c r="U802" s="2"/>
      <c r="V802" s="1"/>
      <c r="W802" s="1"/>
      <c r="X802" s="1"/>
      <c r="Y802" s="1"/>
      <c r="Z802" s="1"/>
    </row>
    <row r="803" spans="1:26" ht="24.75" customHeight="1">
      <c r="A803" s="1"/>
      <c r="B803" s="1"/>
      <c r="C803" s="1"/>
      <c r="D803" s="1"/>
      <c r="E803" s="1"/>
      <c r="F803" s="1"/>
      <c r="G803" s="1"/>
      <c r="H803" s="1"/>
      <c r="I803" s="1"/>
      <c r="J803" s="1"/>
      <c r="K803" s="1"/>
      <c r="L803" s="1"/>
      <c r="M803" s="1"/>
      <c r="N803" s="1"/>
      <c r="O803" s="1"/>
      <c r="P803" s="1"/>
      <c r="Q803" s="1"/>
      <c r="R803" s="1"/>
      <c r="S803" s="1"/>
      <c r="T803" s="1"/>
      <c r="U803" s="2"/>
      <c r="V803" s="1"/>
      <c r="W803" s="1"/>
      <c r="X803" s="1"/>
      <c r="Y803" s="1"/>
      <c r="Z803" s="1"/>
    </row>
    <row r="804" spans="1:26" ht="24.75" customHeight="1">
      <c r="A804" s="1"/>
      <c r="B804" s="1"/>
      <c r="C804" s="1"/>
      <c r="D804" s="1"/>
      <c r="E804" s="1"/>
      <c r="F804" s="1"/>
      <c r="G804" s="1"/>
      <c r="H804" s="1"/>
      <c r="I804" s="1"/>
      <c r="J804" s="1"/>
      <c r="K804" s="1"/>
      <c r="L804" s="1"/>
      <c r="M804" s="1"/>
      <c r="N804" s="1"/>
      <c r="O804" s="1"/>
      <c r="P804" s="1"/>
      <c r="Q804" s="1"/>
      <c r="R804" s="1"/>
      <c r="S804" s="1"/>
      <c r="T804" s="1"/>
      <c r="U804" s="2"/>
      <c r="V804" s="1"/>
      <c r="W804" s="1"/>
      <c r="X804" s="1"/>
      <c r="Y804" s="1"/>
      <c r="Z804" s="1"/>
    </row>
    <row r="805" spans="1:26" ht="24.75" customHeight="1">
      <c r="A805" s="1"/>
      <c r="B805" s="1"/>
      <c r="C805" s="1"/>
      <c r="D805" s="1"/>
      <c r="E805" s="1"/>
      <c r="F805" s="1"/>
      <c r="G805" s="1"/>
      <c r="H805" s="1"/>
      <c r="I805" s="1"/>
      <c r="J805" s="1"/>
      <c r="K805" s="1"/>
      <c r="L805" s="1"/>
      <c r="M805" s="1"/>
      <c r="N805" s="1"/>
      <c r="O805" s="1"/>
      <c r="P805" s="1"/>
      <c r="Q805" s="1"/>
      <c r="R805" s="1"/>
      <c r="S805" s="1"/>
      <c r="T805" s="1"/>
      <c r="U805" s="2"/>
      <c r="V805" s="1"/>
      <c r="W805" s="1"/>
      <c r="X805" s="1"/>
      <c r="Y805" s="1"/>
      <c r="Z805" s="1"/>
    </row>
    <row r="806" spans="1:26" ht="24.75" customHeight="1">
      <c r="A806" s="1"/>
      <c r="B806" s="1"/>
      <c r="C806" s="1"/>
      <c r="D806" s="1"/>
      <c r="E806" s="1"/>
      <c r="F806" s="1"/>
      <c r="G806" s="1"/>
      <c r="H806" s="1"/>
      <c r="I806" s="1"/>
      <c r="J806" s="1"/>
      <c r="K806" s="1"/>
      <c r="L806" s="1"/>
      <c r="M806" s="1"/>
      <c r="N806" s="1"/>
      <c r="O806" s="1"/>
      <c r="P806" s="1"/>
      <c r="Q806" s="1"/>
      <c r="R806" s="1"/>
      <c r="S806" s="1"/>
      <c r="T806" s="1"/>
      <c r="U806" s="2"/>
      <c r="V806" s="1"/>
      <c r="W806" s="1"/>
      <c r="X806" s="1"/>
      <c r="Y806" s="1"/>
      <c r="Z806" s="1"/>
    </row>
    <row r="807" spans="1:26" ht="24.75" customHeight="1">
      <c r="A807" s="1"/>
      <c r="B807" s="1"/>
      <c r="C807" s="1"/>
      <c r="D807" s="1"/>
      <c r="E807" s="1"/>
      <c r="F807" s="1"/>
      <c r="G807" s="1"/>
      <c r="H807" s="1"/>
      <c r="I807" s="1"/>
      <c r="J807" s="1"/>
      <c r="K807" s="1"/>
      <c r="L807" s="1"/>
      <c r="M807" s="1"/>
      <c r="N807" s="1"/>
      <c r="O807" s="1"/>
      <c r="P807" s="1"/>
      <c r="Q807" s="1"/>
      <c r="R807" s="1"/>
      <c r="S807" s="1"/>
      <c r="T807" s="1"/>
      <c r="U807" s="2"/>
      <c r="V807" s="1"/>
      <c r="W807" s="1"/>
      <c r="X807" s="1"/>
      <c r="Y807" s="1"/>
      <c r="Z807" s="1"/>
    </row>
    <row r="808" spans="1:26" ht="24.75" customHeight="1">
      <c r="A808" s="1"/>
      <c r="B808" s="1"/>
      <c r="C808" s="1"/>
      <c r="D808" s="1"/>
      <c r="E808" s="1"/>
      <c r="F808" s="1"/>
      <c r="G808" s="1"/>
      <c r="H808" s="1"/>
      <c r="I808" s="1"/>
      <c r="J808" s="1"/>
      <c r="K808" s="1"/>
      <c r="L808" s="1"/>
      <c r="M808" s="1"/>
      <c r="N808" s="1"/>
      <c r="O808" s="1"/>
      <c r="P808" s="1"/>
      <c r="Q808" s="1"/>
      <c r="R808" s="1"/>
      <c r="S808" s="1"/>
      <c r="T808" s="1"/>
      <c r="U808" s="2"/>
      <c r="V808" s="1"/>
      <c r="W808" s="1"/>
      <c r="X808" s="1"/>
      <c r="Y808" s="1"/>
      <c r="Z808" s="1"/>
    </row>
    <row r="809" spans="1:26" ht="24.75" customHeight="1">
      <c r="A809" s="1"/>
      <c r="B809" s="1"/>
      <c r="C809" s="1"/>
      <c r="D809" s="1"/>
      <c r="E809" s="1"/>
      <c r="F809" s="1"/>
      <c r="G809" s="1"/>
      <c r="H809" s="1"/>
      <c r="I809" s="1"/>
      <c r="J809" s="1"/>
      <c r="K809" s="1"/>
      <c r="L809" s="1"/>
      <c r="M809" s="1"/>
      <c r="N809" s="1"/>
      <c r="O809" s="1"/>
      <c r="P809" s="1"/>
      <c r="Q809" s="1"/>
      <c r="R809" s="1"/>
      <c r="S809" s="1"/>
      <c r="T809" s="1"/>
      <c r="U809" s="2"/>
      <c r="V809" s="1"/>
      <c r="W809" s="1"/>
      <c r="X809" s="1"/>
      <c r="Y809" s="1"/>
      <c r="Z809" s="1"/>
    </row>
    <row r="810" spans="1:26" ht="24.75" customHeight="1">
      <c r="A810" s="1"/>
      <c r="B810" s="1"/>
      <c r="C810" s="1"/>
      <c r="D810" s="1"/>
      <c r="E810" s="1"/>
      <c r="F810" s="1"/>
      <c r="G810" s="1"/>
      <c r="H810" s="1"/>
      <c r="I810" s="1"/>
      <c r="J810" s="1"/>
      <c r="K810" s="1"/>
      <c r="L810" s="1"/>
      <c r="M810" s="1"/>
      <c r="N810" s="1"/>
      <c r="O810" s="1"/>
      <c r="P810" s="1"/>
      <c r="Q810" s="1"/>
      <c r="R810" s="1"/>
      <c r="S810" s="1"/>
      <c r="T810" s="1"/>
      <c r="U810" s="2"/>
      <c r="V810" s="1"/>
      <c r="W810" s="1"/>
      <c r="X810" s="1"/>
      <c r="Y810" s="1"/>
      <c r="Z810" s="1"/>
    </row>
    <row r="811" spans="1:26" ht="24.75" customHeight="1">
      <c r="A811" s="1"/>
      <c r="B811" s="1"/>
      <c r="C811" s="1"/>
      <c r="D811" s="1"/>
      <c r="E811" s="1"/>
      <c r="F811" s="1"/>
      <c r="G811" s="1"/>
      <c r="H811" s="1"/>
      <c r="I811" s="1"/>
      <c r="J811" s="1"/>
      <c r="K811" s="1"/>
      <c r="L811" s="1"/>
      <c r="M811" s="1"/>
      <c r="N811" s="1"/>
      <c r="O811" s="1"/>
      <c r="P811" s="1"/>
      <c r="Q811" s="1"/>
      <c r="R811" s="1"/>
      <c r="S811" s="1"/>
      <c r="T811" s="1"/>
      <c r="U811" s="2"/>
      <c r="V811" s="1"/>
      <c r="W811" s="1"/>
      <c r="X811" s="1"/>
      <c r="Y811" s="1"/>
      <c r="Z811" s="1"/>
    </row>
    <row r="812" spans="1:26" ht="24.75" customHeight="1">
      <c r="A812" s="1"/>
      <c r="B812" s="1"/>
      <c r="C812" s="1"/>
      <c r="D812" s="1"/>
      <c r="E812" s="1"/>
      <c r="F812" s="1"/>
      <c r="G812" s="1"/>
      <c r="H812" s="1"/>
      <c r="I812" s="1"/>
      <c r="J812" s="1"/>
      <c r="K812" s="1"/>
      <c r="L812" s="1"/>
      <c r="M812" s="1"/>
      <c r="N812" s="1"/>
      <c r="O812" s="1"/>
      <c r="P812" s="1"/>
      <c r="Q812" s="1"/>
      <c r="R812" s="1"/>
      <c r="S812" s="1"/>
      <c r="T812" s="1"/>
      <c r="U812" s="2"/>
      <c r="V812" s="1"/>
      <c r="W812" s="1"/>
      <c r="X812" s="1"/>
      <c r="Y812" s="1"/>
      <c r="Z812" s="1"/>
    </row>
    <row r="813" spans="1:26" ht="24.75" customHeight="1">
      <c r="A813" s="1"/>
      <c r="B813" s="1"/>
      <c r="C813" s="1"/>
      <c r="D813" s="1"/>
      <c r="E813" s="1"/>
      <c r="F813" s="1"/>
      <c r="G813" s="1"/>
      <c r="H813" s="1"/>
      <c r="I813" s="1"/>
      <c r="J813" s="1"/>
      <c r="K813" s="1"/>
      <c r="L813" s="1"/>
      <c r="M813" s="1"/>
      <c r="N813" s="1"/>
      <c r="O813" s="1"/>
      <c r="P813" s="1"/>
      <c r="Q813" s="1"/>
      <c r="R813" s="1"/>
      <c r="S813" s="1"/>
      <c r="T813" s="1"/>
      <c r="U813" s="2"/>
      <c r="V813" s="1"/>
      <c r="W813" s="1"/>
      <c r="X813" s="1"/>
      <c r="Y813" s="1"/>
      <c r="Z813" s="1"/>
    </row>
    <row r="814" spans="1:26" ht="24.75" customHeight="1">
      <c r="A814" s="1"/>
      <c r="B814" s="1"/>
      <c r="C814" s="1"/>
      <c r="D814" s="1"/>
      <c r="E814" s="1"/>
      <c r="F814" s="1"/>
      <c r="G814" s="1"/>
      <c r="H814" s="1"/>
      <c r="I814" s="1"/>
      <c r="J814" s="1"/>
      <c r="K814" s="1"/>
      <c r="L814" s="1"/>
      <c r="M814" s="1"/>
      <c r="N814" s="1"/>
      <c r="O814" s="1"/>
      <c r="P814" s="1"/>
      <c r="Q814" s="1"/>
      <c r="R814" s="1"/>
      <c r="S814" s="1"/>
      <c r="T814" s="1"/>
      <c r="U814" s="2"/>
      <c r="V814" s="1"/>
      <c r="W814" s="1"/>
      <c r="X814" s="1"/>
      <c r="Y814" s="1"/>
      <c r="Z814" s="1"/>
    </row>
    <row r="815" spans="1:26" ht="24.75" customHeight="1">
      <c r="A815" s="1"/>
      <c r="B815" s="1"/>
      <c r="C815" s="1"/>
      <c r="D815" s="1"/>
      <c r="E815" s="1"/>
      <c r="F815" s="1"/>
      <c r="G815" s="1"/>
      <c r="H815" s="1"/>
      <c r="I815" s="1"/>
      <c r="J815" s="1"/>
      <c r="K815" s="1"/>
      <c r="L815" s="1"/>
      <c r="M815" s="1"/>
      <c r="N815" s="1"/>
      <c r="O815" s="1"/>
      <c r="P815" s="1"/>
      <c r="Q815" s="1"/>
      <c r="R815" s="1"/>
      <c r="S815" s="1"/>
      <c r="T815" s="1"/>
      <c r="U815" s="2"/>
      <c r="V815" s="1"/>
      <c r="W815" s="1"/>
      <c r="X815" s="1"/>
      <c r="Y815" s="1"/>
      <c r="Z815" s="1"/>
    </row>
    <row r="816" spans="1:26" ht="24.75" customHeight="1">
      <c r="A816" s="1"/>
      <c r="B816" s="1"/>
      <c r="C816" s="1"/>
      <c r="D816" s="1"/>
      <c r="E816" s="1"/>
      <c r="F816" s="1"/>
      <c r="G816" s="1"/>
      <c r="H816" s="1"/>
      <c r="I816" s="1"/>
      <c r="J816" s="1"/>
      <c r="K816" s="1"/>
      <c r="L816" s="1"/>
      <c r="M816" s="1"/>
      <c r="N816" s="1"/>
      <c r="O816" s="1"/>
      <c r="P816" s="1"/>
      <c r="Q816" s="1"/>
      <c r="R816" s="1"/>
      <c r="S816" s="1"/>
      <c r="T816" s="1"/>
      <c r="U816" s="2"/>
      <c r="V816" s="1"/>
      <c r="W816" s="1"/>
      <c r="X816" s="1"/>
      <c r="Y816" s="1"/>
      <c r="Z816" s="1"/>
    </row>
    <row r="817" spans="1:26" ht="24.75" customHeight="1">
      <c r="A817" s="1"/>
      <c r="B817" s="1"/>
      <c r="C817" s="1"/>
      <c r="D817" s="1"/>
      <c r="E817" s="1"/>
      <c r="F817" s="1"/>
      <c r="G817" s="1"/>
      <c r="H817" s="1"/>
      <c r="I817" s="1"/>
      <c r="J817" s="1"/>
      <c r="K817" s="1"/>
      <c r="L817" s="1"/>
      <c r="M817" s="1"/>
      <c r="N817" s="1"/>
      <c r="O817" s="1"/>
      <c r="P817" s="1"/>
      <c r="Q817" s="1"/>
      <c r="R817" s="1"/>
      <c r="S817" s="1"/>
      <c r="T817" s="1"/>
      <c r="U817" s="2"/>
      <c r="V817" s="1"/>
      <c r="W817" s="1"/>
      <c r="X817" s="1"/>
      <c r="Y817" s="1"/>
      <c r="Z817" s="1"/>
    </row>
    <row r="818" spans="1:26" ht="24.75" customHeight="1">
      <c r="A818" s="1"/>
      <c r="B818" s="1"/>
      <c r="C818" s="1"/>
      <c r="D818" s="1"/>
      <c r="E818" s="1"/>
      <c r="F818" s="1"/>
      <c r="G818" s="1"/>
      <c r="H818" s="1"/>
      <c r="I818" s="1"/>
      <c r="J818" s="1"/>
      <c r="K818" s="1"/>
      <c r="L818" s="1"/>
      <c r="M818" s="1"/>
      <c r="N818" s="1"/>
      <c r="O818" s="1"/>
      <c r="P818" s="1"/>
      <c r="Q818" s="1"/>
      <c r="R818" s="1"/>
      <c r="S818" s="1"/>
      <c r="T818" s="1"/>
      <c r="U818" s="2"/>
      <c r="V818" s="1"/>
      <c r="W818" s="1"/>
      <c r="X818" s="1"/>
      <c r="Y818" s="1"/>
      <c r="Z818" s="1"/>
    </row>
    <row r="819" spans="1:26" ht="24.75" customHeight="1">
      <c r="A819" s="1"/>
      <c r="B819" s="1"/>
      <c r="C819" s="1"/>
      <c r="D819" s="1"/>
      <c r="E819" s="1"/>
      <c r="F819" s="1"/>
      <c r="G819" s="1"/>
      <c r="H819" s="1"/>
      <c r="I819" s="1"/>
      <c r="J819" s="1"/>
      <c r="K819" s="1"/>
      <c r="L819" s="1"/>
      <c r="M819" s="1"/>
      <c r="N819" s="1"/>
      <c r="O819" s="1"/>
      <c r="P819" s="1"/>
      <c r="Q819" s="1"/>
      <c r="R819" s="1"/>
      <c r="S819" s="1"/>
      <c r="T819" s="1"/>
      <c r="U819" s="2"/>
      <c r="V819" s="1"/>
      <c r="W819" s="1"/>
      <c r="X819" s="1"/>
      <c r="Y819" s="1"/>
      <c r="Z819" s="1"/>
    </row>
    <row r="820" spans="1:26" ht="24.75" customHeight="1">
      <c r="A820" s="1"/>
      <c r="B820" s="1"/>
      <c r="C820" s="1"/>
      <c r="D820" s="1"/>
      <c r="E820" s="1"/>
      <c r="F820" s="1"/>
      <c r="G820" s="1"/>
      <c r="H820" s="1"/>
      <c r="I820" s="1"/>
      <c r="J820" s="1"/>
      <c r="K820" s="1"/>
      <c r="L820" s="1"/>
      <c r="M820" s="1"/>
      <c r="N820" s="1"/>
      <c r="O820" s="1"/>
      <c r="P820" s="1"/>
      <c r="Q820" s="1"/>
      <c r="R820" s="1"/>
      <c r="S820" s="1"/>
      <c r="T820" s="1"/>
      <c r="U820" s="2"/>
      <c r="V820" s="1"/>
      <c r="W820" s="1"/>
      <c r="X820" s="1"/>
      <c r="Y820" s="1"/>
      <c r="Z820" s="1"/>
    </row>
    <row r="821" spans="1:26" ht="24.75" customHeight="1">
      <c r="A821" s="1"/>
      <c r="B821" s="1"/>
      <c r="C821" s="1"/>
      <c r="D821" s="1"/>
      <c r="E821" s="1"/>
      <c r="F821" s="1"/>
      <c r="G821" s="1"/>
      <c r="H821" s="1"/>
      <c r="I821" s="1"/>
      <c r="J821" s="1"/>
      <c r="K821" s="1"/>
      <c r="L821" s="1"/>
      <c r="M821" s="1"/>
      <c r="N821" s="1"/>
      <c r="O821" s="1"/>
      <c r="P821" s="1"/>
      <c r="Q821" s="1"/>
      <c r="R821" s="1"/>
      <c r="S821" s="1"/>
      <c r="T821" s="1"/>
      <c r="U821" s="2"/>
      <c r="V821" s="1"/>
      <c r="W821" s="1"/>
      <c r="X821" s="1"/>
      <c r="Y821" s="1"/>
      <c r="Z821" s="1"/>
    </row>
    <row r="822" spans="1:26" ht="24.75" customHeight="1">
      <c r="A822" s="1"/>
      <c r="B822" s="1"/>
      <c r="C822" s="1"/>
      <c r="D822" s="1"/>
      <c r="E822" s="1"/>
      <c r="F822" s="1"/>
      <c r="G822" s="1"/>
      <c r="H822" s="1"/>
      <c r="I822" s="1"/>
      <c r="J822" s="1"/>
      <c r="K822" s="1"/>
      <c r="L822" s="1"/>
      <c r="M822" s="1"/>
      <c r="N822" s="1"/>
      <c r="O822" s="1"/>
      <c r="P822" s="1"/>
      <c r="Q822" s="1"/>
      <c r="R822" s="1"/>
      <c r="S822" s="1"/>
      <c r="T822" s="1"/>
      <c r="U822" s="2"/>
      <c r="V822" s="1"/>
      <c r="W822" s="1"/>
      <c r="X822" s="1"/>
      <c r="Y822" s="1"/>
      <c r="Z822" s="1"/>
    </row>
    <row r="823" spans="1:26" ht="24.75" customHeight="1">
      <c r="A823" s="1"/>
      <c r="B823" s="1"/>
      <c r="C823" s="1"/>
      <c r="D823" s="1"/>
      <c r="E823" s="1"/>
      <c r="F823" s="1"/>
      <c r="G823" s="1"/>
      <c r="H823" s="1"/>
      <c r="I823" s="1"/>
      <c r="J823" s="1"/>
      <c r="K823" s="1"/>
      <c r="L823" s="1"/>
      <c r="M823" s="1"/>
      <c r="N823" s="1"/>
      <c r="O823" s="1"/>
      <c r="P823" s="1"/>
      <c r="Q823" s="1"/>
      <c r="R823" s="1"/>
      <c r="S823" s="1"/>
      <c r="T823" s="1"/>
      <c r="U823" s="2"/>
      <c r="V823" s="1"/>
      <c r="W823" s="1"/>
      <c r="X823" s="1"/>
      <c r="Y823" s="1"/>
      <c r="Z823" s="1"/>
    </row>
    <row r="824" spans="1:26" ht="24.75" customHeight="1">
      <c r="A824" s="1"/>
      <c r="B824" s="1"/>
      <c r="C824" s="1"/>
      <c r="D824" s="1"/>
      <c r="E824" s="1"/>
      <c r="F824" s="1"/>
      <c r="G824" s="1"/>
      <c r="H824" s="1"/>
      <c r="I824" s="1"/>
      <c r="J824" s="1"/>
      <c r="K824" s="1"/>
      <c r="L824" s="1"/>
      <c r="M824" s="1"/>
      <c r="N824" s="1"/>
      <c r="O824" s="1"/>
      <c r="P824" s="1"/>
      <c r="Q824" s="1"/>
      <c r="R824" s="1"/>
      <c r="S824" s="1"/>
      <c r="T824" s="1"/>
      <c r="U824" s="2"/>
      <c r="V824" s="1"/>
      <c r="W824" s="1"/>
      <c r="X824" s="1"/>
      <c r="Y824" s="1"/>
      <c r="Z824" s="1"/>
    </row>
    <row r="825" spans="1:26" ht="24.75" customHeight="1">
      <c r="A825" s="1"/>
      <c r="B825" s="1"/>
      <c r="C825" s="1"/>
      <c r="D825" s="1"/>
      <c r="E825" s="1"/>
      <c r="F825" s="1"/>
      <c r="G825" s="1"/>
      <c r="H825" s="1"/>
      <c r="I825" s="1"/>
      <c r="J825" s="1"/>
      <c r="K825" s="1"/>
      <c r="L825" s="1"/>
      <c r="M825" s="1"/>
      <c r="N825" s="1"/>
      <c r="O825" s="1"/>
      <c r="P825" s="1"/>
      <c r="Q825" s="1"/>
      <c r="R825" s="1"/>
      <c r="S825" s="1"/>
      <c r="T825" s="1"/>
      <c r="U825" s="2"/>
      <c r="V825" s="1"/>
      <c r="W825" s="1"/>
      <c r="X825" s="1"/>
      <c r="Y825" s="1"/>
      <c r="Z825" s="1"/>
    </row>
    <row r="826" spans="1:26" ht="24.75" customHeight="1">
      <c r="A826" s="1"/>
      <c r="B826" s="1"/>
      <c r="C826" s="1"/>
      <c r="D826" s="1"/>
      <c r="E826" s="1"/>
      <c r="F826" s="1"/>
      <c r="G826" s="1"/>
      <c r="H826" s="1"/>
      <c r="I826" s="1"/>
      <c r="J826" s="1"/>
      <c r="K826" s="1"/>
      <c r="L826" s="1"/>
      <c r="M826" s="1"/>
      <c r="N826" s="1"/>
      <c r="O826" s="1"/>
      <c r="P826" s="1"/>
      <c r="Q826" s="1"/>
      <c r="R826" s="1"/>
      <c r="S826" s="1"/>
      <c r="T826" s="1"/>
      <c r="U826" s="2"/>
      <c r="V826" s="1"/>
      <c r="W826" s="1"/>
      <c r="X826" s="1"/>
      <c r="Y826" s="1"/>
      <c r="Z826" s="1"/>
    </row>
    <row r="827" spans="1:26" ht="24.75" customHeight="1">
      <c r="A827" s="1"/>
      <c r="B827" s="1"/>
      <c r="C827" s="1"/>
      <c r="D827" s="1"/>
      <c r="E827" s="1"/>
      <c r="F827" s="1"/>
      <c r="G827" s="1"/>
      <c r="H827" s="1"/>
      <c r="I827" s="1"/>
      <c r="J827" s="1"/>
      <c r="K827" s="1"/>
      <c r="L827" s="1"/>
      <c r="M827" s="1"/>
      <c r="N827" s="1"/>
      <c r="O827" s="1"/>
      <c r="P827" s="1"/>
      <c r="Q827" s="1"/>
      <c r="R827" s="1"/>
      <c r="S827" s="1"/>
      <c r="T827" s="1"/>
      <c r="U827" s="2"/>
      <c r="V827" s="1"/>
      <c r="W827" s="1"/>
      <c r="X827" s="1"/>
      <c r="Y827" s="1"/>
      <c r="Z827" s="1"/>
    </row>
    <row r="828" spans="1:26" ht="24.75" customHeight="1">
      <c r="A828" s="1"/>
      <c r="B828" s="1"/>
      <c r="C828" s="1"/>
      <c r="D828" s="1"/>
      <c r="E828" s="1"/>
      <c r="F828" s="1"/>
      <c r="G828" s="1"/>
      <c r="H828" s="1"/>
      <c r="I828" s="1"/>
      <c r="J828" s="1"/>
      <c r="K828" s="1"/>
      <c r="L828" s="1"/>
      <c r="M828" s="1"/>
      <c r="N828" s="1"/>
      <c r="O828" s="1"/>
      <c r="P828" s="1"/>
      <c r="Q828" s="1"/>
      <c r="R828" s="1"/>
      <c r="S828" s="1"/>
      <c r="T828" s="1"/>
      <c r="U828" s="2"/>
      <c r="V828" s="1"/>
      <c r="W828" s="1"/>
      <c r="X828" s="1"/>
      <c r="Y828" s="1"/>
      <c r="Z828" s="1"/>
    </row>
    <row r="829" spans="1:26" ht="24.75" customHeight="1">
      <c r="A829" s="1"/>
      <c r="B829" s="1"/>
      <c r="C829" s="1"/>
      <c r="D829" s="1"/>
      <c r="E829" s="1"/>
      <c r="F829" s="1"/>
      <c r="G829" s="1"/>
      <c r="H829" s="1"/>
      <c r="I829" s="1"/>
      <c r="J829" s="1"/>
      <c r="K829" s="1"/>
      <c r="L829" s="1"/>
      <c r="M829" s="1"/>
      <c r="N829" s="1"/>
      <c r="O829" s="1"/>
      <c r="P829" s="1"/>
      <c r="Q829" s="1"/>
      <c r="R829" s="1"/>
      <c r="S829" s="1"/>
      <c r="T829" s="1"/>
      <c r="U829" s="2"/>
      <c r="V829" s="1"/>
      <c r="W829" s="1"/>
      <c r="X829" s="1"/>
      <c r="Y829" s="1"/>
      <c r="Z829" s="1"/>
    </row>
    <row r="830" spans="1:26" ht="24.75" customHeight="1">
      <c r="A830" s="1"/>
      <c r="B830" s="1"/>
      <c r="C830" s="1"/>
      <c r="D830" s="1"/>
      <c r="E830" s="1"/>
      <c r="F830" s="1"/>
      <c r="G830" s="1"/>
      <c r="H830" s="1"/>
      <c r="I830" s="1"/>
      <c r="J830" s="1"/>
      <c r="K830" s="1"/>
      <c r="L830" s="1"/>
      <c r="M830" s="1"/>
      <c r="N830" s="1"/>
      <c r="O830" s="1"/>
      <c r="P830" s="1"/>
      <c r="Q830" s="1"/>
      <c r="R830" s="1"/>
      <c r="S830" s="1"/>
      <c r="T830" s="1"/>
      <c r="U830" s="2"/>
      <c r="V830" s="1"/>
      <c r="W830" s="1"/>
      <c r="X830" s="1"/>
      <c r="Y830" s="1"/>
      <c r="Z830" s="1"/>
    </row>
    <row r="831" spans="1:26" ht="24.75" customHeight="1">
      <c r="A831" s="1"/>
      <c r="B831" s="1"/>
      <c r="C831" s="1"/>
      <c r="D831" s="1"/>
      <c r="E831" s="1"/>
      <c r="F831" s="1"/>
      <c r="G831" s="1"/>
      <c r="H831" s="1"/>
      <c r="I831" s="1"/>
      <c r="J831" s="1"/>
      <c r="K831" s="1"/>
      <c r="L831" s="1"/>
      <c r="M831" s="1"/>
      <c r="N831" s="1"/>
      <c r="O831" s="1"/>
      <c r="P831" s="1"/>
      <c r="Q831" s="1"/>
      <c r="R831" s="1"/>
      <c r="S831" s="1"/>
      <c r="T831" s="1"/>
      <c r="U831" s="2"/>
      <c r="V831" s="1"/>
      <c r="W831" s="1"/>
      <c r="X831" s="1"/>
      <c r="Y831" s="1"/>
      <c r="Z831" s="1"/>
    </row>
    <row r="832" spans="1:26" ht="24.75" customHeight="1">
      <c r="A832" s="1"/>
      <c r="B832" s="1"/>
      <c r="C832" s="1"/>
      <c r="D832" s="1"/>
      <c r="E832" s="1"/>
      <c r="F832" s="1"/>
      <c r="G832" s="1"/>
      <c r="H832" s="1"/>
      <c r="I832" s="1"/>
      <c r="J832" s="1"/>
      <c r="K832" s="1"/>
      <c r="L832" s="1"/>
      <c r="M832" s="1"/>
      <c r="N832" s="1"/>
      <c r="O832" s="1"/>
      <c r="P832" s="1"/>
      <c r="Q832" s="1"/>
      <c r="R832" s="1"/>
      <c r="S832" s="1"/>
      <c r="T832" s="1"/>
      <c r="U832" s="2"/>
      <c r="V832" s="1"/>
      <c r="W832" s="1"/>
      <c r="X832" s="1"/>
      <c r="Y832" s="1"/>
      <c r="Z832" s="1"/>
    </row>
    <row r="833" spans="1:26" ht="24.75" customHeight="1">
      <c r="A833" s="1"/>
      <c r="B833" s="1"/>
      <c r="C833" s="1"/>
      <c r="D833" s="1"/>
      <c r="E833" s="1"/>
      <c r="F833" s="1"/>
      <c r="G833" s="1"/>
      <c r="H833" s="1"/>
      <c r="I833" s="1"/>
      <c r="J833" s="1"/>
      <c r="K833" s="1"/>
      <c r="L833" s="1"/>
      <c r="M833" s="1"/>
      <c r="N833" s="1"/>
      <c r="O833" s="1"/>
      <c r="P833" s="1"/>
      <c r="Q833" s="1"/>
      <c r="R833" s="1"/>
      <c r="S833" s="1"/>
      <c r="T833" s="1"/>
      <c r="U833" s="2"/>
      <c r="V833" s="1"/>
      <c r="W833" s="1"/>
      <c r="X833" s="1"/>
      <c r="Y833" s="1"/>
      <c r="Z833" s="1"/>
    </row>
    <row r="834" spans="1:26" ht="24.75" customHeight="1">
      <c r="A834" s="1"/>
      <c r="B834" s="1"/>
      <c r="C834" s="1"/>
      <c r="D834" s="1"/>
      <c r="E834" s="1"/>
      <c r="F834" s="1"/>
      <c r="G834" s="1"/>
      <c r="H834" s="1"/>
      <c r="I834" s="1"/>
      <c r="J834" s="1"/>
      <c r="K834" s="1"/>
      <c r="L834" s="1"/>
      <c r="M834" s="1"/>
      <c r="N834" s="1"/>
      <c r="O834" s="1"/>
      <c r="P834" s="1"/>
      <c r="Q834" s="1"/>
      <c r="R834" s="1"/>
      <c r="S834" s="1"/>
      <c r="T834" s="1"/>
      <c r="U834" s="2"/>
      <c r="V834" s="1"/>
      <c r="W834" s="1"/>
      <c r="X834" s="1"/>
      <c r="Y834" s="1"/>
      <c r="Z834" s="1"/>
    </row>
    <row r="835" spans="1:26" ht="24.75" customHeight="1">
      <c r="A835" s="1"/>
      <c r="B835" s="1"/>
      <c r="C835" s="1"/>
      <c r="D835" s="1"/>
      <c r="E835" s="1"/>
      <c r="F835" s="1"/>
      <c r="G835" s="1"/>
      <c r="H835" s="1"/>
      <c r="I835" s="1"/>
      <c r="J835" s="1"/>
      <c r="K835" s="1"/>
      <c r="L835" s="1"/>
      <c r="M835" s="1"/>
      <c r="N835" s="1"/>
      <c r="O835" s="1"/>
      <c r="P835" s="1"/>
      <c r="Q835" s="1"/>
      <c r="R835" s="1"/>
      <c r="S835" s="1"/>
      <c r="T835" s="1"/>
      <c r="U835" s="2"/>
      <c r="V835" s="1"/>
      <c r="W835" s="1"/>
      <c r="X835" s="1"/>
      <c r="Y835" s="1"/>
      <c r="Z835" s="1"/>
    </row>
    <row r="836" spans="1:26" ht="24.75" customHeight="1">
      <c r="A836" s="1"/>
      <c r="B836" s="1"/>
      <c r="C836" s="1"/>
      <c r="D836" s="1"/>
      <c r="E836" s="1"/>
      <c r="F836" s="1"/>
      <c r="G836" s="1"/>
      <c r="H836" s="1"/>
      <c r="I836" s="1"/>
      <c r="J836" s="1"/>
      <c r="K836" s="1"/>
      <c r="L836" s="1"/>
      <c r="M836" s="1"/>
      <c r="N836" s="1"/>
      <c r="O836" s="1"/>
      <c r="P836" s="1"/>
      <c r="Q836" s="1"/>
      <c r="R836" s="1"/>
      <c r="S836" s="1"/>
      <c r="T836" s="1"/>
      <c r="U836" s="2"/>
      <c r="V836" s="1"/>
      <c r="W836" s="1"/>
      <c r="X836" s="1"/>
      <c r="Y836" s="1"/>
      <c r="Z836" s="1"/>
    </row>
    <row r="837" spans="1:26" ht="24.75" customHeight="1">
      <c r="A837" s="1"/>
      <c r="B837" s="1"/>
      <c r="C837" s="1"/>
      <c r="D837" s="1"/>
      <c r="E837" s="1"/>
      <c r="F837" s="1"/>
      <c r="G837" s="1"/>
      <c r="H837" s="1"/>
      <c r="I837" s="1"/>
      <c r="J837" s="1"/>
      <c r="K837" s="1"/>
      <c r="L837" s="1"/>
      <c r="M837" s="1"/>
      <c r="N837" s="1"/>
      <c r="O837" s="1"/>
      <c r="P837" s="1"/>
      <c r="Q837" s="1"/>
      <c r="R837" s="1"/>
      <c r="S837" s="1"/>
      <c r="T837" s="1"/>
      <c r="U837" s="2"/>
      <c r="V837" s="1"/>
      <c r="W837" s="1"/>
      <c r="X837" s="1"/>
      <c r="Y837" s="1"/>
      <c r="Z837" s="1"/>
    </row>
    <row r="838" spans="1:26" ht="24.75" customHeight="1">
      <c r="A838" s="1"/>
      <c r="B838" s="1"/>
      <c r="C838" s="1"/>
      <c r="D838" s="1"/>
      <c r="E838" s="1"/>
      <c r="F838" s="1"/>
      <c r="G838" s="1"/>
      <c r="H838" s="1"/>
      <c r="I838" s="1"/>
      <c r="J838" s="1"/>
      <c r="K838" s="1"/>
      <c r="L838" s="1"/>
      <c r="M838" s="1"/>
      <c r="N838" s="1"/>
      <c r="O838" s="1"/>
      <c r="P838" s="1"/>
      <c r="Q838" s="1"/>
      <c r="R838" s="1"/>
      <c r="S838" s="1"/>
      <c r="T838" s="1"/>
      <c r="U838" s="2"/>
      <c r="V838" s="1"/>
      <c r="W838" s="1"/>
      <c r="X838" s="1"/>
      <c r="Y838" s="1"/>
      <c r="Z838" s="1"/>
    </row>
    <row r="839" spans="1:26" ht="24.75" customHeight="1">
      <c r="A839" s="1"/>
      <c r="B839" s="1"/>
      <c r="C839" s="1"/>
      <c r="D839" s="1"/>
      <c r="E839" s="1"/>
      <c r="F839" s="1"/>
      <c r="G839" s="1"/>
      <c r="H839" s="1"/>
      <c r="I839" s="1"/>
      <c r="J839" s="1"/>
      <c r="K839" s="1"/>
      <c r="L839" s="1"/>
      <c r="M839" s="1"/>
      <c r="N839" s="1"/>
      <c r="O839" s="1"/>
      <c r="P839" s="1"/>
      <c r="Q839" s="1"/>
      <c r="R839" s="1"/>
      <c r="S839" s="1"/>
      <c r="T839" s="1"/>
      <c r="U839" s="2"/>
      <c r="V839" s="1"/>
      <c r="W839" s="1"/>
      <c r="X839" s="1"/>
      <c r="Y839" s="1"/>
      <c r="Z839" s="1"/>
    </row>
    <row r="840" spans="1:26" ht="24.75" customHeight="1">
      <c r="A840" s="1"/>
      <c r="B840" s="1"/>
      <c r="C840" s="1"/>
      <c r="D840" s="1"/>
      <c r="E840" s="1"/>
      <c r="F840" s="1"/>
      <c r="G840" s="1"/>
      <c r="H840" s="1"/>
      <c r="I840" s="1"/>
      <c r="J840" s="1"/>
      <c r="K840" s="1"/>
      <c r="L840" s="1"/>
      <c r="M840" s="1"/>
      <c r="N840" s="1"/>
      <c r="O840" s="1"/>
      <c r="P840" s="1"/>
      <c r="Q840" s="1"/>
      <c r="R840" s="1"/>
      <c r="S840" s="1"/>
      <c r="T840" s="1"/>
      <c r="U840" s="2"/>
      <c r="V840" s="1"/>
      <c r="W840" s="1"/>
      <c r="X840" s="1"/>
      <c r="Y840" s="1"/>
      <c r="Z840" s="1"/>
    </row>
    <row r="841" spans="1:26" ht="24.75" customHeight="1">
      <c r="A841" s="1"/>
      <c r="B841" s="1"/>
      <c r="C841" s="1"/>
      <c r="D841" s="1"/>
      <c r="E841" s="1"/>
      <c r="F841" s="1"/>
      <c r="G841" s="1"/>
      <c r="H841" s="1"/>
      <c r="I841" s="1"/>
      <c r="J841" s="1"/>
      <c r="K841" s="1"/>
      <c r="L841" s="1"/>
      <c r="M841" s="1"/>
      <c r="N841" s="1"/>
      <c r="O841" s="1"/>
      <c r="P841" s="1"/>
      <c r="Q841" s="1"/>
      <c r="R841" s="1"/>
      <c r="S841" s="1"/>
      <c r="T841" s="1"/>
      <c r="U841" s="2"/>
      <c r="V841" s="1"/>
      <c r="W841" s="1"/>
      <c r="X841" s="1"/>
      <c r="Y841" s="1"/>
      <c r="Z841" s="1"/>
    </row>
    <row r="842" spans="1:26" ht="24.75" customHeight="1">
      <c r="A842" s="1"/>
      <c r="B842" s="1"/>
      <c r="C842" s="1"/>
      <c r="D842" s="1"/>
      <c r="E842" s="1"/>
      <c r="F842" s="1"/>
      <c r="G842" s="1"/>
      <c r="H842" s="1"/>
      <c r="I842" s="1"/>
      <c r="J842" s="1"/>
      <c r="K842" s="1"/>
      <c r="L842" s="1"/>
      <c r="M842" s="1"/>
      <c r="N842" s="1"/>
      <c r="O842" s="1"/>
      <c r="P842" s="1"/>
      <c r="Q842" s="1"/>
      <c r="R842" s="1"/>
      <c r="S842" s="1"/>
      <c r="T842" s="1"/>
      <c r="U842" s="2"/>
      <c r="V842" s="1"/>
      <c r="W842" s="1"/>
      <c r="X842" s="1"/>
      <c r="Y842" s="1"/>
      <c r="Z842" s="1"/>
    </row>
    <row r="843" spans="1:26" ht="24.75" customHeight="1">
      <c r="A843" s="1"/>
      <c r="B843" s="1"/>
      <c r="C843" s="1"/>
      <c r="D843" s="1"/>
      <c r="E843" s="1"/>
      <c r="F843" s="1"/>
      <c r="G843" s="1"/>
      <c r="H843" s="1"/>
      <c r="I843" s="1"/>
      <c r="J843" s="1"/>
      <c r="K843" s="1"/>
      <c r="L843" s="1"/>
      <c r="M843" s="1"/>
      <c r="N843" s="1"/>
      <c r="O843" s="1"/>
      <c r="P843" s="1"/>
      <c r="Q843" s="1"/>
      <c r="R843" s="1"/>
      <c r="S843" s="1"/>
      <c r="T843" s="1"/>
      <c r="U843" s="2"/>
      <c r="V843" s="1"/>
      <c r="W843" s="1"/>
      <c r="X843" s="1"/>
      <c r="Y843" s="1"/>
      <c r="Z843" s="1"/>
    </row>
    <row r="844" spans="1:26" ht="24.75" customHeight="1">
      <c r="A844" s="1"/>
      <c r="B844" s="1"/>
      <c r="C844" s="1"/>
      <c r="D844" s="1"/>
      <c r="E844" s="1"/>
      <c r="F844" s="1"/>
      <c r="G844" s="1"/>
      <c r="H844" s="1"/>
      <c r="I844" s="1"/>
      <c r="J844" s="1"/>
      <c r="K844" s="1"/>
      <c r="L844" s="1"/>
      <c r="M844" s="1"/>
      <c r="N844" s="1"/>
      <c r="O844" s="1"/>
      <c r="P844" s="1"/>
      <c r="Q844" s="1"/>
      <c r="R844" s="1"/>
      <c r="S844" s="1"/>
      <c r="T844" s="1"/>
      <c r="U844" s="2"/>
      <c r="V844" s="1"/>
      <c r="W844" s="1"/>
      <c r="X844" s="1"/>
      <c r="Y844" s="1"/>
      <c r="Z844" s="1"/>
    </row>
    <row r="845" spans="1:26" ht="24.75" customHeight="1">
      <c r="A845" s="1"/>
      <c r="B845" s="1"/>
      <c r="C845" s="1"/>
      <c r="D845" s="1"/>
      <c r="E845" s="1"/>
      <c r="F845" s="1"/>
      <c r="G845" s="1"/>
      <c r="H845" s="1"/>
      <c r="I845" s="1"/>
      <c r="J845" s="1"/>
      <c r="K845" s="1"/>
      <c r="L845" s="1"/>
      <c r="M845" s="1"/>
      <c r="N845" s="1"/>
      <c r="O845" s="1"/>
      <c r="P845" s="1"/>
      <c r="Q845" s="1"/>
      <c r="R845" s="1"/>
      <c r="S845" s="1"/>
      <c r="T845" s="1"/>
      <c r="U845" s="2"/>
      <c r="V845" s="1"/>
      <c r="W845" s="1"/>
      <c r="X845" s="1"/>
      <c r="Y845" s="1"/>
      <c r="Z845" s="1"/>
    </row>
    <row r="846" spans="1:26" ht="24.75" customHeight="1">
      <c r="A846" s="1"/>
      <c r="B846" s="1"/>
      <c r="C846" s="1"/>
      <c r="D846" s="1"/>
      <c r="E846" s="1"/>
      <c r="F846" s="1"/>
      <c r="G846" s="1"/>
      <c r="H846" s="1"/>
      <c r="I846" s="1"/>
      <c r="J846" s="1"/>
      <c r="K846" s="1"/>
      <c r="L846" s="1"/>
      <c r="M846" s="1"/>
      <c r="N846" s="1"/>
      <c r="O846" s="1"/>
      <c r="P846" s="1"/>
      <c r="Q846" s="1"/>
      <c r="R846" s="1"/>
      <c r="S846" s="1"/>
      <c r="T846" s="1"/>
      <c r="U846" s="2"/>
      <c r="V846" s="1"/>
      <c r="W846" s="1"/>
      <c r="X846" s="1"/>
      <c r="Y846" s="1"/>
      <c r="Z846" s="1"/>
    </row>
    <row r="847" spans="1:26" ht="24.75" customHeight="1">
      <c r="A847" s="1"/>
      <c r="B847" s="1"/>
      <c r="C847" s="1"/>
      <c r="D847" s="1"/>
      <c r="E847" s="1"/>
      <c r="F847" s="1"/>
      <c r="G847" s="1"/>
      <c r="H847" s="1"/>
      <c r="I847" s="1"/>
      <c r="J847" s="1"/>
      <c r="K847" s="1"/>
      <c r="L847" s="1"/>
      <c r="M847" s="1"/>
      <c r="N847" s="1"/>
      <c r="O847" s="1"/>
      <c r="P847" s="1"/>
      <c r="Q847" s="1"/>
      <c r="R847" s="1"/>
      <c r="S847" s="1"/>
      <c r="T847" s="1"/>
      <c r="U847" s="2"/>
      <c r="V847" s="1"/>
      <c r="W847" s="1"/>
      <c r="X847" s="1"/>
      <c r="Y847" s="1"/>
      <c r="Z847" s="1"/>
    </row>
    <row r="848" spans="1:26" ht="24.75" customHeight="1">
      <c r="A848" s="1"/>
      <c r="B848" s="1"/>
      <c r="C848" s="1"/>
      <c r="D848" s="1"/>
      <c r="E848" s="1"/>
      <c r="F848" s="1"/>
      <c r="G848" s="1"/>
      <c r="H848" s="1"/>
      <c r="I848" s="1"/>
      <c r="J848" s="1"/>
      <c r="K848" s="1"/>
      <c r="L848" s="1"/>
      <c r="M848" s="1"/>
      <c r="N848" s="1"/>
      <c r="O848" s="1"/>
      <c r="P848" s="1"/>
      <c r="Q848" s="1"/>
      <c r="R848" s="1"/>
      <c r="S848" s="1"/>
      <c r="T848" s="1"/>
      <c r="U848" s="2"/>
      <c r="V848" s="1"/>
      <c r="W848" s="1"/>
      <c r="X848" s="1"/>
      <c r="Y848" s="1"/>
      <c r="Z848" s="1"/>
    </row>
    <row r="849" spans="1:26" ht="24.75" customHeight="1">
      <c r="A849" s="1"/>
      <c r="B849" s="1"/>
      <c r="C849" s="1"/>
      <c r="D849" s="1"/>
      <c r="E849" s="1"/>
      <c r="F849" s="1"/>
      <c r="G849" s="1"/>
      <c r="H849" s="1"/>
      <c r="I849" s="1"/>
      <c r="J849" s="1"/>
      <c r="K849" s="1"/>
      <c r="L849" s="1"/>
      <c r="M849" s="1"/>
      <c r="N849" s="1"/>
      <c r="O849" s="1"/>
      <c r="P849" s="1"/>
      <c r="Q849" s="1"/>
      <c r="R849" s="1"/>
      <c r="S849" s="1"/>
      <c r="T849" s="1"/>
      <c r="U849" s="2"/>
      <c r="V849" s="1"/>
      <c r="W849" s="1"/>
      <c r="X849" s="1"/>
      <c r="Y849" s="1"/>
      <c r="Z849" s="1"/>
    </row>
    <row r="850" spans="1:26" ht="24.75" customHeight="1">
      <c r="A850" s="1"/>
      <c r="B850" s="1"/>
      <c r="C850" s="1"/>
      <c r="D850" s="1"/>
      <c r="E850" s="1"/>
      <c r="F850" s="1"/>
      <c r="G850" s="1"/>
      <c r="H850" s="1"/>
      <c r="I850" s="1"/>
      <c r="J850" s="1"/>
      <c r="K850" s="1"/>
      <c r="L850" s="1"/>
      <c r="M850" s="1"/>
      <c r="N850" s="1"/>
      <c r="O850" s="1"/>
      <c r="P850" s="1"/>
      <c r="Q850" s="1"/>
      <c r="R850" s="1"/>
      <c r="S850" s="1"/>
      <c r="T850" s="1"/>
      <c r="U850" s="2"/>
      <c r="V850" s="1"/>
      <c r="W850" s="1"/>
      <c r="X850" s="1"/>
      <c r="Y850" s="1"/>
      <c r="Z850" s="1"/>
    </row>
    <row r="851" spans="1:26" ht="24.75" customHeight="1">
      <c r="A851" s="1"/>
      <c r="B851" s="1"/>
      <c r="C851" s="1"/>
      <c r="D851" s="1"/>
      <c r="E851" s="1"/>
      <c r="F851" s="1"/>
      <c r="G851" s="1"/>
      <c r="H851" s="1"/>
      <c r="I851" s="1"/>
      <c r="J851" s="1"/>
      <c r="K851" s="1"/>
      <c r="L851" s="1"/>
      <c r="M851" s="1"/>
      <c r="N851" s="1"/>
      <c r="O851" s="1"/>
      <c r="P851" s="1"/>
      <c r="Q851" s="1"/>
      <c r="R851" s="1"/>
      <c r="S851" s="1"/>
      <c r="T851" s="1"/>
      <c r="U851" s="2"/>
      <c r="V851" s="1"/>
      <c r="W851" s="1"/>
      <c r="X851" s="1"/>
      <c r="Y851" s="1"/>
      <c r="Z851" s="1"/>
    </row>
    <row r="852" spans="1:26" ht="24.75" customHeight="1">
      <c r="A852" s="1"/>
      <c r="B852" s="1"/>
      <c r="C852" s="1"/>
      <c r="D852" s="1"/>
      <c r="E852" s="1"/>
      <c r="F852" s="1"/>
      <c r="G852" s="1"/>
      <c r="H852" s="1"/>
      <c r="I852" s="1"/>
      <c r="J852" s="1"/>
      <c r="K852" s="1"/>
      <c r="L852" s="1"/>
      <c r="M852" s="1"/>
      <c r="N852" s="1"/>
      <c r="O852" s="1"/>
      <c r="P852" s="1"/>
      <c r="Q852" s="1"/>
      <c r="R852" s="1"/>
      <c r="S852" s="1"/>
      <c r="T852" s="1"/>
      <c r="U852" s="2"/>
      <c r="V852" s="1"/>
      <c r="W852" s="1"/>
      <c r="X852" s="1"/>
      <c r="Y852" s="1"/>
      <c r="Z852" s="1"/>
    </row>
    <row r="853" spans="1:26" ht="24.75" customHeight="1">
      <c r="A853" s="1"/>
      <c r="B853" s="1"/>
      <c r="C853" s="1"/>
      <c r="D853" s="1"/>
      <c r="E853" s="1"/>
      <c r="F853" s="1"/>
      <c r="G853" s="1"/>
      <c r="H853" s="1"/>
      <c r="I853" s="1"/>
      <c r="J853" s="1"/>
      <c r="K853" s="1"/>
      <c r="L853" s="1"/>
      <c r="M853" s="1"/>
      <c r="N853" s="1"/>
      <c r="O853" s="1"/>
      <c r="P853" s="1"/>
      <c r="Q853" s="1"/>
      <c r="R853" s="1"/>
      <c r="S853" s="1"/>
      <c r="T853" s="1"/>
      <c r="U853" s="2"/>
      <c r="V853" s="1"/>
      <c r="W853" s="1"/>
      <c r="X853" s="1"/>
      <c r="Y853" s="1"/>
      <c r="Z853" s="1"/>
    </row>
    <row r="854" spans="1:26" ht="24.75" customHeight="1">
      <c r="A854" s="1"/>
      <c r="B854" s="1"/>
      <c r="C854" s="1"/>
      <c r="D854" s="1"/>
      <c r="E854" s="1"/>
      <c r="F854" s="1"/>
      <c r="G854" s="1"/>
      <c r="H854" s="1"/>
      <c r="I854" s="1"/>
      <c r="J854" s="1"/>
      <c r="K854" s="1"/>
      <c r="L854" s="1"/>
      <c r="M854" s="1"/>
      <c r="N854" s="1"/>
      <c r="O854" s="1"/>
      <c r="P854" s="1"/>
      <c r="Q854" s="1"/>
      <c r="R854" s="1"/>
      <c r="S854" s="1"/>
      <c r="T854" s="1"/>
      <c r="U854" s="2"/>
      <c r="V854" s="1"/>
      <c r="W854" s="1"/>
      <c r="X854" s="1"/>
      <c r="Y854" s="1"/>
      <c r="Z854" s="1"/>
    </row>
    <row r="855" spans="1:26" ht="24.75" customHeight="1">
      <c r="A855" s="1"/>
      <c r="B855" s="1"/>
      <c r="C855" s="1"/>
      <c r="D855" s="1"/>
      <c r="E855" s="1"/>
      <c r="F855" s="1"/>
      <c r="G855" s="1"/>
      <c r="H855" s="1"/>
      <c r="I855" s="1"/>
      <c r="J855" s="1"/>
      <c r="K855" s="1"/>
      <c r="L855" s="1"/>
      <c r="M855" s="1"/>
      <c r="N855" s="1"/>
      <c r="O855" s="1"/>
      <c r="P855" s="1"/>
      <c r="Q855" s="1"/>
      <c r="R855" s="1"/>
      <c r="S855" s="1"/>
      <c r="T855" s="1"/>
      <c r="U855" s="2"/>
      <c r="V855" s="1"/>
      <c r="W855" s="1"/>
      <c r="X855" s="1"/>
      <c r="Y855" s="1"/>
      <c r="Z855" s="1"/>
    </row>
    <row r="856" spans="1:26" ht="24.75" customHeight="1">
      <c r="A856" s="1"/>
      <c r="B856" s="1"/>
      <c r="C856" s="1"/>
      <c r="D856" s="1"/>
      <c r="E856" s="1"/>
      <c r="F856" s="1"/>
      <c r="G856" s="1"/>
      <c r="H856" s="1"/>
      <c r="I856" s="1"/>
      <c r="J856" s="1"/>
      <c r="K856" s="1"/>
      <c r="L856" s="1"/>
      <c r="M856" s="1"/>
      <c r="N856" s="1"/>
      <c r="O856" s="1"/>
      <c r="P856" s="1"/>
      <c r="Q856" s="1"/>
      <c r="R856" s="1"/>
      <c r="S856" s="1"/>
      <c r="T856" s="1"/>
      <c r="U856" s="2"/>
      <c r="V856" s="1"/>
      <c r="W856" s="1"/>
      <c r="X856" s="1"/>
      <c r="Y856" s="1"/>
      <c r="Z856" s="1"/>
    </row>
    <row r="857" spans="1:26" ht="24.75" customHeight="1">
      <c r="A857" s="1"/>
      <c r="B857" s="1"/>
      <c r="C857" s="1"/>
      <c r="D857" s="1"/>
      <c r="E857" s="1"/>
      <c r="F857" s="1"/>
      <c r="G857" s="1"/>
      <c r="H857" s="1"/>
      <c r="I857" s="1"/>
      <c r="J857" s="1"/>
      <c r="K857" s="1"/>
      <c r="L857" s="1"/>
      <c r="M857" s="1"/>
      <c r="N857" s="1"/>
      <c r="O857" s="1"/>
      <c r="P857" s="1"/>
      <c r="Q857" s="1"/>
      <c r="R857" s="1"/>
      <c r="S857" s="1"/>
      <c r="T857" s="1"/>
      <c r="U857" s="2"/>
      <c r="V857" s="1"/>
      <c r="W857" s="1"/>
      <c r="X857" s="1"/>
      <c r="Y857" s="1"/>
      <c r="Z857" s="1"/>
    </row>
    <row r="858" spans="1:26" ht="24.75" customHeight="1">
      <c r="A858" s="1"/>
      <c r="B858" s="1"/>
      <c r="C858" s="1"/>
      <c r="D858" s="1"/>
      <c r="E858" s="1"/>
      <c r="F858" s="1"/>
      <c r="G858" s="1"/>
      <c r="H858" s="1"/>
      <c r="I858" s="1"/>
      <c r="J858" s="1"/>
      <c r="K858" s="1"/>
      <c r="L858" s="1"/>
      <c r="M858" s="1"/>
      <c r="N858" s="1"/>
      <c r="O858" s="1"/>
      <c r="P858" s="1"/>
      <c r="Q858" s="1"/>
      <c r="R858" s="1"/>
      <c r="S858" s="1"/>
      <c r="T858" s="1"/>
      <c r="U858" s="2"/>
      <c r="V858" s="1"/>
      <c r="W858" s="1"/>
      <c r="X858" s="1"/>
      <c r="Y858" s="1"/>
      <c r="Z858" s="1"/>
    </row>
    <row r="859" spans="1:26" ht="24.75" customHeight="1">
      <c r="A859" s="1"/>
      <c r="B859" s="1"/>
      <c r="C859" s="1"/>
      <c r="D859" s="1"/>
      <c r="E859" s="1"/>
      <c r="F859" s="1"/>
      <c r="G859" s="1"/>
      <c r="H859" s="1"/>
      <c r="I859" s="1"/>
      <c r="J859" s="1"/>
      <c r="K859" s="1"/>
      <c r="L859" s="1"/>
      <c r="M859" s="1"/>
      <c r="N859" s="1"/>
      <c r="O859" s="1"/>
      <c r="P859" s="1"/>
      <c r="Q859" s="1"/>
      <c r="R859" s="1"/>
      <c r="S859" s="1"/>
      <c r="T859" s="1"/>
      <c r="U859" s="2"/>
      <c r="V859" s="1"/>
      <c r="W859" s="1"/>
      <c r="X859" s="1"/>
      <c r="Y859" s="1"/>
      <c r="Z859" s="1"/>
    </row>
    <row r="860" spans="1:26" ht="24.75" customHeight="1">
      <c r="A860" s="1"/>
      <c r="B860" s="1"/>
      <c r="C860" s="1"/>
      <c r="D860" s="1"/>
      <c r="E860" s="1"/>
      <c r="F860" s="1"/>
      <c r="G860" s="1"/>
      <c r="H860" s="1"/>
      <c r="I860" s="1"/>
      <c r="J860" s="1"/>
      <c r="K860" s="1"/>
      <c r="L860" s="1"/>
      <c r="M860" s="1"/>
      <c r="N860" s="1"/>
      <c r="O860" s="1"/>
      <c r="P860" s="1"/>
      <c r="Q860" s="1"/>
      <c r="R860" s="1"/>
      <c r="S860" s="1"/>
      <c r="T860" s="1"/>
      <c r="U860" s="2"/>
      <c r="V860" s="1"/>
      <c r="W860" s="1"/>
      <c r="X860" s="1"/>
      <c r="Y860" s="1"/>
      <c r="Z860" s="1"/>
    </row>
    <row r="861" spans="1:26" ht="24.75" customHeight="1">
      <c r="A861" s="1"/>
      <c r="B861" s="1"/>
      <c r="C861" s="1"/>
      <c r="D861" s="1"/>
      <c r="E861" s="1"/>
      <c r="F861" s="1"/>
      <c r="G861" s="1"/>
      <c r="H861" s="1"/>
      <c r="I861" s="1"/>
      <c r="J861" s="1"/>
      <c r="K861" s="1"/>
      <c r="L861" s="1"/>
      <c r="M861" s="1"/>
      <c r="N861" s="1"/>
      <c r="O861" s="1"/>
      <c r="P861" s="1"/>
      <c r="Q861" s="1"/>
      <c r="R861" s="1"/>
      <c r="S861" s="1"/>
      <c r="T861" s="1"/>
      <c r="U861" s="2"/>
      <c r="V861" s="1"/>
      <c r="W861" s="1"/>
      <c r="X861" s="1"/>
      <c r="Y861" s="1"/>
      <c r="Z861" s="1"/>
    </row>
    <row r="862" spans="1:26" ht="24.75" customHeight="1">
      <c r="A862" s="1"/>
      <c r="B862" s="1"/>
      <c r="C862" s="1"/>
      <c r="D862" s="1"/>
      <c r="E862" s="1"/>
      <c r="F862" s="1"/>
      <c r="G862" s="1"/>
      <c r="H862" s="1"/>
      <c r="I862" s="1"/>
      <c r="J862" s="1"/>
      <c r="K862" s="1"/>
      <c r="L862" s="1"/>
      <c r="M862" s="1"/>
      <c r="N862" s="1"/>
      <c r="O862" s="1"/>
      <c r="P862" s="1"/>
      <c r="Q862" s="1"/>
      <c r="R862" s="1"/>
      <c r="S862" s="1"/>
      <c r="T862" s="1"/>
      <c r="U862" s="2"/>
      <c r="V862" s="1"/>
      <c r="W862" s="1"/>
      <c r="X862" s="1"/>
      <c r="Y862" s="1"/>
      <c r="Z862" s="1"/>
    </row>
    <row r="863" spans="1:26" ht="24.75" customHeight="1">
      <c r="A863" s="1"/>
      <c r="B863" s="1"/>
      <c r="C863" s="1"/>
      <c r="D863" s="1"/>
      <c r="E863" s="1"/>
      <c r="F863" s="1"/>
      <c r="G863" s="1"/>
      <c r="H863" s="1"/>
      <c r="I863" s="1"/>
      <c r="J863" s="1"/>
      <c r="K863" s="1"/>
      <c r="L863" s="1"/>
      <c r="M863" s="1"/>
      <c r="N863" s="1"/>
      <c r="O863" s="1"/>
      <c r="P863" s="1"/>
      <c r="Q863" s="1"/>
      <c r="R863" s="1"/>
      <c r="S863" s="1"/>
      <c r="T863" s="1"/>
      <c r="U863" s="2"/>
      <c r="V863" s="1"/>
      <c r="W863" s="1"/>
      <c r="X863" s="1"/>
      <c r="Y863" s="1"/>
      <c r="Z863" s="1"/>
    </row>
    <row r="864" spans="1:26" ht="24.75" customHeight="1">
      <c r="A864" s="1"/>
      <c r="B864" s="1"/>
      <c r="C864" s="1"/>
      <c r="D864" s="1"/>
      <c r="E864" s="1"/>
      <c r="F864" s="1"/>
      <c r="G864" s="1"/>
      <c r="H864" s="1"/>
      <c r="I864" s="1"/>
      <c r="J864" s="1"/>
      <c r="K864" s="1"/>
      <c r="L864" s="1"/>
      <c r="M864" s="1"/>
      <c r="N864" s="1"/>
      <c r="O864" s="1"/>
      <c r="P864" s="1"/>
      <c r="Q864" s="1"/>
      <c r="R864" s="1"/>
      <c r="S864" s="1"/>
      <c r="T864" s="1"/>
      <c r="U864" s="2"/>
      <c r="V864" s="1"/>
      <c r="W864" s="1"/>
      <c r="X864" s="1"/>
      <c r="Y864" s="1"/>
      <c r="Z864" s="1"/>
    </row>
    <row r="865" spans="1:26" ht="24.75" customHeight="1">
      <c r="A865" s="1"/>
      <c r="B865" s="1"/>
      <c r="C865" s="1"/>
      <c r="D865" s="1"/>
      <c r="E865" s="1"/>
      <c r="F865" s="1"/>
      <c r="G865" s="1"/>
      <c r="H865" s="1"/>
      <c r="I865" s="1"/>
      <c r="J865" s="1"/>
      <c r="K865" s="1"/>
      <c r="L865" s="1"/>
      <c r="M865" s="1"/>
      <c r="N865" s="1"/>
      <c r="O865" s="1"/>
      <c r="P865" s="1"/>
      <c r="Q865" s="1"/>
      <c r="R865" s="1"/>
      <c r="S865" s="1"/>
      <c r="T865" s="1"/>
      <c r="U865" s="2"/>
      <c r="V865" s="1"/>
      <c r="W865" s="1"/>
      <c r="X865" s="1"/>
      <c r="Y865" s="1"/>
      <c r="Z865" s="1"/>
    </row>
    <row r="866" spans="1:26" ht="24.75" customHeight="1">
      <c r="A866" s="1"/>
      <c r="B866" s="1"/>
      <c r="C866" s="1"/>
      <c r="D866" s="1"/>
      <c r="E866" s="1"/>
      <c r="F866" s="1"/>
      <c r="G866" s="1"/>
      <c r="H866" s="1"/>
      <c r="I866" s="1"/>
      <c r="J866" s="1"/>
      <c r="K866" s="1"/>
      <c r="L866" s="1"/>
      <c r="M866" s="1"/>
      <c r="N866" s="1"/>
      <c r="O866" s="1"/>
      <c r="P866" s="1"/>
      <c r="Q866" s="1"/>
      <c r="R866" s="1"/>
      <c r="S866" s="1"/>
      <c r="T866" s="1"/>
      <c r="U866" s="2"/>
      <c r="V866" s="1"/>
      <c r="W866" s="1"/>
      <c r="X866" s="1"/>
      <c r="Y866" s="1"/>
      <c r="Z866" s="1"/>
    </row>
    <row r="867" spans="1:26" ht="24.75" customHeight="1">
      <c r="A867" s="1"/>
      <c r="B867" s="1"/>
      <c r="C867" s="1"/>
      <c r="D867" s="1"/>
      <c r="E867" s="1"/>
      <c r="F867" s="1"/>
      <c r="G867" s="1"/>
      <c r="H867" s="1"/>
      <c r="I867" s="1"/>
      <c r="J867" s="1"/>
      <c r="K867" s="1"/>
      <c r="L867" s="1"/>
      <c r="M867" s="1"/>
      <c r="N867" s="1"/>
      <c r="O867" s="1"/>
      <c r="P867" s="1"/>
      <c r="Q867" s="1"/>
      <c r="R867" s="1"/>
      <c r="S867" s="1"/>
      <c r="T867" s="1"/>
      <c r="U867" s="2"/>
      <c r="V867" s="1"/>
      <c r="W867" s="1"/>
      <c r="X867" s="1"/>
      <c r="Y867" s="1"/>
      <c r="Z867" s="1"/>
    </row>
    <row r="868" spans="1:26" ht="24.75" customHeight="1">
      <c r="A868" s="1"/>
      <c r="B868" s="1"/>
      <c r="C868" s="1"/>
      <c r="D868" s="1"/>
      <c r="E868" s="1"/>
      <c r="F868" s="1"/>
      <c r="G868" s="1"/>
      <c r="H868" s="1"/>
      <c r="I868" s="1"/>
      <c r="J868" s="1"/>
      <c r="K868" s="1"/>
      <c r="L868" s="1"/>
      <c r="M868" s="1"/>
      <c r="N868" s="1"/>
      <c r="O868" s="1"/>
      <c r="P868" s="1"/>
      <c r="Q868" s="1"/>
      <c r="R868" s="1"/>
      <c r="S868" s="1"/>
      <c r="T868" s="1"/>
      <c r="U868" s="2"/>
      <c r="V868" s="1"/>
      <c r="W868" s="1"/>
      <c r="X868" s="1"/>
      <c r="Y868" s="1"/>
      <c r="Z868" s="1"/>
    </row>
    <row r="869" spans="1:26" ht="24.75" customHeight="1">
      <c r="A869" s="1"/>
      <c r="B869" s="1"/>
      <c r="C869" s="1"/>
      <c r="D869" s="1"/>
      <c r="E869" s="1"/>
      <c r="F869" s="1"/>
      <c r="G869" s="1"/>
      <c r="H869" s="1"/>
      <c r="I869" s="1"/>
      <c r="J869" s="1"/>
      <c r="K869" s="1"/>
      <c r="L869" s="1"/>
      <c r="M869" s="1"/>
      <c r="N869" s="1"/>
      <c r="O869" s="1"/>
      <c r="P869" s="1"/>
      <c r="Q869" s="1"/>
      <c r="R869" s="1"/>
      <c r="S869" s="1"/>
      <c r="T869" s="1"/>
      <c r="U869" s="2"/>
      <c r="V869" s="1"/>
      <c r="W869" s="1"/>
      <c r="X869" s="1"/>
      <c r="Y869" s="1"/>
      <c r="Z869" s="1"/>
    </row>
    <row r="870" spans="1:26" ht="24.75" customHeight="1">
      <c r="A870" s="1"/>
      <c r="B870" s="1"/>
      <c r="C870" s="1"/>
      <c r="D870" s="1"/>
      <c r="E870" s="1"/>
      <c r="F870" s="1"/>
      <c r="G870" s="1"/>
      <c r="H870" s="1"/>
      <c r="I870" s="1"/>
      <c r="J870" s="1"/>
      <c r="K870" s="1"/>
      <c r="L870" s="1"/>
      <c r="M870" s="1"/>
      <c r="N870" s="1"/>
      <c r="O870" s="1"/>
      <c r="P870" s="1"/>
      <c r="Q870" s="1"/>
      <c r="R870" s="1"/>
      <c r="S870" s="1"/>
      <c r="T870" s="1"/>
      <c r="U870" s="2"/>
      <c r="V870" s="1"/>
      <c r="W870" s="1"/>
      <c r="X870" s="1"/>
      <c r="Y870" s="1"/>
      <c r="Z870" s="1"/>
    </row>
    <row r="871" spans="1:26" ht="24.75" customHeight="1">
      <c r="A871" s="1"/>
      <c r="B871" s="1"/>
      <c r="C871" s="1"/>
      <c r="D871" s="1"/>
      <c r="E871" s="1"/>
      <c r="F871" s="1"/>
      <c r="G871" s="1"/>
      <c r="H871" s="1"/>
      <c r="I871" s="1"/>
      <c r="J871" s="1"/>
      <c r="K871" s="1"/>
      <c r="L871" s="1"/>
      <c r="M871" s="1"/>
      <c r="N871" s="1"/>
      <c r="O871" s="1"/>
      <c r="P871" s="1"/>
      <c r="Q871" s="1"/>
      <c r="R871" s="1"/>
      <c r="S871" s="1"/>
      <c r="T871" s="1"/>
      <c r="U871" s="2"/>
      <c r="V871" s="1"/>
      <c r="W871" s="1"/>
      <c r="X871" s="1"/>
      <c r="Y871" s="1"/>
      <c r="Z871" s="1"/>
    </row>
    <row r="872" spans="1:26" ht="24.75" customHeight="1">
      <c r="A872" s="1"/>
      <c r="B872" s="1"/>
      <c r="C872" s="1"/>
      <c r="D872" s="1"/>
      <c r="E872" s="1"/>
      <c r="F872" s="1"/>
      <c r="G872" s="1"/>
      <c r="H872" s="1"/>
      <c r="I872" s="1"/>
      <c r="J872" s="1"/>
      <c r="K872" s="1"/>
      <c r="L872" s="1"/>
      <c r="M872" s="1"/>
      <c r="N872" s="1"/>
      <c r="O872" s="1"/>
      <c r="P872" s="1"/>
      <c r="Q872" s="1"/>
      <c r="R872" s="1"/>
      <c r="S872" s="1"/>
      <c r="T872" s="1"/>
      <c r="U872" s="2"/>
      <c r="V872" s="1"/>
      <c r="W872" s="1"/>
      <c r="X872" s="1"/>
      <c r="Y872" s="1"/>
      <c r="Z872" s="1"/>
    </row>
    <row r="873" spans="1:26" ht="24.75" customHeight="1">
      <c r="A873" s="1"/>
      <c r="B873" s="1"/>
      <c r="C873" s="1"/>
      <c r="D873" s="1"/>
      <c r="E873" s="1"/>
      <c r="F873" s="1"/>
      <c r="G873" s="1"/>
      <c r="H873" s="1"/>
      <c r="I873" s="1"/>
      <c r="J873" s="1"/>
      <c r="K873" s="1"/>
      <c r="L873" s="1"/>
      <c r="M873" s="1"/>
      <c r="N873" s="1"/>
      <c r="O873" s="1"/>
      <c r="P873" s="1"/>
      <c r="Q873" s="1"/>
      <c r="R873" s="1"/>
      <c r="S873" s="1"/>
      <c r="T873" s="1"/>
      <c r="U873" s="2"/>
      <c r="V873" s="1"/>
      <c r="W873" s="1"/>
      <c r="X873" s="1"/>
      <c r="Y873" s="1"/>
      <c r="Z873" s="1"/>
    </row>
    <row r="874" spans="1:26" ht="24.75" customHeight="1">
      <c r="A874" s="1"/>
      <c r="B874" s="1"/>
      <c r="C874" s="1"/>
      <c r="D874" s="1"/>
      <c r="E874" s="1"/>
      <c r="F874" s="1"/>
      <c r="G874" s="1"/>
      <c r="H874" s="1"/>
      <c r="I874" s="1"/>
      <c r="J874" s="1"/>
      <c r="K874" s="1"/>
      <c r="L874" s="1"/>
      <c r="M874" s="1"/>
      <c r="N874" s="1"/>
      <c r="O874" s="1"/>
      <c r="P874" s="1"/>
      <c r="Q874" s="1"/>
      <c r="R874" s="1"/>
      <c r="S874" s="1"/>
      <c r="T874" s="1"/>
      <c r="U874" s="2"/>
      <c r="V874" s="1"/>
      <c r="W874" s="1"/>
      <c r="X874" s="1"/>
      <c r="Y874" s="1"/>
      <c r="Z874" s="1"/>
    </row>
    <row r="875" spans="1:26" ht="24.75" customHeight="1">
      <c r="A875" s="1"/>
      <c r="B875" s="1"/>
      <c r="C875" s="1"/>
      <c r="D875" s="1"/>
      <c r="E875" s="1"/>
      <c r="F875" s="1"/>
      <c r="G875" s="1"/>
      <c r="H875" s="1"/>
      <c r="I875" s="1"/>
      <c r="J875" s="1"/>
      <c r="K875" s="1"/>
      <c r="L875" s="1"/>
      <c r="M875" s="1"/>
      <c r="N875" s="1"/>
      <c r="O875" s="1"/>
      <c r="P875" s="1"/>
      <c r="Q875" s="1"/>
      <c r="R875" s="1"/>
      <c r="S875" s="1"/>
      <c r="T875" s="1"/>
      <c r="U875" s="2"/>
      <c r="V875" s="1"/>
      <c r="W875" s="1"/>
      <c r="X875" s="1"/>
      <c r="Y875" s="1"/>
      <c r="Z875" s="1"/>
    </row>
    <row r="876" spans="1:26" ht="24.75" customHeight="1">
      <c r="A876" s="1"/>
      <c r="B876" s="1"/>
      <c r="C876" s="1"/>
      <c r="D876" s="1"/>
      <c r="E876" s="1"/>
      <c r="F876" s="1"/>
      <c r="G876" s="1"/>
      <c r="H876" s="1"/>
      <c r="I876" s="1"/>
      <c r="J876" s="1"/>
      <c r="K876" s="1"/>
      <c r="L876" s="1"/>
      <c r="M876" s="1"/>
      <c r="N876" s="1"/>
      <c r="O876" s="1"/>
      <c r="P876" s="1"/>
      <c r="Q876" s="1"/>
      <c r="R876" s="1"/>
      <c r="S876" s="1"/>
      <c r="T876" s="1"/>
      <c r="U876" s="2"/>
      <c r="V876" s="1"/>
      <c r="W876" s="1"/>
      <c r="X876" s="1"/>
      <c r="Y876" s="1"/>
      <c r="Z876" s="1"/>
    </row>
    <row r="877" spans="1:26" ht="24.75" customHeight="1">
      <c r="A877" s="1"/>
      <c r="B877" s="1"/>
      <c r="C877" s="1"/>
      <c r="D877" s="1"/>
      <c r="E877" s="1"/>
      <c r="F877" s="1"/>
      <c r="G877" s="1"/>
      <c r="H877" s="1"/>
      <c r="I877" s="1"/>
      <c r="J877" s="1"/>
      <c r="K877" s="1"/>
      <c r="L877" s="1"/>
      <c r="M877" s="1"/>
      <c r="N877" s="1"/>
      <c r="O877" s="1"/>
      <c r="P877" s="1"/>
      <c r="Q877" s="1"/>
      <c r="R877" s="1"/>
      <c r="S877" s="1"/>
      <c r="T877" s="1"/>
      <c r="U877" s="2"/>
      <c r="V877" s="1"/>
      <c r="W877" s="1"/>
      <c r="X877" s="1"/>
      <c r="Y877" s="1"/>
      <c r="Z877" s="1"/>
    </row>
    <row r="878" spans="1:26" ht="24.75" customHeight="1">
      <c r="A878" s="1"/>
      <c r="B878" s="1"/>
      <c r="C878" s="1"/>
      <c r="D878" s="1"/>
      <c r="E878" s="1"/>
      <c r="F878" s="1"/>
      <c r="G878" s="1"/>
      <c r="H878" s="1"/>
      <c r="I878" s="1"/>
      <c r="J878" s="1"/>
      <c r="K878" s="1"/>
      <c r="L878" s="1"/>
      <c r="M878" s="1"/>
      <c r="N878" s="1"/>
      <c r="O878" s="1"/>
      <c r="P878" s="1"/>
      <c r="Q878" s="1"/>
      <c r="R878" s="1"/>
      <c r="S878" s="1"/>
      <c r="T878" s="1"/>
      <c r="U878" s="2"/>
      <c r="V878" s="1"/>
      <c r="W878" s="1"/>
      <c r="X878" s="1"/>
      <c r="Y878" s="1"/>
      <c r="Z878" s="1"/>
    </row>
    <row r="879" spans="1:26" ht="24.75" customHeight="1">
      <c r="A879" s="1"/>
      <c r="B879" s="1"/>
      <c r="C879" s="1"/>
      <c r="D879" s="1"/>
      <c r="E879" s="1"/>
      <c r="F879" s="1"/>
      <c r="G879" s="1"/>
      <c r="H879" s="1"/>
      <c r="I879" s="1"/>
      <c r="J879" s="1"/>
      <c r="K879" s="1"/>
      <c r="L879" s="1"/>
      <c r="M879" s="1"/>
      <c r="N879" s="1"/>
      <c r="O879" s="1"/>
      <c r="P879" s="1"/>
      <c r="Q879" s="1"/>
      <c r="R879" s="1"/>
      <c r="S879" s="1"/>
      <c r="T879" s="1"/>
      <c r="U879" s="2"/>
      <c r="V879" s="1"/>
      <c r="W879" s="1"/>
      <c r="X879" s="1"/>
      <c r="Y879" s="1"/>
      <c r="Z879" s="1"/>
    </row>
    <row r="880" spans="1:26" ht="24.75" customHeight="1">
      <c r="A880" s="1"/>
      <c r="B880" s="1"/>
      <c r="C880" s="1"/>
      <c r="D880" s="1"/>
      <c r="E880" s="1"/>
      <c r="F880" s="1"/>
      <c r="G880" s="1"/>
      <c r="H880" s="1"/>
      <c r="I880" s="1"/>
      <c r="J880" s="1"/>
      <c r="K880" s="1"/>
      <c r="L880" s="1"/>
      <c r="M880" s="1"/>
      <c r="N880" s="1"/>
      <c r="O880" s="1"/>
      <c r="P880" s="1"/>
      <c r="Q880" s="1"/>
      <c r="R880" s="1"/>
      <c r="S880" s="1"/>
      <c r="T880" s="1"/>
      <c r="U880" s="2"/>
      <c r="V880" s="1"/>
      <c r="W880" s="1"/>
      <c r="X880" s="1"/>
      <c r="Y880" s="1"/>
      <c r="Z880" s="1"/>
    </row>
    <row r="881" spans="1:26" ht="24.75" customHeight="1">
      <c r="A881" s="1"/>
      <c r="B881" s="1"/>
      <c r="C881" s="1"/>
      <c r="D881" s="1"/>
      <c r="E881" s="1"/>
      <c r="F881" s="1"/>
      <c r="G881" s="1"/>
      <c r="H881" s="1"/>
      <c r="I881" s="1"/>
      <c r="J881" s="1"/>
      <c r="K881" s="1"/>
      <c r="L881" s="1"/>
      <c r="M881" s="1"/>
      <c r="N881" s="1"/>
      <c r="O881" s="1"/>
      <c r="P881" s="1"/>
      <c r="Q881" s="1"/>
      <c r="R881" s="1"/>
      <c r="S881" s="1"/>
      <c r="T881" s="1"/>
      <c r="U881" s="2"/>
      <c r="V881" s="1"/>
      <c r="W881" s="1"/>
      <c r="X881" s="1"/>
      <c r="Y881" s="1"/>
      <c r="Z881" s="1"/>
    </row>
    <row r="882" spans="1:26" ht="24.75" customHeight="1">
      <c r="A882" s="1"/>
      <c r="B882" s="1"/>
      <c r="C882" s="1"/>
      <c r="D882" s="1"/>
      <c r="E882" s="1"/>
      <c r="F882" s="1"/>
      <c r="G882" s="1"/>
      <c r="H882" s="1"/>
      <c r="I882" s="1"/>
      <c r="J882" s="1"/>
      <c r="K882" s="1"/>
      <c r="L882" s="1"/>
      <c r="M882" s="1"/>
      <c r="N882" s="1"/>
      <c r="O882" s="1"/>
      <c r="P882" s="1"/>
      <c r="Q882" s="1"/>
      <c r="R882" s="1"/>
      <c r="S882" s="1"/>
      <c r="T882" s="1"/>
      <c r="U882" s="2"/>
      <c r="V882" s="1"/>
      <c r="W882" s="1"/>
      <c r="X882" s="1"/>
      <c r="Y882" s="1"/>
      <c r="Z882" s="1"/>
    </row>
    <row r="883" spans="1:26" ht="24.75" customHeight="1">
      <c r="A883" s="1"/>
      <c r="B883" s="1"/>
      <c r="C883" s="1"/>
      <c r="D883" s="1"/>
      <c r="E883" s="1"/>
      <c r="F883" s="1"/>
      <c r="G883" s="1"/>
      <c r="H883" s="1"/>
      <c r="I883" s="1"/>
      <c r="J883" s="1"/>
      <c r="K883" s="1"/>
      <c r="L883" s="1"/>
      <c r="M883" s="1"/>
      <c r="N883" s="1"/>
      <c r="O883" s="1"/>
      <c r="P883" s="1"/>
      <c r="Q883" s="1"/>
      <c r="R883" s="1"/>
      <c r="S883" s="1"/>
      <c r="T883" s="1"/>
      <c r="U883" s="2"/>
      <c r="V883" s="1"/>
      <c r="W883" s="1"/>
      <c r="X883" s="1"/>
      <c r="Y883" s="1"/>
      <c r="Z883" s="1"/>
    </row>
    <row r="884" spans="1:26" ht="24.75" customHeight="1">
      <c r="A884" s="1"/>
      <c r="B884" s="1"/>
      <c r="C884" s="1"/>
      <c r="D884" s="1"/>
      <c r="E884" s="1"/>
      <c r="F884" s="1"/>
      <c r="G884" s="1"/>
      <c r="H884" s="1"/>
      <c r="I884" s="1"/>
      <c r="J884" s="1"/>
      <c r="K884" s="1"/>
      <c r="L884" s="1"/>
      <c r="M884" s="1"/>
      <c r="N884" s="1"/>
      <c r="O884" s="1"/>
      <c r="P884" s="1"/>
      <c r="Q884" s="1"/>
      <c r="R884" s="1"/>
      <c r="S884" s="1"/>
      <c r="T884" s="1"/>
      <c r="U884" s="2"/>
      <c r="V884" s="1"/>
      <c r="W884" s="1"/>
      <c r="X884" s="1"/>
      <c r="Y884" s="1"/>
      <c r="Z884" s="1"/>
    </row>
    <row r="885" spans="1:26" ht="24.75" customHeight="1">
      <c r="A885" s="1"/>
      <c r="B885" s="1"/>
      <c r="C885" s="1"/>
      <c r="D885" s="1"/>
      <c r="E885" s="1"/>
      <c r="F885" s="1"/>
      <c r="G885" s="1"/>
      <c r="H885" s="1"/>
      <c r="I885" s="1"/>
      <c r="J885" s="1"/>
      <c r="K885" s="1"/>
      <c r="L885" s="1"/>
      <c r="M885" s="1"/>
      <c r="N885" s="1"/>
      <c r="O885" s="1"/>
      <c r="P885" s="1"/>
      <c r="Q885" s="1"/>
      <c r="R885" s="1"/>
      <c r="S885" s="1"/>
      <c r="T885" s="1"/>
      <c r="U885" s="2"/>
      <c r="V885" s="1"/>
      <c r="W885" s="1"/>
      <c r="X885" s="1"/>
      <c r="Y885" s="1"/>
      <c r="Z885" s="1"/>
    </row>
    <row r="886" spans="1:26" ht="24.75" customHeight="1">
      <c r="A886" s="1"/>
      <c r="B886" s="1"/>
      <c r="C886" s="1"/>
      <c r="D886" s="1"/>
      <c r="E886" s="1"/>
      <c r="F886" s="1"/>
      <c r="G886" s="1"/>
      <c r="H886" s="1"/>
      <c r="I886" s="1"/>
      <c r="J886" s="1"/>
      <c r="K886" s="1"/>
      <c r="L886" s="1"/>
      <c r="M886" s="1"/>
      <c r="N886" s="1"/>
      <c r="O886" s="1"/>
      <c r="P886" s="1"/>
      <c r="Q886" s="1"/>
      <c r="R886" s="1"/>
      <c r="S886" s="1"/>
      <c r="T886" s="1"/>
      <c r="U886" s="2"/>
      <c r="V886" s="1"/>
      <c r="W886" s="1"/>
      <c r="X886" s="1"/>
      <c r="Y886" s="1"/>
      <c r="Z886" s="1"/>
    </row>
    <row r="887" spans="1:26" ht="24.75" customHeight="1">
      <c r="A887" s="1"/>
      <c r="B887" s="1"/>
      <c r="C887" s="1"/>
      <c r="D887" s="1"/>
      <c r="E887" s="1"/>
      <c r="F887" s="1"/>
      <c r="G887" s="1"/>
      <c r="H887" s="1"/>
      <c r="I887" s="1"/>
      <c r="J887" s="1"/>
      <c r="K887" s="1"/>
      <c r="L887" s="1"/>
      <c r="M887" s="1"/>
      <c r="N887" s="1"/>
      <c r="O887" s="1"/>
      <c r="P887" s="1"/>
      <c r="Q887" s="1"/>
      <c r="R887" s="1"/>
      <c r="S887" s="1"/>
      <c r="T887" s="1"/>
      <c r="U887" s="2"/>
      <c r="V887" s="1"/>
      <c r="W887" s="1"/>
      <c r="X887" s="1"/>
      <c r="Y887" s="1"/>
      <c r="Z887" s="1"/>
    </row>
    <row r="888" spans="1:26" ht="24.75" customHeight="1">
      <c r="A888" s="1"/>
      <c r="B888" s="1"/>
      <c r="C888" s="1"/>
      <c r="D888" s="1"/>
      <c r="E888" s="1"/>
      <c r="F888" s="1"/>
      <c r="G888" s="1"/>
      <c r="H888" s="1"/>
      <c r="I888" s="1"/>
      <c r="J888" s="1"/>
      <c r="K888" s="1"/>
      <c r="L888" s="1"/>
      <c r="M888" s="1"/>
      <c r="N888" s="1"/>
      <c r="O888" s="1"/>
      <c r="P888" s="1"/>
      <c r="Q888" s="1"/>
      <c r="R888" s="1"/>
      <c r="S888" s="1"/>
      <c r="T888" s="1"/>
      <c r="U888" s="2"/>
      <c r="V888" s="1"/>
      <c r="W888" s="1"/>
      <c r="X888" s="1"/>
      <c r="Y888" s="1"/>
      <c r="Z888" s="1"/>
    </row>
    <row r="889" spans="1:26" ht="24.75" customHeight="1">
      <c r="A889" s="1"/>
      <c r="B889" s="1"/>
      <c r="C889" s="1"/>
      <c r="D889" s="1"/>
      <c r="E889" s="1"/>
      <c r="F889" s="1"/>
      <c r="G889" s="1"/>
      <c r="H889" s="1"/>
      <c r="I889" s="1"/>
      <c r="J889" s="1"/>
      <c r="K889" s="1"/>
      <c r="L889" s="1"/>
      <c r="M889" s="1"/>
      <c r="N889" s="1"/>
      <c r="O889" s="1"/>
      <c r="P889" s="1"/>
      <c r="Q889" s="1"/>
      <c r="R889" s="1"/>
      <c r="S889" s="1"/>
      <c r="T889" s="1"/>
      <c r="U889" s="2"/>
      <c r="V889" s="1"/>
      <c r="W889" s="1"/>
      <c r="X889" s="1"/>
      <c r="Y889" s="1"/>
      <c r="Z889" s="1"/>
    </row>
    <row r="890" spans="1:26" ht="24.75" customHeight="1">
      <c r="A890" s="1"/>
      <c r="B890" s="1"/>
      <c r="C890" s="1"/>
      <c r="D890" s="1"/>
      <c r="E890" s="1"/>
      <c r="F890" s="1"/>
      <c r="G890" s="1"/>
      <c r="H890" s="1"/>
      <c r="I890" s="1"/>
      <c r="J890" s="1"/>
      <c r="K890" s="1"/>
      <c r="L890" s="1"/>
      <c r="M890" s="1"/>
      <c r="N890" s="1"/>
      <c r="O890" s="1"/>
      <c r="P890" s="1"/>
      <c r="Q890" s="1"/>
      <c r="R890" s="1"/>
      <c r="S890" s="1"/>
      <c r="T890" s="1"/>
      <c r="U890" s="2"/>
      <c r="V890" s="1"/>
      <c r="W890" s="1"/>
      <c r="X890" s="1"/>
      <c r="Y890" s="1"/>
      <c r="Z890" s="1"/>
    </row>
    <row r="891" spans="1:26" ht="24.75" customHeight="1">
      <c r="A891" s="1"/>
      <c r="B891" s="1"/>
      <c r="C891" s="1"/>
      <c r="D891" s="1"/>
      <c r="E891" s="1"/>
      <c r="F891" s="1"/>
      <c r="G891" s="1"/>
      <c r="H891" s="1"/>
      <c r="I891" s="1"/>
      <c r="J891" s="1"/>
      <c r="K891" s="1"/>
      <c r="L891" s="1"/>
      <c r="M891" s="1"/>
      <c r="N891" s="1"/>
      <c r="O891" s="1"/>
      <c r="P891" s="1"/>
      <c r="Q891" s="1"/>
      <c r="R891" s="1"/>
      <c r="S891" s="1"/>
      <c r="T891" s="1"/>
      <c r="U891" s="2"/>
      <c r="V891" s="1"/>
      <c r="W891" s="1"/>
      <c r="X891" s="1"/>
      <c r="Y891" s="1"/>
      <c r="Z891" s="1"/>
    </row>
    <row r="892" spans="1:26" ht="24.75" customHeight="1">
      <c r="A892" s="1"/>
      <c r="B892" s="1"/>
      <c r="C892" s="1"/>
      <c r="D892" s="1"/>
      <c r="E892" s="1"/>
      <c r="F892" s="1"/>
      <c r="G892" s="1"/>
      <c r="H892" s="1"/>
      <c r="I892" s="1"/>
      <c r="J892" s="1"/>
      <c r="K892" s="1"/>
      <c r="L892" s="1"/>
      <c r="M892" s="1"/>
      <c r="N892" s="1"/>
      <c r="O892" s="1"/>
      <c r="P892" s="1"/>
      <c r="Q892" s="1"/>
      <c r="R892" s="1"/>
      <c r="S892" s="1"/>
      <c r="T892" s="1"/>
      <c r="U892" s="2"/>
      <c r="V892" s="1"/>
      <c r="W892" s="1"/>
      <c r="X892" s="1"/>
      <c r="Y892" s="1"/>
      <c r="Z892" s="1"/>
    </row>
    <row r="893" spans="1:26" ht="24.75" customHeight="1">
      <c r="A893" s="1"/>
      <c r="B893" s="1"/>
      <c r="C893" s="1"/>
      <c r="D893" s="1"/>
      <c r="E893" s="1"/>
      <c r="F893" s="1"/>
      <c r="G893" s="1"/>
      <c r="H893" s="1"/>
      <c r="I893" s="1"/>
      <c r="J893" s="1"/>
      <c r="K893" s="1"/>
      <c r="L893" s="1"/>
      <c r="M893" s="1"/>
      <c r="N893" s="1"/>
      <c r="O893" s="1"/>
      <c r="P893" s="1"/>
      <c r="Q893" s="1"/>
      <c r="R893" s="1"/>
      <c r="S893" s="1"/>
      <c r="T893" s="1"/>
      <c r="U893" s="2"/>
      <c r="V893" s="1"/>
      <c r="W893" s="1"/>
      <c r="X893" s="1"/>
      <c r="Y893" s="1"/>
      <c r="Z893" s="1"/>
    </row>
    <row r="894" spans="1:26" ht="24.75" customHeight="1">
      <c r="A894" s="1"/>
      <c r="B894" s="1"/>
      <c r="C894" s="1"/>
      <c r="D894" s="1"/>
      <c r="E894" s="1"/>
      <c r="F894" s="1"/>
      <c r="G894" s="1"/>
      <c r="H894" s="1"/>
      <c r="I894" s="1"/>
      <c r="J894" s="1"/>
      <c r="K894" s="1"/>
      <c r="L894" s="1"/>
      <c r="M894" s="1"/>
      <c r="N894" s="1"/>
      <c r="O894" s="1"/>
      <c r="P894" s="1"/>
      <c r="Q894" s="1"/>
      <c r="R894" s="1"/>
      <c r="S894" s="1"/>
      <c r="T894" s="1"/>
      <c r="U894" s="2"/>
      <c r="V894" s="1"/>
      <c r="W894" s="1"/>
      <c r="X894" s="1"/>
      <c r="Y894" s="1"/>
      <c r="Z894" s="1"/>
    </row>
    <row r="895" spans="1:26" ht="24.75" customHeight="1">
      <c r="A895" s="1"/>
      <c r="B895" s="1"/>
      <c r="C895" s="1"/>
      <c r="D895" s="1"/>
      <c r="E895" s="1"/>
      <c r="F895" s="1"/>
      <c r="G895" s="1"/>
      <c r="H895" s="1"/>
      <c r="I895" s="1"/>
      <c r="J895" s="1"/>
      <c r="K895" s="1"/>
      <c r="L895" s="1"/>
      <c r="M895" s="1"/>
      <c r="N895" s="1"/>
      <c r="O895" s="1"/>
      <c r="P895" s="1"/>
      <c r="Q895" s="1"/>
      <c r="R895" s="1"/>
      <c r="S895" s="1"/>
      <c r="T895" s="1"/>
      <c r="U895" s="2"/>
      <c r="V895" s="1"/>
      <c r="W895" s="1"/>
      <c r="X895" s="1"/>
      <c r="Y895" s="1"/>
      <c r="Z895" s="1"/>
    </row>
    <row r="896" spans="1:26" ht="24.75" customHeight="1">
      <c r="A896" s="1"/>
      <c r="B896" s="1"/>
      <c r="C896" s="1"/>
      <c r="D896" s="1"/>
      <c r="E896" s="1"/>
      <c r="F896" s="1"/>
      <c r="G896" s="1"/>
      <c r="H896" s="1"/>
      <c r="I896" s="1"/>
      <c r="J896" s="1"/>
      <c r="K896" s="1"/>
      <c r="L896" s="1"/>
      <c r="M896" s="1"/>
      <c r="N896" s="1"/>
      <c r="O896" s="1"/>
      <c r="P896" s="1"/>
      <c r="Q896" s="1"/>
      <c r="R896" s="1"/>
      <c r="S896" s="1"/>
      <c r="T896" s="1"/>
      <c r="U896" s="2"/>
      <c r="V896" s="1"/>
      <c r="W896" s="1"/>
      <c r="X896" s="1"/>
      <c r="Y896" s="1"/>
      <c r="Z896" s="1"/>
    </row>
    <row r="897" spans="1:26" ht="24.75" customHeight="1">
      <c r="A897" s="1"/>
      <c r="B897" s="1"/>
      <c r="C897" s="1"/>
      <c r="D897" s="1"/>
      <c r="E897" s="1"/>
      <c r="F897" s="1"/>
      <c r="G897" s="1"/>
      <c r="H897" s="1"/>
      <c r="I897" s="1"/>
      <c r="J897" s="1"/>
      <c r="K897" s="1"/>
      <c r="L897" s="1"/>
      <c r="M897" s="1"/>
      <c r="N897" s="1"/>
      <c r="O897" s="1"/>
      <c r="P897" s="1"/>
      <c r="Q897" s="1"/>
      <c r="R897" s="1"/>
      <c r="S897" s="1"/>
      <c r="T897" s="1"/>
      <c r="U897" s="2"/>
      <c r="V897" s="1"/>
      <c r="W897" s="1"/>
      <c r="X897" s="1"/>
      <c r="Y897" s="1"/>
      <c r="Z897" s="1"/>
    </row>
    <row r="898" spans="1:26" ht="24.75" customHeight="1">
      <c r="A898" s="1"/>
      <c r="B898" s="1"/>
      <c r="C898" s="1"/>
      <c r="D898" s="1"/>
      <c r="E898" s="1"/>
      <c r="F898" s="1"/>
      <c r="G898" s="1"/>
      <c r="H898" s="1"/>
      <c r="I898" s="1"/>
      <c r="J898" s="1"/>
      <c r="K898" s="1"/>
      <c r="L898" s="1"/>
      <c r="M898" s="1"/>
      <c r="N898" s="1"/>
      <c r="O898" s="1"/>
      <c r="P898" s="1"/>
      <c r="Q898" s="1"/>
      <c r="R898" s="1"/>
      <c r="S898" s="1"/>
      <c r="T898" s="1"/>
      <c r="U898" s="2"/>
      <c r="V898" s="1"/>
      <c r="W898" s="1"/>
      <c r="X898" s="1"/>
      <c r="Y898" s="1"/>
      <c r="Z898" s="1"/>
    </row>
    <row r="899" spans="1:26" ht="24.75" customHeight="1">
      <c r="A899" s="1"/>
      <c r="B899" s="1"/>
      <c r="C899" s="1"/>
      <c r="D899" s="1"/>
      <c r="E899" s="1"/>
      <c r="F899" s="1"/>
      <c r="G899" s="1"/>
      <c r="H899" s="1"/>
      <c r="I899" s="1"/>
      <c r="J899" s="1"/>
      <c r="K899" s="1"/>
      <c r="L899" s="1"/>
      <c r="M899" s="1"/>
      <c r="N899" s="1"/>
      <c r="O899" s="1"/>
      <c r="P899" s="1"/>
      <c r="Q899" s="1"/>
      <c r="R899" s="1"/>
      <c r="S899" s="1"/>
      <c r="T899" s="1"/>
      <c r="U899" s="2"/>
      <c r="V899" s="1"/>
      <c r="W899" s="1"/>
      <c r="X899" s="1"/>
      <c r="Y899" s="1"/>
      <c r="Z899" s="1"/>
    </row>
    <row r="900" spans="1:26" ht="24.75" customHeight="1">
      <c r="A900" s="1"/>
      <c r="B900" s="1"/>
      <c r="C900" s="1"/>
      <c r="D900" s="1"/>
      <c r="E900" s="1"/>
      <c r="F900" s="1"/>
      <c r="G900" s="1"/>
      <c r="H900" s="1"/>
      <c r="I900" s="1"/>
      <c r="J900" s="1"/>
      <c r="K900" s="1"/>
      <c r="L900" s="1"/>
      <c r="M900" s="1"/>
      <c r="N900" s="1"/>
      <c r="O900" s="1"/>
      <c r="P900" s="1"/>
      <c r="Q900" s="1"/>
      <c r="R900" s="1"/>
      <c r="S900" s="1"/>
      <c r="T900" s="1"/>
      <c r="U900" s="2"/>
      <c r="V900" s="1"/>
      <c r="W900" s="1"/>
      <c r="X900" s="1"/>
      <c r="Y900" s="1"/>
      <c r="Z900" s="1"/>
    </row>
    <row r="901" spans="1:26" ht="24.75" customHeight="1">
      <c r="A901" s="1"/>
      <c r="B901" s="1"/>
      <c r="C901" s="1"/>
      <c r="D901" s="1"/>
      <c r="E901" s="1"/>
      <c r="F901" s="1"/>
      <c r="G901" s="1"/>
      <c r="H901" s="1"/>
      <c r="I901" s="1"/>
      <c r="J901" s="1"/>
      <c r="K901" s="1"/>
      <c r="L901" s="1"/>
      <c r="M901" s="1"/>
      <c r="N901" s="1"/>
      <c r="O901" s="1"/>
      <c r="P901" s="1"/>
      <c r="Q901" s="1"/>
      <c r="R901" s="1"/>
      <c r="S901" s="1"/>
      <c r="T901" s="1"/>
      <c r="U901" s="2"/>
      <c r="V901" s="1"/>
      <c r="W901" s="1"/>
      <c r="X901" s="1"/>
      <c r="Y901" s="1"/>
      <c r="Z901" s="1"/>
    </row>
    <row r="902" spans="1:26" ht="24.75" customHeight="1">
      <c r="A902" s="1"/>
      <c r="B902" s="1"/>
      <c r="C902" s="1"/>
      <c r="D902" s="1"/>
      <c r="E902" s="1"/>
      <c r="F902" s="1"/>
      <c r="G902" s="1"/>
      <c r="H902" s="1"/>
      <c r="I902" s="1"/>
      <c r="J902" s="1"/>
      <c r="K902" s="1"/>
      <c r="L902" s="1"/>
      <c r="M902" s="1"/>
      <c r="N902" s="1"/>
      <c r="O902" s="1"/>
      <c r="P902" s="1"/>
      <c r="Q902" s="1"/>
      <c r="R902" s="1"/>
      <c r="S902" s="1"/>
      <c r="T902" s="1"/>
      <c r="U902" s="2"/>
      <c r="V902" s="1"/>
      <c r="W902" s="1"/>
      <c r="X902" s="1"/>
      <c r="Y902" s="1"/>
      <c r="Z902" s="1"/>
    </row>
    <row r="903" spans="1:26" ht="24.75" customHeight="1">
      <c r="A903" s="1"/>
      <c r="B903" s="1"/>
      <c r="C903" s="1"/>
      <c r="D903" s="1"/>
      <c r="E903" s="1"/>
      <c r="F903" s="1"/>
      <c r="G903" s="1"/>
      <c r="H903" s="1"/>
      <c r="I903" s="1"/>
      <c r="J903" s="1"/>
      <c r="K903" s="1"/>
      <c r="L903" s="1"/>
      <c r="M903" s="1"/>
      <c r="N903" s="1"/>
      <c r="O903" s="1"/>
      <c r="P903" s="1"/>
      <c r="Q903" s="1"/>
      <c r="R903" s="1"/>
      <c r="S903" s="1"/>
      <c r="T903" s="1"/>
      <c r="U903" s="2"/>
      <c r="V903" s="1"/>
      <c r="W903" s="1"/>
      <c r="X903" s="1"/>
      <c r="Y903" s="1"/>
      <c r="Z903" s="1"/>
    </row>
    <row r="904" spans="1:26" ht="24.75" customHeight="1">
      <c r="A904" s="1"/>
      <c r="B904" s="1"/>
      <c r="C904" s="1"/>
      <c r="D904" s="1"/>
      <c r="E904" s="1"/>
      <c r="F904" s="1"/>
      <c r="G904" s="1"/>
      <c r="H904" s="1"/>
      <c r="I904" s="1"/>
      <c r="J904" s="1"/>
      <c r="K904" s="1"/>
      <c r="L904" s="1"/>
      <c r="M904" s="1"/>
      <c r="N904" s="1"/>
      <c r="O904" s="1"/>
      <c r="P904" s="1"/>
      <c r="Q904" s="1"/>
      <c r="R904" s="1"/>
      <c r="S904" s="1"/>
      <c r="T904" s="1"/>
      <c r="U904" s="2"/>
      <c r="V904" s="1"/>
      <c r="W904" s="1"/>
      <c r="X904" s="1"/>
      <c r="Y904" s="1"/>
      <c r="Z904" s="1"/>
    </row>
    <row r="905" spans="1:26" ht="24.75" customHeight="1">
      <c r="A905" s="1"/>
      <c r="B905" s="1"/>
      <c r="C905" s="1"/>
      <c r="D905" s="1"/>
      <c r="E905" s="1"/>
      <c r="F905" s="1"/>
      <c r="G905" s="1"/>
      <c r="H905" s="1"/>
      <c r="I905" s="1"/>
      <c r="J905" s="1"/>
      <c r="K905" s="1"/>
      <c r="L905" s="1"/>
      <c r="M905" s="1"/>
      <c r="N905" s="1"/>
      <c r="O905" s="1"/>
      <c r="P905" s="1"/>
      <c r="Q905" s="1"/>
      <c r="R905" s="1"/>
      <c r="S905" s="1"/>
      <c r="T905" s="1"/>
      <c r="U905" s="2"/>
      <c r="V905" s="1"/>
      <c r="W905" s="1"/>
      <c r="X905" s="1"/>
      <c r="Y905" s="1"/>
      <c r="Z905" s="1"/>
    </row>
    <row r="906" spans="1:26" ht="24.75" customHeight="1">
      <c r="A906" s="1"/>
      <c r="B906" s="1"/>
      <c r="C906" s="1"/>
      <c r="D906" s="1"/>
      <c r="E906" s="1"/>
      <c r="F906" s="1"/>
      <c r="G906" s="1"/>
      <c r="H906" s="1"/>
      <c r="I906" s="1"/>
      <c r="J906" s="1"/>
      <c r="K906" s="1"/>
      <c r="L906" s="1"/>
      <c r="M906" s="1"/>
      <c r="N906" s="1"/>
      <c r="O906" s="1"/>
      <c r="P906" s="1"/>
      <c r="Q906" s="1"/>
      <c r="R906" s="1"/>
      <c r="S906" s="1"/>
      <c r="T906" s="1"/>
      <c r="U906" s="2"/>
      <c r="V906" s="1"/>
      <c r="W906" s="1"/>
      <c r="X906" s="1"/>
      <c r="Y906" s="1"/>
      <c r="Z906" s="1"/>
    </row>
    <row r="907" spans="1:26" ht="24.75" customHeight="1">
      <c r="A907" s="1"/>
      <c r="B907" s="1"/>
      <c r="C907" s="1"/>
      <c r="D907" s="1"/>
      <c r="E907" s="1"/>
      <c r="F907" s="1"/>
      <c r="G907" s="1"/>
      <c r="H907" s="1"/>
      <c r="I907" s="1"/>
      <c r="J907" s="1"/>
      <c r="K907" s="1"/>
      <c r="L907" s="1"/>
      <c r="M907" s="1"/>
      <c r="N907" s="1"/>
      <c r="O907" s="1"/>
      <c r="P907" s="1"/>
      <c r="Q907" s="1"/>
      <c r="R907" s="1"/>
      <c r="S907" s="1"/>
      <c r="T907" s="1"/>
      <c r="U907" s="2"/>
      <c r="V907" s="1"/>
      <c r="W907" s="1"/>
      <c r="X907" s="1"/>
      <c r="Y907" s="1"/>
      <c r="Z907" s="1"/>
    </row>
    <row r="908" spans="1:26" ht="24.75" customHeight="1">
      <c r="A908" s="1"/>
      <c r="B908" s="1"/>
      <c r="C908" s="1"/>
      <c r="D908" s="1"/>
      <c r="E908" s="1"/>
      <c r="F908" s="1"/>
      <c r="G908" s="1"/>
      <c r="H908" s="1"/>
      <c r="I908" s="1"/>
      <c r="J908" s="1"/>
      <c r="K908" s="1"/>
      <c r="L908" s="1"/>
      <c r="M908" s="1"/>
      <c r="N908" s="1"/>
      <c r="O908" s="1"/>
      <c r="P908" s="1"/>
      <c r="Q908" s="1"/>
      <c r="R908" s="1"/>
      <c r="S908" s="1"/>
      <c r="T908" s="1"/>
      <c r="U908" s="2"/>
      <c r="V908" s="1"/>
      <c r="W908" s="1"/>
      <c r="X908" s="1"/>
      <c r="Y908" s="1"/>
      <c r="Z908" s="1"/>
    </row>
    <row r="909" spans="1:26" ht="24.75" customHeight="1">
      <c r="A909" s="1"/>
      <c r="B909" s="1"/>
      <c r="C909" s="1"/>
      <c r="D909" s="1"/>
      <c r="E909" s="1"/>
      <c r="F909" s="1"/>
      <c r="G909" s="1"/>
      <c r="H909" s="1"/>
      <c r="I909" s="1"/>
      <c r="J909" s="1"/>
      <c r="K909" s="1"/>
      <c r="L909" s="1"/>
      <c r="M909" s="1"/>
      <c r="N909" s="1"/>
      <c r="O909" s="1"/>
      <c r="P909" s="1"/>
      <c r="Q909" s="1"/>
      <c r="R909" s="1"/>
      <c r="S909" s="1"/>
      <c r="T909" s="1"/>
      <c r="U909" s="2"/>
      <c r="V909" s="1"/>
      <c r="W909" s="1"/>
      <c r="X909" s="1"/>
      <c r="Y909" s="1"/>
      <c r="Z909" s="1"/>
    </row>
    <row r="910" spans="1:26" ht="24.75" customHeight="1">
      <c r="A910" s="1"/>
      <c r="B910" s="1"/>
      <c r="C910" s="1"/>
      <c r="D910" s="1"/>
      <c r="E910" s="1"/>
      <c r="F910" s="1"/>
      <c r="G910" s="1"/>
      <c r="H910" s="1"/>
      <c r="I910" s="1"/>
      <c r="J910" s="1"/>
      <c r="K910" s="1"/>
      <c r="L910" s="1"/>
      <c r="M910" s="1"/>
      <c r="N910" s="1"/>
      <c r="O910" s="1"/>
      <c r="P910" s="1"/>
      <c r="Q910" s="1"/>
      <c r="R910" s="1"/>
      <c r="S910" s="1"/>
      <c r="T910" s="1"/>
      <c r="U910" s="2"/>
      <c r="V910" s="1"/>
      <c r="W910" s="1"/>
      <c r="X910" s="1"/>
      <c r="Y910" s="1"/>
      <c r="Z910" s="1"/>
    </row>
    <row r="911" spans="1:26" ht="24.75" customHeight="1">
      <c r="A911" s="1"/>
      <c r="B911" s="1"/>
      <c r="C911" s="1"/>
      <c r="D911" s="1"/>
      <c r="E911" s="1"/>
      <c r="F911" s="1"/>
      <c r="G911" s="1"/>
      <c r="H911" s="1"/>
      <c r="I911" s="1"/>
      <c r="J911" s="1"/>
      <c r="K911" s="1"/>
      <c r="L911" s="1"/>
      <c r="M911" s="1"/>
      <c r="N911" s="1"/>
      <c r="O911" s="1"/>
      <c r="P911" s="1"/>
      <c r="Q911" s="1"/>
      <c r="R911" s="1"/>
      <c r="S911" s="1"/>
      <c r="T911" s="1"/>
      <c r="U911" s="2"/>
      <c r="V911" s="1"/>
      <c r="W911" s="1"/>
      <c r="X911" s="1"/>
      <c r="Y911" s="1"/>
      <c r="Z911" s="1"/>
    </row>
    <row r="912" spans="1:26" ht="24.75" customHeight="1">
      <c r="A912" s="1"/>
      <c r="B912" s="1"/>
      <c r="C912" s="1"/>
      <c r="D912" s="1"/>
      <c r="E912" s="1"/>
      <c r="F912" s="1"/>
      <c r="G912" s="1"/>
      <c r="H912" s="1"/>
      <c r="I912" s="1"/>
      <c r="J912" s="1"/>
      <c r="K912" s="1"/>
      <c r="L912" s="1"/>
      <c r="M912" s="1"/>
      <c r="N912" s="1"/>
      <c r="O912" s="1"/>
      <c r="P912" s="1"/>
      <c r="Q912" s="1"/>
      <c r="R912" s="1"/>
      <c r="S912" s="1"/>
      <c r="T912" s="1"/>
      <c r="U912" s="2"/>
      <c r="V912" s="1"/>
      <c r="W912" s="1"/>
      <c r="X912" s="1"/>
      <c r="Y912" s="1"/>
      <c r="Z912" s="1"/>
    </row>
    <row r="913" spans="1:26" ht="24.75" customHeight="1">
      <c r="A913" s="1"/>
      <c r="B913" s="1"/>
      <c r="C913" s="1"/>
      <c r="D913" s="1"/>
      <c r="E913" s="1"/>
      <c r="F913" s="1"/>
      <c r="G913" s="1"/>
      <c r="H913" s="1"/>
      <c r="I913" s="1"/>
      <c r="J913" s="1"/>
      <c r="K913" s="1"/>
      <c r="L913" s="1"/>
      <c r="M913" s="1"/>
      <c r="N913" s="1"/>
      <c r="O913" s="1"/>
      <c r="P913" s="1"/>
      <c r="Q913" s="1"/>
      <c r="R913" s="1"/>
      <c r="S913" s="1"/>
      <c r="T913" s="1"/>
      <c r="U913" s="2"/>
      <c r="V913" s="1"/>
      <c r="W913" s="1"/>
      <c r="X913" s="1"/>
      <c r="Y913" s="1"/>
      <c r="Z913" s="1"/>
    </row>
    <row r="914" spans="1:26" ht="24.75" customHeight="1">
      <c r="A914" s="1"/>
      <c r="B914" s="1"/>
      <c r="C914" s="1"/>
      <c r="D914" s="1"/>
      <c r="E914" s="1"/>
      <c r="F914" s="1"/>
      <c r="G914" s="1"/>
      <c r="H914" s="1"/>
      <c r="I914" s="1"/>
      <c r="J914" s="1"/>
      <c r="K914" s="1"/>
      <c r="L914" s="1"/>
      <c r="M914" s="1"/>
      <c r="N914" s="1"/>
      <c r="O914" s="1"/>
      <c r="P914" s="1"/>
      <c r="Q914" s="1"/>
      <c r="R914" s="1"/>
      <c r="S914" s="1"/>
      <c r="T914" s="1"/>
      <c r="U914" s="2"/>
      <c r="V914" s="1"/>
      <c r="W914" s="1"/>
      <c r="X914" s="1"/>
      <c r="Y914" s="1"/>
      <c r="Z914" s="1"/>
    </row>
    <row r="915" spans="1:26" ht="24.75" customHeight="1">
      <c r="A915" s="1"/>
      <c r="B915" s="1"/>
      <c r="C915" s="1"/>
      <c r="D915" s="1"/>
      <c r="E915" s="1"/>
      <c r="F915" s="1"/>
      <c r="G915" s="1"/>
      <c r="H915" s="1"/>
      <c r="I915" s="1"/>
      <c r="J915" s="1"/>
      <c r="K915" s="1"/>
      <c r="L915" s="1"/>
      <c r="M915" s="1"/>
      <c r="N915" s="1"/>
      <c r="O915" s="1"/>
      <c r="P915" s="1"/>
      <c r="Q915" s="1"/>
      <c r="R915" s="1"/>
      <c r="S915" s="1"/>
      <c r="T915" s="1"/>
      <c r="U915" s="2"/>
      <c r="V915" s="1"/>
      <c r="W915" s="1"/>
      <c r="X915" s="1"/>
      <c r="Y915" s="1"/>
      <c r="Z915" s="1"/>
    </row>
    <row r="916" spans="1:26" ht="24.75" customHeight="1">
      <c r="A916" s="1"/>
      <c r="B916" s="1"/>
      <c r="C916" s="1"/>
      <c r="D916" s="1"/>
      <c r="E916" s="1"/>
      <c r="F916" s="1"/>
      <c r="G916" s="1"/>
      <c r="H916" s="1"/>
      <c r="I916" s="1"/>
      <c r="J916" s="1"/>
      <c r="K916" s="1"/>
      <c r="L916" s="1"/>
      <c r="M916" s="1"/>
      <c r="N916" s="1"/>
      <c r="O916" s="1"/>
      <c r="P916" s="1"/>
      <c r="Q916" s="1"/>
      <c r="R916" s="1"/>
      <c r="S916" s="1"/>
      <c r="T916" s="1"/>
      <c r="U916" s="2"/>
      <c r="V916" s="1"/>
      <c r="W916" s="1"/>
      <c r="X916" s="1"/>
      <c r="Y916" s="1"/>
      <c r="Z916" s="1"/>
    </row>
    <row r="917" spans="1:26" ht="24.75" customHeight="1">
      <c r="A917" s="1"/>
      <c r="B917" s="1"/>
      <c r="C917" s="1"/>
      <c r="D917" s="1"/>
      <c r="E917" s="1"/>
      <c r="F917" s="1"/>
      <c r="G917" s="1"/>
      <c r="H917" s="1"/>
      <c r="I917" s="1"/>
      <c r="J917" s="1"/>
      <c r="K917" s="1"/>
      <c r="L917" s="1"/>
      <c r="M917" s="1"/>
      <c r="N917" s="1"/>
      <c r="O917" s="1"/>
      <c r="P917" s="1"/>
      <c r="Q917" s="1"/>
      <c r="R917" s="1"/>
      <c r="S917" s="1"/>
      <c r="T917" s="1"/>
      <c r="U917" s="2"/>
      <c r="V917" s="1"/>
      <c r="W917" s="1"/>
      <c r="X917" s="1"/>
      <c r="Y917" s="1"/>
      <c r="Z917" s="1"/>
    </row>
    <row r="918" spans="1:26" ht="24.75" customHeight="1">
      <c r="A918" s="1"/>
      <c r="B918" s="1"/>
      <c r="C918" s="1"/>
      <c r="D918" s="1"/>
      <c r="E918" s="1"/>
      <c r="F918" s="1"/>
      <c r="G918" s="1"/>
      <c r="H918" s="1"/>
      <c r="I918" s="1"/>
      <c r="J918" s="1"/>
      <c r="K918" s="1"/>
      <c r="L918" s="1"/>
      <c r="M918" s="1"/>
      <c r="N918" s="1"/>
      <c r="O918" s="1"/>
      <c r="P918" s="1"/>
      <c r="Q918" s="1"/>
      <c r="R918" s="1"/>
      <c r="S918" s="1"/>
      <c r="T918" s="1"/>
      <c r="U918" s="2"/>
      <c r="V918" s="1"/>
      <c r="W918" s="1"/>
      <c r="X918" s="1"/>
      <c r="Y918" s="1"/>
      <c r="Z918" s="1"/>
    </row>
    <row r="919" spans="1:26" ht="24.75" customHeight="1">
      <c r="A919" s="1"/>
      <c r="B919" s="1"/>
      <c r="C919" s="1"/>
      <c r="D919" s="1"/>
      <c r="E919" s="1"/>
      <c r="F919" s="1"/>
      <c r="G919" s="1"/>
      <c r="H919" s="1"/>
      <c r="I919" s="1"/>
      <c r="J919" s="1"/>
      <c r="K919" s="1"/>
      <c r="L919" s="1"/>
      <c r="M919" s="1"/>
      <c r="N919" s="1"/>
      <c r="O919" s="1"/>
      <c r="P919" s="1"/>
      <c r="Q919" s="1"/>
      <c r="R919" s="1"/>
      <c r="S919" s="1"/>
      <c r="T919" s="1"/>
      <c r="U919" s="2"/>
      <c r="V919" s="1"/>
      <c r="W919" s="1"/>
      <c r="X919" s="1"/>
      <c r="Y919" s="1"/>
      <c r="Z919" s="1"/>
    </row>
    <row r="920" spans="1:26" ht="24.75" customHeight="1">
      <c r="A920" s="1"/>
      <c r="B920" s="1"/>
      <c r="C920" s="1"/>
      <c r="D920" s="1"/>
      <c r="E920" s="1"/>
      <c r="F920" s="1"/>
      <c r="G920" s="1"/>
      <c r="H920" s="1"/>
      <c r="I920" s="1"/>
      <c r="J920" s="1"/>
      <c r="K920" s="1"/>
      <c r="L920" s="1"/>
      <c r="M920" s="1"/>
      <c r="N920" s="1"/>
      <c r="O920" s="1"/>
      <c r="P920" s="1"/>
      <c r="Q920" s="1"/>
      <c r="R920" s="1"/>
      <c r="S920" s="1"/>
      <c r="T920" s="1"/>
      <c r="U920" s="2"/>
      <c r="V920" s="1"/>
      <c r="W920" s="1"/>
      <c r="X920" s="1"/>
      <c r="Y920" s="1"/>
      <c r="Z920" s="1"/>
    </row>
    <row r="921" spans="1:26" ht="24.75" customHeight="1">
      <c r="A921" s="1"/>
      <c r="B921" s="1"/>
      <c r="C921" s="1"/>
      <c r="D921" s="1"/>
      <c r="E921" s="1"/>
      <c r="F921" s="1"/>
      <c r="G921" s="1"/>
      <c r="H921" s="1"/>
      <c r="I921" s="1"/>
      <c r="J921" s="1"/>
      <c r="K921" s="1"/>
      <c r="L921" s="1"/>
      <c r="M921" s="1"/>
      <c r="N921" s="1"/>
      <c r="O921" s="1"/>
      <c r="P921" s="1"/>
      <c r="Q921" s="1"/>
      <c r="R921" s="1"/>
      <c r="S921" s="1"/>
      <c r="T921" s="1"/>
      <c r="U921" s="2"/>
      <c r="V921" s="1"/>
      <c r="W921" s="1"/>
      <c r="X921" s="1"/>
      <c r="Y921" s="1"/>
      <c r="Z921" s="1"/>
    </row>
    <row r="922" spans="1:26" ht="24.75" customHeight="1">
      <c r="A922" s="1"/>
      <c r="B922" s="1"/>
      <c r="C922" s="1"/>
      <c r="D922" s="1"/>
      <c r="E922" s="1"/>
      <c r="F922" s="1"/>
      <c r="G922" s="1"/>
      <c r="H922" s="1"/>
      <c r="I922" s="1"/>
      <c r="J922" s="1"/>
      <c r="K922" s="1"/>
      <c r="L922" s="1"/>
      <c r="M922" s="1"/>
      <c r="N922" s="1"/>
      <c r="O922" s="1"/>
      <c r="P922" s="1"/>
      <c r="Q922" s="1"/>
      <c r="R922" s="1"/>
      <c r="S922" s="1"/>
      <c r="T922" s="1"/>
      <c r="U922" s="2"/>
      <c r="V922" s="1"/>
      <c r="W922" s="1"/>
      <c r="X922" s="1"/>
      <c r="Y922" s="1"/>
      <c r="Z922" s="1"/>
    </row>
    <row r="923" spans="1:26" ht="24.75" customHeight="1">
      <c r="A923" s="1"/>
      <c r="B923" s="1"/>
      <c r="C923" s="1"/>
      <c r="D923" s="1"/>
      <c r="E923" s="1"/>
      <c r="F923" s="1"/>
      <c r="G923" s="1"/>
      <c r="H923" s="1"/>
      <c r="I923" s="1"/>
      <c r="J923" s="1"/>
      <c r="K923" s="1"/>
      <c r="L923" s="1"/>
      <c r="M923" s="1"/>
      <c r="N923" s="1"/>
      <c r="O923" s="1"/>
      <c r="P923" s="1"/>
      <c r="Q923" s="1"/>
      <c r="R923" s="1"/>
      <c r="S923" s="1"/>
      <c r="T923" s="1"/>
      <c r="U923" s="2"/>
      <c r="V923" s="1"/>
      <c r="W923" s="1"/>
      <c r="X923" s="1"/>
      <c r="Y923" s="1"/>
      <c r="Z923" s="1"/>
    </row>
    <row r="924" spans="1:26" ht="24.75" customHeight="1">
      <c r="A924" s="1"/>
      <c r="B924" s="1"/>
      <c r="C924" s="1"/>
      <c r="D924" s="1"/>
      <c r="E924" s="1"/>
      <c r="F924" s="1"/>
      <c r="G924" s="1"/>
      <c r="H924" s="1"/>
      <c r="I924" s="1"/>
      <c r="J924" s="1"/>
      <c r="K924" s="1"/>
      <c r="L924" s="1"/>
      <c r="M924" s="1"/>
      <c r="N924" s="1"/>
      <c r="O924" s="1"/>
      <c r="P924" s="1"/>
      <c r="Q924" s="1"/>
      <c r="R924" s="1"/>
      <c r="S924" s="1"/>
      <c r="T924" s="1"/>
      <c r="U924" s="2"/>
      <c r="V924" s="1"/>
      <c r="W924" s="1"/>
      <c r="X924" s="1"/>
      <c r="Y924" s="1"/>
      <c r="Z924" s="1"/>
    </row>
    <row r="925" spans="1:26" ht="24.75" customHeight="1">
      <c r="A925" s="1"/>
      <c r="B925" s="1"/>
      <c r="C925" s="1"/>
      <c r="D925" s="1"/>
      <c r="E925" s="1"/>
      <c r="F925" s="1"/>
      <c r="G925" s="1"/>
      <c r="H925" s="1"/>
      <c r="I925" s="1"/>
      <c r="J925" s="1"/>
      <c r="K925" s="1"/>
      <c r="L925" s="1"/>
      <c r="M925" s="1"/>
      <c r="N925" s="1"/>
      <c r="O925" s="1"/>
      <c r="P925" s="1"/>
      <c r="Q925" s="1"/>
      <c r="R925" s="1"/>
      <c r="S925" s="1"/>
      <c r="T925" s="1"/>
      <c r="U925" s="2"/>
      <c r="V925" s="1"/>
      <c r="W925" s="1"/>
      <c r="X925" s="1"/>
      <c r="Y925" s="1"/>
      <c r="Z925" s="1"/>
    </row>
    <row r="926" spans="1:26" ht="24.75" customHeight="1">
      <c r="A926" s="1"/>
      <c r="B926" s="1"/>
      <c r="C926" s="1"/>
      <c r="D926" s="1"/>
      <c r="E926" s="1"/>
      <c r="F926" s="1"/>
      <c r="G926" s="1"/>
      <c r="H926" s="1"/>
      <c r="I926" s="1"/>
      <c r="J926" s="1"/>
      <c r="K926" s="1"/>
      <c r="L926" s="1"/>
      <c r="M926" s="1"/>
      <c r="N926" s="1"/>
      <c r="O926" s="1"/>
      <c r="P926" s="1"/>
      <c r="Q926" s="1"/>
      <c r="R926" s="1"/>
      <c r="S926" s="1"/>
      <c r="T926" s="1"/>
      <c r="U926" s="2"/>
      <c r="V926" s="1"/>
      <c r="W926" s="1"/>
      <c r="X926" s="1"/>
      <c r="Y926" s="1"/>
      <c r="Z926" s="1"/>
    </row>
    <row r="927" spans="1:26" ht="24.75" customHeight="1">
      <c r="A927" s="1"/>
      <c r="B927" s="1"/>
      <c r="C927" s="1"/>
      <c r="D927" s="1"/>
      <c r="E927" s="1"/>
      <c r="F927" s="1"/>
      <c r="G927" s="1"/>
      <c r="H927" s="1"/>
      <c r="I927" s="1"/>
      <c r="J927" s="1"/>
      <c r="K927" s="1"/>
      <c r="L927" s="1"/>
      <c r="M927" s="1"/>
      <c r="N927" s="1"/>
      <c r="O927" s="1"/>
      <c r="P927" s="1"/>
      <c r="Q927" s="1"/>
      <c r="R927" s="1"/>
      <c r="S927" s="1"/>
      <c r="T927" s="1"/>
      <c r="U927" s="2"/>
      <c r="V927" s="1"/>
      <c r="W927" s="1"/>
      <c r="X927" s="1"/>
      <c r="Y927" s="1"/>
      <c r="Z927" s="1"/>
    </row>
    <row r="928" spans="1:26" ht="24.75" customHeight="1">
      <c r="A928" s="1"/>
      <c r="B928" s="1"/>
      <c r="C928" s="1"/>
      <c r="D928" s="1"/>
      <c r="E928" s="1"/>
      <c r="F928" s="1"/>
      <c r="G928" s="1"/>
      <c r="H928" s="1"/>
      <c r="I928" s="1"/>
      <c r="J928" s="1"/>
      <c r="K928" s="1"/>
      <c r="L928" s="1"/>
      <c r="M928" s="1"/>
      <c r="N928" s="1"/>
      <c r="O928" s="1"/>
      <c r="P928" s="1"/>
      <c r="Q928" s="1"/>
      <c r="R928" s="1"/>
      <c r="S928" s="1"/>
      <c r="T928" s="1"/>
      <c r="U928" s="2"/>
      <c r="V928" s="1"/>
      <c r="W928" s="1"/>
      <c r="X928" s="1"/>
      <c r="Y928" s="1"/>
      <c r="Z928" s="1"/>
    </row>
    <row r="929" spans="1:26" ht="24.75" customHeight="1">
      <c r="A929" s="1"/>
      <c r="B929" s="1"/>
      <c r="C929" s="1"/>
      <c r="D929" s="1"/>
      <c r="E929" s="1"/>
      <c r="F929" s="1"/>
      <c r="G929" s="1"/>
      <c r="H929" s="1"/>
      <c r="I929" s="1"/>
      <c r="J929" s="1"/>
      <c r="K929" s="1"/>
      <c r="L929" s="1"/>
      <c r="M929" s="1"/>
      <c r="N929" s="1"/>
      <c r="O929" s="1"/>
      <c r="P929" s="1"/>
      <c r="Q929" s="1"/>
      <c r="R929" s="1"/>
      <c r="S929" s="1"/>
      <c r="T929" s="1"/>
      <c r="U929" s="2"/>
      <c r="V929" s="1"/>
      <c r="W929" s="1"/>
      <c r="X929" s="1"/>
      <c r="Y929" s="1"/>
      <c r="Z929" s="1"/>
    </row>
    <row r="930" spans="1:26" ht="24.75" customHeight="1">
      <c r="A930" s="1"/>
      <c r="B930" s="1"/>
      <c r="C930" s="1"/>
      <c r="D930" s="1"/>
      <c r="E930" s="1"/>
      <c r="F930" s="1"/>
      <c r="G930" s="1"/>
      <c r="H930" s="1"/>
      <c r="I930" s="1"/>
      <c r="J930" s="1"/>
      <c r="K930" s="1"/>
      <c r="L930" s="1"/>
      <c r="M930" s="1"/>
      <c r="N930" s="1"/>
      <c r="O930" s="1"/>
      <c r="P930" s="1"/>
      <c r="Q930" s="1"/>
      <c r="R930" s="1"/>
      <c r="S930" s="1"/>
      <c r="T930" s="1"/>
      <c r="U930" s="2"/>
      <c r="V930" s="1"/>
      <c r="W930" s="1"/>
      <c r="X930" s="1"/>
      <c r="Y930" s="1"/>
      <c r="Z930" s="1"/>
    </row>
    <row r="931" spans="1:26" ht="24.75" customHeight="1">
      <c r="A931" s="1"/>
      <c r="B931" s="1"/>
      <c r="C931" s="1"/>
      <c r="D931" s="1"/>
      <c r="E931" s="1"/>
      <c r="F931" s="1"/>
      <c r="G931" s="1"/>
      <c r="H931" s="1"/>
      <c r="I931" s="1"/>
      <c r="J931" s="1"/>
      <c r="K931" s="1"/>
      <c r="L931" s="1"/>
      <c r="M931" s="1"/>
      <c r="N931" s="1"/>
      <c r="O931" s="1"/>
      <c r="P931" s="1"/>
      <c r="Q931" s="1"/>
      <c r="R931" s="1"/>
      <c r="S931" s="1"/>
      <c r="T931" s="1"/>
      <c r="U931" s="2"/>
      <c r="V931" s="1"/>
      <c r="W931" s="1"/>
      <c r="X931" s="1"/>
      <c r="Y931" s="1"/>
      <c r="Z931" s="1"/>
    </row>
    <row r="932" spans="1:26" ht="24.75" customHeight="1">
      <c r="A932" s="1"/>
      <c r="B932" s="1"/>
      <c r="C932" s="1"/>
      <c r="D932" s="1"/>
      <c r="E932" s="1"/>
      <c r="F932" s="1"/>
      <c r="G932" s="1"/>
      <c r="H932" s="1"/>
      <c r="I932" s="1"/>
      <c r="J932" s="1"/>
      <c r="K932" s="1"/>
      <c r="L932" s="1"/>
      <c r="M932" s="1"/>
      <c r="N932" s="1"/>
      <c r="O932" s="1"/>
      <c r="P932" s="1"/>
      <c r="Q932" s="1"/>
      <c r="R932" s="1"/>
      <c r="S932" s="1"/>
      <c r="T932" s="1"/>
      <c r="U932" s="2"/>
      <c r="V932" s="1"/>
      <c r="W932" s="1"/>
      <c r="X932" s="1"/>
      <c r="Y932" s="1"/>
      <c r="Z932" s="1"/>
    </row>
    <row r="933" spans="1:26" ht="24.75" customHeight="1">
      <c r="A933" s="1"/>
      <c r="B933" s="1"/>
      <c r="C933" s="1"/>
      <c r="D933" s="1"/>
      <c r="E933" s="1"/>
      <c r="F933" s="1"/>
      <c r="G933" s="1"/>
      <c r="H933" s="1"/>
      <c r="I933" s="1"/>
      <c r="J933" s="1"/>
      <c r="K933" s="1"/>
      <c r="L933" s="1"/>
      <c r="M933" s="1"/>
      <c r="N933" s="1"/>
      <c r="O933" s="1"/>
      <c r="P933" s="1"/>
      <c r="Q933" s="1"/>
      <c r="R933" s="1"/>
      <c r="S933" s="1"/>
      <c r="T933" s="1"/>
      <c r="U933" s="2"/>
      <c r="V933" s="1"/>
      <c r="W933" s="1"/>
      <c r="X933" s="1"/>
      <c r="Y933" s="1"/>
      <c r="Z933" s="1"/>
    </row>
    <row r="934" spans="1:26" ht="24.75" customHeight="1">
      <c r="A934" s="1"/>
      <c r="B934" s="1"/>
      <c r="C934" s="1"/>
      <c r="D934" s="1"/>
      <c r="E934" s="1"/>
      <c r="F934" s="1"/>
      <c r="G934" s="1"/>
      <c r="H934" s="1"/>
      <c r="I934" s="1"/>
      <c r="J934" s="1"/>
      <c r="K934" s="1"/>
      <c r="L934" s="1"/>
      <c r="M934" s="1"/>
      <c r="N934" s="1"/>
      <c r="O934" s="1"/>
      <c r="P934" s="1"/>
      <c r="Q934" s="1"/>
      <c r="R934" s="1"/>
      <c r="S934" s="1"/>
      <c r="T934" s="1"/>
      <c r="U934" s="2"/>
      <c r="V934" s="1"/>
      <c r="W934" s="1"/>
      <c r="X934" s="1"/>
      <c r="Y934" s="1"/>
      <c r="Z934" s="1"/>
    </row>
    <row r="935" spans="1:26" ht="24.75" customHeight="1">
      <c r="A935" s="1"/>
      <c r="B935" s="1"/>
      <c r="C935" s="1"/>
      <c r="D935" s="1"/>
      <c r="E935" s="1"/>
      <c r="F935" s="1"/>
      <c r="G935" s="1"/>
      <c r="H935" s="1"/>
      <c r="I935" s="1"/>
      <c r="J935" s="1"/>
      <c r="K935" s="1"/>
      <c r="L935" s="1"/>
      <c r="M935" s="1"/>
      <c r="N935" s="1"/>
      <c r="O935" s="1"/>
      <c r="P935" s="1"/>
      <c r="Q935" s="1"/>
      <c r="R935" s="1"/>
      <c r="S935" s="1"/>
      <c r="T935" s="1"/>
      <c r="U935" s="2"/>
      <c r="V935" s="1"/>
      <c r="W935" s="1"/>
      <c r="X935" s="1"/>
      <c r="Y935" s="1"/>
      <c r="Z935" s="1"/>
    </row>
    <row r="936" spans="1:26" ht="24.75" customHeight="1">
      <c r="A936" s="1"/>
      <c r="B936" s="1"/>
      <c r="C936" s="1"/>
      <c r="D936" s="1"/>
      <c r="E936" s="1"/>
      <c r="F936" s="1"/>
      <c r="G936" s="1"/>
      <c r="H936" s="1"/>
      <c r="I936" s="1"/>
      <c r="J936" s="1"/>
      <c r="K936" s="1"/>
      <c r="L936" s="1"/>
      <c r="M936" s="1"/>
      <c r="N936" s="1"/>
      <c r="O936" s="1"/>
      <c r="P936" s="1"/>
      <c r="Q936" s="1"/>
      <c r="R936" s="1"/>
      <c r="S936" s="1"/>
      <c r="T936" s="1"/>
      <c r="U936" s="2"/>
      <c r="V936" s="1"/>
      <c r="W936" s="1"/>
      <c r="X936" s="1"/>
      <c r="Y936" s="1"/>
      <c r="Z936" s="1"/>
    </row>
    <row r="937" spans="1:26" ht="24.75" customHeight="1">
      <c r="A937" s="1"/>
      <c r="B937" s="1"/>
      <c r="C937" s="1"/>
      <c r="D937" s="1"/>
      <c r="E937" s="1"/>
      <c r="F937" s="1"/>
      <c r="G937" s="1"/>
      <c r="H937" s="1"/>
      <c r="I937" s="1"/>
      <c r="J937" s="1"/>
      <c r="K937" s="1"/>
      <c r="L937" s="1"/>
      <c r="M937" s="1"/>
      <c r="N937" s="1"/>
      <c r="O937" s="1"/>
      <c r="P937" s="1"/>
      <c r="Q937" s="1"/>
      <c r="R937" s="1"/>
      <c r="S937" s="1"/>
      <c r="T937" s="1"/>
      <c r="U937" s="2"/>
      <c r="V937" s="1"/>
      <c r="W937" s="1"/>
      <c r="X937" s="1"/>
      <c r="Y937" s="1"/>
      <c r="Z937" s="1"/>
    </row>
    <row r="938" spans="1:26" ht="24.75" customHeight="1">
      <c r="A938" s="1"/>
      <c r="B938" s="1"/>
      <c r="C938" s="1"/>
      <c r="D938" s="1"/>
      <c r="E938" s="1"/>
      <c r="F938" s="1"/>
      <c r="G938" s="1"/>
      <c r="H938" s="1"/>
      <c r="I938" s="1"/>
      <c r="J938" s="1"/>
      <c r="K938" s="1"/>
      <c r="L938" s="1"/>
      <c r="M938" s="1"/>
      <c r="N938" s="1"/>
      <c r="O938" s="1"/>
      <c r="P938" s="1"/>
      <c r="Q938" s="1"/>
      <c r="R938" s="1"/>
      <c r="S938" s="1"/>
      <c r="T938" s="1"/>
      <c r="U938" s="2"/>
      <c r="V938" s="1"/>
      <c r="W938" s="1"/>
      <c r="X938" s="1"/>
      <c r="Y938" s="1"/>
      <c r="Z938" s="1"/>
    </row>
    <row r="939" spans="1:26" ht="24.75" customHeight="1">
      <c r="A939" s="1"/>
      <c r="B939" s="1"/>
      <c r="C939" s="1"/>
      <c r="D939" s="1"/>
      <c r="E939" s="1"/>
      <c r="F939" s="1"/>
      <c r="G939" s="1"/>
      <c r="H939" s="1"/>
      <c r="I939" s="1"/>
      <c r="J939" s="1"/>
      <c r="K939" s="1"/>
      <c r="L939" s="1"/>
      <c r="M939" s="1"/>
      <c r="N939" s="1"/>
      <c r="O939" s="1"/>
      <c r="P939" s="1"/>
      <c r="Q939" s="1"/>
      <c r="R939" s="1"/>
      <c r="S939" s="1"/>
      <c r="T939" s="1"/>
      <c r="U939" s="2"/>
      <c r="V939" s="1"/>
      <c r="W939" s="1"/>
      <c r="X939" s="1"/>
      <c r="Y939" s="1"/>
      <c r="Z939" s="1"/>
    </row>
    <row r="940" spans="1:26" ht="24.75" customHeight="1">
      <c r="A940" s="1"/>
      <c r="B940" s="1"/>
      <c r="C940" s="1"/>
      <c r="D940" s="1"/>
      <c r="E940" s="1"/>
      <c r="F940" s="1"/>
      <c r="G940" s="1"/>
      <c r="H940" s="1"/>
      <c r="I940" s="1"/>
      <c r="J940" s="1"/>
      <c r="K940" s="1"/>
      <c r="L940" s="1"/>
      <c r="M940" s="1"/>
      <c r="N940" s="1"/>
      <c r="O940" s="1"/>
      <c r="P940" s="1"/>
      <c r="Q940" s="1"/>
      <c r="R940" s="1"/>
      <c r="S940" s="1"/>
      <c r="T940" s="1"/>
      <c r="U940" s="2"/>
      <c r="V940" s="1"/>
      <c r="W940" s="1"/>
      <c r="X940" s="1"/>
      <c r="Y940" s="1"/>
      <c r="Z940" s="1"/>
    </row>
    <row r="941" spans="1:26" ht="24.75" customHeight="1">
      <c r="A941" s="1"/>
      <c r="B941" s="1"/>
      <c r="C941" s="1"/>
      <c r="D941" s="1"/>
      <c r="E941" s="1"/>
      <c r="F941" s="1"/>
      <c r="G941" s="1"/>
      <c r="H941" s="1"/>
      <c r="I941" s="1"/>
      <c r="J941" s="1"/>
      <c r="K941" s="1"/>
      <c r="L941" s="1"/>
      <c r="M941" s="1"/>
      <c r="N941" s="1"/>
      <c r="O941" s="1"/>
      <c r="P941" s="1"/>
      <c r="Q941" s="1"/>
      <c r="R941" s="1"/>
      <c r="S941" s="1"/>
      <c r="T941" s="1"/>
      <c r="U941" s="2"/>
      <c r="V941" s="1"/>
      <c r="W941" s="1"/>
      <c r="X941" s="1"/>
      <c r="Y941" s="1"/>
      <c r="Z941" s="1"/>
    </row>
    <row r="942" spans="1:26" ht="24.75" customHeight="1">
      <c r="A942" s="1"/>
      <c r="B942" s="1"/>
      <c r="C942" s="1"/>
      <c r="D942" s="1"/>
      <c r="E942" s="1"/>
      <c r="F942" s="1"/>
      <c r="G942" s="1"/>
      <c r="H942" s="1"/>
      <c r="I942" s="1"/>
      <c r="J942" s="1"/>
      <c r="K942" s="1"/>
      <c r="L942" s="1"/>
      <c r="M942" s="1"/>
      <c r="N942" s="1"/>
      <c r="O942" s="1"/>
      <c r="P942" s="1"/>
      <c r="Q942" s="1"/>
      <c r="R942" s="1"/>
      <c r="S942" s="1"/>
      <c r="T942" s="1"/>
      <c r="U942" s="2"/>
      <c r="V942" s="1"/>
      <c r="W942" s="1"/>
      <c r="X942" s="1"/>
      <c r="Y942" s="1"/>
      <c r="Z942" s="1"/>
    </row>
    <row r="943" spans="1:26" ht="24.75" customHeight="1">
      <c r="A943" s="1"/>
      <c r="B943" s="1"/>
      <c r="C943" s="1"/>
      <c r="D943" s="1"/>
      <c r="E943" s="1"/>
      <c r="F943" s="1"/>
      <c r="G943" s="1"/>
      <c r="H943" s="1"/>
      <c r="I943" s="1"/>
      <c r="J943" s="1"/>
      <c r="K943" s="1"/>
      <c r="L943" s="1"/>
      <c r="M943" s="1"/>
      <c r="N943" s="1"/>
      <c r="O943" s="1"/>
      <c r="P943" s="1"/>
      <c r="Q943" s="1"/>
      <c r="R943" s="1"/>
      <c r="S943" s="1"/>
      <c r="T943" s="1"/>
      <c r="U943" s="2"/>
      <c r="V943" s="1"/>
      <c r="W943" s="1"/>
      <c r="X943" s="1"/>
      <c r="Y943" s="1"/>
      <c r="Z943" s="1"/>
    </row>
    <row r="944" spans="1:26" ht="24.75" customHeight="1">
      <c r="A944" s="1"/>
      <c r="B944" s="1"/>
      <c r="C944" s="1"/>
      <c r="D944" s="1"/>
      <c r="E944" s="1"/>
      <c r="F944" s="1"/>
      <c r="G944" s="1"/>
      <c r="H944" s="1"/>
      <c r="I944" s="1"/>
      <c r="J944" s="1"/>
      <c r="K944" s="1"/>
      <c r="L944" s="1"/>
      <c r="M944" s="1"/>
      <c r="N944" s="1"/>
      <c r="O944" s="1"/>
      <c r="P944" s="1"/>
      <c r="Q944" s="1"/>
      <c r="R944" s="1"/>
      <c r="S944" s="1"/>
      <c r="T944" s="1"/>
      <c r="U944" s="2"/>
      <c r="V944" s="1"/>
      <c r="W944" s="1"/>
      <c r="X944" s="1"/>
      <c r="Y944" s="1"/>
      <c r="Z944" s="1"/>
    </row>
    <row r="945" spans="1:26" ht="24.75" customHeight="1">
      <c r="A945" s="1"/>
      <c r="B945" s="1"/>
      <c r="C945" s="1"/>
      <c r="D945" s="1"/>
      <c r="E945" s="1"/>
      <c r="F945" s="1"/>
      <c r="G945" s="1"/>
      <c r="H945" s="1"/>
      <c r="I945" s="1"/>
      <c r="J945" s="1"/>
      <c r="K945" s="1"/>
      <c r="L945" s="1"/>
      <c r="M945" s="1"/>
      <c r="N945" s="1"/>
      <c r="O945" s="1"/>
      <c r="P945" s="1"/>
      <c r="Q945" s="1"/>
      <c r="R945" s="1"/>
      <c r="S945" s="1"/>
      <c r="T945" s="1"/>
      <c r="U945" s="2"/>
      <c r="V945" s="1"/>
      <c r="W945" s="1"/>
      <c r="X945" s="1"/>
      <c r="Y945" s="1"/>
      <c r="Z945" s="1"/>
    </row>
    <row r="946" spans="1:26" ht="24.75" customHeight="1">
      <c r="A946" s="1"/>
      <c r="B946" s="1"/>
      <c r="C946" s="1"/>
      <c r="D946" s="1"/>
      <c r="E946" s="1"/>
      <c r="F946" s="1"/>
      <c r="G946" s="1"/>
      <c r="H946" s="1"/>
      <c r="I946" s="1"/>
      <c r="J946" s="1"/>
      <c r="K946" s="1"/>
      <c r="L946" s="1"/>
      <c r="M946" s="1"/>
      <c r="N946" s="1"/>
      <c r="O946" s="1"/>
      <c r="P946" s="1"/>
      <c r="Q946" s="1"/>
      <c r="R946" s="1"/>
      <c r="S946" s="1"/>
      <c r="T946" s="1"/>
      <c r="U946" s="2"/>
      <c r="V946" s="1"/>
      <c r="W946" s="1"/>
      <c r="X946" s="1"/>
      <c r="Y946" s="1"/>
      <c r="Z946" s="1"/>
    </row>
    <row r="947" spans="1:26" ht="24.75" customHeight="1">
      <c r="A947" s="1"/>
      <c r="B947" s="1"/>
      <c r="C947" s="1"/>
      <c r="D947" s="1"/>
      <c r="E947" s="1"/>
      <c r="F947" s="1"/>
      <c r="G947" s="1"/>
      <c r="H947" s="1"/>
      <c r="I947" s="1"/>
      <c r="J947" s="1"/>
      <c r="K947" s="1"/>
      <c r="L947" s="1"/>
      <c r="M947" s="1"/>
      <c r="N947" s="1"/>
      <c r="O947" s="1"/>
      <c r="P947" s="1"/>
      <c r="Q947" s="1"/>
      <c r="R947" s="1"/>
      <c r="S947" s="1"/>
      <c r="T947" s="1"/>
      <c r="U947" s="2"/>
      <c r="V947" s="1"/>
      <c r="W947" s="1"/>
      <c r="X947" s="1"/>
      <c r="Y947" s="1"/>
      <c r="Z947" s="1"/>
    </row>
    <row r="948" spans="1:26" ht="24.75" customHeight="1">
      <c r="A948" s="1"/>
      <c r="B948" s="1"/>
      <c r="C948" s="1"/>
      <c r="D948" s="1"/>
      <c r="E948" s="1"/>
      <c r="F948" s="1"/>
      <c r="G948" s="1"/>
      <c r="H948" s="1"/>
      <c r="I948" s="1"/>
      <c r="J948" s="1"/>
      <c r="K948" s="1"/>
      <c r="L948" s="1"/>
      <c r="M948" s="1"/>
      <c r="N948" s="1"/>
      <c r="O948" s="1"/>
      <c r="P948" s="1"/>
      <c r="Q948" s="1"/>
      <c r="R948" s="1"/>
      <c r="S948" s="1"/>
      <c r="T948" s="1"/>
      <c r="U948" s="2"/>
      <c r="V948" s="1"/>
      <c r="W948" s="1"/>
      <c r="X948" s="1"/>
      <c r="Y948" s="1"/>
      <c r="Z948" s="1"/>
    </row>
    <row r="949" spans="1:26" ht="24.75" customHeight="1">
      <c r="A949" s="1"/>
      <c r="B949" s="1"/>
      <c r="C949" s="1"/>
      <c r="D949" s="1"/>
      <c r="E949" s="1"/>
      <c r="F949" s="1"/>
      <c r="G949" s="1"/>
      <c r="H949" s="1"/>
      <c r="I949" s="1"/>
      <c r="J949" s="1"/>
      <c r="K949" s="1"/>
      <c r="L949" s="1"/>
      <c r="M949" s="1"/>
      <c r="N949" s="1"/>
      <c r="O949" s="1"/>
      <c r="P949" s="1"/>
      <c r="Q949" s="1"/>
      <c r="R949" s="1"/>
      <c r="S949" s="1"/>
      <c r="T949" s="1"/>
      <c r="U949" s="2"/>
      <c r="V949" s="1"/>
      <c r="W949" s="1"/>
      <c r="X949" s="1"/>
      <c r="Y949" s="1"/>
      <c r="Z949" s="1"/>
    </row>
    <row r="950" spans="1:26" ht="24.75" customHeight="1">
      <c r="A950" s="1"/>
      <c r="B950" s="1"/>
      <c r="C950" s="1"/>
      <c r="D950" s="1"/>
      <c r="E950" s="1"/>
      <c r="F950" s="1"/>
      <c r="G950" s="1"/>
      <c r="H950" s="1"/>
      <c r="I950" s="1"/>
      <c r="J950" s="1"/>
      <c r="K950" s="1"/>
      <c r="L950" s="1"/>
      <c r="M950" s="1"/>
      <c r="N950" s="1"/>
      <c r="O950" s="1"/>
      <c r="P950" s="1"/>
      <c r="Q950" s="1"/>
      <c r="R950" s="1"/>
      <c r="S950" s="1"/>
      <c r="T950" s="1"/>
      <c r="U950" s="2"/>
      <c r="V950" s="1"/>
      <c r="W950" s="1"/>
      <c r="X950" s="1"/>
      <c r="Y950" s="1"/>
      <c r="Z950" s="1"/>
    </row>
    <row r="951" spans="1:26" ht="24.75" customHeight="1">
      <c r="A951" s="1"/>
      <c r="B951" s="1"/>
      <c r="C951" s="1"/>
      <c r="D951" s="1"/>
      <c r="E951" s="1"/>
      <c r="F951" s="1"/>
      <c r="G951" s="1"/>
      <c r="H951" s="1"/>
      <c r="I951" s="1"/>
      <c r="J951" s="1"/>
      <c r="K951" s="1"/>
      <c r="L951" s="1"/>
      <c r="M951" s="1"/>
      <c r="N951" s="1"/>
      <c r="O951" s="1"/>
      <c r="P951" s="1"/>
      <c r="Q951" s="1"/>
      <c r="R951" s="1"/>
      <c r="S951" s="1"/>
      <c r="T951" s="1"/>
      <c r="U951" s="2"/>
      <c r="V951" s="1"/>
      <c r="W951" s="1"/>
      <c r="X951" s="1"/>
      <c r="Y951" s="1"/>
      <c r="Z951" s="1"/>
    </row>
    <row r="952" spans="1:26" ht="24.75" customHeight="1">
      <c r="A952" s="1"/>
      <c r="B952" s="1"/>
      <c r="C952" s="1"/>
      <c r="D952" s="1"/>
      <c r="E952" s="1"/>
      <c r="F952" s="1"/>
      <c r="G952" s="1"/>
      <c r="H952" s="1"/>
      <c r="I952" s="1"/>
      <c r="J952" s="1"/>
      <c r="K952" s="1"/>
      <c r="L952" s="1"/>
      <c r="M952" s="1"/>
      <c r="N952" s="1"/>
      <c r="O952" s="1"/>
      <c r="P952" s="1"/>
      <c r="Q952" s="1"/>
      <c r="R952" s="1"/>
      <c r="S952" s="1"/>
      <c r="T952" s="1"/>
      <c r="U952" s="2"/>
      <c r="V952" s="1"/>
      <c r="W952" s="1"/>
      <c r="X952" s="1"/>
      <c r="Y952" s="1"/>
      <c r="Z952" s="1"/>
    </row>
    <row r="953" spans="1:26" ht="24.75" customHeight="1">
      <c r="A953" s="1"/>
      <c r="B953" s="1"/>
      <c r="C953" s="1"/>
      <c r="D953" s="1"/>
      <c r="E953" s="1"/>
      <c r="F953" s="1"/>
      <c r="G953" s="1"/>
      <c r="H953" s="1"/>
      <c r="I953" s="1"/>
      <c r="J953" s="1"/>
      <c r="K953" s="1"/>
      <c r="L953" s="1"/>
      <c r="M953" s="1"/>
      <c r="N953" s="1"/>
      <c r="O953" s="1"/>
      <c r="P953" s="1"/>
      <c r="Q953" s="1"/>
      <c r="R953" s="1"/>
      <c r="S953" s="1"/>
      <c r="T953" s="1"/>
      <c r="U953" s="2"/>
      <c r="V953" s="1"/>
      <c r="W953" s="1"/>
      <c r="X953" s="1"/>
      <c r="Y953" s="1"/>
      <c r="Z953" s="1"/>
    </row>
    <row r="954" spans="1:26" ht="24.75" customHeight="1">
      <c r="A954" s="1"/>
      <c r="B954" s="1"/>
      <c r="C954" s="1"/>
      <c r="D954" s="1"/>
      <c r="E954" s="1"/>
      <c r="F954" s="1"/>
      <c r="G954" s="1"/>
      <c r="H954" s="1"/>
      <c r="I954" s="1"/>
      <c r="J954" s="1"/>
      <c r="K954" s="1"/>
      <c r="L954" s="1"/>
      <c r="M954" s="1"/>
      <c r="N954" s="1"/>
      <c r="O954" s="1"/>
      <c r="P954" s="1"/>
      <c r="Q954" s="1"/>
      <c r="R954" s="1"/>
      <c r="S954" s="1"/>
      <c r="T954" s="1"/>
      <c r="U954" s="2"/>
      <c r="V954" s="1"/>
      <c r="W954" s="1"/>
      <c r="X954" s="1"/>
      <c r="Y954" s="1"/>
      <c r="Z954" s="1"/>
    </row>
    <row r="955" spans="1:26" ht="24.75" customHeight="1">
      <c r="A955" s="1"/>
      <c r="B955" s="1"/>
      <c r="C955" s="1"/>
      <c r="D955" s="1"/>
      <c r="E955" s="1"/>
      <c r="F955" s="1"/>
      <c r="G955" s="1"/>
      <c r="H955" s="1"/>
      <c r="I955" s="1"/>
      <c r="J955" s="1"/>
      <c r="K955" s="1"/>
      <c r="L955" s="1"/>
      <c r="M955" s="1"/>
      <c r="N955" s="1"/>
      <c r="O955" s="1"/>
      <c r="P955" s="1"/>
      <c r="Q955" s="1"/>
      <c r="R955" s="1"/>
      <c r="S955" s="1"/>
      <c r="T955" s="1"/>
      <c r="U955" s="2"/>
      <c r="V955" s="1"/>
      <c r="W955" s="1"/>
      <c r="X955" s="1"/>
      <c r="Y955" s="1"/>
      <c r="Z955" s="1"/>
    </row>
    <row r="956" spans="1:26" ht="24.75" customHeight="1">
      <c r="A956" s="1"/>
      <c r="B956" s="1"/>
      <c r="C956" s="1"/>
      <c r="D956" s="1"/>
      <c r="E956" s="1"/>
      <c r="F956" s="1"/>
      <c r="G956" s="1"/>
      <c r="H956" s="1"/>
      <c r="I956" s="1"/>
      <c r="J956" s="1"/>
      <c r="K956" s="1"/>
      <c r="L956" s="1"/>
      <c r="M956" s="1"/>
      <c r="N956" s="1"/>
      <c r="O956" s="1"/>
      <c r="P956" s="1"/>
      <c r="Q956" s="1"/>
      <c r="R956" s="1"/>
      <c r="S956" s="1"/>
      <c r="T956" s="1"/>
      <c r="U956" s="2"/>
      <c r="V956" s="1"/>
      <c r="W956" s="1"/>
      <c r="X956" s="1"/>
      <c r="Y956" s="1"/>
      <c r="Z956" s="1"/>
    </row>
    <row r="957" spans="1:26" ht="24.75" customHeight="1">
      <c r="A957" s="1"/>
      <c r="B957" s="1"/>
      <c r="C957" s="1"/>
      <c r="D957" s="1"/>
      <c r="E957" s="1"/>
      <c r="F957" s="1"/>
      <c r="G957" s="1"/>
      <c r="H957" s="1"/>
      <c r="I957" s="1"/>
      <c r="J957" s="1"/>
      <c r="K957" s="1"/>
      <c r="L957" s="1"/>
      <c r="M957" s="1"/>
      <c r="N957" s="1"/>
      <c r="O957" s="1"/>
      <c r="P957" s="1"/>
      <c r="Q957" s="1"/>
      <c r="R957" s="1"/>
      <c r="S957" s="1"/>
      <c r="T957" s="1"/>
      <c r="U957" s="2"/>
      <c r="V957" s="1"/>
      <c r="W957" s="1"/>
      <c r="X957" s="1"/>
      <c r="Y957" s="1"/>
      <c r="Z957" s="1"/>
    </row>
    <row r="958" spans="1:26" ht="24.75" customHeight="1">
      <c r="A958" s="1"/>
      <c r="B958" s="1"/>
      <c r="C958" s="1"/>
      <c r="D958" s="1"/>
      <c r="E958" s="1"/>
      <c r="F958" s="1"/>
      <c r="G958" s="1"/>
      <c r="H958" s="1"/>
      <c r="I958" s="1"/>
      <c r="J958" s="1"/>
      <c r="K958" s="1"/>
      <c r="L958" s="1"/>
      <c r="M958" s="1"/>
      <c r="N958" s="1"/>
      <c r="O958" s="1"/>
      <c r="P958" s="1"/>
      <c r="Q958" s="1"/>
      <c r="R958" s="1"/>
      <c r="S958" s="1"/>
      <c r="T958" s="1"/>
      <c r="U958" s="2"/>
      <c r="V958" s="1"/>
      <c r="W958" s="1"/>
      <c r="X958" s="1"/>
      <c r="Y958" s="1"/>
      <c r="Z958" s="1"/>
    </row>
    <row r="959" spans="1:26" ht="24.75" customHeight="1">
      <c r="A959" s="1"/>
      <c r="B959" s="1"/>
      <c r="C959" s="1"/>
      <c r="D959" s="1"/>
      <c r="E959" s="1"/>
      <c r="F959" s="1"/>
      <c r="G959" s="1"/>
      <c r="H959" s="1"/>
      <c r="I959" s="1"/>
      <c r="J959" s="1"/>
      <c r="K959" s="1"/>
      <c r="L959" s="1"/>
      <c r="M959" s="1"/>
      <c r="N959" s="1"/>
      <c r="O959" s="1"/>
      <c r="P959" s="1"/>
      <c r="Q959" s="1"/>
      <c r="R959" s="1"/>
      <c r="S959" s="1"/>
      <c r="T959" s="1"/>
      <c r="U959" s="2"/>
      <c r="V959" s="1"/>
      <c r="W959" s="1"/>
      <c r="X959" s="1"/>
      <c r="Y959" s="1"/>
      <c r="Z959" s="1"/>
    </row>
    <row r="960" spans="1:26" ht="24.75" customHeight="1">
      <c r="A960" s="1"/>
      <c r="B960" s="1"/>
      <c r="C960" s="1"/>
      <c r="D960" s="1"/>
      <c r="E960" s="1"/>
      <c r="F960" s="1"/>
      <c r="G960" s="1"/>
      <c r="H960" s="1"/>
      <c r="I960" s="1"/>
      <c r="J960" s="1"/>
      <c r="K960" s="1"/>
      <c r="L960" s="1"/>
      <c r="M960" s="1"/>
      <c r="N960" s="1"/>
      <c r="O960" s="1"/>
      <c r="P960" s="1"/>
      <c r="Q960" s="1"/>
      <c r="R960" s="1"/>
      <c r="S960" s="1"/>
      <c r="T960" s="1"/>
      <c r="U960" s="2"/>
      <c r="V960" s="1"/>
      <c r="W960" s="1"/>
      <c r="X960" s="1"/>
      <c r="Y960" s="1"/>
      <c r="Z960" s="1"/>
    </row>
    <row r="961" spans="1:26" ht="24.75" customHeight="1">
      <c r="A961" s="1"/>
      <c r="B961" s="1"/>
      <c r="C961" s="1"/>
      <c r="D961" s="1"/>
      <c r="E961" s="1"/>
      <c r="F961" s="1"/>
      <c r="G961" s="1"/>
      <c r="H961" s="1"/>
      <c r="I961" s="1"/>
      <c r="J961" s="1"/>
      <c r="K961" s="1"/>
      <c r="L961" s="1"/>
      <c r="M961" s="1"/>
      <c r="N961" s="1"/>
      <c r="O961" s="1"/>
      <c r="P961" s="1"/>
      <c r="Q961" s="1"/>
      <c r="R961" s="1"/>
      <c r="S961" s="1"/>
      <c r="T961" s="1"/>
      <c r="U961" s="2"/>
      <c r="V961" s="1"/>
      <c r="W961" s="1"/>
      <c r="X961" s="1"/>
      <c r="Y961" s="1"/>
      <c r="Z961" s="1"/>
    </row>
    <row r="962" spans="1:26" ht="24.75" customHeight="1">
      <c r="A962" s="1"/>
      <c r="B962" s="1"/>
      <c r="C962" s="1"/>
      <c r="D962" s="1"/>
      <c r="E962" s="1"/>
      <c r="F962" s="1"/>
      <c r="G962" s="1"/>
      <c r="H962" s="1"/>
      <c r="I962" s="1"/>
      <c r="J962" s="1"/>
      <c r="K962" s="1"/>
      <c r="L962" s="1"/>
      <c r="M962" s="1"/>
      <c r="N962" s="1"/>
      <c r="O962" s="1"/>
      <c r="P962" s="1"/>
      <c r="Q962" s="1"/>
      <c r="R962" s="1"/>
      <c r="S962" s="1"/>
      <c r="T962" s="1"/>
      <c r="U962" s="2"/>
      <c r="V962" s="1"/>
      <c r="W962" s="1"/>
      <c r="X962" s="1"/>
      <c r="Y962" s="1"/>
      <c r="Z962" s="1"/>
    </row>
    <row r="963" spans="1:26" ht="24.75" customHeight="1">
      <c r="A963" s="1"/>
      <c r="B963" s="1"/>
      <c r="C963" s="1"/>
      <c r="D963" s="1"/>
      <c r="E963" s="1"/>
      <c r="F963" s="1"/>
      <c r="G963" s="1"/>
      <c r="H963" s="1"/>
      <c r="I963" s="1"/>
      <c r="J963" s="1"/>
      <c r="K963" s="1"/>
      <c r="L963" s="1"/>
      <c r="M963" s="1"/>
      <c r="N963" s="1"/>
      <c r="O963" s="1"/>
      <c r="P963" s="1"/>
      <c r="Q963" s="1"/>
      <c r="R963" s="1"/>
      <c r="S963" s="1"/>
      <c r="T963" s="1"/>
      <c r="U963" s="2"/>
      <c r="V963" s="1"/>
      <c r="W963" s="1"/>
      <c r="X963" s="1"/>
      <c r="Y963" s="1"/>
      <c r="Z963" s="1"/>
    </row>
    <row r="964" spans="1:26" ht="24.75" customHeight="1">
      <c r="A964" s="1"/>
      <c r="B964" s="1"/>
      <c r="C964" s="1"/>
      <c r="D964" s="1"/>
      <c r="E964" s="1"/>
      <c r="F964" s="1"/>
      <c r="G964" s="1"/>
      <c r="H964" s="1"/>
      <c r="I964" s="1"/>
      <c r="J964" s="1"/>
      <c r="K964" s="1"/>
      <c r="L964" s="1"/>
      <c r="M964" s="1"/>
      <c r="N964" s="1"/>
      <c r="O964" s="1"/>
      <c r="P964" s="1"/>
      <c r="Q964" s="1"/>
      <c r="R964" s="1"/>
      <c r="S964" s="1"/>
      <c r="T964" s="1"/>
      <c r="U964" s="2"/>
      <c r="V964" s="1"/>
      <c r="W964" s="1"/>
      <c r="X964" s="1"/>
      <c r="Y964" s="1"/>
      <c r="Z964" s="1"/>
    </row>
    <row r="965" spans="1:26" ht="24.75" customHeight="1">
      <c r="A965" s="1"/>
      <c r="B965" s="1"/>
      <c r="C965" s="1"/>
      <c r="D965" s="1"/>
      <c r="E965" s="1"/>
      <c r="F965" s="1"/>
      <c r="G965" s="1"/>
      <c r="H965" s="1"/>
      <c r="I965" s="1"/>
      <c r="J965" s="1"/>
      <c r="K965" s="1"/>
      <c r="L965" s="1"/>
      <c r="M965" s="1"/>
      <c r="N965" s="1"/>
      <c r="O965" s="1"/>
      <c r="P965" s="1"/>
      <c r="Q965" s="1"/>
      <c r="R965" s="1"/>
      <c r="S965" s="1"/>
      <c r="T965" s="1"/>
      <c r="U965" s="2"/>
      <c r="V965" s="1"/>
      <c r="W965" s="1"/>
      <c r="X965" s="1"/>
      <c r="Y965" s="1"/>
      <c r="Z965" s="1"/>
    </row>
    <row r="966" spans="1:26" ht="24.75" customHeight="1">
      <c r="A966" s="1"/>
      <c r="B966" s="1"/>
      <c r="C966" s="1"/>
      <c r="D966" s="1"/>
      <c r="E966" s="1"/>
      <c r="F966" s="1"/>
      <c r="G966" s="1"/>
      <c r="H966" s="1"/>
      <c r="I966" s="1"/>
      <c r="J966" s="1"/>
      <c r="K966" s="1"/>
      <c r="L966" s="1"/>
      <c r="M966" s="1"/>
      <c r="N966" s="1"/>
      <c r="O966" s="1"/>
      <c r="P966" s="1"/>
      <c r="Q966" s="1"/>
      <c r="R966" s="1"/>
      <c r="S966" s="1"/>
      <c r="T966" s="1"/>
      <c r="U966" s="2"/>
      <c r="V966" s="1"/>
      <c r="W966" s="1"/>
      <c r="X966" s="1"/>
      <c r="Y966" s="1"/>
      <c r="Z966" s="1"/>
    </row>
    <row r="967" spans="1:26" ht="24.75" customHeight="1">
      <c r="A967" s="1"/>
      <c r="B967" s="1"/>
      <c r="C967" s="1"/>
      <c r="D967" s="1"/>
      <c r="E967" s="1"/>
      <c r="F967" s="1"/>
      <c r="G967" s="1"/>
      <c r="H967" s="1"/>
      <c r="I967" s="1"/>
      <c r="J967" s="1"/>
      <c r="K967" s="1"/>
      <c r="L967" s="1"/>
      <c r="M967" s="1"/>
      <c r="N967" s="1"/>
      <c r="O967" s="1"/>
      <c r="P967" s="1"/>
      <c r="Q967" s="1"/>
      <c r="R967" s="1"/>
      <c r="S967" s="1"/>
      <c r="T967" s="1"/>
      <c r="U967" s="2"/>
      <c r="V967" s="1"/>
      <c r="W967" s="1"/>
      <c r="X967" s="1"/>
      <c r="Y967" s="1"/>
      <c r="Z967" s="1"/>
    </row>
    <row r="968" spans="1:26" ht="24.75" customHeight="1">
      <c r="A968" s="1"/>
      <c r="B968" s="1"/>
      <c r="C968" s="1"/>
      <c r="D968" s="1"/>
      <c r="E968" s="1"/>
      <c r="F968" s="1"/>
      <c r="G968" s="1"/>
      <c r="H968" s="1"/>
      <c r="I968" s="1"/>
      <c r="J968" s="1"/>
      <c r="K968" s="1"/>
      <c r="L968" s="1"/>
      <c r="M968" s="1"/>
      <c r="N968" s="1"/>
      <c r="O968" s="1"/>
      <c r="P968" s="1"/>
      <c r="Q968" s="1"/>
      <c r="R968" s="1"/>
      <c r="S968" s="1"/>
      <c r="T968" s="1"/>
      <c r="U968" s="2"/>
      <c r="V968" s="1"/>
      <c r="W968" s="1"/>
      <c r="X968" s="1"/>
      <c r="Y968" s="1"/>
      <c r="Z968" s="1"/>
    </row>
    <row r="969" spans="1:26" ht="24.75" customHeight="1">
      <c r="A969" s="1"/>
      <c r="B969" s="1"/>
      <c r="C969" s="1"/>
      <c r="D969" s="1"/>
      <c r="E969" s="1"/>
      <c r="F969" s="1"/>
      <c r="G969" s="1"/>
      <c r="H969" s="1"/>
      <c r="I969" s="1"/>
      <c r="J969" s="1"/>
      <c r="K969" s="1"/>
      <c r="L969" s="1"/>
      <c r="M969" s="1"/>
      <c r="N969" s="1"/>
      <c r="O969" s="1"/>
      <c r="P969" s="1"/>
      <c r="Q969" s="1"/>
      <c r="R969" s="1"/>
      <c r="S969" s="1"/>
      <c r="T969" s="1"/>
      <c r="U969" s="2"/>
      <c r="V969" s="1"/>
      <c r="W969" s="1"/>
      <c r="X969" s="1"/>
      <c r="Y969" s="1"/>
      <c r="Z969" s="1"/>
    </row>
    <row r="970" spans="1:26" ht="24.75" customHeight="1">
      <c r="A970" s="1"/>
      <c r="B970" s="1"/>
      <c r="C970" s="1"/>
      <c r="D970" s="1"/>
      <c r="E970" s="1"/>
      <c r="F970" s="1"/>
      <c r="G970" s="1"/>
      <c r="H970" s="1"/>
      <c r="I970" s="1"/>
      <c r="J970" s="1"/>
      <c r="K970" s="1"/>
      <c r="L970" s="1"/>
      <c r="M970" s="1"/>
      <c r="N970" s="1"/>
      <c r="O970" s="1"/>
      <c r="P970" s="1"/>
      <c r="Q970" s="1"/>
      <c r="R970" s="1"/>
      <c r="S970" s="1"/>
      <c r="T970" s="1"/>
      <c r="U970" s="2"/>
      <c r="V970" s="1"/>
      <c r="W970" s="1"/>
      <c r="X970" s="1"/>
      <c r="Y970" s="1"/>
      <c r="Z970" s="1"/>
    </row>
    <row r="971" spans="1:26" ht="24.75" customHeight="1">
      <c r="A971" s="1"/>
      <c r="B971" s="1"/>
      <c r="C971" s="1"/>
      <c r="D971" s="1"/>
      <c r="E971" s="1"/>
      <c r="F971" s="1"/>
      <c r="G971" s="1"/>
      <c r="H971" s="1"/>
      <c r="I971" s="1"/>
      <c r="J971" s="1"/>
      <c r="K971" s="1"/>
      <c r="L971" s="1"/>
      <c r="M971" s="1"/>
      <c r="N971" s="1"/>
      <c r="O971" s="1"/>
      <c r="P971" s="1"/>
      <c r="Q971" s="1"/>
      <c r="R971" s="1"/>
      <c r="S971" s="1"/>
      <c r="T971" s="1"/>
      <c r="U971" s="2"/>
      <c r="V971" s="1"/>
      <c r="W971" s="1"/>
      <c r="X971" s="1"/>
      <c r="Y971" s="1"/>
      <c r="Z971" s="1"/>
    </row>
    <row r="972" spans="1:26" ht="24.75" customHeight="1">
      <c r="A972" s="1"/>
      <c r="B972" s="1"/>
      <c r="C972" s="1"/>
      <c r="D972" s="1"/>
      <c r="E972" s="1"/>
      <c r="F972" s="1"/>
      <c r="G972" s="1"/>
      <c r="H972" s="1"/>
      <c r="I972" s="1"/>
      <c r="J972" s="1"/>
      <c r="K972" s="1"/>
      <c r="L972" s="1"/>
      <c r="M972" s="1"/>
      <c r="N972" s="1"/>
      <c r="O972" s="1"/>
      <c r="P972" s="1"/>
      <c r="Q972" s="1"/>
      <c r="R972" s="1"/>
      <c r="S972" s="1"/>
      <c r="T972" s="1"/>
      <c r="U972" s="2"/>
      <c r="V972" s="1"/>
      <c r="W972" s="1"/>
      <c r="X972" s="1"/>
      <c r="Y972" s="1"/>
      <c r="Z972" s="1"/>
    </row>
    <row r="973" spans="1:26" ht="24.75" customHeight="1">
      <c r="A973" s="1"/>
      <c r="B973" s="1"/>
      <c r="C973" s="1"/>
      <c r="D973" s="1"/>
      <c r="E973" s="1"/>
      <c r="F973" s="1"/>
      <c r="G973" s="1"/>
      <c r="H973" s="1"/>
      <c r="I973" s="1"/>
      <c r="J973" s="1"/>
      <c r="K973" s="1"/>
      <c r="L973" s="1"/>
      <c r="M973" s="1"/>
      <c r="N973" s="1"/>
      <c r="O973" s="1"/>
      <c r="P973" s="1"/>
      <c r="Q973" s="1"/>
      <c r="R973" s="1"/>
      <c r="S973" s="1"/>
      <c r="T973" s="1"/>
      <c r="U973" s="2"/>
      <c r="V973" s="1"/>
      <c r="W973" s="1"/>
      <c r="X973" s="1"/>
      <c r="Y973" s="1"/>
      <c r="Z973" s="1"/>
    </row>
    <row r="974" spans="1:26" ht="24.75" customHeight="1">
      <c r="A974" s="1"/>
      <c r="B974" s="1"/>
      <c r="C974" s="1"/>
      <c r="D974" s="1"/>
      <c r="E974" s="1"/>
      <c r="F974" s="1"/>
      <c r="G974" s="1"/>
      <c r="H974" s="1"/>
      <c r="I974" s="1"/>
      <c r="J974" s="1"/>
      <c r="K974" s="1"/>
      <c r="L974" s="1"/>
      <c r="M974" s="1"/>
      <c r="N974" s="1"/>
      <c r="O974" s="1"/>
      <c r="P974" s="1"/>
      <c r="Q974" s="1"/>
      <c r="R974" s="1"/>
      <c r="S974" s="1"/>
      <c r="T974" s="1"/>
      <c r="U974" s="2"/>
      <c r="V974" s="1"/>
      <c r="W974" s="1"/>
      <c r="X974" s="1"/>
      <c r="Y974" s="1"/>
      <c r="Z974" s="1"/>
    </row>
    <row r="975" spans="1:26" ht="24.75" customHeight="1">
      <c r="A975" s="1"/>
      <c r="B975" s="1"/>
      <c r="C975" s="1"/>
      <c r="D975" s="1"/>
      <c r="E975" s="1"/>
      <c r="F975" s="1"/>
      <c r="G975" s="1"/>
      <c r="H975" s="1"/>
      <c r="I975" s="1"/>
      <c r="J975" s="1"/>
      <c r="K975" s="1"/>
      <c r="L975" s="1"/>
      <c r="M975" s="1"/>
      <c r="N975" s="1"/>
      <c r="O975" s="1"/>
      <c r="P975" s="1"/>
      <c r="Q975" s="1"/>
      <c r="R975" s="1"/>
      <c r="S975" s="1"/>
      <c r="T975" s="1"/>
      <c r="U975" s="2"/>
      <c r="V975" s="1"/>
      <c r="W975" s="1"/>
      <c r="X975" s="1"/>
      <c r="Y975" s="1"/>
      <c r="Z975" s="1"/>
    </row>
    <row r="976" spans="1:26" ht="24.75" customHeight="1">
      <c r="A976" s="1"/>
      <c r="B976" s="1"/>
      <c r="C976" s="1"/>
      <c r="D976" s="1"/>
      <c r="E976" s="1"/>
      <c r="F976" s="1"/>
      <c r="G976" s="1"/>
      <c r="H976" s="1"/>
      <c r="I976" s="1"/>
      <c r="J976" s="1"/>
      <c r="K976" s="1"/>
      <c r="L976" s="1"/>
      <c r="M976" s="1"/>
      <c r="N976" s="1"/>
      <c r="O976" s="1"/>
      <c r="P976" s="1"/>
      <c r="Q976" s="1"/>
      <c r="R976" s="1"/>
      <c r="S976" s="1"/>
      <c r="T976" s="1"/>
      <c r="U976" s="2"/>
      <c r="V976" s="1"/>
      <c r="W976" s="1"/>
      <c r="X976" s="1"/>
      <c r="Y976" s="1"/>
      <c r="Z976" s="1"/>
    </row>
    <row r="977" spans="1:26" ht="24.75" customHeight="1">
      <c r="A977" s="1"/>
      <c r="B977" s="1"/>
      <c r="C977" s="1"/>
      <c r="D977" s="1"/>
      <c r="E977" s="1"/>
      <c r="F977" s="1"/>
      <c r="G977" s="1"/>
      <c r="H977" s="1"/>
      <c r="I977" s="1"/>
      <c r="J977" s="1"/>
      <c r="K977" s="1"/>
      <c r="L977" s="1"/>
      <c r="M977" s="1"/>
      <c r="N977" s="1"/>
      <c r="O977" s="1"/>
      <c r="P977" s="1"/>
      <c r="Q977" s="1"/>
      <c r="R977" s="1"/>
      <c r="S977" s="1"/>
      <c r="T977" s="1"/>
      <c r="U977" s="2"/>
      <c r="V977" s="1"/>
      <c r="W977" s="1"/>
      <c r="X977" s="1"/>
      <c r="Y977" s="1"/>
      <c r="Z977" s="1"/>
    </row>
    <row r="978" spans="1:26" ht="24.75" customHeight="1">
      <c r="A978" s="1"/>
      <c r="B978" s="1"/>
      <c r="C978" s="1"/>
      <c r="D978" s="1"/>
      <c r="E978" s="1"/>
      <c r="F978" s="1"/>
      <c r="G978" s="1"/>
      <c r="H978" s="1"/>
      <c r="I978" s="1"/>
      <c r="J978" s="1"/>
      <c r="K978" s="1"/>
      <c r="L978" s="1"/>
      <c r="M978" s="1"/>
      <c r="N978" s="1"/>
      <c r="O978" s="1"/>
      <c r="P978" s="1"/>
      <c r="Q978" s="1"/>
      <c r="R978" s="1"/>
      <c r="S978" s="1"/>
      <c r="T978" s="1"/>
      <c r="U978" s="2"/>
      <c r="V978" s="1"/>
      <c r="W978" s="1"/>
      <c r="X978" s="1"/>
      <c r="Y978" s="1"/>
      <c r="Z978" s="1"/>
    </row>
    <row r="979" spans="1:26" ht="24.75" customHeight="1">
      <c r="A979" s="1"/>
      <c r="B979" s="1"/>
      <c r="C979" s="1"/>
      <c r="D979" s="1"/>
      <c r="E979" s="1"/>
      <c r="F979" s="1"/>
      <c r="G979" s="1"/>
      <c r="H979" s="1"/>
      <c r="I979" s="1"/>
      <c r="J979" s="1"/>
      <c r="K979" s="1"/>
      <c r="L979" s="1"/>
      <c r="M979" s="1"/>
      <c r="N979" s="1"/>
      <c r="O979" s="1"/>
      <c r="P979" s="1"/>
      <c r="Q979" s="1"/>
      <c r="R979" s="1"/>
      <c r="S979" s="1"/>
      <c r="T979" s="1"/>
      <c r="U979" s="2"/>
      <c r="V979" s="1"/>
      <c r="W979" s="1"/>
      <c r="X979" s="1"/>
      <c r="Y979" s="1"/>
      <c r="Z979" s="1"/>
    </row>
    <row r="980" spans="1:26" ht="24.75" customHeight="1">
      <c r="A980" s="1"/>
      <c r="B980" s="1"/>
      <c r="C980" s="1"/>
      <c r="D980" s="1"/>
      <c r="E980" s="1"/>
      <c r="F980" s="1"/>
      <c r="G980" s="1"/>
      <c r="H980" s="1"/>
      <c r="I980" s="1"/>
      <c r="J980" s="1"/>
      <c r="K980" s="1"/>
      <c r="L980" s="1"/>
      <c r="M980" s="1"/>
      <c r="N980" s="1"/>
      <c r="O980" s="1"/>
      <c r="P980" s="1"/>
      <c r="Q980" s="1"/>
      <c r="R980" s="1"/>
      <c r="S980" s="1"/>
      <c r="T980" s="1"/>
      <c r="U980" s="2"/>
      <c r="V980" s="1"/>
      <c r="W980" s="1"/>
      <c r="X980" s="1"/>
      <c r="Y980" s="1"/>
      <c r="Z980" s="1"/>
    </row>
    <row r="981" spans="1:26" ht="24.75" customHeight="1">
      <c r="A981" s="1"/>
      <c r="B981" s="1"/>
      <c r="C981" s="1"/>
      <c r="D981" s="1"/>
      <c r="E981" s="1"/>
      <c r="F981" s="1"/>
      <c r="G981" s="1"/>
      <c r="H981" s="1"/>
      <c r="I981" s="1"/>
      <c r="J981" s="1"/>
      <c r="K981" s="1"/>
      <c r="L981" s="1"/>
      <c r="M981" s="1"/>
      <c r="N981" s="1"/>
      <c r="O981" s="1"/>
      <c r="P981" s="1"/>
      <c r="Q981" s="1"/>
      <c r="R981" s="1"/>
      <c r="S981" s="1"/>
      <c r="T981" s="1"/>
      <c r="U981" s="2"/>
      <c r="V981" s="1"/>
      <c r="W981" s="1"/>
      <c r="X981" s="1"/>
      <c r="Y981" s="1"/>
      <c r="Z981" s="1"/>
    </row>
    <row r="982" spans="1:26" ht="24.75" customHeight="1">
      <c r="A982" s="1"/>
      <c r="B982" s="1"/>
      <c r="C982" s="1"/>
      <c r="D982" s="1"/>
      <c r="E982" s="1"/>
      <c r="F982" s="1"/>
      <c r="G982" s="1"/>
      <c r="H982" s="1"/>
      <c r="I982" s="1"/>
      <c r="J982" s="1"/>
      <c r="K982" s="1"/>
      <c r="L982" s="1"/>
      <c r="M982" s="1"/>
      <c r="N982" s="1"/>
      <c r="O982" s="1"/>
      <c r="P982" s="1"/>
      <c r="Q982" s="1"/>
      <c r="R982" s="1"/>
      <c r="S982" s="1"/>
      <c r="T982" s="1"/>
      <c r="U982" s="2"/>
      <c r="V982" s="1"/>
      <c r="W982" s="1"/>
      <c r="X982" s="1"/>
      <c r="Y982" s="1"/>
      <c r="Z982" s="1"/>
    </row>
    <row r="983" spans="1:26" ht="24.75" customHeight="1">
      <c r="A983" s="1"/>
      <c r="B983" s="1"/>
      <c r="C983" s="1"/>
      <c r="D983" s="1"/>
      <c r="E983" s="1"/>
      <c r="F983" s="1"/>
      <c r="G983" s="1"/>
      <c r="H983" s="1"/>
      <c r="I983" s="1"/>
      <c r="J983" s="1"/>
      <c r="K983" s="1"/>
      <c r="L983" s="1"/>
      <c r="M983" s="1"/>
      <c r="N983" s="1"/>
      <c r="O983" s="1"/>
      <c r="P983" s="1"/>
      <c r="Q983" s="1"/>
      <c r="R983" s="1"/>
      <c r="S983" s="1"/>
      <c r="T983" s="1"/>
      <c r="U983" s="2"/>
      <c r="V983" s="1"/>
      <c r="W983" s="1"/>
      <c r="X983" s="1"/>
      <c r="Y983" s="1"/>
      <c r="Z983" s="1"/>
    </row>
    <row r="984" spans="1:26" ht="24.75" customHeight="1">
      <c r="A984" s="1"/>
      <c r="B984" s="1"/>
      <c r="C984" s="1"/>
      <c r="D984" s="1"/>
      <c r="E984" s="1"/>
      <c r="F984" s="1"/>
      <c r="G984" s="1"/>
      <c r="H984" s="1"/>
      <c r="I984" s="1"/>
      <c r="J984" s="1"/>
      <c r="K984" s="1"/>
      <c r="L984" s="1"/>
      <c r="M984" s="1"/>
      <c r="N984" s="1"/>
      <c r="O984" s="1"/>
      <c r="P984" s="1"/>
      <c r="Q984" s="1"/>
      <c r="R984" s="1"/>
      <c r="S984" s="1"/>
      <c r="T984" s="1"/>
      <c r="U984" s="2"/>
      <c r="V984" s="1"/>
      <c r="W984" s="1"/>
      <c r="X984" s="1"/>
      <c r="Y984" s="1"/>
      <c r="Z984" s="1"/>
    </row>
    <row r="985" spans="1:26" ht="24.75" customHeight="1">
      <c r="A985" s="1"/>
      <c r="B985" s="1"/>
      <c r="C985" s="1"/>
      <c r="D985" s="1"/>
      <c r="E985" s="1"/>
      <c r="F985" s="1"/>
      <c r="G985" s="1"/>
      <c r="H985" s="1"/>
      <c r="I985" s="1"/>
      <c r="J985" s="1"/>
      <c r="K985" s="1"/>
      <c r="L985" s="1"/>
      <c r="M985" s="1"/>
      <c r="N985" s="1"/>
      <c r="O985" s="1"/>
      <c r="P985" s="1"/>
      <c r="Q985" s="1"/>
      <c r="R985" s="1"/>
      <c r="S985" s="1"/>
      <c r="T985" s="1"/>
      <c r="U985" s="2"/>
      <c r="V985" s="1"/>
      <c r="W985" s="1"/>
      <c r="X985" s="1"/>
      <c r="Y985" s="1"/>
      <c r="Z985" s="1"/>
    </row>
    <row r="986" spans="1:26" ht="24.75" customHeight="1">
      <c r="A986" s="1"/>
      <c r="B986" s="1"/>
      <c r="C986" s="1"/>
      <c r="D986" s="1"/>
      <c r="E986" s="1"/>
      <c r="F986" s="1"/>
      <c r="G986" s="1"/>
      <c r="H986" s="1"/>
      <c r="I986" s="1"/>
      <c r="J986" s="1"/>
      <c r="K986" s="1"/>
      <c r="L986" s="1"/>
      <c r="M986" s="1"/>
      <c r="N986" s="1"/>
      <c r="O986" s="1"/>
      <c r="P986" s="1"/>
      <c r="Q986" s="1"/>
      <c r="R986" s="1"/>
      <c r="S986" s="1"/>
      <c r="T986" s="1"/>
      <c r="U986" s="2"/>
      <c r="V986" s="1"/>
      <c r="W986" s="1"/>
      <c r="X986" s="1"/>
      <c r="Y986" s="1"/>
      <c r="Z986" s="1"/>
    </row>
    <row r="987" spans="1:26" ht="24.75" customHeight="1">
      <c r="A987" s="1"/>
      <c r="B987" s="1"/>
      <c r="C987" s="1"/>
      <c r="D987" s="1"/>
      <c r="E987" s="1"/>
      <c r="F987" s="1"/>
      <c r="G987" s="1"/>
      <c r="H987" s="1"/>
      <c r="I987" s="1"/>
      <c r="J987" s="1"/>
      <c r="K987" s="1"/>
      <c r="L987" s="1"/>
      <c r="M987" s="1"/>
      <c r="N987" s="1"/>
      <c r="O987" s="1"/>
      <c r="P987" s="1"/>
      <c r="Q987" s="1"/>
      <c r="R987" s="1"/>
      <c r="S987" s="1"/>
      <c r="T987" s="1"/>
      <c r="U987" s="2"/>
      <c r="V987" s="1"/>
      <c r="W987" s="1"/>
      <c r="X987" s="1"/>
      <c r="Y987" s="1"/>
      <c r="Z987" s="1"/>
    </row>
    <row r="988" spans="1:26" ht="24.75" customHeight="1">
      <c r="A988" s="1"/>
      <c r="B988" s="1"/>
      <c r="C988" s="1"/>
      <c r="D988" s="1"/>
      <c r="E988" s="1"/>
      <c r="F988" s="1"/>
      <c r="G988" s="1"/>
      <c r="H988" s="1"/>
      <c r="I988" s="1"/>
      <c r="J988" s="1"/>
      <c r="K988" s="1"/>
      <c r="L988" s="1"/>
      <c r="M988" s="1"/>
      <c r="N988" s="1"/>
      <c r="O988" s="1"/>
      <c r="P988" s="1"/>
      <c r="Q988" s="1"/>
      <c r="R988" s="1"/>
      <c r="S988" s="1"/>
      <c r="T988" s="1"/>
      <c r="U988" s="2"/>
      <c r="V988" s="1"/>
      <c r="W988" s="1"/>
      <c r="X988" s="1"/>
      <c r="Y988" s="1"/>
      <c r="Z988" s="1"/>
    </row>
    <row r="989" spans="1:26" ht="24.75" customHeight="1">
      <c r="A989" s="1"/>
      <c r="B989" s="1"/>
      <c r="C989" s="1"/>
      <c r="D989" s="1"/>
      <c r="E989" s="1"/>
      <c r="F989" s="1"/>
      <c r="G989" s="1"/>
      <c r="H989" s="1"/>
      <c r="I989" s="1"/>
      <c r="J989" s="1"/>
      <c r="K989" s="1"/>
      <c r="L989" s="1"/>
      <c r="M989" s="1"/>
      <c r="N989" s="1"/>
      <c r="O989" s="1"/>
      <c r="P989" s="1"/>
      <c r="Q989" s="1"/>
      <c r="R989" s="1"/>
      <c r="S989" s="1"/>
      <c r="T989" s="1"/>
      <c r="U989" s="2"/>
      <c r="V989" s="1"/>
      <c r="W989" s="1"/>
      <c r="X989" s="1"/>
      <c r="Y989" s="1"/>
      <c r="Z989" s="1"/>
    </row>
    <row r="990" spans="1:26" ht="24.75" customHeight="1">
      <c r="A990" s="1"/>
      <c r="B990" s="1"/>
      <c r="C990" s="1"/>
      <c r="D990" s="1"/>
      <c r="E990" s="1"/>
      <c r="F990" s="1"/>
      <c r="G990" s="1"/>
      <c r="H990" s="1"/>
      <c r="I990" s="1"/>
      <c r="J990" s="1"/>
      <c r="K990" s="1"/>
      <c r="L990" s="1"/>
      <c r="M990" s="1"/>
      <c r="N990" s="1"/>
      <c r="O990" s="1"/>
      <c r="P990" s="1"/>
      <c r="Q990" s="1"/>
      <c r="R990" s="1"/>
      <c r="S990" s="1"/>
      <c r="T990" s="1"/>
      <c r="U990" s="2"/>
      <c r="V990" s="1"/>
      <c r="W990" s="1"/>
      <c r="X990" s="1"/>
      <c r="Y990" s="1"/>
      <c r="Z990" s="1"/>
    </row>
    <row r="991" spans="1:26" ht="24.75" customHeight="1">
      <c r="A991" s="1"/>
      <c r="B991" s="1"/>
      <c r="C991" s="1"/>
      <c r="D991" s="1"/>
      <c r="E991" s="1"/>
      <c r="F991" s="1"/>
      <c r="G991" s="1"/>
      <c r="H991" s="1"/>
      <c r="I991" s="1"/>
      <c r="J991" s="1"/>
      <c r="K991" s="1"/>
      <c r="L991" s="1"/>
      <c r="M991" s="1"/>
      <c r="N991" s="1"/>
      <c r="O991" s="1"/>
      <c r="P991" s="1"/>
      <c r="Q991" s="1"/>
      <c r="R991" s="1"/>
      <c r="S991" s="1"/>
      <c r="T991" s="1"/>
      <c r="U991" s="2"/>
      <c r="V991" s="1"/>
      <c r="W991" s="1"/>
      <c r="X991" s="1"/>
      <c r="Y991" s="1"/>
      <c r="Z991" s="1"/>
    </row>
    <row r="992" spans="1:26" ht="24.75" customHeight="1">
      <c r="A992" s="1"/>
      <c r="B992" s="1"/>
      <c r="C992" s="1"/>
      <c r="D992" s="1"/>
      <c r="E992" s="1"/>
      <c r="F992" s="1"/>
      <c r="G992" s="1"/>
      <c r="H992" s="1"/>
      <c r="I992" s="1"/>
      <c r="J992" s="1"/>
      <c r="K992" s="1"/>
      <c r="L992" s="1"/>
      <c r="M992" s="1"/>
      <c r="N992" s="1"/>
      <c r="O992" s="1"/>
      <c r="P992" s="1"/>
      <c r="Q992" s="1"/>
      <c r="R992" s="1"/>
      <c r="S992" s="1"/>
      <c r="T992" s="1"/>
      <c r="U992" s="2"/>
      <c r="V992" s="1"/>
      <c r="W992" s="1"/>
      <c r="X992" s="1"/>
      <c r="Y992" s="1"/>
      <c r="Z992" s="1"/>
    </row>
    <row r="993" spans="1:26" ht="24.75" customHeight="1">
      <c r="A993" s="1"/>
      <c r="B993" s="1"/>
      <c r="C993" s="1"/>
      <c r="D993" s="1"/>
      <c r="E993" s="1"/>
      <c r="F993" s="1"/>
      <c r="G993" s="1"/>
      <c r="H993" s="1"/>
      <c r="I993" s="1"/>
      <c r="J993" s="1"/>
      <c r="K993" s="1"/>
      <c r="L993" s="1"/>
      <c r="M993" s="1"/>
      <c r="N993" s="1"/>
      <c r="O993" s="1"/>
      <c r="P993" s="1"/>
      <c r="Q993" s="1"/>
      <c r="R993" s="1"/>
      <c r="S993" s="1"/>
      <c r="T993" s="1"/>
      <c r="U993" s="2"/>
      <c r="V993" s="1"/>
      <c r="W993" s="1"/>
      <c r="X993" s="1"/>
      <c r="Y993" s="1"/>
      <c r="Z993" s="1"/>
    </row>
    <row r="994" spans="1:26" ht="24.75" customHeight="1">
      <c r="A994" s="1"/>
      <c r="B994" s="1"/>
      <c r="C994" s="1"/>
      <c r="D994" s="1"/>
      <c r="E994" s="1"/>
      <c r="F994" s="1"/>
      <c r="G994" s="1"/>
      <c r="H994" s="1"/>
      <c r="I994" s="1"/>
      <c r="J994" s="1"/>
      <c r="K994" s="1"/>
      <c r="L994" s="1"/>
      <c r="M994" s="1"/>
      <c r="N994" s="1"/>
      <c r="O994" s="1"/>
      <c r="P994" s="1"/>
      <c r="Q994" s="1"/>
      <c r="R994" s="1"/>
      <c r="S994" s="1"/>
      <c r="T994" s="1"/>
      <c r="U994" s="2"/>
      <c r="V994" s="1"/>
      <c r="W994" s="1"/>
      <c r="X994" s="1"/>
      <c r="Y994" s="1"/>
      <c r="Z994" s="1"/>
    </row>
    <row r="995" spans="1:26" ht="24.75" customHeight="1">
      <c r="A995" s="1"/>
      <c r="B995" s="1"/>
      <c r="C995" s="1"/>
      <c r="D995" s="1"/>
      <c r="E995" s="1"/>
      <c r="F995" s="1"/>
      <c r="G995" s="1"/>
      <c r="H995" s="1"/>
      <c r="I995" s="1"/>
      <c r="J995" s="1"/>
      <c r="K995" s="1"/>
      <c r="L995" s="1"/>
      <c r="M995" s="1"/>
      <c r="N995" s="1"/>
      <c r="O995" s="1"/>
      <c r="P995" s="1"/>
      <c r="Q995" s="1"/>
      <c r="R995" s="1"/>
      <c r="S995" s="1"/>
      <c r="T995" s="1"/>
      <c r="U995" s="2"/>
      <c r="V995" s="1"/>
      <c r="W995" s="1"/>
      <c r="X995" s="1"/>
      <c r="Y995" s="1"/>
      <c r="Z995" s="1"/>
    </row>
    <row r="996" spans="1:26" ht="24.75" customHeight="1">
      <c r="A996" s="1"/>
      <c r="B996" s="1"/>
      <c r="C996" s="1"/>
      <c r="D996" s="1"/>
      <c r="E996" s="1"/>
      <c r="F996" s="1"/>
      <c r="G996" s="1"/>
      <c r="H996" s="1"/>
      <c r="I996" s="1"/>
      <c r="J996" s="1"/>
      <c r="K996" s="1"/>
      <c r="L996" s="1"/>
      <c r="M996" s="1"/>
      <c r="N996" s="1"/>
      <c r="O996" s="1"/>
      <c r="P996" s="1"/>
      <c r="Q996" s="1"/>
      <c r="R996" s="1"/>
      <c r="S996" s="1"/>
      <c r="T996" s="1"/>
      <c r="U996" s="2"/>
      <c r="V996" s="1"/>
      <c r="W996" s="1"/>
      <c r="X996" s="1"/>
      <c r="Y996" s="1"/>
      <c r="Z996" s="1"/>
    </row>
    <row r="997" spans="1:26" ht="24.75" customHeight="1">
      <c r="A997" s="1"/>
      <c r="B997" s="1"/>
      <c r="C997" s="1"/>
      <c r="D997" s="1"/>
      <c r="E997" s="1"/>
      <c r="F997" s="1"/>
      <c r="G997" s="1"/>
      <c r="H997" s="1"/>
      <c r="I997" s="1"/>
      <c r="J997" s="1"/>
      <c r="K997" s="1"/>
      <c r="L997" s="1"/>
      <c r="M997" s="1"/>
      <c r="N997" s="1"/>
      <c r="O997" s="1"/>
      <c r="P997" s="1"/>
      <c r="Q997" s="1"/>
      <c r="R997" s="1"/>
      <c r="S997" s="1"/>
      <c r="T997" s="1"/>
      <c r="U997" s="2"/>
      <c r="V997" s="1"/>
      <c r="W997" s="1"/>
      <c r="X997" s="1"/>
      <c r="Y997" s="1"/>
      <c r="Z997" s="1"/>
    </row>
    <row r="998" spans="1:26" ht="24.75" customHeight="1">
      <c r="A998" s="1"/>
      <c r="B998" s="1"/>
      <c r="C998" s="1"/>
      <c r="D998" s="1"/>
      <c r="E998" s="1"/>
      <c r="F998" s="1"/>
      <c r="G998" s="1"/>
      <c r="H998" s="1"/>
      <c r="I998" s="1"/>
      <c r="J998" s="1"/>
      <c r="K998" s="1"/>
      <c r="L998" s="1"/>
      <c r="M998" s="1"/>
      <c r="N998" s="1"/>
      <c r="O998" s="1"/>
      <c r="P998" s="1"/>
      <c r="Q998" s="1"/>
      <c r="R998" s="1"/>
      <c r="S998" s="1"/>
      <c r="T998" s="1"/>
      <c r="U998" s="2"/>
      <c r="V998" s="1"/>
      <c r="W998" s="1"/>
      <c r="X998" s="1"/>
      <c r="Y998" s="1"/>
      <c r="Z998" s="1"/>
    </row>
    <row r="999" spans="1:26" ht="24.75" customHeight="1">
      <c r="A999" s="1"/>
      <c r="B999" s="1"/>
      <c r="C999" s="1"/>
      <c r="D999" s="1"/>
      <c r="E999" s="1"/>
      <c r="F999" s="1"/>
      <c r="G999" s="1"/>
      <c r="H999" s="1"/>
      <c r="I999" s="1"/>
      <c r="J999" s="1"/>
      <c r="K999" s="1"/>
      <c r="L999" s="1"/>
      <c r="M999" s="1"/>
      <c r="N999" s="1"/>
      <c r="O999" s="1"/>
      <c r="P999" s="1"/>
      <c r="Q999" s="1"/>
      <c r="R999" s="1"/>
      <c r="S999" s="1"/>
      <c r="T999" s="1"/>
      <c r="U999" s="2"/>
      <c r="V999" s="1"/>
      <c r="W999" s="1"/>
      <c r="X999" s="1"/>
      <c r="Y999" s="1"/>
      <c r="Z999" s="1"/>
    </row>
    <row r="1000" spans="1:26" ht="24.75" customHeight="1">
      <c r="A1000" s="1"/>
      <c r="B1000" s="1"/>
      <c r="C1000" s="1"/>
      <c r="D1000" s="1"/>
      <c r="E1000" s="1"/>
      <c r="F1000" s="1"/>
      <c r="G1000" s="1"/>
      <c r="H1000" s="1"/>
      <c r="I1000" s="1"/>
      <c r="J1000" s="1"/>
      <c r="K1000" s="1"/>
      <c r="L1000" s="1"/>
      <c r="M1000" s="1"/>
      <c r="N1000" s="1"/>
      <c r="O1000" s="1"/>
      <c r="P1000" s="1"/>
      <c r="Q1000" s="1"/>
      <c r="R1000" s="1"/>
      <c r="S1000" s="1"/>
      <c r="T1000" s="1"/>
      <c r="U1000" s="2"/>
      <c r="V1000" s="1"/>
      <c r="W1000" s="1"/>
      <c r="X1000" s="1"/>
      <c r="Y1000" s="1"/>
      <c r="Z1000" s="1"/>
    </row>
  </sheetData>
  <mergeCells count="101">
    <mergeCell ref="B204:B206"/>
    <mergeCell ref="C204:C206"/>
    <mergeCell ref="B209:D209"/>
    <mergeCell ref="A210:D210"/>
    <mergeCell ref="A135:A158"/>
    <mergeCell ref="B135:B136"/>
    <mergeCell ref="B138:B144"/>
    <mergeCell ref="B145:B146"/>
    <mergeCell ref="B147:B149"/>
    <mergeCell ref="B158:D158"/>
    <mergeCell ref="A159:A209"/>
    <mergeCell ref="C135:C136"/>
    <mergeCell ref="C138:C144"/>
    <mergeCell ref="C145:C146"/>
    <mergeCell ref="C147:C149"/>
    <mergeCell ref="C150:C153"/>
    <mergeCell ref="B173:B179"/>
    <mergeCell ref="C173:C179"/>
    <mergeCell ref="B180:B183"/>
    <mergeCell ref="C180:C183"/>
    <mergeCell ref="B184:B186"/>
    <mergeCell ref="C184:C186"/>
    <mergeCell ref="B187:B192"/>
    <mergeCell ref="C187:C192"/>
    <mergeCell ref="B150:B153"/>
    <mergeCell ref="B159:B162"/>
    <mergeCell ref="C159:C162"/>
    <mergeCell ref="B163:B167"/>
    <mergeCell ref="C163:C167"/>
    <mergeCell ref="B168:B172"/>
    <mergeCell ref="C168:C172"/>
    <mergeCell ref="B202:B203"/>
    <mergeCell ref="C202:C203"/>
    <mergeCell ref="B194:B199"/>
    <mergeCell ref="C194:C199"/>
    <mergeCell ref="B200:B201"/>
    <mergeCell ref="C200:C201"/>
    <mergeCell ref="C94:C103"/>
    <mergeCell ref="B104:B105"/>
    <mergeCell ref="C104:C105"/>
    <mergeCell ref="B106:B110"/>
    <mergeCell ref="C106:C110"/>
    <mergeCell ref="B111:B113"/>
    <mergeCell ref="C111:C113"/>
    <mergeCell ref="B94:B103"/>
    <mergeCell ref="A94:A134"/>
    <mergeCell ref="B114:B118"/>
    <mergeCell ref="C114:C118"/>
    <mergeCell ref="B119:B120"/>
    <mergeCell ref="C119:C120"/>
    <mergeCell ref="B122:B125"/>
    <mergeCell ref="C122:C125"/>
    <mergeCell ref="B128:B130"/>
    <mergeCell ref="C128:C130"/>
    <mergeCell ref="B131:B132"/>
    <mergeCell ref="C131:C132"/>
    <mergeCell ref="B134:D134"/>
    <mergeCell ref="B79:B85"/>
    <mergeCell ref="C79:C85"/>
    <mergeCell ref="B75:B78"/>
    <mergeCell ref="B57:B66"/>
    <mergeCell ref="C57:C66"/>
    <mergeCell ref="A69:A93"/>
    <mergeCell ref="B70:B74"/>
    <mergeCell ref="C70:C74"/>
    <mergeCell ref="C75:C78"/>
    <mergeCell ref="B86:B89"/>
    <mergeCell ref="C86:C89"/>
    <mergeCell ref="B93:D93"/>
    <mergeCell ref="B47:B56"/>
    <mergeCell ref="C47:C56"/>
    <mergeCell ref="C6:C23"/>
    <mergeCell ref="B24:B25"/>
    <mergeCell ref="C24:C25"/>
    <mergeCell ref="Q4:Q5"/>
    <mergeCell ref="R4:R5"/>
    <mergeCell ref="S4:S5"/>
    <mergeCell ref="A1:E1"/>
    <mergeCell ref="A4:A5"/>
    <mergeCell ref="C4:C5"/>
    <mergeCell ref="D4:D5"/>
    <mergeCell ref="E4:E5"/>
    <mergeCell ref="F4:F5"/>
    <mergeCell ref="A6:A68"/>
    <mergeCell ref="B68:D68"/>
    <mergeCell ref="B4:B5"/>
    <mergeCell ref="B6:B23"/>
    <mergeCell ref="B26:B36"/>
    <mergeCell ref="C26:C36"/>
    <mergeCell ref="B37:B39"/>
    <mergeCell ref="C37:C39"/>
    <mergeCell ref="B40:B46"/>
    <mergeCell ref="U4:U5"/>
    <mergeCell ref="G4:H4"/>
    <mergeCell ref="I4:I5"/>
    <mergeCell ref="J4:L4"/>
    <mergeCell ref="M4:M5"/>
    <mergeCell ref="N4:N5"/>
    <mergeCell ref="O4:O5"/>
    <mergeCell ref="P4:P5"/>
    <mergeCell ref="C40:C46"/>
  </mergeCells>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dimension ref="A1:Z1000"/>
  <sheetViews>
    <sheetView topLeftCell="B1" zoomScale="95" zoomScaleNormal="95" workbookViewId="0">
      <pane ySplit="5" topLeftCell="A55" activePane="bottomLeft" state="frozen"/>
      <selection pane="bottomLeft" activeCell="I58" sqref="I58"/>
    </sheetView>
  </sheetViews>
  <sheetFormatPr defaultColWidth="14.42578125" defaultRowHeight="15" customHeight="1"/>
  <cols>
    <col min="1" max="1" width="6.7109375" style="3" customWidth="1"/>
    <col min="2" max="2" width="7.28515625" style="3" customWidth="1"/>
    <col min="3" max="3" width="9.140625" style="3" customWidth="1"/>
    <col min="4" max="4" width="5.85546875" style="3" customWidth="1"/>
    <col min="5" max="5" width="29.42578125" style="3" customWidth="1"/>
    <col min="6" max="6" width="7.42578125" style="3" customWidth="1"/>
    <col min="7" max="7" width="12.5703125" style="3" customWidth="1"/>
    <col min="8" max="8" width="11.28515625" style="3" customWidth="1"/>
    <col min="9" max="9" width="10.5703125" style="3" customWidth="1"/>
    <col min="10" max="10" width="11.85546875" style="3" customWidth="1"/>
    <col min="11" max="11" width="13.42578125" style="3" customWidth="1"/>
    <col min="12" max="12" width="9.5703125" style="3" customWidth="1"/>
    <col min="13" max="13" width="10.7109375" style="3" customWidth="1"/>
    <col min="14" max="14" width="9.7109375" style="3" customWidth="1"/>
    <col min="15" max="15" width="9.28515625" style="3" customWidth="1"/>
    <col min="16" max="16" width="10.7109375" style="3" customWidth="1"/>
    <col min="17" max="17" width="8.28515625" style="3" customWidth="1"/>
    <col min="18" max="18" width="10.7109375" style="3" customWidth="1"/>
    <col min="19" max="19" width="10.42578125" style="3" customWidth="1"/>
    <col min="20" max="20" width="11.42578125" style="3" customWidth="1"/>
    <col min="21" max="21" width="68.42578125" style="61" customWidth="1"/>
    <col min="22" max="16384" width="14.42578125" style="3"/>
  </cols>
  <sheetData>
    <row r="1" spans="1:26" ht="23.25" customHeight="1">
      <c r="A1" s="172" t="s">
        <v>514</v>
      </c>
      <c r="B1" s="173"/>
      <c r="C1" s="173"/>
      <c r="D1" s="173"/>
      <c r="E1" s="174"/>
      <c r="F1" s="1"/>
      <c r="G1" s="1"/>
      <c r="H1" s="1"/>
      <c r="I1" s="1"/>
      <c r="J1" s="1"/>
      <c r="K1" s="1"/>
      <c r="L1" s="1"/>
      <c r="M1" s="1"/>
      <c r="N1" s="1"/>
      <c r="O1" s="1"/>
      <c r="P1" s="1"/>
      <c r="Q1" s="1"/>
      <c r="R1" s="1"/>
      <c r="S1" s="1"/>
      <c r="T1" s="71"/>
      <c r="U1" s="76"/>
      <c r="V1" s="1"/>
      <c r="W1" s="1"/>
      <c r="X1" s="1"/>
      <c r="Y1" s="1"/>
      <c r="Z1" s="1"/>
    </row>
    <row r="2" spans="1:26" ht="39.75" hidden="1" customHeight="1">
      <c r="A2" s="38"/>
      <c r="B2" s="1"/>
      <c r="C2" s="1"/>
      <c r="D2" s="1"/>
      <c r="E2" s="1"/>
      <c r="F2" s="1"/>
      <c r="G2" s="1"/>
      <c r="H2" s="1"/>
      <c r="I2" s="1"/>
      <c r="J2" s="1"/>
      <c r="K2" s="1"/>
      <c r="L2" s="1"/>
      <c r="M2" s="1"/>
      <c r="N2" s="1"/>
      <c r="O2" s="1"/>
      <c r="P2" s="1"/>
      <c r="Q2" s="1"/>
      <c r="R2" s="1"/>
      <c r="S2" s="1"/>
      <c r="T2" s="71"/>
      <c r="U2" s="76"/>
      <c r="V2" s="1"/>
      <c r="W2" s="1"/>
      <c r="X2" s="1"/>
      <c r="Y2" s="1"/>
      <c r="Z2" s="1"/>
    </row>
    <row r="3" spans="1:26" ht="39.75" hidden="1" customHeight="1">
      <c r="A3" s="14"/>
      <c r="B3" s="4"/>
      <c r="C3" s="4"/>
      <c r="D3" s="4"/>
      <c r="E3" s="4"/>
      <c r="F3" s="4"/>
      <c r="G3" s="4"/>
      <c r="H3" s="4"/>
      <c r="I3" s="4"/>
      <c r="J3" s="4"/>
      <c r="K3" s="4"/>
      <c r="L3" s="4"/>
      <c r="M3" s="4"/>
      <c r="N3" s="4"/>
      <c r="O3" s="4"/>
      <c r="P3" s="4"/>
      <c r="Q3" s="4"/>
      <c r="R3" s="4"/>
      <c r="S3" s="4"/>
      <c r="T3" s="4"/>
      <c r="U3" s="77" t="s">
        <v>1</v>
      </c>
      <c r="V3" s="1"/>
      <c r="W3" s="1"/>
      <c r="X3" s="1"/>
      <c r="Y3" s="1"/>
      <c r="Z3" s="1"/>
    </row>
    <row r="4" spans="1:26" ht="39.75" customHeight="1">
      <c r="A4" s="38" t="s">
        <v>515</v>
      </c>
      <c r="B4" s="168" t="s">
        <v>3</v>
      </c>
      <c r="C4" s="168" t="s">
        <v>4</v>
      </c>
      <c r="D4" s="168" t="s">
        <v>5</v>
      </c>
      <c r="E4" s="168" t="s">
        <v>6</v>
      </c>
      <c r="F4" s="168" t="s">
        <v>7</v>
      </c>
      <c r="G4" s="166" t="s">
        <v>8</v>
      </c>
      <c r="H4" s="167"/>
      <c r="I4" s="168" t="s">
        <v>9</v>
      </c>
      <c r="J4" s="166" t="s">
        <v>10</v>
      </c>
      <c r="K4" s="170"/>
      <c r="L4" s="167"/>
      <c r="M4" s="168" t="s">
        <v>570</v>
      </c>
      <c r="N4" s="168" t="s">
        <v>11</v>
      </c>
      <c r="O4" s="168" t="s">
        <v>12</v>
      </c>
      <c r="P4" s="168" t="s">
        <v>380</v>
      </c>
      <c r="Q4" s="168" t="s">
        <v>14</v>
      </c>
      <c r="R4" s="168" t="s">
        <v>15</v>
      </c>
      <c r="S4" s="168" t="s">
        <v>16</v>
      </c>
      <c r="T4" s="72" t="s">
        <v>597</v>
      </c>
      <c r="U4" s="185" t="s">
        <v>17</v>
      </c>
      <c r="V4" s="1"/>
      <c r="W4" s="1"/>
      <c r="X4" s="1"/>
      <c r="Y4" s="1"/>
      <c r="Z4" s="1"/>
    </row>
    <row r="5" spans="1:26" ht="79.5" customHeight="1">
      <c r="A5" s="14"/>
      <c r="B5" s="169"/>
      <c r="C5" s="169"/>
      <c r="D5" s="169"/>
      <c r="E5" s="169"/>
      <c r="F5" s="169"/>
      <c r="G5" s="5" t="s">
        <v>18</v>
      </c>
      <c r="H5" s="5" t="s">
        <v>19</v>
      </c>
      <c r="I5" s="169"/>
      <c r="J5" s="5" t="s">
        <v>571</v>
      </c>
      <c r="K5" s="5" t="s">
        <v>20</v>
      </c>
      <c r="L5" s="5" t="s">
        <v>21</v>
      </c>
      <c r="M5" s="169"/>
      <c r="N5" s="169"/>
      <c r="O5" s="169"/>
      <c r="P5" s="169"/>
      <c r="Q5" s="169"/>
      <c r="R5" s="169"/>
      <c r="S5" s="169"/>
      <c r="T5" s="72" t="s">
        <v>22</v>
      </c>
      <c r="U5" s="186"/>
      <c r="V5" s="1"/>
      <c r="W5" s="1"/>
      <c r="X5" s="1"/>
      <c r="Y5" s="1"/>
      <c r="Z5" s="1"/>
    </row>
    <row r="6" spans="1:26" ht="39.75" customHeight="1">
      <c r="A6" s="38" t="s">
        <v>516</v>
      </c>
      <c r="B6" s="168" t="s">
        <v>24</v>
      </c>
      <c r="C6" s="168" t="s">
        <v>25</v>
      </c>
      <c r="D6" s="5">
        <v>1</v>
      </c>
      <c r="E6" s="5" t="s">
        <v>26</v>
      </c>
      <c r="F6" s="5"/>
      <c r="G6" s="5"/>
      <c r="H6" s="5"/>
      <c r="I6" s="5"/>
      <c r="J6" s="5"/>
      <c r="K6" s="5"/>
      <c r="L6" s="5"/>
      <c r="M6" s="5"/>
      <c r="N6" s="5"/>
      <c r="O6" s="5"/>
      <c r="P6" s="5"/>
      <c r="Q6" s="5"/>
      <c r="R6" s="5"/>
      <c r="S6" s="5"/>
      <c r="T6" s="73">
        <f t="shared" ref="T6:T69" si="0">SUM(F6:S6)</f>
        <v>0</v>
      </c>
      <c r="U6" s="76"/>
      <c r="V6" s="1"/>
      <c r="W6" s="1"/>
      <c r="X6" s="1"/>
      <c r="Y6" s="1"/>
      <c r="Z6" s="1"/>
    </row>
    <row r="7" spans="1:26" ht="131.25" customHeight="1">
      <c r="A7" s="39"/>
      <c r="B7" s="171"/>
      <c r="C7" s="171"/>
      <c r="D7" s="5">
        <v>2</v>
      </c>
      <c r="E7" s="5" t="s">
        <v>27</v>
      </c>
      <c r="F7" s="5"/>
      <c r="G7" s="5"/>
      <c r="H7" s="5"/>
      <c r="I7" s="5"/>
      <c r="J7" s="5"/>
      <c r="K7" s="6">
        <f>707.12-0.01</f>
        <v>707.11</v>
      </c>
      <c r="L7" s="5"/>
      <c r="M7" s="5"/>
      <c r="N7" s="5"/>
      <c r="O7" s="5"/>
      <c r="P7" s="8"/>
      <c r="Q7" s="5"/>
      <c r="R7" s="5"/>
      <c r="S7" s="5"/>
      <c r="T7" s="73">
        <f t="shared" si="0"/>
        <v>707.11</v>
      </c>
      <c r="U7" s="76" t="s">
        <v>517</v>
      </c>
      <c r="V7" s="1"/>
      <c r="W7" s="1"/>
      <c r="X7" s="1"/>
      <c r="Y7" s="1"/>
      <c r="Z7" s="1"/>
    </row>
    <row r="8" spans="1:26" ht="39.75" customHeight="1">
      <c r="A8" s="39"/>
      <c r="B8" s="171"/>
      <c r="C8" s="171"/>
      <c r="D8" s="5">
        <v>3</v>
      </c>
      <c r="E8" s="5" t="s">
        <v>29</v>
      </c>
      <c r="F8" s="8">
        <v>0</v>
      </c>
      <c r="G8" s="5"/>
      <c r="H8" s="5"/>
      <c r="I8" s="5"/>
      <c r="J8" s="5"/>
      <c r="K8" s="5"/>
      <c r="L8" s="5"/>
      <c r="M8" s="5"/>
      <c r="N8" s="5"/>
      <c r="O8" s="8"/>
      <c r="P8" s="5"/>
      <c r="Q8" s="5"/>
      <c r="R8" s="8"/>
      <c r="S8" s="5"/>
      <c r="T8" s="73">
        <f t="shared" si="0"/>
        <v>0</v>
      </c>
      <c r="U8" s="76"/>
      <c r="V8" s="1"/>
      <c r="W8" s="1"/>
      <c r="X8" s="1"/>
      <c r="Y8" s="1"/>
      <c r="Z8" s="1"/>
    </row>
    <row r="9" spans="1:26" ht="39.75" customHeight="1">
      <c r="A9" s="39"/>
      <c r="B9" s="171"/>
      <c r="C9" s="171"/>
      <c r="D9" s="5">
        <v>4</v>
      </c>
      <c r="E9" s="5" t="s">
        <v>31</v>
      </c>
      <c r="F9" s="5"/>
      <c r="G9" s="5"/>
      <c r="H9" s="5"/>
      <c r="I9" s="5"/>
      <c r="J9" s="5"/>
      <c r="K9" s="5"/>
      <c r="L9" s="5"/>
      <c r="M9" s="6"/>
      <c r="N9" s="5"/>
      <c r="O9" s="5"/>
      <c r="P9" s="8"/>
      <c r="Q9" s="5"/>
      <c r="R9" s="5"/>
      <c r="S9" s="5"/>
      <c r="T9" s="73">
        <f t="shared" si="0"/>
        <v>0</v>
      </c>
      <c r="U9" s="76"/>
      <c r="V9" s="1"/>
      <c r="W9" s="1"/>
      <c r="X9" s="1"/>
      <c r="Y9" s="1"/>
      <c r="Z9" s="1"/>
    </row>
    <row r="10" spans="1:26" ht="39.75" customHeight="1">
      <c r="A10" s="39"/>
      <c r="B10" s="171"/>
      <c r="C10" s="171"/>
      <c r="D10" s="5">
        <v>5</v>
      </c>
      <c r="E10" s="5" t="s">
        <v>33</v>
      </c>
      <c r="F10" s="5"/>
      <c r="G10" s="5"/>
      <c r="H10" s="5"/>
      <c r="I10" s="5"/>
      <c r="J10" s="5"/>
      <c r="K10" s="5"/>
      <c r="L10" s="5"/>
      <c r="M10" s="5"/>
      <c r="N10" s="5"/>
      <c r="O10" s="5"/>
      <c r="P10" s="6"/>
      <c r="Q10" s="5"/>
      <c r="R10" s="5"/>
      <c r="S10" s="5"/>
      <c r="T10" s="73">
        <f t="shared" si="0"/>
        <v>0</v>
      </c>
      <c r="U10" s="76"/>
      <c r="V10" s="1"/>
      <c r="W10" s="1"/>
      <c r="X10" s="1"/>
      <c r="Y10" s="1"/>
      <c r="Z10" s="1"/>
    </row>
    <row r="11" spans="1:26" ht="39.75" customHeight="1">
      <c r="A11" s="39"/>
      <c r="B11" s="171"/>
      <c r="C11" s="171"/>
      <c r="D11" s="5">
        <v>6</v>
      </c>
      <c r="E11" s="5" t="s">
        <v>35</v>
      </c>
      <c r="F11" s="5"/>
      <c r="G11" s="5"/>
      <c r="H11" s="5"/>
      <c r="I11" s="5"/>
      <c r="J11" s="5"/>
      <c r="K11" s="5"/>
      <c r="L11" s="5"/>
      <c r="M11" s="5"/>
      <c r="N11" s="8"/>
      <c r="O11" s="5"/>
      <c r="P11" s="8">
        <v>0.56999999999999995</v>
      </c>
      <c r="Q11" s="5"/>
      <c r="R11" s="5"/>
      <c r="S11" s="5"/>
      <c r="T11" s="73">
        <f t="shared" si="0"/>
        <v>0.56999999999999995</v>
      </c>
      <c r="U11" s="76"/>
      <c r="V11" s="1"/>
      <c r="W11" s="1"/>
      <c r="X11" s="1"/>
      <c r="Y11" s="1"/>
      <c r="Z11" s="1"/>
    </row>
    <row r="12" spans="1:26" ht="92.25" customHeight="1">
      <c r="A12" s="39"/>
      <c r="B12" s="171"/>
      <c r="C12" s="171"/>
      <c r="D12" s="5">
        <v>7</v>
      </c>
      <c r="E12" s="5" t="s">
        <v>37</v>
      </c>
      <c r="F12" s="5"/>
      <c r="G12" s="5"/>
      <c r="H12" s="5"/>
      <c r="I12" s="5"/>
      <c r="J12" s="5"/>
      <c r="K12" s="5"/>
      <c r="L12" s="5"/>
      <c r="M12" s="5"/>
      <c r="N12" s="5"/>
      <c r="O12" s="5"/>
      <c r="P12" s="8">
        <f>0.06+14.1</f>
        <v>14.16</v>
      </c>
      <c r="Q12" s="8">
        <v>143</v>
      </c>
      <c r="R12" s="5"/>
      <c r="S12" s="5"/>
      <c r="T12" s="73">
        <f t="shared" si="0"/>
        <v>157.16</v>
      </c>
      <c r="U12" s="78" t="s">
        <v>641</v>
      </c>
      <c r="V12" s="1"/>
      <c r="W12" s="1"/>
      <c r="X12" s="1"/>
      <c r="Y12" s="1"/>
      <c r="Z12" s="1"/>
    </row>
    <row r="13" spans="1:26" ht="39.75" customHeight="1">
      <c r="A13" s="39"/>
      <c r="B13" s="171"/>
      <c r="C13" s="171"/>
      <c r="D13" s="5">
        <v>8</v>
      </c>
      <c r="E13" s="5" t="s">
        <v>39</v>
      </c>
      <c r="F13" s="5"/>
      <c r="G13" s="5"/>
      <c r="H13" s="5"/>
      <c r="I13" s="5"/>
      <c r="J13" s="5"/>
      <c r="K13" s="5"/>
      <c r="L13" s="5"/>
      <c r="M13" s="5"/>
      <c r="N13" s="6">
        <v>6.94</v>
      </c>
      <c r="O13" s="5"/>
      <c r="P13" s="5"/>
      <c r="Q13" s="5"/>
      <c r="R13" s="5"/>
      <c r="S13" s="5"/>
      <c r="T13" s="73">
        <f t="shared" si="0"/>
        <v>6.94</v>
      </c>
      <c r="U13" s="78" t="s">
        <v>642</v>
      </c>
      <c r="V13" s="1"/>
      <c r="W13" s="1"/>
      <c r="X13" s="1"/>
      <c r="Y13" s="1"/>
      <c r="Z13" s="1"/>
    </row>
    <row r="14" spans="1:26" ht="39.75" customHeight="1">
      <c r="A14" s="39"/>
      <c r="B14" s="171"/>
      <c r="C14" s="171"/>
      <c r="D14" s="5">
        <v>9</v>
      </c>
      <c r="E14" s="5" t="s">
        <v>40</v>
      </c>
      <c r="F14" s="5"/>
      <c r="G14" s="5"/>
      <c r="H14" s="5"/>
      <c r="I14" s="5"/>
      <c r="J14" s="5"/>
      <c r="K14" s="5"/>
      <c r="L14" s="5"/>
      <c r="M14" s="5"/>
      <c r="N14" s="6"/>
      <c r="O14" s="5"/>
      <c r="P14" s="5"/>
      <c r="Q14" s="8">
        <v>0.25</v>
      </c>
      <c r="R14" s="5"/>
      <c r="S14" s="8"/>
      <c r="T14" s="73">
        <f t="shared" si="0"/>
        <v>0.25</v>
      </c>
      <c r="U14" s="76" t="s">
        <v>518</v>
      </c>
      <c r="V14" s="1"/>
      <c r="W14" s="1"/>
      <c r="X14" s="1"/>
      <c r="Y14" s="1"/>
      <c r="Z14" s="1"/>
    </row>
    <row r="15" spans="1:26" ht="39.75" customHeight="1">
      <c r="A15" s="39"/>
      <c r="B15" s="171"/>
      <c r="C15" s="171"/>
      <c r="D15" s="5">
        <v>10</v>
      </c>
      <c r="E15" s="5" t="s">
        <v>42</v>
      </c>
      <c r="F15" s="5"/>
      <c r="G15" s="5"/>
      <c r="H15" s="5"/>
      <c r="I15" s="6">
        <v>0.4</v>
      </c>
      <c r="J15" s="5"/>
      <c r="K15" s="5"/>
      <c r="L15" s="5"/>
      <c r="M15" s="5"/>
      <c r="N15" s="6">
        <v>1.73</v>
      </c>
      <c r="O15" s="5"/>
      <c r="P15" s="5"/>
      <c r="Q15" s="5"/>
      <c r="R15" s="5"/>
      <c r="S15" s="5"/>
      <c r="T15" s="73">
        <f t="shared" si="0"/>
        <v>2.13</v>
      </c>
      <c r="U15" s="76" t="s">
        <v>519</v>
      </c>
      <c r="V15" s="1"/>
      <c r="W15" s="1"/>
      <c r="X15" s="1"/>
      <c r="Y15" s="1"/>
      <c r="Z15" s="1"/>
    </row>
    <row r="16" spans="1:26" ht="39.75" customHeight="1">
      <c r="A16" s="39"/>
      <c r="B16" s="171"/>
      <c r="C16" s="171"/>
      <c r="D16" s="5">
        <v>11</v>
      </c>
      <c r="E16" s="5" t="s">
        <v>44</v>
      </c>
      <c r="F16" s="5"/>
      <c r="G16" s="86">
        <f>245+69.74+534.21</f>
        <v>848.95</v>
      </c>
      <c r="H16" s="8"/>
      <c r="I16" s="5"/>
      <c r="J16" s="5"/>
      <c r="K16" s="5"/>
      <c r="L16" s="5"/>
      <c r="M16" s="5"/>
      <c r="N16" s="5"/>
      <c r="O16" s="5"/>
      <c r="P16" s="5"/>
      <c r="Q16" s="5"/>
      <c r="R16" s="5"/>
      <c r="S16" s="5"/>
      <c r="T16" s="73">
        <f t="shared" si="0"/>
        <v>848.95</v>
      </c>
      <c r="U16" s="85" t="s">
        <v>643</v>
      </c>
      <c r="V16" s="1"/>
      <c r="W16" s="1"/>
      <c r="X16" s="1"/>
      <c r="Y16" s="1"/>
      <c r="Z16" s="1"/>
    </row>
    <row r="17" spans="1:26" ht="39.75" customHeight="1">
      <c r="A17" s="39"/>
      <c r="B17" s="171"/>
      <c r="C17" s="171"/>
      <c r="D17" s="5">
        <v>12</v>
      </c>
      <c r="E17" s="5" t="s">
        <v>45</v>
      </c>
      <c r="F17" s="5"/>
      <c r="G17" s="5"/>
      <c r="H17" s="5"/>
      <c r="I17" s="5"/>
      <c r="J17" s="5"/>
      <c r="K17" s="5"/>
      <c r="L17" s="5"/>
      <c r="M17" s="5"/>
      <c r="N17" s="6">
        <f>1.7325+1.7325+1.7325+1.22</f>
        <v>6.4174999999999995</v>
      </c>
      <c r="O17" s="5"/>
      <c r="P17" s="5"/>
      <c r="Q17" s="5"/>
      <c r="R17" s="5"/>
      <c r="S17" s="5"/>
      <c r="T17" s="73">
        <f t="shared" si="0"/>
        <v>6.4174999999999995</v>
      </c>
      <c r="U17" s="76" t="s">
        <v>520</v>
      </c>
      <c r="V17" s="1"/>
      <c r="W17" s="1"/>
      <c r="X17" s="1"/>
      <c r="Y17" s="1"/>
      <c r="Z17" s="1"/>
    </row>
    <row r="18" spans="1:26" ht="24.75" customHeight="1">
      <c r="A18" s="39"/>
      <c r="B18" s="171"/>
      <c r="C18" s="171"/>
      <c r="D18" s="5">
        <v>13</v>
      </c>
      <c r="E18" s="5" t="s">
        <v>47</v>
      </c>
      <c r="F18" s="5"/>
      <c r="G18" s="5"/>
      <c r="H18" s="5"/>
      <c r="I18" s="5"/>
      <c r="J18" s="5"/>
      <c r="K18" s="5"/>
      <c r="L18" s="5"/>
      <c r="M18" s="5"/>
      <c r="N18" s="5"/>
      <c r="O18" s="5"/>
      <c r="P18" s="8"/>
      <c r="Q18" s="5"/>
      <c r="R18" s="5"/>
      <c r="S18" s="5"/>
      <c r="T18" s="73">
        <f t="shared" si="0"/>
        <v>0</v>
      </c>
      <c r="U18" s="76"/>
      <c r="V18" s="1"/>
      <c r="W18" s="1"/>
      <c r="X18" s="1"/>
      <c r="Y18" s="1"/>
      <c r="Z18" s="1"/>
    </row>
    <row r="19" spans="1:26" ht="24.75" customHeight="1">
      <c r="A19" s="39"/>
      <c r="B19" s="171"/>
      <c r="C19" s="171"/>
      <c r="D19" s="5">
        <v>14</v>
      </c>
      <c r="E19" s="5" t="s">
        <v>48</v>
      </c>
      <c r="F19" s="5"/>
      <c r="G19" s="5"/>
      <c r="H19" s="5"/>
      <c r="I19" s="5"/>
      <c r="J19" s="5"/>
      <c r="K19" s="5"/>
      <c r="L19" s="5"/>
      <c r="M19" s="5"/>
      <c r="N19" s="5"/>
      <c r="O19" s="5"/>
      <c r="P19" s="5"/>
      <c r="Q19" s="5"/>
      <c r="R19" s="5"/>
      <c r="S19" s="5"/>
      <c r="T19" s="73">
        <f t="shared" si="0"/>
        <v>0</v>
      </c>
      <c r="U19" s="76"/>
      <c r="V19" s="1"/>
      <c r="W19" s="1"/>
      <c r="X19" s="1"/>
      <c r="Y19" s="1"/>
      <c r="Z19" s="1"/>
    </row>
    <row r="20" spans="1:26" ht="138.75" customHeight="1">
      <c r="A20" s="39"/>
      <c r="B20" s="171"/>
      <c r="C20" s="171"/>
      <c r="D20" s="5">
        <v>15</v>
      </c>
      <c r="E20" s="5" t="s">
        <v>49</v>
      </c>
      <c r="F20" s="5"/>
      <c r="G20" s="5"/>
      <c r="H20" s="5"/>
      <c r="I20" s="8">
        <f>9.923+3.75</f>
        <v>13.673</v>
      </c>
      <c r="J20" s="5"/>
      <c r="K20" s="5"/>
      <c r="L20" s="5"/>
      <c r="M20" s="5"/>
      <c r="N20" s="6"/>
      <c r="O20" s="5"/>
      <c r="P20" s="8">
        <v>12.83</v>
      </c>
      <c r="Q20" s="8">
        <v>1.6</v>
      </c>
      <c r="R20" s="5"/>
      <c r="S20" s="5"/>
      <c r="T20" s="73">
        <f t="shared" si="0"/>
        <v>28.103000000000002</v>
      </c>
      <c r="U20" s="85" t="s">
        <v>644</v>
      </c>
      <c r="V20" s="1"/>
      <c r="W20" s="1"/>
      <c r="X20" s="1"/>
      <c r="Y20" s="1"/>
      <c r="Z20" s="1"/>
    </row>
    <row r="21" spans="1:26" ht="39.75" customHeight="1">
      <c r="A21" s="39"/>
      <c r="B21" s="171"/>
      <c r="C21" s="171"/>
      <c r="D21" s="5">
        <v>16</v>
      </c>
      <c r="E21" s="5" t="s">
        <v>51</v>
      </c>
      <c r="F21" s="5"/>
      <c r="G21" s="5"/>
      <c r="H21" s="5"/>
      <c r="I21" s="5"/>
      <c r="J21" s="5"/>
      <c r="K21" s="5"/>
      <c r="L21" s="5"/>
      <c r="M21" s="5"/>
      <c r="N21" s="5"/>
      <c r="O21" s="5"/>
      <c r="P21" s="5"/>
      <c r="Q21" s="5"/>
      <c r="R21" s="5"/>
      <c r="S21" s="5"/>
      <c r="T21" s="73">
        <f t="shared" si="0"/>
        <v>0</v>
      </c>
      <c r="U21" s="76"/>
      <c r="V21" s="1"/>
      <c r="W21" s="1"/>
      <c r="X21" s="1"/>
      <c r="Y21" s="1"/>
      <c r="Z21" s="1"/>
    </row>
    <row r="22" spans="1:26" ht="240" customHeight="1">
      <c r="A22" s="39"/>
      <c r="B22" s="171"/>
      <c r="C22" s="171"/>
      <c r="D22" s="5">
        <v>17</v>
      </c>
      <c r="E22" s="5" t="s">
        <v>52</v>
      </c>
      <c r="F22" s="5"/>
      <c r="G22" s="5"/>
      <c r="H22" s="5"/>
      <c r="I22" s="6">
        <f>607.9</f>
        <v>607.9</v>
      </c>
      <c r="J22" s="5"/>
      <c r="K22" s="5"/>
      <c r="L22" s="5"/>
      <c r="M22" s="5"/>
      <c r="N22" s="6">
        <v>2</v>
      </c>
      <c r="O22" s="5"/>
      <c r="P22" s="8"/>
      <c r="Q22" s="6">
        <f>37+2.2+0.23</f>
        <v>39.43</v>
      </c>
      <c r="R22" s="5"/>
      <c r="S22" s="8">
        <v>1.65</v>
      </c>
      <c r="T22" s="73">
        <f t="shared" si="0"/>
        <v>650.9799999999999</v>
      </c>
      <c r="U22" s="88" t="s">
        <v>645</v>
      </c>
      <c r="V22" s="1"/>
      <c r="W22" s="1"/>
      <c r="X22" s="1"/>
      <c r="Y22" s="1"/>
      <c r="Z22" s="1"/>
    </row>
    <row r="23" spans="1:26" ht="72" customHeight="1">
      <c r="A23" s="39"/>
      <c r="B23" s="169"/>
      <c r="C23" s="169"/>
      <c r="D23" s="5">
        <v>18</v>
      </c>
      <c r="E23" s="5" t="s">
        <v>54</v>
      </c>
      <c r="F23" s="5"/>
      <c r="G23" s="5"/>
      <c r="H23" s="5"/>
      <c r="I23" s="5"/>
      <c r="J23" s="5"/>
      <c r="K23" s="5"/>
      <c r="L23" s="5"/>
      <c r="M23" s="5"/>
      <c r="N23" s="5"/>
      <c r="O23" s="5"/>
      <c r="P23" s="8"/>
      <c r="Q23" s="8"/>
      <c r="R23" s="5"/>
      <c r="S23" s="8"/>
      <c r="T23" s="73">
        <f t="shared" si="0"/>
        <v>0</v>
      </c>
      <c r="U23" s="88" t="s">
        <v>646</v>
      </c>
      <c r="V23" s="1"/>
      <c r="W23" s="1"/>
      <c r="X23" s="1"/>
      <c r="Y23" s="1"/>
      <c r="Z23" s="1"/>
    </row>
    <row r="24" spans="1:26" ht="39.75" customHeight="1">
      <c r="A24" s="39"/>
      <c r="B24" s="168" t="s">
        <v>56</v>
      </c>
      <c r="C24" s="168" t="s">
        <v>57</v>
      </c>
      <c r="D24" s="5">
        <v>19</v>
      </c>
      <c r="E24" s="5" t="s">
        <v>57</v>
      </c>
      <c r="F24" s="5"/>
      <c r="G24" s="5"/>
      <c r="H24" s="5"/>
      <c r="I24" s="5"/>
      <c r="J24" s="5"/>
      <c r="K24" s="5"/>
      <c r="L24" s="5"/>
      <c r="M24" s="5"/>
      <c r="N24" s="5"/>
      <c r="O24" s="5"/>
      <c r="P24" s="5"/>
      <c r="Q24" s="5"/>
      <c r="R24" s="5"/>
      <c r="S24" s="5"/>
      <c r="T24" s="73">
        <f t="shared" si="0"/>
        <v>0</v>
      </c>
      <c r="U24" s="76"/>
      <c r="V24" s="1"/>
      <c r="W24" s="1"/>
      <c r="X24" s="1"/>
      <c r="Y24" s="1"/>
      <c r="Z24" s="1"/>
    </row>
    <row r="25" spans="1:26" ht="197.25" customHeight="1">
      <c r="A25" s="39"/>
      <c r="B25" s="169"/>
      <c r="C25" s="169"/>
      <c r="D25" s="5">
        <v>20</v>
      </c>
      <c r="E25" s="5" t="s">
        <v>58</v>
      </c>
      <c r="F25" s="5"/>
      <c r="G25" s="5"/>
      <c r="H25" s="5"/>
      <c r="I25" s="5"/>
      <c r="J25" s="5"/>
      <c r="K25" s="5"/>
      <c r="L25" s="5"/>
      <c r="M25" s="5"/>
      <c r="N25" s="5"/>
      <c r="O25" s="5"/>
      <c r="P25" s="5"/>
      <c r="Q25" s="6">
        <v>36.299999999999997</v>
      </c>
      <c r="R25" s="5"/>
      <c r="S25" s="5"/>
      <c r="T25" s="73">
        <f t="shared" si="0"/>
        <v>36.299999999999997</v>
      </c>
      <c r="U25" s="78" t="s">
        <v>647</v>
      </c>
      <c r="V25" s="1"/>
      <c r="W25" s="1"/>
      <c r="X25" s="1"/>
      <c r="Y25" s="1"/>
      <c r="Z25" s="1"/>
    </row>
    <row r="26" spans="1:26" ht="120" customHeight="1">
      <c r="A26" s="39"/>
      <c r="B26" s="168" t="s">
        <v>60</v>
      </c>
      <c r="C26" s="168" t="s">
        <v>61</v>
      </c>
      <c r="D26" s="5">
        <v>21</v>
      </c>
      <c r="E26" s="5" t="s">
        <v>62</v>
      </c>
      <c r="F26" s="123"/>
      <c r="G26" s="123"/>
      <c r="H26" s="124"/>
      <c r="I26" s="125"/>
      <c r="J26" s="123"/>
      <c r="K26" s="125"/>
      <c r="L26" s="123"/>
      <c r="M26" s="123"/>
      <c r="N26" s="125"/>
      <c r="O26" s="123"/>
      <c r="P26" s="124"/>
      <c r="Q26" s="124"/>
      <c r="R26" s="125">
        <f>34.5+5-0.04</f>
        <v>39.46</v>
      </c>
      <c r="S26" s="123"/>
      <c r="T26" s="125">
        <f t="shared" ref="T26:T36" si="1">SUM(F26:S26)</f>
        <v>39.46</v>
      </c>
      <c r="U26" s="87" t="s">
        <v>648</v>
      </c>
      <c r="V26" s="1"/>
      <c r="W26" s="1"/>
      <c r="X26" s="1"/>
      <c r="Y26" s="1"/>
      <c r="Z26" s="1"/>
    </row>
    <row r="27" spans="1:26" ht="188.25" customHeight="1">
      <c r="A27" s="39"/>
      <c r="B27" s="171"/>
      <c r="C27" s="171"/>
      <c r="D27" s="5">
        <v>22</v>
      </c>
      <c r="E27" s="5" t="s">
        <v>64</v>
      </c>
      <c r="F27" s="124"/>
      <c r="G27" s="123"/>
      <c r="H27" s="124">
        <v>68.25</v>
      </c>
      <c r="I27" s="125"/>
      <c r="J27" s="123"/>
      <c r="K27" s="123"/>
      <c r="L27" s="123"/>
      <c r="M27" s="124">
        <f>861+3.74</f>
        <v>864.74</v>
      </c>
      <c r="N27" s="123">
        <v>33.67</v>
      </c>
      <c r="O27" s="123"/>
      <c r="P27" s="124"/>
      <c r="Q27" s="124">
        <v>14</v>
      </c>
      <c r="R27" s="125"/>
      <c r="S27" s="123"/>
      <c r="T27" s="125">
        <f t="shared" si="1"/>
        <v>980.66</v>
      </c>
      <c r="U27" s="76" t="s">
        <v>623</v>
      </c>
      <c r="V27" s="1"/>
      <c r="W27" s="1"/>
      <c r="X27" s="1"/>
      <c r="Y27" s="1"/>
      <c r="Z27" s="1"/>
    </row>
    <row r="28" spans="1:26" ht="123" customHeight="1">
      <c r="A28" s="39"/>
      <c r="B28" s="171"/>
      <c r="C28" s="171"/>
      <c r="D28" s="5">
        <v>23</v>
      </c>
      <c r="E28" s="5" t="s">
        <v>66</v>
      </c>
      <c r="F28" s="123"/>
      <c r="G28" s="123"/>
      <c r="H28" s="123"/>
      <c r="I28" s="123"/>
      <c r="J28" s="123"/>
      <c r="K28" s="125">
        <v>264.43</v>
      </c>
      <c r="L28" s="123"/>
      <c r="M28" s="123"/>
      <c r="N28" s="123"/>
      <c r="O28" s="124"/>
      <c r="P28" s="123"/>
      <c r="Q28" s="124">
        <f>5.14</f>
        <v>5.14</v>
      </c>
      <c r="R28" s="123"/>
      <c r="S28" s="123"/>
      <c r="T28" s="125">
        <f t="shared" si="1"/>
        <v>269.57</v>
      </c>
      <c r="U28" s="76" t="s">
        <v>624</v>
      </c>
      <c r="V28" s="1"/>
      <c r="W28" s="1"/>
      <c r="X28" s="1"/>
      <c r="Y28" s="1"/>
      <c r="Z28" s="1"/>
    </row>
    <row r="29" spans="1:26" ht="126" customHeight="1">
      <c r="A29" s="39"/>
      <c r="B29" s="171"/>
      <c r="C29" s="171"/>
      <c r="D29" s="5">
        <v>24</v>
      </c>
      <c r="E29" s="5" t="s">
        <v>67</v>
      </c>
      <c r="F29" s="123"/>
      <c r="G29" s="123"/>
      <c r="H29" s="124">
        <v>100.2</v>
      </c>
      <c r="I29" s="123">
        <f>31.23</f>
        <v>31.23</v>
      </c>
      <c r="J29" s="123"/>
      <c r="K29" s="123"/>
      <c r="L29" s="123"/>
      <c r="M29" s="123"/>
      <c r="N29" s="125">
        <f>5.881+13.842+31.47+21.74+88</f>
        <v>160.93299999999999</v>
      </c>
      <c r="O29" s="124"/>
      <c r="P29" s="123">
        <v>1</v>
      </c>
      <c r="Q29" s="125">
        <f>4.17+4.2+30+24</f>
        <v>62.370000000000005</v>
      </c>
      <c r="R29" s="123"/>
      <c r="S29" s="123"/>
      <c r="T29" s="125">
        <f t="shared" si="1"/>
        <v>355.733</v>
      </c>
      <c r="U29" s="76" t="s">
        <v>625</v>
      </c>
      <c r="V29" s="1"/>
      <c r="W29" s="1"/>
      <c r="X29" s="1"/>
      <c r="Y29" s="1"/>
      <c r="Z29" s="1"/>
    </row>
    <row r="30" spans="1:26" ht="110.25" customHeight="1">
      <c r="A30" s="39"/>
      <c r="B30" s="171"/>
      <c r="C30" s="171"/>
      <c r="D30" s="5">
        <v>25</v>
      </c>
      <c r="E30" s="5" t="s">
        <v>69</v>
      </c>
      <c r="F30" s="123"/>
      <c r="G30" s="123"/>
      <c r="H30" s="123"/>
      <c r="I30" s="123"/>
      <c r="J30" s="123"/>
      <c r="K30" s="123"/>
      <c r="L30" s="123"/>
      <c r="M30" s="123"/>
      <c r="N30" s="125">
        <v>7</v>
      </c>
      <c r="O30" s="123"/>
      <c r="P30" s="123"/>
      <c r="Q30" s="123"/>
      <c r="R30" s="123"/>
      <c r="S30" s="123"/>
      <c r="T30" s="125">
        <f t="shared" si="1"/>
        <v>7</v>
      </c>
      <c r="U30" s="76" t="s">
        <v>521</v>
      </c>
      <c r="V30" s="1"/>
      <c r="W30" s="1"/>
      <c r="X30" s="1"/>
      <c r="Y30" s="1"/>
      <c r="Z30" s="1"/>
    </row>
    <row r="31" spans="1:26" ht="132" customHeight="1">
      <c r="A31" s="39"/>
      <c r="B31" s="171"/>
      <c r="C31" s="171"/>
      <c r="D31" s="5">
        <v>26</v>
      </c>
      <c r="E31" s="5" t="s">
        <v>70</v>
      </c>
      <c r="F31" s="123"/>
      <c r="G31" s="123"/>
      <c r="H31" s="123"/>
      <c r="I31" s="126"/>
      <c r="J31" s="123"/>
      <c r="K31" s="123"/>
      <c r="L31" s="123"/>
      <c r="M31" s="123"/>
      <c r="N31" s="125">
        <v>2.5</v>
      </c>
      <c r="O31" s="123"/>
      <c r="P31" s="123"/>
      <c r="Q31" s="125">
        <v>39.5</v>
      </c>
      <c r="R31" s="124">
        <v>3</v>
      </c>
      <c r="S31" s="123"/>
      <c r="T31" s="125">
        <f t="shared" si="1"/>
        <v>45</v>
      </c>
      <c r="U31" s="76" t="s">
        <v>626</v>
      </c>
      <c r="V31" s="1"/>
      <c r="W31" s="1"/>
      <c r="X31" s="1"/>
      <c r="Y31" s="1"/>
      <c r="Z31" s="1"/>
    </row>
    <row r="32" spans="1:26" ht="39.75" customHeight="1">
      <c r="A32" s="39"/>
      <c r="B32" s="171"/>
      <c r="C32" s="171"/>
      <c r="D32" s="5">
        <v>27</v>
      </c>
      <c r="E32" s="5" t="s">
        <v>72</v>
      </c>
      <c r="F32" s="123"/>
      <c r="G32" s="123"/>
      <c r="H32" s="127"/>
      <c r="I32" s="125">
        <v>317.85000000000002</v>
      </c>
      <c r="J32" s="123"/>
      <c r="K32" s="123"/>
      <c r="L32" s="123"/>
      <c r="M32" s="123"/>
      <c r="N32" s="125"/>
      <c r="O32" s="124"/>
      <c r="P32" s="124">
        <f>145</f>
        <v>145</v>
      </c>
      <c r="Q32" s="123"/>
      <c r="R32" s="123"/>
      <c r="S32" s="123"/>
      <c r="T32" s="125">
        <f t="shared" si="1"/>
        <v>462.85</v>
      </c>
      <c r="U32" s="76" t="s">
        <v>627</v>
      </c>
      <c r="V32" s="1"/>
      <c r="W32" s="1"/>
      <c r="X32" s="1"/>
      <c r="Y32" s="1"/>
      <c r="Z32" s="1"/>
    </row>
    <row r="33" spans="1:26" ht="39.75" customHeight="1">
      <c r="A33" s="39"/>
      <c r="B33" s="171"/>
      <c r="C33" s="171"/>
      <c r="D33" s="5">
        <v>28</v>
      </c>
      <c r="E33" s="5" t="s">
        <v>31</v>
      </c>
      <c r="F33" s="123"/>
      <c r="G33" s="123"/>
      <c r="H33" s="123"/>
      <c r="I33" s="123"/>
      <c r="J33" s="123"/>
      <c r="K33" s="125"/>
      <c r="L33" s="123"/>
      <c r="M33" s="125"/>
      <c r="N33" s="123"/>
      <c r="O33" s="123"/>
      <c r="P33" s="123"/>
      <c r="Q33" s="123"/>
      <c r="R33" s="123"/>
      <c r="S33" s="123"/>
      <c r="T33" s="125">
        <f t="shared" si="1"/>
        <v>0</v>
      </c>
      <c r="U33" s="76"/>
      <c r="V33" s="1"/>
      <c r="W33" s="1"/>
      <c r="X33" s="1"/>
      <c r="Y33" s="1"/>
      <c r="Z33" s="1"/>
    </row>
    <row r="34" spans="1:26" ht="39.75" customHeight="1">
      <c r="A34" s="39"/>
      <c r="B34" s="171"/>
      <c r="C34" s="171"/>
      <c r="D34" s="5">
        <v>29</v>
      </c>
      <c r="E34" s="5" t="s">
        <v>33</v>
      </c>
      <c r="F34" s="123"/>
      <c r="G34" s="123"/>
      <c r="H34" s="123"/>
      <c r="I34" s="123"/>
      <c r="J34" s="123"/>
      <c r="K34" s="123"/>
      <c r="L34" s="123"/>
      <c r="M34" s="123"/>
      <c r="N34" s="123"/>
      <c r="O34" s="123"/>
      <c r="P34" s="125"/>
      <c r="Q34" s="123"/>
      <c r="R34" s="123"/>
      <c r="S34" s="123"/>
      <c r="T34" s="125">
        <f t="shared" si="1"/>
        <v>0</v>
      </c>
      <c r="U34" s="76"/>
      <c r="V34" s="1"/>
      <c r="W34" s="1"/>
      <c r="X34" s="1"/>
      <c r="Y34" s="1"/>
      <c r="Z34" s="1"/>
    </row>
    <row r="35" spans="1:26" ht="39.75" customHeight="1">
      <c r="A35" s="39"/>
      <c r="B35" s="171"/>
      <c r="C35" s="171"/>
      <c r="D35" s="5">
        <v>30</v>
      </c>
      <c r="E35" s="5" t="s">
        <v>73</v>
      </c>
      <c r="F35" s="123"/>
      <c r="G35" s="123"/>
      <c r="H35" s="123"/>
      <c r="I35" s="125"/>
      <c r="J35" s="123"/>
      <c r="K35" s="123"/>
      <c r="L35" s="123"/>
      <c r="M35" s="123"/>
      <c r="N35" s="123"/>
      <c r="O35" s="123"/>
      <c r="P35" s="123"/>
      <c r="Q35" s="125">
        <v>60</v>
      </c>
      <c r="R35" s="124">
        <v>2</v>
      </c>
      <c r="S35" s="123"/>
      <c r="T35" s="125">
        <f t="shared" si="1"/>
        <v>62</v>
      </c>
      <c r="U35" s="76" t="s">
        <v>628</v>
      </c>
      <c r="V35" s="1"/>
      <c r="W35" s="1"/>
      <c r="X35" s="1"/>
      <c r="Y35" s="1"/>
      <c r="Z35" s="1"/>
    </row>
    <row r="36" spans="1:26" ht="39.75" customHeight="1">
      <c r="A36" s="39"/>
      <c r="B36" s="169"/>
      <c r="C36" s="169"/>
      <c r="D36" s="5">
        <v>31</v>
      </c>
      <c r="E36" s="5" t="s">
        <v>54</v>
      </c>
      <c r="F36" s="123"/>
      <c r="G36" s="123"/>
      <c r="H36" s="123"/>
      <c r="I36" s="123"/>
      <c r="J36" s="123"/>
      <c r="K36" s="123"/>
      <c r="L36" s="123"/>
      <c r="M36" s="123"/>
      <c r="N36" s="123"/>
      <c r="O36" s="123"/>
      <c r="P36" s="123"/>
      <c r="Q36" s="123"/>
      <c r="R36" s="123"/>
      <c r="S36" s="123"/>
      <c r="T36" s="125">
        <f t="shared" si="1"/>
        <v>0</v>
      </c>
      <c r="U36" s="76"/>
      <c r="V36" s="1"/>
      <c r="W36" s="1"/>
      <c r="X36" s="1"/>
      <c r="Y36" s="1"/>
      <c r="Z36" s="1"/>
    </row>
    <row r="37" spans="1:26" ht="151.5" customHeight="1">
      <c r="A37" s="39"/>
      <c r="B37" s="168" t="s">
        <v>75</v>
      </c>
      <c r="C37" s="168" t="s">
        <v>76</v>
      </c>
      <c r="D37" s="5">
        <v>32</v>
      </c>
      <c r="E37" s="5" t="s">
        <v>77</v>
      </c>
      <c r="F37" s="5"/>
      <c r="G37" s="5"/>
      <c r="H37" s="5"/>
      <c r="I37" s="6">
        <v>16.87</v>
      </c>
      <c r="J37" s="5"/>
      <c r="K37" s="5"/>
      <c r="L37" s="5"/>
      <c r="M37" s="6"/>
      <c r="N37" s="6">
        <v>0.72</v>
      </c>
      <c r="O37" s="8"/>
      <c r="P37" s="8"/>
      <c r="Q37" s="6">
        <f>61+3.8</f>
        <v>64.8</v>
      </c>
      <c r="R37" s="8">
        <v>0.12</v>
      </c>
      <c r="S37" s="5"/>
      <c r="T37" s="73">
        <f t="shared" si="0"/>
        <v>82.51</v>
      </c>
      <c r="U37" s="91" t="s">
        <v>836</v>
      </c>
      <c r="V37" s="1"/>
      <c r="W37" s="1"/>
      <c r="X37" s="1"/>
      <c r="Y37" s="1"/>
      <c r="Z37" s="1"/>
    </row>
    <row r="38" spans="1:26" ht="39.75" customHeight="1">
      <c r="A38" s="39"/>
      <c r="B38" s="171"/>
      <c r="C38" s="171"/>
      <c r="D38" s="5">
        <v>33</v>
      </c>
      <c r="E38" s="5" t="s">
        <v>79</v>
      </c>
      <c r="F38" s="5"/>
      <c r="G38" s="5"/>
      <c r="H38" s="5"/>
      <c r="I38" s="5"/>
      <c r="J38" s="5"/>
      <c r="K38" s="5"/>
      <c r="L38" s="5"/>
      <c r="M38" s="5"/>
      <c r="N38" s="5"/>
      <c r="O38" s="5"/>
      <c r="P38" s="5">
        <v>267.88</v>
      </c>
      <c r="Q38" s="5"/>
      <c r="R38" s="5"/>
      <c r="S38" s="5"/>
      <c r="T38" s="73">
        <f t="shared" si="0"/>
        <v>267.88</v>
      </c>
      <c r="U38" s="76" t="s">
        <v>522</v>
      </c>
      <c r="V38" s="1"/>
      <c r="W38" s="1"/>
      <c r="X38" s="1"/>
      <c r="Y38" s="1"/>
      <c r="Z38" s="1"/>
    </row>
    <row r="39" spans="1:26" ht="39.75" customHeight="1">
      <c r="A39" s="39"/>
      <c r="B39" s="169"/>
      <c r="C39" s="169"/>
      <c r="D39" s="5">
        <v>34</v>
      </c>
      <c r="E39" s="5" t="s">
        <v>80</v>
      </c>
      <c r="F39" s="5"/>
      <c r="G39" s="5"/>
      <c r="H39" s="5"/>
      <c r="I39" s="5"/>
      <c r="J39" s="5"/>
      <c r="K39" s="5"/>
      <c r="L39" s="5"/>
      <c r="M39" s="5"/>
      <c r="N39" s="6">
        <v>15.45</v>
      </c>
      <c r="O39" s="5"/>
      <c r="P39" s="8">
        <v>99.76</v>
      </c>
      <c r="Q39" s="5"/>
      <c r="R39" s="5"/>
      <c r="S39" s="5"/>
      <c r="T39" s="73">
        <f t="shared" si="0"/>
        <v>115.21000000000001</v>
      </c>
      <c r="U39" s="76" t="s">
        <v>523</v>
      </c>
      <c r="V39" s="1"/>
      <c r="W39" s="1"/>
      <c r="X39" s="1"/>
      <c r="Y39" s="1"/>
      <c r="Z39" s="1"/>
    </row>
    <row r="40" spans="1:26" ht="39.75" customHeight="1">
      <c r="A40" s="39"/>
      <c r="B40" s="168" t="s">
        <v>81</v>
      </c>
      <c r="C40" s="168" t="s">
        <v>82</v>
      </c>
      <c r="D40" s="5">
        <v>35</v>
      </c>
      <c r="E40" s="5" t="s">
        <v>83</v>
      </c>
      <c r="F40" s="5"/>
      <c r="G40" s="5"/>
      <c r="H40" s="5"/>
      <c r="I40" s="6"/>
      <c r="J40" s="5"/>
      <c r="K40" s="5"/>
      <c r="L40" s="5"/>
      <c r="M40" s="5"/>
      <c r="N40" s="6">
        <f>6</f>
        <v>6</v>
      </c>
      <c r="O40" s="5"/>
      <c r="P40" s="8">
        <v>0</v>
      </c>
      <c r="Q40" s="8"/>
      <c r="R40" s="5"/>
      <c r="S40" s="5"/>
      <c r="T40" s="73">
        <f t="shared" si="0"/>
        <v>6</v>
      </c>
      <c r="U40" s="76" t="s">
        <v>524</v>
      </c>
      <c r="V40" s="1"/>
      <c r="W40" s="1"/>
      <c r="X40" s="1"/>
      <c r="Y40" s="1"/>
      <c r="Z40" s="1"/>
    </row>
    <row r="41" spans="1:26" ht="39.75" customHeight="1">
      <c r="A41" s="39"/>
      <c r="B41" s="171"/>
      <c r="C41" s="171"/>
      <c r="D41" s="5">
        <v>36</v>
      </c>
      <c r="E41" s="5" t="s">
        <v>84</v>
      </c>
      <c r="F41" s="5"/>
      <c r="G41" s="5"/>
      <c r="H41" s="5"/>
      <c r="I41" s="5"/>
      <c r="J41" s="5"/>
      <c r="K41" s="27"/>
      <c r="L41" s="5"/>
      <c r="M41" s="5"/>
      <c r="N41" s="27"/>
      <c r="O41" s="5"/>
      <c r="P41" s="5"/>
      <c r="Q41" s="5"/>
      <c r="R41" s="5"/>
      <c r="S41" s="5"/>
      <c r="T41" s="73">
        <f t="shared" si="0"/>
        <v>0</v>
      </c>
      <c r="U41" s="76"/>
      <c r="V41" s="1"/>
      <c r="W41" s="1"/>
      <c r="X41" s="1"/>
      <c r="Y41" s="1"/>
      <c r="Z41" s="1"/>
    </row>
    <row r="42" spans="1:26" ht="39.75" customHeight="1">
      <c r="A42" s="39"/>
      <c r="B42" s="171"/>
      <c r="C42" s="171"/>
      <c r="D42" s="5">
        <v>37</v>
      </c>
      <c r="E42" s="5" t="s">
        <v>86</v>
      </c>
      <c r="F42" s="5"/>
      <c r="G42" s="5"/>
      <c r="H42" s="5"/>
      <c r="I42" s="5"/>
      <c r="J42" s="5"/>
      <c r="K42" s="27">
        <v>119.7</v>
      </c>
      <c r="L42" s="5"/>
      <c r="M42" s="5"/>
      <c r="N42" s="5"/>
      <c r="O42" s="5"/>
      <c r="P42" s="5"/>
      <c r="Q42" s="5"/>
      <c r="R42" s="5"/>
      <c r="S42" s="5"/>
      <c r="T42" s="73">
        <f t="shared" si="0"/>
        <v>119.7</v>
      </c>
      <c r="U42" s="91" t="s">
        <v>835</v>
      </c>
      <c r="V42" s="1"/>
      <c r="W42" s="1"/>
      <c r="X42" s="1"/>
      <c r="Y42" s="1"/>
      <c r="Z42" s="1"/>
    </row>
    <row r="43" spans="1:26" ht="39.75" customHeight="1">
      <c r="A43" s="39"/>
      <c r="B43" s="171"/>
      <c r="C43" s="171"/>
      <c r="D43" s="5">
        <v>38</v>
      </c>
      <c r="E43" s="5" t="s">
        <v>87</v>
      </c>
      <c r="F43" s="5"/>
      <c r="G43" s="5"/>
      <c r="H43" s="5"/>
      <c r="I43" s="5"/>
      <c r="J43" s="5"/>
      <c r="K43" s="5"/>
      <c r="L43" s="5"/>
      <c r="M43" s="5"/>
      <c r="N43" s="6"/>
      <c r="O43" s="8"/>
      <c r="P43" s="8"/>
      <c r="Q43" s="8"/>
      <c r="R43" s="5"/>
      <c r="S43" s="5"/>
      <c r="T43" s="73">
        <f t="shared" si="0"/>
        <v>0</v>
      </c>
      <c r="U43" s="76"/>
      <c r="V43" s="1"/>
      <c r="W43" s="1"/>
      <c r="X43" s="1"/>
      <c r="Y43" s="1"/>
      <c r="Z43" s="1"/>
    </row>
    <row r="44" spans="1:26" ht="56.25" customHeight="1">
      <c r="A44" s="39"/>
      <c r="B44" s="171"/>
      <c r="C44" s="171"/>
      <c r="D44" s="5">
        <v>39</v>
      </c>
      <c r="E44" s="5" t="s">
        <v>88</v>
      </c>
      <c r="F44" s="5"/>
      <c r="G44" s="5"/>
      <c r="H44" s="5"/>
      <c r="I44" s="5"/>
      <c r="J44" s="5"/>
      <c r="K44" s="5"/>
      <c r="L44" s="5"/>
      <c r="M44" s="5"/>
      <c r="N44" s="5"/>
      <c r="O44" s="5"/>
      <c r="P44" s="8"/>
      <c r="Q44" s="8"/>
      <c r="R44" s="5"/>
      <c r="S44" s="5"/>
      <c r="T44" s="73">
        <f t="shared" si="0"/>
        <v>0</v>
      </c>
      <c r="U44" s="76"/>
      <c r="V44" s="1"/>
      <c r="W44" s="1"/>
      <c r="X44" s="1"/>
      <c r="Y44" s="1"/>
      <c r="Z44" s="1"/>
    </row>
    <row r="45" spans="1:26" ht="45">
      <c r="A45" s="39"/>
      <c r="B45" s="171"/>
      <c r="C45" s="171"/>
      <c r="D45" s="5">
        <v>40</v>
      </c>
      <c r="E45" s="5" t="s">
        <v>89</v>
      </c>
      <c r="F45" s="5"/>
      <c r="G45" s="5"/>
      <c r="H45" s="5"/>
      <c r="I45" s="5"/>
      <c r="J45" s="5"/>
      <c r="K45" s="5"/>
      <c r="L45" s="5"/>
      <c r="M45" s="5"/>
      <c r="N45" s="6"/>
      <c r="O45" s="5"/>
      <c r="P45" s="8"/>
      <c r="Q45" s="6">
        <v>50</v>
      </c>
      <c r="R45" s="8"/>
      <c r="S45" s="5"/>
      <c r="T45" s="73">
        <f t="shared" si="0"/>
        <v>50</v>
      </c>
      <c r="U45" s="91" t="s">
        <v>821</v>
      </c>
      <c r="V45" s="1"/>
      <c r="W45" s="1"/>
      <c r="X45" s="1"/>
      <c r="Y45" s="1"/>
      <c r="Z45" s="1"/>
    </row>
    <row r="46" spans="1:26" ht="39.75" customHeight="1">
      <c r="A46" s="39"/>
      <c r="B46" s="169"/>
      <c r="C46" s="169"/>
      <c r="D46" s="5">
        <v>41</v>
      </c>
      <c r="E46" s="5" t="s">
        <v>54</v>
      </c>
      <c r="F46" s="5"/>
      <c r="G46" s="5"/>
      <c r="H46" s="5"/>
      <c r="I46" s="5"/>
      <c r="J46" s="5"/>
      <c r="K46" s="5"/>
      <c r="L46" s="5"/>
      <c r="M46" s="5"/>
      <c r="N46" s="5"/>
      <c r="O46" s="5"/>
      <c r="P46" s="5"/>
      <c r="Q46" s="5"/>
      <c r="R46" s="5"/>
      <c r="S46" s="5"/>
      <c r="T46" s="73">
        <f t="shared" si="0"/>
        <v>0</v>
      </c>
      <c r="U46" s="76"/>
      <c r="V46" s="1"/>
      <c r="W46" s="1"/>
      <c r="X46" s="1"/>
      <c r="Y46" s="1"/>
      <c r="Z46" s="1"/>
    </row>
    <row r="47" spans="1:26" ht="116.25" customHeight="1">
      <c r="A47" s="39"/>
      <c r="B47" s="168" t="s">
        <v>90</v>
      </c>
      <c r="C47" s="168" t="s">
        <v>91</v>
      </c>
      <c r="D47" s="5">
        <v>42</v>
      </c>
      <c r="E47" s="5" t="s">
        <v>92</v>
      </c>
      <c r="F47" s="8"/>
      <c r="G47" s="5"/>
      <c r="H47" s="5"/>
      <c r="I47" s="6"/>
      <c r="J47" s="5"/>
      <c r="K47" s="5"/>
      <c r="L47" s="5"/>
      <c r="M47" s="5"/>
      <c r="N47" s="6">
        <f>2.74-0.29</f>
        <v>2.4500000000000002</v>
      </c>
      <c r="O47" s="5"/>
      <c r="P47" s="8"/>
      <c r="Q47" s="5"/>
      <c r="R47" s="5"/>
      <c r="S47" s="5"/>
      <c r="T47" s="73">
        <f t="shared" si="0"/>
        <v>2.4500000000000002</v>
      </c>
      <c r="U47" s="133" t="s">
        <v>820</v>
      </c>
      <c r="V47" s="1"/>
      <c r="W47" s="1"/>
      <c r="X47" s="1"/>
      <c r="Y47" s="1"/>
      <c r="Z47" s="1"/>
    </row>
    <row r="48" spans="1:26" ht="39.75" customHeight="1">
      <c r="A48" s="39"/>
      <c r="B48" s="171"/>
      <c r="C48" s="171"/>
      <c r="D48" s="5">
        <v>43</v>
      </c>
      <c r="E48" s="5" t="s">
        <v>93</v>
      </c>
      <c r="F48" s="8"/>
      <c r="G48" s="5"/>
      <c r="H48" s="5"/>
      <c r="I48" s="6"/>
      <c r="J48" s="5"/>
      <c r="K48" s="5"/>
      <c r="L48" s="5"/>
      <c r="M48" s="5"/>
      <c r="N48" s="6">
        <v>1.73</v>
      </c>
      <c r="O48" s="5"/>
      <c r="P48" s="8"/>
      <c r="Q48" s="5"/>
      <c r="R48" s="5"/>
      <c r="S48" s="5"/>
      <c r="T48" s="73">
        <f t="shared" si="0"/>
        <v>1.73</v>
      </c>
      <c r="U48" s="91" t="s">
        <v>819</v>
      </c>
      <c r="V48" s="1"/>
      <c r="W48" s="1"/>
      <c r="X48" s="1"/>
      <c r="Y48" s="1"/>
      <c r="Z48" s="1"/>
    </row>
    <row r="49" spans="1:26" ht="129" customHeight="1">
      <c r="A49" s="39"/>
      <c r="B49" s="171"/>
      <c r="C49" s="171"/>
      <c r="D49" s="5">
        <v>44</v>
      </c>
      <c r="E49" s="5" t="s">
        <v>94</v>
      </c>
      <c r="F49" s="8"/>
      <c r="G49" s="5"/>
      <c r="H49" s="5"/>
      <c r="I49" s="6"/>
      <c r="J49" s="5"/>
      <c r="K49" s="5"/>
      <c r="L49" s="5"/>
      <c r="M49" s="5"/>
      <c r="N49" s="6">
        <v>1.25</v>
      </c>
      <c r="O49" s="8"/>
      <c r="P49" s="8"/>
      <c r="Q49" s="5"/>
      <c r="R49" s="5"/>
      <c r="S49" s="5"/>
      <c r="T49" s="73">
        <f t="shared" si="0"/>
        <v>1.25</v>
      </c>
      <c r="U49" s="91" t="s">
        <v>818</v>
      </c>
      <c r="V49" s="1"/>
      <c r="W49" s="1"/>
      <c r="X49" s="1"/>
      <c r="Y49" s="1"/>
      <c r="Z49" s="1"/>
    </row>
    <row r="50" spans="1:26" ht="39.75" customHeight="1">
      <c r="A50" s="39"/>
      <c r="B50" s="171"/>
      <c r="C50" s="171"/>
      <c r="D50" s="5">
        <v>45</v>
      </c>
      <c r="E50" s="5" t="s">
        <v>96</v>
      </c>
      <c r="F50" s="8"/>
      <c r="G50" s="5"/>
      <c r="H50" s="5"/>
      <c r="I50" s="5"/>
      <c r="J50" s="5"/>
      <c r="K50" s="5"/>
      <c r="L50" s="5"/>
      <c r="M50" s="5"/>
      <c r="N50" s="6">
        <v>1</v>
      </c>
      <c r="O50" s="8"/>
      <c r="P50" s="5"/>
      <c r="Q50" s="5"/>
      <c r="R50" s="5"/>
      <c r="S50" s="5"/>
      <c r="T50" s="73">
        <f t="shared" si="0"/>
        <v>1</v>
      </c>
      <c r="U50" s="76" t="s">
        <v>525</v>
      </c>
      <c r="V50" s="1"/>
      <c r="W50" s="1"/>
      <c r="X50" s="1"/>
      <c r="Y50" s="1"/>
      <c r="Z50" s="1"/>
    </row>
    <row r="51" spans="1:26" ht="39.75" customHeight="1">
      <c r="A51" s="39"/>
      <c r="B51" s="171"/>
      <c r="C51" s="171"/>
      <c r="D51" s="5">
        <v>46</v>
      </c>
      <c r="E51" s="5" t="s">
        <v>97</v>
      </c>
      <c r="F51" s="5"/>
      <c r="G51" s="5"/>
      <c r="H51" s="5"/>
      <c r="I51" s="5"/>
      <c r="J51" s="5"/>
      <c r="K51" s="5"/>
      <c r="L51" s="5"/>
      <c r="M51" s="5"/>
      <c r="N51" s="5"/>
      <c r="O51" s="5"/>
      <c r="P51" s="5"/>
      <c r="Q51" s="5"/>
      <c r="R51" s="5"/>
      <c r="S51" s="5"/>
      <c r="T51" s="73">
        <f t="shared" si="0"/>
        <v>0</v>
      </c>
      <c r="U51" s="76"/>
      <c r="V51" s="1"/>
      <c r="W51" s="1"/>
      <c r="X51" s="1"/>
      <c r="Y51" s="1"/>
      <c r="Z51" s="1"/>
    </row>
    <row r="52" spans="1:26" ht="39.75" customHeight="1">
      <c r="A52" s="39"/>
      <c r="B52" s="171"/>
      <c r="C52" s="171"/>
      <c r="D52" s="5">
        <v>47</v>
      </c>
      <c r="E52" s="5" t="s">
        <v>98</v>
      </c>
      <c r="F52" s="8"/>
      <c r="G52" s="5"/>
      <c r="H52" s="5"/>
      <c r="I52" s="5"/>
      <c r="J52" s="5"/>
      <c r="K52" s="5"/>
      <c r="L52" s="5"/>
      <c r="M52" s="5"/>
      <c r="N52" s="5"/>
      <c r="O52" s="5"/>
      <c r="P52" s="5"/>
      <c r="Q52" s="5"/>
      <c r="R52" s="5"/>
      <c r="S52" s="5"/>
      <c r="T52" s="73">
        <f t="shared" si="0"/>
        <v>0</v>
      </c>
      <c r="U52" s="76" t="s">
        <v>526</v>
      </c>
      <c r="V52" s="1"/>
      <c r="W52" s="1"/>
      <c r="X52" s="1"/>
      <c r="Y52" s="1"/>
      <c r="Z52" s="1"/>
    </row>
    <row r="53" spans="1:26" ht="39.75" customHeight="1">
      <c r="A53" s="39"/>
      <c r="B53" s="171"/>
      <c r="C53" s="171"/>
      <c r="D53" s="5">
        <v>48</v>
      </c>
      <c r="E53" s="5" t="s">
        <v>99</v>
      </c>
      <c r="F53" s="5"/>
      <c r="G53" s="5"/>
      <c r="H53" s="5"/>
      <c r="I53" s="5"/>
      <c r="J53" s="5"/>
      <c r="K53" s="5"/>
      <c r="L53" s="5"/>
      <c r="M53" s="5"/>
      <c r="N53" s="6">
        <f>0.5+0.15</f>
        <v>0.65</v>
      </c>
      <c r="O53" s="5"/>
      <c r="P53" s="8"/>
      <c r="Q53" s="5"/>
      <c r="R53" s="5"/>
      <c r="S53" s="5"/>
      <c r="T53" s="73">
        <f t="shared" si="0"/>
        <v>0.65</v>
      </c>
      <c r="U53" s="91" t="s">
        <v>817</v>
      </c>
      <c r="V53" s="1"/>
      <c r="W53" s="1"/>
      <c r="X53" s="1"/>
      <c r="Y53" s="1"/>
      <c r="Z53" s="1"/>
    </row>
    <row r="54" spans="1:26" ht="39.75" customHeight="1">
      <c r="A54" s="39"/>
      <c r="B54" s="171"/>
      <c r="C54" s="171"/>
      <c r="D54" s="5">
        <v>49</v>
      </c>
      <c r="E54" s="5" t="s">
        <v>100</v>
      </c>
      <c r="F54" s="5"/>
      <c r="G54" s="5"/>
      <c r="H54" s="5"/>
      <c r="I54" s="5"/>
      <c r="J54" s="5"/>
      <c r="K54" s="5"/>
      <c r="L54" s="5"/>
      <c r="M54" s="5"/>
      <c r="N54" s="5"/>
      <c r="O54" s="5"/>
      <c r="P54" s="5"/>
      <c r="Q54" s="6">
        <v>44.4</v>
      </c>
      <c r="R54" s="8"/>
      <c r="S54" s="5"/>
      <c r="T54" s="73">
        <f t="shared" si="0"/>
        <v>44.4</v>
      </c>
      <c r="U54" s="76" t="s">
        <v>527</v>
      </c>
      <c r="V54" s="1"/>
      <c r="W54" s="1"/>
      <c r="X54" s="1"/>
      <c r="Y54" s="1"/>
      <c r="Z54" s="1"/>
    </row>
    <row r="55" spans="1:26" ht="39.75" customHeight="1">
      <c r="A55" s="39"/>
      <c r="B55" s="171"/>
      <c r="C55" s="171"/>
      <c r="D55" s="5">
        <v>50</v>
      </c>
      <c r="E55" s="5" t="s">
        <v>102</v>
      </c>
      <c r="F55" s="5"/>
      <c r="G55" s="5"/>
      <c r="H55" s="5"/>
      <c r="I55" s="6">
        <v>1.08</v>
      </c>
      <c r="J55" s="5"/>
      <c r="K55" s="5"/>
      <c r="L55" s="5"/>
      <c r="M55" s="5"/>
      <c r="N55" s="6">
        <v>2.6</v>
      </c>
      <c r="O55" s="5"/>
      <c r="P55" s="8"/>
      <c r="Q55" s="6">
        <v>70</v>
      </c>
      <c r="R55" s="8">
        <v>0.94</v>
      </c>
      <c r="S55" s="5"/>
      <c r="T55" s="73">
        <f t="shared" si="0"/>
        <v>74.62</v>
      </c>
      <c r="U55" s="76" t="s">
        <v>572</v>
      </c>
      <c r="V55" s="1"/>
      <c r="W55" s="1"/>
      <c r="X55" s="1"/>
      <c r="Y55" s="1"/>
      <c r="Z55" s="1"/>
    </row>
    <row r="56" spans="1:26" ht="39.75" customHeight="1">
      <c r="A56" s="39"/>
      <c r="B56" s="169"/>
      <c r="C56" s="169"/>
      <c r="D56" s="5">
        <v>51</v>
      </c>
      <c r="E56" s="5" t="s">
        <v>54</v>
      </c>
      <c r="F56" s="5"/>
      <c r="G56" s="5"/>
      <c r="H56" s="5"/>
      <c r="I56" s="5"/>
      <c r="J56" s="5"/>
      <c r="K56" s="5"/>
      <c r="L56" s="5"/>
      <c r="M56" s="5"/>
      <c r="N56" s="8"/>
      <c r="O56" s="5"/>
      <c r="P56" s="5"/>
      <c r="Q56" s="5"/>
      <c r="R56" s="5"/>
      <c r="S56" s="5"/>
      <c r="T56" s="73">
        <f t="shared" si="0"/>
        <v>0</v>
      </c>
      <c r="U56" s="76"/>
      <c r="V56" s="1"/>
      <c r="W56" s="1"/>
      <c r="X56" s="1"/>
      <c r="Y56" s="1"/>
      <c r="Z56" s="1"/>
    </row>
    <row r="57" spans="1:26" ht="221.25" customHeight="1">
      <c r="A57" s="39"/>
      <c r="B57" s="168" t="s">
        <v>103</v>
      </c>
      <c r="C57" s="168" t="s">
        <v>104</v>
      </c>
      <c r="D57" s="5">
        <v>52</v>
      </c>
      <c r="E57" s="5" t="s">
        <v>105</v>
      </c>
      <c r="F57" s="123"/>
      <c r="G57" s="123"/>
      <c r="H57" s="123"/>
      <c r="I57" s="125">
        <f>86.54+4.22+105.66+0.033</f>
        <v>196.453</v>
      </c>
      <c r="J57" s="123"/>
      <c r="K57" s="125">
        <f>248.72+172.18+335.77+589.26+168.36+0.02</f>
        <v>1514.31</v>
      </c>
      <c r="L57" s="123"/>
      <c r="M57" s="123"/>
      <c r="N57" s="125"/>
      <c r="O57" s="124"/>
      <c r="P57" s="123"/>
      <c r="Q57" s="123"/>
      <c r="R57" s="123"/>
      <c r="S57" s="123"/>
      <c r="T57" s="125">
        <f t="shared" ref="T57:T66" si="2">SUM(F57:S57)</f>
        <v>1710.7629999999999</v>
      </c>
      <c r="U57" s="76" t="s">
        <v>573</v>
      </c>
      <c r="V57" s="1"/>
      <c r="W57" s="1"/>
      <c r="X57" s="1"/>
      <c r="Y57" s="1"/>
      <c r="Z57" s="1"/>
    </row>
    <row r="58" spans="1:26" ht="91.5" customHeight="1">
      <c r="A58" s="39"/>
      <c r="B58" s="171"/>
      <c r="C58" s="171"/>
      <c r="D58" s="5">
        <v>53</v>
      </c>
      <c r="E58" s="5" t="s">
        <v>106</v>
      </c>
      <c r="F58" s="123"/>
      <c r="G58" s="123"/>
      <c r="H58" s="123"/>
      <c r="I58" s="123"/>
      <c r="J58" s="123"/>
      <c r="K58" s="125">
        <f>85.03+106.29+191.32+18.28-0.01</f>
        <v>400.90999999999997</v>
      </c>
      <c r="L58" s="123"/>
      <c r="M58" s="123"/>
      <c r="N58" s="125">
        <v>83.2</v>
      </c>
      <c r="O58" s="124"/>
      <c r="P58" s="123"/>
      <c r="Q58" s="124">
        <v>2</v>
      </c>
      <c r="R58" s="123"/>
      <c r="S58" s="123"/>
      <c r="T58" s="125">
        <f t="shared" si="2"/>
        <v>486.10999999999996</v>
      </c>
      <c r="U58" s="76" t="s">
        <v>528</v>
      </c>
      <c r="V58" s="1"/>
      <c r="W58" s="1"/>
      <c r="X58" s="1"/>
      <c r="Y58" s="1"/>
      <c r="Z58" s="1"/>
    </row>
    <row r="59" spans="1:26" ht="39.75" customHeight="1">
      <c r="A59" s="39"/>
      <c r="B59" s="171"/>
      <c r="C59" s="171"/>
      <c r="D59" s="5">
        <v>54</v>
      </c>
      <c r="E59" s="5" t="s">
        <v>107</v>
      </c>
      <c r="F59" s="123"/>
      <c r="G59" s="123"/>
      <c r="H59" s="124"/>
      <c r="I59" s="123"/>
      <c r="J59" s="123"/>
      <c r="K59" s="123"/>
      <c r="L59" s="123"/>
      <c r="M59" s="123"/>
      <c r="N59" s="123"/>
      <c r="O59" s="124"/>
      <c r="P59" s="124"/>
      <c r="Q59" s="123"/>
      <c r="R59" s="123"/>
      <c r="S59" s="123"/>
      <c r="T59" s="125">
        <f t="shared" si="2"/>
        <v>0</v>
      </c>
      <c r="U59" s="76" t="s">
        <v>529</v>
      </c>
      <c r="V59" s="1"/>
      <c r="W59" s="1"/>
      <c r="X59" s="1"/>
      <c r="Y59" s="1"/>
      <c r="Z59" s="1"/>
    </row>
    <row r="60" spans="1:26" ht="88.5" customHeight="1">
      <c r="A60" s="39"/>
      <c r="B60" s="171"/>
      <c r="C60" s="171"/>
      <c r="D60" s="5">
        <v>55</v>
      </c>
      <c r="E60" s="5" t="s">
        <v>108</v>
      </c>
      <c r="F60" s="123"/>
      <c r="G60" s="123"/>
      <c r="H60" s="123"/>
      <c r="I60" s="123"/>
      <c r="J60" s="123"/>
      <c r="K60" s="125">
        <v>97.57</v>
      </c>
      <c r="L60" s="123"/>
      <c r="M60" s="123"/>
      <c r="N60" s="123"/>
      <c r="O60" s="123"/>
      <c r="P60" s="123"/>
      <c r="Q60" s="123"/>
      <c r="R60" s="123"/>
      <c r="S60" s="123"/>
      <c r="T60" s="125">
        <f t="shared" si="2"/>
        <v>97.57</v>
      </c>
      <c r="U60" s="76" t="s">
        <v>530</v>
      </c>
      <c r="V60" s="1"/>
      <c r="W60" s="1"/>
      <c r="X60" s="1"/>
      <c r="Y60" s="1"/>
      <c r="Z60" s="1"/>
    </row>
    <row r="61" spans="1:26" ht="39.75" customHeight="1">
      <c r="A61" s="39"/>
      <c r="B61" s="171"/>
      <c r="C61" s="171"/>
      <c r="D61" s="5">
        <v>56</v>
      </c>
      <c r="E61" s="5" t="s">
        <v>109</v>
      </c>
      <c r="F61" s="123"/>
      <c r="G61" s="123"/>
      <c r="H61" s="123"/>
      <c r="I61" s="123"/>
      <c r="J61" s="123"/>
      <c r="K61" s="123"/>
      <c r="L61" s="123"/>
      <c r="M61" s="123"/>
      <c r="N61" s="123"/>
      <c r="O61" s="124"/>
      <c r="P61" s="123"/>
      <c r="Q61" s="123"/>
      <c r="R61" s="123"/>
      <c r="S61" s="123"/>
      <c r="T61" s="125">
        <f t="shared" si="2"/>
        <v>0</v>
      </c>
      <c r="U61" s="76" t="s">
        <v>531</v>
      </c>
      <c r="V61" s="1"/>
      <c r="W61" s="1"/>
      <c r="X61" s="1"/>
      <c r="Y61" s="1"/>
      <c r="Z61" s="1"/>
    </row>
    <row r="62" spans="1:26" ht="39.75" customHeight="1">
      <c r="A62" s="39"/>
      <c r="B62" s="171"/>
      <c r="C62" s="171"/>
      <c r="D62" s="5">
        <v>57</v>
      </c>
      <c r="E62" s="5" t="s">
        <v>110</v>
      </c>
      <c r="F62" s="123"/>
      <c r="G62" s="123"/>
      <c r="H62" s="124"/>
      <c r="I62" s="123"/>
      <c r="J62" s="123"/>
      <c r="K62" s="123"/>
      <c r="L62" s="123"/>
      <c r="M62" s="125">
        <v>2.4900000000000002</v>
      </c>
      <c r="N62" s="123"/>
      <c r="O62" s="123"/>
      <c r="P62" s="123"/>
      <c r="Q62" s="123"/>
      <c r="R62" s="123"/>
      <c r="S62" s="123"/>
      <c r="T62" s="125">
        <f t="shared" si="2"/>
        <v>2.4900000000000002</v>
      </c>
      <c r="U62" s="76" t="s">
        <v>532</v>
      </c>
      <c r="V62" s="1"/>
      <c r="W62" s="1"/>
      <c r="X62" s="1"/>
      <c r="Y62" s="1"/>
      <c r="Z62" s="1"/>
    </row>
    <row r="63" spans="1:26" ht="39.75" customHeight="1">
      <c r="A63" s="39"/>
      <c r="B63" s="171"/>
      <c r="C63" s="171"/>
      <c r="D63" s="5">
        <v>58</v>
      </c>
      <c r="E63" s="5" t="s">
        <v>111</v>
      </c>
      <c r="F63" s="123"/>
      <c r="G63" s="123"/>
      <c r="H63" s="123"/>
      <c r="I63" s="123"/>
      <c r="J63" s="123"/>
      <c r="K63" s="125">
        <v>83.21</v>
      </c>
      <c r="L63" s="123"/>
      <c r="M63" s="123"/>
      <c r="N63" s="123"/>
      <c r="O63" s="124"/>
      <c r="P63" s="123"/>
      <c r="Q63" s="124"/>
      <c r="R63" s="123"/>
      <c r="S63" s="123"/>
      <c r="T63" s="125">
        <f t="shared" si="2"/>
        <v>83.21</v>
      </c>
      <c r="U63" s="76" t="s">
        <v>533</v>
      </c>
      <c r="V63" s="1"/>
      <c r="W63" s="1"/>
      <c r="X63" s="1"/>
      <c r="Y63" s="1"/>
      <c r="Z63" s="1"/>
    </row>
    <row r="64" spans="1:26" ht="39.75" customHeight="1">
      <c r="A64" s="39"/>
      <c r="B64" s="171"/>
      <c r="C64" s="171"/>
      <c r="D64" s="5">
        <v>59</v>
      </c>
      <c r="E64" s="5" t="s">
        <v>112</v>
      </c>
      <c r="F64" s="123"/>
      <c r="G64" s="123"/>
      <c r="H64" s="123"/>
      <c r="I64" s="123"/>
      <c r="J64" s="123"/>
      <c r="K64" s="123"/>
      <c r="L64" s="123"/>
      <c r="M64" s="123"/>
      <c r="N64" s="123"/>
      <c r="O64" s="123"/>
      <c r="P64" s="123"/>
      <c r="Q64" s="123"/>
      <c r="R64" s="123"/>
      <c r="S64" s="123"/>
      <c r="T64" s="125">
        <f t="shared" si="2"/>
        <v>0</v>
      </c>
      <c r="U64" s="76"/>
      <c r="V64" s="1"/>
      <c r="W64" s="1"/>
      <c r="X64" s="1"/>
      <c r="Y64" s="1"/>
      <c r="Z64" s="1"/>
    </row>
    <row r="65" spans="1:26" ht="39.75" customHeight="1">
      <c r="A65" s="39"/>
      <c r="B65" s="171"/>
      <c r="C65" s="171"/>
      <c r="D65" s="5">
        <v>60</v>
      </c>
      <c r="E65" s="5" t="s">
        <v>113</v>
      </c>
      <c r="F65" s="123"/>
      <c r="G65" s="123"/>
      <c r="H65" s="123"/>
      <c r="I65" s="123"/>
      <c r="J65" s="123"/>
      <c r="K65" s="123"/>
      <c r="L65" s="123"/>
      <c r="M65" s="123"/>
      <c r="N65" s="123"/>
      <c r="O65" s="123"/>
      <c r="P65" s="123"/>
      <c r="Q65" s="123"/>
      <c r="R65" s="123"/>
      <c r="S65" s="123"/>
      <c r="T65" s="125">
        <f t="shared" si="2"/>
        <v>0</v>
      </c>
      <c r="U65" s="76"/>
      <c r="V65" s="1"/>
      <c r="W65" s="1"/>
      <c r="X65" s="1"/>
      <c r="Y65" s="1"/>
      <c r="Z65" s="1"/>
    </row>
    <row r="66" spans="1:26" ht="39.75" customHeight="1">
      <c r="A66" s="39"/>
      <c r="B66" s="169"/>
      <c r="C66" s="169"/>
      <c r="D66" s="5">
        <v>61</v>
      </c>
      <c r="E66" s="5" t="s">
        <v>54</v>
      </c>
      <c r="F66" s="123"/>
      <c r="G66" s="123"/>
      <c r="H66" s="123"/>
      <c r="I66" s="123"/>
      <c r="J66" s="123"/>
      <c r="K66" s="123"/>
      <c r="L66" s="123"/>
      <c r="M66" s="123"/>
      <c r="N66" s="123"/>
      <c r="O66" s="123"/>
      <c r="P66" s="123"/>
      <c r="Q66" s="123"/>
      <c r="R66" s="123"/>
      <c r="S66" s="123"/>
      <c r="T66" s="125">
        <f t="shared" si="2"/>
        <v>0</v>
      </c>
      <c r="U66" s="76"/>
      <c r="V66" s="1"/>
      <c r="W66" s="1"/>
      <c r="X66" s="1"/>
      <c r="Y66" s="1"/>
      <c r="Z66" s="1"/>
    </row>
    <row r="67" spans="1:26" ht="229.5" customHeight="1">
      <c r="A67" s="39"/>
      <c r="B67" s="5" t="s">
        <v>114</v>
      </c>
      <c r="C67" s="5" t="s">
        <v>115</v>
      </c>
      <c r="D67" s="5">
        <v>62</v>
      </c>
      <c r="E67" s="5" t="s">
        <v>116</v>
      </c>
      <c r="F67" s="5"/>
      <c r="G67" s="5"/>
      <c r="H67" s="5"/>
      <c r="I67" s="5"/>
      <c r="J67" s="5"/>
      <c r="K67" s="5"/>
      <c r="L67" s="5"/>
      <c r="M67" s="6">
        <v>12</v>
      </c>
      <c r="N67" s="5"/>
      <c r="O67" s="8"/>
      <c r="P67" s="8"/>
      <c r="Q67" s="6">
        <v>3.2</v>
      </c>
      <c r="R67" s="5"/>
      <c r="S67" s="8">
        <v>2</v>
      </c>
      <c r="T67" s="73">
        <f t="shared" si="0"/>
        <v>17.2</v>
      </c>
      <c r="U67" s="76" t="s">
        <v>574</v>
      </c>
      <c r="V67" s="1"/>
      <c r="W67" s="1"/>
      <c r="X67" s="1"/>
      <c r="Y67" s="1"/>
      <c r="Z67" s="1"/>
    </row>
    <row r="68" spans="1:26" ht="39.75" customHeight="1">
      <c r="A68" s="40"/>
      <c r="B68" s="176" t="s">
        <v>117</v>
      </c>
      <c r="C68" s="177"/>
      <c r="D68" s="178"/>
      <c r="E68" s="51"/>
      <c r="F68" s="51">
        <f t="shared" ref="F68:S68" si="3">SUM(F6:F67)</f>
        <v>0</v>
      </c>
      <c r="G68" s="51">
        <f t="shared" si="3"/>
        <v>848.95</v>
      </c>
      <c r="H68" s="51">
        <f t="shared" si="3"/>
        <v>168.45</v>
      </c>
      <c r="I68" s="51">
        <f t="shared" si="3"/>
        <v>1185.4560000000001</v>
      </c>
      <c r="J68" s="51">
        <f t="shared" si="3"/>
        <v>0</v>
      </c>
      <c r="K68" s="51">
        <f t="shared" si="3"/>
        <v>3187.2400000000002</v>
      </c>
      <c r="L68" s="51">
        <f t="shared" si="3"/>
        <v>0</v>
      </c>
      <c r="M68" s="51">
        <f t="shared" si="3"/>
        <v>879.23</v>
      </c>
      <c r="N68" s="51">
        <f t="shared" si="3"/>
        <v>336.24049999999994</v>
      </c>
      <c r="O68" s="51">
        <f t="shared" si="3"/>
        <v>0</v>
      </c>
      <c r="P68" s="51">
        <f t="shared" si="3"/>
        <v>541.20000000000005</v>
      </c>
      <c r="Q68" s="51">
        <f t="shared" si="3"/>
        <v>635.99</v>
      </c>
      <c r="R68" s="51">
        <f t="shared" si="3"/>
        <v>45.519999999999996</v>
      </c>
      <c r="S68" s="51">
        <f t="shared" si="3"/>
        <v>3.65</v>
      </c>
      <c r="T68" s="73">
        <f t="shared" si="0"/>
        <v>7831.9265000000005</v>
      </c>
      <c r="U68" s="79"/>
      <c r="V68" s="1"/>
      <c r="W68" s="1"/>
      <c r="X68" s="1"/>
      <c r="Y68" s="1"/>
      <c r="Z68" s="1"/>
    </row>
    <row r="69" spans="1:26" ht="253.5" customHeight="1">
      <c r="A69" s="175" t="s">
        <v>118</v>
      </c>
      <c r="B69" s="5" t="s">
        <v>119</v>
      </c>
      <c r="C69" s="5" t="s">
        <v>120</v>
      </c>
      <c r="D69" s="5">
        <v>63</v>
      </c>
      <c r="E69" s="5" t="s">
        <v>121</v>
      </c>
      <c r="F69" s="5"/>
      <c r="G69" s="5"/>
      <c r="H69" s="5"/>
      <c r="I69" s="5"/>
      <c r="J69" s="5"/>
      <c r="K69" s="5"/>
      <c r="L69" s="5"/>
      <c r="M69" s="8"/>
      <c r="N69" s="6">
        <v>1.45</v>
      </c>
      <c r="O69" s="5"/>
      <c r="P69" s="6"/>
      <c r="Q69" s="5"/>
      <c r="R69" s="8">
        <v>15</v>
      </c>
      <c r="S69" s="8">
        <v>10</v>
      </c>
      <c r="T69" s="73">
        <f t="shared" si="0"/>
        <v>26.45</v>
      </c>
      <c r="U69" s="88" t="s">
        <v>737</v>
      </c>
      <c r="V69" s="1"/>
      <c r="W69" s="1"/>
      <c r="X69" s="1"/>
      <c r="Y69" s="1"/>
      <c r="Z69" s="1"/>
    </row>
    <row r="70" spans="1:26" ht="39.75" customHeight="1">
      <c r="A70" s="171"/>
      <c r="B70" s="168" t="s">
        <v>122</v>
      </c>
      <c r="C70" s="168" t="s">
        <v>123</v>
      </c>
      <c r="D70" s="5">
        <v>64</v>
      </c>
      <c r="E70" s="5" t="s">
        <v>124</v>
      </c>
      <c r="F70" s="15"/>
      <c r="G70" s="37"/>
      <c r="H70" s="15"/>
      <c r="I70" s="17"/>
      <c r="J70" s="15">
        <v>0.5</v>
      </c>
      <c r="K70" s="17">
        <f>1.26-0.5</f>
        <v>0.76</v>
      </c>
      <c r="L70" s="17"/>
      <c r="M70" s="15">
        <v>46.91</v>
      </c>
      <c r="N70" s="41">
        <v>1.1599999999999999</v>
      </c>
      <c r="O70" s="16">
        <v>1.8800000000000001E-2</v>
      </c>
      <c r="P70" s="17"/>
      <c r="Q70" s="17">
        <v>0.1</v>
      </c>
      <c r="R70" s="16">
        <v>5</v>
      </c>
      <c r="S70" s="16"/>
      <c r="T70" s="73">
        <f t="shared" ref="T70:T133" si="4">SUM(F70:S70)</f>
        <v>54.448799999999991</v>
      </c>
      <c r="U70" s="76" t="s">
        <v>534</v>
      </c>
      <c r="V70" s="1"/>
      <c r="W70" s="1"/>
      <c r="X70" s="1"/>
      <c r="Y70" s="1"/>
      <c r="Z70" s="1"/>
    </row>
    <row r="71" spans="1:26" ht="39.75" customHeight="1">
      <c r="A71" s="171"/>
      <c r="B71" s="171"/>
      <c r="C71" s="171"/>
      <c r="D71" s="5">
        <v>65</v>
      </c>
      <c r="E71" s="5" t="s">
        <v>126</v>
      </c>
      <c r="F71" s="15"/>
      <c r="G71" s="15"/>
      <c r="H71" s="15"/>
      <c r="I71" s="15"/>
      <c r="J71" s="15"/>
      <c r="K71" s="15"/>
      <c r="L71" s="15"/>
      <c r="M71" s="15"/>
      <c r="N71" s="17"/>
      <c r="O71" s="15"/>
      <c r="P71" s="16">
        <v>7.0000000000000007E-2</v>
      </c>
      <c r="Q71" s="15"/>
      <c r="R71" s="15"/>
      <c r="S71" s="16"/>
      <c r="T71" s="73">
        <f t="shared" si="4"/>
        <v>7.0000000000000007E-2</v>
      </c>
      <c r="U71" s="76" t="s">
        <v>535</v>
      </c>
      <c r="V71" s="1"/>
      <c r="W71" s="1"/>
      <c r="X71" s="1"/>
      <c r="Y71" s="1"/>
      <c r="Z71" s="1"/>
    </row>
    <row r="72" spans="1:26" ht="39.75" customHeight="1">
      <c r="A72" s="171"/>
      <c r="B72" s="171"/>
      <c r="C72" s="171"/>
      <c r="D72" s="5">
        <v>66</v>
      </c>
      <c r="E72" s="5" t="s">
        <v>128</v>
      </c>
      <c r="F72" s="15"/>
      <c r="G72" s="15"/>
      <c r="H72" s="15"/>
      <c r="I72" s="15"/>
      <c r="J72" s="15">
        <v>1.44</v>
      </c>
      <c r="K72" s="17">
        <f>-1.44+6.34</f>
        <v>4.9000000000000004</v>
      </c>
      <c r="L72" s="17"/>
      <c r="M72" s="15"/>
      <c r="N72" s="17">
        <v>0.3</v>
      </c>
      <c r="O72" s="15"/>
      <c r="P72" s="16">
        <v>1</v>
      </c>
      <c r="Q72" s="17"/>
      <c r="R72" s="17">
        <v>0.5</v>
      </c>
      <c r="S72" s="15"/>
      <c r="T72" s="73">
        <f t="shared" si="4"/>
        <v>8.14</v>
      </c>
      <c r="U72" s="76" t="s">
        <v>536</v>
      </c>
      <c r="V72" s="1"/>
      <c r="W72" s="1"/>
      <c r="X72" s="1"/>
      <c r="Y72" s="1"/>
      <c r="Z72" s="1"/>
    </row>
    <row r="73" spans="1:26" ht="39.75" customHeight="1">
      <c r="A73" s="171"/>
      <c r="B73" s="171"/>
      <c r="C73" s="171"/>
      <c r="D73" s="5">
        <v>67</v>
      </c>
      <c r="E73" s="5" t="s">
        <v>131</v>
      </c>
      <c r="F73" s="15"/>
      <c r="G73" s="15"/>
      <c r="H73" s="15"/>
      <c r="I73" s="15">
        <v>0.95499999999999996</v>
      </c>
      <c r="J73" s="15">
        <v>72.48</v>
      </c>
      <c r="K73" s="17">
        <f>-72.48+97.68</f>
        <v>25.200000000000003</v>
      </c>
      <c r="L73" s="17"/>
      <c r="M73" s="15"/>
      <c r="N73" s="17">
        <v>0.75</v>
      </c>
      <c r="O73" s="15"/>
      <c r="P73" s="16"/>
      <c r="Q73" s="17">
        <v>5</v>
      </c>
      <c r="R73" s="16">
        <v>5</v>
      </c>
      <c r="S73" s="16">
        <v>41</v>
      </c>
      <c r="T73" s="73">
        <f t="shared" si="4"/>
        <v>150.38499999999999</v>
      </c>
      <c r="U73" s="76" t="s">
        <v>537</v>
      </c>
      <c r="V73" s="1"/>
      <c r="W73" s="1"/>
      <c r="X73" s="1"/>
      <c r="Y73" s="1"/>
      <c r="Z73" s="1"/>
    </row>
    <row r="74" spans="1:26" ht="39.75" customHeight="1">
      <c r="A74" s="171"/>
      <c r="B74" s="169"/>
      <c r="C74" s="169"/>
      <c r="D74" s="5">
        <v>68</v>
      </c>
      <c r="E74" s="5" t="s">
        <v>133</v>
      </c>
      <c r="F74" s="16"/>
      <c r="G74" s="15"/>
      <c r="H74" s="15"/>
      <c r="I74" s="17"/>
      <c r="J74" s="15">
        <v>0.38</v>
      </c>
      <c r="K74" s="17">
        <f>-0.38+31.38</f>
        <v>31</v>
      </c>
      <c r="L74" s="17"/>
      <c r="M74" s="15"/>
      <c r="N74" s="17">
        <v>15.16</v>
      </c>
      <c r="O74" s="16"/>
      <c r="P74" s="16">
        <v>0.01</v>
      </c>
      <c r="Q74" s="17">
        <v>7.2</v>
      </c>
      <c r="R74" s="16">
        <v>5.4740000000000002</v>
      </c>
      <c r="S74" s="16"/>
      <c r="T74" s="73">
        <f t="shared" si="4"/>
        <v>59.224000000000004</v>
      </c>
      <c r="U74" s="76" t="s">
        <v>538</v>
      </c>
      <c r="V74" s="1"/>
      <c r="W74" s="1"/>
      <c r="X74" s="1"/>
      <c r="Y74" s="1"/>
      <c r="Z74" s="1"/>
    </row>
    <row r="75" spans="1:26" ht="39.75" customHeight="1">
      <c r="A75" s="171"/>
      <c r="B75" s="168" t="s">
        <v>136</v>
      </c>
      <c r="C75" s="168" t="s">
        <v>137</v>
      </c>
      <c r="D75" s="5">
        <v>69</v>
      </c>
      <c r="E75" s="5" t="s">
        <v>138</v>
      </c>
      <c r="F75" s="5"/>
      <c r="G75" s="5"/>
      <c r="H75" s="5"/>
      <c r="I75" s="6"/>
      <c r="J75" s="5"/>
      <c r="K75" s="5"/>
      <c r="L75" s="5"/>
      <c r="M75" s="6"/>
      <c r="N75" s="5"/>
      <c r="O75" s="8"/>
      <c r="P75" s="8"/>
      <c r="Q75" s="5"/>
      <c r="R75" s="5"/>
      <c r="S75" s="5"/>
      <c r="T75" s="73">
        <f t="shared" si="4"/>
        <v>0</v>
      </c>
      <c r="U75" s="80"/>
      <c r="V75" s="1"/>
      <c r="W75" s="1"/>
      <c r="X75" s="1"/>
      <c r="Y75" s="1"/>
      <c r="Z75" s="1"/>
    </row>
    <row r="76" spans="1:26" ht="39.75" customHeight="1">
      <c r="A76" s="171"/>
      <c r="B76" s="171"/>
      <c r="C76" s="171"/>
      <c r="D76" s="5">
        <v>70</v>
      </c>
      <c r="E76" s="5" t="s">
        <v>140</v>
      </c>
      <c r="F76" s="8"/>
      <c r="G76" s="5"/>
      <c r="H76" s="5"/>
      <c r="I76" s="6"/>
      <c r="J76" s="5"/>
      <c r="K76" s="5"/>
      <c r="L76" s="5"/>
      <c r="M76" s="5"/>
      <c r="N76" s="5"/>
      <c r="O76" s="5"/>
      <c r="P76" s="8"/>
      <c r="Q76" s="5"/>
      <c r="R76" s="5"/>
      <c r="S76" s="5"/>
      <c r="T76" s="73">
        <f t="shared" si="4"/>
        <v>0</v>
      </c>
      <c r="U76" s="80"/>
      <c r="V76" s="1"/>
      <c r="W76" s="1"/>
      <c r="X76" s="1"/>
      <c r="Y76" s="1"/>
      <c r="Z76" s="1"/>
    </row>
    <row r="77" spans="1:26" ht="39.75" customHeight="1">
      <c r="A77" s="171"/>
      <c r="B77" s="171"/>
      <c r="C77" s="171"/>
      <c r="D77" s="5">
        <v>71</v>
      </c>
      <c r="E77" s="5" t="s">
        <v>142</v>
      </c>
      <c r="F77" s="5"/>
      <c r="G77" s="5"/>
      <c r="H77" s="5"/>
      <c r="I77" s="5"/>
      <c r="J77" s="5"/>
      <c r="K77" s="5"/>
      <c r="L77" s="5"/>
      <c r="M77" s="5"/>
      <c r="N77" s="5"/>
      <c r="O77" s="5"/>
      <c r="P77" s="5"/>
      <c r="Q77" s="5"/>
      <c r="R77" s="5"/>
      <c r="S77" s="5"/>
      <c r="T77" s="73">
        <f t="shared" si="4"/>
        <v>0</v>
      </c>
      <c r="U77" s="80"/>
      <c r="V77" s="1"/>
      <c r="W77" s="1"/>
      <c r="X77" s="1"/>
      <c r="Y77" s="1"/>
      <c r="Z77" s="1"/>
    </row>
    <row r="78" spans="1:26" ht="39.75" customHeight="1">
      <c r="A78" s="171"/>
      <c r="B78" s="169"/>
      <c r="C78" s="169"/>
      <c r="D78" s="5">
        <v>72</v>
      </c>
      <c r="E78" s="5" t="s">
        <v>143</v>
      </c>
      <c r="F78" s="20"/>
      <c r="G78" s="20"/>
      <c r="H78" s="20"/>
      <c r="I78" s="20"/>
      <c r="J78" s="20"/>
      <c r="K78" s="20"/>
      <c r="L78" s="20"/>
      <c r="M78" s="20"/>
      <c r="N78" s="20">
        <v>5.58</v>
      </c>
      <c r="O78" s="20"/>
      <c r="P78" s="20"/>
      <c r="Q78" s="20">
        <v>30</v>
      </c>
      <c r="R78" s="20">
        <v>8.25</v>
      </c>
      <c r="S78" s="20"/>
      <c r="T78" s="73">
        <f t="shared" si="4"/>
        <v>43.83</v>
      </c>
      <c r="U78" s="80" t="s">
        <v>539</v>
      </c>
      <c r="V78" s="1"/>
      <c r="W78" s="1"/>
      <c r="X78" s="1"/>
      <c r="Y78" s="1"/>
      <c r="Z78" s="1"/>
    </row>
    <row r="79" spans="1:26" ht="39.75" customHeight="1">
      <c r="A79" s="171"/>
      <c r="B79" s="168" t="s">
        <v>145</v>
      </c>
      <c r="C79" s="168" t="s">
        <v>146</v>
      </c>
      <c r="D79" s="5">
        <v>73</v>
      </c>
      <c r="E79" s="5" t="s">
        <v>147</v>
      </c>
      <c r="F79" s="128">
        <v>0</v>
      </c>
      <c r="G79" s="128"/>
      <c r="H79" s="128">
        <v>7</v>
      </c>
      <c r="I79" s="128">
        <f>3.5+3.2+4+2.5</f>
        <v>13.2</v>
      </c>
      <c r="J79" s="112"/>
      <c r="K79" s="128">
        <v>19.8</v>
      </c>
      <c r="L79" s="112"/>
      <c r="M79" s="128">
        <f>0</f>
        <v>0</v>
      </c>
      <c r="N79" s="128">
        <v>9.1999999999999993</v>
      </c>
      <c r="O79" s="128"/>
      <c r="P79" s="128">
        <f>3.6+12.5</f>
        <v>16.100000000000001</v>
      </c>
      <c r="Q79" s="112"/>
      <c r="R79" s="128">
        <f>5.8+0.5+1+11.2+12.1+1.5</f>
        <v>32.1</v>
      </c>
      <c r="S79" s="128">
        <f>4+7+38</f>
        <v>49</v>
      </c>
      <c r="T79" s="129">
        <f>SUM(F79:S79)</f>
        <v>146.4</v>
      </c>
      <c r="U79" s="130" t="s">
        <v>812</v>
      </c>
      <c r="V79" s="1"/>
      <c r="W79" s="1"/>
      <c r="X79" s="1"/>
      <c r="Y79" s="1"/>
      <c r="Z79" s="1"/>
    </row>
    <row r="80" spans="1:26" ht="39.75" customHeight="1">
      <c r="A80" s="171"/>
      <c r="B80" s="171"/>
      <c r="C80" s="171"/>
      <c r="D80" s="5">
        <v>74</v>
      </c>
      <c r="E80" s="5" t="s">
        <v>148</v>
      </c>
      <c r="F80" s="128">
        <v>0</v>
      </c>
      <c r="G80" s="128"/>
      <c r="H80" s="112"/>
      <c r="I80" s="112"/>
      <c r="J80" s="112"/>
      <c r="K80" s="112"/>
      <c r="L80" s="112"/>
      <c r="M80" s="112"/>
      <c r="N80" s="112"/>
      <c r="O80" s="112"/>
      <c r="P80" s="112"/>
      <c r="Q80" s="112"/>
      <c r="R80" s="112"/>
      <c r="S80" s="112"/>
      <c r="T80" s="129">
        <f t="shared" ref="T80:T85" si="5">SUM(F80:S80)</f>
        <v>0</v>
      </c>
      <c r="U80" s="112"/>
      <c r="V80" s="1"/>
      <c r="W80" s="1"/>
      <c r="X80" s="1"/>
      <c r="Y80" s="1"/>
      <c r="Z80" s="1"/>
    </row>
    <row r="81" spans="1:26" ht="39.75" customHeight="1">
      <c r="A81" s="171"/>
      <c r="B81" s="171"/>
      <c r="C81" s="171"/>
      <c r="D81" s="5">
        <v>75</v>
      </c>
      <c r="E81" s="5" t="s">
        <v>149</v>
      </c>
      <c r="F81" s="128">
        <v>0</v>
      </c>
      <c r="G81" s="128"/>
      <c r="H81" s="112"/>
      <c r="I81" s="112"/>
      <c r="J81" s="112"/>
      <c r="K81" s="129"/>
      <c r="L81" s="112"/>
      <c r="M81" s="112"/>
      <c r="N81" s="112"/>
      <c r="O81" s="112"/>
      <c r="P81" s="128">
        <v>29.18</v>
      </c>
      <c r="Q81" s="112"/>
      <c r="R81" s="112"/>
      <c r="S81" s="112"/>
      <c r="T81" s="129">
        <f t="shared" si="5"/>
        <v>29.18</v>
      </c>
      <c r="U81" s="130" t="s">
        <v>813</v>
      </c>
      <c r="V81" s="1"/>
      <c r="W81" s="1"/>
      <c r="X81" s="1"/>
      <c r="Y81" s="1"/>
      <c r="Z81" s="1"/>
    </row>
    <row r="82" spans="1:26" ht="39.75" customHeight="1">
      <c r="A82" s="171"/>
      <c r="B82" s="171"/>
      <c r="C82" s="171"/>
      <c r="D82" s="5">
        <v>76</v>
      </c>
      <c r="E82" s="5" t="s">
        <v>150</v>
      </c>
      <c r="F82" s="112"/>
      <c r="G82" s="112"/>
      <c r="H82" s="112"/>
      <c r="I82" s="112"/>
      <c r="J82" s="112"/>
      <c r="K82" s="128">
        <v>225</v>
      </c>
      <c r="L82" s="112"/>
      <c r="M82" s="128">
        <v>720</v>
      </c>
      <c r="N82" s="112"/>
      <c r="O82" s="112"/>
      <c r="P82" s="112"/>
      <c r="Q82" s="112"/>
      <c r="R82" s="112"/>
      <c r="S82" s="112"/>
      <c r="T82" s="129">
        <f t="shared" si="5"/>
        <v>945</v>
      </c>
      <c r="U82" s="131" t="s">
        <v>814</v>
      </c>
      <c r="V82" s="1"/>
      <c r="W82" s="1"/>
      <c r="X82" s="1"/>
      <c r="Y82" s="1"/>
      <c r="Z82" s="1"/>
    </row>
    <row r="83" spans="1:26" ht="39.75" customHeight="1">
      <c r="A83" s="171"/>
      <c r="B83" s="171"/>
      <c r="C83" s="171"/>
      <c r="D83" s="5">
        <v>77</v>
      </c>
      <c r="E83" s="5" t="s">
        <v>151</v>
      </c>
      <c r="F83" s="128">
        <v>0</v>
      </c>
      <c r="G83" s="128"/>
      <c r="H83" s="128">
        <v>9</v>
      </c>
      <c r="I83" s="128">
        <f>380+150.35</f>
        <v>530.35</v>
      </c>
      <c r="J83" s="112"/>
      <c r="K83" s="128">
        <v>3.5</v>
      </c>
      <c r="L83" s="112"/>
      <c r="M83" s="128">
        <v>3212.67</v>
      </c>
      <c r="N83" s="128">
        <v>0</v>
      </c>
      <c r="O83" s="112"/>
      <c r="P83" s="112"/>
      <c r="Q83" s="112"/>
      <c r="R83" s="112"/>
      <c r="S83" s="128">
        <v>0</v>
      </c>
      <c r="T83" s="129">
        <f t="shared" si="5"/>
        <v>3755.52</v>
      </c>
      <c r="U83" s="130" t="s">
        <v>815</v>
      </c>
      <c r="V83" s="1"/>
      <c r="W83" s="1"/>
      <c r="X83" s="1"/>
      <c r="Y83" s="1"/>
      <c r="Z83" s="1"/>
    </row>
    <row r="84" spans="1:26" ht="39.75" customHeight="1">
      <c r="A84" s="171"/>
      <c r="B84" s="171"/>
      <c r="C84" s="171"/>
      <c r="D84" s="5">
        <v>78</v>
      </c>
      <c r="E84" s="5" t="s">
        <v>152</v>
      </c>
      <c r="F84" s="112"/>
      <c r="G84" s="112"/>
      <c r="H84" s="112"/>
      <c r="I84" s="112"/>
      <c r="J84" s="112"/>
      <c r="K84" s="112"/>
      <c r="L84" s="112"/>
      <c r="M84" s="112"/>
      <c r="N84" s="112"/>
      <c r="O84" s="112"/>
      <c r="P84" s="112"/>
      <c r="Q84" s="128">
        <f>44.8+13</f>
        <v>57.8</v>
      </c>
      <c r="R84" s="112"/>
      <c r="S84" s="112"/>
      <c r="T84" s="129">
        <f t="shared" si="5"/>
        <v>57.8</v>
      </c>
      <c r="U84" s="130" t="s">
        <v>816</v>
      </c>
      <c r="V84" s="1"/>
      <c r="W84" s="1"/>
      <c r="X84" s="1"/>
      <c r="Y84" s="1"/>
      <c r="Z84" s="1"/>
    </row>
    <row r="85" spans="1:26" ht="39.75" customHeight="1">
      <c r="A85" s="171"/>
      <c r="B85" s="169"/>
      <c r="C85" s="169"/>
      <c r="D85" s="5">
        <v>79</v>
      </c>
      <c r="E85" s="5" t="s">
        <v>54</v>
      </c>
      <c r="F85" s="112"/>
      <c r="G85" s="112"/>
      <c r="H85" s="112"/>
      <c r="I85" s="112"/>
      <c r="J85" s="112"/>
      <c r="K85" s="112"/>
      <c r="L85" s="112"/>
      <c r="M85" s="112"/>
      <c r="N85" s="112"/>
      <c r="O85" s="112"/>
      <c r="P85" s="112"/>
      <c r="Q85" s="112"/>
      <c r="R85" s="112"/>
      <c r="S85" s="129"/>
      <c r="T85" s="129">
        <f t="shared" si="5"/>
        <v>0</v>
      </c>
      <c r="U85" s="130"/>
      <c r="V85" s="1"/>
      <c r="W85" s="1"/>
      <c r="X85" s="1"/>
      <c r="Y85" s="1"/>
      <c r="Z85" s="1"/>
    </row>
    <row r="86" spans="1:26" ht="39.75" customHeight="1">
      <c r="A86" s="171"/>
      <c r="B86" s="168" t="s">
        <v>153</v>
      </c>
      <c r="C86" s="168" t="s">
        <v>154</v>
      </c>
      <c r="D86" s="5">
        <v>80</v>
      </c>
      <c r="E86" s="5" t="s">
        <v>155</v>
      </c>
      <c r="F86" s="5"/>
      <c r="G86" s="5"/>
      <c r="H86" s="5"/>
      <c r="I86" s="5"/>
      <c r="J86" s="5"/>
      <c r="K86" s="25">
        <v>56</v>
      </c>
      <c r="L86" s="5"/>
      <c r="M86" s="6"/>
      <c r="N86" s="5"/>
      <c r="O86" s="5"/>
      <c r="P86" s="8">
        <f>11.67-0.002</f>
        <v>11.667999999999999</v>
      </c>
      <c r="Q86" s="6">
        <v>20</v>
      </c>
      <c r="R86" s="8"/>
      <c r="S86" s="5"/>
      <c r="T86" s="73">
        <f t="shared" si="4"/>
        <v>87.668000000000006</v>
      </c>
      <c r="U86" s="148" t="s">
        <v>875</v>
      </c>
      <c r="V86" s="1"/>
      <c r="W86" s="1"/>
      <c r="X86" s="1"/>
      <c r="Y86" s="1"/>
      <c r="Z86" s="1"/>
    </row>
    <row r="87" spans="1:26" ht="39.75" customHeight="1">
      <c r="A87" s="171"/>
      <c r="B87" s="171"/>
      <c r="C87" s="171"/>
      <c r="D87" s="5">
        <v>81</v>
      </c>
      <c r="E87" s="5" t="s">
        <v>156</v>
      </c>
      <c r="F87" s="5"/>
      <c r="G87" s="5"/>
      <c r="H87" s="5"/>
      <c r="I87" s="5"/>
      <c r="J87" s="5"/>
      <c r="K87" s="5"/>
      <c r="L87" s="5"/>
      <c r="M87" s="6">
        <v>143.51</v>
      </c>
      <c r="N87" s="6">
        <v>5</v>
      </c>
      <c r="O87" s="5"/>
      <c r="P87" s="8">
        <v>1</v>
      </c>
      <c r="Q87" s="8">
        <v>1</v>
      </c>
      <c r="R87" s="5"/>
      <c r="S87" s="5"/>
      <c r="T87" s="73">
        <f t="shared" si="4"/>
        <v>150.51</v>
      </c>
      <c r="U87" s="149" t="s">
        <v>876</v>
      </c>
      <c r="V87" s="1"/>
      <c r="W87" s="1"/>
      <c r="X87" s="1"/>
      <c r="Y87" s="1"/>
      <c r="Z87" s="1"/>
    </row>
    <row r="88" spans="1:26" ht="39.75" customHeight="1">
      <c r="A88" s="171"/>
      <c r="B88" s="171"/>
      <c r="C88" s="171"/>
      <c r="D88" s="5">
        <v>82</v>
      </c>
      <c r="E88" s="5" t="s">
        <v>157</v>
      </c>
      <c r="F88" s="5"/>
      <c r="G88" s="5"/>
      <c r="H88" s="5"/>
      <c r="I88" s="5"/>
      <c r="J88" s="5"/>
      <c r="K88" s="5"/>
      <c r="L88" s="5"/>
      <c r="M88" s="5"/>
      <c r="N88" s="5"/>
      <c r="O88" s="5"/>
      <c r="P88" s="8"/>
      <c r="Q88" s="5"/>
      <c r="R88" s="5"/>
      <c r="S88" s="5"/>
      <c r="T88" s="73">
        <f t="shared" si="4"/>
        <v>0</v>
      </c>
      <c r="U88" s="151"/>
      <c r="V88" s="1"/>
      <c r="W88" s="1"/>
      <c r="X88" s="1"/>
      <c r="Y88" s="1"/>
      <c r="Z88" s="1"/>
    </row>
    <row r="89" spans="1:26" ht="39.75" customHeight="1">
      <c r="A89" s="171"/>
      <c r="B89" s="169"/>
      <c r="C89" s="169"/>
      <c r="D89" s="5">
        <v>83</v>
      </c>
      <c r="E89" s="5" t="s">
        <v>158</v>
      </c>
      <c r="F89" s="5"/>
      <c r="G89" s="5"/>
      <c r="H89" s="5"/>
      <c r="I89" s="5"/>
      <c r="J89" s="5"/>
      <c r="K89" s="6">
        <f>55.75+2</f>
        <v>57.75</v>
      </c>
      <c r="L89" s="5"/>
      <c r="M89" s="8"/>
      <c r="N89" s="6">
        <v>6.5</v>
      </c>
      <c r="O89" s="5"/>
      <c r="P89" s="8">
        <v>2.48</v>
      </c>
      <c r="Q89" s="6"/>
      <c r="R89" s="8"/>
      <c r="S89" s="5"/>
      <c r="T89" s="73">
        <f t="shared" si="4"/>
        <v>66.73</v>
      </c>
      <c r="U89" s="149" t="s">
        <v>877</v>
      </c>
      <c r="V89" s="1"/>
      <c r="W89" s="1"/>
      <c r="X89" s="1"/>
      <c r="Y89" s="1"/>
      <c r="Z89" s="1"/>
    </row>
    <row r="90" spans="1:26" ht="39.75" customHeight="1">
      <c r="A90" s="171"/>
      <c r="B90" s="5" t="s">
        <v>159</v>
      </c>
      <c r="C90" s="5" t="s">
        <v>160</v>
      </c>
      <c r="D90" s="5">
        <v>84</v>
      </c>
      <c r="E90" s="5" t="s">
        <v>161</v>
      </c>
      <c r="F90" s="5"/>
      <c r="G90" s="5"/>
      <c r="H90" s="5"/>
      <c r="I90" s="6">
        <v>3.5</v>
      </c>
      <c r="J90" s="5"/>
      <c r="K90" s="6">
        <v>1940.672</v>
      </c>
      <c r="L90" s="5"/>
      <c r="M90" s="5"/>
      <c r="N90" s="6">
        <v>21.8</v>
      </c>
      <c r="O90" s="5"/>
      <c r="P90" s="5"/>
      <c r="Q90" s="6">
        <v>12</v>
      </c>
      <c r="R90" s="8">
        <v>1</v>
      </c>
      <c r="S90" s="5"/>
      <c r="T90" s="73">
        <f t="shared" si="4"/>
        <v>1978.972</v>
      </c>
      <c r="U90" s="76" t="s">
        <v>575</v>
      </c>
      <c r="V90" s="1"/>
      <c r="W90" s="1"/>
      <c r="X90" s="1"/>
      <c r="Y90" s="1"/>
      <c r="Z90" s="1"/>
    </row>
    <row r="91" spans="1:26" ht="111.75" customHeight="1">
      <c r="A91" s="171"/>
      <c r="B91" s="5" t="s">
        <v>162</v>
      </c>
      <c r="C91" s="5" t="s">
        <v>163</v>
      </c>
      <c r="D91" s="5">
        <v>85</v>
      </c>
      <c r="E91" s="5" t="s">
        <v>164</v>
      </c>
      <c r="F91" s="5"/>
      <c r="G91" s="5"/>
      <c r="H91" s="5"/>
      <c r="I91" s="5"/>
      <c r="J91" s="5"/>
      <c r="K91" s="6">
        <v>12.5</v>
      </c>
      <c r="L91" s="5"/>
      <c r="M91" s="5"/>
      <c r="N91" s="6">
        <v>1.5</v>
      </c>
      <c r="O91" s="5"/>
      <c r="P91" s="5"/>
      <c r="Q91" s="6">
        <v>5</v>
      </c>
      <c r="R91" s="8">
        <v>1.5</v>
      </c>
      <c r="S91" s="5"/>
      <c r="T91" s="73">
        <f t="shared" si="4"/>
        <v>20.5</v>
      </c>
      <c r="U91" s="88" t="s">
        <v>736</v>
      </c>
      <c r="V91" s="1"/>
      <c r="W91" s="1"/>
      <c r="X91" s="1"/>
      <c r="Y91" s="1"/>
      <c r="Z91" s="1"/>
    </row>
    <row r="92" spans="1:26" ht="39.75" customHeight="1">
      <c r="A92" s="171"/>
      <c r="B92" s="5" t="s">
        <v>166</v>
      </c>
      <c r="C92" s="5" t="s">
        <v>54</v>
      </c>
      <c r="D92" s="5">
        <v>86</v>
      </c>
      <c r="E92" s="5" t="s">
        <v>167</v>
      </c>
      <c r="F92" s="5"/>
      <c r="G92" s="5"/>
      <c r="H92" s="5"/>
      <c r="I92" s="5"/>
      <c r="J92" s="5"/>
      <c r="K92" s="5"/>
      <c r="L92" s="5"/>
      <c r="M92" s="5"/>
      <c r="N92" s="5"/>
      <c r="O92" s="5"/>
      <c r="P92" s="5"/>
      <c r="Q92" s="5"/>
      <c r="R92" s="5"/>
      <c r="S92" s="5"/>
      <c r="T92" s="73">
        <f t="shared" si="4"/>
        <v>0</v>
      </c>
      <c r="U92" s="76"/>
      <c r="V92" s="1"/>
      <c r="W92" s="1"/>
      <c r="X92" s="1"/>
      <c r="Y92" s="1"/>
      <c r="Z92" s="1"/>
    </row>
    <row r="93" spans="1:26" ht="39.75" customHeight="1">
      <c r="A93" s="169"/>
      <c r="B93" s="176" t="s">
        <v>168</v>
      </c>
      <c r="C93" s="177"/>
      <c r="D93" s="178"/>
      <c r="E93" s="51"/>
      <c r="F93" s="51">
        <f t="shared" ref="F93:S93" si="6">SUM(F69:F92)</f>
        <v>0</v>
      </c>
      <c r="G93" s="51">
        <f t="shared" si="6"/>
        <v>0</v>
      </c>
      <c r="H93" s="51">
        <f t="shared" si="6"/>
        <v>16</v>
      </c>
      <c r="I93" s="51">
        <f t="shared" si="6"/>
        <v>548.005</v>
      </c>
      <c r="J93" s="51">
        <f t="shared" si="6"/>
        <v>74.8</v>
      </c>
      <c r="K93" s="51">
        <f t="shared" si="6"/>
        <v>2377.0819999999999</v>
      </c>
      <c r="L93" s="51">
        <f t="shared" si="6"/>
        <v>0</v>
      </c>
      <c r="M93" s="56">
        <f t="shared" si="6"/>
        <v>4123.09</v>
      </c>
      <c r="N93" s="52">
        <f t="shared" si="6"/>
        <v>68.399999999999991</v>
      </c>
      <c r="O93" s="51">
        <f t="shared" si="6"/>
        <v>1.8800000000000001E-2</v>
      </c>
      <c r="P93" s="52">
        <f t="shared" si="6"/>
        <v>61.507999999999996</v>
      </c>
      <c r="Q93" s="51">
        <f t="shared" si="6"/>
        <v>138.1</v>
      </c>
      <c r="R93" s="56">
        <f t="shared" si="6"/>
        <v>73.824000000000012</v>
      </c>
      <c r="S93" s="56">
        <f t="shared" si="6"/>
        <v>100</v>
      </c>
      <c r="T93" s="74">
        <f t="shared" si="4"/>
        <v>7580.8277999999991</v>
      </c>
      <c r="U93" s="76"/>
      <c r="V93" s="1"/>
      <c r="W93" s="1"/>
      <c r="X93" s="1"/>
      <c r="Y93" s="1"/>
      <c r="Z93" s="1"/>
    </row>
    <row r="94" spans="1:26" ht="39.75" customHeight="1">
      <c r="A94" s="175" t="s">
        <v>169</v>
      </c>
      <c r="B94" s="168" t="s">
        <v>170</v>
      </c>
      <c r="C94" s="168" t="s">
        <v>171</v>
      </c>
      <c r="D94" s="5">
        <v>87</v>
      </c>
      <c r="E94" s="5" t="s">
        <v>172</v>
      </c>
      <c r="F94" s="114"/>
      <c r="G94" s="114"/>
      <c r="H94" s="114"/>
      <c r="I94" s="114"/>
      <c r="J94" s="114"/>
      <c r="K94" s="115"/>
      <c r="L94" s="114"/>
      <c r="M94" s="114"/>
      <c r="N94" s="114"/>
      <c r="O94" s="114"/>
      <c r="P94" s="114"/>
      <c r="Q94" s="114"/>
      <c r="R94" s="114"/>
      <c r="S94" s="116"/>
      <c r="T94" s="117">
        <f>SUM(F94:S94)</f>
        <v>0</v>
      </c>
      <c r="U94" s="88"/>
      <c r="V94" s="1"/>
      <c r="W94" s="1"/>
      <c r="X94" s="1"/>
      <c r="Y94" s="1"/>
      <c r="Z94" s="1"/>
    </row>
    <row r="95" spans="1:26" ht="39.75" customHeight="1">
      <c r="A95" s="171"/>
      <c r="B95" s="171"/>
      <c r="C95" s="171"/>
      <c r="D95" s="5">
        <v>88</v>
      </c>
      <c r="E95" s="5" t="s">
        <v>173</v>
      </c>
      <c r="F95" s="114"/>
      <c r="G95" s="114"/>
      <c r="H95" s="114"/>
      <c r="I95" s="114"/>
      <c r="J95" s="114"/>
      <c r="K95" s="114"/>
      <c r="L95" s="114"/>
      <c r="M95" s="114"/>
      <c r="N95" s="114"/>
      <c r="O95" s="114"/>
      <c r="P95" s="118"/>
      <c r="Q95" s="114"/>
      <c r="R95" s="114"/>
      <c r="S95" s="116"/>
      <c r="T95" s="117">
        <f t="shared" ref="T95:T103" si="7">SUM(F95:S95)</f>
        <v>0</v>
      </c>
      <c r="U95" s="88"/>
      <c r="V95" s="1"/>
      <c r="W95" s="1"/>
      <c r="X95" s="1"/>
      <c r="Y95" s="1"/>
      <c r="Z95" s="1"/>
    </row>
    <row r="96" spans="1:26" ht="39.75" customHeight="1">
      <c r="A96" s="171"/>
      <c r="B96" s="171"/>
      <c r="C96" s="171"/>
      <c r="D96" s="5">
        <v>89</v>
      </c>
      <c r="E96" s="5" t="s">
        <v>174</v>
      </c>
      <c r="F96" s="114"/>
      <c r="G96" s="114"/>
      <c r="H96" s="114"/>
      <c r="I96" s="114"/>
      <c r="J96" s="114"/>
      <c r="K96" s="114"/>
      <c r="L96" s="114"/>
      <c r="M96" s="114"/>
      <c r="N96" s="114"/>
      <c r="O96" s="114"/>
      <c r="P96" s="114"/>
      <c r="Q96" s="114"/>
      <c r="R96" s="114"/>
      <c r="S96" s="116"/>
      <c r="T96" s="117">
        <f t="shared" si="7"/>
        <v>0</v>
      </c>
      <c r="U96" s="88"/>
      <c r="V96" s="1"/>
      <c r="W96" s="1"/>
      <c r="X96" s="1"/>
      <c r="Y96" s="1"/>
      <c r="Z96" s="1"/>
    </row>
    <row r="97" spans="1:26" ht="39.75" customHeight="1">
      <c r="A97" s="171"/>
      <c r="B97" s="171"/>
      <c r="C97" s="171"/>
      <c r="D97" s="5">
        <v>90</v>
      </c>
      <c r="E97" s="5" t="s">
        <v>175</v>
      </c>
      <c r="F97" s="114"/>
      <c r="G97" s="114"/>
      <c r="H97" s="114"/>
      <c r="I97" s="114"/>
      <c r="J97" s="114"/>
      <c r="K97" s="114"/>
      <c r="L97" s="114"/>
      <c r="M97" s="114"/>
      <c r="N97" s="114"/>
      <c r="O97" s="114"/>
      <c r="P97" s="118"/>
      <c r="Q97" s="114"/>
      <c r="R97" s="114"/>
      <c r="S97" s="116"/>
      <c r="T97" s="117">
        <f t="shared" si="7"/>
        <v>0</v>
      </c>
      <c r="U97" s="88"/>
      <c r="V97" s="1"/>
      <c r="W97" s="1"/>
      <c r="X97" s="1"/>
      <c r="Y97" s="1"/>
      <c r="Z97" s="1"/>
    </row>
    <row r="98" spans="1:26" ht="39.75" customHeight="1">
      <c r="A98" s="171"/>
      <c r="B98" s="171"/>
      <c r="C98" s="171"/>
      <c r="D98" s="5">
        <v>91</v>
      </c>
      <c r="E98" s="5" t="s">
        <v>176</v>
      </c>
      <c r="F98" s="114"/>
      <c r="G98" s="114"/>
      <c r="H98" s="114"/>
      <c r="I98" s="114"/>
      <c r="J98" s="114"/>
      <c r="K98" s="115">
        <v>0</v>
      </c>
      <c r="L98" s="114"/>
      <c r="M98" s="114"/>
      <c r="N98" s="114"/>
      <c r="O98" s="114"/>
      <c r="P98" s="118">
        <v>0</v>
      </c>
      <c r="Q98" s="114"/>
      <c r="R98" s="114"/>
      <c r="S98" s="116"/>
      <c r="T98" s="117">
        <f t="shared" si="7"/>
        <v>0</v>
      </c>
      <c r="U98" s="121"/>
      <c r="V98" s="1"/>
      <c r="W98" s="1"/>
      <c r="X98" s="1"/>
      <c r="Y98" s="1"/>
      <c r="Z98" s="1"/>
    </row>
    <row r="99" spans="1:26" ht="39.75" customHeight="1">
      <c r="A99" s="171"/>
      <c r="B99" s="171"/>
      <c r="C99" s="171"/>
      <c r="D99" s="5">
        <v>92</v>
      </c>
      <c r="E99" s="5" t="s">
        <v>178</v>
      </c>
      <c r="F99" s="114"/>
      <c r="G99" s="114"/>
      <c r="H99" s="114"/>
      <c r="I99" s="114"/>
      <c r="J99" s="114"/>
      <c r="K99" s="114"/>
      <c r="L99" s="114"/>
      <c r="M99" s="114"/>
      <c r="N99" s="114"/>
      <c r="O99" s="114"/>
      <c r="P99" s="118"/>
      <c r="Q99" s="114"/>
      <c r="R99" s="114"/>
      <c r="S99" s="116"/>
      <c r="T99" s="117">
        <f t="shared" si="7"/>
        <v>0</v>
      </c>
      <c r="U99" s="122"/>
      <c r="V99" s="1"/>
      <c r="W99" s="1"/>
      <c r="X99" s="1"/>
      <c r="Y99" s="1"/>
      <c r="Z99" s="1"/>
    </row>
    <row r="100" spans="1:26" ht="39.75" customHeight="1">
      <c r="A100" s="171"/>
      <c r="B100" s="171"/>
      <c r="C100" s="171"/>
      <c r="D100" s="5">
        <v>93</v>
      </c>
      <c r="E100" s="5" t="s">
        <v>180</v>
      </c>
      <c r="F100" s="114"/>
      <c r="G100" s="114"/>
      <c r="H100" s="114"/>
      <c r="I100" s="118">
        <v>87.5</v>
      </c>
      <c r="J100" s="114"/>
      <c r="K100" s="114"/>
      <c r="L100" s="114"/>
      <c r="M100" s="114"/>
      <c r="N100" s="114"/>
      <c r="O100" s="114"/>
      <c r="P100" s="114"/>
      <c r="Q100" s="114"/>
      <c r="R100" s="114"/>
      <c r="S100" s="116"/>
      <c r="T100" s="117">
        <f t="shared" si="7"/>
        <v>87.5</v>
      </c>
      <c r="U100" s="121" t="s">
        <v>540</v>
      </c>
      <c r="V100" s="1"/>
      <c r="W100" s="1"/>
      <c r="X100" s="1"/>
      <c r="Y100" s="1"/>
      <c r="Z100" s="1"/>
    </row>
    <row r="101" spans="1:26" ht="39.75" customHeight="1">
      <c r="A101" s="171"/>
      <c r="B101" s="171"/>
      <c r="C101" s="171"/>
      <c r="D101" s="5">
        <v>94</v>
      </c>
      <c r="E101" s="5" t="s">
        <v>181</v>
      </c>
      <c r="F101" s="114"/>
      <c r="G101" s="114"/>
      <c r="H101" s="114"/>
      <c r="I101" s="118">
        <v>87.5</v>
      </c>
      <c r="J101" s="114"/>
      <c r="K101" s="114"/>
      <c r="L101" s="114"/>
      <c r="M101" s="114"/>
      <c r="N101" s="114"/>
      <c r="O101" s="114"/>
      <c r="P101" s="114"/>
      <c r="Q101" s="114"/>
      <c r="R101" s="114"/>
      <c r="S101" s="116"/>
      <c r="T101" s="117">
        <f t="shared" si="7"/>
        <v>87.5</v>
      </c>
      <c r="U101" s="121" t="s">
        <v>540</v>
      </c>
      <c r="V101" s="1"/>
      <c r="W101" s="1"/>
      <c r="X101" s="1"/>
      <c r="Y101" s="1"/>
      <c r="Z101" s="1"/>
    </row>
    <row r="102" spans="1:26" ht="151.5" customHeight="1">
      <c r="A102" s="171"/>
      <c r="B102" s="171"/>
      <c r="C102" s="171"/>
      <c r="D102" s="5">
        <v>95</v>
      </c>
      <c r="E102" s="5" t="s">
        <v>182</v>
      </c>
      <c r="F102" s="114"/>
      <c r="G102" s="114">
        <v>423.46</v>
      </c>
      <c r="H102" s="118">
        <v>0</v>
      </c>
      <c r="I102" s="115">
        <v>620</v>
      </c>
      <c r="J102" s="114"/>
      <c r="K102" s="114"/>
      <c r="L102" s="114"/>
      <c r="M102" s="114"/>
      <c r="N102" s="114"/>
      <c r="O102" s="114"/>
      <c r="P102" s="114"/>
      <c r="Q102" s="114"/>
      <c r="R102" s="114"/>
      <c r="S102" s="116"/>
      <c r="T102" s="117">
        <f t="shared" si="7"/>
        <v>1043.46</v>
      </c>
      <c r="U102" s="88" t="s">
        <v>734</v>
      </c>
      <c r="V102" s="1"/>
      <c r="W102" s="1"/>
      <c r="X102" s="1"/>
      <c r="Y102" s="1"/>
      <c r="Z102" s="1"/>
    </row>
    <row r="103" spans="1:26" ht="60" customHeight="1">
      <c r="A103" s="171"/>
      <c r="B103" s="169"/>
      <c r="C103" s="169"/>
      <c r="D103" s="5">
        <v>96</v>
      </c>
      <c r="E103" s="5" t="s">
        <v>183</v>
      </c>
      <c r="F103" s="114"/>
      <c r="G103" s="114"/>
      <c r="H103" s="114"/>
      <c r="I103" s="114"/>
      <c r="J103" s="114"/>
      <c r="K103" s="114"/>
      <c r="L103" s="114"/>
      <c r="M103" s="114"/>
      <c r="N103" s="115">
        <v>2</v>
      </c>
      <c r="O103" s="114"/>
      <c r="P103" s="114"/>
      <c r="Q103" s="115">
        <v>6</v>
      </c>
      <c r="R103" s="118">
        <v>6</v>
      </c>
      <c r="S103" s="116"/>
      <c r="T103" s="117">
        <f t="shared" si="7"/>
        <v>14</v>
      </c>
      <c r="U103" s="88" t="s">
        <v>735</v>
      </c>
      <c r="V103" s="1"/>
      <c r="W103" s="1"/>
      <c r="X103" s="1"/>
      <c r="Y103" s="1"/>
      <c r="Z103" s="1"/>
    </row>
    <row r="104" spans="1:26" ht="117.75" customHeight="1">
      <c r="A104" s="171"/>
      <c r="B104" s="168" t="s">
        <v>184</v>
      </c>
      <c r="C104" s="168" t="s">
        <v>185</v>
      </c>
      <c r="D104" s="5">
        <v>97</v>
      </c>
      <c r="E104" s="5" t="s">
        <v>186</v>
      </c>
      <c r="F104" s="5"/>
      <c r="G104" s="5"/>
      <c r="H104" s="5"/>
      <c r="I104" s="6"/>
      <c r="J104" s="5"/>
      <c r="K104" s="6">
        <v>140</v>
      </c>
      <c r="L104" s="5"/>
      <c r="M104" s="6"/>
      <c r="N104" s="6">
        <v>6</v>
      </c>
      <c r="O104" s="5"/>
      <c r="P104" s="8"/>
      <c r="Q104" s="6"/>
      <c r="R104" s="8">
        <v>0.7</v>
      </c>
      <c r="S104" s="5"/>
      <c r="T104" s="73">
        <f t="shared" si="4"/>
        <v>146.69999999999999</v>
      </c>
      <c r="U104" s="88" t="s">
        <v>695</v>
      </c>
      <c r="V104" s="1"/>
      <c r="W104" s="1"/>
      <c r="X104" s="1"/>
      <c r="Y104" s="1"/>
      <c r="Z104" s="1"/>
    </row>
    <row r="105" spans="1:26" ht="39.75" customHeight="1">
      <c r="A105" s="171"/>
      <c r="B105" s="169"/>
      <c r="C105" s="169"/>
      <c r="D105" s="5">
        <v>98</v>
      </c>
      <c r="E105" s="5" t="s">
        <v>54</v>
      </c>
      <c r="F105" s="5"/>
      <c r="G105" s="5"/>
      <c r="H105" s="5"/>
      <c r="I105" s="5"/>
      <c r="J105" s="5"/>
      <c r="K105" s="5"/>
      <c r="L105" s="5"/>
      <c r="M105" s="5"/>
      <c r="N105" s="5"/>
      <c r="O105" s="5"/>
      <c r="P105" s="5"/>
      <c r="Q105" s="5"/>
      <c r="R105" s="5"/>
      <c r="S105" s="5"/>
      <c r="T105" s="73">
        <f t="shared" si="4"/>
        <v>0</v>
      </c>
      <c r="U105" s="76"/>
      <c r="V105" s="1"/>
      <c r="W105" s="1"/>
      <c r="X105" s="1"/>
      <c r="Y105" s="1"/>
      <c r="Z105" s="1"/>
    </row>
    <row r="106" spans="1:26" ht="183" customHeight="1">
      <c r="A106" s="171"/>
      <c r="B106" s="168" t="s">
        <v>188</v>
      </c>
      <c r="C106" s="168" t="s">
        <v>189</v>
      </c>
      <c r="D106" s="5">
        <v>99</v>
      </c>
      <c r="E106" s="5" t="s">
        <v>190</v>
      </c>
      <c r="F106" s="5"/>
      <c r="G106" s="5"/>
      <c r="H106" s="8">
        <v>40</v>
      </c>
      <c r="I106" s="6"/>
      <c r="J106" s="5"/>
      <c r="K106" s="6">
        <v>140</v>
      </c>
      <c r="L106" s="5"/>
      <c r="M106" s="5"/>
      <c r="N106" s="6">
        <v>1.2</v>
      </c>
      <c r="O106" s="5"/>
      <c r="P106" s="5"/>
      <c r="Q106" s="6"/>
      <c r="R106" s="5"/>
      <c r="S106" s="5"/>
      <c r="T106" s="73">
        <f t="shared" si="4"/>
        <v>181.2</v>
      </c>
      <c r="U106" s="85" t="s">
        <v>694</v>
      </c>
      <c r="V106" s="1"/>
      <c r="W106" s="1"/>
      <c r="X106" s="1"/>
      <c r="Y106" s="1"/>
      <c r="Z106" s="1"/>
    </row>
    <row r="107" spans="1:26" ht="39.75" customHeight="1">
      <c r="A107" s="171"/>
      <c r="B107" s="171"/>
      <c r="C107" s="171"/>
      <c r="D107" s="5">
        <v>100</v>
      </c>
      <c r="E107" s="5" t="s">
        <v>192</v>
      </c>
      <c r="F107" s="5"/>
      <c r="G107" s="5"/>
      <c r="H107" s="5"/>
      <c r="I107" s="6"/>
      <c r="J107" s="5"/>
      <c r="K107" s="6"/>
      <c r="L107" s="5"/>
      <c r="M107" s="5"/>
      <c r="N107" s="5"/>
      <c r="O107" s="5"/>
      <c r="P107" s="5"/>
      <c r="Q107" s="5"/>
      <c r="R107" s="5"/>
      <c r="S107" s="5"/>
      <c r="T107" s="73">
        <f t="shared" si="4"/>
        <v>0</v>
      </c>
      <c r="U107" s="76"/>
      <c r="V107" s="1"/>
      <c r="W107" s="1"/>
      <c r="X107" s="1"/>
      <c r="Y107" s="1"/>
      <c r="Z107" s="1"/>
    </row>
    <row r="108" spans="1:26" ht="39.75" customHeight="1">
      <c r="A108" s="171"/>
      <c r="B108" s="171"/>
      <c r="C108" s="171"/>
      <c r="D108" s="5">
        <v>101</v>
      </c>
      <c r="E108" s="5" t="s">
        <v>194</v>
      </c>
      <c r="F108" s="5"/>
      <c r="G108" s="5"/>
      <c r="H108" s="5"/>
      <c r="I108" s="5"/>
      <c r="J108" s="5"/>
      <c r="K108" s="5"/>
      <c r="L108" s="5"/>
      <c r="M108" s="5"/>
      <c r="N108" s="5"/>
      <c r="O108" s="5"/>
      <c r="P108" s="5"/>
      <c r="Q108" s="5"/>
      <c r="R108" s="5"/>
      <c r="S108" s="5"/>
      <c r="T108" s="73">
        <f t="shared" si="4"/>
        <v>0</v>
      </c>
      <c r="U108" s="76"/>
      <c r="V108" s="1"/>
      <c r="W108" s="1"/>
      <c r="X108" s="1"/>
      <c r="Y108" s="1"/>
      <c r="Z108" s="1"/>
    </row>
    <row r="109" spans="1:26" ht="39.75" customHeight="1">
      <c r="A109" s="171"/>
      <c r="B109" s="171"/>
      <c r="C109" s="171"/>
      <c r="D109" s="5">
        <v>102</v>
      </c>
      <c r="E109" s="5" t="s">
        <v>195</v>
      </c>
      <c r="F109" s="5"/>
      <c r="G109" s="5"/>
      <c r="H109" s="5"/>
      <c r="I109" s="5"/>
      <c r="J109" s="5"/>
      <c r="K109" s="5"/>
      <c r="L109" s="5"/>
      <c r="M109" s="5"/>
      <c r="N109" s="5"/>
      <c r="O109" s="5"/>
      <c r="P109" s="5"/>
      <c r="Q109" s="6"/>
      <c r="R109" s="5"/>
      <c r="S109" s="5"/>
      <c r="T109" s="73">
        <f t="shared" si="4"/>
        <v>0</v>
      </c>
      <c r="U109" s="76"/>
      <c r="V109" s="1"/>
      <c r="W109" s="1"/>
      <c r="X109" s="1"/>
      <c r="Y109" s="1"/>
      <c r="Z109" s="1"/>
    </row>
    <row r="110" spans="1:26" ht="79.5" customHeight="1">
      <c r="A110" s="171"/>
      <c r="B110" s="169"/>
      <c r="C110" s="169"/>
      <c r="D110" s="5">
        <v>103</v>
      </c>
      <c r="E110" s="5" t="s">
        <v>54</v>
      </c>
      <c r="F110" s="5"/>
      <c r="G110" s="5"/>
      <c r="H110" s="5"/>
      <c r="I110" s="5"/>
      <c r="J110" s="5"/>
      <c r="K110" s="5"/>
      <c r="L110" s="5"/>
      <c r="M110" s="5"/>
      <c r="N110" s="5"/>
      <c r="O110" s="5"/>
      <c r="P110" s="8"/>
      <c r="Q110" s="5"/>
      <c r="R110" s="8"/>
      <c r="S110" s="8">
        <v>10</v>
      </c>
      <c r="T110" s="73">
        <f t="shared" si="4"/>
        <v>10</v>
      </c>
      <c r="U110" s="84" t="s">
        <v>693</v>
      </c>
      <c r="V110" s="1"/>
      <c r="W110" s="1"/>
      <c r="X110" s="1"/>
      <c r="Y110" s="1"/>
      <c r="Z110" s="1"/>
    </row>
    <row r="111" spans="1:26" ht="51.75" customHeight="1">
      <c r="A111" s="171"/>
      <c r="B111" s="168" t="s">
        <v>197</v>
      </c>
      <c r="C111" s="168" t="s">
        <v>198</v>
      </c>
      <c r="D111" s="5">
        <v>104</v>
      </c>
      <c r="E111" s="5" t="s">
        <v>199</v>
      </c>
      <c r="F111" s="5"/>
      <c r="G111" s="5"/>
      <c r="H111" s="5"/>
      <c r="I111" s="5"/>
      <c r="J111" s="5"/>
      <c r="K111" s="5"/>
      <c r="L111" s="5"/>
      <c r="M111" s="5"/>
      <c r="N111" s="8">
        <v>2</v>
      </c>
      <c r="O111" s="5"/>
      <c r="P111" s="8">
        <v>56</v>
      </c>
      <c r="Q111" s="8"/>
      <c r="R111" s="8"/>
      <c r="S111" s="8">
        <v>10</v>
      </c>
      <c r="T111" s="73">
        <f t="shared" si="4"/>
        <v>68</v>
      </c>
      <c r="U111" s="111" t="s">
        <v>692</v>
      </c>
      <c r="V111" s="1"/>
      <c r="W111" s="1"/>
      <c r="X111" s="1"/>
      <c r="Y111" s="1"/>
      <c r="Z111" s="1"/>
    </row>
    <row r="112" spans="1:26" ht="39.75" customHeight="1">
      <c r="A112" s="171"/>
      <c r="B112" s="171"/>
      <c r="C112" s="171"/>
      <c r="D112" s="5">
        <v>105</v>
      </c>
      <c r="E112" s="5" t="s">
        <v>200</v>
      </c>
      <c r="F112" s="5"/>
      <c r="G112" s="5"/>
      <c r="H112" s="5"/>
      <c r="I112" s="5"/>
      <c r="J112" s="5"/>
      <c r="K112" s="5"/>
      <c r="L112" s="5"/>
      <c r="M112" s="5"/>
      <c r="N112" s="5"/>
      <c r="O112" s="5"/>
      <c r="P112" s="5"/>
      <c r="Q112" s="5"/>
      <c r="R112" s="5"/>
      <c r="S112" s="5"/>
      <c r="T112" s="73">
        <f t="shared" si="4"/>
        <v>0</v>
      </c>
      <c r="U112" s="76"/>
      <c r="V112" s="1"/>
      <c r="W112" s="1"/>
      <c r="X112" s="1"/>
      <c r="Y112" s="1"/>
      <c r="Z112" s="1"/>
    </row>
    <row r="113" spans="1:26" ht="61.5" customHeight="1">
      <c r="A113" s="171"/>
      <c r="B113" s="169"/>
      <c r="C113" s="169"/>
      <c r="D113" s="5">
        <v>106</v>
      </c>
      <c r="E113" s="5" t="s">
        <v>201</v>
      </c>
      <c r="F113" s="5"/>
      <c r="G113" s="5"/>
      <c r="H113" s="5"/>
      <c r="I113" s="6">
        <v>24</v>
      </c>
      <c r="J113" s="5"/>
      <c r="K113" s="6">
        <v>72</v>
      </c>
      <c r="L113" s="5"/>
      <c r="M113" s="5"/>
      <c r="N113" s="6"/>
      <c r="O113" s="5"/>
      <c r="P113" s="8"/>
      <c r="Q113" s="6">
        <v>2</v>
      </c>
      <c r="R113" s="8">
        <v>6</v>
      </c>
      <c r="S113" s="8"/>
      <c r="T113" s="73">
        <f t="shared" si="4"/>
        <v>104</v>
      </c>
      <c r="U113" s="111" t="s">
        <v>690</v>
      </c>
      <c r="V113" s="1"/>
      <c r="W113" s="1"/>
      <c r="X113" s="1"/>
      <c r="Y113" s="1"/>
      <c r="Z113" s="1"/>
    </row>
    <row r="114" spans="1:26" ht="105" customHeight="1">
      <c r="A114" s="171"/>
      <c r="B114" s="168" t="s">
        <v>202</v>
      </c>
      <c r="C114" s="168" t="s">
        <v>203</v>
      </c>
      <c r="D114" s="5">
        <v>107</v>
      </c>
      <c r="E114" s="5" t="s">
        <v>204</v>
      </c>
      <c r="F114" s="5"/>
      <c r="G114" s="5"/>
      <c r="H114" s="5"/>
      <c r="I114" s="6">
        <v>36</v>
      </c>
      <c r="J114" s="5"/>
      <c r="K114" s="6">
        <v>432</v>
      </c>
      <c r="L114" s="5"/>
      <c r="M114" s="5"/>
      <c r="N114" s="6"/>
      <c r="O114" s="5"/>
      <c r="P114" s="8">
        <v>2</v>
      </c>
      <c r="Q114" s="5"/>
      <c r="R114" s="8"/>
      <c r="S114" s="5"/>
      <c r="T114" s="73">
        <f t="shared" si="4"/>
        <v>470</v>
      </c>
      <c r="U114" s="88" t="s">
        <v>688</v>
      </c>
      <c r="V114" s="1"/>
      <c r="W114" s="1"/>
      <c r="X114" s="1"/>
      <c r="Y114" s="1"/>
      <c r="Z114" s="1"/>
    </row>
    <row r="115" spans="1:26" ht="104.25" customHeight="1">
      <c r="A115" s="171"/>
      <c r="B115" s="171"/>
      <c r="C115" s="171"/>
      <c r="D115" s="5">
        <v>108</v>
      </c>
      <c r="E115" s="5" t="s">
        <v>206</v>
      </c>
      <c r="F115" s="5"/>
      <c r="G115" s="5"/>
      <c r="H115" s="5"/>
      <c r="I115" s="6">
        <v>114</v>
      </c>
      <c r="J115" s="5"/>
      <c r="K115" s="6">
        <v>456</v>
      </c>
      <c r="L115" s="5"/>
      <c r="M115" s="5"/>
      <c r="N115" s="5"/>
      <c r="O115" s="5"/>
      <c r="P115" s="8"/>
      <c r="Q115" s="5"/>
      <c r="R115" s="5"/>
      <c r="S115" s="5"/>
      <c r="T115" s="73">
        <f t="shared" si="4"/>
        <v>570</v>
      </c>
      <c r="U115" s="88" t="s">
        <v>687</v>
      </c>
      <c r="V115" s="1"/>
      <c r="W115" s="1"/>
      <c r="X115" s="1"/>
      <c r="Y115" s="1"/>
      <c r="Z115" s="1"/>
    </row>
    <row r="116" spans="1:26" ht="69" customHeight="1">
      <c r="A116" s="171"/>
      <c r="B116" s="171"/>
      <c r="C116" s="171"/>
      <c r="D116" s="5">
        <v>109</v>
      </c>
      <c r="E116" s="5" t="s">
        <v>208</v>
      </c>
      <c r="F116" s="5"/>
      <c r="G116" s="5"/>
      <c r="H116" s="8"/>
      <c r="I116" s="6">
        <v>100</v>
      </c>
      <c r="J116" s="5"/>
      <c r="K116" s="6">
        <v>180</v>
      </c>
      <c r="L116" s="5"/>
      <c r="M116" s="5"/>
      <c r="N116" s="5"/>
      <c r="O116" s="5"/>
      <c r="P116" s="5"/>
      <c r="Q116" s="5"/>
      <c r="R116" s="5"/>
      <c r="S116" s="5"/>
      <c r="T116" s="73">
        <f t="shared" si="4"/>
        <v>280</v>
      </c>
      <c r="U116" s="88" t="s">
        <v>685</v>
      </c>
      <c r="V116" s="1"/>
      <c r="W116" s="1"/>
      <c r="X116" s="1"/>
      <c r="Y116" s="1"/>
      <c r="Z116" s="1"/>
    </row>
    <row r="117" spans="1:26" ht="292.5" customHeight="1">
      <c r="A117" s="171"/>
      <c r="B117" s="171"/>
      <c r="C117" s="171"/>
      <c r="D117" s="5">
        <v>110</v>
      </c>
      <c r="E117" s="5" t="s">
        <v>209</v>
      </c>
      <c r="F117" s="5"/>
      <c r="G117" s="5"/>
      <c r="H117" s="5"/>
      <c r="I117" s="6">
        <v>70</v>
      </c>
      <c r="J117" s="5"/>
      <c r="K117" s="6">
        <v>1152</v>
      </c>
      <c r="L117" s="5"/>
      <c r="M117" s="8">
        <v>1661</v>
      </c>
      <c r="N117" s="6">
        <v>10</v>
      </c>
      <c r="O117" s="8"/>
      <c r="P117" s="6"/>
      <c r="Q117" s="8">
        <v>70</v>
      </c>
      <c r="R117" s="8">
        <v>3</v>
      </c>
      <c r="S117" s="5"/>
      <c r="T117" s="73">
        <f t="shared" si="4"/>
        <v>2966</v>
      </c>
      <c r="U117" s="88" t="s">
        <v>686</v>
      </c>
      <c r="V117" s="1"/>
      <c r="W117" s="1"/>
      <c r="X117" s="1"/>
      <c r="Y117" s="1"/>
      <c r="Z117" s="1"/>
    </row>
    <row r="118" spans="1:26" ht="48" customHeight="1">
      <c r="A118" s="171"/>
      <c r="B118" s="169"/>
      <c r="C118" s="169"/>
      <c r="D118" s="5">
        <v>111</v>
      </c>
      <c r="E118" s="5" t="s">
        <v>54</v>
      </c>
      <c r="F118" s="5"/>
      <c r="G118" s="5"/>
      <c r="H118" s="5"/>
      <c r="I118" s="8"/>
      <c r="J118" s="5"/>
      <c r="K118" s="8">
        <v>42</v>
      </c>
      <c r="L118" s="5"/>
      <c r="M118" s="5">
        <v>10</v>
      </c>
      <c r="N118" s="5"/>
      <c r="O118" s="5"/>
      <c r="P118" s="8"/>
      <c r="Q118" s="6"/>
      <c r="R118" s="5"/>
      <c r="S118" s="8">
        <v>25</v>
      </c>
      <c r="T118" s="73">
        <f t="shared" si="4"/>
        <v>77</v>
      </c>
      <c r="U118" s="111" t="s">
        <v>684</v>
      </c>
      <c r="V118" s="1"/>
      <c r="W118" s="1"/>
      <c r="X118" s="1"/>
      <c r="Y118" s="1"/>
      <c r="Z118" s="1"/>
    </row>
    <row r="119" spans="1:26" ht="39.75" customHeight="1">
      <c r="A119" s="171"/>
      <c r="B119" s="168" t="s">
        <v>211</v>
      </c>
      <c r="C119" s="168" t="s">
        <v>212</v>
      </c>
      <c r="D119" s="5">
        <v>112</v>
      </c>
      <c r="E119" s="5" t="s">
        <v>213</v>
      </c>
      <c r="F119" s="5"/>
      <c r="G119" s="5"/>
      <c r="H119" s="5"/>
      <c r="I119" s="6"/>
      <c r="J119" s="5"/>
      <c r="K119" s="6">
        <v>50</v>
      </c>
      <c r="L119" s="5"/>
      <c r="M119" s="5"/>
      <c r="N119" s="5"/>
      <c r="O119" s="5"/>
      <c r="P119" s="5"/>
      <c r="Q119" s="6"/>
      <c r="R119" s="5"/>
      <c r="S119" s="5"/>
      <c r="T119" s="73">
        <f t="shared" si="4"/>
        <v>50</v>
      </c>
      <c r="U119" s="76" t="s">
        <v>541</v>
      </c>
      <c r="V119" s="1"/>
      <c r="W119" s="1"/>
      <c r="X119" s="1"/>
      <c r="Y119" s="1"/>
      <c r="Z119" s="1"/>
    </row>
    <row r="120" spans="1:26" ht="105" customHeight="1">
      <c r="A120" s="171"/>
      <c r="B120" s="169"/>
      <c r="C120" s="169"/>
      <c r="D120" s="5">
        <v>113</v>
      </c>
      <c r="E120" s="5" t="s">
        <v>214</v>
      </c>
      <c r="F120" s="5"/>
      <c r="G120" s="5"/>
      <c r="H120" s="5"/>
      <c r="I120" s="6"/>
      <c r="J120" s="5"/>
      <c r="K120" s="6"/>
      <c r="L120" s="5"/>
      <c r="M120" s="6">
        <v>700</v>
      </c>
      <c r="N120" s="6">
        <v>1</v>
      </c>
      <c r="O120" s="5"/>
      <c r="P120" s="5"/>
      <c r="Q120" s="6"/>
      <c r="R120" s="5"/>
      <c r="S120" s="5"/>
      <c r="T120" s="73">
        <f t="shared" si="4"/>
        <v>701</v>
      </c>
      <c r="U120" s="76" t="s">
        <v>542</v>
      </c>
      <c r="V120" s="1"/>
      <c r="W120" s="1"/>
      <c r="X120" s="1"/>
      <c r="Y120" s="1"/>
      <c r="Z120" s="1"/>
    </row>
    <row r="121" spans="1:26" ht="54.75" customHeight="1">
      <c r="A121" s="171"/>
      <c r="B121" s="5" t="s">
        <v>216</v>
      </c>
      <c r="C121" s="5" t="s">
        <v>217</v>
      </c>
      <c r="D121" s="5">
        <v>114</v>
      </c>
      <c r="E121" s="5" t="s">
        <v>218</v>
      </c>
      <c r="F121" s="5"/>
      <c r="G121" s="5"/>
      <c r="H121" s="8"/>
      <c r="I121" s="5"/>
      <c r="J121" s="5"/>
      <c r="K121" s="5"/>
      <c r="L121" s="5"/>
      <c r="M121" s="5"/>
      <c r="N121" s="8">
        <v>2</v>
      </c>
      <c r="O121" s="5"/>
      <c r="P121" s="8">
        <v>6</v>
      </c>
      <c r="Q121" s="6">
        <v>30</v>
      </c>
      <c r="R121" s="8">
        <v>2</v>
      </c>
      <c r="S121" s="8">
        <v>5.3</v>
      </c>
      <c r="T121" s="73">
        <f t="shared" si="4"/>
        <v>45.3</v>
      </c>
      <c r="U121" s="111" t="s">
        <v>682</v>
      </c>
      <c r="V121" s="1"/>
      <c r="W121" s="1"/>
      <c r="X121" s="1"/>
      <c r="Y121" s="1"/>
      <c r="Z121" s="1"/>
    </row>
    <row r="122" spans="1:26" ht="39.75" customHeight="1">
      <c r="A122" s="171"/>
      <c r="B122" s="168" t="s">
        <v>219</v>
      </c>
      <c r="C122" s="168" t="s">
        <v>220</v>
      </c>
      <c r="D122" s="5">
        <v>115</v>
      </c>
      <c r="E122" s="5" t="s">
        <v>221</v>
      </c>
      <c r="F122" s="5"/>
      <c r="G122" s="5"/>
      <c r="H122" s="5"/>
      <c r="I122" s="5"/>
      <c r="J122" s="5"/>
      <c r="K122" s="5"/>
      <c r="L122" s="5"/>
      <c r="M122" s="6"/>
      <c r="N122" s="5"/>
      <c r="O122" s="5"/>
      <c r="P122" s="5"/>
      <c r="Q122" s="5"/>
      <c r="R122" s="5"/>
      <c r="S122" s="5"/>
      <c r="T122" s="73">
        <f t="shared" si="4"/>
        <v>0</v>
      </c>
      <c r="U122" s="76"/>
      <c r="V122" s="1"/>
      <c r="W122" s="1"/>
      <c r="X122" s="1"/>
      <c r="Y122" s="1"/>
      <c r="Z122" s="1"/>
    </row>
    <row r="123" spans="1:26" ht="141.75" customHeight="1">
      <c r="A123" s="171"/>
      <c r="B123" s="171"/>
      <c r="C123" s="171"/>
      <c r="D123" s="5">
        <v>116</v>
      </c>
      <c r="E123" s="5" t="s">
        <v>222</v>
      </c>
      <c r="F123" s="5"/>
      <c r="G123" s="5"/>
      <c r="H123" s="5"/>
      <c r="I123" s="5"/>
      <c r="J123" s="5"/>
      <c r="K123" s="5"/>
      <c r="L123" s="5"/>
      <c r="M123" s="6"/>
      <c r="N123" s="5"/>
      <c r="O123" s="5"/>
      <c r="P123" s="5"/>
      <c r="Q123" s="6">
        <v>3.75</v>
      </c>
      <c r="R123" s="5"/>
      <c r="S123" s="5"/>
      <c r="T123" s="73">
        <f t="shared" si="4"/>
        <v>3.75</v>
      </c>
      <c r="U123" s="88" t="s">
        <v>680</v>
      </c>
      <c r="V123" s="1"/>
      <c r="W123" s="1"/>
      <c r="X123" s="1"/>
      <c r="Y123" s="1"/>
      <c r="Z123" s="1"/>
    </row>
    <row r="124" spans="1:26" ht="39.75" customHeight="1">
      <c r="A124" s="171"/>
      <c r="B124" s="171"/>
      <c r="C124" s="171"/>
      <c r="D124" s="5">
        <v>117</v>
      </c>
      <c r="E124" s="5" t="s">
        <v>224</v>
      </c>
      <c r="F124" s="5"/>
      <c r="G124" s="5"/>
      <c r="H124" s="5"/>
      <c r="I124" s="5"/>
      <c r="J124" s="5"/>
      <c r="K124" s="5"/>
      <c r="L124" s="5"/>
      <c r="M124" s="5"/>
      <c r="N124" s="5"/>
      <c r="O124" s="5"/>
      <c r="P124" s="5"/>
      <c r="Q124" s="5"/>
      <c r="R124" s="5"/>
      <c r="S124" s="5"/>
      <c r="T124" s="73">
        <f t="shared" si="4"/>
        <v>0</v>
      </c>
      <c r="U124" s="76"/>
      <c r="V124" s="1"/>
      <c r="W124" s="1"/>
      <c r="X124" s="1"/>
      <c r="Y124" s="1"/>
      <c r="Z124" s="1"/>
    </row>
    <row r="125" spans="1:26" ht="39.75" customHeight="1">
      <c r="A125" s="171"/>
      <c r="B125" s="169"/>
      <c r="C125" s="169"/>
      <c r="D125" s="5">
        <v>118</v>
      </c>
      <c r="E125" s="5" t="s">
        <v>54</v>
      </c>
      <c r="F125" s="5"/>
      <c r="G125" s="5"/>
      <c r="H125" s="5"/>
      <c r="I125" s="5"/>
      <c r="J125" s="5"/>
      <c r="K125" s="5"/>
      <c r="L125" s="5"/>
      <c r="M125" s="5"/>
      <c r="N125" s="5"/>
      <c r="O125" s="5"/>
      <c r="P125" s="5"/>
      <c r="Q125" s="6"/>
      <c r="R125" s="5"/>
      <c r="S125" s="5"/>
      <c r="T125" s="73">
        <f t="shared" si="4"/>
        <v>0</v>
      </c>
      <c r="U125" s="76"/>
      <c r="V125" s="1"/>
      <c r="W125" s="1"/>
      <c r="X125" s="1"/>
      <c r="Y125" s="1"/>
      <c r="Z125" s="1"/>
    </row>
    <row r="126" spans="1:26" ht="34.5" customHeight="1">
      <c r="A126" s="171"/>
      <c r="B126" s="5" t="s">
        <v>225</v>
      </c>
      <c r="C126" s="5" t="s">
        <v>226</v>
      </c>
      <c r="D126" s="5">
        <v>119</v>
      </c>
      <c r="E126" s="5" t="s">
        <v>227</v>
      </c>
      <c r="F126" s="5"/>
      <c r="G126" s="5"/>
      <c r="H126" s="8"/>
      <c r="I126" s="6"/>
      <c r="J126" s="5"/>
      <c r="K126" s="5"/>
      <c r="L126" s="5"/>
      <c r="M126" s="5"/>
      <c r="N126" s="6"/>
      <c r="O126" s="5"/>
      <c r="P126" s="8"/>
      <c r="Q126" s="6">
        <v>10</v>
      </c>
      <c r="R126" s="5"/>
      <c r="S126" s="5"/>
      <c r="T126" s="73">
        <f t="shared" si="4"/>
        <v>10</v>
      </c>
      <c r="U126" s="111" t="s">
        <v>677</v>
      </c>
      <c r="V126" s="1"/>
      <c r="W126" s="1"/>
      <c r="X126" s="1"/>
      <c r="Y126" s="1"/>
      <c r="Z126" s="1"/>
    </row>
    <row r="127" spans="1:26" ht="39.75" customHeight="1">
      <c r="A127" s="171"/>
      <c r="B127" s="5" t="s">
        <v>228</v>
      </c>
      <c r="C127" s="5" t="s">
        <v>229</v>
      </c>
      <c r="D127" s="5">
        <v>120</v>
      </c>
      <c r="E127" s="5" t="s">
        <v>230</v>
      </c>
      <c r="F127" s="5"/>
      <c r="G127" s="5"/>
      <c r="H127" s="5"/>
      <c r="I127" s="5"/>
      <c r="J127" s="5"/>
      <c r="K127" s="8"/>
      <c r="L127" s="5"/>
      <c r="M127" s="8"/>
      <c r="N127" s="6"/>
      <c r="O127" s="5"/>
      <c r="P127" s="8"/>
      <c r="Q127" s="6"/>
      <c r="R127" s="8"/>
      <c r="S127" s="5"/>
      <c r="T127" s="73">
        <f t="shared" si="4"/>
        <v>0</v>
      </c>
      <c r="U127" s="76" t="s">
        <v>543</v>
      </c>
      <c r="V127" s="1"/>
      <c r="W127" s="1"/>
      <c r="X127" s="1"/>
      <c r="Y127" s="1"/>
      <c r="Z127" s="1"/>
    </row>
    <row r="128" spans="1:26" ht="39.75" customHeight="1">
      <c r="A128" s="171"/>
      <c r="B128" s="168" t="s">
        <v>231</v>
      </c>
      <c r="C128" s="168" t="s">
        <v>232</v>
      </c>
      <c r="D128" s="5">
        <v>121</v>
      </c>
      <c r="E128" s="5" t="s">
        <v>233</v>
      </c>
      <c r="F128" s="5"/>
      <c r="G128" s="5"/>
      <c r="H128" s="5"/>
      <c r="I128" s="6">
        <v>148</v>
      </c>
      <c r="J128" s="5"/>
      <c r="K128" s="5"/>
      <c r="L128" s="5"/>
      <c r="M128" s="5"/>
      <c r="N128" s="5"/>
      <c r="O128" s="5"/>
      <c r="P128" s="5"/>
      <c r="Q128" s="5"/>
      <c r="R128" s="5"/>
      <c r="S128" s="5"/>
      <c r="T128" s="73">
        <f t="shared" si="4"/>
        <v>148</v>
      </c>
      <c r="U128" s="85" t="s">
        <v>676</v>
      </c>
      <c r="V128" s="18"/>
      <c r="W128" s="1"/>
      <c r="X128" s="1"/>
      <c r="Y128" s="1"/>
      <c r="Z128" s="1"/>
    </row>
    <row r="129" spans="1:26" ht="39.75" customHeight="1">
      <c r="A129" s="171"/>
      <c r="B129" s="171"/>
      <c r="C129" s="171"/>
      <c r="D129" s="5">
        <v>122</v>
      </c>
      <c r="E129" s="5" t="s">
        <v>234</v>
      </c>
      <c r="F129" s="5"/>
      <c r="G129" s="5"/>
      <c r="H129" s="5"/>
      <c r="I129" s="5"/>
      <c r="J129" s="5"/>
      <c r="K129" s="5"/>
      <c r="L129" s="5"/>
      <c r="M129" s="5"/>
      <c r="N129" s="5"/>
      <c r="O129" s="5"/>
      <c r="P129" s="5"/>
      <c r="Q129" s="5"/>
      <c r="R129" s="5"/>
      <c r="S129" s="5"/>
      <c r="T129" s="73">
        <f t="shared" si="4"/>
        <v>0</v>
      </c>
      <c r="U129" s="81"/>
      <c r="V129" s="18"/>
      <c r="W129" s="1"/>
      <c r="X129" s="1"/>
      <c r="Y129" s="1"/>
      <c r="Z129" s="1"/>
    </row>
    <row r="130" spans="1:26" ht="39.75" customHeight="1">
      <c r="A130" s="171"/>
      <c r="B130" s="169"/>
      <c r="C130" s="169"/>
      <c r="D130" s="5">
        <v>123</v>
      </c>
      <c r="E130" s="5" t="s">
        <v>235</v>
      </c>
      <c r="F130" s="5"/>
      <c r="G130" s="5"/>
      <c r="H130" s="5"/>
      <c r="I130" s="5"/>
      <c r="J130" s="5"/>
      <c r="K130" s="5"/>
      <c r="L130" s="5"/>
      <c r="M130" s="5"/>
      <c r="N130" s="5"/>
      <c r="O130" s="5"/>
      <c r="P130" s="8">
        <v>0</v>
      </c>
      <c r="Q130" s="6">
        <v>20</v>
      </c>
      <c r="R130" s="5"/>
      <c r="S130" s="5"/>
      <c r="T130" s="73">
        <f t="shared" si="4"/>
        <v>20</v>
      </c>
      <c r="U130" s="81" t="s">
        <v>544</v>
      </c>
      <c r="V130" s="18"/>
      <c r="W130" s="1"/>
      <c r="X130" s="1"/>
      <c r="Y130" s="1"/>
      <c r="Z130" s="1"/>
    </row>
    <row r="131" spans="1:26" ht="78.75" customHeight="1">
      <c r="A131" s="171"/>
      <c r="B131" s="168" t="s">
        <v>237</v>
      </c>
      <c r="C131" s="168" t="s">
        <v>238</v>
      </c>
      <c r="D131" s="5">
        <v>124</v>
      </c>
      <c r="E131" s="5" t="s">
        <v>239</v>
      </c>
      <c r="F131" s="5"/>
      <c r="G131" s="5">
        <v>79.95</v>
      </c>
      <c r="H131" s="8">
        <v>60</v>
      </c>
      <c r="I131" s="5"/>
      <c r="J131" s="5"/>
      <c r="K131" s="5"/>
      <c r="L131" s="5"/>
      <c r="M131" s="5"/>
      <c r="N131" s="5"/>
      <c r="O131" s="5"/>
      <c r="P131" s="5"/>
      <c r="Q131" s="8"/>
      <c r="R131" s="5"/>
      <c r="S131" s="5"/>
      <c r="T131" s="73">
        <f t="shared" si="4"/>
        <v>139.94999999999999</v>
      </c>
      <c r="U131" s="84" t="s">
        <v>675</v>
      </c>
      <c r="V131" s="1"/>
      <c r="W131" s="1"/>
      <c r="X131" s="1"/>
      <c r="Y131" s="1"/>
      <c r="Z131" s="1"/>
    </row>
    <row r="132" spans="1:26" ht="92.25" customHeight="1">
      <c r="A132" s="171"/>
      <c r="B132" s="169"/>
      <c r="C132" s="169"/>
      <c r="D132" s="5">
        <v>125</v>
      </c>
      <c r="E132" s="5" t="s">
        <v>241</v>
      </c>
      <c r="F132" s="5"/>
      <c r="G132" s="5">
        <v>265</v>
      </c>
      <c r="H132" s="8"/>
      <c r="I132" s="5"/>
      <c r="J132" s="5"/>
      <c r="K132" s="5"/>
      <c r="L132" s="5"/>
      <c r="M132" s="5"/>
      <c r="N132" s="5"/>
      <c r="O132" s="5"/>
      <c r="P132" s="5"/>
      <c r="Q132" s="5"/>
      <c r="R132" s="5"/>
      <c r="S132" s="5"/>
      <c r="T132" s="73">
        <f t="shared" si="4"/>
        <v>265</v>
      </c>
      <c r="U132" s="76" t="s">
        <v>545</v>
      </c>
      <c r="V132" s="1"/>
      <c r="W132" s="1"/>
      <c r="X132" s="1"/>
      <c r="Y132" s="1"/>
      <c r="Z132" s="1"/>
    </row>
    <row r="133" spans="1:26" ht="39.75" customHeight="1">
      <c r="A133" s="171"/>
      <c r="B133" s="5" t="s">
        <v>242</v>
      </c>
      <c r="C133" s="5" t="s">
        <v>243</v>
      </c>
      <c r="D133" s="5">
        <v>126</v>
      </c>
      <c r="E133" s="5" t="s">
        <v>167</v>
      </c>
      <c r="F133" s="5"/>
      <c r="G133" s="5"/>
      <c r="H133" s="5"/>
      <c r="I133" s="5"/>
      <c r="J133" s="5"/>
      <c r="K133" s="5"/>
      <c r="L133" s="5"/>
      <c r="M133" s="5"/>
      <c r="N133" s="5"/>
      <c r="O133" s="5"/>
      <c r="P133" s="5"/>
      <c r="Q133" s="5"/>
      <c r="R133" s="5"/>
      <c r="S133" s="5"/>
      <c r="T133" s="73">
        <f t="shared" si="4"/>
        <v>0</v>
      </c>
      <c r="U133" s="76"/>
      <c r="V133" s="1"/>
      <c r="W133" s="1"/>
      <c r="X133" s="1"/>
      <c r="Y133" s="1"/>
      <c r="Z133" s="1"/>
    </row>
    <row r="134" spans="1:26" ht="39.75" customHeight="1">
      <c r="A134" s="169"/>
      <c r="B134" s="176" t="s">
        <v>244</v>
      </c>
      <c r="C134" s="177"/>
      <c r="D134" s="178"/>
      <c r="E134" s="51"/>
      <c r="F134" s="51">
        <f t="shared" ref="F134:S134" si="8">SUM(F94:F133)</f>
        <v>0</v>
      </c>
      <c r="G134" s="51">
        <f t="shared" si="8"/>
        <v>768.41</v>
      </c>
      <c r="H134" s="51">
        <f t="shared" si="8"/>
        <v>100</v>
      </c>
      <c r="I134" s="51">
        <f t="shared" si="8"/>
        <v>1287</v>
      </c>
      <c r="J134" s="51">
        <f t="shared" si="8"/>
        <v>0</v>
      </c>
      <c r="K134" s="52">
        <f t="shared" si="8"/>
        <v>2664</v>
      </c>
      <c r="L134" s="51">
        <f t="shared" si="8"/>
        <v>0</v>
      </c>
      <c r="M134" s="51">
        <f t="shared" si="8"/>
        <v>2371</v>
      </c>
      <c r="N134" s="51">
        <f t="shared" si="8"/>
        <v>24.2</v>
      </c>
      <c r="O134" s="51">
        <f t="shared" si="8"/>
        <v>0</v>
      </c>
      <c r="P134" s="51">
        <f t="shared" si="8"/>
        <v>64</v>
      </c>
      <c r="Q134" s="51">
        <f t="shared" si="8"/>
        <v>141.75</v>
      </c>
      <c r="R134" s="51">
        <f t="shared" si="8"/>
        <v>17.7</v>
      </c>
      <c r="S134" s="51">
        <f t="shared" si="8"/>
        <v>50.3</v>
      </c>
      <c r="T134" s="74">
        <f t="shared" ref="T134:T197" si="9">SUM(F134:S134)</f>
        <v>7488.36</v>
      </c>
      <c r="U134" s="76"/>
      <c r="V134" s="1"/>
      <c r="W134" s="1"/>
      <c r="X134" s="1"/>
      <c r="Y134" s="1"/>
      <c r="Z134" s="1"/>
    </row>
    <row r="135" spans="1:26" ht="39.75" customHeight="1">
      <c r="A135" s="175" t="s">
        <v>245</v>
      </c>
      <c r="B135" s="168" t="s">
        <v>246</v>
      </c>
      <c r="C135" s="168" t="s">
        <v>247</v>
      </c>
      <c r="D135" s="5">
        <v>127</v>
      </c>
      <c r="E135" s="5" t="s">
        <v>248</v>
      </c>
      <c r="F135" s="98"/>
      <c r="G135" s="98"/>
      <c r="H135" s="98"/>
      <c r="I135" s="98"/>
      <c r="J135" s="98"/>
      <c r="K135" s="98"/>
      <c r="L135" s="98"/>
      <c r="M135" s="98"/>
      <c r="N135" s="98"/>
      <c r="O135" s="98"/>
      <c r="P135" s="98"/>
      <c r="Q135" s="98"/>
      <c r="R135" s="98"/>
      <c r="S135" s="98"/>
      <c r="T135" s="99">
        <f>SUM(F135:S135)</f>
        <v>0</v>
      </c>
      <c r="U135" s="100"/>
      <c r="V135" s="1"/>
      <c r="W135" s="1"/>
      <c r="X135" s="1"/>
      <c r="Y135" s="1"/>
      <c r="Z135" s="1"/>
    </row>
    <row r="136" spans="1:26" ht="79.5" customHeight="1">
      <c r="A136" s="171"/>
      <c r="B136" s="169"/>
      <c r="C136" s="169"/>
      <c r="D136" s="5">
        <v>128</v>
      </c>
      <c r="E136" s="5" t="s">
        <v>249</v>
      </c>
      <c r="F136" s="98"/>
      <c r="G136" s="98"/>
      <c r="H136" s="98"/>
      <c r="I136" s="98"/>
      <c r="J136" s="98"/>
      <c r="K136" s="99">
        <v>1560</v>
      </c>
      <c r="L136" s="98"/>
      <c r="M136" s="98"/>
      <c r="N136" s="99">
        <v>21</v>
      </c>
      <c r="O136" s="98"/>
      <c r="P136" s="99"/>
      <c r="Q136" s="99"/>
      <c r="R136" s="98"/>
      <c r="S136" s="98"/>
      <c r="T136" s="99">
        <f>SUM(F136:S136)</f>
        <v>1581</v>
      </c>
      <c r="U136" s="101" t="s">
        <v>670</v>
      </c>
      <c r="V136" s="1"/>
      <c r="W136" s="1"/>
      <c r="X136" s="1"/>
      <c r="Y136" s="1"/>
      <c r="Z136" s="1"/>
    </row>
    <row r="137" spans="1:26" ht="39.75" customHeight="1">
      <c r="A137" s="171"/>
      <c r="B137" s="28"/>
      <c r="C137" s="28"/>
      <c r="D137" s="5">
        <v>129</v>
      </c>
      <c r="E137" s="5" t="s">
        <v>250</v>
      </c>
      <c r="F137" s="98"/>
      <c r="G137" s="98"/>
      <c r="H137" s="98"/>
      <c r="I137" s="98"/>
      <c r="J137" s="98"/>
      <c r="K137" s="98"/>
      <c r="L137" s="98"/>
      <c r="M137" s="98"/>
      <c r="N137" s="98"/>
      <c r="O137" s="98"/>
      <c r="P137" s="98"/>
      <c r="Q137" s="98"/>
      <c r="R137" s="98"/>
      <c r="S137" s="98"/>
      <c r="T137" s="99">
        <f t="shared" ref="T137:T157" si="10">SUM(F137:S137)</f>
        <v>0</v>
      </c>
      <c r="U137" s="100"/>
      <c r="V137" s="1"/>
      <c r="W137" s="1"/>
      <c r="X137" s="1"/>
      <c r="Y137" s="1"/>
      <c r="Z137" s="1"/>
    </row>
    <row r="138" spans="1:26" ht="39.75" customHeight="1">
      <c r="A138" s="171"/>
      <c r="B138" s="168" t="s">
        <v>251</v>
      </c>
      <c r="C138" s="168" t="s">
        <v>252</v>
      </c>
      <c r="D138" s="5">
        <v>130</v>
      </c>
      <c r="E138" s="5" t="s">
        <v>253</v>
      </c>
      <c r="F138" s="98"/>
      <c r="G138" s="98"/>
      <c r="H138" s="98"/>
      <c r="I138" s="98"/>
      <c r="J138" s="98"/>
      <c r="K138" s="98"/>
      <c r="L138" s="98"/>
      <c r="M138" s="98"/>
      <c r="N138" s="98"/>
      <c r="O138" s="98"/>
      <c r="P138" s="98"/>
      <c r="Q138" s="98"/>
      <c r="R138" s="98"/>
      <c r="S138" s="98"/>
      <c r="T138" s="99">
        <f t="shared" si="10"/>
        <v>0</v>
      </c>
      <c r="U138" s="100"/>
      <c r="V138" s="1"/>
      <c r="W138" s="1"/>
      <c r="X138" s="1"/>
      <c r="Y138" s="1"/>
      <c r="Z138" s="1"/>
    </row>
    <row r="139" spans="1:26" ht="39.75" customHeight="1">
      <c r="A139" s="171"/>
      <c r="B139" s="171"/>
      <c r="C139" s="171"/>
      <c r="D139" s="5">
        <v>131</v>
      </c>
      <c r="E139" s="5" t="s">
        <v>254</v>
      </c>
      <c r="F139" s="98"/>
      <c r="G139" s="98"/>
      <c r="H139" s="98"/>
      <c r="I139" s="98"/>
      <c r="J139" s="98"/>
      <c r="K139" s="98"/>
      <c r="L139" s="98"/>
      <c r="M139" s="98"/>
      <c r="N139" s="99">
        <f>0.01*1108</f>
        <v>11.08</v>
      </c>
      <c r="O139" s="98"/>
      <c r="P139" s="98"/>
      <c r="Q139" s="98"/>
      <c r="R139" s="98"/>
      <c r="S139" s="98"/>
      <c r="T139" s="99">
        <f t="shared" si="10"/>
        <v>11.08</v>
      </c>
      <c r="U139" s="102" t="s">
        <v>546</v>
      </c>
      <c r="V139" s="1"/>
      <c r="W139" s="1"/>
      <c r="X139" s="1"/>
      <c r="Y139" s="1"/>
      <c r="Z139" s="1"/>
    </row>
    <row r="140" spans="1:26" ht="39.75" customHeight="1">
      <c r="A140" s="171"/>
      <c r="B140" s="171"/>
      <c r="C140" s="171"/>
      <c r="D140" s="5">
        <v>132</v>
      </c>
      <c r="E140" s="5" t="s">
        <v>255</v>
      </c>
      <c r="F140" s="98"/>
      <c r="G140" s="98"/>
      <c r="H140" s="98"/>
      <c r="I140" s="98"/>
      <c r="J140" s="98"/>
      <c r="K140" s="98"/>
      <c r="L140" s="98"/>
      <c r="M140" s="98"/>
      <c r="N140" s="98"/>
      <c r="O140" s="98"/>
      <c r="P140" s="98"/>
      <c r="Q140" s="98"/>
      <c r="R140" s="98"/>
      <c r="S140" s="98"/>
      <c r="T140" s="99">
        <f t="shared" si="10"/>
        <v>0</v>
      </c>
      <c r="U140" s="100"/>
      <c r="V140" s="1"/>
      <c r="W140" s="1"/>
      <c r="X140" s="1"/>
      <c r="Y140" s="1"/>
      <c r="Z140" s="1"/>
    </row>
    <row r="141" spans="1:26" ht="39.75" customHeight="1">
      <c r="A141" s="171"/>
      <c r="B141" s="171"/>
      <c r="C141" s="171"/>
      <c r="D141" s="5">
        <v>133</v>
      </c>
      <c r="E141" s="5" t="s">
        <v>256</v>
      </c>
      <c r="F141" s="98"/>
      <c r="G141" s="98"/>
      <c r="H141" s="98"/>
      <c r="I141" s="98"/>
      <c r="J141" s="98"/>
      <c r="K141" s="98"/>
      <c r="L141" s="98"/>
      <c r="M141" s="98"/>
      <c r="N141" s="98"/>
      <c r="O141" s="98"/>
      <c r="P141" s="98"/>
      <c r="Q141" s="98"/>
      <c r="R141" s="98"/>
      <c r="S141" s="98"/>
      <c r="T141" s="99">
        <f t="shared" si="10"/>
        <v>0</v>
      </c>
      <c r="U141" s="100"/>
      <c r="V141" s="1"/>
      <c r="W141" s="1"/>
      <c r="X141" s="1"/>
      <c r="Y141" s="1"/>
      <c r="Z141" s="1"/>
    </row>
    <row r="142" spans="1:26" ht="39.75" customHeight="1">
      <c r="A142" s="171"/>
      <c r="B142" s="171"/>
      <c r="C142" s="171"/>
      <c r="D142" s="5">
        <v>134</v>
      </c>
      <c r="E142" s="5" t="s">
        <v>257</v>
      </c>
      <c r="F142" s="98"/>
      <c r="G142" s="98"/>
      <c r="H142" s="98"/>
      <c r="I142" s="98"/>
      <c r="J142" s="98"/>
      <c r="K142" s="98"/>
      <c r="L142" s="98"/>
      <c r="M142" s="98"/>
      <c r="N142" s="98"/>
      <c r="O142" s="98"/>
      <c r="P142" s="99">
        <v>2.7</v>
      </c>
      <c r="Q142" s="98"/>
      <c r="R142" s="98"/>
      <c r="S142" s="98"/>
      <c r="T142" s="99">
        <f t="shared" si="10"/>
        <v>2.7</v>
      </c>
      <c r="U142" s="101" t="s">
        <v>547</v>
      </c>
      <c r="V142" s="1"/>
      <c r="W142" s="1"/>
      <c r="X142" s="1"/>
      <c r="Y142" s="1"/>
      <c r="Z142" s="1"/>
    </row>
    <row r="143" spans="1:26" ht="39.75" customHeight="1">
      <c r="A143" s="171"/>
      <c r="B143" s="171"/>
      <c r="C143" s="171"/>
      <c r="D143" s="5">
        <v>135</v>
      </c>
      <c r="E143" s="5" t="s">
        <v>259</v>
      </c>
      <c r="F143" s="98"/>
      <c r="G143" s="98"/>
      <c r="H143" s="98"/>
      <c r="I143" s="98"/>
      <c r="J143" s="98"/>
      <c r="K143" s="98"/>
      <c r="L143" s="98"/>
      <c r="M143" s="98"/>
      <c r="N143" s="98"/>
      <c r="O143" s="98"/>
      <c r="P143" s="98"/>
      <c r="Q143" s="98"/>
      <c r="R143" s="98"/>
      <c r="S143" s="98"/>
      <c r="T143" s="99">
        <f t="shared" si="10"/>
        <v>0</v>
      </c>
      <c r="U143" s="100"/>
      <c r="V143" s="1"/>
      <c r="W143" s="1"/>
      <c r="X143" s="1"/>
      <c r="Y143" s="1"/>
      <c r="Z143" s="1"/>
    </row>
    <row r="144" spans="1:26" ht="39.75" customHeight="1">
      <c r="A144" s="171"/>
      <c r="B144" s="169"/>
      <c r="C144" s="169"/>
      <c r="D144" s="5">
        <v>136</v>
      </c>
      <c r="E144" s="5" t="s">
        <v>260</v>
      </c>
      <c r="F144" s="98"/>
      <c r="G144" s="98"/>
      <c r="H144" s="98"/>
      <c r="I144" s="98"/>
      <c r="J144" s="98"/>
      <c r="K144" s="98"/>
      <c r="L144" s="98"/>
      <c r="M144" s="98"/>
      <c r="N144" s="98"/>
      <c r="O144" s="98"/>
      <c r="P144" s="99">
        <v>30</v>
      </c>
      <c r="Q144" s="98"/>
      <c r="R144" s="98"/>
      <c r="S144" s="98"/>
      <c r="T144" s="99">
        <f t="shared" si="10"/>
        <v>30</v>
      </c>
      <c r="U144" s="101" t="s">
        <v>548</v>
      </c>
      <c r="V144" s="1"/>
      <c r="W144" s="1"/>
      <c r="X144" s="1"/>
      <c r="Y144" s="1"/>
      <c r="Z144" s="1"/>
    </row>
    <row r="145" spans="1:26" ht="39.75" customHeight="1">
      <c r="A145" s="171"/>
      <c r="B145" s="168" t="s">
        <v>261</v>
      </c>
      <c r="C145" s="168" t="s">
        <v>262</v>
      </c>
      <c r="D145" s="5">
        <v>137</v>
      </c>
      <c r="E145" s="5" t="s">
        <v>263</v>
      </c>
      <c r="F145" s="98"/>
      <c r="G145" s="98"/>
      <c r="H145" s="98"/>
      <c r="I145" s="98"/>
      <c r="J145" s="98"/>
      <c r="K145" s="98"/>
      <c r="L145" s="98"/>
      <c r="M145" s="99"/>
      <c r="N145" s="98"/>
      <c r="O145" s="98"/>
      <c r="P145" s="99">
        <v>0.72</v>
      </c>
      <c r="Q145" s="98"/>
      <c r="R145" s="98"/>
      <c r="S145" s="98"/>
      <c r="T145" s="99">
        <f t="shared" si="10"/>
        <v>0.72</v>
      </c>
      <c r="U145" s="101" t="s">
        <v>671</v>
      </c>
      <c r="V145" s="1"/>
      <c r="W145" s="1"/>
      <c r="X145" s="1"/>
      <c r="Y145" s="1"/>
      <c r="Z145" s="1"/>
    </row>
    <row r="146" spans="1:26" ht="39.75" customHeight="1">
      <c r="A146" s="171"/>
      <c r="B146" s="169"/>
      <c r="C146" s="169"/>
      <c r="D146" s="5">
        <v>138</v>
      </c>
      <c r="E146" s="5" t="s">
        <v>265</v>
      </c>
      <c r="F146" s="103"/>
      <c r="G146" s="103"/>
      <c r="H146" s="98"/>
      <c r="I146" s="98"/>
      <c r="J146" s="103"/>
      <c r="K146" s="98">
        <v>30</v>
      </c>
      <c r="L146" s="103"/>
      <c r="M146" s="104"/>
      <c r="N146" s="103"/>
      <c r="O146" s="103"/>
      <c r="P146" s="103"/>
      <c r="Q146" s="103"/>
      <c r="R146" s="103"/>
      <c r="S146" s="103"/>
      <c r="T146" s="104">
        <f t="shared" si="10"/>
        <v>30</v>
      </c>
      <c r="U146" s="105" t="s">
        <v>549</v>
      </c>
      <c r="V146" s="1"/>
      <c r="W146" s="1"/>
      <c r="X146" s="1"/>
      <c r="Y146" s="1"/>
      <c r="Z146" s="1"/>
    </row>
    <row r="147" spans="1:26" ht="39.75" customHeight="1">
      <c r="A147" s="171"/>
      <c r="B147" s="168" t="s">
        <v>266</v>
      </c>
      <c r="C147" s="168" t="s">
        <v>267</v>
      </c>
      <c r="D147" s="5">
        <v>139</v>
      </c>
      <c r="E147" s="5" t="s">
        <v>268</v>
      </c>
      <c r="F147" s="98"/>
      <c r="G147" s="98"/>
      <c r="H147" s="98"/>
      <c r="I147" s="98"/>
      <c r="J147" s="98"/>
      <c r="K147" s="98"/>
      <c r="L147" s="98"/>
      <c r="M147" s="98"/>
      <c r="N147" s="99">
        <v>2.6</v>
      </c>
      <c r="O147" s="98"/>
      <c r="P147" s="99"/>
      <c r="Q147" s="98"/>
      <c r="R147" s="99">
        <v>1.2</v>
      </c>
      <c r="S147" s="98"/>
      <c r="T147" s="99">
        <f t="shared" si="10"/>
        <v>3.8</v>
      </c>
      <c r="U147" s="101" t="s">
        <v>672</v>
      </c>
      <c r="V147" s="1"/>
      <c r="W147" s="1"/>
      <c r="X147" s="1"/>
      <c r="Y147" s="1"/>
      <c r="Z147" s="1"/>
    </row>
    <row r="148" spans="1:26" ht="39.75" customHeight="1">
      <c r="A148" s="171"/>
      <c r="B148" s="171"/>
      <c r="C148" s="171"/>
      <c r="D148" s="5">
        <v>140</v>
      </c>
      <c r="E148" s="5" t="s">
        <v>269</v>
      </c>
      <c r="F148" s="98"/>
      <c r="G148" s="98"/>
      <c r="H148" s="98"/>
      <c r="I148" s="98"/>
      <c r="J148" s="98"/>
      <c r="K148" s="98"/>
      <c r="L148" s="98"/>
      <c r="M148" s="98"/>
      <c r="N148" s="98"/>
      <c r="O148" s="98"/>
      <c r="P148" s="99">
        <v>19.5</v>
      </c>
      <c r="Q148" s="98"/>
      <c r="R148" s="98"/>
      <c r="S148" s="98"/>
      <c r="T148" s="99">
        <f t="shared" si="10"/>
        <v>19.5</v>
      </c>
      <c r="U148" s="101" t="s">
        <v>673</v>
      </c>
      <c r="V148" s="1"/>
      <c r="W148" s="1"/>
      <c r="X148" s="1"/>
      <c r="Y148" s="1"/>
      <c r="Z148" s="1"/>
    </row>
    <row r="149" spans="1:26" ht="39.75" customHeight="1">
      <c r="A149" s="171"/>
      <c r="B149" s="169"/>
      <c r="C149" s="169"/>
      <c r="D149" s="5">
        <v>141</v>
      </c>
      <c r="E149" s="5" t="s">
        <v>270</v>
      </c>
      <c r="F149" s="98"/>
      <c r="G149" s="98"/>
      <c r="H149" s="98"/>
      <c r="I149" s="98"/>
      <c r="J149" s="98"/>
      <c r="K149" s="98"/>
      <c r="L149" s="98"/>
      <c r="M149" s="98"/>
      <c r="N149" s="98"/>
      <c r="O149" s="98"/>
      <c r="P149" s="98"/>
      <c r="Q149" s="98"/>
      <c r="R149" s="98"/>
      <c r="S149" s="98"/>
      <c r="T149" s="99">
        <f t="shared" si="10"/>
        <v>0</v>
      </c>
      <c r="U149" s="100"/>
      <c r="V149" s="1"/>
      <c r="W149" s="1"/>
      <c r="X149" s="1"/>
      <c r="Y149" s="1"/>
      <c r="Z149" s="1"/>
    </row>
    <row r="150" spans="1:26" ht="39.75" customHeight="1">
      <c r="A150" s="171"/>
      <c r="B150" s="168" t="s">
        <v>271</v>
      </c>
      <c r="C150" s="168" t="s">
        <v>272</v>
      </c>
      <c r="D150" s="5">
        <v>142</v>
      </c>
      <c r="E150" s="5" t="s">
        <v>273</v>
      </c>
      <c r="F150" s="98"/>
      <c r="G150" s="98"/>
      <c r="H150" s="98"/>
      <c r="I150" s="98"/>
      <c r="J150" s="98"/>
      <c r="K150" s="98"/>
      <c r="L150" s="98"/>
      <c r="M150" s="98"/>
      <c r="N150" s="98"/>
      <c r="O150" s="98"/>
      <c r="P150" s="98"/>
      <c r="Q150" s="98"/>
      <c r="R150" s="98">
        <v>160.31</v>
      </c>
      <c r="S150" s="98"/>
      <c r="T150" s="99">
        <f t="shared" si="10"/>
        <v>160.31</v>
      </c>
      <c r="U150" s="100"/>
      <c r="V150" s="1"/>
      <c r="W150" s="1"/>
      <c r="X150" s="1"/>
      <c r="Y150" s="1"/>
      <c r="Z150" s="1"/>
    </row>
    <row r="151" spans="1:26" ht="39.75" customHeight="1">
      <c r="A151" s="171"/>
      <c r="B151" s="171"/>
      <c r="C151" s="171"/>
      <c r="D151" s="5">
        <v>143</v>
      </c>
      <c r="E151" s="5" t="s">
        <v>274</v>
      </c>
      <c r="F151" s="98"/>
      <c r="G151" s="98"/>
      <c r="H151" s="98"/>
      <c r="I151" s="98"/>
      <c r="J151" s="98"/>
      <c r="K151" s="98"/>
      <c r="L151" s="98"/>
      <c r="M151" s="98"/>
      <c r="N151" s="98"/>
      <c r="O151" s="98"/>
      <c r="P151" s="98"/>
      <c r="Q151" s="98"/>
      <c r="R151" s="98"/>
      <c r="S151" s="98"/>
      <c r="T151" s="99">
        <f t="shared" si="10"/>
        <v>0</v>
      </c>
      <c r="U151" s="100"/>
      <c r="V151" s="1"/>
      <c r="W151" s="1"/>
      <c r="X151" s="1"/>
      <c r="Y151" s="1"/>
      <c r="Z151" s="1"/>
    </row>
    <row r="152" spans="1:26" ht="39.75" customHeight="1">
      <c r="A152" s="171"/>
      <c r="B152" s="171"/>
      <c r="C152" s="171"/>
      <c r="D152" s="5">
        <v>144</v>
      </c>
      <c r="E152" s="5" t="s">
        <v>275</v>
      </c>
      <c r="F152" s="98"/>
      <c r="G152" s="98"/>
      <c r="H152" s="98"/>
      <c r="I152" s="98"/>
      <c r="J152" s="98"/>
      <c r="K152" s="98"/>
      <c r="L152" s="98"/>
      <c r="M152" s="98"/>
      <c r="N152" s="98"/>
      <c r="O152" s="98"/>
      <c r="P152" s="98"/>
      <c r="Q152" s="98"/>
      <c r="R152" s="98"/>
      <c r="S152" s="98"/>
      <c r="T152" s="99">
        <f t="shared" si="10"/>
        <v>0</v>
      </c>
      <c r="U152" s="100"/>
      <c r="V152" s="1"/>
      <c r="W152" s="1"/>
      <c r="X152" s="1"/>
      <c r="Y152" s="1"/>
      <c r="Z152" s="1"/>
    </row>
    <row r="153" spans="1:26" ht="39.75" customHeight="1">
      <c r="A153" s="171"/>
      <c r="B153" s="169"/>
      <c r="C153" s="169"/>
      <c r="D153" s="5">
        <v>145</v>
      </c>
      <c r="E153" s="5" t="s">
        <v>276</v>
      </c>
      <c r="F153" s="98"/>
      <c r="G153" s="98"/>
      <c r="H153" s="98"/>
      <c r="I153" s="98"/>
      <c r="J153" s="98"/>
      <c r="K153" s="98"/>
      <c r="L153" s="98"/>
      <c r="M153" s="98"/>
      <c r="N153" s="98"/>
      <c r="O153" s="98"/>
      <c r="P153" s="98"/>
      <c r="Q153" s="98"/>
      <c r="R153" s="98"/>
      <c r="S153" s="98"/>
      <c r="T153" s="99">
        <f t="shared" si="10"/>
        <v>0</v>
      </c>
      <c r="U153" s="100"/>
      <c r="V153" s="1"/>
      <c r="W153" s="1"/>
      <c r="X153" s="1"/>
      <c r="Y153" s="1"/>
      <c r="Z153" s="1"/>
    </row>
    <row r="154" spans="1:26" ht="39.75" customHeight="1">
      <c r="A154" s="171"/>
      <c r="B154" s="5" t="s">
        <v>277</v>
      </c>
      <c r="C154" s="5" t="s">
        <v>278</v>
      </c>
      <c r="D154" s="5">
        <v>146</v>
      </c>
      <c r="E154" s="5" t="s">
        <v>279</v>
      </c>
      <c r="F154" s="98"/>
      <c r="G154" s="98"/>
      <c r="H154" s="98"/>
      <c r="I154" s="98"/>
      <c r="J154" s="98"/>
      <c r="K154" s="98"/>
      <c r="L154" s="98"/>
      <c r="M154" s="98"/>
      <c r="N154" s="98"/>
      <c r="O154" s="98"/>
      <c r="P154" s="98"/>
      <c r="Q154" s="98"/>
      <c r="R154" s="99">
        <f>5.4+3.6</f>
        <v>9</v>
      </c>
      <c r="S154" s="98"/>
      <c r="T154" s="99">
        <f t="shared" si="10"/>
        <v>9</v>
      </c>
      <c r="U154" s="101" t="s">
        <v>550</v>
      </c>
      <c r="V154" s="1"/>
      <c r="W154" s="1"/>
      <c r="X154" s="1"/>
      <c r="Y154" s="1"/>
      <c r="Z154" s="1"/>
    </row>
    <row r="155" spans="1:26" ht="39.75" customHeight="1">
      <c r="A155" s="171"/>
      <c r="B155" s="5" t="s">
        <v>281</v>
      </c>
      <c r="C155" s="5" t="s">
        <v>282</v>
      </c>
      <c r="D155" s="5">
        <v>147</v>
      </c>
      <c r="E155" s="5" t="s">
        <v>149</v>
      </c>
      <c r="F155" s="98"/>
      <c r="G155" s="98"/>
      <c r="H155" s="98"/>
      <c r="I155" s="98"/>
      <c r="J155" s="98"/>
      <c r="K155" s="98"/>
      <c r="L155" s="98"/>
      <c r="M155" s="98"/>
      <c r="N155" s="98"/>
      <c r="O155" s="98"/>
      <c r="P155" s="98"/>
      <c r="Q155" s="98"/>
      <c r="R155" s="98"/>
      <c r="S155" s="98"/>
      <c r="T155" s="99">
        <f t="shared" si="10"/>
        <v>0</v>
      </c>
      <c r="U155" s="100"/>
      <c r="V155" s="1"/>
      <c r="W155" s="1"/>
      <c r="X155" s="1"/>
      <c r="Y155" s="1"/>
      <c r="Z155" s="1"/>
    </row>
    <row r="156" spans="1:26" ht="39.75" customHeight="1">
      <c r="A156" s="171"/>
      <c r="B156" s="5" t="s">
        <v>283</v>
      </c>
      <c r="C156" s="5" t="s">
        <v>284</v>
      </c>
      <c r="D156" s="5">
        <v>148</v>
      </c>
      <c r="E156" s="5" t="s">
        <v>285</v>
      </c>
      <c r="F156" s="98"/>
      <c r="G156" s="98"/>
      <c r="H156" s="98"/>
      <c r="I156" s="98"/>
      <c r="J156" s="98"/>
      <c r="K156" s="98"/>
      <c r="L156" s="98"/>
      <c r="M156" s="98"/>
      <c r="N156" s="99"/>
      <c r="O156" s="98"/>
      <c r="P156" s="99"/>
      <c r="Q156" s="98"/>
      <c r="R156" s="98"/>
      <c r="S156" s="98"/>
      <c r="T156" s="99">
        <f t="shared" si="10"/>
        <v>0</v>
      </c>
      <c r="U156" s="101" t="s">
        <v>551</v>
      </c>
      <c r="V156" s="1"/>
      <c r="W156" s="1"/>
      <c r="X156" s="1"/>
      <c r="Y156" s="1"/>
      <c r="Z156" s="1"/>
    </row>
    <row r="157" spans="1:26" ht="39.75" customHeight="1">
      <c r="A157" s="171"/>
      <c r="B157" s="5" t="s">
        <v>286</v>
      </c>
      <c r="C157" s="5" t="s">
        <v>287</v>
      </c>
      <c r="D157" s="5">
        <v>149</v>
      </c>
      <c r="E157" s="5" t="s">
        <v>288</v>
      </c>
      <c r="F157" s="106"/>
      <c r="G157" s="106"/>
      <c r="H157" s="106"/>
      <c r="I157" s="106"/>
      <c r="J157" s="106"/>
      <c r="K157" s="106"/>
      <c r="L157" s="106"/>
      <c r="M157" s="106"/>
      <c r="N157" s="106"/>
      <c r="O157" s="106"/>
      <c r="P157" s="99">
        <f>0.05*1108</f>
        <v>55.400000000000006</v>
      </c>
      <c r="Q157" s="106"/>
      <c r="R157" s="106"/>
      <c r="S157" s="106"/>
      <c r="T157" s="99">
        <f t="shared" si="10"/>
        <v>55.400000000000006</v>
      </c>
      <c r="U157" s="101" t="s">
        <v>674</v>
      </c>
      <c r="V157" s="1"/>
      <c r="W157" s="1"/>
      <c r="X157" s="1"/>
      <c r="Y157" s="1"/>
      <c r="Z157" s="1"/>
    </row>
    <row r="158" spans="1:26" ht="39.75" customHeight="1">
      <c r="A158" s="169"/>
      <c r="B158" s="176" t="s">
        <v>289</v>
      </c>
      <c r="C158" s="177"/>
      <c r="D158" s="178"/>
      <c r="E158" s="51"/>
      <c r="F158" s="51">
        <f t="shared" ref="F158:S158" si="11">SUM(F135:F157)</f>
        <v>0</v>
      </c>
      <c r="G158" s="51">
        <f t="shared" si="11"/>
        <v>0</v>
      </c>
      <c r="H158" s="51">
        <f t="shared" si="11"/>
        <v>0</v>
      </c>
      <c r="I158" s="51">
        <f t="shared" si="11"/>
        <v>0</v>
      </c>
      <c r="J158" s="51">
        <f t="shared" si="11"/>
        <v>0</v>
      </c>
      <c r="K158" s="51">
        <f t="shared" si="11"/>
        <v>1590</v>
      </c>
      <c r="L158" s="51">
        <f t="shared" si="11"/>
        <v>0</v>
      </c>
      <c r="M158" s="51">
        <f t="shared" si="11"/>
        <v>0</v>
      </c>
      <c r="N158" s="51">
        <f t="shared" si="11"/>
        <v>34.68</v>
      </c>
      <c r="O158" s="51">
        <f t="shared" si="11"/>
        <v>0</v>
      </c>
      <c r="P158" s="51">
        <f t="shared" si="11"/>
        <v>108.32000000000001</v>
      </c>
      <c r="Q158" s="51">
        <f t="shared" si="11"/>
        <v>0</v>
      </c>
      <c r="R158" s="51">
        <f t="shared" si="11"/>
        <v>170.51</v>
      </c>
      <c r="S158" s="51">
        <f t="shared" si="11"/>
        <v>0</v>
      </c>
      <c r="T158" s="74">
        <f t="shared" si="9"/>
        <v>1903.51</v>
      </c>
      <c r="U158" s="76"/>
      <c r="V158" s="29"/>
      <c r="W158" s="29"/>
      <c r="X158" s="29"/>
      <c r="Y158" s="29"/>
      <c r="Z158" s="29"/>
    </row>
    <row r="159" spans="1:26" ht="230.25" customHeight="1">
      <c r="A159" s="175" t="s">
        <v>290</v>
      </c>
      <c r="B159" s="168" t="s">
        <v>291</v>
      </c>
      <c r="C159" s="168" t="s">
        <v>247</v>
      </c>
      <c r="D159" s="5">
        <v>150</v>
      </c>
      <c r="E159" s="5" t="s">
        <v>292</v>
      </c>
      <c r="F159" s="5"/>
      <c r="G159" s="8"/>
      <c r="H159" s="8"/>
      <c r="I159" s="5"/>
      <c r="J159" s="5"/>
      <c r="K159" s="5"/>
      <c r="L159" s="5"/>
      <c r="M159" s="5"/>
      <c r="N159" s="6">
        <v>5</v>
      </c>
      <c r="O159" s="5"/>
      <c r="P159" s="97">
        <v>10109.4</v>
      </c>
      <c r="Q159" s="5"/>
      <c r="R159" s="5"/>
      <c r="S159" s="5"/>
      <c r="T159" s="73">
        <f t="shared" si="9"/>
        <v>10114.4</v>
      </c>
      <c r="U159" s="81" t="s">
        <v>576</v>
      </c>
      <c r="V159" s="1"/>
      <c r="W159" s="1"/>
      <c r="X159" s="1"/>
      <c r="Y159" s="1"/>
      <c r="Z159" s="1"/>
    </row>
    <row r="160" spans="1:26" ht="45">
      <c r="A160" s="171"/>
      <c r="B160" s="171"/>
      <c r="C160" s="171"/>
      <c r="D160" s="5">
        <v>151</v>
      </c>
      <c r="E160" s="5" t="s">
        <v>294</v>
      </c>
      <c r="F160" s="5"/>
      <c r="G160" s="8"/>
      <c r="H160" s="8"/>
      <c r="I160" s="6"/>
      <c r="J160" s="5"/>
      <c r="K160" s="5"/>
      <c r="L160" s="5"/>
      <c r="M160" s="5"/>
      <c r="N160" s="6"/>
      <c r="O160" s="8"/>
      <c r="P160" s="8"/>
      <c r="Q160" s="6"/>
      <c r="R160" s="8">
        <v>6</v>
      </c>
      <c r="S160" s="5"/>
      <c r="T160" s="73">
        <f t="shared" si="9"/>
        <v>6</v>
      </c>
      <c r="U160" s="84" t="s">
        <v>661</v>
      </c>
      <c r="V160" s="1"/>
      <c r="W160" s="1"/>
      <c r="X160" s="1"/>
      <c r="Y160" s="1"/>
      <c r="Z160" s="1"/>
    </row>
    <row r="161" spans="1:26" ht="276.75" customHeight="1">
      <c r="A161" s="171"/>
      <c r="B161" s="171"/>
      <c r="C161" s="171"/>
      <c r="D161" s="5">
        <v>152</v>
      </c>
      <c r="E161" s="5" t="s">
        <v>295</v>
      </c>
      <c r="F161" s="5"/>
      <c r="G161" s="5"/>
      <c r="H161" s="5"/>
      <c r="I161" s="5"/>
      <c r="J161" s="5"/>
      <c r="K161" s="5"/>
      <c r="L161" s="5"/>
      <c r="M161" s="5"/>
      <c r="N161" s="5"/>
      <c r="O161" s="5"/>
      <c r="P161" s="8">
        <f>30+280+6.6</f>
        <v>316.60000000000002</v>
      </c>
      <c r="Q161" s="5"/>
      <c r="R161" s="5"/>
      <c r="S161" s="5"/>
      <c r="T161" s="95">
        <f t="shared" si="9"/>
        <v>316.60000000000002</v>
      </c>
      <c r="U161" s="9" t="s">
        <v>296</v>
      </c>
      <c r="V161" s="1"/>
      <c r="W161" s="1"/>
      <c r="X161" s="1"/>
      <c r="Y161" s="1"/>
      <c r="Z161" s="1"/>
    </row>
    <row r="162" spans="1:26" ht="78.75" customHeight="1">
      <c r="A162" s="171"/>
      <c r="B162" s="179"/>
      <c r="C162" s="179"/>
      <c r="D162" s="5">
        <v>153</v>
      </c>
      <c r="E162" s="5" t="s">
        <v>297</v>
      </c>
      <c r="F162" s="24"/>
      <c r="G162" s="24"/>
      <c r="H162" s="24"/>
      <c r="I162" s="24"/>
      <c r="J162" s="24"/>
      <c r="K162" s="24"/>
      <c r="L162" s="24"/>
      <c r="M162" s="24"/>
      <c r="N162" s="6">
        <v>64.91</v>
      </c>
      <c r="O162" s="24"/>
      <c r="P162" s="24"/>
      <c r="Q162" s="24"/>
      <c r="R162" s="24"/>
      <c r="S162" s="94"/>
      <c r="T162" s="96">
        <f t="shared" si="9"/>
        <v>64.91</v>
      </c>
      <c r="U162" s="93" t="s">
        <v>660</v>
      </c>
      <c r="V162" s="1"/>
      <c r="W162" s="1"/>
      <c r="X162" s="1"/>
      <c r="Y162" s="1"/>
      <c r="Z162" s="1"/>
    </row>
    <row r="163" spans="1:26" ht="141" customHeight="1">
      <c r="A163" s="171"/>
      <c r="B163" s="168" t="s">
        <v>299</v>
      </c>
      <c r="C163" s="168" t="s">
        <v>300</v>
      </c>
      <c r="D163" s="5">
        <v>154</v>
      </c>
      <c r="E163" s="5" t="s">
        <v>301</v>
      </c>
      <c r="F163" s="123"/>
      <c r="G163" s="123"/>
      <c r="H163" s="123"/>
      <c r="I163" s="123"/>
      <c r="J163" s="123"/>
      <c r="K163" s="125">
        <f>3831.4</f>
        <v>3831.4</v>
      </c>
      <c r="L163" s="123"/>
      <c r="M163" s="125">
        <v>15</v>
      </c>
      <c r="N163" s="123"/>
      <c r="O163" s="123"/>
      <c r="P163" s="123"/>
      <c r="Q163" s="124">
        <v>2</v>
      </c>
      <c r="R163" s="123"/>
      <c r="S163" s="123"/>
      <c r="T163" s="125">
        <f t="shared" si="9"/>
        <v>3848.4</v>
      </c>
      <c r="U163" s="76" t="s">
        <v>552</v>
      </c>
      <c r="V163" s="1"/>
      <c r="W163" s="1"/>
      <c r="X163" s="1"/>
      <c r="Y163" s="1"/>
      <c r="Z163" s="1"/>
    </row>
    <row r="164" spans="1:26" ht="39.75" customHeight="1">
      <c r="A164" s="171"/>
      <c r="B164" s="171"/>
      <c r="C164" s="171"/>
      <c r="D164" s="5">
        <v>155</v>
      </c>
      <c r="E164" s="5" t="s">
        <v>302</v>
      </c>
      <c r="F164" s="123"/>
      <c r="G164" s="123"/>
      <c r="H164" s="123"/>
      <c r="I164" s="123"/>
      <c r="J164" s="123"/>
      <c r="K164" s="123"/>
      <c r="L164" s="123"/>
      <c r="M164" s="123"/>
      <c r="N164" s="123"/>
      <c r="O164" s="123"/>
      <c r="P164" s="124"/>
      <c r="Q164" s="123"/>
      <c r="R164" s="123"/>
      <c r="S164" s="123"/>
      <c r="T164" s="125">
        <f t="shared" si="9"/>
        <v>0</v>
      </c>
      <c r="U164" s="76" t="s">
        <v>553</v>
      </c>
      <c r="V164" s="1"/>
      <c r="W164" s="1"/>
      <c r="X164" s="1"/>
      <c r="Y164" s="1"/>
      <c r="Z164" s="1"/>
    </row>
    <row r="165" spans="1:26" ht="183" customHeight="1">
      <c r="A165" s="171"/>
      <c r="B165" s="171"/>
      <c r="C165" s="171"/>
      <c r="D165" s="5">
        <v>156</v>
      </c>
      <c r="E165" s="5" t="s">
        <v>303</v>
      </c>
      <c r="F165" s="123"/>
      <c r="G165" s="123"/>
      <c r="H165" s="124"/>
      <c r="I165" s="125">
        <v>106.76</v>
      </c>
      <c r="J165" s="123"/>
      <c r="K165" s="123"/>
      <c r="L165" s="123"/>
      <c r="M165" s="123"/>
      <c r="N165" s="123"/>
      <c r="O165" s="123"/>
      <c r="P165" s="124"/>
      <c r="Q165" s="123"/>
      <c r="R165" s="123"/>
      <c r="S165" s="123"/>
      <c r="T165" s="125">
        <f t="shared" si="9"/>
        <v>106.76</v>
      </c>
      <c r="U165" s="76" t="s">
        <v>554</v>
      </c>
      <c r="V165" s="1"/>
      <c r="W165" s="1"/>
      <c r="X165" s="1"/>
      <c r="Y165" s="1"/>
      <c r="Z165" s="1"/>
    </row>
    <row r="166" spans="1:26" ht="39.75" customHeight="1">
      <c r="A166" s="171"/>
      <c r="B166" s="171"/>
      <c r="C166" s="171"/>
      <c r="D166" s="5">
        <v>157</v>
      </c>
      <c r="E166" s="5" t="s">
        <v>304</v>
      </c>
      <c r="F166" s="123"/>
      <c r="G166" s="123"/>
      <c r="H166" s="123"/>
      <c r="I166" s="123"/>
      <c r="J166" s="123"/>
      <c r="K166" s="123"/>
      <c r="L166" s="123"/>
      <c r="M166" s="123"/>
      <c r="N166" s="123"/>
      <c r="O166" s="123"/>
      <c r="P166" s="123"/>
      <c r="Q166" s="123"/>
      <c r="R166" s="123"/>
      <c r="S166" s="123"/>
      <c r="T166" s="125">
        <f t="shared" si="9"/>
        <v>0</v>
      </c>
      <c r="U166" s="76"/>
      <c r="V166" s="1"/>
      <c r="W166" s="1"/>
      <c r="X166" s="1"/>
      <c r="Y166" s="1"/>
      <c r="Z166" s="1"/>
    </row>
    <row r="167" spans="1:26" ht="39.75" customHeight="1">
      <c r="A167" s="171"/>
      <c r="B167" s="169"/>
      <c r="C167" s="169"/>
      <c r="D167" s="5">
        <v>158</v>
      </c>
      <c r="E167" s="5" t="s">
        <v>305</v>
      </c>
      <c r="F167" s="123"/>
      <c r="G167" s="123"/>
      <c r="H167" s="123"/>
      <c r="I167" s="123"/>
      <c r="J167" s="123"/>
      <c r="K167" s="123"/>
      <c r="L167" s="123"/>
      <c r="M167" s="123"/>
      <c r="N167" s="123"/>
      <c r="O167" s="123"/>
      <c r="P167" s="123"/>
      <c r="Q167" s="125">
        <v>4.8</v>
      </c>
      <c r="R167" s="123"/>
      <c r="S167" s="123"/>
      <c r="T167" s="125">
        <f t="shared" si="9"/>
        <v>4.8</v>
      </c>
      <c r="U167" s="76" t="s">
        <v>555</v>
      </c>
      <c r="V167" s="1"/>
      <c r="W167" s="1"/>
      <c r="X167" s="1"/>
      <c r="Y167" s="1"/>
      <c r="Z167" s="1"/>
    </row>
    <row r="168" spans="1:26" ht="206.25" customHeight="1">
      <c r="A168" s="171"/>
      <c r="B168" s="168" t="s">
        <v>306</v>
      </c>
      <c r="C168" s="168" t="s">
        <v>252</v>
      </c>
      <c r="D168" s="5">
        <v>159</v>
      </c>
      <c r="E168" s="5" t="s">
        <v>253</v>
      </c>
      <c r="F168" s="5"/>
      <c r="G168" s="5"/>
      <c r="H168" s="5"/>
      <c r="I168" s="5"/>
      <c r="J168" s="5"/>
      <c r="K168" s="6">
        <v>264.43</v>
      </c>
      <c r="L168" s="5"/>
      <c r="M168" s="5"/>
      <c r="N168" s="8">
        <v>32.08</v>
      </c>
      <c r="O168" s="8">
        <v>83.47</v>
      </c>
      <c r="P168" s="8">
        <v>53.75</v>
      </c>
      <c r="Q168" s="6">
        <v>205.65</v>
      </c>
      <c r="R168" s="5"/>
      <c r="S168" s="5"/>
      <c r="T168" s="73">
        <f t="shared" si="9"/>
        <v>639.38</v>
      </c>
      <c r="U168" s="76" t="s">
        <v>556</v>
      </c>
      <c r="V168" s="1"/>
      <c r="W168" s="1"/>
      <c r="X168" s="1"/>
      <c r="Y168" s="1"/>
      <c r="Z168" s="1"/>
    </row>
    <row r="169" spans="1:26" ht="39.75" customHeight="1">
      <c r="A169" s="171"/>
      <c r="B169" s="171"/>
      <c r="C169" s="171"/>
      <c r="D169" s="5">
        <v>160</v>
      </c>
      <c r="E169" s="5" t="s">
        <v>308</v>
      </c>
      <c r="F169" s="5"/>
      <c r="G169" s="5"/>
      <c r="H169" s="5"/>
      <c r="I169" s="5"/>
      <c r="J169" s="5"/>
      <c r="K169" s="5"/>
      <c r="L169" s="5"/>
      <c r="M169" s="5"/>
      <c r="N169" s="5"/>
      <c r="O169" s="5"/>
      <c r="P169" s="5"/>
      <c r="Q169" s="5"/>
      <c r="R169" s="5"/>
      <c r="S169" s="5"/>
      <c r="T169" s="73">
        <f t="shared" si="9"/>
        <v>0</v>
      </c>
      <c r="U169" s="76"/>
      <c r="V169" s="1"/>
      <c r="W169" s="1"/>
      <c r="X169" s="1"/>
      <c r="Y169" s="1"/>
      <c r="Z169" s="1"/>
    </row>
    <row r="170" spans="1:26" ht="39.75" customHeight="1">
      <c r="A170" s="171"/>
      <c r="B170" s="171"/>
      <c r="C170" s="171"/>
      <c r="D170" s="5">
        <v>161</v>
      </c>
      <c r="E170" s="5" t="s">
        <v>255</v>
      </c>
      <c r="F170" s="5"/>
      <c r="G170" s="5"/>
      <c r="H170" s="5"/>
      <c r="I170" s="5"/>
      <c r="J170" s="5"/>
      <c r="K170" s="5"/>
      <c r="L170" s="5"/>
      <c r="M170" s="5"/>
      <c r="N170" s="5"/>
      <c r="O170" s="5"/>
      <c r="P170" s="5"/>
      <c r="Q170" s="5"/>
      <c r="R170" s="5"/>
      <c r="S170" s="5"/>
      <c r="T170" s="73">
        <f t="shared" si="9"/>
        <v>0</v>
      </c>
      <c r="U170" s="76"/>
      <c r="V170" s="1"/>
      <c r="W170" s="1"/>
      <c r="X170" s="1"/>
      <c r="Y170" s="1"/>
      <c r="Z170" s="1"/>
    </row>
    <row r="171" spans="1:26" ht="39.75" customHeight="1">
      <c r="A171" s="171"/>
      <c r="B171" s="171"/>
      <c r="C171" s="171"/>
      <c r="D171" s="5">
        <v>162</v>
      </c>
      <c r="E171" s="5" t="s">
        <v>256</v>
      </c>
      <c r="F171" s="5"/>
      <c r="G171" s="5"/>
      <c r="H171" s="5"/>
      <c r="I171" s="5"/>
      <c r="J171" s="5"/>
      <c r="K171" s="5"/>
      <c r="L171" s="5"/>
      <c r="M171" s="5"/>
      <c r="N171" s="5"/>
      <c r="O171" s="5"/>
      <c r="P171" s="5"/>
      <c r="Q171" s="5"/>
      <c r="R171" s="5"/>
      <c r="S171" s="5"/>
      <c r="T171" s="73">
        <f t="shared" si="9"/>
        <v>0</v>
      </c>
      <c r="U171" s="76"/>
      <c r="V171" s="1"/>
      <c r="W171" s="1"/>
      <c r="X171" s="1"/>
      <c r="Y171" s="1"/>
      <c r="Z171" s="1"/>
    </row>
    <row r="172" spans="1:26" ht="129" customHeight="1">
      <c r="A172" s="171"/>
      <c r="B172" s="169"/>
      <c r="C172" s="169"/>
      <c r="D172" s="5">
        <v>163</v>
      </c>
      <c r="E172" s="5" t="s">
        <v>309</v>
      </c>
      <c r="F172" s="5"/>
      <c r="G172" s="5"/>
      <c r="H172" s="5"/>
      <c r="I172" s="5"/>
      <c r="J172" s="5"/>
      <c r="K172" s="5"/>
      <c r="L172" s="5"/>
      <c r="M172" s="5"/>
      <c r="N172" s="5"/>
      <c r="O172" s="8">
        <v>0.6</v>
      </c>
      <c r="P172" s="8">
        <f>271.52+18</f>
        <v>289.52</v>
      </c>
      <c r="Q172" s="6">
        <v>218</v>
      </c>
      <c r="R172" s="5"/>
      <c r="S172" s="5"/>
      <c r="T172" s="73">
        <f t="shared" si="9"/>
        <v>508.12</v>
      </c>
      <c r="U172" s="80" t="s">
        <v>557</v>
      </c>
      <c r="V172" s="1"/>
      <c r="W172" s="1"/>
      <c r="X172" s="1"/>
      <c r="Y172" s="1"/>
      <c r="Z172" s="1"/>
    </row>
    <row r="173" spans="1:26" ht="39.75" customHeight="1">
      <c r="A173" s="171"/>
      <c r="B173" s="168" t="s">
        <v>311</v>
      </c>
      <c r="C173" s="168" t="s">
        <v>312</v>
      </c>
      <c r="D173" s="5">
        <v>164</v>
      </c>
      <c r="E173" s="5" t="s">
        <v>313</v>
      </c>
      <c r="F173" s="5"/>
      <c r="G173" s="31">
        <v>3579.9939999999997</v>
      </c>
      <c r="H173" s="31">
        <v>229.82</v>
      </c>
      <c r="I173" s="24"/>
      <c r="J173" s="5"/>
      <c r="K173" s="5"/>
      <c r="L173" s="5"/>
      <c r="M173" s="5"/>
      <c r="N173" s="5"/>
      <c r="O173" s="5"/>
      <c r="P173" s="5"/>
      <c r="Q173" s="5"/>
      <c r="R173" s="5"/>
      <c r="S173" s="5"/>
      <c r="T173" s="73">
        <f t="shared" si="9"/>
        <v>3809.8139999999999</v>
      </c>
      <c r="U173" s="85" t="s">
        <v>654</v>
      </c>
      <c r="V173" s="1"/>
      <c r="W173" s="1"/>
      <c r="X173" s="1"/>
      <c r="Y173" s="1"/>
      <c r="Z173" s="1"/>
    </row>
    <row r="174" spans="1:26" ht="39.75" customHeight="1">
      <c r="A174" s="171"/>
      <c r="B174" s="171"/>
      <c r="C174" s="171"/>
      <c r="D174" s="5">
        <v>165</v>
      </c>
      <c r="E174" s="5" t="s">
        <v>314</v>
      </c>
      <c r="F174" s="5"/>
      <c r="G174" s="31">
        <v>2192.0659999999998</v>
      </c>
      <c r="H174" s="31">
        <v>180</v>
      </c>
      <c r="I174" s="24"/>
      <c r="J174" s="5"/>
      <c r="K174" s="5"/>
      <c r="L174" s="5"/>
      <c r="M174" s="5"/>
      <c r="N174" s="5"/>
      <c r="O174" s="5"/>
      <c r="P174" s="5"/>
      <c r="Q174" s="5"/>
      <c r="R174" s="5"/>
      <c r="S174" s="5"/>
      <c r="T174" s="73">
        <f t="shared" si="9"/>
        <v>2372.0659999999998</v>
      </c>
      <c r="U174" s="85" t="s">
        <v>655</v>
      </c>
      <c r="V174" s="1"/>
      <c r="W174" s="1"/>
      <c r="X174" s="1"/>
      <c r="Y174" s="1"/>
      <c r="Z174" s="1"/>
    </row>
    <row r="175" spans="1:26" ht="39.75" customHeight="1">
      <c r="A175" s="171"/>
      <c r="B175" s="171"/>
      <c r="C175" s="171"/>
      <c r="D175" s="5">
        <v>166</v>
      </c>
      <c r="E175" s="5" t="s">
        <v>315</v>
      </c>
      <c r="F175" s="5"/>
      <c r="G175" s="31">
        <v>1751.5230000000001</v>
      </c>
      <c r="H175" s="31">
        <v>488.7</v>
      </c>
      <c r="I175" s="24"/>
      <c r="J175" s="5"/>
      <c r="K175" s="5"/>
      <c r="L175" s="5"/>
      <c r="M175" s="5"/>
      <c r="N175" s="5"/>
      <c r="O175" s="5"/>
      <c r="P175" s="5"/>
      <c r="Q175" s="5"/>
      <c r="R175" s="5"/>
      <c r="S175" s="5"/>
      <c r="T175" s="73">
        <f t="shared" si="9"/>
        <v>2240.223</v>
      </c>
      <c r="U175" s="85" t="s">
        <v>656</v>
      </c>
      <c r="V175" s="1"/>
      <c r="W175" s="1"/>
      <c r="X175" s="1"/>
      <c r="Y175" s="1"/>
      <c r="Z175" s="1"/>
    </row>
    <row r="176" spans="1:26" ht="39.75" customHeight="1">
      <c r="A176" s="171"/>
      <c r="B176" s="171"/>
      <c r="C176" s="171"/>
      <c r="D176" s="5">
        <v>167</v>
      </c>
      <c r="E176" s="5" t="s">
        <v>316</v>
      </c>
      <c r="F176" s="5"/>
      <c r="G176" s="31">
        <v>4362.9380000000001</v>
      </c>
      <c r="H176" s="31">
        <v>962.2</v>
      </c>
      <c r="I176" s="24"/>
      <c r="J176" s="5"/>
      <c r="K176" s="5"/>
      <c r="L176" s="5"/>
      <c r="M176" s="5"/>
      <c r="N176" s="5"/>
      <c r="O176" s="5"/>
      <c r="P176" s="5"/>
      <c r="Q176" s="5"/>
      <c r="R176" s="5"/>
      <c r="S176" s="5"/>
      <c r="T176" s="73">
        <f t="shared" si="9"/>
        <v>5325.1379999999999</v>
      </c>
      <c r="U176" s="85" t="s">
        <v>657</v>
      </c>
      <c r="V176" s="1"/>
      <c r="W176" s="1"/>
      <c r="X176" s="1"/>
      <c r="Y176" s="1"/>
      <c r="Z176" s="1"/>
    </row>
    <row r="177" spans="1:26" ht="39.75" customHeight="1">
      <c r="A177" s="171"/>
      <c r="B177" s="171"/>
      <c r="C177" s="171"/>
      <c r="D177" s="5">
        <v>168</v>
      </c>
      <c r="E177" s="5" t="s">
        <v>317</v>
      </c>
      <c r="F177" s="5"/>
      <c r="G177" s="31">
        <v>537.39</v>
      </c>
      <c r="H177" s="31">
        <v>1276.5</v>
      </c>
      <c r="I177" s="24"/>
      <c r="J177" s="5"/>
      <c r="K177" s="5"/>
      <c r="L177" s="5"/>
      <c r="M177" s="5"/>
      <c r="N177" s="5"/>
      <c r="O177" s="5"/>
      <c r="P177" s="5"/>
      <c r="Q177" s="5"/>
      <c r="R177" s="5"/>
      <c r="S177" s="5"/>
      <c r="T177" s="73">
        <f t="shared" si="9"/>
        <v>1813.8899999999999</v>
      </c>
      <c r="U177" s="85" t="s">
        <v>658</v>
      </c>
      <c r="V177" s="1"/>
      <c r="W177" s="1"/>
      <c r="X177" s="1"/>
      <c r="Y177" s="1"/>
      <c r="Z177" s="1"/>
    </row>
    <row r="178" spans="1:26" ht="39.75" customHeight="1">
      <c r="A178" s="171"/>
      <c r="B178" s="171"/>
      <c r="C178" s="171"/>
      <c r="D178" s="5">
        <v>169</v>
      </c>
      <c r="E178" s="5" t="s">
        <v>318</v>
      </c>
      <c r="F178" s="5"/>
      <c r="G178" s="31">
        <v>1878.0719999999999</v>
      </c>
      <c r="H178" s="31">
        <v>153</v>
      </c>
      <c r="I178" s="27">
        <v>351.4</v>
      </c>
      <c r="J178" s="5"/>
      <c r="K178" s="5"/>
      <c r="L178" s="5"/>
      <c r="M178" s="5"/>
      <c r="N178" s="5"/>
      <c r="O178" s="5"/>
      <c r="P178" s="5"/>
      <c r="Q178" s="5"/>
      <c r="R178" s="5"/>
      <c r="S178" s="5"/>
      <c r="T178" s="73">
        <f t="shared" si="9"/>
        <v>2382.4719999999998</v>
      </c>
      <c r="U178" s="88" t="s">
        <v>659</v>
      </c>
      <c r="V178" s="1"/>
      <c r="W178" s="1"/>
      <c r="X178" s="1"/>
      <c r="Y178" s="1"/>
      <c r="Z178" s="1"/>
    </row>
    <row r="179" spans="1:26" ht="39.75" customHeight="1">
      <c r="A179" s="171"/>
      <c r="B179" s="169"/>
      <c r="C179" s="169"/>
      <c r="D179" s="5">
        <v>170</v>
      </c>
      <c r="E179" s="5" t="s">
        <v>319</v>
      </c>
      <c r="F179" s="5"/>
      <c r="G179" s="5"/>
      <c r="H179" s="5"/>
      <c r="I179" s="5"/>
      <c r="J179" s="5"/>
      <c r="K179" s="5"/>
      <c r="L179" s="5"/>
      <c r="M179" s="5"/>
      <c r="N179" s="5"/>
      <c r="O179" s="5"/>
      <c r="P179" s="5"/>
      <c r="Q179" s="5"/>
      <c r="R179" s="5"/>
      <c r="S179" s="5"/>
      <c r="T179" s="73">
        <f t="shared" si="9"/>
        <v>0</v>
      </c>
      <c r="U179" s="76"/>
      <c r="V179" s="1"/>
      <c r="W179" s="1"/>
      <c r="X179" s="1"/>
      <c r="Y179" s="1"/>
      <c r="Z179" s="1"/>
    </row>
    <row r="180" spans="1:26" ht="39.75" customHeight="1">
      <c r="A180" s="171"/>
      <c r="B180" s="168" t="s">
        <v>320</v>
      </c>
      <c r="C180" s="168" t="s">
        <v>321</v>
      </c>
      <c r="D180" s="5">
        <v>171</v>
      </c>
      <c r="E180" s="5" t="s">
        <v>322</v>
      </c>
      <c r="F180" s="5"/>
      <c r="G180" s="5"/>
      <c r="H180" s="5"/>
      <c r="I180" s="5"/>
      <c r="J180" s="5"/>
      <c r="K180" s="5"/>
      <c r="L180" s="5"/>
      <c r="M180" s="5"/>
      <c r="N180" s="5"/>
      <c r="O180" s="5"/>
      <c r="P180" s="5"/>
      <c r="Q180" s="5"/>
      <c r="R180" s="5"/>
      <c r="S180" s="5"/>
      <c r="T180" s="73">
        <f t="shared" si="9"/>
        <v>0</v>
      </c>
      <c r="U180" s="76"/>
      <c r="V180" s="1"/>
      <c r="W180" s="1"/>
      <c r="X180" s="1"/>
      <c r="Y180" s="1"/>
      <c r="Z180" s="1"/>
    </row>
    <row r="181" spans="1:26" ht="39.75" customHeight="1">
      <c r="A181" s="171"/>
      <c r="B181" s="171"/>
      <c r="C181" s="171"/>
      <c r="D181" s="5">
        <v>172</v>
      </c>
      <c r="E181" s="5" t="s">
        <v>323</v>
      </c>
      <c r="F181" s="5"/>
      <c r="G181" s="5"/>
      <c r="H181" s="5"/>
      <c r="I181" s="5"/>
      <c r="J181" s="5"/>
      <c r="K181" s="5"/>
      <c r="L181" s="5"/>
      <c r="M181" s="5"/>
      <c r="N181" s="5"/>
      <c r="O181" s="5"/>
      <c r="P181" s="6">
        <v>4536</v>
      </c>
      <c r="Q181" s="5"/>
      <c r="R181" s="5"/>
      <c r="S181" s="5"/>
      <c r="T181" s="73">
        <f t="shared" si="9"/>
        <v>4536</v>
      </c>
      <c r="U181" s="76" t="s">
        <v>558</v>
      </c>
      <c r="V181" s="1"/>
      <c r="W181" s="1"/>
      <c r="X181" s="1"/>
      <c r="Y181" s="1"/>
      <c r="Z181" s="1"/>
    </row>
    <row r="182" spans="1:26" ht="39.75" customHeight="1">
      <c r="A182" s="171"/>
      <c r="B182" s="171"/>
      <c r="C182" s="171"/>
      <c r="D182" s="5">
        <v>173</v>
      </c>
      <c r="E182" s="5" t="s">
        <v>324</v>
      </c>
      <c r="F182" s="5"/>
      <c r="G182" s="5"/>
      <c r="H182" s="5"/>
      <c r="I182" s="5"/>
      <c r="J182" s="5"/>
      <c r="K182" s="5"/>
      <c r="L182" s="5"/>
      <c r="M182" s="5"/>
      <c r="N182" s="5"/>
      <c r="O182" s="5"/>
      <c r="P182" s="5"/>
      <c r="Q182" s="5"/>
      <c r="R182" s="5"/>
      <c r="S182" s="5"/>
      <c r="T182" s="73">
        <f t="shared" si="9"/>
        <v>0</v>
      </c>
      <c r="U182" s="76"/>
      <c r="V182" s="1"/>
      <c r="W182" s="1"/>
      <c r="X182" s="1"/>
      <c r="Y182" s="1"/>
      <c r="Z182" s="1"/>
    </row>
    <row r="183" spans="1:26" ht="39.75" customHeight="1">
      <c r="A183" s="171"/>
      <c r="B183" s="169"/>
      <c r="C183" s="169"/>
      <c r="D183" s="5">
        <v>174</v>
      </c>
      <c r="E183" s="5" t="s">
        <v>325</v>
      </c>
      <c r="F183" s="5"/>
      <c r="G183" s="5"/>
      <c r="H183" s="5"/>
      <c r="I183" s="5"/>
      <c r="J183" s="5"/>
      <c r="K183" s="5"/>
      <c r="L183" s="5"/>
      <c r="M183" s="5"/>
      <c r="N183" s="5"/>
      <c r="O183" s="5"/>
      <c r="P183" s="6"/>
      <c r="Q183" s="5"/>
      <c r="R183" s="5"/>
      <c r="S183" s="5"/>
      <c r="T183" s="73">
        <f t="shared" si="9"/>
        <v>0</v>
      </c>
      <c r="U183" s="76" t="s">
        <v>559</v>
      </c>
      <c r="V183" s="1"/>
      <c r="W183" s="1"/>
      <c r="X183" s="1"/>
      <c r="Y183" s="1"/>
      <c r="Z183" s="1"/>
    </row>
    <row r="184" spans="1:26" ht="39.75" customHeight="1">
      <c r="A184" s="171"/>
      <c r="B184" s="168" t="s">
        <v>326</v>
      </c>
      <c r="C184" s="168" t="s">
        <v>267</v>
      </c>
      <c r="D184" s="5">
        <v>175</v>
      </c>
      <c r="E184" s="5" t="s">
        <v>268</v>
      </c>
      <c r="F184" s="134"/>
      <c r="G184" s="134"/>
      <c r="H184" s="134"/>
      <c r="I184" s="135"/>
      <c r="J184" s="134"/>
      <c r="K184" s="134"/>
      <c r="L184" s="134"/>
      <c r="M184" s="134"/>
      <c r="N184" s="136">
        <f>23.45+1.02-0.05</f>
        <v>24.419999999999998</v>
      </c>
      <c r="O184" s="134"/>
      <c r="P184" s="135">
        <f>551.81+9.66+191.3+69.87+784.89+465</f>
        <v>2072.5299999999997</v>
      </c>
      <c r="Q184" s="136"/>
      <c r="R184" s="135">
        <f>0.63+0.84+3.78+2.52</f>
        <v>7.77</v>
      </c>
      <c r="S184" s="135"/>
      <c r="T184" s="136">
        <f t="shared" si="9"/>
        <v>2104.7199999999998</v>
      </c>
      <c r="U184" s="145" t="s">
        <v>560</v>
      </c>
      <c r="V184" s="1"/>
      <c r="W184" s="1"/>
      <c r="X184" s="1"/>
      <c r="Y184" s="1"/>
      <c r="Z184" s="1"/>
    </row>
    <row r="185" spans="1:26" ht="39.75" customHeight="1">
      <c r="A185" s="171"/>
      <c r="B185" s="171"/>
      <c r="C185" s="171"/>
      <c r="D185" s="5">
        <v>176</v>
      </c>
      <c r="E185" s="5" t="s">
        <v>269</v>
      </c>
      <c r="F185" s="134"/>
      <c r="G185" s="134"/>
      <c r="H185" s="134"/>
      <c r="I185" s="134"/>
      <c r="J185" s="134"/>
      <c r="K185" s="134"/>
      <c r="L185" s="134"/>
      <c r="M185" s="135"/>
      <c r="N185" s="134"/>
      <c r="O185" s="134"/>
      <c r="P185" s="135">
        <v>983</v>
      </c>
      <c r="Q185" s="135"/>
      <c r="R185" s="134"/>
      <c r="S185" s="134"/>
      <c r="T185" s="136">
        <f t="shared" si="9"/>
        <v>983</v>
      </c>
      <c r="U185" s="138" t="s">
        <v>561</v>
      </c>
      <c r="V185" s="1"/>
      <c r="W185" s="1"/>
      <c r="X185" s="1"/>
      <c r="Y185" s="1"/>
      <c r="Z185" s="1"/>
    </row>
    <row r="186" spans="1:26" ht="39.75" customHeight="1">
      <c r="A186" s="171"/>
      <c r="B186" s="169"/>
      <c r="C186" s="169"/>
      <c r="D186" s="5">
        <v>177</v>
      </c>
      <c r="E186" s="5" t="s">
        <v>270</v>
      </c>
      <c r="F186" s="134"/>
      <c r="G186" s="134"/>
      <c r="H186" s="134"/>
      <c r="I186" s="134"/>
      <c r="J186" s="134"/>
      <c r="K186" s="134"/>
      <c r="L186" s="134"/>
      <c r="M186" s="134"/>
      <c r="N186" s="136">
        <v>2</v>
      </c>
      <c r="O186" s="134"/>
      <c r="P186" s="134"/>
      <c r="Q186" s="134"/>
      <c r="R186" s="134"/>
      <c r="S186" s="134"/>
      <c r="T186" s="136">
        <f t="shared" si="9"/>
        <v>2</v>
      </c>
      <c r="U186" s="138" t="s">
        <v>562</v>
      </c>
      <c r="V186" s="1"/>
      <c r="W186" s="1"/>
      <c r="X186" s="1"/>
      <c r="Y186" s="1"/>
      <c r="Z186" s="1"/>
    </row>
    <row r="187" spans="1:26" ht="39.75" customHeight="1">
      <c r="A187" s="171"/>
      <c r="B187" s="168" t="s">
        <v>327</v>
      </c>
      <c r="C187" s="168" t="s">
        <v>328</v>
      </c>
      <c r="D187" s="5">
        <v>178</v>
      </c>
      <c r="E187" s="5" t="s">
        <v>329</v>
      </c>
      <c r="F187" s="5"/>
      <c r="G187" s="5"/>
      <c r="H187" s="5"/>
      <c r="I187" s="5"/>
      <c r="J187" s="5"/>
      <c r="K187" s="5"/>
      <c r="L187" s="5"/>
      <c r="M187" s="5"/>
      <c r="N187" s="5"/>
      <c r="O187" s="5"/>
      <c r="P187" s="5"/>
      <c r="Q187" s="5"/>
      <c r="R187" s="5"/>
      <c r="S187" s="5"/>
      <c r="T187" s="73">
        <f t="shared" si="9"/>
        <v>0</v>
      </c>
      <c r="U187" s="76"/>
      <c r="V187" s="1"/>
      <c r="W187" s="1"/>
      <c r="X187" s="1"/>
      <c r="Y187" s="1"/>
      <c r="Z187" s="1"/>
    </row>
    <row r="188" spans="1:26" ht="39.75" customHeight="1">
      <c r="A188" s="171"/>
      <c r="B188" s="171"/>
      <c r="C188" s="171"/>
      <c r="D188" s="5">
        <v>179</v>
      </c>
      <c r="E188" s="5" t="s">
        <v>149</v>
      </c>
      <c r="F188" s="5"/>
      <c r="G188" s="5"/>
      <c r="H188" s="5"/>
      <c r="I188" s="5"/>
      <c r="J188" s="5"/>
      <c r="K188" s="5"/>
      <c r="L188" s="5"/>
      <c r="M188" s="5"/>
      <c r="N188" s="5"/>
      <c r="O188" s="5"/>
      <c r="P188" s="5"/>
      <c r="Q188" s="5"/>
      <c r="R188" s="5"/>
      <c r="S188" s="5"/>
      <c r="T188" s="73">
        <f t="shared" si="9"/>
        <v>0</v>
      </c>
      <c r="U188" s="76"/>
      <c r="V188" s="1"/>
      <c r="W188" s="1"/>
      <c r="X188" s="1"/>
      <c r="Y188" s="1"/>
      <c r="Z188" s="1"/>
    </row>
    <row r="189" spans="1:26" ht="39.75" customHeight="1">
      <c r="A189" s="171"/>
      <c r="B189" s="171"/>
      <c r="C189" s="171"/>
      <c r="D189" s="5">
        <v>180</v>
      </c>
      <c r="E189" s="5" t="s">
        <v>330</v>
      </c>
      <c r="F189" s="5"/>
      <c r="G189" s="5"/>
      <c r="H189" s="5"/>
      <c r="I189" s="5"/>
      <c r="J189" s="5"/>
      <c r="K189" s="6">
        <v>25150</v>
      </c>
      <c r="L189" s="5"/>
      <c r="M189" s="5"/>
      <c r="N189" s="5"/>
      <c r="O189" s="5"/>
      <c r="P189" s="8">
        <v>19</v>
      </c>
      <c r="Q189" s="5"/>
      <c r="R189" s="5"/>
      <c r="S189" s="5"/>
      <c r="T189" s="73">
        <f t="shared" si="9"/>
        <v>25169</v>
      </c>
      <c r="U189" s="76" t="s">
        <v>563</v>
      </c>
      <c r="V189" s="1"/>
      <c r="W189" s="1"/>
      <c r="X189" s="1"/>
      <c r="Y189" s="1"/>
      <c r="Z189" s="1"/>
    </row>
    <row r="190" spans="1:26" ht="39.75" customHeight="1">
      <c r="A190" s="171"/>
      <c r="B190" s="171"/>
      <c r="C190" s="171"/>
      <c r="D190" s="5">
        <v>181</v>
      </c>
      <c r="E190" s="5" t="s">
        <v>331</v>
      </c>
      <c r="F190" s="5"/>
      <c r="G190" s="5"/>
      <c r="H190" s="5"/>
      <c r="I190" s="5"/>
      <c r="J190" s="5"/>
      <c r="K190" s="5"/>
      <c r="L190" s="5"/>
      <c r="M190" s="5"/>
      <c r="N190" s="5"/>
      <c r="O190" s="5"/>
      <c r="P190" s="5"/>
      <c r="Q190" s="5"/>
      <c r="R190" s="5"/>
      <c r="S190" s="5"/>
      <c r="T190" s="73">
        <f t="shared" si="9"/>
        <v>0</v>
      </c>
      <c r="U190" s="76"/>
      <c r="V190" s="1"/>
      <c r="W190" s="1"/>
      <c r="X190" s="1"/>
      <c r="Y190" s="1"/>
      <c r="Z190" s="1"/>
    </row>
    <row r="191" spans="1:26" ht="39.75" customHeight="1">
      <c r="A191" s="171"/>
      <c r="B191" s="171"/>
      <c r="C191" s="171"/>
      <c r="D191" s="5">
        <v>182</v>
      </c>
      <c r="E191" s="5" t="s">
        <v>332</v>
      </c>
      <c r="F191" s="5"/>
      <c r="G191" s="5"/>
      <c r="H191" s="5"/>
      <c r="I191" s="5"/>
      <c r="J191" s="5"/>
      <c r="K191" s="5"/>
      <c r="L191" s="5"/>
      <c r="M191" s="5"/>
      <c r="N191" s="5"/>
      <c r="O191" s="5"/>
      <c r="P191" s="6">
        <v>51.97</v>
      </c>
      <c r="Q191" s="5"/>
      <c r="R191" s="5"/>
      <c r="S191" s="5"/>
      <c r="T191" s="73">
        <f t="shared" si="9"/>
        <v>51.97</v>
      </c>
      <c r="U191" s="76" t="s">
        <v>564</v>
      </c>
      <c r="V191" s="1"/>
      <c r="W191" s="1"/>
      <c r="X191" s="1"/>
      <c r="Y191" s="1"/>
      <c r="Z191" s="1"/>
    </row>
    <row r="192" spans="1:26" ht="263.25" customHeight="1">
      <c r="A192" s="171"/>
      <c r="B192" s="169"/>
      <c r="C192" s="169"/>
      <c r="D192" s="5">
        <v>183</v>
      </c>
      <c r="E192" s="5" t="s">
        <v>334</v>
      </c>
      <c r="F192" s="5"/>
      <c r="G192" s="5"/>
      <c r="H192" s="5"/>
      <c r="I192" s="5"/>
      <c r="J192" s="5"/>
      <c r="K192" s="5"/>
      <c r="L192" s="5"/>
      <c r="M192" s="5"/>
      <c r="N192" s="5"/>
      <c r="O192" s="5"/>
      <c r="P192" s="8">
        <f>15+30+21.7+10+7.88+4.54+9.52+2.5+6+6.1+7.5+50+0.01+45</f>
        <v>215.75</v>
      </c>
      <c r="Q192" s="5"/>
      <c r="R192" s="5"/>
      <c r="S192" s="5"/>
      <c r="T192" s="73">
        <f t="shared" si="9"/>
        <v>215.75</v>
      </c>
      <c r="U192" s="91" t="s">
        <v>878</v>
      </c>
      <c r="V192" s="1"/>
      <c r="W192" s="1"/>
      <c r="X192" s="1"/>
      <c r="Y192" s="1"/>
      <c r="Z192" s="1"/>
    </row>
    <row r="193" spans="1:26" ht="39.75" customHeight="1">
      <c r="A193" s="171"/>
      <c r="B193" s="5" t="s">
        <v>335</v>
      </c>
      <c r="C193" s="5" t="s">
        <v>336</v>
      </c>
      <c r="D193" s="5">
        <v>184</v>
      </c>
      <c r="E193" s="5" t="s">
        <v>337</v>
      </c>
      <c r="F193" s="5"/>
      <c r="G193" s="5"/>
      <c r="H193" s="5"/>
      <c r="I193" s="5"/>
      <c r="J193" s="5"/>
      <c r="K193" s="5"/>
      <c r="L193" s="5"/>
      <c r="M193" s="5"/>
      <c r="N193" s="5"/>
      <c r="O193" s="5"/>
      <c r="P193" s="6">
        <v>2239.65</v>
      </c>
      <c r="Q193" s="5"/>
      <c r="R193" s="5"/>
      <c r="S193" s="5"/>
      <c r="T193" s="73">
        <f t="shared" si="9"/>
        <v>2239.65</v>
      </c>
      <c r="U193" s="76" t="s">
        <v>565</v>
      </c>
      <c r="V193" s="1"/>
      <c r="W193" s="1"/>
      <c r="X193" s="1"/>
      <c r="Y193" s="1"/>
      <c r="Z193" s="1"/>
    </row>
    <row r="194" spans="1:26" ht="39.75" customHeight="1">
      <c r="A194" s="171"/>
      <c r="B194" s="168" t="s">
        <v>338</v>
      </c>
      <c r="C194" s="168" t="s">
        <v>272</v>
      </c>
      <c r="D194" s="5">
        <v>185</v>
      </c>
      <c r="E194" s="5" t="s">
        <v>273</v>
      </c>
      <c r="F194" s="5"/>
      <c r="G194" s="5"/>
      <c r="H194" s="5"/>
      <c r="I194" s="5"/>
      <c r="J194" s="5"/>
      <c r="K194" s="5"/>
      <c r="L194" s="5"/>
      <c r="M194" s="5"/>
      <c r="N194" s="5"/>
      <c r="O194" s="5"/>
      <c r="P194" s="5"/>
      <c r="Q194" s="5"/>
      <c r="R194" s="5">
        <v>1559.59</v>
      </c>
      <c r="S194" s="5"/>
      <c r="T194" s="73">
        <f t="shared" si="9"/>
        <v>1559.59</v>
      </c>
      <c r="U194" s="76"/>
      <c r="V194" s="1"/>
      <c r="W194" s="1"/>
      <c r="X194" s="1"/>
      <c r="Y194" s="1"/>
      <c r="Z194" s="1"/>
    </row>
    <row r="195" spans="1:26" ht="126.75" customHeight="1">
      <c r="A195" s="171"/>
      <c r="B195" s="171"/>
      <c r="C195" s="171"/>
      <c r="D195" s="5">
        <v>186</v>
      </c>
      <c r="E195" s="5" t="s">
        <v>274</v>
      </c>
      <c r="F195" s="5"/>
      <c r="G195" s="5"/>
      <c r="H195" s="5"/>
      <c r="I195" s="5"/>
      <c r="J195" s="5"/>
      <c r="K195" s="5"/>
      <c r="L195" s="5"/>
      <c r="M195" s="5"/>
      <c r="N195" s="5"/>
      <c r="O195" s="5"/>
      <c r="P195" s="8">
        <v>379</v>
      </c>
      <c r="Q195" s="6"/>
      <c r="R195" s="5"/>
      <c r="S195" s="5"/>
      <c r="T195" s="73">
        <f t="shared" si="9"/>
        <v>379</v>
      </c>
      <c r="U195" s="76" t="s">
        <v>634</v>
      </c>
      <c r="V195" s="1"/>
      <c r="W195" s="1"/>
      <c r="X195" s="1"/>
      <c r="Y195" s="1"/>
      <c r="Z195" s="1"/>
    </row>
    <row r="196" spans="1:26" ht="39.75" customHeight="1">
      <c r="A196" s="171"/>
      <c r="B196" s="171"/>
      <c r="C196" s="171"/>
      <c r="D196" s="5">
        <v>187</v>
      </c>
      <c r="E196" s="5" t="s">
        <v>339</v>
      </c>
      <c r="F196" s="5"/>
      <c r="G196" s="5"/>
      <c r="H196" s="5"/>
      <c r="I196" s="5"/>
      <c r="J196" s="5"/>
      <c r="K196" s="5"/>
      <c r="L196" s="5"/>
      <c r="M196" s="5"/>
      <c r="N196" s="5"/>
      <c r="O196" s="5"/>
      <c r="P196" s="5"/>
      <c r="Q196" s="5"/>
      <c r="R196" s="5"/>
      <c r="S196" s="5"/>
      <c r="T196" s="73">
        <f t="shared" si="9"/>
        <v>0</v>
      </c>
      <c r="U196" s="76"/>
      <c r="V196" s="1"/>
      <c r="W196" s="1"/>
      <c r="X196" s="1"/>
      <c r="Y196" s="1"/>
      <c r="Z196" s="1"/>
    </row>
    <row r="197" spans="1:26" ht="39.75" customHeight="1">
      <c r="A197" s="171"/>
      <c r="B197" s="171"/>
      <c r="C197" s="171"/>
      <c r="D197" s="5">
        <v>188</v>
      </c>
      <c r="E197" s="5" t="s">
        <v>275</v>
      </c>
      <c r="F197" s="5"/>
      <c r="G197" s="5"/>
      <c r="H197" s="5"/>
      <c r="I197" s="5"/>
      <c r="J197" s="5"/>
      <c r="K197" s="5"/>
      <c r="L197" s="5"/>
      <c r="M197" s="5"/>
      <c r="N197" s="5"/>
      <c r="O197" s="5"/>
      <c r="P197" s="5"/>
      <c r="Q197" s="5"/>
      <c r="R197" s="5"/>
      <c r="S197" s="5"/>
      <c r="T197" s="73">
        <f t="shared" si="9"/>
        <v>0</v>
      </c>
      <c r="U197" s="76"/>
      <c r="V197" s="1"/>
      <c r="W197" s="1"/>
      <c r="X197" s="1"/>
      <c r="Y197" s="1"/>
      <c r="Z197" s="1"/>
    </row>
    <row r="198" spans="1:26" ht="39.75" customHeight="1">
      <c r="A198" s="171"/>
      <c r="B198" s="171"/>
      <c r="C198" s="171"/>
      <c r="D198" s="5">
        <v>189</v>
      </c>
      <c r="E198" s="5" t="s">
        <v>276</v>
      </c>
      <c r="F198" s="5"/>
      <c r="G198" s="5"/>
      <c r="H198" s="5"/>
      <c r="I198" s="5"/>
      <c r="J198" s="5"/>
      <c r="K198" s="5"/>
      <c r="L198" s="5"/>
      <c r="M198" s="5"/>
      <c r="N198" s="5"/>
      <c r="O198" s="5"/>
      <c r="P198" s="5"/>
      <c r="Q198" s="5"/>
      <c r="R198" s="5"/>
      <c r="S198" s="5"/>
      <c r="T198" s="73">
        <f t="shared" ref="T198:T208" si="12">SUM(F198:S198)</f>
        <v>0</v>
      </c>
      <c r="U198" s="76"/>
      <c r="V198" s="1"/>
      <c r="W198" s="1"/>
      <c r="X198" s="1"/>
      <c r="Y198" s="1"/>
      <c r="Z198" s="1"/>
    </row>
    <row r="199" spans="1:26" ht="39.75" customHeight="1">
      <c r="A199" s="171"/>
      <c r="B199" s="169"/>
      <c r="C199" s="169"/>
      <c r="D199" s="5">
        <v>190</v>
      </c>
      <c r="E199" s="5" t="s">
        <v>340</v>
      </c>
      <c r="F199" s="5"/>
      <c r="G199" s="5"/>
      <c r="H199" s="5"/>
      <c r="I199" s="5"/>
      <c r="J199" s="5"/>
      <c r="K199" s="5"/>
      <c r="L199" s="5"/>
      <c r="M199" s="5"/>
      <c r="N199" s="5"/>
      <c r="O199" s="5"/>
      <c r="P199" s="8">
        <v>1.43</v>
      </c>
      <c r="Q199" s="5">
        <v>3.5</v>
      </c>
      <c r="R199" s="5"/>
      <c r="S199" s="5"/>
      <c r="T199" s="73">
        <f t="shared" si="12"/>
        <v>4.93</v>
      </c>
      <c r="U199" s="76" t="s">
        <v>635</v>
      </c>
      <c r="V199" s="1"/>
      <c r="W199" s="1"/>
      <c r="X199" s="1"/>
      <c r="Y199" s="1"/>
      <c r="Z199" s="1"/>
    </row>
    <row r="200" spans="1:26" ht="39.75" customHeight="1">
      <c r="A200" s="171"/>
      <c r="B200" s="168" t="s">
        <v>341</v>
      </c>
      <c r="C200" s="168" t="s">
        <v>342</v>
      </c>
      <c r="D200" s="5">
        <v>191</v>
      </c>
      <c r="E200" s="5" t="s">
        <v>343</v>
      </c>
      <c r="F200" s="5"/>
      <c r="G200" s="5"/>
      <c r="H200" s="5"/>
      <c r="I200" s="5"/>
      <c r="J200" s="5"/>
      <c r="K200" s="5"/>
      <c r="L200" s="5"/>
      <c r="M200" s="5"/>
      <c r="N200" s="6"/>
      <c r="O200" s="5"/>
      <c r="P200" s="5"/>
      <c r="Q200" s="5"/>
      <c r="R200" s="5"/>
      <c r="S200" s="5"/>
      <c r="T200" s="73">
        <f t="shared" si="12"/>
        <v>0</v>
      </c>
      <c r="U200" s="76"/>
      <c r="V200" s="1"/>
      <c r="W200" s="1"/>
      <c r="X200" s="1"/>
      <c r="Y200" s="1"/>
      <c r="Z200" s="1"/>
    </row>
    <row r="201" spans="1:26" ht="210.75" customHeight="1">
      <c r="A201" s="171"/>
      <c r="B201" s="169"/>
      <c r="C201" s="169"/>
      <c r="D201" s="5">
        <v>192</v>
      </c>
      <c r="E201" s="5" t="s">
        <v>345</v>
      </c>
      <c r="F201" s="5"/>
      <c r="G201" s="92">
        <v>154.49</v>
      </c>
      <c r="H201" s="8">
        <v>57</v>
      </c>
      <c r="I201" s="5"/>
      <c r="J201" s="5"/>
      <c r="K201" s="5"/>
      <c r="L201" s="5"/>
      <c r="M201" s="5"/>
      <c r="N201" s="6">
        <f>37.5+20.95</f>
        <v>58.45</v>
      </c>
      <c r="O201" s="5"/>
      <c r="P201" s="6"/>
      <c r="Q201" s="8"/>
      <c r="R201" s="5"/>
      <c r="S201" s="5"/>
      <c r="T201" s="73">
        <f t="shared" si="12"/>
        <v>269.94</v>
      </c>
      <c r="U201" s="87" t="s">
        <v>653</v>
      </c>
      <c r="V201" s="1"/>
      <c r="W201" s="1"/>
      <c r="X201" s="1"/>
      <c r="Y201" s="1"/>
      <c r="Z201" s="1"/>
    </row>
    <row r="202" spans="1:26" ht="39.75" customHeight="1">
      <c r="A202" s="171"/>
      <c r="B202" s="168" t="s">
        <v>346</v>
      </c>
      <c r="C202" s="168" t="s">
        <v>278</v>
      </c>
      <c r="D202" s="5">
        <v>193</v>
      </c>
      <c r="E202" s="5" t="s">
        <v>347</v>
      </c>
      <c r="F202" s="5"/>
      <c r="G202" s="5"/>
      <c r="H202" s="5"/>
      <c r="I202" s="5"/>
      <c r="J202" s="5"/>
      <c r="K202" s="5"/>
      <c r="L202" s="5"/>
      <c r="M202" s="5"/>
      <c r="N202" s="5"/>
      <c r="O202" s="5"/>
      <c r="P202" s="6">
        <v>162.65</v>
      </c>
      <c r="Q202" s="5"/>
      <c r="R202" s="5"/>
      <c r="S202" s="8">
        <v>22.1</v>
      </c>
      <c r="T202" s="73">
        <f t="shared" si="12"/>
        <v>184.75</v>
      </c>
      <c r="U202" s="84" t="s">
        <v>650</v>
      </c>
      <c r="V202" s="1"/>
      <c r="W202" s="1"/>
      <c r="X202" s="1"/>
      <c r="Y202" s="1"/>
      <c r="Z202" s="1"/>
    </row>
    <row r="203" spans="1:26" ht="79.5" customHeight="1">
      <c r="A203" s="171"/>
      <c r="B203" s="169"/>
      <c r="C203" s="169"/>
      <c r="D203" s="5">
        <v>194</v>
      </c>
      <c r="E203" s="5" t="s">
        <v>279</v>
      </c>
      <c r="F203" s="5"/>
      <c r="G203" s="5"/>
      <c r="H203" s="5"/>
      <c r="I203" s="5"/>
      <c r="J203" s="5"/>
      <c r="K203" s="5"/>
      <c r="L203" s="5"/>
      <c r="M203" s="5"/>
      <c r="N203" s="6">
        <v>25</v>
      </c>
      <c r="O203" s="5"/>
      <c r="P203" s="5"/>
      <c r="Q203" s="6">
        <v>1</v>
      </c>
      <c r="R203" s="6">
        <f>337.08+324.93</f>
        <v>662.01</v>
      </c>
      <c r="S203" s="5"/>
      <c r="T203" s="73">
        <f t="shared" si="12"/>
        <v>688.01</v>
      </c>
      <c r="U203" s="76" t="s">
        <v>630</v>
      </c>
      <c r="V203" s="1"/>
      <c r="W203" s="1"/>
      <c r="X203" s="1"/>
      <c r="Y203" s="1"/>
      <c r="Z203" s="1"/>
    </row>
    <row r="204" spans="1:26" ht="210">
      <c r="A204" s="171"/>
      <c r="B204" s="168" t="s">
        <v>348</v>
      </c>
      <c r="C204" s="168" t="s">
        <v>349</v>
      </c>
      <c r="D204" s="5">
        <v>195</v>
      </c>
      <c r="E204" s="5" t="s">
        <v>350</v>
      </c>
      <c r="F204" s="5"/>
      <c r="G204" s="5"/>
      <c r="H204" s="5"/>
      <c r="I204" s="5"/>
      <c r="J204" s="5"/>
      <c r="K204" s="5"/>
      <c r="L204" s="5"/>
      <c r="M204" s="5"/>
      <c r="N204" s="5"/>
      <c r="O204" s="5"/>
      <c r="P204" s="6">
        <f>45.93-43.08</f>
        <v>2.8500000000000014</v>
      </c>
      <c r="Q204" s="8">
        <v>17.489999999999998</v>
      </c>
      <c r="R204" s="6">
        <v>2.1</v>
      </c>
      <c r="S204" s="5"/>
      <c r="T204" s="73">
        <f t="shared" si="12"/>
        <v>22.44</v>
      </c>
      <c r="U204" s="81" t="s">
        <v>566</v>
      </c>
      <c r="V204" s="1"/>
      <c r="W204" s="1"/>
      <c r="X204" s="1"/>
      <c r="Y204" s="1"/>
      <c r="Z204" s="1"/>
    </row>
    <row r="205" spans="1:26" ht="39.75" customHeight="1">
      <c r="A205" s="171"/>
      <c r="B205" s="171"/>
      <c r="C205" s="171"/>
      <c r="D205" s="5">
        <v>196</v>
      </c>
      <c r="E205" s="5" t="s">
        <v>352</v>
      </c>
      <c r="F205" s="5"/>
      <c r="G205" s="5"/>
      <c r="H205" s="5"/>
      <c r="I205" s="5"/>
      <c r="J205" s="5"/>
      <c r="K205" s="5"/>
      <c r="L205" s="5"/>
      <c r="M205" s="5"/>
      <c r="N205" s="5"/>
      <c r="O205" s="5"/>
      <c r="P205" s="5"/>
      <c r="Q205" s="5"/>
      <c r="R205" s="5"/>
      <c r="S205" s="5"/>
      <c r="T205" s="73">
        <f t="shared" si="12"/>
        <v>0</v>
      </c>
      <c r="U205" s="81" t="s">
        <v>567</v>
      </c>
      <c r="V205" s="1"/>
      <c r="W205" s="1"/>
      <c r="X205" s="1"/>
      <c r="Y205" s="1"/>
      <c r="Z205" s="1"/>
    </row>
    <row r="206" spans="1:26" ht="72" customHeight="1">
      <c r="A206" s="171"/>
      <c r="B206" s="169"/>
      <c r="C206" s="169"/>
      <c r="D206" s="5">
        <v>197</v>
      </c>
      <c r="E206" s="5" t="s">
        <v>353</v>
      </c>
      <c r="F206" s="5"/>
      <c r="G206" s="5"/>
      <c r="H206" s="5"/>
      <c r="I206" s="5"/>
      <c r="J206" s="5"/>
      <c r="K206" s="5"/>
      <c r="L206" s="5"/>
      <c r="M206" s="5"/>
      <c r="N206" s="5"/>
      <c r="O206" s="5"/>
      <c r="P206" s="6"/>
      <c r="Q206" s="5"/>
      <c r="R206" s="5"/>
      <c r="S206" s="5"/>
      <c r="T206" s="73">
        <f t="shared" si="12"/>
        <v>0</v>
      </c>
      <c r="U206" s="81" t="s">
        <v>568</v>
      </c>
      <c r="V206" s="1"/>
      <c r="W206" s="1"/>
      <c r="X206" s="1"/>
      <c r="Y206" s="1"/>
      <c r="Z206" s="1"/>
    </row>
    <row r="207" spans="1:26" ht="39.75" customHeight="1">
      <c r="A207" s="171"/>
      <c r="B207" s="5" t="s">
        <v>354</v>
      </c>
      <c r="C207" s="5" t="s">
        <v>284</v>
      </c>
      <c r="D207" s="5">
        <v>198</v>
      </c>
      <c r="E207" s="5" t="s">
        <v>285</v>
      </c>
      <c r="F207" s="5"/>
      <c r="G207" s="5"/>
      <c r="H207" s="5"/>
      <c r="I207" s="5"/>
      <c r="J207" s="5"/>
      <c r="K207" s="5"/>
      <c r="L207" s="5"/>
      <c r="M207" s="5"/>
      <c r="N207" s="5"/>
      <c r="O207" s="5"/>
      <c r="P207" s="5"/>
      <c r="Q207" s="5"/>
      <c r="R207" s="5">
        <f>10.12+10+30.6</f>
        <v>50.72</v>
      </c>
      <c r="S207" s="5"/>
      <c r="T207" s="73">
        <f t="shared" si="12"/>
        <v>50.72</v>
      </c>
      <c r="U207" s="88" t="s">
        <v>649</v>
      </c>
      <c r="V207" s="1"/>
      <c r="W207" s="1"/>
      <c r="X207" s="1"/>
      <c r="Y207" s="1"/>
      <c r="Z207" s="1"/>
    </row>
    <row r="208" spans="1:26" ht="104.25" customHeight="1">
      <c r="A208" s="171"/>
      <c r="B208" s="5" t="s">
        <v>355</v>
      </c>
      <c r="C208" s="5" t="s">
        <v>287</v>
      </c>
      <c r="D208" s="5">
        <v>199</v>
      </c>
      <c r="E208" s="5" t="s">
        <v>288</v>
      </c>
      <c r="F208" s="24"/>
      <c r="G208" s="24"/>
      <c r="H208" s="24"/>
      <c r="I208" s="24"/>
      <c r="J208" s="24"/>
      <c r="K208" s="24"/>
      <c r="L208" s="24"/>
      <c r="M208" s="24"/>
      <c r="N208" s="24"/>
      <c r="O208" s="24"/>
      <c r="P208" s="24"/>
      <c r="Q208" s="24"/>
      <c r="R208" s="24"/>
      <c r="S208" s="24"/>
      <c r="T208" s="73">
        <f t="shared" si="12"/>
        <v>0</v>
      </c>
      <c r="U208" s="76" t="s">
        <v>569</v>
      </c>
      <c r="V208" s="1"/>
      <c r="W208" s="1"/>
      <c r="X208" s="1"/>
      <c r="Y208" s="1"/>
      <c r="Z208" s="1"/>
    </row>
    <row r="209" spans="1:26" ht="39.75" customHeight="1">
      <c r="A209" s="169"/>
      <c r="B209" s="176" t="s">
        <v>356</v>
      </c>
      <c r="C209" s="183"/>
      <c r="D209" s="184"/>
      <c r="E209" s="51"/>
      <c r="F209" s="51">
        <f t="shared" ref="F209:T209" si="13">SUM(F159:F208)</f>
        <v>0</v>
      </c>
      <c r="G209" s="56">
        <f t="shared" si="13"/>
        <v>14456.473</v>
      </c>
      <c r="H209" s="56">
        <f t="shared" si="13"/>
        <v>3347.2200000000003</v>
      </c>
      <c r="I209" s="51">
        <f t="shared" si="13"/>
        <v>458.15999999999997</v>
      </c>
      <c r="J209" s="51">
        <f t="shared" si="13"/>
        <v>0</v>
      </c>
      <c r="K209" s="51">
        <f t="shared" si="13"/>
        <v>29245.83</v>
      </c>
      <c r="L209" s="51">
        <f t="shared" si="13"/>
        <v>0</v>
      </c>
      <c r="M209" s="51">
        <f t="shared" si="13"/>
        <v>15</v>
      </c>
      <c r="N209" s="52">
        <f t="shared" si="13"/>
        <v>211.86</v>
      </c>
      <c r="O209" s="51">
        <f t="shared" si="13"/>
        <v>84.07</v>
      </c>
      <c r="P209" s="56">
        <f t="shared" si="13"/>
        <v>21433.100000000002</v>
      </c>
      <c r="Q209" s="51">
        <f t="shared" si="13"/>
        <v>452.44000000000005</v>
      </c>
      <c r="R209" s="51">
        <f t="shared" si="13"/>
        <v>2288.1899999999996</v>
      </c>
      <c r="S209" s="51">
        <f t="shared" si="13"/>
        <v>22.1</v>
      </c>
      <c r="T209" s="74">
        <f t="shared" si="13"/>
        <v>72014.442999999985</v>
      </c>
      <c r="U209" s="79"/>
      <c r="V209" s="1"/>
      <c r="W209" s="1"/>
      <c r="X209" s="1"/>
      <c r="Y209" s="1"/>
      <c r="Z209" s="1"/>
    </row>
    <row r="210" spans="1:26" ht="39.75" customHeight="1">
      <c r="A210" s="180" t="s">
        <v>357</v>
      </c>
      <c r="B210" s="181"/>
      <c r="C210" s="181"/>
      <c r="D210" s="182"/>
      <c r="E210" s="64"/>
      <c r="F210" s="65">
        <f t="shared" ref="F210:T210" si="14">F209+F158+F134+F93+F68</f>
        <v>0</v>
      </c>
      <c r="G210" s="66">
        <f t="shared" si="14"/>
        <v>16073.833000000001</v>
      </c>
      <c r="H210" s="66">
        <f t="shared" si="14"/>
        <v>3631.67</v>
      </c>
      <c r="I210" s="65">
        <f t="shared" si="14"/>
        <v>3478.6210000000001</v>
      </c>
      <c r="J210" s="65">
        <f t="shared" si="14"/>
        <v>74.8</v>
      </c>
      <c r="K210" s="67">
        <f t="shared" si="14"/>
        <v>39064.152000000002</v>
      </c>
      <c r="L210" s="65">
        <f t="shared" si="14"/>
        <v>0</v>
      </c>
      <c r="M210" s="66">
        <f t="shared" si="14"/>
        <v>7388.32</v>
      </c>
      <c r="N210" s="67">
        <f t="shared" si="14"/>
        <v>675.38049999999998</v>
      </c>
      <c r="O210" s="65">
        <f t="shared" si="14"/>
        <v>84.088799999999992</v>
      </c>
      <c r="P210" s="66">
        <f t="shared" si="14"/>
        <v>22208.128000000004</v>
      </c>
      <c r="Q210" s="65">
        <f t="shared" si="14"/>
        <v>1368.2800000000002</v>
      </c>
      <c r="R210" s="66">
        <f t="shared" si="14"/>
        <v>2595.7439999999997</v>
      </c>
      <c r="S210" s="66">
        <f t="shared" si="14"/>
        <v>176.05</v>
      </c>
      <c r="T210" s="75">
        <f t="shared" si="14"/>
        <v>96819.067299999981</v>
      </c>
      <c r="U210" s="83"/>
      <c r="V210" s="1"/>
      <c r="W210" s="1"/>
      <c r="X210" s="1"/>
      <c r="Y210" s="1"/>
      <c r="Z210" s="1"/>
    </row>
    <row r="211" spans="1:26" ht="39.75" customHeight="1">
      <c r="A211" s="1"/>
      <c r="B211" s="1"/>
      <c r="C211" s="1"/>
      <c r="D211" s="1"/>
      <c r="E211" s="1"/>
      <c r="F211" s="1"/>
      <c r="G211" s="1"/>
      <c r="H211" s="1"/>
      <c r="I211" s="1"/>
      <c r="J211" s="1"/>
      <c r="K211" s="1"/>
      <c r="L211" s="1"/>
      <c r="M211" s="1"/>
      <c r="N211" s="1"/>
      <c r="O211" s="1"/>
      <c r="P211" s="1"/>
      <c r="Q211" s="1"/>
      <c r="R211" s="1"/>
      <c r="S211" s="1"/>
      <c r="T211" s="32"/>
      <c r="U211" s="2"/>
      <c r="V211" s="1"/>
      <c r="W211" s="1"/>
      <c r="X211" s="1"/>
      <c r="Y211" s="1"/>
      <c r="Z211" s="1"/>
    </row>
    <row r="212" spans="1:26" ht="39.75" customHeight="1">
      <c r="A212" s="1"/>
      <c r="B212" s="1"/>
      <c r="C212" s="1"/>
      <c r="D212" s="1"/>
      <c r="E212" s="1"/>
      <c r="F212" s="1"/>
      <c r="G212" s="1"/>
      <c r="H212" s="1"/>
      <c r="I212" s="1"/>
      <c r="J212" s="1"/>
      <c r="K212" s="1"/>
      <c r="L212" s="1"/>
      <c r="M212" s="1"/>
      <c r="N212" s="1"/>
      <c r="O212" s="1"/>
      <c r="P212" s="1"/>
      <c r="Q212" s="1"/>
      <c r="R212" s="1"/>
      <c r="S212" s="1"/>
      <c r="T212" s="1"/>
      <c r="U212" s="2"/>
      <c r="V212" s="1"/>
      <c r="W212" s="1"/>
      <c r="X212" s="1"/>
      <c r="Y212" s="1"/>
      <c r="Z212" s="1"/>
    </row>
    <row r="213" spans="1:26" ht="39.75" customHeight="1">
      <c r="A213" s="1"/>
      <c r="B213" s="1"/>
      <c r="C213" s="1"/>
      <c r="D213" s="1"/>
      <c r="E213" s="1"/>
      <c r="F213" s="1"/>
      <c r="G213" s="1"/>
      <c r="H213" s="1"/>
      <c r="I213" s="1"/>
      <c r="J213" s="1"/>
      <c r="K213" s="1"/>
      <c r="L213" s="1"/>
      <c r="M213" s="1"/>
      <c r="N213" s="1"/>
      <c r="O213" s="1"/>
      <c r="P213" s="1"/>
      <c r="Q213" s="1"/>
      <c r="R213" s="1"/>
      <c r="S213" s="1"/>
      <c r="T213" s="1"/>
      <c r="U213" s="2"/>
      <c r="V213" s="1"/>
      <c r="W213" s="1"/>
      <c r="X213" s="1"/>
      <c r="Y213" s="1"/>
      <c r="Z213" s="1"/>
    </row>
    <row r="214" spans="1:26" ht="39.75" customHeight="1">
      <c r="A214" s="1"/>
      <c r="B214" s="1"/>
      <c r="C214" s="1"/>
      <c r="D214" s="1"/>
      <c r="E214" s="1"/>
      <c r="F214" s="1"/>
      <c r="G214" s="1"/>
      <c r="H214" s="1"/>
      <c r="I214" s="1"/>
      <c r="J214" s="1"/>
      <c r="K214" s="1"/>
      <c r="L214" s="1"/>
      <c r="M214" s="1"/>
      <c r="N214" s="1"/>
      <c r="O214" s="1"/>
      <c r="P214" s="1"/>
      <c r="Q214" s="1"/>
      <c r="R214" s="1"/>
      <c r="S214" s="1"/>
      <c r="T214" s="1"/>
      <c r="U214" s="2"/>
      <c r="V214" s="1"/>
      <c r="W214" s="1"/>
      <c r="X214" s="1"/>
      <c r="Y214" s="1"/>
      <c r="Z214" s="1"/>
    </row>
    <row r="215" spans="1:26" ht="39.75" customHeight="1">
      <c r="A215" s="1"/>
      <c r="B215" s="1"/>
      <c r="C215" s="1"/>
      <c r="D215" s="1"/>
      <c r="E215" s="1"/>
      <c r="F215" s="1"/>
      <c r="G215" s="1"/>
      <c r="H215" s="1"/>
      <c r="I215" s="1"/>
      <c r="J215" s="1"/>
      <c r="K215" s="1"/>
      <c r="L215" s="1"/>
      <c r="M215" s="1"/>
      <c r="N215" s="1"/>
      <c r="O215" s="1"/>
      <c r="P215" s="1"/>
      <c r="Q215" s="1"/>
      <c r="R215" s="1"/>
      <c r="S215" s="1"/>
      <c r="T215" s="1"/>
      <c r="U215" s="2"/>
      <c r="V215" s="1"/>
      <c r="W215" s="1"/>
      <c r="X215" s="1"/>
      <c r="Y215" s="1"/>
      <c r="Z215" s="1"/>
    </row>
    <row r="216" spans="1:26" ht="39.75" customHeight="1">
      <c r="A216" s="1"/>
      <c r="B216" s="1"/>
      <c r="C216" s="1"/>
      <c r="D216" s="1"/>
      <c r="E216" s="1"/>
      <c r="F216" s="1"/>
      <c r="G216" s="1"/>
      <c r="H216" s="1"/>
      <c r="I216" s="1"/>
      <c r="J216" s="1"/>
      <c r="K216" s="1"/>
      <c r="L216" s="1"/>
      <c r="M216" s="1"/>
      <c r="N216" s="1"/>
      <c r="O216" s="1"/>
      <c r="P216" s="1"/>
      <c r="Q216" s="1"/>
      <c r="R216" s="1"/>
      <c r="S216" s="1"/>
      <c r="T216" s="1"/>
      <c r="U216" s="2"/>
      <c r="V216" s="1"/>
      <c r="W216" s="1"/>
      <c r="X216" s="1"/>
      <c r="Y216" s="1"/>
      <c r="Z216" s="1"/>
    </row>
    <row r="217" spans="1:26" ht="39.75" customHeight="1">
      <c r="A217" s="1"/>
      <c r="B217" s="1"/>
      <c r="C217" s="1"/>
      <c r="D217" s="1"/>
      <c r="E217" s="1"/>
      <c r="F217" s="1"/>
      <c r="G217" s="1"/>
      <c r="H217" s="1"/>
      <c r="I217" s="1"/>
      <c r="J217" s="1"/>
      <c r="K217" s="1"/>
      <c r="L217" s="1"/>
      <c r="M217" s="1"/>
      <c r="N217" s="1"/>
      <c r="O217" s="1"/>
      <c r="P217" s="1"/>
      <c r="Q217" s="1"/>
      <c r="R217" s="1"/>
      <c r="S217" s="1"/>
      <c r="T217" s="1"/>
      <c r="U217" s="2"/>
      <c r="V217" s="1"/>
      <c r="W217" s="1"/>
      <c r="X217" s="1"/>
      <c r="Y217" s="1"/>
      <c r="Z217" s="1"/>
    </row>
    <row r="218" spans="1:26" ht="39.75" customHeight="1">
      <c r="A218" s="1"/>
      <c r="B218" s="1"/>
      <c r="C218" s="1"/>
      <c r="D218" s="1"/>
      <c r="E218" s="1"/>
      <c r="F218" s="1"/>
      <c r="G218" s="1"/>
      <c r="H218" s="1"/>
      <c r="I218" s="1"/>
      <c r="J218" s="1"/>
      <c r="K218" s="1"/>
      <c r="L218" s="1"/>
      <c r="M218" s="1"/>
      <c r="N218" s="1"/>
      <c r="O218" s="1"/>
      <c r="P218" s="1"/>
      <c r="Q218" s="1"/>
      <c r="R218" s="1"/>
      <c r="S218" s="1"/>
      <c r="T218" s="1"/>
      <c r="U218" s="2"/>
      <c r="V218" s="1"/>
      <c r="W218" s="1"/>
      <c r="X218" s="1"/>
      <c r="Y218" s="1"/>
      <c r="Z218" s="1"/>
    </row>
    <row r="219" spans="1:26" ht="39.75" customHeight="1">
      <c r="A219" s="1"/>
      <c r="B219" s="1"/>
      <c r="C219" s="1"/>
      <c r="D219" s="1"/>
      <c r="E219" s="1"/>
      <c r="F219" s="1"/>
      <c r="G219" s="1"/>
      <c r="H219" s="1"/>
      <c r="I219" s="1"/>
      <c r="J219" s="1"/>
      <c r="K219" s="1"/>
      <c r="L219" s="1"/>
      <c r="M219" s="1"/>
      <c r="N219" s="1"/>
      <c r="O219" s="1"/>
      <c r="P219" s="1"/>
      <c r="Q219" s="1"/>
      <c r="R219" s="1"/>
      <c r="S219" s="1"/>
      <c r="T219" s="1"/>
      <c r="U219" s="2"/>
      <c r="V219" s="1"/>
      <c r="W219" s="1"/>
      <c r="X219" s="1"/>
      <c r="Y219" s="1"/>
      <c r="Z219" s="1"/>
    </row>
    <row r="220" spans="1:26" ht="39.75" customHeight="1">
      <c r="A220" s="1"/>
      <c r="B220" s="1"/>
      <c r="C220" s="1"/>
      <c r="D220" s="1"/>
      <c r="E220" s="1"/>
      <c r="F220" s="1"/>
      <c r="G220" s="1"/>
      <c r="H220" s="1"/>
      <c r="I220" s="1"/>
      <c r="J220" s="1"/>
      <c r="K220" s="1"/>
      <c r="L220" s="1"/>
      <c r="M220" s="1"/>
      <c r="N220" s="1"/>
      <c r="O220" s="1"/>
      <c r="P220" s="1"/>
      <c r="Q220" s="1"/>
      <c r="R220" s="1"/>
      <c r="S220" s="1"/>
      <c r="T220" s="1"/>
      <c r="U220" s="2"/>
      <c r="V220" s="1"/>
      <c r="W220" s="1"/>
      <c r="X220" s="1"/>
      <c r="Y220" s="1"/>
      <c r="Z220" s="1"/>
    </row>
    <row r="221" spans="1:26" ht="39.75" customHeight="1">
      <c r="A221" s="1"/>
      <c r="B221" s="1"/>
      <c r="C221" s="1"/>
      <c r="D221" s="1"/>
      <c r="E221" s="1"/>
      <c r="F221" s="1"/>
      <c r="G221" s="1"/>
      <c r="H221" s="1"/>
      <c r="I221" s="1"/>
      <c r="J221" s="1"/>
      <c r="K221" s="1"/>
      <c r="L221" s="1"/>
      <c r="M221" s="1"/>
      <c r="N221" s="1"/>
      <c r="O221" s="1"/>
      <c r="P221" s="1"/>
      <c r="Q221" s="1"/>
      <c r="R221" s="1"/>
      <c r="S221" s="1"/>
      <c r="T221" s="1"/>
      <c r="U221" s="2"/>
      <c r="V221" s="1"/>
      <c r="W221" s="1"/>
      <c r="X221" s="1"/>
      <c r="Y221" s="1"/>
      <c r="Z221" s="1"/>
    </row>
    <row r="222" spans="1:26" ht="39.75" customHeight="1">
      <c r="A222" s="1"/>
      <c r="B222" s="1"/>
      <c r="C222" s="1"/>
      <c r="D222" s="1"/>
      <c r="E222" s="1"/>
      <c r="F222" s="1"/>
      <c r="G222" s="1"/>
      <c r="H222" s="1"/>
      <c r="I222" s="1"/>
      <c r="J222" s="1"/>
      <c r="K222" s="1"/>
      <c r="L222" s="1"/>
      <c r="M222" s="1"/>
      <c r="N222" s="1"/>
      <c r="O222" s="1"/>
      <c r="P222" s="1"/>
      <c r="Q222" s="1"/>
      <c r="R222" s="1"/>
      <c r="S222" s="1"/>
      <c r="T222" s="1"/>
      <c r="U222" s="2"/>
      <c r="V222" s="1"/>
      <c r="W222" s="1"/>
      <c r="X222" s="1"/>
      <c r="Y222" s="1"/>
      <c r="Z222" s="1"/>
    </row>
    <row r="223" spans="1:26" ht="39.75" customHeight="1">
      <c r="A223" s="1"/>
      <c r="B223" s="1"/>
      <c r="C223" s="1"/>
      <c r="D223" s="1"/>
      <c r="E223" s="1"/>
      <c r="F223" s="1"/>
      <c r="G223" s="1"/>
      <c r="H223" s="1"/>
      <c r="I223" s="1"/>
      <c r="J223" s="1"/>
      <c r="K223" s="1"/>
      <c r="L223" s="1"/>
      <c r="M223" s="1"/>
      <c r="N223" s="1"/>
      <c r="O223" s="1"/>
      <c r="P223" s="1"/>
      <c r="Q223" s="1"/>
      <c r="R223" s="1"/>
      <c r="S223" s="1"/>
      <c r="T223" s="1"/>
      <c r="U223" s="2"/>
      <c r="V223" s="1"/>
      <c r="W223" s="1"/>
      <c r="X223" s="1"/>
      <c r="Y223" s="1"/>
      <c r="Z223" s="1"/>
    </row>
    <row r="224" spans="1:26" ht="39.75" customHeight="1">
      <c r="A224" s="1"/>
      <c r="B224" s="1"/>
      <c r="C224" s="1"/>
      <c r="D224" s="1"/>
      <c r="E224" s="1"/>
      <c r="F224" s="1"/>
      <c r="G224" s="1"/>
      <c r="H224" s="1"/>
      <c r="I224" s="1"/>
      <c r="J224" s="1"/>
      <c r="K224" s="1"/>
      <c r="L224" s="1"/>
      <c r="M224" s="1"/>
      <c r="N224" s="1"/>
      <c r="O224" s="1"/>
      <c r="P224" s="1"/>
      <c r="Q224" s="1"/>
      <c r="R224" s="1"/>
      <c r="S224" s="1"/>
      <c r="T224" s="1"/>
      <c r="U224" s="2"/>
      <c r="V224" s="1"/>
      <c r="W224" s="1"/>
      <c r="X224" s="1"/>
      <c r="Y224" s="1"/>
      <c r="Z224" s="1"/>
    </row>
    <row r="225" spans="1:26" ht="39.75" customHeight="1">
      <c r="A225" s="1"/>
      <c r="B225" s="1"/>
      <c r="C225" s="1"/>
      <c r="D225" s="1"/>
      <c r="E225" s="1"/>
      <c r="F225" s="1"/>
      <c r="G225" s="1"/>
      <c r="H225" s="1"/>
      <c r="I225" s="1"/>
      <c r="J225" s="1"/>
      <c r="K225" s="1"/>
      <c r="L225" s="1"/>
      <c r="M225" s="1"/>
      <c r="N225" s="1"/>
      <c r="O225" s="1"/>
      <c r="P225" s="1"/>
      <c r="Q225" s="1"/>
      <c r="R225" s="1"/>
      <c r="S225" s="1"/>
      <c r="T225" s="1"/>
      <c r="U225" s="2"/>
      <c r="V225" s="1"/>
      <c r="W225" s="1"/>
      <c r="X225" s="1"/>
      <c r="Y225" s="1"/>
      <c r="Z225" s="1"/>
    </row>
    <row r="226" spans="1:26" ht="39.75" customHeight="1">
      <c r="A226" s="1"/>
      <c r="B226" s="1"/>
      <c r="C226" s="1"/>
      <c r="D226" s="1"/>
      <c r="E226" s="1"/>
      <c r="F226" s="1"/>
      <c r="G226" s="1"/>
      <c r="H226" s="1"/>
      <c r="I226" s="1"/>
      <c r="J226" s="1"/>
      <c r="K226" s="1"/>
      <c r="L226" s="1"/>
      <c r="M226" s="1"/>
      <c r="N226" s="1"/>
      <c r="O226" s="1"/>
      <c r="P226" s="1"/>
      <c r="Q226" s="1"/>
      <c r="R226" s="1"/>
      <c r="S226" s="1"/>
      <c r="T226" s="1"/>
      <c r="U226" s="2"/>
      <c r="V226" s="1"/>
      <c r="W226" s="1"/>
      <c r="X226" s="1"/>
      <c r="Y226" s="1"/>
      <c r="Z226" s="1"/>
    </row>
    <row r="227" spans="1:26" ht="39.75" customHeight="1">
      <c r="A227" s="1"/>
      <c r="B227" s="1"/>
      <c r="C227" s="1"/>
      <c r="D227" s="1"/>
      <c r="E227" s="1"/>
      <c r="F227" s="1"/>
      <c r="G227" s="1"/>
      <c r="H227" s="1"/>
      <c r="I227" s="1"/>
      <c r="J227" s="1"/>
      <c r="K227" s="1"/>
      <c r="L227" s="1"/>
      <c r="M227" s="1"/>
      <c r="N227" s="1"/>
      <c r="O227" s="1"/>
      <c r="P227" s="1"/>
      <c r="Q227" s="1"/>
      <c r="R227" s="1"/>
      <c r="S227" s="1"/>
      <c r="T227" s="1"/>
      <c r="U227" s="2"/>
      <c r="V227" s="1"/>
      <c r="W227" s="1"/>
      <c r="X227" s="1"/>
      <c r="Y227" s="1"/>
      <c r="Z227" s="1"/>
    </row>
    <row r="228" spans="1:26" ht="39.75" customHeight="1">
      <c r="A228" s="1"/>
      <c r="B228" s="1"/>
      <c r="C228" s="1"/>
      <c r="D228" s="1"/>
      <c r="E228" s="1"/>
      <c r="F228" s="1"/>
      <c r="G228" s="1"/>
      <c r="H228" s="1"/>
      <c r="I228" s="1"/>
      <c r="J228" s="1"/>
      <c r="K228" s="1"/>
      <c r="L228" s="1"/>
      <c r="M228" s="1"/>
      <c r="N228" s="1"/>
      <c r="O228" s="1"/>
      <c r="P228" s="1"/>
      <c r="Q228" s="1"/>
      <c r="R228" s="1"/>
      <c r="S228" s="1"/>
      <c r="T228" s="1"/>
      <c r="U228" s="2"/>
      <c r="V228" s="1"/>
      <c r="W228" s="1"/>
      <c r="X228" s="1"/>
      <c r="Y228" s="1"/>
      <c r="Z228" s="1"/>
    </row>
    <row r="229" spans="1:26" ht="39.75" customHeight="1">
      <c r="A229" s="1"/>
      <c r="B229" s="1"/>
      <c r="C229" s="1"/>
      <c r="D229" s="1"/>
      <c r="E229" s="1"/>
      <c r="F229" s="1"/>
      <c r="G229" s="1"/>
      <c r="H229" s="1"/>
      <c r="I229" s="1"/>
      <c r="J229" s="1"/>
      <c r="K229" s="1"/>
      <c r="L229" s="1"/>
      <c r="M229" s="1"/>
      <c r="N229" s="1"/>
      <c r="O229" s="1"/>
      <c r="P229" s="1"/>
      <c r="Q229" s="1"/>
      <c r="R229" s="1"/>
      <c r="S229" s="1"/>
      <c r="T229" s="1"/>
      <c r="U229" s="2"/>
      <c r="V229" s="1"/>
      <c r="W229" s="1"/>
      <c r="X229" s="1"/>
      <c r="Y229" s="1"/>
      <c r="Z229" s="1"/>
    </row>
    <row r="230" spans="1:26" ht="39.75" customHeight="1">
      <c r="A230" s="1"/>
      <c r="B230" s="1"/>
      <c r="C230" s="1"/>
      <c r="D230" s="1"/>
      <c r="E230" s="1"/>
      <c r="F230" s="1"/>
      <c r="G230" s="1"/>
      <c r="H230" s="1"/>
      <c r="I230" s="1"/>
      <c r="J230" s="1"/>
      <c r="K230" s="1"/>
      <c r="L230" s="1"/>
      <c r="M230" s="1"/>
      <c r="N230" s="1"/>
      <c r="O230" s="1"/>
      <c r="P230" s="1"/>
      <c r="Q230" s="1"/>
      <c r="R230" s="1"/>
      <c r="S230" s="1"/>
      <c r="T230" s="1"/>
      <c r="U230" s="2"/>
      <c r="V230" s="1"/>
      <c r="W230" s="1"/>
      <c r="X230" s="1"/>
      <c r="Y230" s="1"/>
      <c r="Z230" s="1"/>
    </row>
    <row r="231" spans="1:26" ht="39.75" customHeight="1">
      <c r="A231" s="1"/>
      <c r="B231" s="1"/>
      <c r="C231" s="1"/>
      <c r="D231" s="1"/>
      <c r="E231" s="1"/>
      <c r="F231" s="1"/>
      <c r="G231" s="1"/>
      <c r="H231" s="1"/>
      <c r="I231" s="1"/>
      <c r="J231" s="1"/>
      <c r="K231" s="1"/>
      <c r="L231" s="1"/>
      <c r="M231" s="1"/>
      <c r="N231" s="1"/>
      <c r="O231" s="1"/>
      <c r="P231" s="1"/>
      <c r="Q231" s="1"/>
      <c r="R231" s="1"/>
      <c r="S231" s="1"/>
      <c r="T231" s="1"/>
      <c r="U231" s="2"/>
      <c r="V231" s="1"/>
      <c r="W231" s="1"/>
      <c r="X231" s="1"/>
      <c r="Y231" s="1"/>
      <c r="Z231" s="1"/>
    </row>
    <row r="232" spans="1:26" ht="39.75" customHeight="1">
      <c r="A232" s="1"/>
      <c r="B232" s="1"/>
      <c r="C232" s="1"/>
      <c r="D232" s="1"/>
      <c r="E232" s="1"/>
      <c r="F232" s="1"/>
      <c r="G232" s="1"/>
      <c r="H232" s="1"/>
      <c r="I232" s="1"/>
      <c r="J232" s="1"/>
      <c r="K232" s="1"/>
      <c r="L232" s="1"/>
      <c r="M232" s="1"/>
      <c r="N232" s="1"/>
      <c r="O232" s="1"/>
      <c r="P232" s="1"/>
      <c r="Q232" s="1"/>
      <c r="R232" s="1"/>
      <c r="S232" s="1"/>
      <c r="T232" s="1"/>
      <c r="U232" s="2"/>
      <c r="V232" s="1"/>
      <c r="W232" s="1"/>
      <c r="X232" s="1"/>
      <c r="Y232" s="1"/>
      <c r="Z232" s="1"/>
    </row>
    <row r="233" spans="1:26" ht="39.75" customHeight="1">
      <c r="A233" s="1"/>
      <c r="B233" s="1"/>
      <c r="C233" s="1"/>
      <c r="D233" s="1"/>
      <c r="E233" s="1"/>
      <c r="F233" s="1"/>
      <c r="G233" s="1"/>
      <c r="H233" s="1"/>
      <c r="I233" s="1"/>
      <c r="J233" s="1"/>
      <c r="K233" s="1"/>
      <c r="L233" s="1"/>
      <c r="M233" s="1"/>
      <c r="N233" s="1"/>
      <c r="O233" s="1"/>
      <c r="P233" s="1"/>
      <c r="Q233" s="1"/>
      <c r="R233" s="1"/>
      <c r="S233" s="1"/>
      <c r="T233" s="1"/>
      <c r="U233" s="2"/>
      <c r="V233" s="1"/>
      <c r="W233" s="1"/>
      <c r="X233" s="1"/>
      <c r="Y233" s="1"/>
      <c r="Z233" s="1"/>
    </row>
    <row r="234" spans="1:26" ht="39.75" customHeight="1">
      <c r="A234" s="1"/>
      <c r="B234" s="1"/>
      <c r="C234" s="1"/>
      <c r="D234" s="1"/>
      <c r="E234" s="1"/>
      <c r="F234" s="1"/>
      <c r="G234" s="1"/>
      <c r="H234" s="1"/>
      <c r="I234" s="1"/>
      <c r="J234" s="1"/>
      <c r="K234" s="1"/>
      <c r="L234" s="1"/>
      <c r="M234" s="1"/>
      <c r="N234" s="1"/>
      <c r="O234" s="1"/>
      <c r="P234" s="1"/>
      <c r="Q234" s="1"/>
      <c r="R234" s="1"/>
      <c r="S234" s="1"/>
      <c r="T234" s="1"/>
      <c r="U234" s="2"/>
      <c r="V234" s="1"/>
      <c r="W234" s="1"/>
      <c r="X234" s="1"/>
      <c r="Y234" s="1"/>
      <c r="Z234" s="1"/>
    </row>
    <row r="235" spans="1:26" ht="39.75" customHeight="1">
      <c r="A235" s="1"/>
      <c r="B235" s="1"/>
      <c r="C235" s="1"/>
      <c r="D235" s="1"/>
      <c r="E235" s="1"/>
      <c r="F235" s="1"/>
      <c r="G235" s="1"/>
      <c r="H235" s="1"/>
      <c r="I235" s="1"/>
      <c r="J235" s="1"/>
      <c r="K235" s="1"/>
      <c r="L235" s="1"/>
      <c r="M235" s="1"/>
      <c r="N235" s="1"/>
      <c r="O235" s="1"/>
      <c r="P235" s="1"/>
      <c r="Q235" s="1"/>
      <c r="R235" s="1"/>
      <c r="S235" s="1"/>
      <c r="T235" s="1"/>
      <c r="U235" s="2"/>
      <c r="V235" s="1"/>
      <c r="W235" s="1"/>
      <c r="X235" s="1"/>
      <c r="Y235" s="1"/>
      <c r="Z235" s="1"/>
    </row>
    <row r="236" spans="1:26" ht="39.75" customHeight="1">
      <c r="A236" s="1"/>
      <c r="B236" s="1"/>
      <c r="C236" s="1"/>
      <c r="D236" s="1"/>
      <c r="E236" s="1"/>
      <c r="F236" s="1"/>
      <c r="G236" s="1"/>
      <c r="H236" s="1"/>
      <c r="I236" s="1"/>
      <c r="J236" s="1"/>
      <c r="K236" s="1"/>
      <c r="L236" s="1"/>
      <c r="M236" s="1"/>
      <c r="N236" s="1"/>
      <c r="O236" s="1"/>
      <c r="P236" s="1"/>
      <c r="Q236" s="1"/>
      <c r="R236" s="1"/>
      <c r="S236" s="1"/>
      <c r="T236" s="1"/>
      <c r="U236" s="2"/>
      <c r="V236" s="1"/>
      <c r="W236" s="1"/>
      <c r="X236" s="1"/>
      <c r="Y236" s="1"/>
      <c r="Z236" s="1"/>
    </row>
    <row r="237" spans="1:26" ht="39.75" customHeight="1">
      <c r="A237" s="1"/>
      <c r="B237" s="1"/>
      <c r="C237" s="1"/>
      <c r="D237" s="1"/>
      <c r="E237" s="1"/>
      <c r="F237" s="1"/>
      <c r="G237" s="1"/>
      <c r="H237" s="1"/>
      <c r="I237" s="1"/>
      <c r="J237" s="1"/>
      <c r="K237" s="1"/>
      <c r="L237" s="1"/>
      <c r="M237" s="1"/>
      <c r="N237" s="1"/>
      <c r="O237" s="1"/>
      <c r="P237" s="1"/>
      <c r="Q237" s="1"/>
      <c r="R237" s="1"/>
      <c r="S237" s="1"/>
      <c r="T237" s="1"/>
      <c r="U237" s="2"/>
      <c r="V237" s="1"/>
      <c r="W237" s="1"/>
      <c r="X237" s="1"/>
      <c r="Y237" s="1"/>
      <c r="Z237" s="1"/>
    </row>
    <row r="238" spans="1:26" ht="39.75" customHeight="1">
      <c r="A238" s="1"/>
      <c r="B238" s="1"/>
      <c r="C238" s="1"/>
      <c r="D238" s="1"/>
      <c r="E238" s="1"/>
      <c r="F238" s="1"/>
      <c r="G238" s="1"/>
      <c r="H238" s="1"/>
      <c r="I238" s="1"/>
      <c r="J238" s="1"/>
      <c r="K238" s="1"/>
      <c r="L238" s="1"/>
      <c r="M238" s="1"/>
      <c r="N238" s="1"/>
      <c r="O238" s="1"/>
      <c r="P238" s="1"/>
      <c r="Q238" s="1"/>
      <c r="R238" s="1"/>
      <c r="S238" s="1"/>
      <c r="T238" s="1"/>
      <c r="U238" s="2"/>
      <c r="V238" s="1"/>
      <c r="W238" s="1"/>
      <c r="X238" s="1"/>
      <c r="Y238" s="1"/>
      <c r="Z238" s="1"/>
    </row>
    <row r="239" spans="1:26" ht="39.75" customHeight="1">
      <c r="A239" s="1"/>
      <c r="B239" s="1"/>
      <c r="C239" s="1"/>
      <c r="D239" s="1"/>
      <c r="E239" s="1"/>
      <c r="F239" s="1"/>
      <c r="G239" s="1"/>
      <c r="H239" s="1"/>
      <c r="I239" s="1"/>
      <c r="J239" s="1"/>
      <c r="K239" s="1"/>
      <c r="L239" s="1"/>
      <c r="M239" s="1"/>
      <c r="N239" s="1"/>
      <c r="O239" s="1"/>
      <c r="P239" s="1"/>
      <c r="Q239" s="1"/>
      <c r="R239" s="1"/>
      <c r="S239" s="1"/>
      <c r="T239" s="1"/>
      <c r="U239" s="2"/>
      <c r="V239" s="1"/>
      <c r="W239" s="1"/>
      <c r="X239" s="1"/>
      <c r="Y239" s="1"/>
      <c r="Z239" s="1"/>
    </row>
    <row r="240" spans="1:26" ht="39.75" customHeight="1">
      <c r="A240" s="1"/>
      <c r="B240" s="1"/>
      <c r="C240" s="1"/>
      <c r="D240" s="1"/>
      <c r="E240" s="1"/>
      <c r="F240" s="1"/>
      <c r="G240" s="1"/>
      <c r="H240" s="1"/>
      <c r="I240" s="1"/>
      <c r="J240" s="1"/>
      <c r="K240" s="1"/>
      <c r="L240" s="1"/>
      <c r="M240" s="1"/>
      <c r="N240" s="1"/>
      <c r="O240" s="1"/>
      <c r="P240" s="1"/>
      <c r="Q240" s="1"/>
      <c r="R240" s="1"/>
      <c r="S240" s="1"/>
      <c r="T240" s="1"/>
      <c r="U240" s="2"/>
      <c r="V240" s="1"/>
      <c r="W240" s="1"/>
      <c r="X240" s="1"/>
      <c r="Y240" s="1"/>
      <c r="Z240" s="1"/>
    </row>
    <row r="241" spans="1:26" ht="39.75" customHeight="1">
      <c r="A241" s="1"/>
      <c r="B241" s="1"/>
      <c r="C241" s="1"/>
      <c r="D241" s="1"/>
      <c r="E241" s="1"/>
      <c r="F241" s="1"/>
      <c r="G241" s="1"/>
      <c r="H241" s="1"/>
      <c r="I241" s="1"/>
      <c r="J241" s="1"/>
      <c r="K241" s="1"/>
      <c r="L241" s="1"/>
      <c r="M241" s="1"/>
      <c r="N241" s="1"/>
      <c r="O241" s="1"/>
      <c r="P241" s="1"/>
      <c r="Q241" s="1"/>
      <c r="R241" s="1"/>
      <c r="S241" s="1"/>
      <c r="T241" s="1"/>
      <c r="U241" s="2"/>
      <c r="V241" s="1"/>
      <c r="W241" s="1"/>
      <c r="X241" s="1"/>
      <c r="Y241" s="1"/>
      <c r="Z241" s="1"/>
    </row>
    <row r="242" spans="1:26" ht="39.75" customHeight="1">
      <c r="A242" s="1"/>
      <c r="B242" s="1"/>
      <c r="C242" s="1"/>
      <c r="D242" s="1"/>
      <c r="E242" s="1"/>
      <c r="F242" s="1"/>
      <c r="G242" s="1"/>
      <c r="H242" s="1"/>
      <c r="I242" s="1"/>
      <c r="J242" s="1"/>
      <c r="K242" s="1"/>
      <c r="L242" s="1"/>
      <c r="M242" s="1"/>
      <c r="N242" s="1"/>
      <c r="O242" s="1"/>
      <c r="P242" s="1"/>
      <c r="Q242" s="1"/>
      <c r="R242" s="1"/>
      <c r="S242" s="1"/>
      <c r="T242" s="1"/>
      <c r="U242" s="2"/>
      <c r="V242" s="1"/>
      <c r="W242" s="1"/>
      <c r="X242" s="1"/>
      <c r="Y242" s="1"/>
      <c r="Z242" s="1"/>
    </row>
    <row r="243" spans="1:26" ht="39.75" customHeight="1">
      <c r="A243" s="1"/>
      <c r="B243" s="1"/>
      <c r="C243" s="1"/>
      <c r="D243" s="1"/>
      <c r="E243" s="1"/>
      <c r="F243" s="1"/>
      <c r="G243" s="1"/>
      <c r="H243" s="1"/>
      <c r="I243" s="1"/>
      <c r="J243" s="1"/>
      <c r="K243" s="1"/>
      <c r="L243" s="1"/>
      <c r="M243" s="1"/>
      <c r="N243" s="1"/>
      <c r="O243" s="1"/>
      <c r="P243" s="1"/>
      <c r="Q243" s="1"/>
      <c r="R243" s="1"/>
      <c r="S243" s="1"/>
      <c r="T243" s="1"/>
      <c r="U243" s="2"/>
      <c r="V243" s="1"/>
      <c r="W243" s="1"/>
      <c r="X243" s="1"/>
      <c r="Y243" s="1"/>
      <c r="Z243" s="1"/>
    </row>
    <row r="244" spans="1:26" ht="39.75" customHeight="1">
      <c r="A244" s="1"/>
      <c r="B244" s="1"/>
      <c r="C244" s="1"/>
      <c r="D244" s="1"/>
      <c r="E244" s="1"/>
      <c r="F244" s="1"/>
      <c r="G244" s="1"/>
      <c r="H244" s="1"/>
      <c r="I244" s="1"/>
      <c r="J244" s="1"/>
      <c r="K244" s="1"/>
      <c r="L244" s="1"/>
      <c r="M244" s="1"/>
      <c r="N244" s="1"/>
      <c r="O244" s="1"/>
      <c r="P244" s="1"/>
      <c r="Q244" s="1"/>
      <c r="R244" s="1"/>
      <c r="S244" s="1"/>
      <c r="T244" s="1"/>
      <c r="U244" s="2"/>
      <c r="V244" s="1"/>
      <c r="W244" s="1"/>
      <c r="X244" s="1"/>
      <c r="Y244" s="1"/>
      <c r="Z244" s="1"/>
    </row>
    <row r="245" spans="1:26" ht="39.75" customHeight="1">
      <c r="A245" s="1"/>
      <c r="B245" s="1"/>
      <c r="C245" s="1"/>
      <c r="D245" s="1"/>
      <c r="E245" s="1"/>
      <c r="F245" s="1"/>
      <c r="G245" s="1"/>
      <c r="H245" s="1"/>
      <c r="I245" s="1"/>
      <c r="J245" s="1"/>
      <c r="K245" s="1"/>
      <c r="L245" s="1"/>
      <c r="M245" s="1"/>
      <c r="N245" s="1"/>
      <c r="O245" s="1"/>
      <c r="P245" s="1"/>
      <c r="Q245" s="1"/>
      <c r="R245" s="1"/>
      <c r="S245" s="1"/>
      <c r="T245" s="1"/>
      <c r="U245" s="2"/>
      <c r="V245" s="1"/>
      <c r="W245" s="1"/>
      <c r="X245" s="1"/>
      <c r="Y245" s="1"/>
      <c r="Z245" s="1"/>
    </row>
    <row r="246" spans="1:26" ht="39.75" customHeight="1">
      <c r="A246" s="1"/>
      <c r="B246" s="1"/>
      <c r="C246" s="1"/>
      <c r="D246" s="1"/>
      <c r="E246" s="1"/>
      <c r="F246" s="1"/>
      <c r="G246" s="1"/>
      <c r="H246" s="1"/>
      <c r="I246" s="1"/>
      <c r="J246" s="1"/>
      <c r="K246" s="1"/>
      <c r="L246" s="1"/>
      <c r="M246" s="1"/>
      <c r="N246" s="1"/>
      <c r="O246" s="1"/>
      <c r="P246" s="1"/>
      <c r="Q246" s="1"/>
      <c r="R246" s="1"/>
      <c r="S246" s="1"/>
      <c r="T246" s="1"/>
      <c r="U246" s="2"/>
      <c r="V246" s="1"/>
      <c r="W246" s="1"/>
      <c r="X246" s="1"/>
      <c r="Y246" s="1"/>
      <c r="Z246" s="1"/>
    </row>
    <row r="247" spans="1:26" ht="39.75" customHeight="1">
      <c r="A247" s="1"/>
      <c r="B247" s="1"/>
      <c r="C247" s="1"/>
      <c r="D247" s="1"/>
      <c r="E247" s="1"/>
      <c r="F247" s="1"/>
      <c r="G247" s="1"/>
      <c r="H247" s="1"/>
      <c r="I247" s="1"/>
      <c r="J247" s="1"/>
      <c r="K247" s="1"/>
      <c r="L247" s="1"/>
      <c r="M247" s="1"/>
      <c r="N247" s="1"/>
      <c r="O247" s="1"/>
      <c r="P247" s="1"/>
      <c r="Q247" s="1"/>
      <c r="R247" s="1"/>
      <c r="S247" s="1"/>
      <c r="T247" s="1"/>
      <c r="U247" s="2"/>
      <c r="V247" s="1"/>
      <c r="W247" s="1"/>
      <c r="X247" s="1"/>
      <c r="Y247" s="1"/>
      <c r="Z247" s="1"/>
    </row>
    <row r="248" spans="1:26" ht="39.75" customHeight="1">
      <c r="A248" s="1"/>
      <c r="B248" s="1"/>
      <c r="C248" s="1"/>
      <c r="D248" s="1"/>
      <c r="E248" s="1"/>
      <c r="F248" s="1"/>
      <c r="G248" s="1"/>
      <c r="H248" s="1"/>
      <c r="I248" s="1"/>
      <c r="J248" s="1"/>
      <c r="K248" s="1"/>
      <c r="L248" s="1"/>
      <c r="M248" s="1"/>
      <c r="N248" s="1"/>
      <c r="O248" s="1"/>
      <c r="P248" s="1"/>
      <c r="Q248" s="1"/>
      <c r="R248" s="1"/>
      <c r="S248" s="1"/>
      <c r="T248" s="1"/>
      <c r="U248" s="2"/>
      <c r="V248" s="1"/>
      <c r="W248" s="1"/>
      <c r="X248" s="1"/>
      <c r="Y248" s="1"/>
      <c r="Z248" s="1"/>
    </row>
    <row r="249" spans="1:26" ht="39.75" customHeight="1">
      <c r="A249" s="1"/>
      <c r="B249" s="1"/>
      <c r="C249" s="1"/>
      <c r="D249" s="1"/>
      <c r="E249" s="1"/>
      <c r="F249" s="1"/>
      <c r="G249" s="1"/>
      <c r="H249" s="1"/>
      <c r="I249" s="1"/>
      <c r="J249" s="1"/>
      <c r="K249" s="1"/>
      <c r="L249" s="1"/>
      <c r="M249" s="1"/>
      <c r="N249" s="1"/>
      <c r="O249" s="1"/>
      <c r="P249" s="1"/>
      <c r="Q249" s="1"/>
      <c r="R249" s="1"/>
      <c r="S249" s="1"/>
      <c r="T249" s="1"/>
      <c r="U249" s="2"/>
      <c r="V249" s="1"/>
      <c r="W249" s="1"/>
      <c r="X249" s="1"/>
      <c r="Y249" s="1"/>
      <c r="Z249" s="1"/>
    </row>
    <row r="250" spans="1:26" ht="39.75" customHeight="1">
      <c r="A250" s="1"/>
      <c r="B250" s="1"/>
      <c r="C250" s="1"/>
      <c r="D250" s="1"/>
      <c r="E250" s="1"/>
      <c r="F250" s="1"/>
      <c r="G250" s="1"/>
      <c r="H250" s="1"/>
      <c r="I250" s="1"/>
      <c r="J250" s="1"/>
      <c r="K250" s="1"/>
      <c r="L250" s="1"/>
      <c r="M250" s="1"/>
      <c r="N250" s="1"/>
      <c r="O250" s="1"/>
      <c r="P250" s="1"/>
      <c r="Q250" s="1"/>
      <c r="R250" s="1"/>
      <c r="S250" s="1"/>
      <c r="T250" s="1"/>
      <c r="U250" s="2"/>
      <c r="V250" s="1"/>
      <c r="W250" s="1"/>
      <c r="X250" s="1"/>
      <c r="Y250" s="1"/>
      <c r="Z250" s="1"/>
    </row>
    <row r="251" spans="1:26" ht="39.75" customHeight="1">
      <c r="A251" s="1"/>
      <c r="B251" s="1"/>
      <c r="C251" s="1"/>
      <c r="D251" s="1"/>
      <c r="E251" s="1"/>
      <c r="F251" s="1"/>
      <c r="G251" s="1"/>
      <c r="H251" s="1"/>
      <c r="I251" s="1"/>
      <c r="J251" s="1"/>
      <c r="K251" s="1"/>
      <c r="L251" s="1"/>
      <c r="M251" s="1"/>
      <c r="N251" s="1"/>
      <c r="O251" s="1"/>
      <c r="P251" s="1"/>
      <c r="Q251" s="1"/>
      <c r="R251" s="1"/>
      <c r="S251" s="1"/>
      <c r="T251" s="1"/>
      <c r="U251" s="2"/>
      <c r="V251" s="1"/>
      <c r="W251" s="1"/>
      <c r="X251" s="1"/>
      <c r="Y251" s="1"/>
      <c r="Z251" s="1"/>
    </row>
    <row r="252" spans="1:26" ht="39.75" customHeight="1">
      <c r="A252" s="1"/>
      <c r="B252" s="1"/>
      <c r="C252" s="1"/>
      <c r="D252" s="1"/>
      <c r="E252" s="1"/>
      <c r="F252" s="1"/>
      <c r="G252" s="1"/>
      <c r="H252" s="1"/>
      <c r="I252" s="1"/>
      <c r="J252" s="1"/>
      <c r="K252" s="1"/>
      <c r="L252" s="1"/>
      <c r="M252" s="1"/>
      <c r="N252" s="1"/>
      <c r="O252" s="1"/>
      <c r="P252" s="1"/>
      <c r="Q252" s="1"/>
      <c r="R252" s="1"/>
      <c r="S252" s="1"/>
      <c r="T252" s="1"/>
      <c r="U252" s="2"/>
      <c r="V252" s="1"/>
      <c r="W252" s="1"/>
      <c r="X252" s="1"/>
      <c r="Y252" s="1"/>
      <c r="Z252" s="1"/>
    </row>
    <row r="253" spans="1:26" ht="39.75" customHeight="1">
      <c r="A253" s="1"/>
      <c r="B253" s="1"/>
      <c r="C253" s="1"/>
      <c r="D253" s="1"/>
      <c r="E253" s="1"/>
      <c r="F253" s="1"/>
      <c r="G253" s="1"/>
      <c r="H253" s="1"/>
      <c r="I253" s="1"/>
      <c r="J253" s="1"/>
      <c r="K253" s="1"/>
      <c r="L253" s="1"/>
      <c r="M253" s="1"/>
      <c r="N253" s="1"/>
      <c r="O253" s="1"/>
      <c r="P253" s="1"/>
      <c r="Q253" s="1"/>
      <c r="R253" s="1"/>
      <c r="S253" s="1"/>
      <c r="T253" s="1"/>
      <c r="U253" s="2"/>
      <c r="V253" s="1"/>
      <c r="W253" s="1"/>
      <c r="X253" s="1"/>
      <c r="Y253" s="1"/>
      <c r="Z253" s="1"/>
    </row>
    <row r="254" spans="1:26" ht="39.75" customHeight="1">
      <c r="A254" s="1"/>
      <c r="B254" s="1"/>
      <c r="C254" s="1"/>
      <c r="D254" s="1"/>
      <c r="E254" s="1"/>
      <c r="F254" s="1"/>
      <c r="G254" s="1"/>
      <c r="H254" s="1"/>
      <c r="I254" s="1"/>
      <c r="J254" s="1"/>
      <c r="K254" s="1"/>
      <c r="L254" s="1"/>
      <c r="M254" s="1"/>
      <c r="N254" s="1"/>
      <c r="O254" s="1"/>
      <c r="P254" s="1"/>
      <c r="Q254" s="1"/>
      <c r="R254" s="1"/>
      <c r="S254" s="1"/>
      <c r="T254" s="1"/>
      <c r="U254" s="2"/>
      <c r="V254" s="1"/>
      <c r="W254" s="1"/>
      <c r="X254" s="1"/>
      <c r="Y254" s="1"/>
      <c r="Z254" s="1"/>
    </row>
    <row r="255" spans="1:26" ht="39.75" customHeight="1">
      <c r="A255" s="1"/>
      <c r="B255" s="1"/>
      <c r="C255" s="1"/>
      <c r="D255" s="1"/>
      <c r="E255" s="1"/>
      <c r="F255" s="1"/>
      <c r="G255" s="1"/>
      <c r="H255" s="1"/>
      <c r="I255" s="1"/>
      <c r="J255" s="1"/>
      <c r="K255" s="1"/>
      <c r="L255" s="1"/>
      <c r="M255" s="1"/>
      <c r="N255" s="1"/>
      <c r="O255" s="1"/>
      <c r="P255" s="1"/>
      <c r="Q255" s="1"/>
      <c r="R255" s="1"/>
      <c r="S255" s="1"/>
      <c r="T255" s="1"/>
      <c r="U255" s="2"/>
      <c r="V255" s="1"/>
      <c r="W255" s="1"/>
      <c r="X255" s="1"/>
      <c r="Y255" s="1"/>
      <c r="Z255" s="1"/>
    </row>
    <row r="256" spans="1:26" ht="39.75" customHeight="1">
      <c r="A256" s="1"/>
      <c r="B256" s="1"/>
      <c r="C256" s="1"/>
      <c r="D256" s="1"/>
      <c r="E256" s="1"/>
      <c r="F256" s="1"/>
      <c r="G256" s="1"/>
      <c r="H256" s="1"/>
      <c r="I256" s="1"/>
      <c r="J256" s="1"/>
      <c r="K256" s="1"/>
      <c r="L256" s="1"/>
      <c r="M256" s="1"/>
      <c r="N256" s="1"/>
      <c r="O256" s="1"/>
      <c r="P256" s="1"/>
      <c r="Q256" s="1"/>
      <c r="R256" s="1"/>
      <c r="S256" s="1"/>
      <c r="T256" s="1"/>
      <c r="U256" s="2"/>
      <c r="V256" s="1"/>
      <c r="W256" s="1"/>
      <c r="X256" s="1"/>
      <c r="Y256" s="1"/>
      <c r="Z256" s="1"/>
    </row>
    <row r="257" spans="1:26" ht="39.75" customHeight="1">
      <c r="A257" s="1"/>
      <c r="B257" s="1"/>
      <c r="C257" s="1"/>
      <c r="D257" s="1"/>
      <c r="E257" s="1"/>
      <c r="F257" s="1"/>
      <c r="G257" s="1"/>
      <c r="H257" s="1"/>
      <c r="I257" s="1"/>
      <c r="J257" s="1"/>
      <c r="K257" s="1"/>
      <c r="L257" s="1"/>
      <c r="M257" s="1"/>
      <c r="N257" s="1"/>
      <c r="O257" s="1"/>
      <c r="P257" s="1"/>
      <c r="Q257" s="1"/>
      <c r="R257" s="1"/>
      <c r="S257" s="1"/>
      <c r="T257" s="1"/>
      <c r="U257" s="2"/>
      <c r="V257" s="1"/>
      <c r="W257" s="1"/>
      <c r="X257" s="1"/>
      <c r="Y257" s="1"/>
      <c r="Z257" s="1"/>
    </row>
    <row r="258" spans="1:26" ht="39.75" customHeight="1">
      <c r="A258" s="1"/>
      <c r="B258" s="1"/>
      <c r="C258" s="1"/>
      <c r="D258" s="1"/>
      <c r="E258" s="1"/>
      <c r="F258" s="1"/>
      <c r="G258" s="1"/>
      <c r="H258" s="1"/>
      <c r="I258" s="1"/>
      <c r="J258" s="1"/>
      <c r="K258" s="1"/>
      <c r="L258" s="1"/>
      <c r="M258" s="1"/>
      <c r="N258" s="1"/>
      <c r="O258" s="1"/>
      <c r="P258" s="1"/>
      <c r="Q258" s="1"/>
      <c r="R258" s="1"/>
      <c r="S258" s="1"/>
      <c r="T258" s="1"/>
      <c r="U258" s="2"/>
      <c r="V258" s="1"/>
      <c r="W258" s="1"/>
      <c r="X258" s="1"/>
      <c r="Y258" s="1"/>
      <c r="Z258" s="1"/>
    </row>
    <row r="259" spans="1:26" ht="39.75" customHeight="1">
      <c r="A259" s="1"/>
      <c r="B259" s="1"/>
      <c r="C259" s="1"/>
      <c r="D259" s="1"/>
      <c r="E259" s="1"/>
      <c r="F259" s="1"/>
      <c r="G259" s="1"/>
      <c r="H259" s="1"/>
      <c r="I259" s="1"/>
      <c r="J259" s="1"/>
      <c r="K259" s="1"/>
      <c r="L259" s="1"/>
      <c r="M259" s="1"/>
      <c r="N259" s="1"/>
      <c r="O259" s="1"/>
      <c r="P259" s="1"/>
      <c r="Q259" s="1"/>
      <c r="R259" s="1"/>
      <c r="S259" s="1"/>
      <c r="T259" s="1"/>
      <c r="U259" s="2"/>
      <c r="V259" s="1"/>
      <c r="W259" s="1"/>
      <c r="X259" s="1"/>
      <c r="Y259" s="1"/>
      <c r="Z259" s="1"/>
    </row>
    <row r="260" spans="1:26" ht="39.75" customHeight="1">
      <c r="A260" s="1"/>
      <c r="B260" s="1"/>
      <c r="C260" s="1"/>
      <c r="D260" s="1"/>
      <c r="E260" s="1"/>
      <c r="F260" s="1"/>
      <c r="G260" s="1"/>
      <c r="H260" s="1"/>
      <c r="I260" s="1"/>
      <c r="J260" s="1"/>
      <c r="K260" s="1"/>
      <c r="L260" s="1"/>
      <c r="M260" s="1"/>
      <c r="N260" s="1"/>
      <c r="O260" s="1"/>
      <c r="P260" s="1"/>
      <c r="Q260" s="1"/>
      <c r="R260" s="1"/>
      <c r="S260" s="1"/>
      <c r="T260" s="1"/>
      <c r="U260" s="2"/>
      <c r="V260" s="1"/>
      <c r="W260" s="1"/>
      <c r="X260" s="1"/>
      <c r="Y260" s="1"/>
      <c r="Z260" s="1"/>
    </row>
    <row r="261" spans="1:26" ht="39.75" customHeight="1">
      <c r="A261" s="1"/>
      <c r="B261" s="1"/>
      <c r="C261" s="1"/>
      <c r="D261" s="1"/>
      <c r="E261" s="1"/>
      <c r="F261" s="1"/>
      <c r="G261" s="1"/>
      <c r="H261" s="1"/>
      <c r="I261" s="1"/>
      <c r="J261" s="1"/>
      <c r="K261" s="1"/>
      <c r="L261" s="1"/>
      <c r="M261" s="1"/>
      <c r="N261" s="1"/>
      <c r="O261" s="1"/>
      <c r="P261" s="1"/>
      <c r="Q261" s="1"/>
      <c r="R261" s="1"/>
      <c r="S261" s="1"/>
      <c r="T261" s="1"/>
      <c r="U261" s="2"/>
      <c r="V261" s="1"/>
      <c r="W261" s="1"/>
      <c r="X261" s="1"/>
      <c r="Y261" s="1"/>
      <c r="Z261" s="1"/>
    </row>
    <row r="262" spans="1:26" ht="39.75" customHeight="1">
      <c r="A262" s="1"/>
      <c r="B262" s="1"/>
      <c r="C262" s="1"/>
      <c r="D262" s="1"/>
      <c r="E262" s="1"/>
      <c r="F262" s="1"/>
      <c r="G262" s="1"/>
      <c r="H262" s="1"/>
      <c r="I262" s="1"/>
      <c r="J262" s="1"/>
      <c r="K262" s="1"/>
      <c r="L262" s="1"/>
      <c r="M262" s="1"/>
      <c r="N262" s="1"/>
      <c r="O262" s="1"/>
      <c r="P262" s="1"/>
      <c r="Q262" s="1"/>
      <c r="R262" s="1"/>
      <c r="S262" s="1"/>
      <c r="T262" s="1"/>
      <c r="U262" s="2"/>
      <c r="V262" s="1"/>
      <c r="W262" s="1"/>
      <c r="X262" s="1"/>
      <c r="Y262" s="1"/>
      <c r="Z262" s="1"/>
    </row>
    <row r="263" spans="1:26" ht="39.75" customHeight="1">
      <c r="A263" s="1"/>
      <c r="B263" s="1"/>
      <c r="C263" s="1"/>
      <c r="D263" s="1"/>
      <c r="E263" s="1"/>
      <c r="F263" s="1"/>
      <c r="G263" s="1"/>
      <c r="H263" s="1"/>
      <c r="I263" s="1"/>
      <c r="J263" s="1"/>
      <c r="K263" s="1"/>
      <c r="L263" s="1"/>
      <c r="M263" s="1"/>
      <c r="N263" s="1"/>
      <c r="O263" s="1"/>
      <c r="P263" s="1"/>
      <c r="Q263" s="1"/>
      <c r="R263" s="1"/>
      <c r="S263" s="1"/>
      <c r="T263" s="1"/>
      <c r="U263" s="2"/>
      <c r="V263" s="1"/>
      <c r="W263" s="1"/>
      <c r="X263" s="1"/>
      <c r="Y263" s="1"/>
      <c r="Z263" s="1"/>
    </row>
    <row r="264" spans="1:26" ht="39.75" customHeight="1">
      <c r="A264" s="1"/>
      <c r="B264" s="1"/>
      <c r="C264" s="1"/>
      <c r="D264" s="1"/>
      <c r="E264" s="1"/>
      <c r="F264" s="1"/>
      <c r="G264" s="1"/>
      <c r="H264" s="1"/>
      <c r="I264" s="1"/>
      <c r="J264" s="1"/>
      <c r="K264" s="1"/>
      <c r="L264" s="1"/>
      <c r="M264" s="1"/>
      <c r="N264" s="1"/>
      <c r="O264" s="1"/>
      <c r="P264" s="1"/>
      <c r="Q264" s="1"/>
      <c r="R264" s="1"/>
      <c r="S264" s="1"/>
      <c r="T264" s="1"/>
      <c r="U264" s="2"/>
      <c r="V264" s="1"/>
      <c r="W264" s="1"/>
      <c r="X264" s="1"/>
      <c r="Y264" s="1"/>
      <c r="Z264" s="1"/>
    </row>
    <row r="265" spans="1:26" ht="39.75" customHeight="1">
      <c r="A265" s="1"/>
      <c r="B265" s="1"/>
      <c r="C265" s="1"/>
      <c r="D265" s="1"/>
      <c r="E265" s="1"/>
      <c r="F265" s="1"/>
      <c r="G265" s="1"/>
      <c r="H265" s="1"/>
      <c r="I265" s="1"/>
      <c r="J265" s="1"/>
      <c r="K265" s="1"/>
      <c r="L265" s="1"/>
      <c r="M265" s="1"/>
      <c r="N265" s="1"/>
      <c r="O265" s="1"/>
      <c r="P265" s="1"/>
      <c r="Q265" s="1"/>
      <c r="R265" s="1"/>
      <c r="S265" s="1"/>
      <c r="T265" s="1"/>
      <c r="U265" s="2"/>
      <c r="V265" s="1"/>
      <c r="W265" s="1"/>
      <c r="X265" s="1"/>
      <c r="Y265" s="1"/>
      <c r="Z265" s="1"/>
    </row>
    <row r="266" spans="1:26" ht="39.75" customHeight="1">
      <c r="A266" s="1"/>
      <c r="B266" s="1"/>
      <c r="C266" s="1"/>
      <c r="D266" s="1"/>
      <c r="E266" s="1"/>
      <c r="F266" s="1"/>
      <c r="G266" s="1"/>
      <c r="H266" s="1"/>
      <c r="I266" s="1"/>
      <c r="J266" s="1"/>
      <c r="K266" s="1"/>
      <c r="L266" s="1"/>
      <c r="M266" s="1"/>
      <c r="N266" s="1"/>
      <c r="O266" s="1"/>
      <c r="P266" s="1"/>
      <c r="Q266" s="1"/>
      <c r="R266" s="1"/>
      <c r="S266" s="1"/>
      <c r="T266" s="1"/>
      <c r="U266" s="2"/>
      <c r="V266" s="1"/>
      <c r="W266" s="1"/>
      <c r="X266" s="1"/>
      <c r="Y266" s="1"/>
      <c r="Z266" s="1"/>
    </row>
    <row r="267" spans="1:26" ht="39.75" customHeight="1">
      <c r="A267" s="1"/>
      <c r="B267" s="1"/>
      <c r="C267" s="1"/>
      <c r="D267" s="1"/>
      <c r="E267" s="1"/>
      <c r="F267" s="1"/>
      <c r="G267" s="1"/>
      <c r="H267" s="1"/>
      <c r="I267" s="1"/>
      <c r="J267" s="1"/>
      <c r="K267" s="1"/>
      <c r="L267" s="1"/>
      <c r="M267" s="1"/>
      <c r="N267" s="1"/>
      <c r="O267" s="1"/>
      <c r="P267" s="1"/>
      <c r="Q267" s="1"/>
      <c r="R267" s="1"/>
      <c r="S267" s="1"/>
      <c r="T267" s="1"/>
      <c r="U267" s="2"/>
      <c r="V267" s="1"/>
      <c r="W267" s="1"/>
      <c r="X267" s="1"/>
      <c r="Y267" s="1"/>
      <c r="Z267" s="1"/>
    </row>
    <row r="268" spans="1:26" ht="39.75" customHeight="1">
      <c r="A268" s="1"/>
      <c r="B268" s="1"/>
      <c r="C268" s="1"/>
      <c r="D268" s="1"/>
      <c r="E268" s="1"/>
      <c r="F268" s="1"/>
      <c r="G268" s="1"/>
      <c r="H268" s="1"/>
      <c r="I268" s="1"/>
      <c r="J268" s="1"/>
      <c r="K268" s="1"/>
      <c r="L268" s="1"/>
      <c r="M268" s="1"/>
      <c r="N268" s="1"/>
      <c r="O268" s="1"/>
      <c r="P268" s="1"/>
      <c r="Q268" s="1"/>
      <c r="R268" s="1"/>
      <c r="S268" s="1"/>
      <c r="T268" s="1"/>
      <c r="U268" s="2"/>
      <c r="V268" s="1"/>
      <c r="W268" s="1"/>
      <c r="X268" s="1"/>
      <c r="Y268" s="1"/>
      <c r="Z268" s="1"/>
    </row>
    <row r="269" spans="1:26" ht="39.75" customHeight="1">
      <c r="A269" s="1"/>
      <c r="B269" s="1"/>
      <c r="C269" s="1"/>
      <c r="D269" s="1"/>
      <c r="E269" s="1"/>
      <c r="F269" s="1"/>
      <c r="G269" s="1"/>
      <c r="H269" s="1"/>
      <c r="I269" s="1"/>
      <c r="J269" s="1"/>
      <c r="K269" s="1"/>
      <c r="L269" s="1"/>
      <c r="M269" s="1"/>
      <c r="N269" s="1"/>
      <c r="O269" s="1"/>
      <c r="P269" s="1"/>
      <c r="Q269" s="1"/>
      <c r="R269" s="1"/>
      <c r="S269" s="1"/>
      <c r="T269" s="1"/>
      <c r="U269" s="2"/>
      <c r="V269" s="1"/>
      <c r="W269" s="1"/>
      <c r="X269" s="1"/>
      <c r="Y269" s="1"/>
      <c r="Z269" s="1"/>
    </row>
    <row r="270" spans="1:26" ht="39.75" customHeight="1">
      <c r="A270" s="1"/>
      <c r="B270" s="1"/>
      <c r="C270" s="1"/>
      <c r="D270" s="1"/>
      <c r="E270" s="1"/>
      <c r="F270" s="1"/>
      <c r="G270" s="1"/>
      <c r="H270" s="1"/>
      <c r="I270" s="1"/>
      <c r="J270" s="1"/>
      <c r="K270" s="1"/>
      <c r="L270" s="1"/>
      <c r="M270" s="1"/>
      <c r="N270" s="1"/>
      <c r="O270" s="1"/>
      <c r="P270" s="1"/>
      <c r="Q270" s="1"/>
      <c r="R270" s="1"/>
      <c r="S270" s="1"/>
      <c r="T270" s="1"/>
      <c r="U270" s="2"/>
      <c r="V270" s="1"/>
      <c r="W270" s="1"/>
      <c r="X270" s="1"/>
      <c r="Y270" s="1"/>
      <c r="Z270" s="1"/>
    </row>
    <row r="271" spans="1:26" ht="39.75" customHeight="1">
      <c r="A271" s="1"/>
      <c r="B271" s="1"/>
      <c r="C271" s="1"/>
      <c r="D271" s="1"/>
      <c r="E271" s="1"/>
      <c r="F271" s="1"/>
      <c r="G271" s="1"/>
      <c r="H271" s="1"/>
      <c r="I271" s="1"/>
      <c r="J271" s="1"/>
      <c r="K271" s="1"/>
      <c r="L271" s="1"/>
      <c r="M271" s="1"/>
      <c r="N271" s="1"/>
      <c r="O271" s="1"/>
      <c r="P271" s="1"/>
      <c r="Q271" s="1"/>
      <c r="R271" s="1"/>
      <c r="S271" s="1"/>
      <c r="T271" s="1"/>
      <c r="U271" s="2"/>
      <c r="V271" s="1"/>
      <c r="W271" s="1"/>
      <c r="X271" s="1"/>
      <c r="Y271" s="1"/>
      <c r="Z271" s="1"/>
    </row>
    <row r="272" spans="1:26" ht="39.75" customHeight="1">
      <c r="A272" s="1"/>
      <c r="B272" s="1"/>
      <c r="C272" s="1"/>
      <c r="D272" s="1"/>
      <c r="E272" s="1"/>
      <c r="F272" s="1"/>
      <c r="G272" s="1"/>
      <c r="H272" s="1"/>
      <c r="I272" s="1"/>
      <c r="J272" s="1"/>
      <c r="K272" s="1"/>
      <c r="L272" s="1"/>
      <c r="M272" s="1"/>
      <c r="N272" s="1"/>
      <c r="O272" s="1"/>
      <c r="P272" s="1"/>
      <c r="Q272" s="1"/>
      <c r="R272" s="1"/>
      <c r="S272" s="1"/>
      <c r="T272" s="1"/>
      <c r="U272" s="2"/>
      <c r="V272" s="1"/>
      <c r="W272" s="1"/>
      <c r="X272" s="1"/>
      <c r="Y272" s="1"/>
      <c r="Z272" s="1"/>
    </row>
    <row r="273" spans="1:26" ht="39.75" customHeight="1">
      <c r="A273" s="1"/>
      <c r="B273" s="1"/>
      <c r="C273" s="1"/>
      <c r="D273" s="1"/>
      <c r="E273" s="1"/>
      <c r="F273" s="1"/>
      <c r="G273" s="1"/>
      <c r="H273" s="1"/>
      <c r="I273" s="1"/>
      <c r="J273" s="1"/>
      <c r="K273" s="1"/>
      <c r="L273" s="1"/>
      <c r="M273" s="1"/>
      <c r="N273" s="1"/>
      <c r="O273" s="1"/>
      <c r="P273" s="1"/>
      <c r="Q273" s="1"/>
      <c r="R273" s="1"/>
      <c r="S273" s="1"/>
      <c r="T273" s="1"/>
      <c r="U273" s="2"/>
      <c r="V273" s="1"/>
      <c r="W273" s="1"/>
      <c r="X273" s="1"/>
      <c r="Y273" s="1"/>
      <c r="Z273" s="1"/>
    </row>
    <row r="274" spans="1:26" ht="39.75" customHeight="1">
      <c r="A274" s="1"/>
      <c r="B274" s="1"/>
      <c r="C274" s="1"/>
      <c r="D274" s="1"/>
      <c r="E274" s="1"/>
      <c r="F274" s="1"/>
      <c r="G274" s="1"/>
      <c r="H274" s="1"/>
      <c r="I274" s="1"/>
      <c r="J274" s="1"/>
      <c r="K274" s="1"/>
      <c r="L274" s="1"/>
      <c r="M274" s="1"/>
      <c r="N274" s="1"/>
      <c r="O274" s="1"/>
      <c r="P274" s="1"/>
      <c r="Q274" s="1"/>
      <c r="R274" s="1"/>
      <c r="S274" s="1"/>
      <c r="T274" s="1"/>
      <c r="U274" s="2"/>
      <c r="V274" s="1"/>
      <c r="W274" s="1"/>
      <c r="X274" s="1"/>
      <c r="Y274" s="1"/>
      <c r="Z274" s="1"/>
    </row>
    <row r="275" spans="1:26" ht="39.75" customHeight="1">
      <c r="A275" s="1"/>
      <c r="B275" s="1"/>
      <c r="C275" s="1"/>
      <c r="D275" s="1"/>
      <c r="E275" s="1"/>
      <c r="F275" s="1"/>
      <c r="G275" s="1"/>
      <c r="H275" s="1"/>
      <c r="I275" s="1"/>
      <c r="J275" s="1"/>
      <c r="K275" s="1"/>
      <c r="L275" s="1"/>
      <c r="M275" s="1"/>
      <c r="N275" s="1"/>
      <c r="O275" s="1"/>
      <c r="P275" s="1"/>
      <c r="Q275" s="1"/>
      <c r="R275" s="1"/>
      <c r="S275" s="1"/>
      <c r="T275" s="1"/>
      <c r="U275" s="2"/>
      <c r="V275" s="1"/>
      <c r="W275" s="1"/>
      <c r="X275" s="1"/>
      <c r="Y275" s="1"/>
      <c r="Z275" s="1"/>
    </row>
    <row r="276" spans="1:26" ht="39.75" customHeight="1">
      <c r="A276" s="1"/>
      <c r="B276" s="1"/>
      <c r="C276" s="1"/>
      <c r="D276" s="1"/>
      <c r="E276" s="1"/>
      <c r="F276" s="1"/>
      <c r="G276" s="1"/>
      <c r="H276" s="1"/>
      <c r="I276" s="1"/>
      <c r="J276" s="1"/>
      <c r="K276" s="1"/>
      <c r="L276" s="1"/>
      <c r="M276" s="1"/>
      <c r="N276" s="1"/>
      <c r="O276" s="1"/>
      <c r="P276" s="1"/>
      <c r="Q276" s="1"/>
      <c r="R276" s="1"/>
      <c r="S276" s="1"/>
      <c r="T276" s="1"/>
      <c r="U276" s="2"/>
      <c r="V276" s="1"/>
      <c r="W276" s="1"/>
      <c r="X276" s="1"/>
      <c r="Y276" s="1"/>
      <c r="Z276" s="1"/>
    </row>
    <row r="277" spans="1:26" ht="39.75" customHeight="1">
      <c r="A277" s="1"/>
      <c r="B277" s="1"/>
      <c r="C277" s="1"/>
      <c r="D277" s="1"/>
      <c r="E277" s="1"/>
      <c r="F277" s="1"/>
      <c r="G277" s="1"/>
      <c r="H277" s="1"/>
      <c r="I277" s="1"/>
      <c r="J277" s="1"/>
      <c r="K277" s="1"/>
      <c r="L277" s="1"/>
      <c r="M277" s="1"/>
      <c r="N277" s="1"/>
      <c r="O277" s="1"/>
      <c r="P277" s="1"/>
      <c r="Q277" s="1"/>
      <c r="R277" s="1"/>
      <c r="S277" s="1"/>
      <c r="T277" s="1"/>
      <c r="U277" s="2"/>
      <c r="V277" s="1"/>
      <c r="W277" s="1"/>
      <c r="X277" s="1"/>
      <c r="Y277" s="1"/>
      <c r="Z277" s="1"/>
    </row>
    <row r="278" spans="1:26" ht="39.75" customHeight="1">
      <c r="A278" s="1"/>
      <c r="B278" s="1"/>
      <c r="C278" s="1"/>
      <c r="D278" s="1"/>
      <c r="E278" s="1"/>
      <c r="F278" s="1"/>
      <c r="G278" s="1"/>
      <c r="H278" s="1"/>
      <c r="I278" s="1"/>
      <c r="J278" s="1"/>
      <c r="K278" s="1"/>
      <c r="L278" s="1"/>
      <c r="M278" s="1"/>
      <c r="N278" s="1"/>
      <c r="O278" s="1"/>
      <c r="P278" s="1"/>
      <c r="Q278" s="1"/>
      <c r="R278" s="1"/>
      <c r="S278" s="1"/>
      <c r="T278" s="1"/>
      <c r="U278" s="2"/>
      <c r="V278" s="1"/>
      <c r="W278" s="1"/>
      <c r="X278" s="1"/>
      <c r="Y278" s="1"/>
      <c r="Z278" s="1"/>
    </row>
    <row r="279" spans="1:26" ht="39.75" customHeight="1">
      <c r="A279" s="1"/>
      <c r="B279" s="1"/>
      <c r="C279" s="1"/>
      <c r="D279" s="1"/>
      <c r="E279" s="1"/>
      <c r="F279" s="1"/>
      <c r="G279" s="1"/>
      <c r="H279" s="1"/>
      <c r="I279" s="1"/>
      <c r="J279" s="1"/>
      <c r="K279" s="1"/>
      <c r="L279" s="1"/>
      <c r="M279" s="1"/>
      <c r="N279" s="1"/>
      <c r="O279" s="1"/>
      <c r="P279" s="1"/>
      <c r="Q279" s="1"/>
      <c r="R279" s="1"/>
      <c r="S279" s="1"/>
      <c r="T279" s="1"/>
      <c r="U279" s="2"/>
      <c r="V279" s="1"/>
      <c r="W279" s="1"/>
      <c r="X279" s="1"/>
      <c r="Y279" s="1"/>
      <c r="Z279" s="1"/>
    </row>
    <row r="280" spans="1:26" ht="39.75" customHeight="1">
      <c r="A280" s="1"/>
      <c r="B280" s="1"/>
      <c r="C280" s="1"/>
      <c r="D280" s="1"/>
      <c r="E280" s="1"/>
      <c r="F280" s="1"/>
      <c r="G280" s="1"/>
      <c r="H280" s="1"/>
      <c r="I280" s="1"/>
      <c r="J280" s="1"/>
      <c r="K280" s="1"/>
      <c r="L280" s="1"/>
      <c r="M280" s="1"/>
      <c r="N280" s="1"/>
      <c r="O280" s="1"/>
      <c r="P280" s="1"/>
      <c r="Q280" s="1"/>
      <c r="R280" s="1"/>
      <c r="S280" s="1"/>
      <c r="T280" s="1"/>
      <c r="U280" s="2"/>
      <c r="V280" s="1"/>
      <c r="W280" s="1"/>
      <c r="X280" s="1"/>
      <c r="Y280" s="1"/>
      <c r="Z280" s="1"/>
    </row>
    <row r="281" spans="1:26" ht="39.75" customHeight="1">
      <c r="A281" s="1"/>
      <c r="B281" s="1"/>
      <c r="C281" s="1"/>
      <c r="D281" s="1"/>
      <c r="E281" s="1"/>
      <c r="F281" s="1"/>
      <c r="G281" s="1"/>
      <c r="H281" s="1"/>
      <c r="I281" s="1"/>
      <c r="J281" s="1"/>
      <c r="K281" s="1"/>
      <c r="L281" s="1"/>
      <c r="M281" s="1"/>
      <c r="N281" s="1"/>
      <c r="O281" s="1"/>
      <c r="P281" s="1"/>
      <c r="Q281" s="1"/>
      <c r="R281" s="1"/>
      <c r="S281" s="1"/>
      <c r="T281" s="1"/>
      <c r="U281" s="2"/>
      <c r="V281" s="1"/>
      <c r="W281" s="1"/>
      <c r="X281" s="1"/>
      <c r="Y281" s="1"/>
      <c r="Z281" s="1"/>
    </row>
    <row r="282" spans="1:26" ht="39.75" customHeight="1">
      <c r="A282" s="1"/>
      <c r="B282" s="1"/>
      <c r="C282" s="1"/>
      <c r="D282" s="1"/>
      <c r="E282" s="1"/>
      <c r="F282" s="1"/>
      <c r="G282" s="1"/>
      <c r="H282" s="1"/>
      <c r="I282" s="1"/>
      <c r="J282" s="1"/>
      <c r="K282" s="1"/>
      <c r="L282" s="1"/>
      <c r="M282" s="1"/>
      <c r="N282" s="1"/>
      <c r="O282" s="1"/>
      <c r="P282" s="1"/>
      <c r="Q282" s="1"/>
      <c r="R282" s="1"/>
      <c r="S282" s="1"/>
      <c r="T282" s="1"/>
      <c r="U282" s="2"/>
      <c r="V282" s="1"/>
      <c r="W282" s="1"/>
      <c r="X282" s="1"/>
      <c r="Y282" s="1"/>
      <c r="Z282" s="1"/>
    </row>
    <row r="283" spans="1:26" ht="39.75" customHeight="1">
      <c r="A283" s="1"/>
      <c r="B283" s="1"/>
      <c r="C283" s="1"/>
      <c r="D283" s="1"/>
      <c r="E283" s="1"/>
      <c r="F283" s="1"/>
      <c r="G283" s="1"/>
      <c r="H283" s="1"/>
      <c r="I283" s="1"/>
      <c r="J283" s="1"/>
      <c r="K283" s="1"/>
      <c r="L283" s="1"/>
      <c r="M283" s="1"/>
      <c r="N283" s="1"/>
      <c r="O283" s="1"/>
      <c r="P283" s="1"/>
      <c r="Q283" s="1"/>
      <c r="R283" s="1"/>
      <c r="S283" s="1"/>
      <c r="T283" s="1"/>
      <c r="U283" s="2"/>
      <c r="V283" s="1"/>
      <c r="W283" s="1"/>
      <c r="X283" s="1"/>
      <c r="Y283" s="1"/>
      <c r="Z283" s="1"/>
    </row>
    <row r="284" spans="1:26" ht="39.75" customHeight="1">
      <c r="A284" s="1"/>
      <c r="B284" s="1"/>
      <c r="C284" s="1"/>
      <c r="D284" s="1"/>
      <c r="E284" s="1"/>
      <c r="F284" s="1"/>
      <c r="G284" s="1"/>
      <c r="H284" s="1"/>
      <c r="I284" s="1"/>
      <c r="J284" s="1"/>
      <c r="K284" s="1"/>
      <c r="L284" s="1"/>
      <c r="M284" s="1"/>
      <c r="N284" s="1"/>
      <c r="O284" s="1"/>
      <c r="P284" s="1"/>
      <c r="Q284" s="1"/>
      <c r="R284" s="1"/>
      <c r="S284" s="1"/>
      <c r="T284" s="1"/>
      <c r="U284" s="2"/>
      <c r="V284" s="1"/>
      <c r="W284" s="1"/>
      <c r="X284" s="1"/>
      <c r="Y284" s="1"/>
      <c r="Z284" s="1"/>
    </row>
    <row r="285" spans="1:26" ht="39.75" customHeight="1">
      <c r="A285" s="1"/>
      <c r="B285" s="1"/>
      <c r="C285" s="1"/>
      <c r="D285" s="1"/>
      <c r="E285" s="1"/>
      <c r="F285" s="1"/>
      <c r="G285" s="1"/>
      <c r="H285" s="1"/>
      <c r="I285" s="1"/>
      <c r="J285" s="1"/>
      <c r="K285" s="1"/>
      <c r="L285" s="1"/>
      <c r="M285" s="1"/>
      <c r="N285" s="1"/>
      <c r="O285" s="1"/>
      <c r="P285" s="1"/>
      <c r="Q285" s="1"/>
      <c r="R285" s="1"/>
      <c r="S285" s="1"/>
      <c r="T285" s="1"/>
      <c r="U285" s="2"/>
      <c r="V285" s="1"/>
      <c r="W285" s="1"/>
      <c r="X285" s="1"/>
      <c r="Y285" s="1"/>
      <c r="Z285" s="1"/>
    </row>
    <row r="286" spans="1:26" ht="39.75" customHeight="1">
      <c r="A286" s="1"/>
      <c r="B286" s="1"/>
      <c r="C286" s="1"/>
      <c r="D286" s="1"/>
      <c r="E286" s="1"/>
      <c r="F286" s="1"/>
      <c r="G286" s="1"/>
      <c r="H286" s="1"/>
      <c r="I286" s="1"/>
      <c r="J286" s="1"/>
      <c r="K286" s="1"/>
      <c r="L286" s="1"/>
      <c r="M286" s="1"/>
      <c r="N286" s="1"/>
      <c r="O286" s="1"/>
      <c r="P286" s="1"/>
      <c r="Q286" s="1"/>
      <c r="R286" s="1"/>
      <c r="S286" s="1"/>
      <c r="T286" s="1"/>
      <c r="U286" s="2"/>
      <c r="V286" s="1"/>
      <c r="W286" s="1"/>
      <c r="X286" s="1"/>
      <c r="Y286" s="1"/>
      <c r="Z286" s="1"/>
    </row>
    <row r="287" spans="1:26" ht="39.75" customHeight="1">
      <c r="A287" s="1"/>
      <c r="B287" s="1"/>
      <c r="C287" s="1"/>
      <c r="D287" s="1"/>
      <c r="E287" s="1"/>
      <c r="F287" s="1"/>
      <c r="G287" s="1"/>
      <c r="H287" s="1"/>
      <c r="I287" s="1"/>
      <c r="J287" s="1"/>
      <c r="K287" s="1"/>
      <c r="L287" s="1"/>
      <c r="M287" s="1"/>
      <c r="N287" s="1"/>
      <c r="O287" s="1"/>
      <c r="P287" s="1"/>
      <c r="Q287" s="1"/>
      <c r="R287" s="1"/>
      <c r="S287" s="1"/>
      <c r="T287" s="1"/>
      <c r="U287" s="2"/>
      <c r="V287" s="1"/>
      <c r="W287" s="1"/>
      <c r="X287" s="1"/>
      <c r="Y287" s="1"/>
      <c r="Z287" s="1"/>
    </row>
    <row r="288" spans="1:26" ht="39.75" customHeight="1">
      <c r="A288" s="1"/>
      <c r="B288" s="1"/>
      <c r="C288" s="1"/>
      <c r="D288" s="1"/>
      <c r="E288" s="1"/>
      <c r="F288" s="1"/>
      <c r="G288" s="1"/>
      <c r="H288" s="1"/>
      <c r="I288" s="1"/>
      <c r="J288" s="1"/>
      <c r="K288" s="1"/>
      <c r="L288" s="1"/>
      <c r="M288" s="1"/>
      <c r="N288" s="1"/>
      <c r="O288" s="1"/>
      <c r="P288" s="1"/>
      <c r="Q288" s="1"/>
      <c r="R288" s="1"/>
      <c r="S288" s="1"/>
      <c r="T288" s="1"/>
      <c r="U288" s="2"/>
      <c r="V288" s="1"/>
      <c r="W288" s="1"/>
      <c r="X288" s="1"/>
      <c r="Y288" s="1"/>
      <c r="Z288" s="1"/>
    </row>
    <row r="289" spans="1:26" ht="39.75" customHeight="1">
      <c r="A289" s="1"/>
      <c r="B289" s="1"/>
      <c r="C289" s="1"/>
      <c r="D289" s="1"/>
      <c r="E289" s="1"/>
      <c r="F289" s="1"/>
      <c r="G289" s="1"/>
      <c r="H289" s="1"/>
      <c r="I289" s="1"/>
      <c r="J289" s="1"/>
      <c r="K289" s="1"/>
      <c r="L289" s="1"/>
      <c r="M289" s="1"/>
      <c r="N289" s="1"/>
      <c r="O289" s="1"/>
      <c r="P289" s="1"/>
      <c r="Q289" s="1"/>
      <c r="R289" s="1"/>
      <c r="S289" s="1"/>
      <c r="T289" s="1"/>
      <c r="U289" s="2"/>
      <c r="V289" s="1"/>
      <c r="W289" s="1"/>
      <c r="X289" s="1"/>
      <c r="Y289" s="1"/>
      <c r="Z289" s="1"/>
    </row>
    <row r="290" spans="1:26" ht="39.75" customHeight="1">
      <c r="A290" s="1"/>
      <c r="B290" s="1"/>
      <c r="C290" s="1"/>
      <c r="D290" s="1"/>
      <c r="E290" s="1"/>
      <c r="F290" s="1"/>
      <c r="G290" s="1"/>
      <c r="H290" s="1"/>
      <c r="I290" s="1"/>
      <c r="J290" s="1"/>
      <c r="K290" s="1"/>
      <c r="L290" s="1"/>
      <c r="M290" s="1"/>
      <c r="N290" s="1"/>
      <c r="O290" s="1"/>
      <c r="P290" s="1"/>
      <c r="Q290" s="1"/>
      <c r="R290" s="1"/>
      <c r="S290" s="1"/>
      <c r="T290" s="1"/>
      <c r="U290" s="2"/>
      <c r="V290" s="1"/>
      <c r="W290" s="1"/>
      <c r="X290" s="1"/>
      <c r="Y290" s="1"/>
      <c r="Z290" s="1"/>
    </row>
    <row r="291" spans="1:26" ht="39.75" customHeight="1">
      <c r="A291" s="1"/>
      <c r="B291" s="1"/>
      <c r="C291" s="1"/>
      <c r="D291" s="1"/>
      <c r="E291" s="1"/>
      <c r="F291" s="1"/>
      <c r="G291" s="1"/>
      <c r="H291" s="1"/>
      <c r="I291" s="1"/>
      <c r="J291" s="1"/>
      <c r="K291" s="1"/>
      <c r="L291" s="1"/>
      <c r="M291" s="1"/>
      <c r="N291" s="1"/>
      <c r="O291" s="1"/>
      <c r="P291" s="1"/>
      <c r="Q291" s="1"/>
      <c r="R291" s="1"/>
      <c r="S291" s="1"/>
      <c r="T291" s="1"/>
      <c r="U291" s="2"/>
      <c r="V291" s="1"/>
      <c r="W291" s="1"/>
      <c r="X291" s="1"/>
      <c r="Y291" s="1"/>
      <c r="Z291" s="1"/>
    </row>
    <row r="292" spans="1:26" ht="39.75" customHeight="1">
      <c r="A292" s="1"/>
      <c r="B292" s="1"/>
      <c r="C292" s="1"/>
      <c r="D292" s="1"/>
      <c r="E292" s="1"/>
      <c r="F292" s="1"/>
      <c r="G292" s="1"/>
      <c r="H292" s="1"/>
      <c r="I292" s="1"/>
      <c r="J292" s="1"/>
      <c r="K292" s="1"/>
      <c r="L292" s="1"/>
      <c r="M292" s="1"/>
      <c r="N292" s="1"/>
      <c r="O292" s="1"/>
      <c r="P292" s="1"/>
      <c r="Q292" s="1"/>
      <c r="R292" s="1"/>
      <c r="S292" s="1"/>
      <c r="T292" s="1"/>
      <c r="U292" s="2"/>
      <c r="V292" s="1"/>
      <c r="W292" s="1"/>
      <c r="X292" s="1"/>
      <c r="Y292" s="1"/>
      <c r="Z292" s="1"/>
    </row>
    <row r="293" spans="1:26" ht="39.75" customHeight="1">
      <c r="A293" s="1"/>
      <c r="B293" s="1"/>
      <c r="C293" s="1"/>
      <c r="D293" s="1"/>
      <c r="E293" s="1"/>
      <c r="F293" s="1"/>
      <c r="G293" s="1"/>
      <c r="H293" s="1"/>
      <c r="I293" s="1"/>
      <c r="J293" s="1"/>
      <c r="K293" s="1"/>
      <c r="L293" s="1"/>
      <c r="M293" s="1"/>
      <c r="N293" s="1"/>
      <c r="O293" s="1"/>
      <c r="P293" s="1"/>
      <c r="Q293" s="1"/>
      <c r="R293" s="1"/>
      <c r="S293" s="1"/>
      <c r="T293" s="1"/>
      <c r="U293" s="2"/>
      <c r="V293" s="1"/>
      <c r="W293" s="1"/>
      <c r="X293" s="1"/>
      <c r="Y293" s="1"/>
      <c r="Z293" s="1"/>
    </row>
    <row r="294" spans="1:26" ht="39.75" customHeight="1">
      <c r="A294" s="1"/>
      <c r="B294" s="1"/>
      <c r="C294" s="1"/>
      <c r="D294" s="1"/>
      <c r="E294" s="1"/>
      <c r="F294" s="1"/>
      <c r="G294" s="1"/>
      <c r="H294" s="1"/>
      <c r="I294" s="1"/>
      <c r="J294" s="1"/>
      <c r="K294" s="1"/>
      <c r="L294" s="1"/>
      <c r="M294" s="1"/>
      <c r="N294" s="1"/>
      <c r="O294" s="1"/>
      <c r="P294" s="1"/>
      <c r="Q294" s="1"/>
      <c r="R294" s="1"/>
      <c r="S294" s="1"/>
      <c r="T294" s="1"/>
      <c r="U294" s="2"/>
      <c r="V294" s="1"/>
      <c r="W294" s="1"/>
      <c r="X294" s="1"/>
      <c r="Y294" s="1"/>
      <c r="Z294" s="1"/>
    </row>
    <row r="295" spans="1:26" ht="39.75" customHeight="1">
      <c r="A295" s="1"/>
      <c r="B295" s="1"/>
      <c r="C295" s="1"/>
      <c r="D295" s="1"/>
      <c r="E295" s="1"/>
      <c r="F295" s="1"/>
      <c r="G295" s="1"/>
      <c r="H295" s="1"/>
      <c r="I295" s="1"/>
      <c r="J295" s="1"/>
      <c r="K295" s="1"/>
      <c r="L295" s="1"/>
      <c r="M295" s="1"/>
      <c r="N295" s="1"/>
      <c r="O295" s="1"/>
      <c r="P295" s="1"/>
      <c r="Q295" s="1"/>
      <c r="R295" s="1"/>
      <c r="S295" s="1"/>
      <c r="T295" s="1"/>
      <c r="U295" s="2"/>
      <c r="V295" s="1"/>
      <c r="W295" s="1"/>
      <c r="X295" s="1"/>
      <c r="Y295" s="1"/>
      <c r="Z295" s="1"/>
    </row>
    <row r="296" spans="1:26" ht="39.75" customHeight="1">
      <c r="A296" s="1"/>
      <c r="B296" s="1"/>
      <c r="C296" s="1"/>
      <c r="D296" s="1"/>
      <c r="E296" s="1"/>
      <c r="F296" s="1"/>
      <c r="G296" s="1"/>
      <c r="H296" s="1"/>
      <c r="I296" s="1"/>
      <c r="J296" s="1"/>
      <c r="K296" s="1"/>
      <c r="L296" s="1"/>
      <c r="M296" s="1"/>
      <c r="N296" s="1"/>
      <c r="O296" s="1"/>
      <c r="P296" s="1"/>
      <c r="Q296" s="1"/>
      <c r="R296" s="1"/>
      <c r="S296" s="1"/>
      <c r="T296" s="1"/>
      <c r="U296" s="2"/>
      <c r="V296" s="1"/>
      <c r="W296" s="1"/>
      <c r="X296" s="1"/>
      <c r="Y296" s="1"/>
      <c r="Z296" s="1"/>
    </row>
    <row r="297" spans="1:26" ht="39.75" customHeight="1">
      <c r="A297" s="1"/>
      <c r="B297" s="1"/>
      <c r="C297" s="1"/>
      <c r="D297" s="1"/>
      <c r="E297" s="1"/>
      <c r="F297" s="1"/>
      <c r="G297" s="1"/>
      <c r="H297" s="1"/>
      <c r="I297" s="1"/>
      <c r="J297" s="1"/>
      <c r="K297" s="1"/>
      <c r="L297" s="1"/>
      <c r="M297" s="1"/>
      <c r="N297" s="1"/>
      <c r="O297" s="1"/>
      <c r="P297" s="1"/>
      <c r="Q297" s="1"/>
      <c r="R297" s="1"/>
      <c r="S297" s="1"/>
      <c r="T297" s="1"/>
      <c r="U297" s="2"/>
      <c r="V297" s="1"/>
      <c r="W297" s="1"/>
      <c r="X297" s="1"/>
      <c r="Y297" s="1"/>
      <c r="Z297" s="1"/>
    </row>
    <row r="298" spans="1:26" ht="39.75" customHeight="1">
      <c r="A298" s="1"/>
      <c r="B298" s="1"/>
      <c r="C298" s="1"/>
      <c r="D298" s="1"/>
      <c r="E298" s="1"/>
      <c r="F298" s="1"/>
      <c r="G298" s="1"/>
      <c r="H298" s="1"/>
      <c r="I298" s="1"/>
      <c r="J298" s="1"/>
      <c r="K298" s="1"/>
      <c r="L298" s="1"/>
      <c r="M298" s="1"/>
      <c r="N298" s="1"/>
      <c r="O298" s="1"/>
      <c r="P298" s="1"/>
      <c r="Q298" s="1"/>
      <c r="R298" s="1"/>
      <c r="S298" s="1"/>
      <c r="T298" s="1"/>
      <c r="U298" s="2"/>
      <c r="V298" s="1"/>
      <c r="W298" s="1"/>
      <c r="X298" s="1"/>
      <c r="Y298" s="1"/>
      <c r="Z298" s="1"/>
    </row>
    <row r="299" spans="1:26" ht="39.75" customHeight="1">
      <c r="A299" s="1"/>
      <c r="B299" s="1"/>
      <c r="C299" s="1"/>
      <c r="D299" s="1"/>
      <c r="E299" s="1"/>
      <c r="F299" s="1"/>
      <c r="G299" s="1"/>
      <c r="H299" s="1"/>
      <c r="I299" s="1"/>
      <c r="J299" s="1"/>
      <c r="K299" s="1"/>
      <c r="L299" s="1"/>
      <c r="M299" s="1"/>
      <c r="N299" s="1"/>
      <c r="O299" s="1"/>
      <c r="P299" s="1"/>
      <c r="Q299" s="1"/>
      <c r="R299" s="1"/>
      <c r="S299" s="1"/>
      <c r="T299" s="1"/>
      <c r="U299" s="2"/>
      <c r="V299" s="1"/>
      <c r="W299" s="1"/>
      <c r="X299" s="1"/>
      <c r="Y299" s="1"/>
      <c r="Z299" s="1"/>
    </row>
    <row r="300" spans="1:26" ht="39.75" customHeight="1">
      <c r="A300" s="1"/>
      <c r="B300" s="1"/>
      <c r="C300" s="1"/>
      <c r="D300" s="1"/>
      <c r="E300" s="1"/>
      <c r="F300" s="1"/>
      <c r="G300" s="1"/>
      <c r="H300" s="1"/>
      <c r="I300" s="1"/>
      <c r="J300" s="1"/>
      <c r="K300" s="1"/>
      <c r="L300" s="1"/>
      <c r="M300" s="1"/>
      <c r="N300" s="1"/>
      <c r="O300" s="1"/>
      <c r="P300" s="1"/>
      <c r="Q300" s="1"/>
      <c r="R300" s="1"/>
      <c r="S300" s="1"/>
      <c r="T300" s="1"/>
      <c r="U300" s="2"/>
      <c r="V300" s="1"/>
      <c r="W300" s="1"/>
      <c r="X300" s="1"/>
      <c r="Y300" s="1"/>
      <c r="Z300" s="1"/>
    </row>
    <row r="301" spans="1:26" ht="39.75" customHeight="1">
      <c r="A301" s="1"/>
      <c r="B301" s="1"/>
      <c r="C301" s="1"/>
      <c r="D301" s="1"/>
      <c r="E301" s="1"/>
      <c r="F301" s="1"/>
      <c r="G301" s="1"/>
      <c r="H301" s="1"/>
      <c r="I301" s="1"/>
      <c r="J301" s="1"/>
      <c r="K301" s="1"/>
      <c r="L301" s="1"/>
      <c r="M301" s="1"/>
      <c r="N301" s="1"/>
      <c r="O301" s="1"/>
      <c r="P301" s="1"/>
      <c r="Q301" s="1"/>
      <c r="R301" s="1"/>
      <c r="S301" s="1"/>
      <c r="T301" s="1"/>
      <c r="U301" s="2"/>
      <c r="V301" s="1"/>
      <c r="W301" s="1"/>
      <c r="X301" s="1"/>
      <c r="Y301" s="1"/>
      <c r="Z301" s="1"/>
    </row>
    <row r="302" spans="1:26" ht="39.75" customHeight="1">
      <c r="A302" s="1"/>
      <c r="B302" s="1"/>
      <c r="C302" s="1"/>
      <c r="D302" s="1"/>
      <c r="E302" s="1"/>
      <c r="F302" s="1"/>
      <c r="G302" s="1"/>
      <c r="H302" s="1"/>
      <c r="I302" s="1"/>
      <c r="J302" s="1"/>
      <c r="K302" s="1"/>
      <c r="L302" s="1"/>
      <c r="M302" s="1"/>
      <c r="N302" s="1"/>
      <c r="O302" s="1"/>
      <c r="P302" s="1"/>
      <c r="Q302" s="1"/>
      <c r="R302" s="1"/>
      <c r="S302" s="1"/>
      <c r="T302" s="1"/>
      <c r="U302" s="2"/>
      <c r="V302" s="1"/>
      <c r="W302" s="1"/>
      <c r="X302" s="1"/>
      <c r="Y302" s="1"/>
      <c r="Z302" s="1"/>
    </row>
    <row r="303" spans="1:26" ht="39.75" customHeight="1">
      <c r="A303" s="1"/>
      <c r="B303" s="1"/>
      <c r="C303" s="1"/>
      <c r="D303" s="1"/>
      <c r="E303" s="1"/>
      <c r="F303" s="1"/>
      <c r="G303" s="1"/>
      <c r="H303" s="1"/>
      <c r="I303" s="1"/>
      <c r="J303" s="1"/>
      <c r="K303" s="1"/>
      <c r="L303" s="1"/>
      <c r="M303" s="1"/>
      <c r="N303" s="1"/>
      <c r="O303" s="1"/>
      <c r="P303" s="1"/>
      <c r="Q303" s="1"/>
      <c r="R303" s="1"/>
      <c r="S303" s="1"/>
      <c r="T303" s="1"/>
      <c r="U303" s="2"/>
      <c r="V303" s="1"/>
      <c r="W303" s="1"/>
      <c r="X303" s="1"/>
      <c r="Y303" s="1"/>
      <c r="Z303" s="1"/>
    </row>
    <row r="304" spans="1:26" ht="39.75" customHeight="1">
      <c r="A304" s="1"/>
      <c r="B304" s="1"/>
      <c r="C304" s="1"/>
      <c r="D304" s="1"/>
      <c r="E304" s="1"/>
      <c r="F304" s="1"/>
      <c r="G304" s="1"/>
      <c r="H304" s="1"/>
      <c r="I304" s="1"/>
      <c r="J304" s="1"/>
      <c r="K304" s="1"/>
      <c r="L304" s="1"/>
      <c r="M304" s="1"/>
      <c r="N304" s="1"/>
      <c r="O304" s="1"/>
      <c r="P304" s="1"/>
      <c r="Q304" s="1"/>
      <c r="R304" s="1"/>
      <c r="S304" s="1"/>
      <c r="T304" s="1"/>
      <c r="U304" s="2"/>
      <c r="V304" s="1"/>
      <c r="W304" s="1"/>
      <c r="X304" s="1"/>
      <c r="Y304" s="1"/>
      <c r="Z304" s="1"/>
    </row>
    <row r="305" spans="1:26" ht="39.75" customHeight="1">
      <c r="A305" s="1"/>
      <c r="B305" s="1"/>
      <c r="C305" s="1"/>
      <c r="D305" s="1"/>
      <c r="E305" s="1"/>
      <c r="F305" s="1"/>
      <c r="G305" s="1"/>
      <c r="H305" s="1"/>
      <c r="I305" s="1"/>
      <c r="J305" s="1"/>
      <c r="K305" s="1"/>
      <c r="L305" s="1"/>
      <c r="M305" s="1"/>
      <c r="N305" s="1"/>
      <c r="O305" s="1"/>
      <c r="P305" s="1"/>
      <c r="Q305" s="1"/>
      <c r="R305" s="1"/>
      <c r="S305" s="1"/>
      <c r="T305" s="1"/>
      <c r="U305" s="2"/>
      <c r="V305" s="1"/>
      <c r="W305" s="1"/>
      <c r="X305" s="1"/>
      <c r="Y305" s="1"/>
      <c r="Z305" s="1"/>
    </row>
    <row r="306" spans="1:26" ht="39.75" customHeight="1">
      <c r="A306" s="1"/>
      <c r="B306" s="1"/>
      <c r="C306" s="1"/>
      <c r="D306" s="1"/>
      <c r="E306" s="1"/>
      <c r="F306" s="1"/>
      <c r="G306" s="1"/>
      <c r="H306" s="1"/>
      <c r="I306" s="1"/>
      <c r="J306" s="1"/>
      <c r="K306" s="1"/>
      <c r="L306" s="1"/>
      <c r="M306" s="1"/>
      <c r="N306" s="1"/>
      <c r="O306" s="1"/>
      <c r="P306" s="1"/>
      <c r="Q306" s="1"/>
      <c r="R306" s="1"/>
      <c r="S306" s="1"/>
      <c r="T306" s="1"/>
      <c r="U306" s="2"/>
      <c r="V306" s="1"/>
      <c r="W306" s="1"/>
      <c r="X306" s="1"/>
      <c r="Y306" s="1"/>
      <c r="Z306" s="1"/>
    </row>
    <row r="307" spans="1:26" ht="39.75" customHeight="1">
      <c r="A307" s="1"/>
      <c r="B307" s="1"/>
      <c r="C307" s="1"/>
      <c r="D307" s="1"/>
      <c r="E307" s="1"/>
      <c r="F307" s="1"/>
      <c r="G307" s="1"/>
      <c r="H307" s="1"/>
      <c r="I307" s="1"/>
      <c r="J307" s="1"/>
      <c r="K307" s="1"/>
      <c r="L307" s="1"/>
      <c r="M307" s="1"/>
      <c r="N307" s="1"/>
      <c r="O307" s="1"/>
      <c r="P307" s="1"/>
      <c r="Q307" s="1"/>
      <c r="R307" s="1"/>
      <c r="S307" s="1"/>
      <c r="T307" s="1"/>
      <c r="U307" s="2"/>
      <c r="V307" s="1"/>
      <c r="W307" s="1"/>
      <c r="X307" s="1"/>
      <c r="Y307" s="1"/>
      <c r="Z307" s="1"/>
    </row>
    <row r="308" spans="1:26" ht="39.75" customHeight="1">
      <c r="A308" s="1"/>
      <c r="B308" s="1"/>
      <c r="C308" s="1"/>
      <c r="D308" s="1"/>
      <c r="E308" s="1"/>
      <c r="F308" s="1"/>
      <c r="G308" s="1"/>
      <c r="H308" s="1"/>
      <c r="I308" s="1"/>
      <c r="J308" s="1"/>
      <c r="K308" s="1"/>
      <c r="L308" s="1"/>
      <c r="M308" s="1"/>
      <c r="N308" s="1"/>
      <c r="O308" s="1"/>
      <c r="P308" s="1"/>
      <c r="Q308" s="1"/>
      <c r="R308" s="1"/>
      <c r="S308" s="1"/>
      <c r="T308" s="1"/>
      <c r="U308" s="2"/>
      <c r="V308" s="1"/>
      <c r="W308" s="1"/>
      <c r="X308" s="1"/>
      <c r="Y308" s="1"/>
      <c r="Z308" s="1"/>
    </row>
    <row r="309" spans="1:26" ht="39.75" customHeight="1">
      <c r="A309" s="1"/>
      <c r="B309" s="1"/>
      <c r="C309" s="1"/>
      <c r="D309" s="1"/>
      <c r="E309" s="1"/>
      <c r="F309" s="1"/>
      <c r="G309" s="1"/>
      <c r="H309" s="1"/>
      <c r="I309" s="1"/>
      <c r="J309" s="1"/>
      <c r="K309" s="1"/>
      <c r="L309" s="1"/>
      <c r="M309" s="1"/>
      <c r="N309" s="1"/>
      <c r="O309" s="1"/>
      <c r="P309" s="1"/>
      <c r="Q309" s="1"/>
      <c r="R309" s="1"/>
      <c r="S309" s="1"/>
      <c r="T309" s="1"/>
      <c r="U309" s="2"/>
      <c r="V309" s="1"/>
      <c r="W309" s="1"/>
      <c r="X309" s="1"/>
      <c r="Y309" s="1"/>
      <c r="Z309" s="1"/>
    </row>
    <row r="310" spans="1:26" ht="39.75" customHeight="1">
      <c r="A310" s="1"/>
      <c r="B310" s="1"/>
      <c r="C310" s="1"/>
      <c r="D310" s="1"/>
      <c r="E310" s="1"/>
      <c r="F310" s="1"/>
      <c r="G310" s="1"/>
      <c r="H310" s="1"/>
      <c r="I310" s="1"/>
      <c r="J310" s="1"/>
      <c r="K310" s="1"/>
      <c r="L310" s="1"/>
      <c r="M310" s="1"/>
      <c r="N310" s="1"/>
      <c r="O310" s="1"/>
      <c r="P310" s="1"/>
      <c r="Q310" s="1"/>
      <c r="R310" s="1"/>
      <c r="S310" s="1"/>
      <c r="T310" s="1"/>
      <c r="U310" s="2"/>
      <c r="V310" s="1"/>
      <c r="W310" s="1"/>
      <c r="X310" s="1"/>
      <c r="Y310" s="1"/>
      <c r="Z310" s="1"/>
    </row>
    <row r="311" spans="1:26" ht="39.75" customHeight="1">
      <c r="A311" s="1"/>
      <c r="B311" s="1"/>
      <c r="C311" s="1"/>
      <c r="D311" s="1"/>
      <c r="E311" s="1"/>
      <c r="F311" s="1"/>
      <c r="G311" s="1"/>
      <c r="H311" s="1"/>
      <c r="I311" s="1"/>
      <c r="J311" s="1"/>
      <c r="K311" s="1"/>
      <c r="L311" s="1"/>
      <c r="M311" s="1"/>
      <c r="N311" s="1"/>
      <c r="O311" s="1"/>
      <c r="P311" s="1"/>
      <c r="Q311" s="1"/>
      <c r="R311" s="1"/>
      <c r="S311" s="1"/>
      <c r="T311" s="1"/>
      <c r="U311" s="2"/>
      <c r="V311" s="1"/>
      <c r="W311" s="1"/>
      <c r="X311" s="1"/>
      <c r="Y311" s="1"/>
      <c r="Z311" s="1"/>
    </row>
    <row r="312" spans="1:26" ht="39.75" customHeight="1">
      <c r="A312" s="1"/>
      <c r="B312" s="1"/>
      <c r="C312" s="1"/>
      <c r="D312" s="1"/>
      <c r="E312" s="1"/>
      <c r="F312" s="1"/>
      <c r="G312" s="1"/>
      <c r="H312" s="1"/>
      <c r="I312" s="1"/>
      <c r="J312" s="1"/>
      <c r="K312" s="1"/>
      <c r="L312" s="1"/>
      <c r="M312" s="1"/>
      <c r="N312" s="1"/>
      <c r="O312" s="1"/>
      <c r="P312" s="1"/>
      <c r="Q312" s="1"/>
      <c r="R312" s="1"/>
      <c r="S312" s="1"/>
      <c r="T312" s="1"/>
      <c r="U312" s="2"/>
      <c r="V312" s="1"/>
      <c r="W312" s="1"/>
      <c r="X312" s="1"/>
      <c r="Y312" s="1"/>
      <c r="Z312" s="1"/>
    </row>
    <row r="313" spans="1:26" ht="39.75" customHeight="1">
      <c r="A313" s="1"/>
      <c r="B313" s="1"/>
      <c r="C313" s="1"/>
      <c r="D313" s="1"/>
      <c r="E313" s="1"/>
      <c r="F313" s="1"/>
      <c r="G313" s="1"/>
      <c r="H313" s="1"/>
      <c r="I313" s="1"/>
      <c r="J313" s="1"/>
      <c r="K313" s="1"/>
      <c r="L313" s="1"/>
      <c r="M313" s="1"/>
      <c r="N313" s="1"/>
      <c r="O313" s="1"/>
      <c r="P313" s="1"/>
      <c r="Q313" s="1"/>
      <c r="R313" s="1"/>
      <c r="S313" s="1"/>
      <c r="T313" s="1"/>
      <c r="U313" s="2"/>
      <c r="V313" s="1"/>
      <c r="W313" s="1"/>
      <c r="X313" s="1"/>
      <c r="Y313" s="1"/>
      <c r="Z313" s="1"/>
    </row>
    <row r="314" spans="1:26" ht="39.75" customHeight="1">
      <c r="A314" s="1"/>
      <c r="B314" s="1"/>
      <c r="C314" s="1"/>
      <c r="D314" s="1"/>
      <c r="E314" s="1"/>
      <c r="F314" s="1"/>
      <c r="G314" s="1"/>
      <c r="H314" s="1"/>
      <c r="I314" s="1"/>
      <c r="J314" s="1"/>
      <c r="K314" s="1"/>
      <c r="L314" s="1"/>
      <c r="M314" s="1"/>
      <c r="N314" s="1"/>
      <c r="O314" s="1"/>
      <c r="P314" s="1"/>
      <c r="Q314" s="1"/>
      <c r="R314" s="1"/>
      <c r="S314" s="1"/>
      <c r="T314" s="1"/>
      <c r="U314" s="2"/>
      <c r="V314" s="1"/>
      <c r="W314" s="1"/>
      <c r="X314" s="1"/>
      <c r="Y314" s="1"/>
      <c r="Z314" s="1"/>
    </row>
    <row r="315" spans="1:26" ht="39.75" customHeight="1">
      <c r="A315" s="1"/>
      <c r="B315" s="1"/>
      <c r="C315" s="1"/>
      <c r="D315" s="1"/>
      <c r="E315" s="1"/>
      <c r="F315" s="1"/>
      <c r="G315" s="1"/>
      <c r="H315" s="1"/>
      <c r="I315" s="1"/>
      <c r="J315" s="1"/>
      <c r="K315" s="1"/>
      <c r="L315" s="1"/>
      <c r="M315" s="1"/>
      <c r="N315" s="1"/>
      <c r="O315" s="1"/>
      <c r="P315" s="1"/>
      <c r="Q315" s="1"/>
      <c r="R315" s="1"/>
      <c r="S315" s="1"/>
      <c r="T315" s="1"/>
      <c r="U315" s="2"/>
      <c r="V315" s="1"/>
      <c r="W315" s="1"/>
      <c r="X315" s="1"/>
      <c r="Y315" s="1"/>
      <c r="Z315" s="1"/>
    </row>
    <row r="316" spans="1:26" ht="39.75" customHeight="1">
      <c r="A316" s="1"/>
      <c r="B316" s="1"/>
      <c r="C316" s="1"/>
      <c r="D316" s="1"/>
      <c r="E316" s="1"/>
      <c r="F316" s="1"/>
      <c r="G316" s="1"/>
      <c r="H316" s="1"/>
      <c r="I316" s="1"/>
      <c r="J316" s="1"/>
      <c r="K316" s="1"/>
      <c r="L316" s="1"/>
      <c r="M316" s="1"/>
      <c r="N316" s="1"/>
      <c r="O316" s="1"/>
      <c r="P316" s="1"/>
      <c r="Q316" s="1"/>
      <c r="R316" s="1"/>
      <c r="S316" s="1"/>
      <c r="T316" s="1"/>
      <c r="U316" s="2"/>
      <c r="V316" s="1"/>
      <c r="W316" s="1"/>
      <c r="X316" s="1"/>
      <c r="Y316" s="1"/>
      <c r="Z316" s="1"/>
    </row>
    <row r="317" spans="1:26" ht="39.75" customHeight="1">
      <c r="A317" s="1"/>
      <c r="B317" s="1"/>
      <c r="C317" s="1"/>
      <c r="D317" s="1"/>
      <c r="E317" s="1"/>
      <c r="F317" s="1"/>
      <c r="G317" s="1"/>
      <c r="H317" s="1"/>
      <c r="I317" s="1"/>
      <c r="J317" s="1"/>
      <c r="K317" s="1"/>
      <c r="L317" s="1"/>
      <c r="M317" s="1"/>
      <c r="N317" s="1"/>
      <c r="O317" s="1"/>
      <c r="P317" s="1"/>
      <c r="Q317" s="1"/>
      <c r="R317" s="1"/>
      <c r="S317" s="1"/>
      <c r="T317" s="1"/>
      <c r="U317" s="2"/>
      <c r="V317" s="1"/>
      <c r="W317" s="1"/>
      <c r="X317" s="1"/>
      <c r="Y317" s="1"/>
      <c r="Z317" s="1"/>
    </row>
    <row r="318" spans="1:26" ht="39.75" customHeight="1">
      <c r="A318" s="1"/>
      <c r="B318" s="1"/>
      <c r="C318" s="1"/>
      <c r="D318" s="1"/>
      <c r="E318" s="1"/>
      <c r="F318" s="1"/>
      <c r="G318" s="1"/>
      <c r="H318" s="1"/>
      <c r="I318" s="1"/>
      <c r="J318" s="1"/>
      <c r="K318" s="1"/>
      <c r="L318" s="1"/>
      <c r="M318" s="1"/>
      <c r="N318" s="1"/>
      <c r="O318" s="1"/>
      <c r="P318" s="1"/>
      <c r="Q318" s="1"/>
      <c r="R318" s="1"/>
      <c r="S318" s="1"/>
      <c r="T318" s="1"/>
      <c r="U318" s="2"/>
      <c r="V318" s="1"/>
      <c r="W318" s="1"/>
      <c r="X318" s="1"/>
      <c r="Y318" s="1"/>
      <c r="Z318" s="1"/>
    </row>
    <row r="319" spans="1:26" ht="39.75" customHeight="1">
      <c r="A319" s="1"/>
      <c r="B319" s="1"/>
      <c r="C319" s="1"/>
      <c r="D319" s="1"/>
      <c r="E319" s="1"/>
      <c r="F319" s="1"/>
      <c r="G319" s="1"/>
      <c r="H319" s="1"/>
      <c r="I319" s="1"/>
      <c r="J319" s="1"/>
      <c r="K319" s="1"/>
      <c r="L319" s="1"/>
      <c r="M319" s="1"/>
      <c r="N319" s="1"/>
      <c r="O319" s="1"/>
      <c r="P319" s="1"/>
      <c r="Q319" s="1"/>
      <c r="R319" s="1"/>
      <c r="S319" s="1"/>
      <c r="T319" s="1"/>
      <c r="U319" s="2"/>
      <c r="V319" s="1"/>
      <c r="W319" s="1"/>
      <c r="X319" s="1"/>
      <c r="Y319" s="1"/>
      <c r="Z319" s="1"/>
    </row>
    <row r="320" spans="1:26" ht="39.75" customHeight="1">
      <c r="A320" s="1"/>
      <c r="B320" s="1"/>
      <c r="C320" s="1"/>
      <c r="D320" s="1"/>
      <c r="E320" s="1"/>
      <c r="F320" s="1"/>
      <c r="G320" s="1"/>
      <c r="H320" s="1"/>
      <c r="I320" s="1"/>
      <c r="J320" s="1"/>
      <c r="K320" s="1"/>
      <c r="L320" s="1"/>
      <c r="M320" s="1"/>
      <c r="N320" s="1"/>
      <c r="O320" s="1"/>
      <c r="P320" s="1"/>
      <c r="Q320" s="1"/>
      <c r="R320" s="1"/>
      <c r="S320" s="1"/>
      <c r="T320" s="1"/>
      <c r="U320" s="2"/>
      <c r="V320" s="1"/>
      <c r="W320" s="1"/>
      <c r="X320" s="1"/>
      <c r="Y320" s="1"/>
      <c r="Z320" s="1"/>
    </row>
    <row r="321" spans="1:26" ht="39.75" customHeight="1">
      <c r="A321" s="1"/>
      <c r="B321" s="1"/>
      <c r="C321" s="1"/>
      <c r="D321" s="1"/>
      <c r="E321" s="1"/>
      <c r="F321" s="1"/>
      <c r="G321" s="1"/>
      <c r="H321" s="1"/>
      <c r="I321" s="1"/>
      <c r="J321" s="1"/>
      <c r="K321" s="1"/>
      <c r="L321" s="1"/>
      <c r="M321" s="1"/>
      <c r="N321" s="1"/>
      <c r="O321" s="1"/>
      <c r="P321" s="1"/>
      <c r="Q321" s="1"/>
      <c r="R321" s="1"/>
      <c r="S321" s="1"/>
      <c r="T321" s="1"/>
      <c r="U321" s="2"/>
      <c r="V321" s="1"/>
      <c r="W321" s="1"/>
      <c r="X321" s="1"/>
      <c r="Y321" s="1"/>
      <c r="Z321" s="1"/>
    </row>
    <row r="322" spans="1:26" ht="39.75" customHeight="1">
      <c r="A322" s="1"/>
      <c r="B322" s="1"/>
      <c r="C322" s="1"/>
      <c r="D322" s="1"/>
      <c r="E322" s="1"/>
      <c r="F322" s="1"/>
      <c r="G322" s="1"/>
      <c r="H322" s="1"/>
      <c r="I322" s="1"/>
      <c r="J322" s="1"/>
      <c r="K322" s="1"/>
      <c r="L322" s="1"/>
      <c r="M322" s="1"/>
      <c r="N322" s="1"/>
      <c r="O322" s="1"/>
      <c r="P322" s="1"/>
      <c r="Q322" s="1"/>
      <c r="R322" s="1"/>
      <c r="S322" s="1"/>
      <c r="T322" s="1"/>
      <c r="U322" s="2"/>
      <c r="V322" s="1"/>
      <c r="W322" s="1"/>
      <c r="X322" s="1"/>
      <c r="Y322" s="1"/>
      <c r="Z322" s="1"/>
    </row>
    <row r="323" spans="1:26" ht="39.75" customHeight="1">
      <c r="A323" s="1"/>
      <c r="B323" s="1"/>
      <c r="C323" s="1"/>
      <c r="D323" s="1"/>
      <c r="E323" s="1"/>
      <c r="F323" s="1"/>
      <c r="G323" s="1"/>
      <c r="H323" s="1"/>
      <c r="I323" s="1"/>
      <c r="J323" s="1"/>
      <c r="K323" s="1"/>
      <c r="L323" s="1"/>
      <c r="M323" s="1"/>
      <c r="N323" s="1"/>
      <c r="O323" s="1"/>
      <c r="P323" s="1"/>
      <c r="Q323" s="1"/>
      <c r="R323" s="1"/>
      <c r="S323" s="1"/>
      <c r="T323" s="1"/>
      <c r="U323" s="2"/>
      <c r="V323" s="1"/>
      <c r="W323" s="1"/>
      <c r="X323" s="1"/>
      <c r="Y323" s="1"/>
      <c r="Z323" s="1"/>
    </row>
    <row r="324" spans="1:26" ht="39.75" customHeight="1">
      <c r="A324" s="1"/>
      <c r="B324" s="1"/>
      <c r="C324" s="1"/>
      <c r="D324" s="1"/>
      <c r="E324" s="1"/>
      <c r="F324" s="1"/>
      <c r="G324" s="1"/>
      <c r="H324" s="1"/>
      <c r="I324" s="1"/>
      <c r="J324" s="1"/>
      <c r="K324" s="1"/>
      <c r="L324" s="1"/>
      <c r="M324" s="1"/>
      <c r="N324" s="1"/>
      <c r="O324" s="1"/>
      <c r="P324" s="1"/>
      <c r="Q324" s="1"/>
      <c r="R324" s="1"/>
      <c r="S324" s="1"/>
      <c r="T324" s="1"/>
      <c r="U324" s="2"/>
      <c r="V324" s="1"/>
      <c r="W324" s="1"/>
      <c r="X324" s="1"/>
      <c r="Y324" s="1"/>
      <c r="Z324" s="1"/>
    </row>
    <row r="325" spans="1:26" ht="39.75" customHeight="1">
      <c r="A325" s="1"/>
      <c r="B325" s="1"/>
      <c r="C325" s="1"/>
      <c r="D325" s="1"/>
      <c r="E325" s="1"/>
      <c r="F325" s="1"/>
      <c r="G325" s="1"/>
      <c r="H325" s="1"/>
      <c r="I325" s="1"/>
      <c r="J325" s="1"/>
      <c r="K325" s="1"/>
      <c r="L325" s="1"/>
      <c r="M325" s="1"/>
      <c r="N325" s="1"/>
      <c r="O325" s="1"/>
      <c r="P325" s="1"/>
      <c r="Q325" s="1"/>
      <c r="R325" s="1"/>
      <c r="S325" s="1"/>
      <c r="T325" s="1"/>
      <c r="U325" s="2"/>
      <c r="V325" s="1"/>
      <c r="W325" s="1"/>
      <c r="X325" s="1"/>
      <c r="Y325" s="1"/>
      <c r="Z325" s="1"/>
    </row>
    <row r="326" spans="1:26" ht="39.75" customHeight="1">
      <c r="A326" s="1"/>
      <c r="B326" s="1"/>
      <c r="C326" s="1"/>
      <c r="D326" s="1"/>
      <c r="E326" s="1"/>
      <c r="F326" s="1"/>
      <c r="G326" s="1"/>
      <c r="H326" s="1"/>
      <c r="I326" s="1"/>
      <c r="J326" s="1"/>
      <c r="K326" s="1"/>
      <c r="L326" s="1"/>
      <c r="M326" s="1"/>
      <c r="N326" s="1"/>
      <c r="O326" s="1"/>
      <c r="P326" s="1"/>
      <c r="Q326" s="1"/>
      <c r="R326" s="1"/>
      <c r="S326" s="1"/>
      <c r="T326" s="1"/>
      <c r="U326" s="2"/>
      <c r="V326" s="1"/>
      <c r="W326" s="1"/>
      <c r="X326" s="1"/>
      <c r="Y326" s="1"/>
      <c r="Z326" s="1"/>
    </row>
    <row r="327" spans="1:26" ht="39.75" customHeight="1">
      <c r="A327" s="1"/>
      <c r="B327" s="1"/>
      <c r="C327" s="1"/>
      <c r="D327" s="1"/>
      <c r="E327" s="1"/>
      <c r="F327" s="1"/>
      <c r="G327" s="1"/>
      <c r="H327" s="1"/>
      <c r="I327" s="1"/>
      <c r="J327" s="1"/>
      <c r="K327" s="1"/>
      <c r="L327" s="1"/>
      <c r="M327" s="1"/>
      <c r="N327" s="1"/>
      <c r="O327" s="1"/>
      <c r="P327" s="1"/>
      <c r="Q327" s="1"/>
      <c r="R327" s="1"/>
      <c r="S327" s="1"/>
      <c r="T327" s="1"/>
      <c r="U327" s="2"/>
      <c r="V327" s="1"/>
      <c r="W327" s="1"/>
      <c r="X327" s="1"/>
      <c r="Y327" s="1"/>
      <c r="Z327" s="1"/>
    </row>
    <row r="328" spans="1:26" ht="39.75" customHeight="1">
      <c r="A328" s="1"/>
      <c r="B328" s="1"/>
      <c r="C328" s="1"/>
      <c r="D328" s="1"/>
      <c r="E328" s="1"/>
      <c r="F328" s="1"/>
      <c r="G328" s="1"/>
      <c r="H328" s="1"/>
      <c r="I328" s="1"/>
      <c r="J328" s="1"/>
      <c r="K328" s="1"/>
      <c r="L328" s="1"/>
      <c r="M328" s="1"/>
      <c r="N328" s="1"/>
      <c r="O328" s="1"/>
      <c r="P328" s="1"/>
      <c r="Q328" s="1"/>
      <c r="R328" s="1"/>
      <c r="S328" s="1"/>
      <c r="T328" s="1"/>
      <c r="U328" s="2"/>
      <c r="V328" s="1"/>
      <c r="W328" s="1"/>
      <c r="X328" s="1"/>
      <c r="Y328" s="1"/>
      <c r="Z328" s="1"/>
    </row>
    <row r="329" spans="1:26" ht="39.75" customHeight="1">
      <c r="A329" s="1"/>
      <c r="B329" s="1"/>
      <c r="C329" s="1"/>
      <c r="D329" s="1"/>
      <c r="E329" s="1"/>
      <c r="F329" s="1"/>
      <c r="G329" s="1"/>
      <c r="H329" s="1"/>
      <c r="I329" s="1"/>
      <c r="J329" s="1"/>
      <c r="K329" s="1"/>
      <c r="L329" s="1"/>
      <c r="M329" s="1"/>
      <c r="N329" s="1"/>
      <c r="O329" s="1"/>
      <c r="P329" s="1"/>
      <c r="Q329" s="1"/>
      <c r="R329" s="1"/>
      <c r="S329" s="1"/>
      <c r="T329" s="1"/>
      <c r="U329" s="2"/>
      <c r="V329" s="1"/>
      <c r="W329" s="1"/>
      <c r="X329" s="1"/>
      <c r="Y329" s="1"/>
      <c r="Z329" s="1"/>
    </row>
    <row r="330" spans="1:26" ht="39.75" customHeight="1">
      <c r="A330" s="1"/>
      <c r="B330" s="1"/>
      <c r="C330" s="1"/>
      <c r="D330" s="1"/>
      <c r="E330" s="1"/>
      <c r="F330" s="1"/>
      <c r="G330" s="1"/>
      <c r="H330" s="1"/>
      <c r="I330" s="1"/>
      <c r="J330" s="1"/>
      <c r="K330" s="1"/>
      <c r="L330" s="1"/>
      <c r="M330" s="1"/>
      <c r="N330" s="1"/>
      <c r="O330" s="1"/>
      <c r="P330" s="1"/>
      <c r="Q330" s="1"/>
      <c r="R330" s="1"/>
      <c r="S330" s="1"/>
      <c r="T330" s="1"/>
      <c r="U330" s="2"/>
      <c r="V330" s="1"/>
      <c r="W330" s="1"/>
      <c r="X330" s="1"/>
      <c r="Y330" s="1"/>
      <c r="Z330" s="1"/>
    </row>
    <row r="331" spans="1:26" ht="39.75" customHeight="1">
      <c r="A331" s="1"/>
      <c r="B331" s="1"/>
      <c r="C331" s="1"/>
      <c r="D331" s="1"/>
      <c r="E331" s="1"/>
      <c r="F331" s="1"/>
      <c r="G331" s="1"/>
      <c r="H331" s="1"/>
      <c r="I331" s="1"/>
      <c r="J331" s="1"/>
      <c r="K331" s="1"/>
      <c r="L331" s="1"/>
      <c r="M331" s="1"/>
      <c r="N331" s="1"/>
      <c r="O331" s="1"/>
      <c r="P331" s="1"/>
      <c r="Q331" s="1"/>
      <c r="R331" s="1"/>
      <c r="S331" s="1"/>
      <c r="T331" s="1"/>
      <c r="U331" s="2"/>
      <c r="V331" s="1"/>
      <c r="W331" s="1"/>
      <c r="X331" s="1"/>
      <c r="Y331" s="1"/>
      <c r="Z331" s="1"/>
    </row>
    <row r="332" spans="1:26" ht="39.75" customHeight="1">
      <c r="A332" s="1"/>
      <c r="B332" s="1"/>
      <c r="C332" s="1"/>
      <c r="D332" s="1"/>
      <c r="E332" s="1"/>
      <c r="F332" s="1"/>
      <c r="G332" s="1"/>
      <c r="H332" s="1"/>
      <c r="I332" s="1"/>
      <c r="J332" s="1"/>
      <c r="K332" s="1"/>
      <c r="L332" s="1"/>
      <c r="M332" s="1"/>
      <c r="N332" s="1"/>
      <c r="O332" s="1"/>
      <c r="P332" s="1"/>
      <c r="Q332" s="1"/>
      <c r="R332" s="1"/>
      <c r="S332" s="1"/>
      <c r="T332" s="1"/>
      <c r="U332" s="2"/>
      <c r="V332" s="1"/>
      <c r="W332" s="1"/>
      <c r="X332" s="1"/>
      <c r="Y332" s="1"/>
      <c r="Z332" s="1"/>
    </row>
    <row r="333" spans="1:26" ht="39.75" customHeight="1">
      <c r="A333" s="1"/>
      <c r="B333" s="1"/>
      <c r="C333" s="1"/>
      <c r="D333" s="1"/>
      <c r="E333" s="1"/>
      <c r="F333" s="1"/>
      <c r="G333" s="1"/>
      <c r="H333" s="1"/>
      <c r="I333" s="1"/>
      <c r="J333" s="1"/>
      <c r="K333" s="1"/>
      <c r="L333" s="1"/>
      <c r="M333" s="1"/>
      <c r="N333" s="1"/>
      <c r="O333" s="1"/>
      <c r="P333" s="1"/>
      <c r="Q333" s="1"/>
      <c r="R333" s="1"/>
      <c r="S333" s="1"/>
      <c r="T333" s="1"/>
      <c r="U333" s="2"/>
      <c r="V333" s="1"/>
      <c r="W333" s="1"/>
      <c r="X333" s="1"/>
      <c r="Y333" s="1"/>
      <c r="Z333" s="1"/>
    </row>
    <row r="334" spans="1:26" ht="39.75" customHeight="1">
      <c r="A334" s="1"/>
      <c r="B334" s="1"/>
      <c r="C334" s="1"/>
      <c r="D334" s="1"/>
      <c r="E334" s="1"/>
      <c r="F334" s="1"/>
      <c r="G334" s="1"/>
      <c r="H334" s="1"/>
      <c r="I334" s="1"/>
      <c r="J334" s="1"/>
      <c r="K334" s="1"/>
      <c r="L334" s="1"/>
      <c r="M334" s="1"/>
      <c r="N334" s="1"/>
      <c r="O334" s="1"/>
      <c r="P334" s="1"/>
      <c r="Q334" s="1"/>
      <c r="R334" s="1"/>
      <c r="S334" s="1"/>
      <c r="T334" s="1"/>
      <c r="U334" s="2"/>
      <c r="V334" s="1"/>
      <c r="W334" s="1"/>
      <c r="X334" s="1"/>
      <c r="Y334" s="1"/>
      <c r="Z334" s="1"/>
    </row>
    <row r="335" spans="1:26" ht="39.75" customHeight="1">
      <c r="A335" s="1"/>
      <c r="B335" s="1"/>
      <c r="C335" s="1"/>
      <c r="D335" s="1"/>
      <c r="E335" s="1"/>
      <c r="F335" s="1"/>
      <c r="G335" s="1"/>
      <c r="H335" s="1"/>
      <c r="I335" s="1"/>
      <c r="J335" s="1"/>
      <c r="K335" s="1"/>
      <c r="L335" s="1"/>
      <c r="M335" s="1"/>
      <c r="N335" s="1"/>
      <c r="O335" s="1"/>
      <c r="P335" s="1"/>
      <c r="Q335" s="1"/>
      <c r="R335" s="1"/>
      <c r="S335" s="1"/>
      <c r="T335" s="1"/>
      <c r="U335" s="2"/>
      <c r="V335" s="1"/>
      <c r="W335" s="1"/>
      <c r="X335" s="1"/>
      <c r="Y335" s="1"/>
      <c r="Z335" s="1"/>
    </row>
    <row r="336" spans="1:26" ht="39.75" customHeight="1">
      <c r="A336" s="1"/>
      <c r="B336" s="1"/>
      <c r="C336" s="1"/>
      <c r="D336" s="1"/>
      <c r="E336" s="1"/>
      <c r="F336" s="1"/>
      <c r="G336" s="1"/>
      <c r="H336" s="1"/>
      <c r="I336" s="1"/>
      <c r="J336" s="1"/>
      <c r="K336" s="1"/>
      <c r="L336" s="1"/>
      <c r="M336" s="1"/>
      <c r="N336" s="1"/>
      <c r="O336" s="1"/>
      <c r="P336" s="1"/>
      <c r="Q336" s="1"/>
      <c r="R336" s="1"/>
      <c r="S336" s="1"/>
      <c r="T336" s="1"/>
      <c r="U336" s="2"/>
      <c r="V336" s="1"/>
      <c r="W336" s="1"/>
      <c r="X336" s="1"/>
      <c r="Y336" s="1"/>
      <c r="Z336" s="1"/>
    </row>
    <row r="337" spans="1:26" ht="39.75" customHeight="1">
      <c r="A337" s="1"/>
      <c r="B337" s="1"/>
      <c r="C337" s="1"/>
      <c r="D337" s="1"/>
      <c r="E337" s="1"/>
      <c r="F337" s="1"/>
      <c r="G337" s="1"/>
      <c r="H337" s="1"/>
      <c r="I337" s="1"/>
      <c r="J337" s="1"/>
      <c r="K337" s="1"/>
      <c r="L337" s="1"/>
      <c r="M337" s="1"/>
      <c r="N337" s="1"/>
      <c r="O337" s="1"/>
      <c r="P337" s="1"/>
      <c r="Q337" s="1"/>
      <c r="R337" s="1"/>
      <c r="S337" s="1"/>
      <c r="T337" s="1"/>
      <c r="U337" s="2"/>
      <c r="V337" s="1"/>
      <c r="W337" s="1"/>
      <c r="X337" s="1"/>
      <c r="Y337" s="1"/>
      <c r="Z337" s="1"/>
    </row>
    <row r="338" spans="1:26" ht="39.75" customHeight="1">
      <c r="A338" s="1"/>
      <c r="B338" s="1"/>
      <c r="C338" s="1"/>
      <c r="D338" s="1"/>
      <c r="E338" s="1"/>
      <c r="F338" s="1"/>
      <c r="G338" s="1"/>
      <c r="H338" s="1"/>
      <c r="I338" s="1"/>
      <c r="J338" s="1"/>
      <c r="K338" s="1"/>
      <c r="L338" s="1"/>
      <c r="M338" s="1"/>
      <c r="N338" s="1"/>
      <c r="O338" s="1"/>
      <c r="P338" s="1"/>
      <c r="Q338" s="1"/>
      <c r="R338" s="1"/>
      <c r="S338" s="1"/>
      <c r="T338" s="1"/>
      <c r="U338" s="2"/>
      <c r="V338" s="1"/>
      <c r="W338" s="1"/>
      <c r="X338" s="1"/>
      <c r="Y338" s="1"/>
      <c r="Z338" s="1"/>
    </row>
    <row r="339" spans="1:26" ht="39.75" customHeight="1">
      <c r="A339" s="1"/>
      <c r="B339" s="1"/>
      <c r="C339" s="1"/>
      <c r="D339" s="1"/>
      <c r="E339" s="1"/>
      <c r="F339" s="1"/>
      <c r="G339" s="1"/>
      <c r="H339" s="1"/>
      <c r="I339" s="1"/>
      <c r="J339" s="1"/>
      <c r="K339" s="1"/>
      <c r="L339" s="1"/>
      <c r="M339" s="1"/>
      <c r="N339" s="1"/>
      <c r="O339" s="1"/>
      <c r="P339" s="1"/>
      <c r="Q339" s="1"/>
      <c r="R339" s="1"/>
      <c r="S339" s="1"/>
      <c r="T339" s="1"/>
      <c r="U339" s="2"/>
      <c r="V339" s="1"/>
      <c r="W339" s="1"/>
      <c r="X339" s="1"/>
      <c r="Y339" s="1"/>
      <c r="Z339" s="1"/>
    </row>
    <row r="340" spans="1:26" ht="39.75" customHeight="1">
      <c r="A340" s="1"/>
      <c r="B340" s="1"/>
      <c r="C340" s="1"/>
      <c r="D340" s="1"/>
      <c r="E340" s="1"/>
      <c r="F340" s="1"/>
      <c r="G340" s="1"/>
      <c r="H340" s="1"/>
      <c r="I340" s="1"/>
      <c r="J340" s="1"/>
      <c r="K340" s="1"/>
      <c r="L340" s="1"/>
      <c r="M340" s="1"/>
      <c r="N340" s="1"/>
      <c r="O340" s="1"/>
      <c r="P340" s="1"/>
      <c r="Q340" s="1"/>
      <c r="R340" s="1"/>
      <c r="S340" s="1"/>
      <c r="T340" s="1"/>
      <c r="U340" s="2"/>
      <c r="V340" s="1"/>
      <c r="W340" s="1"/>
      <c r="X340" s="1"/>
      <c r="Y340" s="1"/>
      <c r="Z340" s="1"/>
    </row>
    <row r="341" spans="1:26" ht="39.75" customHeight="1">
      <c r="A341" s="1"/>
      <c r="B341" s="1"/>
      <c r="C341" s="1"/>
      <c r="D341" s="1"/>
      <c r="E341" s="1"/>
      <c r="F341" s="1"/>
      <c r="G341" s="1"/>
      <c r="H341" s="1"/>
      <c r="I341" s="1"/>
      <c r="J341" s="1"/>
      <c r="K341" s="1"/>
      <c r="L341" s="1"/>
      <c r="M341" s="1"/>
      <c r="N341" s="1"/>
      <c r="O341" s="1"/>
      <c r="P341" s="1"/>
      <c r="Q341" s="1"/>
      <c r="R341" s="1"/>
      <c r="S341" s="1"/>
      <c r="T341" s="1"/>
      <c r="U341" s="2"/>
      <c r="V341" s="1"/>
      <c r="W341" s="1"/>
      <c r="X341" s="1"/>
      <c r="Y341" s="1"/>
      <c r="Z341" s="1"/>
    </row>
    <row r="342" spans="1:26" ht="39.75" customHeight="1">
      <c r="A342" s="1"/>
      <c r="B342" s="1"/>
      <c r="C342" s="1"/>
      <c r="D342" s="1"/>
      <c r="E342" s="1"/>
      <c r="F342" s="1"/>
      <c r="G342" s="1"/>
      <c r="H342" s="1"/>
      <c r="I342" s="1"/>
      <c r="J342" s="1"/>
      <c r="K342" s="1"/>
      <c r="L342" s="1"/>
      <c r="M342" s="1"/>
      <c r="N342" s="1"/>
      <c r="O342" s="1"/>
      <c r="P342" s="1"/>
      <c r="Q342" s="1"/>
      <c r="R342" s="1"/>
      <c r="S342" s="1"/>
      <c r="T342" s="1"/>
      <c r="U342" s="2"/>
      <c r="V342" s="1"/>
      <c r="W342" s="1"/>
      <c r="X342" s="1"/>
      <c r="Y342" s="1"/>
      <c r="Z342" s="1"/>
    </row>
    <row r="343" spans="1:26" ht="39.75" customHeight="1">
      <c r="A343" s="1"/>
      <c r="B343" s="1"/>
      <c r="C343" s="1"/>
      <c r="D343" s="1"/>
      <c r="E343" s="1"/>
      <c r="F343" s="1"/>
      <c r="G343" s="1"/>
      <c r="H343" s="1"/>
      <c r="I343" s="1"/>
      <c r="J343" s="1"/>
      <c r="K343" s="1"/>
      <c r="L343" s="1"/>
      <c r="M343" s="1"/>
      <c r="N343" s="1"/>
      <c r="O343" s="1"/>
      <c r="P343" s="1"/>
      <c r="Q343" s="1"/>
      <c r="R343" s="1"/>
      <c r="S343" s="1"/>
      <c r="T343" s="1"/>
      <c r="U343" s="2"/>
      <c r="V343" s="1"/>
      <c r="W343" s="1"/>
      <c r="X343" s="1"/>
      <c r="Y343" s="1"/>
      <c r="Z343" s="1"/>
    </row>
    <row r="344" spans="1:26" ht="39.75" customHeight="1">
      <c r="A344" s="1"/>
      <c r="B344" s="1"/>
      <c r="C344" s="1"/>
      <c r="D344" s="1"/>
      <c r="E344" s="1"/>
      <c r="F344" s="1"/>
      <c r="G344" s="1"/>
      <c r="H344" s="1"/>
      <c r="I344" s="1"/>
      <c r="J344" s="1"/>
      <c r="K344" s="1"/>
      <c r="L344" s="1"/>
      <c r="M344" s="1"/>
      <c r="N344" s="1"/>
      <c r="O344" s="1"/>
      <c r="P344" s="1"/>
      <c r="Q344" s="1"/>
      <c r="R344" s="1"/>
      <c r="S344" s="1"/>
      <c r="T344" s="1"/>
      <c r="U344" s="2"/>
      <c r="V344" s="1"/>
      <c r="W344" s="1"/>
      <c r="X344" s="1"/>
      <c r="Y344" s="1"/>
      <c r="Z344" s="1"/>
    </row>
    <row r="345" spans="1:26" ht="39.75" customHeight="1">
      <c r="A345" s="1"/>
      <c r="B345" s="1"/>
      <c r="C345" s="1"/>
      <c r="D345" s="1"/>
      <c r="E345" s="1"/>
      <c r="F345" s="1"/>
      <c r="G345" s="1"/>
      <c r="H345" s="1"/>
      <c r="I345" s="1"/>
      <c r="J345" s="1"/>
      <c r="K345" s="1"/>
      <c r="L345" s="1"/>
      <c r="M345" s="1"/>
      <c r="N345" s="1"/>
      <c r="O345" s="1"/>
      <c r="P345" s="1"/>
      <c r="Q345" s="1"/>
      <c r="R345" s="1"/>
      <c r="S345" s="1"/>
      <c r="T345" s="1"/>
      <c r="U345" s="2"/>
      <c r="V345" s="1"/>
      <c r="W345" s="1"/>
      <c r="X345" s="1"/>
      <c r="Y345" s="1"/>
      <c r="Z345" s="1"/>
    </row>
    <row r="346" spans="1:26" ht="39.75" customHeight="1">
      <c r="A346" s="1"/>
      <c r="B346" s="1"/>
      <c r="C346" s="1"/>
      <c r="D346" s="1"/>
      <c r="E346" s="1"/>
      <c r="F346" s="1"/>
      <c r="G346" s="1"/>
      <c r="H346" s="1"/>
      <c r="I346" s="1"/>
      <c r="J346" s="1"/>
      <c r="K346" s="1"/>
      <c r="L346" s="1"/>
      <c r="M346" s="1"/>
      <c r="N346" s="1"/>
      <c r="O346" s="1"/>
      <c r="P346" s="1"/>
      <c r="Q346" s="1"/>
      <c r="R346" s="1"/>
      <c r="S346" s="1"/>
      <c r="T346" s="1"/>
      <c r="U346" s="2"/>
      <c r="V346" s="1"/>
      <c r="W346" s="1"/>
      <c r="X346" s="1"/>
      <c r="Y346" s="1"/>
      <c r="Z346" s="1"/>
    </row>
    <row r="347" spans="1:26" ht="39.75" customHeight="1">
      <c r="A347" s="1"/>
      <c r="B347" s="1"/>
      <c r="C347" s="1"/>
      <c r="D347" s="1"/>
      <c r="E347" s="1"/>
      <c r="F347" s="1"/>
      <c r="G347" s="1"/>
      <c r="H347" s="1"/>
      <c r="I347" s="1"/>
      <c r="J347" s="1"/>
      <c r="K347" s="1"/>
      <c r="L347" s="1"/>
      <c r="M347" s="1"/>
      <c r="N347" s="1"/>
      <c r="O347" s="1"/>
      <c r="P347" s="1"/>
      <c r="Q347" s="1"/>
      <c r="R347" s="1"/>
      <c r="S347" s="1"/>
      <c r="T347" s="1"/>
      <c r="U347" s="2"/>
      <c r="V347" s="1"/>
      <c r="W347" s="1"/>
      <c r="X347" s="1"/>
      <c r="Y347" s="1"/>
      <c r="Z347" s="1"/>
    </row>
    <row r="348" spans="1:26" ht="39.75" customHeight="1">
      <c r="A348" s="1"/>
      <c r="B348" s="1"/>
      <c r="C348" s="1"/>
      <c r="D348" s="1"/>
      <c r="E348" s="1"/>
      <c r="F348" s="1"/>
      <c r="G348" s="1"/>
      <c r="H348" s="1"/>
      <c r="I348" s="1"/>
      <c r="J348" s="1"/>
      <c r="K348" s="1"/>
      <c r="L348" s="1"/>
      <c r="M348" s="1"/>
      <c r="N348" s="1"/>
      <c r="O348" s="1"/>
      <c r="P348" s="1"/>
      <c r="Q348" s="1"/>
      <c r="R348" s="1"/>
      <c r="S348" s="1"/>
      <c r="T348" s="1"/>
      <c r="U348" s="2"/>
      <c r="V348" s="1"/>
      <c r="W348" s="1"/>
      <c r="X348" s="1"/>
      <c r="Y348" s="1"/>
      <c r="Z348" s="1"/>
    </row>
    <row r="349" spans="1:26" ht="39.75" customHeight="1">
      <c r="A349" s="1"/>
      <c r="B349" s="1"/>
      <c r="C349" s="1"/>
      <c r="D349" s="1"/>
      <c r="E349" s="1"/>
      <c r="F349" s="1"/>
      <c r="G349" s="1"/>
      <c r="H349" s="1"/>
      <c r="I349" s="1"/>
      <c r="J349" s="1"/>
      <c r="K349" s="1"/>
      <c r="L349" s="1"/>
      <c r="M349" s="1"/>
      <c r="N349" s="1"/>
      <c r="O349" s="1"/>
      <c r="P349" s="1"/>
      <c r="Q349" s="1"/>
      <c r="R349" s="1"/>
      <c r="S349" s="1"/>
      <c r="T349" s="1"/>
      <c r="U349" s="2"/>
      <c r="V349" s="1"/>
      <c r="W349" s="1"/>
      <c r="X349" s="1"/>
      <c r="Y349" s="1"/>
      <c r="Z349" s="1"/>
    </row>
    <row r="350" spans="1:26" ht="39.75" customHeight="1">
      <c r="A350" s="1"/>
      <c r="B350" s="1"/>
      <c r="C350" s="1"/>
      <c r="D350" s="1"/>
      <c r="E350" s="1"/>
      <c r="F350" s="1"/>
      <c r="G350" s="1"/>
      <c r="H350" s="1"/>
      <c r="I350" s="1"/>
      <c r="J350" s="1"/>
      <c r="K350" s="1"/>
      <c r="L350" s="1"/>
      <c r="M350" s="1"/>
      <c r="N350" s="1"/>
      <c r="O350" s="1"/>
      <c r="P350" s="1"/>
      <c r="Q350" s="1"/>
      <c r="R350" s="1"/>
      <c r="S350" s="1"/>
      <c r="T350" s="1"/>
      <c r="U350" s="2"/>
      <c r="V350" s="1"/>
      <c r="W350" s="1"/>
      <c r="X350" s="1"/>
      <c r="Y350" s="1"/>
      <c r="Z350" s="1"/>
    </row>
    <row r="351" spans="1:26" ht="39.75" customHeight="1">
      <c r="A351" s="1"/>
      <c r="B351" s="1"/>
      <c r="C351" s="1"/>
      <c r="D351" s="1"/>
      <c r="E351" s="1"/>
      <c r="F351" s="1"/>
      <c r="G351" s="1"/>
      <c r="H351" s="1"/>
      <c r="I351" s="1"/>
      <c r="J351" s="1"/>
      <c r="K351" s="1"/>
      <c r="L351" s="1"/>
      <c r="M351" s="1"/>
      <c r="N351" s="1"/>
      <c r="O351" s="1"/>
      <c r="P351" s="1"/>
      <c r="Q351" s="1"/>
      <c r="R351" s="1"/>
      <c r="S351" s="1"/>
      <c r="T351" s="1"/>
      <c r="U351" s="2"/>
      <c r="V351" s="1"/>
      <c r="W351" s="1"/>
      <c r="X351" s="1"/>
      <c r="Y351" s="1"/>
      <c r="Z351" s="1"/>
    </row>
    <row r="352" spans="1:26" ht="39.75" customHeight="1">
      <c r="A352" s="1"/>
      <c r="B352" s="1"/>
      <c r="C352" s="1"/>
      <c r="D352" s="1"/>
      <c r="E352" s="1"/>
      <c r="F352" s="1"/>
      <c r="G352" s="1"/>
      <c r="H352" s="1"/>
      <c r="I352" s="1"/>
      <c r="J352" s="1"/>
      <c r="K352" s="1"/>
      <c r="L352" s="1"/>
      <c r="M352" s="1"/>
      <c r="N352" s="1"/>
      <c r="O352" s="1"/>
      <c r="P352" s="1"/>
      <c r="Q352" s="1"/>
      <c r="R352" s="1"/>
      <c r="S352" s="1"/>
      <c r="T352" s="1"/>
      <c r="U352" s="2"/>
      <c r="V352" s="1"/>
      <c r="W352" s="1"/>
      <c r="X352" s="1"/>
      <c r="Y352" s="1"/>
      <c r="Z352" s="1"/>
    </row>
    <row r="353" spans="1:26" ht="39.75" customHeight="1">
      <c r="A353" s="1"/>
      <c r="B353" s="1"/>
      <c r="C353" s="1"/>
      <c r="D353" s="1"/>
      <c r="E353" s="1"/>
      <c r="F353" s="1"/>
      <c r="G353" s="1"/>
      <c r="H353" s="1"/>
      <c r="I353" s="1"/>
      <c r="J353" s="1"/>
      <c r="K353" s="1"/>
      <c r="L353" s="1"/>
      <c r="M353" s="1"/>
      <c r="N353" s="1"/>
      <c r="O353" s="1"/>
      <c r="P353" s="1"/>
      <c r="Q353" s="1"/>
      <c r="R353" s="1"/>
      <c r="S353" s="1"/>
      <c r="T353" s="1"/>
      <c r="U353" s="2"/>
      <c r="V353" s="1"/>
      <c r="W353" s="1"/>
      <c r="X353" s="1"/>
      <c r="Y353" s="1"/>
      <c r="Z353" s="1"/>
    </row>
    <row r="354" spans="1:26" ht="39.75" customHeight="1">
      <c r="A354" s="1"/>
      <c r="B354" s="1"/>
      <c r="C354" s="1"/>
      <c r="D354" s="1"/>
      <c r="E354" s="1"/>
      <c r="F354" s="1"/>
      <c r="G354" s="1"/>
      <c r="H354" s="1"/>
      <c r="I354" s="1"/>
      <c r="J354" s="1"/>
      <c r="K354" s="1"/>
      <c r="L354" s="1"/>
      <c r="M354" s="1"/>
      <c r="N354" s="1"/>
      <c r="O354" s="1"/>
      <c r="P354" s="1"/>
      <c r="Q354" s="1"/>
      <c r="R354" s="1"/>
      <c r="S354" s="1"/>
      <c r="T354" s="1"/>
      <c r="U354" s="2"/>
      <c r="V354" s="1"/>
      <c r="W354" s="1"/>
      <c r="X354" s="1"/>
      <c r="Y354" s="1"/>
      <c r="Z354" s="1"/>
    </row>
    <row r="355" spans="1:26" ht="39.75" customHeight="1">
      <c r="A355" s="1"/>
      <c r="B355" s="1"/>
      <c r="C355" s="1"/>
      <c r="D355" s="1"/>
      <c r="E355" s="1"/>
      <c r="F355" s="1"/>
      <c r="G355" s="1"/>
      <c r="H355" s="1"/>
      <c r="I355" s="1"/>
      <c r="J355" s="1"/>
      <c r="K355" s="1"/>
      <c r="L355" s="1"/>
      <c r="M355" s="1"/>
      <c r="N355" s="1"/>
      <c r="O355" s="1"/>
      <c r="P355" s="1"/>
      <c r="Q355" s="1"/>
      <c r="R355" s="1"/>
      <c r="S355" s="1"/>
      <c r="T355" s="1"/>
      <c r="U355" s="2"/>
      <c r="V355" s="1"/>
      <c r="W355" s="1"/>
      <c r="X355" s="1"/>
      <c r="Y355" s="1"/>
      <c r="Z355" s="1"/>
    </row>
    <row r="356" spans="1:26" ht="39.75" customHeight="1">
      <c r="A356" s="1"/>
      <c r="B356" s="1"/>
      <c r="C356" s="1"/>
      <c r="D356" s="1"/>
      <c r="E356" s="1"/>
      <c r="F356" s="1"/>
      <c r="G356" s="1"/>
      <c r="H356" s="1"/>
      <c r="I356" s="1"/>
      <c r="J356" s="1"/>
      <c r="K356" s="1"/>
      <c r="L356" s="1"/>
      <c r="M356" s="1"/>
      <c r="N356" s="1"/>
      <c r="O356" s="1"/>
      <c r="P356" s="1"/>
      <c r="Q356" s="1"/>
      <c r="R356" s="1"/>
      <c r="S356" s="1"/>
      <c r="T356" s="1"/>
      <c r="U356" s="2"/>
      <c r="V356" s="1"/>
      <c r="W356" s="1"/>
      <c r="X356" s="1"/>
      <c r="Y356" s="1"/>
      <c r="Z356" s="1"/>
    </row>
    <row r="357" spans="1:26" ht="39.75" customHeight="1">
      <c r="A357" s="1"/>
      <c r="B357" s="1"/>
      <c r="C357" s="1"/>
      <c r="D357" s="1"/>
      <c r="E357" s="1"/>
      <c r="F357" s="1"/>
      <c r="G357" s="1"/>
      <c r="H357" s="1"/>
      <c r="I357" s="1"/>
      <c r="J357" s="1"/>
      <c r="K357" s="1"/>
      <c r="L357" s="1"/>
      <c r="M357" s="1"/>
      <c r="N357" s="1"/>
      <c r="O357" s="1"/>
      <c r="P357" s="1"/>
      <c r="Q357" s="1"/>
      <c r="R357" s="1"/>
      <c r="S357" s="1"/>
      <c r="T357" s="1"/>
      <c r="U357" s="2"/>
      <c r="V357" s="1"/>
      <c r="W357" s="1"/>
      <c r="X357" s="1"/>
      <c r="Y357" s="1"/>
      <c r="Z357" s="1"/>
    </row>
    <row r="358" spans="1:26" ht="39.75" customHeight="1">
      <c r="A358" s="1"/>
      <c r="B358" s="1"/>
      <c r="C358" s="1"/>
      <c r="D358" s="1"/>
      <c r="E358" s="1"/>
      <c r="F358" s="1"/>
      <c r="G358" s="1"/>
      <c r="H358" s="1"/>
      <c r="I358" s="1"/>
      <c r="J358" s="1"/>
      <c r="K358" s="1"/>
      <c r="L358" s="1"/>
      <c r="M358" s="1"/>
      <c r="N358" s="1"/>
      <c r="O358" s="1"/>
      <c r="P358" s="1"/>
      <c r="Q358" s="1"/>
      <c r="R358" s="1"/>
      <c r="S358" s="1"/>
      <c r="T358" s="1"/>
      <c r="U358" s="2"/>
      <c r="V358" s="1"/>
      <c r="W358" s="1"/>
      <c r="X358" s="1"/>
      <c r="Y358" s="1"/>
      <c r="Z358" s="1"/>
    </row>
    <row r="359" spans="1:26" ht="39.75" customHeight="1">
      <c r="A359" s="1"/>
      <c r="B359" s="1"/>
      <c r="C359" s="1"/>
      <c r="D359" s="1"/>
      <c r="E359" s="1"/>
      <c r="F359" s="1"/>
      <c r="G359" s="1"/>
      <c r="H359" s="1"/>
      <c r="I359" s="1"/>
      <c r="J359" s="1"/>
      <c r="K359" s="1"/>
      <c r="L359" s="1"/>
      <c r="M359" s="1"/>
      <c r="N359" s="1"/>
      <c r="O359" s="1"/>
      <c r="P359" s="1"/>
      <c r="Q359" s="1"/>
      <c r="R359" s="1"/>
      <c r="S359" s="1"/>
      <c r="T359" s="1"/>
      <c r="U359" s="2"/>
      <c r="V359" s="1"/>
      <c r="W359" s="1"/>
      <c r="X359" s="1"/>
      <c r="Y359" s="1"/>
      <c r="Z359" s="1"/>
    </row>
    <row r="360" spans="1:26" ht="39.75" customHeight="1">
      <c r="A360" s="1"/>
      <c r="B360" s="1"/>
      <c r="C360" s="1"/>
      <c r="D360" s="1"/>
      <c r="E360" s="1"/>
      <c r="F360" s="1"/>
      <c r="G360" s="1"/>
      <c r="H360" s="1"/>
      <c r="I360" s="1"/>
      <c r="J360" s="1"/>
      <c r="K360" s="1"/>
      <c r="L360" s="1"/>
      <c r="M360" s="1"/>
      <c r="N360" s="1"/>
      <c r="O360" s="1"/>
      <c r="P360" s="1"/>
      <c r="Q360" s="1"/>
      <c r="R360" s="1"/>
      <c r="S360" s="1"/>
      <c r="T360" s="1"/>
      <c r="U360" s="2"/>
      <c r="V360" s="1"/>
      <c r="W360" s="1"/>
      <c r="X360" s="1"/>
      <c r="Y360" s="1"/>
      <c r="Z360" s="1"/>
    </row>
    <row r="361" spans="1:26" ht="39.75" customHeight="1">
      <c r="A361" s="1"/>
      <c r="B361" s="1"/>
      <c r="C361" s="1"/>
      <c r="D361" s="1"/>
      <c r="E361" s="1"/>
      <c r="F361" s="1"/>
      <c r="G361" s="1"/>
      <c r="H361" s="1"/>
      <c r="I361" s="1"/>
      <c r="J361" s="1"/>
      <c r="K361" s="1"/>
      <c r="L361" s="1"/>
      <c r="M361" s="1"/>
      <c r="N361" s="1"/>
      <c r="O361" s="1"/>
      <c r="P361" s="1"/>
      <c r="Q361" s="1"/>
      <c r="R361" s="1"/>
      <c r="S361" s="1"/>
      <c r="T361" s="1"/>
      <c r="U361" s="2"/>
      <c r="V361" s="1"/>
      <c r="W361" s="1"/>
      <c r="X361" s="1"/>
      <c r="Y361" s="1"/>
      <c r="Z361" s="1"/>
    </row>
    <row r="362" spans="1:26" ht="39.75" customHeight="1">
      <c r="A362" s="1"/>
      <c r="B362" s="1"/>
      <c r="C362" s="1"/>
      <c r="D362" s="1"/>
      <c r="E362" s="1"/>
      <c r="F362" s="1"/>
      <c r="G362" s="1"/>
      <c r="H362" s="1"/>
      <c r="I362" s="1"/>
      <c r="J362" s="1"/>
      <c r="K362" s="1"/>
      <c r="L362" s="1"/>
      <c r="M362" s="1"/>
      <c r="N362" s="1"/>
      <c r="O362" s="1"/>
      <c r="P362" s="1"/>
      <c r="Q362" s="1"/>
      <c r="R362" s="1"/>
      <c r="S362" s="1"/>
      <c r="T362" s="1"/>
      <c r="U362" s="2"/>
      <c r="V362" s="1"/>
      <c r="W362" s="1"/>
      <c r="X362" s="1"/>
      <c r="Y362" s="1"/>
      <c r="Z362" s="1"/>
    </row>
    <row r="363" spans="1:26" ht="39.75" customHeight="1">
      <c r="A363" s="1"/>
      <c r="B363" s="1"/>
      <c r="C363" s="1"/>
      <c r="D363" s="1"/>
      <c r="E363" s="1"/>
      <c r="F363" s="1"/>
      <c r="G363" s="1"/>
      <c r="H363" s="1"/>
      <c r="I363" s="1"/>
      <c r="J363" s="1"/>
      <c r="K363" s="1"/>
      <c r="L363" s="1"/>
      <c r="M363" s="1"/>
      <c r="N363" s="1"/>
      <c r="O363" s="1"/>
      <c r="P363" s="1"/>
      <c r="Q363" s="1"/>
      <c r="R363" s="1"/>
      <c r="S363" s="1"/>
      <c r="T363" s="1"/>
      <c r="U363" s="2"/>
      <c r="V363" s="1"/>
      <c r="W363" s="1"/>
      <c r="X363" s="1"/>
      <c r="Y363" s="1"/>
      <c r="Z363" s="1"/>
    </row>
    <row r="364" spans="1:26" ht="39.75" customHeight="1">
      <c r="A364" s="1"/>
      <c r="B364" s="1"/>
      <c r="C364" s="1"/>
      <c r="D364" s="1"/>
      <c r="E364" s="1"/>
      <c r="F364" s="1"/>
      <c r="G364" s="1"/>
      <c r="H364" s="1"/>
      <c r="I364" s="1"/>
      <c r="J364" s="1"/>
      <c r="K364" s="1"/>
      <c r="L364" s="1"/>
      <c r="M364" s="1"/>
      <c r="N364" s="1"/>
      <c r="O364" s="1"/>
      <c r="P364" s="1"/>
      <c r="Q364" s="1"/>
      <c r="R364" s="1"/>
      <c r="S364" s="1"/>
      <c r="T364" s="1"/>
      <c r="U364" s="2"/>
      <c r="V364" s="1"/>
      <c r="W364" s="1"/>
      <c r="X364" s="1"/>
      <c r="Y364" s="1"/>
      <c r="Z364" s="1"/>
    </row>
    <row r="365" spans="1:26" ht="39.75" customHeight="1">
      <c r="A365" s="1"/>
      <c r="B365" s="1"/>
      <c r="C365" s="1"/>
      <c r="D365" s="1"/>
      <c r="E365" s="1"/>
      <c r="F365" s="1"/>
      <c r="G365" s="1"/>
      <c r="H365" s="1"/>
      <c r="I365" s="1"/>
      <c r="J365" s="1"/>
      <c r="K365" s="1"/>
      <c r="L365" s="1"/>
      <c r="M365" s="1"/>
      <c r="N365" s="1"/>
      <c r="O365" s="1"/>
      <c r="P365" s="1"/>
      <c r="Q365" s="1"/>
      <c r="R365" s="1"/>
      <c r="S365" s="1"/>
      <c r="T365" s="1"/>
      <c r="U365" s="2"/>
      <c r="V365" s="1"/>
      <c r="W365" s="1"/>
      <c r="X365" s="1"/>
      <c r="Y365" s="1"/>
      <c r="Z365" s="1"/>
    </row>
    <row r="366" spans="1:26" ht="39.75" customHeight="1">
      <c r="A366" s="1"/>
      <c r="B366" s="1"/>
      <c r="C366" s="1"/>
      <c r="D366" s="1"/>
      <c r="E366" s="1"/>
      <c r="F366" s="1"/>
      <c r="G366" s="1"/>
      <c r="H366" s="1"/>
      <c r="I366" s="1"/>
      <c r="J366" s="1"/>
      <c r="K366" s="1"/>
      <c r="L366" s="1"/>
      <c r="M366" s="1"/>
      <c r="N366" s="1"/>
      <c r="O366" s="1"/>
      <c r="P366" s="1"/>
      <c r="Q366" s="1"/>
      <c r="R366" s="1"/>
      <c r="S366" s="1"/>
      <c r="T366" s="1"/>
      <c r="U366" s="2"/>
      <c r="V366" s="1"/>
      <c r="W366" s="1"/>
      <c r="X366" s="1"/>
      <c r="Y366" s="1"/>
      <c r="Z366" s="1"/>
    </row>
    <row r="367" spans="1:26" ht="39.75" customHeight="1">
      <c r="A367" s="1"/>
      <c r="B367" s="1"/>
      <c r="C367" s="1"/>
      <c r="D367" s="1"/>
      <c r="E367" s="1"/>
      <c r="F367" s="1"/>
      <c r="G367" s="1"/>
      <c r="H367" s="1"/>
      <c r="I367" s="1"/>
      <c r="J367" s="1"/>
      <c r="K367" s="1"/>
      <c r="L367" s="1"/>
      <c r="M367" s="1"/>
      <c r="N367" s="1"/>
      <c r="O367" s="1"/>
      <c r="P367" s="1"/>
      <c r="Q367" s="1"/>
      <c r="R367" s="1"/>
      <c r="S367" s="1"/>
      <c r="T367" s="1"/>
      <c r="U367" s="2"/>
      <c r="V367" s="1"/>
      <c r="W367" s="1"/>
      <c r="X367" s="1"/>
      <c r="Y367" s="1"/>
      <c r="Z367" s="1"/>
    </row>
    <row r="368" spans="1:26" ht="39.75" customHeight="1">
      <c r="A368" s="1"/>
      <c r="B368" s="1"/>
      <c r="C368" s="1"/>
      <c r="D368" s="1"/>
      <c r="E368" s="1"/>
      <c r="F368" s="1"/>
      <c r="G368" s="1"/>
      <c r="H368" s="1"/>
      <c r="I368" s="1"/>
      <c r="J368" s="1"/>
      <c r="K368" s="1"/>
      <c r="L368" s="1"/>
      <c r="M368" s="1"/>
      <c r="N368" s="1"/>
      <c r="O368" s="1"/>
      <c r="P368" s="1"/>
      <c r="Q368" s="1"/>
      <c r="R368" s="1"/>
      <c r="S368" s="1"/>
      <c r="T368" s="1"/>
      <c r="U368" s="2"/>
      <c r="V368" s="1"/>
      <c r="W368" s="1"/>
      <c r="X368" s="1"/>
      <c r="Y368" s="1"/>
      <c r="Z368" s="1"/>
    </row>
    <row r="369" spans="1:26" ht="39.75" customHeight="1">
      <c r="A369" s="1"/>
      <c r="B369" s="1"/>
      <c r="C369" s="1"/>
      <c r="D369" s="1"/>
      <c r="E369" s="1"/>
      <c r="F369" s="1"/>
      <c r="G369" s="1"/>
      <c r="H369" s="1"/>
      <c r="I369" s="1"/>
      <c r="J369" s="1"/>
      <c r="K369" s="1"/>
      <c r="L369" s="1"/>
      <c r="M369" s="1"/>
      <c r="N369" s="1"/>
      <c r="O369" s="1"/>
      <c r="P369" s="1"/>
      <c r="Q369" s="1"/>
      <c r="R369" s="1"/>
      <c r="S369" s="1"/>
      <c r="T369" s="1"/>
      <c r="U369" s="2"/>
      <c r="V369" s="1"/>
      <c r="W369" s="1"/>
      <c r="X369" s="1"/>
      <c r="Y369" s="1"/>
      <c r="Z369" s="1"/>
    </row>
    <row r="370" spans="1:26" ht="39.75" customHeight="1">
      <c r="A370" s="1"/>
      <c r="B370" s="1"/>
      <c r="C370" s="1"/>
      <c r="D370" s="1"/>
      <c r="E370" s="1"/>
      <c r="F370" s="1"/>
      <c r="G370" s="1"/>
      <c r="H370" s="1"/>
      <c r="I370" s="1"/>
      <c r="J370" s="1"/>
      <c r="K370" s="1"/>
      <c r="L370" s="1"/>
      <c r="M370" s="1"/>
      <c r="N370" s="1"/>
      <c r="O370" s="1"/>
      <c r="P370" s="1"/>
      <c r="Q370" s="1"/>
      <c r="R370" s="1"/>
      <c r="S370" s="1"/>
      <c r="T370" s="1"/>
      <c r="U370" s="2"/>
      <c r="V370" s="1"/>
      <c r="W370" s="1"/>
      <c r="X370" s="1"/>
      <c r="Y370" s="1"/>
      <c r="Z370" s="1"/>
    </row>
    <row r="371" spans="1:26" ht="39.75" customHeight="1">
      <c r="A371" s="1"/>
      <c r="B371" s="1"/>
      <c r="C371" s="1"/>
      <c r="D371" s="1"/>
      <c r="E371" s="1"/>
      <c r="F371" s="1"/>
      <c r="G371" s="1"/>
      <c r="H371" s="1"/>
      <c r="I371" s="1"/>
      <c r="J371" s="1"/>
      <c r="K371" s="1"/>
      <c r="L371" s="1"/>
      <c r="M371" s="1"/>
      <c r="N371" s="1"/>
      <c r="O371" s="1"/>
      <c r="P371" s="1"/>
      <c r="Q371" s="1"/>
      <c r="R371" s="1"/>
      <c r="S371" s="1"/>
      <c r="T371" s="1"/>
      <c r="U371" s="2"/>
      <c r="V371" s="1"/>
      <c r="W371" s="1"/>
      <c r="X371" s="1"/>
      <c r="Y371" s="1"/>
      <c r="Z371" s="1"/>
    </row>
    <row r="372" spans="1:26" ht="39.75" customHeight="1">
      <c r="A372" s="1"/>
      <c r="B372" s="1"/>
      <c r="C372" s="1"/>
      <c r="D372" s="1"/>
      <c r="E372" s="1"/>
      <c r="F372" s="1"/>
      <c r="G372" s="1"/>
      <c r="H372" s="1"/>
      <c r="I372" s="1"/>
      <c r="J372" s="1"/>
      <c r="K372" s="1"/>
      <c r="L372" s="1"/>
      <c r="M372" s="1"/>
      <c r="N372" s="1"/>
      <c r="O372" s="1"/>
      <c r="P372" s="1"/>
      <c r="Q372" s="1"/>
      <c r="R372" s="1"/>
      <c r="S372" s="1"/>
      <c r="T372" s="1"/>
      <c r="U372" s="2"/>
      <c r="V372" s="1"/>
      <c r="W372" s="1"/>
      <c r="X372" s="1"/>
      <c r="Y372" s="1"/>
      <c r="Z372" s="1"/>
    </row>
    <row r="373" spans="1:26" ht="39.75" customHeight="1">
      <c r="A373" s="1"/>
      <c r="B373" s="1"/>
      <c r="C373" s="1"/>
      <c r="D373" s="1"/>
      <c r="E373" s="1"/>
      <c r="F373" s="1"/>
      <c r="G373" s="1"/>
      <c r="H373" s="1"/>
      <c r="I373" s="1"/>
      <c r="J373" s="1"/>
      <c r="K373" s="1"/>
      <c r="L373" s="1"/>
      <c r="M373" s="1"/>
      <c r="N373" s="1"/>
      <c r="O373" s="1"/>
      <c r="P373" s="1"/>
      <c r="Q373" s="1"/>
      <c r="R373" s="1"/>
      <c r="S373" s="1"/>
      <c r="T373" s="1"/>
      <c r="U373" s="2"/>
      <c r="V373" s="1"/>
      <c r="W373" s="1"/>
      <c r="X373" s="1"/>
      <c r="Y373" s="1"/>
      <c r="Z373" s="1"/>
    </row>
    <row r="374" spans="1:26" ht="39.75" customHeight="1">
      <c r="A374" s="1"/>
      <c r="B374" s="1"/>
      <c r="C374" s="1"/>
      <c r="D374" s="1"/>
      <c r="E374" s="1"/>
      <c r="F374" s="1"/>
      <c r="G374" s="1"/>
      <c r="H374" s="1"/>
      <c r="I374" s="1"/>
      <c r="J374" s="1"/>
      <c r="K374" s="1"/>
      <c r="L374" s="1"/>
      <c r="M374" s="1"/>
      <c r="N374" s="1"/>
      <c r="O374" s="1"/>
      <c r="P374" s="1"/>
      <c r="Q374" s="1"/>
      <c r="R374" s="1"/>
      <c r="S374" s="1"/>
      <c r="T374" s="1"/>
      <c r="U374" s="2"/>
      <c r="V374" s="1"/>
      <c r="W374" s="1"/>
      <c r="X374" s="1"/>
      <c r="Y374" s="1"/>
      <c r="Z374" s="1"/>
    </row>
    <row r="375" spans="1:26" ht="39.75" customHeight="1">
      <c r="A375" s="1"/>
      <c r="B375" s="1"/>
      <c r="C375" s="1"/>
      <c r="D375" s="1"/>
      <c r="E375" s="1"/>
      <c r="F375" s="1"/>
      <c r="G375" s="1"/>
      <c r="H375" s="1"/>
      <c r="I375" s="1"/>
      <c r="J375" s="1"/>
      <c r="K375" s="1"/>
      <c r="L375" s="1"/>
      <c r="M375" s="1"/>
      <c r="N375" s="1"/>
      <c r="O375" s="1"/>
      <c r="P375" s="1"/>
      <c r="Q375" s="1"/>
      <c r="R375" s="1"/>
      <c r="S375" s="1"/>
      <c r="T375" s="1"/>
      <c r="U375" s="2"/>
      <c r="V375" s="1"/>
      <c r="W375" s="1"/>
      <c r="X375" s="1"/>
      <c r="Y375" s="1"/>
      <c r="Z375" s="1"/>
    </row>
    <row r="376" spans="1:26" ht="39.75" customHeight="1">
      <c r="A376" s="1"/>
      <c r="B376" s="1"/>
      <c r="C376" s="1"/>
      <c r="D376" s="1"/>
      <c r="E376" s="1"/>
      <c r="F376" s="1"/>
      <c r="G376" s="1"/>
      <c r="H376" s="1"/>
      <c r="I376" s="1"/>
      <c r="J376" s="1"/>
      <c r="K376" s="1"/>
      <c r="L376" s="1"/>
      <c r="M376" s="1"/>
      <c r="N376" s="1"/>
      <c r="O376" s="1"/>
      <c r="P376" s="1"/>
      <c r="Q376" s="1"/>
      <c r="R376" s="1"/>
      <c r="S376" s="1"/>
      <c r="T376" s="1"/>
      <c r="U376" s="2"/>
      <c r="V376" s="1"/>
      <c r="W376" s="1"/>
      <c r="X376" s="1"/>
      <c r="Y376" s="1"/>
      <c r="Z376" s="1"/>
    </row>
    <row r="377" spans="1:26" ht="39.75" customHeight="1">
      <c r="A377" s="1"/>
      <c r="B377" s="1"/>
      <c r="C377" s="1"/>
      <c r="D377" s="1"/>
      <c r="E377" s="1"/>
      <c r="F377" s="1"/>
      <c r="G377" s="1"/>
      <c r="H377" s="1"/>
      <c r="I377" s="1"/>
      <c r="J377" s="1"/>
      <c r="K377" s="1"/>
      <c r="L377" s="1"/>
      <c r="M377" s="1"/>
      <c r="N377" s="1"/>
      <c r="O377" s="1"/>
      <c r="P377" s="1"/>
      <c r="Q377" s="1"/>
      <c r="R377" s="1"/>
      <c r="S377" s="1"/>
      <c r="T377" s="1"/>
      <c r="U377" s="2"/>
      <c r="V377" s="1"/>
      <c r="W377" s="1"/>
      <c r="X377" s="1"/>
      <c r="Y377" s="1"/>
      <c r="Z377" s="1"/>
    </row>
    <row r="378" spans="1:26" ht="39.75" customHeight="1">
      <c r="A378" s="1"/>
      <c r="B378" s="1"/>
      <c r="C378" s="1"/>
      <c r="D378" s="1"/>
      <c r="E378" s="1"/>
      <c r="F378" s="1"/>
      <c r="G378" s="1"/>
      <c r="H378" s="1"/>
      <c r="I378" s="1"/>
      <c r="J378" s="1"/>
      <c r="K378" s="1"/>
      <c r="L378" s="1"/>
      <c r="M378" s="1"/>
      <c r="N378" s="1"/>
      <c r="O378" s="1"/>
      <c r="P378" s="1"/>
      <c r="Q378" s="1"/>
      <c r="R378" s="1"/>
      <c r="S378" s="1"/>
      <c r="T378" s="1"/>
      <c r="U378" s="2"/>
      <c r="V378" s="1"/>
      <c r="W378" s="1"/>
      <c r="X378" s="1"/>
      <c r="Y378" s="1"/>
      <c r="Z378" s="1"/>
    </row>
    <row r="379" spans="1:26" ht="39.75" customHeight="1">
      <c r="A379" s="1"/>
      <c r="B379" s="1"/>
      <c r="C379" s="1"/>
      <c r="D379" s="1"/>
      <c r="E379" s="1"/>
      <c r="F379" s="1"/>
      <c r="G379" s="1"/>
      <c r="H379" s="1"/>
      <c r="I379" s="1"/>
      <c r="J379" s="1"/>
      <c r="K379" s="1"/>
      <c r="L379" s="1"/>
      <c r="M379" s="1"/>
      <c r="N379" s="1"/>
      <c r="O379" s="1"/>
      <c r="P379" s="1"/>
      <c r="Q379" s="1"/>
      <c r="R379" s="1"/>
      <c r="S379" s="1"/>
      <c r="T379" s="1"/>
      <c r="U379" s="2"/>
      <c r="V379" s="1"/>
      <c r="W379" s="1"/>
      <c r="X379" s="1"/>
      <c r="Y379" s="1"/>
      <c r="Z379" s="1"/>
    </row>
    <row r="380" spans="1:26" ht="39.75" customHeight="1">
      <c r="A380" s="1"/>
      <c r="B380" s="1"/>
      <c r="C380" s="1"/>
      <c r="D380" s="1"/>
      <c r="E380" s="1"/>
      <c r="F380" s="1"/>
      <c r="G380" s="1"/>
      <c r="H380" s="1"/>
      <c r="I380" s="1"/>
      <c r="J380" s="1"/>
      <c r="K380" s="1"/>
      <c r="L380" s="1"/>
      <c r="M380" s="1"/>
      <c r="N380" s="1"/>
      <c r="O380" s="1"/>
      <c r="P380" s="1"/>
      <c r="Q380" s="1"/>
      <c r="R380" s="1"/>
      <c r="S380" s="1"/>
      <c r="T380" s="1"/>
      <c r="U380" s="2"/>
      <c r="V380" s="1"/>
      <c r="W380" s="1"/>
      <c r="X380" s="1"/>
      <c r="Y380" s="1"/>
      <c r="Z380" s="1"/>
    </row>
    <row r="381" spans="1:26" ht="39.75" customHeight="1">
      <c r="A381" s="1"/>
      <c r="B381" s="1"/>
      <c r="C381" s="1"/>
      <c r="D381" s="1"/>
      <c r="E381" s="1"/>
      <c r="F381" s="1"/>
      <c r="G381" s="1"/>
      <c r="H381" s="1"/>
      <c r="I381" s="1"/>
      <c r="J381" s="1"/>
      <c r="K381" s="1"/>
      <c r="L381" s="1"/>
      <c r="M381" s="1"/>
      <c r="N381" s="1"/>
      <c r="O381" s="1"/>
      <c r="P381" s="1"/>
      <c r="Q381" s="1"/>
      <c r="R381" s="1"/>
      <c r="S381" s="1"/>
      <c r="T381" s="1"/>
      <c r="U381" s="2"/>
      <c r="V381" s="1"/>
      <c r="W381" s="1"/>
      <c r="X381" s="1"/>
      <c r="Y381" s="1"/>
      <c r="Z381" s="1"/>
    </row>
    <row r="382" spans="1:26" ht="39.75" customHeight="1">
      <c r="A382" s="1"/>
      <c r="B382" s="1"/>
      <c r="C382" s="1"/>
      <c r="D382" s="1"/>
      <c r="E382" s="1"/>
      <c r="F382" s="1"/>
      <c r="G382" s="1"/>
      <c r="H382" s="1"/>
      <c r="I382" s="1"/>
      <c r="J382" s="1"/>
      <c r="K382" s="1"/>
      <c r="L382" s="1"/>
      <c r="M382" s="1"/>
      <c r="N382" s="1"/>
      <c r="O382" s="1"/>
      <c r="P382" s="1"/>
      <c r="Q382" s="1"/>
      <c r="R382" s="1"/>
      <c r="S382" s="1"/>
      <c r="T382" s="1"/>
      <c r="U382" s="2"/>
      <c r="V382" s="1"/>
      <c r="W382" s="1"/>
      <c r="X382" s="1"/>
      <c r="Y382" s="1"/>
      <c r="Z382" s="1"/>
    </row>
    <row r="383" spans="1:26" ht="39.75" customHeight="1">
      <c r="A383" s="1"/>
      <c r="B383" s="1"/>
      <c r="C383" s="1"/>
      <c r="D383" s="1"/>
      <c r="E383" s="1"/>
      <c r="F383" s="1"/>
      <c r="G383" s="1"/>
      <c r="H383" s="1"/>
      <c r="I383" s="1"/>
      <c r="J383" s="1"/>
      <c r="K383" s="1"/>
      <c r="L383" s="1"/>
      <c r="M383" s="1"/>
      <c r="N383" s="1"/>
      <c r="O383" s="1"/>
      <c r="P383" s="1"/>
      <c r="Q383" s="1"/>
      <c r="R383" s="1"/>
      <c r="S383" s="1"/>
      <c r="T383" s="1"/>
      <c r="U383" s="2"/>
      <c r="V383" s="1"/>
      <c r="W383" s="1"/>
      <c r="X383" s="1"/>
      <c r="Y383" s="1"/>
      <c r="Z383" s="1"/>
    </row>
    <row r="384" spans="1:26" ht="39.75" customHeight="1">
      <c r="A384" s="1"/>
      <c r="B384" s="1"/>
      <c r="C384" s="1"/>
      <c r="D384" s="1"/>
      <c r="E384" s="1"/>
      <c r="F384" s="1"/>
      <c r="G384" s="1"/>
      <c r="H384" s="1"/>
      <c r="I384" s="1"/>
      <c r="J384" s="1"/>
      <c r="K384" s="1"/>
      <c r="L384" s="1"/>
      <c r="M384" s="1"/>
      <c r="N384" s="1"/>
      <c r="O384" s="1"/>
      <c r="P384" s="1"/>
      <c r="Q384" s="1"/>
      <c r="R384" s="1"/>
      <c r="S384" s="1"/>
      <c r="T384" s="1"/>
      <c r="U384" s="2"/>
      <c r="V384" s="1"/>
      <c r="W384" s="1"/>
      <c r="X384" s="1"/>
      <c r="Y384" s="1"/>
      <c r="Z384" s="1"/>
    </row>
    <row r="385" spans="1:26" ht="39.75" customHeight="1">
      <c r="A385" s="1"/>
      <c r="B385" s="1"/>
      <c r="C385" s="1"/>
      <c r="D385" s="1"/>
      <c r="E385" s="1"/>
      <c r="F385" s="1"/>
      <c r="G385" s="1"/>
      <c r="H385" s="1"/>
      <c r="I385" s="1"/>
      <c r="J385" s="1"/>
      <c r="K385" s="1"/>
      <c r="L385" s="1"/>
      <c r="M385" s="1"/>
      <c r="N385" s="1"/>
      <c r="O385" s="1"/>
      <c r="P385" s="1"/>
      <c r="Q385" s="1"/>
      <c r="R385" s="1"/>
      <c r="S385" s="1"/>
      <c r="T385" s="1"/>
      <c r="U385" s="2"/>
      <c r="V385" s="1"/>
      <c r="W385" s="1"/>
      <c r="X385" s="1"/>
      <c r="Y385" s="1"/>
      <c r="Z385" s="1"/>
    </row>
    <row r="386" spans="1:26" ht="39.75" customHeight="1">
      <c r="A386" s="1"/>
      <c r="B386" s="1"/>
      <c r="C386" s="1"/>
      <c r="D386" s="1"/>
      <c r="E386" s="1"/>
      <c r="F386" s="1"/>
      <c r="G386" s="1"/>
      <c r="H386" s="1"/>
      <c r="I386" s="1"/>
      <c r="J386" s="1"/>
      <c r="K386" s="1"/>
      <c r="L386" s="1"/>
      <c r="M386" s="1"/>
      <c r="N386" s="1"/>
      <c r="O386" s="1"/>
      <c r="P386" s="1"/>
      <c r="Q386" s="1"/>
      <c r="R386" s="1"/>
      <c r="S386" s="1"/>
      <c r="T386" s="1"/>
      <c r="U386" s="2"/>
      <c r="V386" s="1"/>
      <c r="W386" s="1"/>
      <c r="X386" s="1"/>
      <c r="Y386" s="1"/>
      <c r="Z386" s="1"/>
    </row>
    <row r="387" spans="1:26" ht="39.75" customHeight="1">
      <c r="A387" s="1"/>
      <c r="B387" s="1"/>
      <c r="C387" s="1"/>
      <c r="D387" s="1"/>
      <c r="E387" s="1"/>
      <c r="F387" s="1"/>
      <c r="G387" s="1"/>
      <c r="H387" s="1"/>
      <c r="I387" s="1"/>
      <c r="J387" s="1"/>
      <c r="K387" s="1"/>
      <c r="L387" s="1"/>
      <c r="M387" s="1"/>
      <c r="N387" s="1"/>
      <c r="O387" s="1"/>
      <c r="P387" s="1"/>
      <c r="Q387" s="1"/>
      <c r="R387" s="1"/>
      <c r="S387" s="1"/>
      <c r="T387" s="1"/>
      <c r="U387" s="2"/>
      <c r="V387" s="1"/>
      <c r="W387" s="1"/>
      <c r="X387" s="1"/>
      <c r="Y387" s="1"/>
      <c r="Z387" s="1"/>
    </row>
    <row r="388" spans="1:26" ht="39.75" customHeight="1">
      <c r="A388" s="1"/>
      <c r="B388" s="1"/>
      <c r="C388" s="1"/>
      <c r="D388" s="1"/>
      <c r="E388" s="1"/>
      <c r="F388" s="1"/>
      <c r="G388" s="1"/>
      <c r="H388" s="1"/>
      <c r="I388" s="1"/>
      <c r="J388" s="1"/>
      <c r="K388" s="1"/>
      <c r="L388" s="1"/>
      <c r="M388" s="1"/>
      <c r="N388" s="1"/>
      <c r="O388" s="1"/>
      <c r="P388" s="1"/>
      <c r="Q388" s="1"/>
      <c r="R388" s="1"/>
      <c r="S388" s="1"/>
      <c r="T388" s="1"/>
      <c r="U388" s="2"/>
      <c r="V388" s="1"/>
      <c r="W388" s="1"/>
      <c r="X388" s="1"/>
      <c r="Y388" s="1"/>
      <c r="Z388" s="1"/>
    </row>
    <row r="389" spans="1:26" ht="39.75" customHeight="1">
      <c r="A389" s="1"/>
      <c r="B389" s="1"/>
      <c r="C389" s="1"/>
      <c r="D389" s="1"/>
      <c r="E389" s="1"/>
      <c r="F389" s="1"/>
      <c r="G389" s="1"/>
      <c r="H389" s="1"/>
      <c r="I389" s="1"/>
      <c r="J389" s="1"/>
      <c r="K389" s="1"/>
      <c r="L389" s="1"/>
      <c r="M389" s="1"/>
      <c r="N389" s="1"/>
      <c r="O389" s="1"/>
      <c r="P389" s="1"/>
      <c r="Q389" s="1"/>
      <c r="R389" s="1"/>
      <c r="S389" s="1"/>
      <c r="T389" s="1"/>
      <c r="U389" s="2"/>
      <c r="V389" s="1"/>
      <c r="W389" s="1"/>
      <c r="X389" s="1"/>
      <c r="Y389" s="1"/>
      <c r="Z389" s="1"/>
    </row>
    <row r="390" spans="1:26" ht="39.75" customHeight="1">
      <c r="A390" s="1"/>
      <c r="B390" s="1"/>
      <c r="C390" s="1"/>
      <c r="D390" s="1"/>
      <c r="E390" s="1"/>
      <c r="F390" s="1"/>
      <c r="G390" s="1"/>
      <c r="H390" s="1"/>
      <c r="I390" s="1"/>
      <c r="J390" s="1"/>
      <c r="K390" s="1"/>
      <c r="L390" s="1"/>
      <c r="M390" s="1"/>
      <c r="N390" s="1"/>
      <c r="O390" s="1"/>
      <c r="P390" s="1"/>
      <c r="Q390" s="1"/>
      <c r="R390" s="1"/>
      <c r="S390" s="1"/>
      <c r="T390" s="1"/>
      <c r="U390" s="2"/>
      <c r="V390" s="1"/>
      <c r="W390" s="1"/>
      <c r="X390" s="1"/>
      <c r="Y390" s="1"/>
      <c r="Z390" s="1"/>
    </row>
    <row r="391" spans="1:26" ht="39.75" customHeight="1">
      <c r="A391" s="1"/>
      <c r="B391" s="1"/>
      <c r="C391" s="1"/>
      <c r="D391" s="1"/>
      <c r="E391" s="1"/>
      <c r="F391" s="1"/>
      <c r="G391" s="1"/>
      <c r="H391" s="1"/>
      <c r="I391" s="1"/>
      <c r="J391" s="1"/>
      <c r="K391" s="1"/>
      <c r="L391" s="1"/>
      <c r="M391" s="1"/>
      <c r="N391" s="1"/>
      <c r="O391" s="1"/>
      <c r="P391" s="1"/>
      <c r="Q391" s="1"/>
      <c r="R391" s="1"/>
      <c r="S391" s="1"/>
      <c r="T391" s="1"/>
      <c r="U391" s="2"/>
      <c r="V391" s="1"/>
      <c r="W391" s="1"/>
      <c r="X391" s="1"/>
      <c r="Y391" s="1"/>
      <c r="Z391" s="1"/>
    </row>
    <row r="392" spans="1:26" ht="39.75" customHeight="1">
      <c r="A392" s="1"/>
      <c r="B392" s="1"/>
      <c r="C392" s="1"/>
      <c r="D392" s="1"/>
      <c r="E392" s="1"/>
      <c r="F392" s="1"/>
      <c r="G392" s="1"/>
      <c r="H392" s="1"/>
      <c r="I392" s="1"/>
      <c r="J392" s="1"/>
      <c r="K392" s="1"/>
      <c r="L392" s="1"/>
      <c r="M392" s="1"/>
      <c r="N392" s="1"/>
      <c r="O392" s="1"/>
      <c r="P392" s="1"/>
      <c r="Q392" s="1"/>
      <c r="R392" s="1"/>
      <c r="S392" s="1"/>
      <c r="T392" s="1"/>
      <c r="U392" s="2"/>
      <c r="V392" s="1"/>
      <c r="W392" s="1"/>
      <c r="X392" s="1"/>
      <c r="Y392" s="1"/>
      <c r="Z392" s="1"/>
    </row>
    <row r="393" spans="1:26" ht="39.75" customHeight="1">
      <c r="A393" s="1"/>
      <c r="B393" s="1"/>
      <c r="C393" s="1"/>
      <c r="D393" s="1"/>
      <c r="E393" s="1"/>
      <c r="F393" s="1"/>
      <c r="G393" s="1"/>
      <c r="H393" s="1"/>
      <c r="I393" s="1"/>
      <c r="J393" s="1"/>
      <c r="K393" s="1"/>
      <c r="L393" s="1"/>
      <c r="M393" s="1"/>
      <c r="N393" s="1"/>
      <c r="O393" s="1"/>
      <c r="P393" s="1"/>
      <c r="Q393" s="1"/>
      <c r="R393" s="1"/>
      <c r="S393" s="1"/>
      <c r="T393" s="1"/>
      <c r="U393" s="2"/>
      <c r="V393" s="1"/>
      <c r="W393" s="1"/>
      <c r="X393" s="1"/>
      <c r="Y393" s="1"/>
      <c r="Z393" s="1"/>
    </row>
    <row r="394" spans="1:26" ht="39.75" customHeight="1">
      <c r="A394" s="1"/>
      <c r="B394" s="1"/>
      <c r="C394" s="1"/>
      <c r="D394" s="1"/>
      <c r="E394" s="1"/>
      <c r="F394" s="1"/>
      <c r="G394" s="1"/>
      <c r="H394" s="1"/>
      <c r="I394" s="1"/>
      <c r="J394" s="1"/>
      <c r="K394" s="1"/>
      <c r="L394" s="1"/>
      <c r="M394" s="1"/>
      <c r="N394" s="1"/>
      <c r="O394" s="1"/>
      <c r="P394" s="1"/>
      <c r="Q394" s="1"/>
      <c r="R394" s="1"/>
      <c r="S394" s="1"/>
      <c r="T394" s="1"/>
      <c r="U394" s="2"/>
      <c r="V394" s="1"/>
      <c r="W394" s="1"/>
      <c r="X394" s="1"/>
      <c r="Y394" s="1"/>
      <c r="Z394" s="1"/>
    </row>
    <row r="395" spans="1:26" ht="39.75" customHeight="1">
      <c r="A395" s="1"/>
      <c r="B395" s="1"/>
      <c r="C395" s="1"/>
      <c r="D395" s="1"/>
      <c r="E395" s="1"/>
      <c r="F395" s="1"/>
      <c r="G395" s="1"/>
      <c r="H395" s="1"/>
      <c r="I395" s="1"/>
      <c r="J395" s="1"/>
      <c r="K395" s="1"/>
      <c r="L395" s="1"/>
      <c r="M395" s="1"/>
      <c r="N395" s="1"/>
      <c r="O395" s="1"/>
      <c r="P395" s="1"/>
      <c r="Q395" s="1"/>
      <c r="R395" s="1"/>
      <c r="S395" s="1"/>
      <c r="T395" s="1"/>
      <c r="U395" s="2"/>
      <c r="V395" s="1"/>
      <c r="W395" s="1"/>
      <c r="X395" s="1"/>
      <c r="Y395" s="1"/>
      <c r="Z395" s="1"/>
    </row>
    <row r="396" spans="1:26" ht="39.75" customHeight="1">
      <c r="A396" s="1"/>
      <c r="B396" s="1"/>
      <c r="C396" s="1"/>
      <c r="D396" s="1"/>
      <c r="E396" s="1"/>
      <c r="F396" s="1"/>
      <c r="G396" s="1"/>
      <c r="H396" s="1"/>
      <c r="I396" s="1"/>
      <c r="J396" s="1"/>
      <c r="K396" s="1"/>
      <c r="L396" s="1"/>
      <c r="M396" s="1"/>
      <c r="N396" s="1"/>
      <c r="O396" s="1"/>
      <c r="P396" s="1"/>
      <c r="Q396" s="1"/>
      <c r="R396" s="1"/>
      <c r="S396" s="1"/>
      <c r="T396" s="1"/>
      <c r="U396" s="2"/>
      <c r="V396" s="1"/>
      <c r="W396" s="1"/>
      <c r="X396" s="1"/>
      <c r="Y396" s="1"/>
      <c r="Z396" s="1"/>
    </row>
    <row r="397" spans="1:26" ht="39.75" customHeight="1">
      <c r="A397" s="1"/>
      <c r="B397" s="1"/>
      <c r="C397" s="1"/>
      <c r="D397" s="1"/>
      <c r="E397" s="1"/>
      <c r="F397" s="1"/>
      <c r="G397" s="1"/>
      <c r="H397" s="1"/>
      <c r="I397" s="1"/>
      <c r="J397" s="1"/>
      <c r="K397" s="1"/>
      <c r="L397" s="1"/>
      <c r="M397" s="1"/>
      <c r="N397" s="1"/>
      <c r="O397" s="1"/>
      <c r="P397" s="1"/>
      <c r="Q397" s="1"/>
      <c r="R397" s="1"/>
      <c r="S397" s="1"/>
      <c r="T397" s="1"/>
      <c r="U397" s="2"/>
      <c r="V397" s="1"/>
      <c r="W397" s="1"/>
      <c r="X397" s="1"/>
      <c r="Y397" s="1"/>
      <c r="Z397" s="1"/>
    </row>
    <row r="398" spans="1:26" ht="39.75" customHeight="1">
      <c r="A398" s="1"/>
      <c r="B398" s="1"/>
      <c r="C398" s="1"/>
      <c r="D398" s="1"/>
      <c r="E398" s="1"/>
      <c r="F398" s="1"/>
      <c r="G398" s="1"/>
      <c r="H398" s="1"/>
      <c r="I398" s="1"/>
      <c r="J398" s="1"/>
      <c r="K398" s="1"/>
      <c r="L398" s="1"/>
      <c r="M398" s="1"/>
      <c r="N398" s="1"/>
      <c r="O398" s="1"/>
      <c r="P398" s="1"/>
      <c r="Q398" s="1"/>
      <c r="R398" s="1"/>
      <c r="S398" s="1"/>
      <c r="T398" s="1"/>
      <c r="U398" s="2"/>
      <c r="V398" s="1"/>
      <c r="W398" s="1"/>
      <c r="X398" s="1"/>
      <c r="Y398" s="1"/>
      <c r="Z398" s="1"/>
    </row>
    <row r="399" spans="1:26" ht="39.75" customHeight="1">
      <c r="A399" s="1"/>
      <c r="B399" s="1"/>
      <c r="C399" s="1"/>
      <c r="D399" s="1"/>
      <c r="E399" s="1"/>
      <c r="F399" s="1"/>
      <c r="G399" s="1"/>
      <c r="H399" s="1"/>
      <c r="I399" s="1"/>
      <c r="J399" s="1"/>
      <c r="K399" s="1"/>
      <c r="L399" s="1"/>
      <c r="M399" s="1"/>
      <c r="N399" s="1"/>
      <c r="O399" s="1"/>
      <c r="P399" s="1"/>
      <c r="Q399" s="1"/>
      <c r="R399" s="1"/>
      <c r="S399" s="1"/>
      <c r="T399" s="1"/>
      <c r="U399" s="2"/>
      <c r="V399" s="1"/>
      <c r="W399" s="1"/>
      <c r="X399" s="1"/>
      <c r="Y399" s="1"/>
      <c r="Z399" s="1"/>
    </row>
    <row r="400" spans="1:26" ht="39.75" customHeight="1">
      <c r="A400" s="1"/>
      <c r="B400" s="1"/>
      <c r="C400" s="1"/>
      <c r="D400" s="1"/>
      <c r="E400" s="1"/>
      <c r="F400" s="1"/>
      <c r="G400" s="1"/>
      <c r="H400" s="1"/>
      <c r="I400" s="1"/>
      <c r="J400" s="1"/>
      <c r="K400" s="1"/>
      <c r="L400" s="1"/>
      <c r="M400" s="1"/>
      <c r="N400" s="1"/>
      <c r="O400" s="1"/>
      <c r="P400" s="1"/>
      <c r="Q400" s="1"/>
      <c r="R400" s="1"/>
      <c r="S400" s="1"/>
      <c r="T400" s="1"/>
      <c r="U400" s="2"/>
      <c r="V400" s="1"/>
      <c r="W400" s="1"/>
      <c r="X400" s="1"/>
      <c r="Y400" s="1"/>
      <c r="Z400" s="1"/>
    </row>
    <row r="401" spans="1:26" ht="39.75" customHeight="1">
      <c r="A401" s="1"/>
      <c r="B401" s="1"/>
      <c r="C401" s="1"/>
      <c r="D401" s="1"/>
      <c r="E401" s="1"/>
      <c r="F401" s="1"/>
      <c r="G401" s="1"/>
      <c r="H401" s="1"/>
      <c r="I401" s="1"/>
      <c r="J401" s="1"/>
      <c r="K401" s="1"/>
      <c r="L401" s="1"/>
      <c r="M401" s="1"/>
      <c r="N401" s="1"/>
      <c r="O401" s="1"/>
      <c r="P401" s="1"/>
      <c r="Q401" s="1"/>
      <c r="R401" s="1"/>
      <c r="S401" s="1"/>
      <c r="T401" s="1"/>
      <c r="U401" s="2"/>
      <c r="V401" s="1"/>
      <c r="W401" s="1"/>
      <c r="X401" s="1"/>
      <c r="Y401" s="1"/>
      <c r="Z401" s="1"/>
    </row>
    <row r="402" spans="1:26" ht="39.75" customHeight="1">
      <c r="A402" s="1"/>
      <c r="B402" s="1"/>
      <c r="C402" s="1"/>
      <c r="D402" s="1"/>
      <c r="E402" s="1"/>
      <c r="F402" s="1"/>
      <c r="G402" s="1"/>
      <c r="H402" s="1"/>
      <c r="I402" s="1"/>
      <c r="J402" s="1"/>
      <c r="K402" s="1"/>
      <c r="L402" s="1"/>
      <c r="M402" s="1"/>
      <c r="N402" s="1"/>
      <c r="O402" s="1"/>
      <c r="P402" s="1"/>
      <c r="Q402" s="1"/>
      <c r="R402" s="1"/>
      <c r="S402" s="1"/>
      <c r="T402" s="1"/>
      <c r="U402" s="2"/>
      <c r="V402" s="1"/>
      <c r="W402" s="1"/>
      <c r="X402" s="1"/>
      <c r="Y402" s="1"/>
      <c r="Z402" s="1"/>
    </row>
    <row r="403" spans="1:26" ht="39.75" customHeight="1">
      <c r="A403" s="1"/>
      <c r="B403" s="1"/>
      <c r="C403" s="1"/>
      <c r="D403" s="1"/>
      <c r="E403" s="1"/>
      <c r="F403" s="1"/>
      <c r="G403" s="1"/>
      <c r="H403" s="1"/>
      <c r="I403" s="1"/>
      <c r="J403" s="1"/>
      <c r="K403" s="1"/>
      <c r="L403" s="1"/>
      <c r="M403" s="1"/>
      <c r="N403" s="1"/>
      <c r="O403" s="1"/>
      <c r="P403" s="1"/>
      <c r="Q403" s="1"/>
      <c r="R403" s="1"/>
      <c r="S403" s="1"/>
      <c r="T403" s="1"/>
      <c r="U403" s="2"/>
      <c r="V403" s="1"/>
      <c r="W403" s="1"/>
      <c r="X403" s="1"/>
      <c r="Y403" s="1"/>
      <c r="Z403" s="1"/>
    </row>
    <row r="404" spans="1:26" ht="39.75" customHeight="1">
      <c r="A404" s="1"/>
      <c r="B404" s="1"/>
      <c r="C404" s="1"/>
      <c r="D404" s="1"/>
      <c r="E404" s="1"/>
      <c r="F404" s="1"/>
      <c r="G404" s="1"/>
      <c r="H404" s="1"/>
      <c r="I404" s="1"/>
      <c r="J404" s="1"/>
      <c r="K404" s="1"/>
      <c r="L404" s="1"/>
      <c r="M404" s="1"/>
      <c r="N404" s="1"/>
      <c r="O404" s="1"/>
      <c r="P404" s="1"/>
      <c r="Q404" s="1"/>
      <c r="R404" s="1"/>
      <c r="S404" s="1"/>
      <c r="T404" s="1"/>
      <c r="U404" s="2"/>
      <c r="V404" s="1"/>
      <c r="W404" s="1"/>
      <c r="X404" s="1"/>
      <c r="Y404" s="1"/>
      <c r="Z404" s="1"/>
    </row>
    <row r="405" spans="1:26" ht="39.75" customHeight="1">
      <c r="A405" s="1"/>
      <c r="B405" s="1"/>
      <c r="C405" s="1"/>
      <c r="D405" s="1"/>
      <c r="E405" s="1"/>
      <c r="F405" s="1"/>
      <c r="G405" s="1"/>
      <c r="H405" s="1"/>
      <c r="I405" s="1"/>
      <c r="J405" s="1"/>
      <c r="K405" s="1"/>
      <c r="L405" s="1"/>
      <c r="M405" s="1"/>
      <c r="N405" s="1"/>
      <c r="O405" s="1"/>
      <c r="P405" s="1"/>
      <c r="Q405" s="1"/>
      <c r="R405" s="1"/>
      <c r="S405" s="1"/>
      <c r="T405" s="1"/>
      <c r="U405" s="2"/>
      <c r="V405" s="1"/>
      <c r="W405" s="1"/>
      <c r="X405" s="1"/>
      <c r="Y405" s="1"/>
      <c r="Z405" s="1"/>
    </row>
    <row r="406" spans="1:26" ht="39.75" customHeight="1">
      <c r="A406" s="1"/>
      <c r="B406" s="1"/>
      <c r="C406" s="1"/>
      <c r="D406" s="1"/>
      <c r="E406" s="1"/>
      <c r="F406" s="1"/>
      <c r="G406" s="1"/>
      <c r="H406" s="1"/>
      <c r="I406" s="1"/>
      <c r="J406" s="1"/>
      <c r="K406" s="1"/>
      <c r="L406" s="1"/>
      <c r="M406" s="1"/>
      <c r="N406" s="1"/>
      <c r="O406" s="1"/>
      <c r="P406" s="1"/>
      <c r="Q406" s="1"/>
      <c r="R406" s="1"/>
      <c r="S406" s="1"/>
      <c r="T406" s="1"/>
      <c r="U406" s="2"/>
      <c r="V406" s="1"/>
      <c r="W406" s="1"/>
      <c r="X406" s="1"/>
      <c r="Y406" s="1"/>
      <c r="Z406" s="1"/>
    </row>
    <row r="407" spans="1:26" ht="39.75" customHeight="1">
      <c r="A407" s="1"/>
      <c r="B407" s="1"/>
      <c r="C407" s="1"/>
      <c r="D407" s="1"/>
      <c r="E407" s="1"/>
      <c r="F407" s="1"/>
      <c r="G407" s="1"/>
      <c r="H407" s="1"/>
      <c r="I407" s="1"/>
      <c r="J407" s="1"/>
      <c r="K407" s="1"/>
      <c r="L407" s="1"/>
      <c r="M407" s="1"/>
      <c r="N407" s="1"/>
      <c r="O407" s="1"/>
      <c r="P407" s="1"/>
      <c r="Q407" s="1"/>
      <c r="R407" s="1"/>
      <c r="S407" s="1"/>
      <c r="T407" s="1"/>
      <c r="U407" s="2"/>
      <c r="V407" s="1"/>
      <c r="W407" s="1"/>
      <c r="X407" s="1"/>
      <c r="Y407" s="1"/>
      <c r="Z407" s="1"/>
    </row>
    <row r="408" spans="1:26" ht="39.75" customHeight="1">
      <c r="A408" s="1"/>
      <c r="B408" s="1"/>
      <c r="C408" s="1"/>
      <c r="D408" s="1"/>
      <c r="E408" s="1"/>
      <c r="F408" s="1"/>
      <c r="G408" s="1"/>
      <c r="H408" s="1"/>
      <c r="I408" s="1"/>
      <c r="J408" s="1"/>
      <c r="K408" s="1"/>
      <c r="L408" s="1"/>
      <c r="M408" s="1"/>
      <c r="N408" s="1"/>
      <c r="O408" s="1"/>
      <c r="P408" s="1"/>
      <c r="Q408" s="1"/>
      <c r="R408" s="1"/>
      <c r="S408" s="1"/>
      <c r="T408" s="1"/>
      <c r="U408" s="2"/>
      <c r="V408" s="1"/>
      <c r="W408" s="1"/>
      <c r="X408" s="1"/>
      <c r="Y408" s="1"/>
      <c r="Z408" s="1"/>
    </row>
    <row r="409" spans="1:26" ht="39.75" customHeight="1">
      <c r="A409" s="1"/>
      <c r="B409" s="1"/>
      <c r="C409" s="1"/>
      <c r="D409" s="1"/>
      <c r="E409" s="1"/>
      <c r="F409" s="1"/>
      <c r="G409" s="1"/>
      <c r="H409" s="1"/>
      <c r="I409" s="1"/>
      <c r="J409" s="1"/>
      <c r="K409" s="1"/>
      <c r="L409" s="1"/>
      <c r="M409" s="1"/>
      <c r="N409" s="1"/>
      <c r="O409" s="1"/>
      <c r="P409" s="1"/>
      <c r="Q409" s="1"/>
      <c r="R409" s="1"/>
      <c r="S409" s="1"/>
      <c r="T409" s="1"/>
      <c r="U409" s="2"/>
      <c r="V409" s="1"/>
      <c r="W409" s="1"/>
      <c r="X409" s="1"/>
      <c r="Y409" s="1"/>
      <c r="Z409" s="1"/>
    </row>
    <row r="410" spans="1:26" ht="39.75" customHeight="1">
      <c r="A410" s="1"/>
      <c r="B410" s="1"/>
      <c r="C410" s="1"/>
      <c r="D410" s="1"/>
      <c r="E410" s="1"/>
      <c r="F410" s="1"/>
      <c r="G410" s="1"/>
      <c r="H410" s="1"/>
      <c r="I410" s="1"/>
      <c r="J410" s="1"/>
      <c r="K410" s="1"/>
      <c r="L410" s="1"/>
      <c r="M410" s="1"/>
      <c r="N410" s="1"/>
      <c r="O410" s="1"/>
      <c r="P410" s="1"/>
      <c r="Q410" s="1"/>
      <c r="R410" s="1"/>
      <c r="S410" s="1"/>
      <c r="T410" s="1"/>
      <c r="U410" s="2"/>
      <c r="V410" s="1"/>
      <c r="W410" s="1"/>
      <c r="X410" s="1"/>
      <c r="Y410" s="1"/>
      <c r="Z410" s="1"/>
    </row>
    <row r="411" spans="1:26" ht="39.75" customHeight="1">
      <c r="A411" s="1"/>
      <c r="B411" s="1"/>
      <c r="C411" s="1"/>
      <c r="D411" s="1"/>
      <c r="E411" s="1"/>
      <c r="F411" s="1"/>
      <c r="G411" s="1"/>
      <c r="H411" s="1"/>
      <c r="I411" s="1"/>
      <c r="J411" s="1"/>
      <c r="K411" s="1"/>
      <c r="L411" s="1"/>
      <c r="M411" s="1"/>
      <c r="N411" s="1"/>
      <c r="O411" s="1"/>
      <c r="P411" s="1"/>
      <c r="Q411" s="1"/>
      <c r="R411" s="1"/>
      <c r="S411" s="1"/>
      <c r="T411" s="1"/>
      <c r="U411" s="2"/>
      <c r="V411" s="1"/>
      <c r="W411" s="1"/>
      <c r="X411" s="1"/>
      <c r="Y411" s="1"/>
      <c r="Z411" s="1"/>
    </row>
    <row r="412" spans="1:26" ht="39.75" customHeight="1">
      <c r="A412" s="1"/>
      <c r="B412" s="1"/>
      <c r="C412" s="1"/>
      <c r="D412" s="1"/>
      <c r="E412" s="1"/>
      <c r="F412" s="1"/>
      <c r="G412" s="1"/>
      <c r="H412" s="1"/>
      <c r="I412" s="1"/>
      <c r="J412" s="1"/>
      <c r="K412" s="1"/>
      <c r="L412" s="1"/>
      <c r="M412" s="1"/>
      <c r="N412" s="1"/>
      <c r="O412" s="1"/>
      <c r="P412" s="1"/>
      <c r="Q412" s="1"/>
      <c r="R412" s="1"/>
      <c r="S412" s="1"/>
      <c r="T412" s="1"/>
      <c r="U412" s="2"/>
      <c r="V412" s="1"/>
      <c r="W412" s="1"/>
      <c r="X412" s="1"/>
      <c r="Y412" s="1"/>
      <c r="Z412" s="1"/>
    </row>
    <row r="413" spans="1:26" ht="39.75" customHeight="1">
      <c r="A413" s="1"/>
      <c r="B413" s="1"/>
      <c r="C413" s="1"/>
      <c r="D413" s="1"/>
      <c r="E413" s="1"/>
      <c r="F413" s="1"/>
      <c r="G413" s="1"/>
      <c r="H413" s="1"/>
      <c r="I413" s="1"/>
      <c r="J413" s="1"/>
      <c r="K413" s="1"/>
      <c r="L413" s="1"/>
      <c r="M413" s="1"/>
      <c r="N413" s="1"/>
      <c r="O413" s="1"/>
      <c r="P413" s="1"/>
      <c r="Q413" s="1"/>
      <c r="R413" s="1"/>
      <c r="S413" s="1"/>
      <c r="T413" s="1"/>
      <c r="U413" s="2"/>
      <c r="V413" s="1"/>
      <c r="W413" s="1"/>
      <c r="X413" s="1"/>
      <c r="Y413" s="1"/>
      <c r="Z413" s="1"/>
    </row>
    <row r="414" spans="1:26" ht="39.75" customHeight="1">
      <c r="A414" s="1"/>
      <c r="B414" s="1"/>
      <c r="C414" s="1"/>
      <c r="D414" s="1"/>
      <c r="E414" s="1"/>
      <c r="F414" s="1"/>
      <c r="G414" s="1"/>
      <c r="H414" s="1"/>
      <c r="I414" s="1"/>
      <c r="J414" s="1"/>
      <c r="K414" s="1"/>
      <c r="L414" s="1"/>
      <c r="M414" s="1"/>
      <c r="N414" s="1"/>
      <c r="O414" s="1"/>
      <c r="P414" s="1"/>
      <c r="Q414" s="1"/>
      <c r="R414" s="1"/>
      <c r="S414" s="1"/>
      <c r="T414" s="1"/>
      <c r="U414" s="2"/>
      <c r="V414" s="1"/>
      <c r="W414" s="1"/>
      <c r="X414" s="1"/>
      <c r="Y414" s="1"/>
      <c r="Z414" s="1"/>
    </row>
    <row r="415" spans="1:26" ht="39.75" customHeight="1">
      <c r="A415" s="1"/>
      <c r="B415" s="1"/>
      <c r="C415" s="1"/>
      <c r="D415" s="1"/>
      <c r="E415" s="1"/>
      <c r="F415" s="1"/>
      <c r="G415" s="1"/>
      <c r="H415" s="1"/>
      <c r="I415" s="1"/>
      <c r="J415" s="1"/>
      <c r="K415" s="1"/>
      <c r="L415" s="1"/>
      <c r="M415" s="1"/>
      <c r="N415" s="1"/>
      <c r="O415" s="1"/>
      <c r="P415" s="1"/>
      <c r="Q415" s="1"/>
      <c r="R415" s="1"/>
      <c r="S415" s="1"/>
      <c r="T415" s="1"/>
      <c r="U415" s="2"/>
      <c r="V415" s="1"/>
      <c r="W415" s="1"/>
      <c r="X415" s="1"/>
      <c r="Y415" s="1"/>
      <c r="Z415" s="1"/>
    </row>
    <row r="416" spans="1:26" ht="39.75" customHeight="1">
      <c r="A416" s="1"/>
      <c r="B416" s="1"/>
      <c r="C416" s="1"/>
      <c r="D416" s="1"/>
      <c r="E416" s="1"/>
      <c r="F416" s="1"/>
      <c r="G416" s="1"/>
      <c r="H416" s="1"/>
      <c r="I416" s="1"/>
      <c r="J416" s="1"/>
      <c r="K416" s="1"/>
      <c r="L416" s="1"/>
      <c r="M416" s="1"/>
      <c r="N416" s="1"/>
      <c r="O416" s="1"/>
      <c r="P416" s="1"/>
      <c r="Q416" s="1"/>
      <c r="R416" s="1"/>
      <c r="S416" s="1"/>
      <c r="T416" s="1"/>
      <c r="U416" s="2"/>
      <c r="V416" s="1"/>
      <c r="W416" s="1"/>
      <c r="X416" s="1"/>
      <c r="Y416" s="1"/>
      <c r="Z416" s="1"/>
    </row>
    <row r="417" spans="1:26" ht="39.75" customHeight="1">
      <c r="A417" s="1"/>
      <c r="B417" s="1"/>
      <c r="C417" s="1"/>
      <c r="D417" s="1"/>
      <c r="E417" s="1"/>
      <c r="F417" s="1"/>
      <c r="G417" s="1"/>
      <c r="H417" s="1"/>
      <c r="I417" s="1"/>
      <c r="J417" s="1"/>
      <c r="K417" s="1"/>
      <c r="L417" s="1"/>
      <c r="M417" s="1"/>
      <c r="N417" s="1"/>
      <c r="O417" s="1"/>
      <c r="P417" s="1"/>
      <c r="Q417" s="1"/>
      <c r="R417" s="1"/>
      <c r="S417" s="1"/>
      <c r="T417" s="1"/>
      <c r="U417" s="2"/>
      <c r="V417" s="1"/>
      <c r="W417" s="1"/>
      <c r="X417" s="1"/>
      <c r="Y417" s="1"/>
      <c r="Z417" s="1"/>
    </row>
    <row r="418" spans="1:26" ht="39.75" customHeight="1">
      <c r="A418" s="1"/>
      <c r="B418" s="1"/>
      <c r="C418" s="1"/>
      <c r="D418" s="1"/>
      <c r="E418" s="1"/>
      <c r="F418" s="1"/>
      <c r="G418" s="1"/>
      <c r="H418" s="1"/>
      <c r="I418" s="1"/>
      <c r="J418" s="1"/>
      <c r="K418" s="1"/>
      <c r="L418" s="1"/>
      <c r="M418" s="1"/>
      <c r="N418" s="1"/>
      <c r="O418" s="1"/>
      <c r="P418" s="1"/>
      <c r="Q418" s="1"/>
      <c r="R418" s="1"/>
      <c r="S418" s="1"/>
      <c r="T418" s="1"/>
      <c r="U418" s="2"/>
      <c r="V418" s="1"/>
      <c r="W418" s="1"/>
      <c r="X418" s="1"/>
      <c r="Y418" s="1"/>
      <c r="Z418" s="1"/>
    </row>
    <row r="419" spans="1:26" ht="39.75" customHeight="1">
      <c r="A419" s="1"/>
      <c r="B419" s="1"/>
      <c r="C419" s="1"/>
      <c r="D419" s="1"/>
      <c r="E419" s="1"/>
      <c r="F419" s="1"/>
      <c r="G419" s="1"/>
      <c r="H419" s="1"/>
      <c r="I419" s="1"/>
      <c r="J419" s="1"/>
      <c r="K419" s="1"/>
      <c r="L419" s="1"/>
      <c r="M419" s="1"/>
      <c r="N419" s="1"/>
      <c r="O419" s="1"/>
      <c r="P419" s="1"/>
      <c r="Q419" s="1"/>
      <c r="R419" s="1"/>
      <c r="S419" s="1"/>
      <c r="T419" s="1"/>
      <c r="U419" s="2"/>
      <c r="V419" s="1"/>
      <c r="W419" s="1"/>
      <c r="X419" s="1"/>
      <c r="Y419" s="1"/>
      <c r="Z419" s="1"/>
    </row>
    <row r="420" spans="1:26" ht="39.75" customHeight="1">
      <c r="A420" s="1"/>
      <c r="B420" s="1"/>
      <c r="C420" s="1"/>
      <c r="D420" s="1"/>
      <c r="E420" s="1"/>
      <c r="F420" s="1"/>
      <c r="G420" s="1"/>
      <c r="H420" s="1"/>
      <c r="I420" s="1"/>
      <c r="J420" s="1"/>
      <c r="K420" s="1"/>
      <c r="L420" s="1"/>
      <c r="M420" s="1"/>
      <c r="N420" s="1"/>
      <c r="O420" s="1"/>
      <c r="P420" s="1"/>
      <c r="Q420" s="1"/>
      <c r="R420" s="1"/>
      <c r="S420" s="1"/>
      <c r="T420" s="1"/>
      <c r="U420" s="2"/>
      <c r="V420" s="1"/>
      <c r="W420" s="1"/>
      <c r="X420" s="1"/>
      <c r="Y420" s="1"/>
      <c r="Z420" s="1"/>
    </row>
    <row r="421" spans="1:26" ht="39.75" customHeight="1">
      <c r="A421" s="1"/>
      <c r="B421" s="1"/>
      <c r="C421" s="1"/>
      <c r="D421" s="1"/>
      <c r="E421" s="1"/>
      <c r="F421" s="1"/>
      <c r="G421" s="1"/>
      <c r="H421" s="1"/>
      <c r="I421" s="1"/>
      <c r="J421" s="1"/>
      <c r="K421" s="1"/>
      <c r="L421" s="1"/>
      <c r="M421" s="1"/>
      <c r="N421" s="1"/>
      <c r="O421" s="1"/>
      <c r="P421" s="1"/>
      <c r="Q421" s="1"/>
      <c r="R421" s="1"/>
      <c r="S421" s="1"/>
      <c r="T421" s="1"/>
      <c r="U421" s="2"/>
      <c r="V421" s="1"/>
      <c r="W421" s="1"/>
      <c r="X421" s="1"/>
      <c r="Y421" s="1"/>
      <c r="Z421" s="1"/>
    </row>
    <row r="422" spans="1:26" ht="39.75" customHeight="1">
      <c r="A422" s="1"/>
      <c r="B422" s="1"/>
      <c r="C422" s="1"/>
      <c r="D422" s="1"/>
      <c r="E422" s="1"/>
      <c r="F422" s="1"/>
      <c r="G422" s="1"/>
      <c r="H422" s="1"/>
      <c r="I422" s="1"/>
      <c r="J422" s="1"/>
      <c r="K422" s="1"/>
      <c r="L422" s="1"/>
      <c r="M422" s="1"/>
      <c r="N422" s="1"/>
      <c r="O422" s="1"/>
      <c r="P422" s="1"/>
      <c r="Q422" s="1"/>
      <c r="R422" s="1"/>
      <c r="S422" s="1"/>
      <c r="T422" s="1"/>
      <c r="U422" s="2"/>
      <c r="V422" s="1"/>
      <c r="W422" s="1"/>
      <c r="X422" s="1"/>
      <c r="Y422" s="1"/>
      <c r="Z422" s="1"/>
    </row>
    <row r="423" spans="1:26" ht="39.75" customHeight="1">
      <c r="A423" s="1"/>
      <c r="B423" s="1"/>
      <c r="C423" s="1"/>
      <c r="D423" s="1"/>
      <c r="E423" s="1"/>
      <c r="F423" s="1"/>
      <c r="G423" s="1"/>
      <c r="H423" s="1"/>
      <c r="I423" s="1"/>
      <c r="J423" s="1"/>
      <c r="K423" s="1"/>
      <c r="L423" s="1"/>
      <c r="M423" s="1"/>
      <c r="N423" s="1"/>
      <c r="O423" s="1"/>
      <c r="P423" s="1"/>
      <c r="Q423" s="1"/>
      <c r="R423" s="1"/>
      <c r="S423" s="1"/>
      <c r="T423" s="1"/>
      <c r="U423" s="2"/>
      <c r="V423" s="1"/>
      <c r="W423" s="1"/>
      <c r="X423" s="1"/>
      <c r="Y423" s="1"/>
      <c r="Z423" s="1"/>
    </row>
    <row r="424" spans="1:26" ht="39.75" customHeight="1">
      <c r="A424" s="1"/>
      <c r="B424" s="1"/>
      <c r="C424" s="1"/>
      <c r="D424" s="1"/>
      <c r="E424" s="1"/>
      <c r="F424" s="1"/>
      <c r="G424" s="1"/>
      <c r="H424" s="1"/>
      <c r="I424" s="1"/>
      <c r="J424" s="1"/>
      <c r="K424" s="1"/>
      <c r="L424" s="1"/>
      <c r="M424" s="1"/>
      <c r="N424" s="1"/>
      <c r="O424" s="1"/>
      <c r="P424" s="1"/>
      <c r="Q424" s="1"/>
      <c r="R424" s="1"/>
      <c r="S424" s="1"/>
      <c r="T424" s="1"/>
      <c r="U424" s="2"/>
      <c r="V424" s="1"/>
      <c r="W424" s="1"/>
      <c r="X424" s="1"/>
      <c r="Y424" s="1"/>
      <c r="Z424" s="1"/>
    </row>
    <row r="425" spans="1:26" ht="39.75" customHeight="1">
      <c r="A425" s="1"/>
      <c r="B425" s="1"/>
      <c r="C425" s="1"/>
      <c r="D425" s="1"/>
      <c r="E425" s="1"/>
      <c r="F425" s="1"/>
      <c r="G425" s="1"/>
      <c r="H425" s="1"/>
      <c r="I425" s="1"/>
      <c r="J425" s="1"/>
      <c r="K425" s="1"/>
      <c r="L425" s="1"/>
      <c r="M425" s="1"/>
      <c r="N425" s="1"/>
      <c r="O425" s="1"/>
      <c r="P425" s="1"/>
      <c r="Q425" s="1"/>
      <c r="R425" s="1"/>
      <c r="S425" s="1"/>
      <c r="T425" s="1"/>
      <c r="U425" s="2"/>
      <c r="V425" s="1"/>
      <c r="W425" s="1"/>
      <c r="X425" s="1"/>
      <c r="Y425" s="1"/>
      <c r="Z425" s="1"/>
    </row>
    <row r="426" spans="1:26" ht="39.75" customHeight="1">
      <c r="A426" s="1"/>
      <c r="B426" s="1"/>
      <c r="C426" s="1"/>
      <c r="D426" s="1"/>
      <c r="E426" s="1"/>
      <c r="F426" s="1"/>
      <c r="G426" s="1"/>
      <c r="H426" s="1"/>
      <c r="I426" s="1"/>
      <c r="J426" s="1"/>
      <c r="K426" s="1"/>
      <c r="L426" s="1"/>
      <c r="M426" s="1"/>
      <c r="N426" s="1"/>
      <c r="O426" s="1"/>
      <c r="P426" s="1"/>
      <c r="Q426" s="1"/>
      <c r="R426" s="1"/>
      <c r="S426" s="1"/>
      <c r="T426" s="1"/>
      <c r="U426" s="2"/>
      <c r="V426" s="1"/>
      <c r="W426" s="1"/>
      <c r="X426" s="1"/>
      <c r="Y426" s="1"/>
      <c r="Z426" s="1"/>
    </row>
    <row r="427" spans="1:26" ht="39.75" customHeight="1">
      <c r="A427" s="1"/>
      <c r="B427" s="1"/>
      <c r="C427" s="1"/>
      <c r="D427" s="1"/>
      <c r="E427" s="1"/>
      <c r="F427" s="1"/>
      <c r="G427" s="1"/>
      <c r="H427" s="1"/>
      <c r="I427" s="1"/>
      <c r="J427" s="1"/>
      <c r="K427" s="1"/>
      <c r="L427" s="1"/>
      <c r="M427" s="1"/>
      <c r="N427" s="1"/>
      <c r="O427" s="1"/>
      <c r="P427" s="1"/>
      <c r="Q427" s="1"/>
      <c r="R427" s="1"/>
      <c r="S427" s="1"/>
      <c r="T427" s="1"/>
      <c r="U427" s="2"/>
      <c r="V427" s="1"/>
      <c r="W427" s="1"/>
      <c r="X427" s="1"/>
      <c r="Y427" s="1"/>
      <c r="Z427" s="1"/>
    </row>
    <row r="428" spans="1:26" ht="39.75" customHeight="1">
      <c r="A428" s="1"/>
      <c r="B428" s="1"/>
      <c r="C428" s="1"/>
      <c r="D428" s="1"/>
      <c r="E428" s="1"/>
      <c r="F428" s="1"/>
      <c r="G428" s="1"/>
      <c r="H428" s="1"/>
      <c r="I428" s="1"/>
      <c r="J428" s="1"/>
      <c r="K428" s="1"/>
      <c r="L428" s="1"/>
      <c r="M428" s="1"/>
      <c r="N428" s="1"/>
      <c r="O428" s="1"/>
      <c r="P428" s="1"/>
      <c r="Q428" s="1"/>
      <c r="R428" s="1"/>
      <c r="S428" s="1"/>
      <c r="T428" s="1"/>
      <c r="U428" s="2"/>
      <c r="V428" s="1"/>
      <c r="W428" s="1"/>
      <c r="X428" s="1"/>
      <c r="Y428" s="1"/>
      <c r="Z428" s="1"/>
    </row>
    <row r="429" spans="1:26" ht="39.75" customHeight="1">
      <c r="A429" s="1"/>
      <c r="B429" s="1"/>
      <c r="C429" s="1"/>
      <c r="D429" s="1"/>
      <c r="E429" s="1"/>
      <c r="F429" s="1"/>
      <c r="G429" s="1"/>
      <c r="H429" s="1"/>
      <c r="I429" s="1"/>
      <c r="J429" s="1"/>
      <c r="K429" s="1"/>
      <c r="L429" s="1"/>
      <c r="M429" s="1"/>
      <c r="N429" s="1"/>
      <c r="O429" s="1"/>
      <c r="P429" s="1"/>
      <c r="Q429" s="1"/>
      <c r="R429" s="1"/>
      <c r="S429" s="1"/>
      <c r="T429" s="1"/>
      <c r="U429" s="2"/>
      <c r="V429" s="1"/>
      <c r="W429" s="1"/>
      <c r="X429" s="1"/>
      <c r="Y429" s="1"/>
      <c r="Z429" s="1"/>
    </row>
    <row r="430" spans="1:26" ht="39.75" customHeight="1">
      <c r="A430" s="1"/>
      <c r="B430" s="1"/>
      <c r="C430" s="1"/>
      <c r="D430" s="1"/>
      <c r="E430" s="1"/>
      <c r="F430" s="1"/>
      <c r="G430" s="1"/>
      <c r="H430" s="1"/>
      <c r="I430" s="1"/>
      <c r="J430" s="1"/>
      <c r="K430" s="1"/>
      <c r="L430" s="1"/>
      <c r="M430" s="1"/>
      <c r="N430" s="1"/>
      <c r="O430" s="1"/>
      <c r="P430" s="1"/>
      <c r="Q430" s="1"/>
      <c r="R430" s="1"/>
      <c r="S430" s="1"/>
      <c r="T430" s="1"/>
      <c r="U430" s="2"/>
      <c r="V430" s="1"/>
      <c r="W430" s="1"/>
      <c r="X430" s="1"/>
      <c r="Y430" s="1"/>
      <c r="Z430" s="1"/>
    </row>
    <row r="431" spans="1:26" ht="39.75" customHeight="1">
      <c r="A431" s="1"/>
      <c r="B431" s="1"/>
      <c r="C431" s="1"/>
      <c r="D431" s="1"/>
      <c r="E431" s="1"/>
      <c r="F431" s="1"/>
      <c r="G431" s="1"/>
      <c r="H431" s="1"/>
      <c r="I431" s="1"/>
      <c r="J431" s="1"/>
      <c r="K431" s="1"/>
      <c r="L431" s="1"/>
      <c r="M431" s="1"/>
      <c r="N431" s="1"/>
      <c r="O431" s="1"/>
      <c r="P431" s="1"/>
      <c r="Q431" s="1"/>
      <c r="R431" s="1"/>
      <c r="S431" s="1"/>
      <c r="T431" s="1"/>
      <c r="U431" s="2"/>
      <c r="V431" s="1"/>
      <c r="W431" s="1"/>
      <c r="X431" s="1"/>
      <c r="Y431" s="1"/>
      <c r="Z431" s="1"/>
    </row>
    <row r="432" spans="1:26" ht="39.75" customHeight="1">
      <c r="A432" s="1"/>
      <c r="B432" s="1"/>
      <c r="C432" s="1"/>
      <c r="D432" s="1"/>
      <c r="E432" s="1"/>
      <c r="F432" s="1"/>
      <c r="G432" s="1"/>
      <c r="H432" s="1"/>
      <c r="I432" s="1"/>
      <c r="J432" s="1"/>
      <c r="K432" s="1"/>
      <c r="L432" s="1"/>
      <c r="M432" s="1"/>
      <c r="N432" s="1"/>
      <c r="O432" s="1"/>
      <c r="P432" s="1"/>
      <c r="Q432" s="1"/>
      <c r="R432" s="1"/>
      <c r="S432" s="1"/>
      <c r="T432" s="1"/>
      <c r="U432" s="2"/>
      <c r="V432" s="1"/>
      <c r="W432" s="1"/>
      <c r="X432" s="1"/>
      <c r="Y432" s="1"/>
      <c r="Z432" s="1"/>
    </row>
    <row r="433" spans="1:26" ht="39.75" customHeight="1">
      <c r="A433" s="1"/>
      <c r="B433" s="1"/>
      <c r="C433" s="1"/>
      <c r="D433" s="1"/>
      <c r="E433" s="1"/>
      <c r="F433" s="1"/>
      <c r="G433" s="1"/>
      <c r="H433" s="1"/>
      <c r="I433" s="1"/>
      <c r="J433" s="1"/>
      <c r="K433" s="1"/>
      <c r="L433" s="1"/>
      <c r="M433" s="1"/>
      <c r="N433" s="1"/>
      <c r="O433" s="1"/>
      <c r="P433" s="1"/>
      <c r="Q433" s="1"/>
      <c r="R433" s="1"/>
      <c r="S433" s="1"/>
      <c r="T433" s="1"/>
      <c r="U433" s="2"/>
      <c r="V433" s="1"/>
      <c r="W433" s="1"/>
      <c r="X433" s="1"/>
      <c r="Y433" s="1"/>
      <c r="Z433" s="1"/>
    </row>
    <row r="434" spans="1:26" ht="39.75" customHeight="1">
      <c r="A434" s="1"/>
      <c r="B434" s="1"/>
      <c r="C434" s="1"/>
      <c r="D434" s="1"/>
      <c r="E434" s="1"/>
      <c r="F434" s="1"/>
      <c r="G434" s="1"/>
      <c r="H434" s="1"/>
      <c r="I434" s="1"/>
      <c r="J434" s="1"/>
      <c r="K434" s="1"/>
      <c r="L434" s="1"/>
      <c r="M434" s="1"/>
      <c r="N434" s="1"/>
      <c r="O434" s="1"/>
      <c r="P434" s="1"/>
      <c r="Q434" s="1"/>
      <c r="R434" s="1"/>
      <c r="S434" s="1"/>
      <c r="T434" s="1"/>
      <c r="U434" s="2"/>
      <c r="V434" s="1"/>
      <c r="W434" s="1"/>
      <c r="X434" s="1"/>
      <c r="Y434" s="1"/>
      <c r="Z434" s="1"/>
    </row>
    <row r="435" spans="1:26" ht="39.75" customHeight="1">
      <c r="A435" s="1"/>
      <c r="B435" s="1"/>
      <c r="C435" s="1"/>
      <c r="D435" s="1"/>
      <c r="E435" s="1"/>
      <c r="F435" s="1"/>
      <c r="G435" s="1"/>
      <c r="H435" s="1"/>
      <c r="I435" s="1"/>
      <c r="J435" s="1"/>
      <c r="K435" s="1"/>
      <c r="L435" s="1"/>
      <c r="M435" s="1"/>
      <c r="N435" s="1"/>
      <c r="O435" s="1"/>
      <c r="P435" s="1"/>
      <c r="Q435" s="1"/>
      <c r="R435" s="1"/>
      <c r="S435" s="1"/>
      <c r="T435" s="1"/>
      <c r="U435" s="2"/>
      <c r="V435" s="1"/>
      <c r="W435" s="1"/>
      <c r="X435" s="1"/>
      <c r="Y435" s="1"/>
      <c r="Z435" s="1"/>
    </row>
    <row r="436" spans="1:26" ht="39.75" customHeight="1">
      <c r="A436" s="1"/>
      <c r="B436" s="1"/>
      <c r="C436" s="1"/>
      <c r="D436" s="1"/>
      <c r="E436" s="1"/>
      <c r="F436" s="1"/>
      <c r="G436" s="1"/>
      <c r="H436" s="1"/>
      <c r="I436" s="1"/>
      <c r="J436" s="1"/>
      <c r="K436" s="1"/>
      <c r="L436" s="1"/>
      <c r="M436" s="1"/>
      <c r="N436" s="1"/>
      <c r="O436" s="1"/>
      <c r="P436" s="1"/>
      <c r="Q436" s="1"/>
      <c r="R436" s="1"/>
      <c r="S436" s="1"/>
      <c r="T436" s="1"/>
      <c r="U436" s="2"/>
      <c r="V436" s="1"/>
      <c r="W436" s="1"/>
      <c r="X436" s="1"/>
      <c r="Y436" s="1"/>
      <c r="Z436" s="1"/>
    </row>
    <row r="437" spans="1:26" ht="39.75" customHeight="1">
      <c r="A437" s="1"/>
      <c r="B437" s="1"/>
      <c r="C437" s="1"/>
      <c r="D437" s="1"/>
      <c r="E437" s="1"/>
      <c r="F437" s="1"/>
      <c r="G437" s="1"/>
      <c r="H437" s="1"/>
      <c r="I437" s="1"/>
      <c r="J437" s="1"/>
      <c r="K437" s="1"/>
      <c r="L437" s="1"/>
      <c r="M437" s="1"/>
      <c r="N437" s="1"/>
      <c r="O437" s="1"/>
      <c r="P437" s="1"/>
      <c r="Q437" s="1"/>
      <c r="R437" s="1"/>
      <c r="S437" s="1"/>
      <c r="T437" s="1"/>
      <c r="U437" s="2"/>
      <c r="V437" s="1"/>
      <c r="W437" s="1"/>
      <c r="X437" s="1"/>
      <c r="Y437" s="1"/>
      <c r="Z437" s="1"/>
    </row>
    <row r="438" spans="1:26" ht="39.75" customHeight="1">
      <c r="A438" s="1"/>
      <c r="B438" s="1"/>
      <c r="C438" s="1"/>
      <c r="D438" s="1"/>
      <c r="E438" s="1"/>
      <c r="F438" s="1"/>
      <c r="G438" s="1"/>
      <c r="H438" s="1"/>
      <c r="I438" s="1"/>
      <c r="J438" s="1"/>
      <c r="K438" s="1"/>
      <c r="L438" s="1"/>
      <c r="M438" s="1"/>
      <c r="N438" s="1"/>
      <c r="O438" s="1"/>
      <c r="P438" s="1"/>
      <c r="Q438" s="1"/>
      <c r="R438" s="1"/>
      <c r="S438" s="1"/>
      <c r="T438" s="1"/>
      <c r="U438" s="2"/>
      <c r="V438" s="1"/>
      <c r="W438" s="1"/>
      <c r="X438" s="1"/>
      <c r="Y438" s="1"/>
      <c r="Z438" s="1"/>
    </row>
    <row r="439" spans="1:26" ht="39.75" customHeight="1">
      <c r="A439" s="1"/>
      <c r="B439" s="1"/>
      <c r="C439" s="1"/>
      <c r="D439" s="1"/>
      <c r="E439" s="1"/>
      <c r="F439" s="1"/>
      <c r="G439" s="1"/>
      <c r="H439" s="1"/>
      <c r="I439" s="1"/>
      <c r="J439" s="1"/>
      <c r="K439" s="1"/>
      <c r="L439" s="1"/>
      <c r="M439" s="1"/>
      <c r="N439" s="1"/>
      <c r="O439" s="1"/>
      <c r="P439" s="1"/>
      <c r="Q439" s="1"/>
      <c r="R439" s="1"/>
      <c r="S439" s="1"/>
      <c r="T439" s="1"/>
      <c r="U439" s="2"/>
      <c r="V439" s="1"/>
      <c r="W439" s="1"/>
      <c r="X439" s="1"/>
      <c r="Y439" s="1"/>
      <c r="Z439" s="1"/>
    </row>
    <row r="440" spans="1:26" ht="39.75" customHeight="1">
      <c r="A440" s="1"/>
      <c r="B440" s="1"/>
      <c r="C440" s="1"/>
      <c r="D440" s="1"/>
      <c r="E440" s="1"/>
      <c r="F440" s="1"/>
      <c r="G440" s="1"/>
      <c r="H440" s="1"/>
      <c r="I440" s="1"/>
      <c r="J440" s="1"/>
      <c r="K440" s="1"/>
      <c r="L440" s="1"/>
      <c r="M440" s="1"/>
      <c r="N440" s="1"/>
      <c r="O440" s="1"/>
      <c r="P440" s="1"/>
      <c r="Q440" s="1"/>
      <c r="R440" s="1"/>
      <c r="S440" s="1"/>
      <c r="T440" s="1"/>
      <c r="U440" s="2"/>
      <c r="V440" s="1"/>
      <c r="W440" s="1"/>
      <c r="X440" s="1"/>
      <c r="Y440" s="1"/>
      <c r="Z440" s="1"/>
    </row>
    <row r="441" spans="1:26" ht="39.75" customHeight="1">
      <c r="A441" s="1"/>
      <c r="B441" s="1"/>
      <c r="C441" s="1"/>
      <c r="D441" s="1"/>
      <c r="E441" s="1"/>
      <c r="F441" s="1"/>
      <c r="G441" s="1"/>
      <c r="H441" s="1"/>
      <c r="I441" s="1"/>
      <c r="J441" s="1"/>
      <c r="K441" s="1"/>
      <c r="L441" s="1"/>
      <c r="M441" s="1"/>
      <c r="N441" s="1"/>
      <c r="O441" s="1"/>
      <c r="P441" s="1"/>
      <c r="Q441" s="1"/>
      <c r="R441" s="1"/>
      <c r="S441" s="1"/>
      <c r="T441" s="1"/>
      <c r="U441" s="2"/>
      <c r="V441" s="1"/>
      <c r="W441" s="1"/>
      <c r="X441" s="1"/>
      <c r="Y441" s="1"/>
      <c r="Z441" s="1"/>
    </row>
    <row r="442" spans="1:26" ht="39.75" customHeight="1">
      <c r="A442" s="1"/>
      <c r="B442" s="1"/>
      <c r="C442" s="1"/>
      <c r="D442" s="1"/>
      <c r="E442" s="1"/>
      <c r="F442" s="1"/>
      <c r="G442" s="1"/>
      <c r="H442" s="1"/>
      <c r="I442" s="1"/>
      <c r="J442" s="1"/>
      <c r="K442" s="1"/>
      <c r="L442" s="1"/>
      <c r="M442" s="1"/>
      <c r="N442" s="1"/>
      <c r="O442" s="1"/>
      <c r="P442" s="1"/>
      <c r="Q442" s="1"/>
      <c r="R442" s="1"/>
      <c r="S442" s="1"/>
      <c r="T442" s="1"/>
      <c r="U442" s="2"/>
      <c r="V442" s="1"/>
      <c r="W442" s="1"/>
      <c r="X442" s="1"/>
      <c r="Y442" s="1"/>
      <c r="Z442" s="1"/>
    </row>
    <row r="443" spans="1:26" ht="39.75" customHeight="1">
      <c r="A443" s="1"/>
      <c r="B443" s="1"/>
      <c r="C443" s="1"/>
      <c r="D443" s="1"/>
      <c r="E443" s="1"/>
      <c r="F443" s="1"/>
      <c r="G443" s="1"/>
      <c r="H443" s="1"/>
      <c r="I443" s="1"/>
      <c r="J443" s="1"/>
      <c r="K443" s="1"/>
      <c r="L443" s="1"/>
      <c r="M443" s="1"/>
      <c r="N443" s="1"/>
      <c r="O443" s="1"/>
      <c r="P443" s="1"/>
      <c r="Q443" s="1"/>
      <c r="R443" s="1"/>
      <c r="S443" s="1"/>
      <c r="T443" s="1"/>
      <c r="U443" s="2"/>
      <c r="V443" s="1"/>
      <c r="W443" s="1"/>
      <c r="X443" s="1"/>
      <c r="Y443" s="1"/>
      <c r="Z443" s="1"/>
    </row>
    <row r="444" spans="1:26" ht="39.75" customHeight="1">
      <c r="A444" s="1"/>
      <c r="B444" s="1"/>
      <c r="C444" s="1"/>
      <c r="D444" s="1"/>
      <c r="E444" s="1"/>
      <c r="F444" s="1"/>
      <c r="G444" s="1"/>
      <c r="H444" s="1"/>
      <c r="I444" s="1"/>
      <c r="J444" s="1"/>
      <c r="K444" s="1"/>
      <c r="L444" s="1"/>
      <c r="M444" s="1"/>
      <c r="N444" s="1"/>
      <c r="O444" s="1"/>
      <c r="P444" s="1"/>
      <c r="Q444" s="1"/>
      <c r="R444" s="1"/>
      <c r="S444" s="1"/>
      <c r="T444" s="1"/>
      <c r="U444" s="2"/>
      <c r="V444" s="1"/>
      <c r="W444" s="1"/>
      <c r="X444" s="1"/>
      <c r="Y444" s="1"/>
      <c r="Z444" s="1"/>
    </row>
    <row r="445" spans="1:26" ht="39.75" customHeight="1">
      <c r="A445" s="1"/>
      <c r="B445" s="1"/>
      <c r="C445" s="1"/>
      <c r="D445" s="1"/>
      <c r="E445" s="1"/>
      <c r="F445" s="1"/>
      <c r="G445" s="1"/>
      <c r="H445" s="1"/>
      <c r="I445" s="1"/>
      <c r="J445" s="1"/>
      <c r="K445" s="1"/>
      <c r="L445" s="1"/>
      <c r="M445" s="1"/>
      <c r="N445" s="1"/>
      <c r="O445" s="1"/>
      <c r="P445" s="1"/>
      <c r="Q445" s="1"/>
      <c r="R445" s="1"/>
      <c r="S445" s="1"/>
      <c r="T445" s="1"/>
      <c r="U445" s="2"/>
      <c r="V445" s="1"/>
      <c r="W445" s="1"/>
      <c r="X445" s="1"/>
      <c r="Y445" s="1"/>
      <c r="Z445" s="1"/>
    </row>
    <row r="446" spans="1:26" ht="39.75" customHeight="1">
      <c r="A446" s="1"/>
      <c r="B446" s="1"/>
      <c r="C446" s="1"/>
      <c r="D446" s="1"/>
      <c r="E446" s="1"/>
      <c r="F446" s="1"/>
      <c r="G446" s="1"/>
      <c r="H446" s="1"/>
      <c r="I446" s="1"/>
      <c r="J446" s="1"/>
      <c r="K446" s="1"/>
      <c r="L446" s="1"/>
      <c r="M446" s="1"/>
      <c r="N446" s="1"/>
      <c r="O446" s="1"/>
      <c r="P446" s="1"/>
      <c r="Q446" s="1"/>
      <c r="R446" s="1"/>
      <c r="S446" s="1"/>
      <c r="T446" s="1"/>
      <c r="U446" s="2"/>
      <c r="V446" s="1"/>
      <c r="W446" s="1"/>
      <c r="X446" s="1"/>
      <c r="Y446" s="1"/>
      <c r="Z446" s="1"/>
    </row>
    <row r="447" spans="1:26" ht="39.75" customHeight="1">
      <c r="A447" s="1"/>
      <c r="B447" s="1"/>
      <c r="C447" s="1"/>
      <c r="D447" s="1"/>
      <c r="E447" s="1"/>
      <c r="F447" s="1"/>
      <c r="G447" s="1"/>
      <c r="H447" s="1"/>
      <c r="I447" s="1"/>
      <c r="J447" s="1"/>
      <c r="K447" s="1"/>
      <c r="L447" s="1"/>
      <c r="M447" s="1"/>
      <c r="N447" s="1"/>
      <c r="O447" s="1"/>
      <c r="P447" s="1"/>
      <c r="Q447" s="1"/>
      <c r="R447" s="1"/>
      <c r="S447" s="1"/>
      <c r="T447" s="1"/>
      <c r="U447" s="2"/>
      <c r="V447" s="1"/>
      <c r="W447" s="1"/>
      <c r="X447" s="1"/>
      <c r="Y447" s="1"/>
      <c r="Z447" s="1"/>
    </row>
    <row r="448" spans="1:26" ht="39.75" customHeight="1">
      <c r="A448" s="1"/>
      <c r="B448" s="1"/>
      <c r="C448" s="1"/>
      <c r="D448" s="1"/>
      <c r="E448" s="1"/>
      <c r="F448" s="1"/>
      <c r="G448" s="1"/>
      <c r="H448" s="1"/>
      <c r="I448" s="1"/>
      <c r="J448" s="1"/>
      <c r="K448" s="1"/>
      <c r="L448" s="1"/>
      <c r="M448" s="1"/>
      <c r="N448" s="1"/>
      <c r="O448" s="1"/>
      <c r="P448" s="1"/>
      <c r="Q448" s="1"/>
      <c r="R448" s="1"/>
      <c r="S448" s="1"/>
      <c r="T448" s="1"/>
      <c r="U448" s="2"/>
      <c r="V448" s="1"/>
      <c r="W448" s="1"/>
      <c r="X448" s="1"/>
      <c r="Y448" s="1"/>
      <c r="Z448" s="1"/>
    </row>
    <row r="449" spans="1:26" ht="39.75" customHeight="1">
      <c r="A449" s="1"/>
      <c r="B449" s="1"/>
      <c r="C449" s="1"/>
      <c r="D449" s="1"/>
      <c r="E449" s="1"/>
      <c r="F449" s="1"/>
      <c r="G449" s="1"/>
      <c r="H449" s="1"/>
      <c r="I449" s="1"/>
      <c r="J449" s="1"/>
      <c r="K449" s="1"/>
      <c r="L449" s="1"/>
      <c r="M449" s="1"/>
      <c r="N449" s="1"/>
      <c r="O449" s="1"/>
      <c r="P449" s="1"/>
      <c r="Q449" s="1"/>
      <c r="R449" s="1"/>
      <c r="S449" s="1"/>
      <c r="T449" s="1"/>
      <c r="U449" s="2"/>
      <c r="V449" s="1"/>
      <c r="W449" s="1"/>
      <c r="X449" s="1"/>
      <c r="Y449" s="1"/>
      <c r="Z449" s="1"/>
    </row>
    <row r="450" spans="1:26" ht="39.75" customHeight="1">
      <c r="A450" s="1"/>
      <c r="B450" s="1"/>
      <c r="C450" s="1"/>
      <c r="D450" s="1"/>
      <c r="E450" s="1"/>
      <c r="F450" s="1"/>
      <c r="G450" s="1"/>
      <c r="H450" s="1"/>
      <c r="I450" s="1"/>
      <c r="J450" s="1"/>
      <c r="K450" s="1"/>
      <c r="L450" s="1"/>
      <c r="M450" s="1"/>
      <c r="N450" s="1"/>
      <c r="O450" s="1"/>
      <c r="P450" s="1"/>
      <c r="Q450" s="1"/>
      <c r="R450" s="1"/>
      <c r="S450" s="1"/>
      <c r="T450" s="1"/>
      <c r="U450" s="2"/>
      <c r="V450" s="1"/>
      <c r="W450" s="1"/>
      <c r="X450" s="1"/>
      <c r="Y450" s="1"/>
      <c r="Z450" s="1"/>
    </row>
    <row r="451" spans="1:26" ht="39.75" customHeight="1">
      <c r="A451" s="1"/>
      <c r="B451" s="1"/>
      <c r="C451" s="1"/>
      <c r="D451" s="1"/>
      <c r="E451" s="1"/>
      <c r="F451" s="1"/>
      <c r="G451" s="1"/>
      <c r="H451" s="1"/>
      <c r="I451" s="1"/>
      <c r="J451" s="1"/>
      <c r="K451" s="1"/>
      <c r="L451" s="1"/>
      <c r="M451" s="1"/>
      <c r="N451" s="1"/>
      <c r="O451" s="1"/>
      <c r="P451" s="1"/>
      <c r="Q451" s="1"/>
      <c r="R451" s="1"/>
      <c r="S451" s="1"/>
      <c r="T451" s="1"/>
      <c r="U451" s="2"/>
      <c r="V451" s="1"/>
      <c r="W451" s="1"/>
      <c r="X451" s="1"/>
      <c r="Y451" s="1"/>
      <c r="Z451" s="1"/>
    </row>
    <row r="452" spans="1:26" ht="39.75" customHeight="1">
      <c r="A452" s="1"/>
      <c r="B452" s="1"/>
      <c r="C452" s="1"/>
      <c r="D452" s="1"/>
      <c r="E452" s="1"/>
      <c r="F452" s="1"/>
      <c r="G452" s="1"/>
      <c r="H452" s="1"/>
      <c r="I452" s="1"/>
      <c r="J452" s="1"/>
      <c r="K452" s="1"/>
      <c r="L452" s="1"/>
      <c r="M452" s="1"/>
      <c r="N452" s="1"/>
      <c r="O452" s="1"/>
      <c r="P452" s="1"/>
      <c r="Q452" s="1"/>
      <c r="R452" s="1"/>
      <c r="S452" s="1"/>
      <c r="T452" s="1"/>
      <c r="U452" s="2"/>
      <c r="V452" s="1"/>
      <c r="W452" s="1"/>
      <c r="X452" s="1"/>
      <c r="Y452" s="1"/>
      <c r="Z452" s="1"/>
    </row>
    <row r="453" spans="1:26" ht="39.75" customHeight="1">
      <c r="A453" s="1"/>
      <c r="B453" s="1"/>
      <c r="C453" s="1"/>
      <c r="D453" s="1"/>
      <c r="E453" s="1"/>
      <c r="F453" s="1"/>
      <c r="G453" s="1"/>
      <c r="H453" s="1"/>
      <c r="I453" s="1"/>
      <c r="J453" s="1"/>
      <c r="K453" s="1"/>
      <c r="L453" s="1"/>
      <c r="M453" s="1"/>
      <c r="N453" s="1"/>
      <c r="O453" s="1"/>
      <c r="P453" s="1"/>
      <c r="Q453" s="1"/>
      <c r="R453" s="1"/>
      <c r="S453" s="1"/>
      <c r="T453" s="1"/>
      <c r="U453" s="2"/>
      <c r="V453" s="1"/>
      <c r="W453" s="1"/>
      <c r="X453" s="1"/>
      <c r="Y453" s="1"/>
      <c r="Z453" s="1"/>
    </row>
    <row r="454" spans="1:26" ht="39.75" customHeight="1">
      <c r="A454" s="1"/>
      <c r="B454" s="1"/>
      <c r="C454" s="1"/>
      <c r="D454" s="1"/>
      <c r="E454" s="1"/>
      <c r="F454" s="1"/>
      <c r="G454" s="1"/>
      <c r="H454" s="1"/>
      <c r="I454" s="1"/>
      <c r="J454" s="1"/>
      <c r="K454" s="1"/>
      <c r="L454" s="1"/>
      <c r="M454" s="1"/>
      <c r="N454" s="1"/>
      <c r="O454" s="1"/>
      <c r="P454" s="1"/>
      <c r="Q454" s="1"/>
      <c r="R454" s="1"/>
      <c r="S454" s="1"/>
      <c r="T454" s="1"/>
      <c r="U454" s="2"/>
      <c r="V454" s="1"/>
      <c r="W454" s="1"/>
      <c r="X454" s="1"/>
      <c r="Y454" s="1"/>
      <c r="Z454" s="1"/>
    </row>
    <row r="455" spans="1:26" ht="39.75" customHeight="1">
      <c r="A455" s="1"/>
      <c r="B455" s="1"/>
      <c r="C455" s="1"/>
      <c r="D455" s="1"/>
      <c r="E455" s="1"/>
      <c r="F455" s="1"/>
      <c r="G455" s="1"/>
      <c r="H455" s="1"/>
      <c r="I455" s="1"/>
      <c r="J455" s="1"/>
      <c r="K455" s="1"/>
      <c r="L455" s="1"/>
      <c r="M455" s="1"/>
      <c r="N455" s="1"/>
      <c r="O455" s="1"/>
      <c r="P455" s="1"/>
      <c r="Q455" s="1"/>
      <c r="R455" s="1"/>
      <c r="S455" s="1"/>
      <c r="T455" s="1"/>
      <c r="U455" s="2"/>
      <c r="V455" s="1"/>
      <c r="W455" s="1"/>
      <c r="X455" s="1"/>
      <c r="Y455" s="1"/>
      <c r="Z455" s="1"/>
    </row>
    <row r="456" spans="1:26" ht="39.75" customHeight="1">
      <c r="A456" s="1"/>
      <c r="B456" s="1"/>
      <c r="C456" s="1"/>
      <c r="D456" s="1"/>
      <c r="E456" s="1"/>
      <c r="F456" s="1"/>
      <c r="G456" s="1"/>
      <c r="H456" s="1"/>
      <c r="I456" s="1"/>
      <c r="J456" s="1"/>
      <c r="K456" s="1"/>
      <c r="L456" s="1"/>
      <c r="M456" s="1"/>
      <c r="N456" s="1"/>
      <c r="O456" s="1"/>
      <c r="P456" s="1"/>
      <c r="Q456" s="1"/>
      <c r="R456" s="1"/>
      <c r="S456" s="1"/>
      <c r="T456" s="1"/>
      <c r="U456" s="2"/>
      <c r="V456" s="1"/>
      <c r="W456" s="1"/>
      <c r="X456" s="1"/>
      <c r="Y456" s="1"/>
      <c r="Z456" s="1"/>
    </row>
    <row r="457" spans="1:26" ht="39.75" customHeight="1">
      <c r="A457" s="1"/>
      <c r="B457" s="1"/>
      <c r="C457" s="1"/>
      <c r="D457" s="1"/>
      <c r="E457" s="1"/>
      <c r="F457" s="1"/>
      <c r="G457" s="1"/>
      <c r="H457" s="1"/>
      <c r="I457" s="1"/>
      <c r="J457" s="1"/>
      <c r="K457" s="1"/>
      <c r="L457" s="1"/>
      <c r="M457" s="1"/>
      <c r="N457" s="1"/>
      <c r="O457" s="1"/>
      <c r="P457" s="1"/>
      <c r="Q457" s="1"/>
      <c r="R457" s="1"/>
      <c r="S457" s="1"/>
      <c r="T457" s="1"/>
      <c r="U457" s="2"/>
      <c r="V457" s="1"/>
      <c r="W457" s="1"/>
      <c r="X457" s="1"/>
      <c r="Y457" s="1"/>
      <c r="Z457" s="1"/>
    </row>
    <row r="458" spans="1:26" ht="39.75" customHeight="1">
      <c r="A458" s="1"/>
      <c r="B458" s="1"/>
      <c r="C458" s="1"/>
      <c r="D458" s="1"/>
      <c r="E458" s="1"/>
      <c r="F458" s="1"/>
      <c r="G458" s="1"/>
      <c r="H458" s="1"/>
      <c r="I458" s="1"/>
      <c r="J458" s="1"/>
      <c r="K458" s="1"/>
      <c r="L458" s="1"/>
      <c r="M458" s="1"/>
      <c r="N458" s="1"/>
      <c r="O458" s="1"/>
      <c r="P458" s="1"/>
      <c r="Q458" s="1"/>
      <c r="R458" s="1"/>
      <c r="S458" s="1"/>
      <c r="T458" s="1"/>
      <c r="U458" s="2"/>
      <c r="V458" s="1"/>
      <c r="W458" s="1"/>
      <c r="X458" s="1"/>
      <c r="Y458" s="1"/>
      <c r="Z458" s="1"/>
    </row>
    <row r="459" spans="1:26" ht="39.75" customHeight="1">
      <c r="A459" s="1"/>
      <c r="B459" s="1"/>
      <c r="C459" s="1"/>
      <c r="D459" s="1"/>
      <c r="E459" s="1"/>
      <c r="F459" s="1"/>
      <c r="G459" s="1"/>
      <c r="H459" s="1"/>
      <c r="I459" s="1"/>
      <c r="J459" s="1"/>
      <c r="K459" s="1"/>
      <c r="L459" s="1"/>
      <c r="M459" s="1"/>
      <c r="N459" s="1"/>
      <c r="O459" s="1"/>
      <c r="P459" s="1"/>
      <c r="Q459" s="1"/>
      <c r="R459" s="1"/>
      <c r="S459" s="1"/>
      <c r="T459" s="1"/>
      <c r="U459" s="2"/>
      <c r="V459" s="1"/>
      <c r="W459" s="1"/>
      <c r="X459" s="1"/>
      <c r="Y459" s="1"/>
      <c r="Z459" s="1"/>
    </row>
    <row r="460" spans="1:26" ht="39.75" customHeight="1">
      <c r="A460" s="1"/>
      <c r="B460" s="1"/>
      <c r="C460" s="1"/>
      <c r="D460" s="1"/>
      <c r="E460" s="1"/>
      <c r="F460" s="1"/>
      <c r="G460" s="1"/>
      <c r="H460" s="1"/>
      <c r="I460" s="1"/>
      <c r="J460" s="1"/>
      <c r="K460" s="1"/>
      <c r="L460" s="1"/>
      <c r="M460" s="1"/>
      <c r="N460" s="1"/>
      <c r="O460" s="1"/>
      <c r="P460" s="1"/>
      <c r="Q460" s="1"/>
      <c r="R460" s="1"/>
      <c r="S460" s="1"/>
      <c r="T460" s="1"/>
      <c r="U460" s="2"/>
      <c r="V460" s="1"/>
      <c r="W460" s="1"/>
      <c r="X460" s="1"/>
      <c r="Y460" s="1"/>
      <c r="Z460" s="1"/>
    </row>
    <row r="461" spans="1:26" ht="39.75" customHeight="1">
      <c r="A461" s="1"/>
      <c r="B461" s="1"/>
      <c r="C461" s="1"/>
      <c r="D461" s="1"/>
      <c r="E461" s="1"/>
      <c r="F461" s="1"/>
      <c r="G461" s="1"/>
      <c r="H461" s="1"/>
      <c r="I461" s="1"/>
      <c r="J461" s="1"/>
      <c r="K461" s="1"/>
      <c r="L461" s="1"/>
      <c r="M461" s="1"/>
      <c r="N461" s="1"/>
      <c r="O461" s="1"/>
      <c r="P461" s="1"/>
      <c r="Q461" s="1"/>
      <c r="R461" s="1"/>
      <c r="S461" s="1"/>
      <c r="T461" s="1"/>
      <c r="U461" s="2"/>
      <c r="V461" s="1"/>
      <c r="W461" s="1"/>
      <c r="X461" s="1"/>
      <c r="Y461" s="1"/>
      <c r="Z461" s="1"/>
    </row>
    <row r="462" spans="1:26" ht="39.75" customHeight="1">
      <c r="A462" s="1"/>
      <c r="B462" s="1"/>
      <c r="C462" s="1"/>
      <c r="D462" s="1"/>
      <c r="E462" s="1"/>
      <c r="F462" s="1"/>
      <c r="G462" s="1"/>
      <c r="H462" s="1"/>
      <c r="I462" s="1"/>
      <c r="J462" s="1"/>
      <c r="K462" s="1"/>
      <c r="L462" s="1"/>
      <c r="M462" s="1"/>
      <c r="N462" s="1"/>
      <c r="O462" s="1"/>
      <c r="P462" s="1"/>
      <c r="Q462" s="1"/>
      <c r="R462" s="1"/>
      <c r="S462" s="1"/>
      <c r="T462" s="1"/>
      <c r="U462" s="2"/>
      <c r="V462" s="1"/>
      <c r="W462" s="1"/>
      <c r="X462" s="1"/>
      <c r="Y462" s="1"/>
      <c r="Z462" s="1"/>
    </row>
    <row r="463" spans="1:26" ht="39.75" customHeight="1">
      <c r="A463" s="1"/>
      <c r="B463" s="1"/>
      <c r="C463" s="1"/>
      <c r="D463" s="1"/>
      <c r="E463" s="1"/>
      <c r="F463" s="1"/>
      <c r="G463" s="1"/>
      <c r="H463" s="1"/>
      <c r="I463" s="1"/>
      <c r="J463" s="1"/>
      <c r="K463" s="1"/>
      <c r="L463" s="1"/>
      <c r="M463" s="1"/>
      <c r="N463" s="1"/>
      <c r="O463" s="1"/>
      <c r="P463" s="1"/>
      <c r="Q463" s="1"/>
      <c r="R463" s="1"/>
      <c r="S463" s="1"/>
      <c r="T463" s="1"/>
      <c r="U463" s="2"/>
      <c r="V463" s="1"/>
      <c r="W463" s="1"/>
      <c r="X463" s="1"/>
      <c r="Y463" s="1"/>
      <c r="Z463" s="1"/>
    </row>
    <row r="464" spans="1:26" ht="39.75" customHeight="1">
      <c r="A464" s="1"/>
      <c r="B464" s="1"/>
      <c r="C464" s="1"/>
      <c r="D464" s="1"/>
      <c r="E464" s="1"/>
      <c r="F464" s="1"/>
      <c r="G464" s="1"/>
      <c r="H464" s="1"/>
      <c r="I464" s="1"/>
      <c r="J464" s="1"/>
      <c r="K464" s="1"/>
      <c r="L464" s="1"/>
      <c r="M464" s="1"/>
      <c r="N464" s="1"/>
      <c r="O464" s="1"/>
      <c r="P464" s="1"/>
      <c r="Q464" s="1"/>
      <c r="R464" s="1"/>
      <c r="S464" s="1"/>
      <c r="T464" s="1"/>
      <c r="U464" s="2"/>
      <c r="V464" s="1"/>
      <c r="W464" s="1"/>
      <c r="X464" s="1"/>
      <c r="Y464" s="1"/>
      <c r="Z464" s="1"/>
    </row>
    <row r="465" spans="1:26" ht="39.75" customHeight="1">
      <c r="A465" s="1"/>
      <c r="B465" s="1"/>
      <c r="C465" s="1"/>
      <c r="D465" s="1"/>
      <c r="E465" s="1"/>
      <c r="F465" s="1"/>
      <c r="G465" s="1"/>
      <c r="H465" s="1"/>
      <c r="I465" s="1"/>
      <c r="J465" s="1"/>
      <c r="K465" s="1"/>
      <c r="L465" s="1"/>
      <c r="M465" s="1"/>
      <c r="N465" s="1"/>
      <c r="O465" s="1"/>
      <c r="P465" s="1"/>
      <c r="Q465" s="1"/>
      <c r="R465" s="1"/>
      <c r="S465" s="1"/>
      <c r="T465" s="1"/>
      <c r="U465" s="2"/>
      <c r="V465" s="1"/>
      <c r="W465" s="1"/>
      <c r="X465" s="1"/>
      <c r="Y465" s="1"/>
      <c r="Z465" s="1"/>
    </row>
    <row r="466" spans="1:26" ht="39.75" customHeight="1">
      <c r="A466" s="1"/>
      <c r="B466" s="1"/>
      <c r="C466" s="1"/>
      <c r="D466" s="1"/>
      <c r="E466" s="1"/>
      <c r="F466" s="1"/>
      <c r="G466" s="1"/>
      <c r="H466" s="1"/>
      <c r="I466" s="1"/>
      <c r="J466" s="1"/>
      <c r="K466" s="1"/>
      <c r="L466" s="1"/>
      <c r="M466" s="1"/>
      <c r="N466" s="1"/>
      <c r="O466" s="1"/>
      <c r="P466" s="1"/>
      <c r="Q466" s="1"/>
      <c r="R466" s="1"/>
      <c r="S466" s="1"/>
      <c r="T466" s="1"/>
      <c r="U466" s="2"/>
      <c r="V466" s="1"/>
      <c r="W466" s="1"/>
      <c r="X466" s="1"/>
      <c r="Y466" s="1"/>
      <c r="Z466" s="1"/>
    </row>
    <row r="467" spans="1:26" ht="39.75" customHeight="1">
      <c r="A467" s="1"/>
      <c r="B467" s="1"/>
      <c r="C467" s="1"/>
      <c r="D467" s="1"/>
      <c r="E467" s="1"/>
      <c r="F467" s="1"/>
      <c r="G467" s="1"/>
      <c r="H467" s="1"/>
      <c r="I467" s="1"/>
      <c r="J467" s="1"/>
      <c r="K467" s="1"/>
      <c r="L467" s="1"/>
      <c r="M467" s="1"/>
      <c r="N467" s="1"/>
      <c r="O467" s="1"/>
      <c r="P467" s="1"/>
      <c r="Q467" s="1"/>
      <c r="R467" s="1"/>
      <c r="S467" s="1"/>
      <c r="T467" s="1"/>
      <c r="U467" s="2"/>
      <c r="V467" s="1"/>
      <c r="W467" s="1"/>
      <c r="X467" s="1"/>
      <c r="Y467" s="1"/>
      <c r="Z467" s="1"/>
    </row>
    <row r="468" spans="1:26" ht="39.75" customHeight="1">
      <c r="A468" s="1"/>
      <c r="B468" s="1"/>
      <c r="C468" s="1"/>
      <c r="D468" s="1"/>
      <c r="E468" s="1"/>
      <c r="F468" s="1"/>
      <c r="G468" s="1"/>
      <c r="H468" s="1"/>
      <c r="I468" s="1"/>
      <c r="J468" s="1"/>
      <c r="K468" s="1"/>
      <c r="L468" s="1"/>
      <c r="M468" s="1"/>
      <c r="N468" s="1"/>
      <c r="O468" s="1"/>
      <c r="P468" s="1"/>
      <c r="Q468" s="1"/>
      <c r="R468" s="1"/>
      <c r="S468" s="1"/>
      <c r="T468" s="1"/>
      <c r="U468" s="2"/>
      <c r="V468" s="1"/>
      <c r="W468" s="1"/>
      <c r="X468" s="1"/>
      <c r="Y468" s="1"/>
      <c r="Z468" s="1"/>
    </row>
    <row r="469" spans="1:26" ht="39.75" customHeight="1">
      <c r="A469" s="1"/>
      <c r="B469" s="1"/>
      <c r="C469" s="1"/>
      <c r="D469" s="1"/>
      <c r="E469" s="1"/>
      <c r="F469" s="1"/>
      <c r="G469" s="1"/>
      <c r="H469" s="1"/>
      <c r="I469" s="1"/>
      <c r="J469" s="1"/>
      <c r="K469" s="1"/>
      <c r="L469" s="1"/>
      <c r="M469" s="1"/>
      <c r="N469" s="1"/>
      <c r="O469" s="1"/>
      <c r="P469" s="1"/>
      <c r="Q469" s="1"/>
      <c r="R469" s="1"/>
      <c r="S469" s="1"/>
      <c r="T469" s="1"/>
      <c r="U469" s="2"/>
      <c r="V469" s="1"/>
      <c r="W469" s="1"/>
      <c r="X469" s="1"/>
      <c r="Y469" s="1"/>
      <c r="Z469" s="1"/>
    </row>
    <row r="470" spans="1:26" ht="39.75" customHeight="1">
      <c r="A470" s="1"/>
      <c r="B470" s="1"/>
      <c r="C470" s="1"/>
      <c r="D470" s="1"/>
      <c r="E470" s="1"/>
      <c r="F470" s="1"/>
      <c r="G470" s="1"/>
      <c r="H470" s="1"/>
      <c r="I470" s="1"/>
      <c r="J470" s="1"/>
      <c r="K470" s="1"/>
      <c r="L470" s="1"/>
      <c r="M470" s="1"/>
      <c r="N470" s="1"/>
      <c r="O470" s="1"/>
      <c r="P470" s="1"/>
      <c r="Q470" s="1"/>
      <c r="R470" s="1"/>
      <c r="S470" s="1"/>
      <c r="T470" s="1"/>
      <c r="U470" s="2"/>
      <c r="V470" s="1"/>
      <c r="W470" s="1"/>
      <c r="X470" s="1"/>
      <c r="Y470" s="1"/>
      <c r="Z470" s="1"/>
    </row>
    <row r="471" spans="1:26" ht="39.75" customHeight="1">
      <c r="A471" s="1"/>
      <c r="B471" s="1"/>
      <c r="C471" s="1"/>
      <c r="D471" s="1"/>
      <c r="E471" s="1"/>
      <c r="F471" s="1"/>
      <c r="G471" s="1"/>
      <c r="H471" s="1"/>
      <c r="I471" s="1"/>
      <c r="J471" s="1"/>
      <c r="K471" s="1"/>
      <c r="L471" s="1"/>
      <c r="M471" s="1"/>
      <c r="N471" s="1"/>
      <c r="O471" s="1"/>
      <c r="P471" s="1"/>
      <c r="Q471" s="1"/>
      <c r="R471" s="1"/>
      <c r="S471" s="1"/>
      <c r="T471" s="1"/>
      <c r="U471" s="2"/>
      <c r="V471" s="1"/>
      <c r="W471" s="1"/>
      <c r="X471" s="1"/>
      <c r="Y471" s="1"/>
      <c r="Z471" s="1"/>
    </row>
    <row r="472" spans="1:26" ht="39.75" customHeight="1">
      <c r="A472" s="1"/>
      <c r="B472" s="1"/>
      <c r="C472" s="1"/>
      <c r="D472" s="1"/>
      <c r="E472" s="1"/>
      <c r="F472" s="1"/>
      <c r="G472" s="1"/>
      <c r="H472" s="1"/>
      <c r="I472" s="1"/>
      <c r="J472" s="1"/>
      <c r="K472" s="1"/>
      <c r="L472" s="1"/>
      <c r="M472" s="1"/>
      <c r="N472" s="1"/>
      <c r="O472" s="1"/>
      <c r="P472" s="1"/>
      <c r="Q472" s="1"/>
      <c r="R472" s="1"/>
      <c r="S472" s="1"/>
      <c r="T472" s="1"/>
      <c r="U472" s="2"/>
      <c r="V472" s="1"/>
      <c r="W472" s="1"/>
      <c r="X472" s="1"/>
      <c r="Y472" s="1"/>
      <c r="Z472" s="1"/>
    </row>
    <row r="473" spans="1:26" ht="39.75" customHeight="1">
      <c r="A473" s="1"/>
      <c r="B473" s="1"/>
      <c r="C473" s="1"/>
      <c r="D473" s="1"/>
      <c r="E473" s="1"/>
      <c r="F473" s="1"/>
      <c r="G473" s="1"/>
      <c r="H473" s="1"/>
      <c r="I473" s="1"/>
      <c r="J473" s="1"/>
      <c r="K473" s="1"/>
      <c r="L473" s="1"/>
      <c r="M473" s="1"/>
      <c r="N473" s="1"/>
      <c r="O473" s="1"/>
      <c r="P473" s="1"/>
      <c r="Q473" s="1"/>
      <c r="R473" s="1"/>
      <c r="S473" s="1"/>
      <c r="T473" s="1"/>
      <c r="U473" s="2"/>
      <c r="V473" s="1"/>
      <c r="W473" s="1"/>
      <c r="X473" s="1"/>
      <c r="Y473" s="1"/>
      <c r="Z473" s="1"/>
    </row>
    <row r="474" spans="1:26" ht="39.75" customHeight="1">
      <c r="A474" s="1"/>
      <c r="B474" s="1"/>
      <c r="C474" s="1"/>
      <c r="D474" s="1"/>
      <c r="E474" s="1"/>
      <c r="F474" s="1"/>
      <c r="G474" s="1"/>
      <c r="H474" s="1"/>
      <c r="I474" s="1"/>
      <c r="J474" s="1"/>
      <c r="K474" s="1"/>
      <c r="L474" s="1"/>
      <c r="M474" s="1"/>
      <c r="N474" s="1"/>
      <c r="O474" s="1"/>
      <c r="P474" s="1"/>
      <c r="Q474" s="1"/>
      <c r="R474" s="1"/>
      <c r="S474" s="1"/>
      <c r="T474" s="1"/>
      <c r="U474" s="2"/>
      <c r="V474" s="1"/>
      <c r="W474" s="1"/>
      <c r="X474" s="1"/>
      <c r="Y474" s="1"/>
      <c r="Z474" s="1"/>
    </row>
    <row r="475" spans="1:26" ht="39.75" customHeight="1">
      <c r="A475" s="1"/>
      <c r="B475" s="1"/>
      <c r="C475" s="1"/>
      <c r="D475" s="1"/>
      <c r="E475" s="1"/>
      <c r="F475" s="1"/>
      <c r="G475" s="1"/>
      <c r="H475" s="1"/>
      <c r="I475" s="1"/>
      <c r="J475" s="1"/>
      <c r="K475" s="1"/>
      <c r="L475" s="1"/>
      <c r="M475" s="1"/>
      <c r="N475" s="1"/>
      <c r="O475" s="1"/>
      <c r="P475" s="1"/>
      <c r="Q475" s="1"/>
      <c r="R475" s="1"/>
      <c r="S475" s="1"/>
      <c r="T475" s="1"/>
      <c r="U475" s="2"/>
      <c r="V475" s="1"/>
      <c r="W475" s="1"/>
      <c r="X475" s="1"/>
      <c r="Y475" s="1"/>
      <c r="Z475" s="1"/>
    </row>
    <row r="476" spans="1:26" ht="39.75" customHeight="1">
      <c r="A476" s="1"/>
      <c r="B476" s="1"/>
      <c r="C476" s="1"/>
      <c r="D476" s="1"/>
      <c r="E476" s="1"/>
      <c r="F476" s="1"/>
      <c r="G476" s="1"/>
      <c r="H476" s="1"/>
      <c r="I476" s="1"/>
      <c r="J476" s="1"/>
      <c r="K476" s="1"/>
      <c r="L476" s="1"/>
      <c r="M476" s="1"/>
      <c r="N476" s="1"/>
      <c r="O476" s="1"/>
      <c r="P476" s="1"/>
      <c r="Q476" s="1"/>
      <c r="R476" s="1"/>
      <c r="S476" s="1"/>
      <c r="T476" s="1"/>
      <c r="U476" s="2"/>
      <c r="V476" s="1"/>
      <c r="W476" s="1"/>
      <c r="X476" s="1"/>
      <c r="Y476" s="1"/>
      <c r="Z476" s="1"/>
    </row>
    <row r="477" spans="1:26" ht="39.75" customHeight="1">
      <c r="A477" s="1"/>
      <c r="B477" s="1"/>
      <c r="C477" s="1"/>
      <c r="D477" s="1"/>
      <c r="E477" s="1"/>
      <c r="F477" s="1"/>
      <c r="G477" s="1"/>
      <c r="H477" s="1"/>
      <c r="I477" s="1"/>
      <c r="J477" s="1"/>
      <c r="K477" s="1"/>
      <c r="L477" s="1"/>
      <c r="M477" s="1"/>
      <c r="N477" s="1"/>
      <c r="O477" s="1"/>
      <c r="P477" s="1"/>
      <c r="Q477" s="1"/>
      <c r="R477" s="1"/>
      <c r="S477" s="1"/>
      <c r="T477" s="1"/>
      <c r="U477" s="2"/>
      <c r="V477" s="1"/>
      <c r="W477" s="1"/>
      <c r="X477" s="1"/>
      <c r="Y477" s="1"/>
      <c r="Z477" s="1"/>
    </row>
    <row r="478" spans="1:26" ht="39.75" customHeight="1">
      <c r="A478" s="1"/>
      <c r="B478" s="1"/>
      <c r="C478" s="1"/>
      <c r="D478" s="1"/>
      <c r="E478" s="1"/>
      <c r="F478" s="1"/>
      <c r="G478" s="1"/>
      <c r="H478" s="1"/>
      <c r="I478" s="1"/>
      <c r="J478" s="1"/>
      <c r="K478" s="1"/>
      <c r="L478" s="1"/>
      <c r="M478" s="1"/>
      <c r="N478" s="1"/>
      <c r="O478" s="1"/>
      <c r="P478" s="1"/>
      <c r="Q478" s="1"/>
      <c r="R478" s="1"/>
      <c r="S478" s="1"/>
      <c r="T478" s="1"/>
      <c r="U478" s="2"/>
      <c r="V478" s="1"/>
      <c r="W478" s="1"/>
      <c r="X478" s="1"/>
      <c r="Y478" s="1"/>
      <c r="Z478" s="1"/>
    </row>
    <row r="479" spans="1:26" ht="39.75" customHeight="1">
      <c r="A479" s="1"/>
      <c r="B479" s="1"/>
      <c r="C479" s="1"/>
      <c r="D479" s="1"/>
      <c r="E479" s="1"/>
      <c r="F479" s="1"/>
      <c r="G479" s="1"/>
      <c r="H479" s="1"/>
      <c r="I479" s="1"/>
      <c r="J479" s="1"/>
      <c r="K479" s="1"/>
      <c r="L479" s="1"/>
      <c r="M479" s="1"/>
      <c r="N479" s="1"/>
      <c r="O479" s="1"/>
      <c r="P479" s="1"/>
      <c r="Q479" s="1"/>
      <c r="R479" s="1"/>
      <c r="S479" s="1"/>
      <c r="T479" s="1"/>
      <c r="U479" s="2"/>
      <c r="V479" s="1"/>
      <c r="W479" s="1"/>
      <c r="X479" s="1"/>
      <c r="Y479" s="1"/>
      <c r="Z479" s="1"/>
    </row>
    <row r="480" spans="1:26" ht="39.75" customHeight="1">
      <c r="A480" s="1"/>
      <c r="B480" s="1"/>
      <c r="C480" s="1"/>
      <c r="D480" s="1"/>
      <c r="E480" s="1"/>
      <c r="F480" s="1"/>
      <c r="G480" s="1"/>
      <c r="H480" s="1"/>
      <c r="I480" s="1"/>
      <c r="J480" s="1"/>
      <c r="K480" s="1"/>
      <c r="L480" s="1"/>
      <c r="M480" s="1"/>
      <c r="N480" s="1"/>
      <c r="O480" s="1"/>
      <c r="P480" s="1"/>
      <c r="Q480" s="1"/>
      <c r="R480" s="1"/>
      <c r="S480" s="1"/>
      <c r="T480" s="1"/>
      <c r="U480" s="2"/>
      <c r="V480" s="1"/>
      <c r="W480" s="1"/>
      <c r="X480" s="1"/>
      <c r="Y480" s="1"/>
      <c r="Z480" s="1"/>
    </row>
    <row r="481" spans="1:26" ht="39.75" customHeight="1">
      <c r="A481" s="1"/>
      <c r="B481" s="1"/>
      <c r="C481" s="1"/>
      <c r="D481" s="1"/>
      <c r="E481" s="1"/>
      <c r="F481" s="1"/>
      <c r="G481" s="1"/>
      <c r="H481" s="1"/>
      <c r="I481" s="1"/>
      <c r="J481" s="1"/>
      <c r="K481" s="1"/>
      <c r="L481" s="1"/>
      <c r="M481" s="1"/>
      <c r="N481" s="1"/>
      <c r="O481" s="1"/>
      <c r="P481" s="1"/>
      <c r="Q481" s="1"/>
      <c r="R481" s="1"/>
      <c r="S481" s="1"/>
      <c r="T481" s="1"/>
      <c r="U481" s="2"/>
      <c r="V481" s="1"/>
      <c r="W481" s="1"/>
      <c r="X481" s="1"/>
      <c r="Y481" s="1"/>
      <c r="Z481" s="1"/>
    </row>
    <row r="482" spans="1:26" ht="39.75" customHeight="1">
      <c r="A482" s="1"/>
      <c r="B482" s="1"/>
      <c r="C482" s="1"/>
      <c r="D482" s="1"/>
      <c r="E482" s="1"/>
      <c r="F482" s="1"/>
      <c r="G482" s="1"/>
      <c r="H482" s="1"/>
      <c r="I482" s="1"/>
      <c r="J482" s="1"/>
      <c r="K482" s="1"/>
      <c r="L482" s="1"/>
      <c r="M482" s="1"/>
      <c r="N482" s="1"/>
      <c r="O482" s="1"/>
      <c r="P482" s="1"/>
      <c r="Q482" s="1"/>
      <c r="R482" s="1"/>
      <c r="S482" s="1"/>
      <c r="T482" s="1"/>
      <c r="U482" s="2"/>
      <c r="V482" s="1"/>
      <c r="W482" s="1"/>
      <c r="X482" s="1"/>
      <c r="Y482" s="1"/>
      <c r="Z482" s="1"/>
    </row>
    <row r="483" spans="1:26" ht="39.75" customHeight="1">
      <c r="A483" s="1"/>
      <c r="B483" s="1"/>
      <c r="C483" s="1"/>
      <c r="D483" s="1"/>
      <c r="E483" s="1"/>
      <c r="F483" s="1"/>
      <c r="G483" s="1"/>
      <c r="H483" s="1"/>
      <c r="I483" s="1"/>
      <c r="J483" s="1"/>
      <c r="K483" s="1"/>
      <c r="L483" s="1"/>
      <c r="M483" s="1"/>
      <c r="N483" s="1"/>
      <c r="O483" s="1"/>
      <c r="P483" s="1"/>
      <c r="Q483" s="1"/>
      <c r="R483" s="1"/>
      <c r="S483" s="1"/>
      <c r="T483" s="1"/>
      <c r="U483" s="2"/>
      <c r="V483" s="1"/>
      <c r="W483" s="1"/>
      <c r="X483" s="1"/>
      <c r="Y483" s="1"/>
      <c r="Z483" s="1"/>
    </row>
    <row r="484" spans="1:26" ht="39.75" customHeight="1">
      <c r="A484" s="1"/>
      <c r="B484" s="1"/>
      <c r="C484" s="1"/>
      <c r="D484" s="1"/>
      <c r="E484" s="1"/>
      <c r="F484" s="1"/>
      <c r="G484" s="1"/>
      <c r="H484" s="1"/>
      <c r="I484" s="1"/>
      <c r="J484" s="1"/>
      <c r="K484" s="1"/>
      <c r="L484" s="1"/>
      <c r="M484" s="1"/>
      <c r="N484" s="1"/>
      <c r="O484" s="1"/>
      <c r="P484" s="1"/>
      <c r="Q484" s="1"/>
      <c r="R484" s="1"/>
      <c r="S484" s="1"/>
      <c r="T484" s="1"/>
      <c r="U484" s="2"/>
      <c r="V484" s="1"/>
      <c r="W484" s="1"/>
      <c r="X484" s="1"/>
      <c r="Y484" s="1"/>
      <c r="Z484" s="1"/>
    </row>
    <row r="485" spans="1:26" ht="39.75" customHeight="1">
      <c r="A485" s="1"/>
      <c r="B485" s="1"/>
      <c r="C485" s="1"/>
      <c r="D485" s="1"/>
      <c r="E485" s="1"/>
      <c r="F485" s="1"/>
      <c r="G485" s="1"/>
      <c r="H485" s="1"/>
      <c r="I485" s="1"/>
      <c r="J485" s="1"/>
      <c r="K485" s="1"/>
      <c r="L485" s="1"/>
      <c r="M485" s="1"/>
      <c r="N485" s="1"/>
      <c r="O485" s="1"/>
      <c r="P485" s="1"/>
      <c r="Q485" s="1"/>
      <c r="R485" s="1"/>
      <c r="S485" s="1"/>
      <c r="T485" s="1"/>
      <c r="U485" s="2"/>
      <c r="V485" s="1"/>
      <c r="W485" s="1"/>
      <c r="X485" s="1"/>
      <c r="Y485" s="1"/>
      <c r="Z485" s="1"/>
    </row>
    <row r="486" spans="1:26" ht="39.75" customHeight="1">
      <c r="A486" s="1"/>
      <c r="B486" s="1"/>
      <c r="C486" s="1"/>
      <c r="D486" s="1"/>
      <c r="E486" s="1"/>
      <c r="F486" s="1"/>
      <c r="G486" s="1"/>
      <c r="H486" s="1"/>
      <c r="I486" s="1"/>
      <c r="J486" s="1"/>
      <c r="K486" s="1"/>
      <c r="L486" s="1"/>
      <c r="M486" s="1"/>
      <c r="N486" s="1"/>
      <c r="O486" s="1"/>
      <c r="P486" s="1"/>
      <c r="Q486" s="1"/>
      <c r="R486" s="1"/>
      <c r="S486" s="1"/>
      <c r="T486" s="1"/>
      <c r="U486" s="2"/>
      <c r="V486" s="1"/>
      <c r="W486" s="1"/>
      <c r="X486" s="1"/>
      <c r="Y486" s="1"/>
      <c r="Z486" s="1"/>
    </row>
    <row r="487" spans="1:26" ht="39.75" customHeight="1">
      <c r="A487" s="1"/>
      <c r="B487" s="1"/>
      <c r="C487" s="1"/>
      <c r="D487" s="1"/>
      <c r="E487" s="1"/>
      <c r="F487" s="1"/>
      <c r="G487" s="1"/>
      <c r="H487" s="1"/>
      <c r="I487" s="1"/>
      <c r="J487" s="1"/>
      <c r="K487" s="1"/>
      <c r="L487" s="1"/>
      <c r="M487" s="1"/>
      <c r="N487" s="1"/>
      <c r="O487" s="1"/>
      <c r="P487" s="1"/>
      <c r="Q487" s="1"/>
      <c r="R487" s="1"/>
      <c r="S487" s="1"/>
      <c r="T487" s="1"/>
      <c r="U487" s="2"/>
      <c r="V487" s="1"/>
      <c r="W487" s="1"/>
      <c r="X487" s="1"/>
      <c r="Y487" s="1"/>
      <c r="Z487" s="1"/>
    </row>
    <row r="488" spans="1:26" ht="39.75" customHeight="1">
      <c r="A488" s="1"/>
      <c r="B488" s="1"/>
      <c r="C488" s="1"/>
      <c r="D488" s="1"/>
      <c r="E488" s="1"/>
      <c r="F488" s="1"/>
      <c r="G488" s="1"/>
      <c r="H488" s="1"/>
      <c r="I488" s="1"/>
      <c r="J488" s="1"/>
      <c r="K488" s="1"/>
      <c r="L488" s="1"/>
      <c r="M488" s="1"/>
      <c r="N488" s="1"/>
      <c r="O488" s="1"/>
      <c r="P488" s="1"/>
      <c r="Q488" s="1"/>
      <c r="R488" s="1"/>
      <c r="S488" s="1"/>
      <c r="T488" s="1"/>
      <c r="U488" s="2"/>
      <c r="V488" s="1"/>
      <c r="W488" s="1"/>
      <c r="X488" s="1"/>
      <c r="Y488" s="1"/>
      <c r="Z488" s="1"/>
    </row>
    <row r="489" spans="1:26" ht="39.75" customHeight="1">
      <c r="A489" s="1"/>
      <c r="B489" s="1"/>
      <c r="C489" s="1"/>
      <c r="D489" s="1"/>
      <c r="E489" s="1"/>
      <c r="F489" s="1"/>
      <c r="G489" s="1"/>
      <c r="H489" s="1"/>
      <c r="I489" s="1"/>
      <c r="J489" s="1"/>
      <c r="K489" s="1"/>
      <c r="L489" s="1"/>
      <c r="M489" s="1"/>
      <c r="N489" s="1"/>
      <c r="O489" s="1"/>
      <c r="P489" s="1"/>
      <c r="Q489" s="1"/>
      <c r="R489" s="1"/>
      <c r="S489" s="1"/>
      <c r="T489" s="1"/>
      <c r="U489" s="2"/>
      <c r="V489" s="1"/>
      <c r="W489" s="1"/>
      <c r="X489" s="1"/>
      <c r="Y489" s="1"/>
      <c r="Z489" s="1"/>
    </row>
    <row r="490" spans="1:26" ht="39.75" customHeight="1">
      <c r="A490" s="1"/>
      <c r="B490" s="1"/>
      <c r="C490" s="1"/>
      <c r="D490" s="1"/>
      <c r="E490" s="1"/>
      <c r="F490" s="1"/>
      <c r="G490" s="1"/>
      <c r="H490" s="1"/>
      <c r="I490" s="1"/>
      <c r="J490" s="1"/>
      <c r="K490" s="1"/>
      <c r="L490" s="1"/>
      <c r="M490" s="1"/>
      <c r="N490" s="1"/>
      <c r="O490" s="1"/>
      <c r="P490" s="1"/>
      <c r="Q490" s="1"/>
      <c r="R490" s="1"/>
      <c r="S490" s="1"/>
      <c r="T490" s="1"/>
      <c r="U490" s="2"/>
      <c r="V490" s="1"/>
      <c r="W490" s="1"/>
      <c r="X490" s="1"/>
      <c r="Y490" s="1"/>
      <c r="Z490" s="1"/>
    </row>
    <row r="491" spans="1:26" ht="39.75" customHeight="1">
      <c r="A491" s="1"/>
      <c r="B491" s="1"/>
      <c r="C491" s="1"/>
      <c r="D491" s="1"/>
      <c r="E491" s="1"/>
      <c r="F491" s="1"/>
      <c r="G491" s="1"/>
      <c r="H491" s="1"/>
      <c r="I491" s="1"/>
      <c r="J491" s="1"/>
      <c r="K491" s="1"/>
      <c r="L491" s="1"/>
      <c r="M491" s="1"/>
      <c r="N491" s="1"/>
      <c r="O491" s="1"/>
      <c r="P491" s="1"/>
      <c r="Q491" s="1"/>
      <c r="R491" s="1"/>
      <c r="S491" s="1"/>
      <c r="T491" s="1"/>
      <c r="U491" s="2"/>
      <c r="V491" s="1"/>
      <c r="W491" s="1"/>
      <c r="X491" s="1"/>
      <c r="Y491" s="1"/>
      <c r="Z491" s="1"/>
    </row>
    <row r="492" spans="1:26" ht="39.75" customHeight="1">
      <c r="A492" s="1"/>
      <c r="B492" s="1"/>
      <c r="C492" s="1"/>
      <c r="D492" s="1"/>
      <c r="E492" s="1"/>
      <c r="F492" s="1"/>
      <c r="G492" s="1"/>
      <c r="H492" s="1"/>
      <c r="I492" s="1"/>
      <c r="J492" s="1"/>
      <c r="K492" s="1"/>
      <c r="L492" s="1"/>
      <c r="M492" s="1"/>
      <c r="N492" s="1"/>
      <c r="O492" s="1"/>
      <c r="P492" s="1"/>
      <c r="Q492" s="1"/>
      <c r="R492" s="1"/>
      <c r="S492" s="1"/>
      <c r="T492" s="1"/>
      <c r="U492" s="2"/>
      <c r="V492" s="1"/>
      <c r="W492" s="1"/>
      <c r="X492" s="1"/>
      <c r="Y492" s="1"/>
      <c r="Z492" s="1"/>
    </row>
    <row r="493" spans="1:26" ht="39.75" customHeight="1">
      <c r="A493" s="1"/>
      <c r="B493" s="1"/>
      <c r="C493" s="1"/>
      <c r="D493" s="1"/>
      <c r="E493" s="1"/>
      <c r="F493" s="1"/>
      <c r="G493" s="1"/>
      <c r="H493" s="1"/>
      <c r="I493" s="1"/>
      <c r="J493" s="1"/>
      <c r="K493" s="1"/>
      <c r="L493" s="1"/>
      <c r="M493" s="1"/>
      <c r="N493" s="1"/>
      <c r="O493" s="1"/>
      <c r="P493" s="1"/>
      <c r="Q493" s="1"/>
      <c r="R493" s="1"/>
      <c r="S493" s="1"/>
      <c r="T493" s="1"/>
      <c r="U493" s="2"/>
      <c r="V493" s="1"/>
      <c r="W493" s="1"/>
      <c r="X493" s="1"/>
      <c r="Y493" s="1"/>
      <c r="Z493" s="1"/>
    </row>
    <row r="494" spans="1:26" ht="39.75" customHeight="1">
      <c r="A494" s="1"/>
      <c r="B494" s="1"/>
      <c r="C494" s="1"/>
      <c r="D494" s="1"/>
      <c r="E494" s="1"/>
      <c r="F494" s="1"/>
      <c r="G494" s="1"/>
      <c r="H494" s="1"/>
      <c r="I494" s="1"/>
      <c r="J494" s="1"/>
      <c r="K494" s="1"/>
      <c r="L494" s="1"/>
      <c r="M494" s="1"/>
      <c r="N494" s="1"/>
      <c r="O494" s="1"/>
      <c r="P494" s="1"/>
      <c r="Q494" s="1"/>
      <c r="R494" s="1"/>
      <c r="S494" s="1"/>
      <c r="T494" s="1"/>
      <c r="U494" s="2"/>
      <c r="V494" s="1"/>
      <c r="W494" s="1"/>
      <c r="X494" s="1"/>
      <c r="Y494" s="1"/>
      <c r="Z494" s="1"/>
    </row>
    <row r="495" spans="1:26" ht="39.75" customHeight="1">
      <c r="A495" s="1"/>
      <c r="B495" s="1"/>
      <c r="C495" s="1"/>
      <c r="D495" s="1"/>
      <c r="E495" s="1"/>
      <c r="F495" s="1"/>
      <c r="G495" s="1"/>
      <c r="H495" s="1"/>
      <c r="I495" s="1"/>
      <c r="J495" s="1"/>
      <c r="K495" s="1"/>
      <c r="L495" s="1"/>
      <c r="M495" s="1"/>
      <c r="N495" s="1"/>
      <c r="O495" s="1"/>
      <c r="P495" s="1"/>
      <c r="Q495" s="1"/>
      <c r="R495" s="1"/>
      <c r="S495" s="1"/>
      <c r="T495" s="1"/>
      <c r="U495" s="2"/>
      <c r="V495" s="1"/>
      <c r="W495" s="1"/>
      <c r="X495" s="1"/>
      <c r="Y495" s="1"/>
      <c r="Z495" s="1"/>
    </row>
    <row r="496" spans="1:26" ht="39.75" customHeight="1">
      <c r="A496" s="1"/>
      <c r="B496" s="1"/>
      <c r="C496" s="1"/>
      <c r="D496" s="1"/>
      <c r="E496" s="1"/>
      <c r="F496" s="1"/>
      <c r="G496" s="1"/>
      <c r="H496" s="1"/>
      <c r="I496" s="1"/>
      <c r="J496" s="1"/>
      <c r="K496" s="1"/>
      <c r="L496" s="1"/>
      <c r="M496" s="1"/>
      <c r="N496" s="1"/>
      <c r="O496" s="1"/>
      <c r="P496" s="1"/>
      <c r="Q496" s="1"/>
      <c r="R496" s="1"/>
      <c r="S496" s="1"/>
      <c r="T496" s="1"/>
      <c r="U496" s="2"/>
      <c r="V496" s="1"/>
      <c r="W496" s="1"/>
      <c r="X496" s="1"/>
      <c r="Y496" s="1"/>
      <c r="Z496" s="1"/>
    </row>
    <row r="497" spans="1:26" ht="39.75" customHeight="1">
      <c r="A497" s="1"/>
      <c r="B497" s="1"/>
      <c r="C497" s="1"/>
      <c r="D497" s="1"/>
      <c r="E497" s="1"/>
      <c r="F497" s="1"/>
      <c r="G497" s="1"/>
      <c r="H497" s="1"/>
      <c r="I497" s="1"/>
      <c r="J497" s="1"/>
      <c r="K497" s="1"/>
      <c r="L497" s="1"/>
      <c r="M497" s="1"/>
      <c r="N497" s="1"/>
      <c r="O497" s="1"/>
      <c r="P497" s="1"/>
      <c r="Q497" s="1"/>
      <c r="R497" s="1"/>
      <c r="S497" s="1"/>
      <c r="T497" s="1"/>
      <c r="U497" s="2"/>
      <c r="V497" s="1"/>
      <c r="W497" s="1"/>
      <c r="X497" s="1"/>
      <c r="Y497" s="1"/>
      <c r="Z497" s="1"/>
    </row>
    <row r="498" spans="1:26" ht="39.75" customHeight="1">
      <c r="A498" s="1"/>
      <c r="B498" s="1"/>
      <c r="C498" s="1"/>
      <c r="D498" s="1"/>
      <c r="E498" s="1"/>
      <c r="F498" s="1"/>
      <c r="G498" s="1"/>
      <c r="H498" s="1"/>
      <c r="I498" s="1"/>
      <c r="J498" s="1"/>
      <c r="K498" s="1"/>
      <c r="L498" s="1"/>
      <c r="M498" s="1"/>
      <c r="N498" s="1"/>
      <c r="O498" s="1"/>
      <c r="P498" s="1"/>
      <c r="Q498" s="1"/>
      <c r="R498" s="1"/>
      <c r="S498" s="1"/>
      <c r="T498" s="1"/>
      <c r="U498" s="2"/>
      <c r="V498" s="1"/>
      <c r="W498" s="1"/>
      <c r="X498" s="1"/>
      <c r="Y498" s="1"/>
      <c r="Z498" s="1"/>
    </row>
    <row r="499" spans="1:26" ht="39.75" customHeight="1">
      <c r="A499" s="1"/>
      <c r="B499" s="1"/>
      <c r="C499" s="1"/>
      <c r="D499" s="1"/>
      <c r="E499" s="1"/>
      <c r="F499" s="1"/>
      <c r="G499" s="1"/>
      <c r="H499" s="1"/>
      <c r="I499" s="1"/>
      <c r="J499" s="1"/>
      <c r="K499" s="1"/>
      <c r="L499" s="1"/>
      <c r="M499" s="1"/>
      <c r="N499" s="1"/>
      <c r="O499" s="1"/>
      <c r="P499" s="1"/>
      <c r="Q499" s="1"/>
      <c r="R499" s="1"/>
      <c r="S499" s="1"/>
      <c r="T499" s="1"/>
      <c r="U499" s="2"/>
      <c r="V499" s="1"/>
      <c r="W499" s="1"/>
      <c r="X499" s="1"/>
      <c r="Y499" s="1"/>
      <c r="Z499" s="1"/>
    </row>
    <row r="500" spans="1:26" ht="39.75" customHeight="1">
      <c r="A500" s="1"/>
      <c r="B500" s="1"/>
      <c r="C500" s="1"/>
      <c r="D500" s="1"/>
      <c r="E500" s="1"/>
      <c r="F500" s="1"/>
      <c r="G500" s="1"/>
      <c r="H500" s="1"/>
      <c r="I500" s="1"/>
      <c r="J500" s="1"/>
      <c r="K500" s="1"/>
      <c r="L500" s="1"/>
      <c r="M500" s="1"/>
      <c r="N500" s="1"/>
      <c r="O500" s="1"/>
      <c r="P500" s="1"/>
      <c r="Q500" s="1"/>
      <c r="R500" s="1"/>
      <c r="S500" s="1"/>
      <c r="T500" s="1"/>
      <c r="U500" s="2"/>
      <c r="V500" s="1"/>
      <c r="W500" s="1"/>
      <c r="X500" s="1"/>
      <c r="Y500" s="1"/>
      <c r="Z500" s="1"/>
    </row>
    <row r="501" spans="1:26" ht="39.75" customHeight="1">
      <c r="A501" s="1"/>
      <c r="B501" s="1"/>
      <c r="C501" s="1"/>
      <c r="D501" s="1"/>
      <c r="E501" s="1"/>
      <c r="F501" s="1"/>
      <c r="G501" s="1"/>
      <c r="H501" s="1"/>
      <c r="I501" s="1"/>
      <c r="J501" s="1"/>
      <c r="K501" s="1"/>
      <c r="L501" s="1"/>
      <c r="M501" s="1"/>
      <c r="N501" s="1"/>
      <c r="O501" s="1"/>
      <c r="P501" s="1"/>
      <c r="Q501" s="1"/>
      <c r="R501" s="1"/>
      <c r="S501" s="1"/>
      <c r="T501" s="1"/>
      <c r="U501" s="2"/>
      <c r="V501" s="1"/>
      <c r="W501" s="1"/>
      <c r="X501" s="1"/>
      <c r="Y501" s="1"/>
      <c r="Z501" s="1"/>
    </row>
    <row r="502" spans="1:26" ht="39.75" customHeight="1">
      <c r="A502" s="1"/>
      <c r="B502" s="1"/>
      <c r="C502" s="1"/>
      <c r="D502" s="1"/>
      <c r="E502" s="1"/>
      <c r="F502" s="1"/>
      <c r="G502" s="1"/>
      <c r="H502" s="1"/>
      <c r="I502" s="1"/>
      <c r="J502" s="1"/>
      <c r="K502" s="1"/>
      <c r="L502" s="1"/>
      <c r="M502" s="1"/>
      <c r="N502" s="1"/>
      <c r="O502" s="1"/>
      <c r="P502" s="1"/>
      <c r="Q502" s="1"/>
      <c r="R502" s="1"/>
      <c r="S502" s="1"/>
      <c r="T502" s="1"/>
      <c r="U502" s="2"/>
      <c r="V502" s="1"/>
      <c r="W502" s="1"/>
      <c r="X502" s="1"/>
      <c r="Y502" s="1"/>
      <c r="Z502" s="1"/>
    </row>
    <row r="503" spans="1:26" ht="39.75" customHeight="1">
      <c r="A503" s="1"/>
      <c r="B503" s="1"/>
      <c r="C503" s="1"/>
      <c r="D503" s="1"/>
      <c r="E503" s="1"/>
      <c r="F503" s="1"/>
      <c r="G503" s="1"/>
      <c r="H503" s="1"/>
      <c r="I503" s="1"/>
      <c r="J503" s="1"/>
      <c r="K503" s="1"/>
      <c r="L503" s="1"/>
      <c r="M503" s="1"/>
      <c r="N503" s="1"/>
      <c r="O503" s="1"/>
      <c r="P503" s="1"/>
      <c r="Q503" s="1"/>
      <c r="R503" s="1"/>
      <c r="S503" s="1"/>
      <c r="T503" s="1"/>
      <c r="U503" s="2"/>
      <c r="V503" s="1"/>
      <c r="W503" s="1"/>
      <c r="X503" s="1"/>
      <c r="Y503" s="1"/>
      <c r="Z503" s="1"/>
    </row>
    <row r="504" spans="1:26" ht="39.75" customHeight="1">
      <c r="A504" s="1"/>
      <c r="B504" s="1"/>
      <c r="C504" s="1"/>
      <c r="D504" s="1"/>
      <c r="E504" s="1"/>
      <c r="F504" s="1"/>
      <c r="G504" s="1"/>
      <c r="H504" s="1"/>
      <c r="I504" s="1"/>
      <c r="J504" s="1"/>
      <c r="K504" s="1"/>
      <c r="L504" s="1"/>
      <c r="M504" s="1"/>
      <c r="N504" s="1"/>
      <c r="O504" s="1"/>
      <c r="P504" s="1"/>
      <c r="Q504" s="1"/>
      <c r="R504" s="1"/>
      <c r="S504" s="1"/>
      <c r="T504" s="1"/>
      <c r="U504" s="2"/>
      <c r="V504" s="1"/>
      <c r="W504" s="1"/>
      <c r="X504" s="1"/>
      <c r="Y504" s="1"/>
      <c r="Z504" s="1"/>
    </row>
    <row r="505" spans="1:26" ht="39.75" customHeight="1">
      <c r="A505" s="1"/>
      <c r="B505" s="1"/>
      <c r="C505" s="1"/>
      <c r="D505" s="1"/>
      <c r="E505" s="1"/>
      <c r="F505" s="1"/>
      <c r="G505" s="1"/>
      <c r="H505" s="1"/>
      <c r="I505" s="1"/>
      <c r="J505" s="1"/>
      <c r="K505" s="1"/>
      <c r="L505" s="1"/>
      <c r="M505" s="1"/>
      <c r="N505" s="1"/>
      <c r="O505" s="1"/>
      <c r="P505" s="1"/>
      <c r="Q505" s="1"/>
      <c r="R505" s="1"/>
      <c r="S505" s="1"/>
      <c r="T505" s="1"/>
      <c r="U505" s="2"/>
      <c r="V505" s="1"/>
      <c r="W505" s="1"/>
      <c r="X505" s="1"/>
      <c r="Y505" s="1"/>
      <c r="Z505" s="1"/>
    </row>
    <row r="506" spans="1:26" ht="39.75" customHeight="1">
      <c r="A506" s="1"/>
      <c r="B506" s="1"/>
      <c r="C506" s="1"/>
      <c r="D506" s="1"/>
      <c r="E506" s="1"/>
      <c r="F506" s="1"/>
      <c r="G506" s="1"/>
      <c r="H506" s="1"/>
      <c r="I506" s="1"/>
      <c r="J506" s="1"/>
      <c r="K506" s="1"/>
      <c r="L506" s="1"/>
      <c r="M506" s="1"/>
      <c r="N506" s="1"/>
      <c r="O506" s="1"/>
      <c r="P506" s="1"/>
      <c r="Q506" s="1"/>
      <c r="R506" s="1"/>
      <c r="S506" s="1"/>
      <c r="T506" s="1"/>
      <c r="U506" s="2"/>
      <c r="V506" s="1"/>
      <c r="W506" s="1"/>
      <c r="X506" s="1"/>
      <c r="Y506" s="1"/>
      <c r="Z506" s="1"/>
    </row>
    <row r="507" spans="1:26" ht="39.75" customHeight="1">
      <c r="A507" s="1"/>
      <c r="B507" s="1"/>
      <c r="C507" s="1"/>
      <c r="D507" s="1"/>
      <c r="E507" s="1"/>
      <c r="F507" s="1"/>
      <c r="G507" s="1"/>
      <c r="H507" s="1"/>
      <c r="I507" s="1"/>
      <c r="J507" s="1"/>
      <c r="K507" s="1"/>
      <c r="L507" s="1"/>
      <c r="M507" s="1"/>
      <c r="N507" s="1"/>
      <c r="O507" s="1"/>
      <c r="P507" s="1"/>
      <c r="Q507" s="1"/>
      <c r="R507" s="1"/>
      <c r="S507" s="1"/>
      <c r="T507" s="1"/>
      <c r="U507" s="2"/>
      <c r="V507" s="1"/>
      <c r="W507" s="1"/>
      <c r="X507" s="1"/>
      <c r="Y507" s="1"/>
      <c r="Z507" s="1"/>
    </row>
    <row r="508" spans="1:26" ht="39.75" customHeight="1">
      <c r="A508" s="1"/>
      <c r="B508" s="1"/>
      <c r="C508" s="1"/>
      <c r="D508" s="1"/>
      <c r="E508" s="1"/>
      <c r="F508" s="1"/>
      <c r="G508" s="1"/>
      <c r="H508" s="1"/>
      <c r="I508" s="1"/>
      <c r="J508" s="1"/>
      <c r="K508" s="1"/>
      <c r="L508" s="1"/>
      <c r="M508" s="1"/>
      <c r="N508" s="1"/>
      <c r="O508" s="1"/>
      <c r="P508" s="1"/>
      <c r="Q508" s="1"/>
      <c r="R508" s="1"/>
      <c r="S508" s="1"/>
      <c r="T508" s="1"/>
      <c r="U508" s="2"/>
      <c r="V508" s="1"/>
      <c r="W508" s="1"/>
      <c r="X508" s="1"/>
      <c r="Y508" s="1"/>
      <c r="Z508" s="1"/>
    </row>
    <row r="509" spans="1:26" ht="39.75" customHeight="1">
      <c r="A509" s="1"/>
      <c r="B509" s="1"/>
      <c r="C509" s="1"/>
      <c r="D509" s="1"/>
      <c r="E509" s="1"/>
      <c r="F509" s="1"/>
      <c r="G509" s="1"/>
      <c r="H509" s="1"/>
      <c r="I509" s="1"/>
      <c r="J509" s="1"/>
      <c r="K509" s="1"/>
      <c r="L509" s="1"/>
      <c r="M509" s="1"/>
      <c r="N509" s="1"/>
      <c r="O509" s="1"/>
      <c r="P509" s="1"/>
      <c r="Q509" s="1"/>
      <c r="R509" s="1"/>
      <c r="S509" s="1"/>
      <c r="T509" s="1"/>
      <c r="U509" s="2"/>
      <c r="V509" s="1"/>
      <c r="W509" s="1"/>
      <c r="X509" s="1"/>
      <c r="Y509" s="1"/>
      <c r="Z509" s="1"/>
    </row>
    <row r="510" spans="1:26" ht="39.75" customHeight="1">
      <c r="A510" s="1"/>
      <c r="B510" s="1"/>
      <c r="C510" s="1"/>
      <c r="D510" s="1"/>
      <c r="E510" s="1"/>
      <c r="F510" s="1"/>
      <c r="G510" s="1"/>
      <c r="H510" s="1"/>
      <c r="I510" s="1"/>
      <c r="J510" s="1"/>
      <c r="K510" s="1"/>
      <c r="L510" s="1"/>
      <c r="M510" s="1"/>
      <c r="N510" s="1"/>
      <c r="O510" s="1"/>
      <c r="P510" s="1"/>
      <c r="Q510" s="1"/>
      <c r="R510" s="1"/>
      <c r="S510" s="1"/>
      <c r="T510" s="1"/>
      <c r="U510" s="2"/>
      <c r="V510" s="1"/>
      <c r="W510" s="1"/>
      <c r="X510" s="1"/>
      <c r="Y510" s="1"/>
      <c r="Z510" s="1"/>
    </row>
    <row r="511" spans="1:26" ht="39.75" customHeight="1">
      <c r="A511" s="1"/>
      <c r="B511" s="1"/>
      <c r="C511" s="1"/>
      <c r="D511" s="1"/>
      <c r="E511" s="1"/>
      <c r="F511" s="1"/>
      <c r="G511" s="1"/>
      <c r="H511" s="1"/>
      <c r="I511" s="1"/>
      <c r="J511" s="1"/>
      <c r="K511" s="1"/>
      <c r="L511" s="1"/>
      <c r="M511" s="1"/>
      <c r="N511" s="1"/>
      <c r="O511" s="1"/>
      <c r="P511" s="1"/>
      <c r="Q511" s="1"/>
      <c r="R511" s="1"/>
      <c r="S511" s="1"/>
      <c r="T511" s="1"/>
      <c r="U511" s="2"/>
      <c r="V511" s="1"/>
      <c r="W511" s="1"/>
      <c r="X511" s="1"/>
      <c r="Y511" s="1"/>
      <c r="Z511" s="1"/>
    </row>
    <row r="512" spans="1:26" ht="39.75" customHeight="1">
      <c r="A512" s="1"/>
      <c r="B512" s="1"/>
      <c r="C512" s="1"/>
      <c r="D512" s="1"/>
      <c r="E512" s="1"/>
      <c r="F512" s="1"/>
      <c r="G512" s="1"/>
      <c r="H512" s="1"/>
      <c r="I512" s="1"/>
      <c r="J512" s="1"/>
      <c r="K512" s="1"/>
      <c r="L512" s="1"/>
      <c r="M512" s="1"/>
      <c r="N512" s="1"/>
      <c r="O512" s="1"/>
      <c r="P512" s="1"/>
      <c r="Q512" s="1"/>
      <c r="R512" s="1"/>
      <c r="S512" s="1"/>
      <c r="T512" s="1"/>
      <c r="U512" s="2"/>
      <c r="V512" s="1"/>
      <c r="W512" s="1"/>
      <c r="X512" s="1"/>
      <c r="Y512" s="1"/>
      <c r="Z512" s="1"/>
    </row>
    <row r="513" spans="1:26" ht="39.75" customHeight="1">
      <c r="A513" s="1"/>
      <c r="B513" s="1"/>
      <c r="C513" s="1"/>
      <c r="D513" s="1"/>
      <c r="E513" s="1"/>
      <c r="F513" s="1"/>
      <c r="G513" s="1"/>
      <c r="H513" s="1"/>
      <c r="I513" s="1"/>
      <c r="J513" s="1"/>
      <c r="K513" s="1"/>
      <c r="L513" s="1"/>
      <c r="M513" s="1"/>
      <c r="N513" s="1"/>
      <c r="O513" s="1"/>
      <c r="P513" s="1"/>
      <c r="Q513" s="1"/>
      <c r="R513" s="1"/>
      <c r="S513" s="1"/>
      <c r="T513" s="1"/>
      <c r="U513" s="2"/>
      <c r="V513" s="1"/>
      <c r="W513" s="1"/>
      <c r="X513" s="1"/>
      <c r="Y513" s="1"/>
      <c r="Z513" s="1"/>
    </row>
    <row r="514" spans="1:26" ht="39.75" customHeight="1">
      <c r="A514" s="1"/>
      <c r="B514" s="1"/>
      <c r="C514" s="1"/>
      <c r="D514" s="1"/>
      <c r="E514" s="1"/>
      <c r="F514" s="1"/>
      <c r="G514" s="1"/>
      <c r="H514" s="1"/>
      <c r="I514" s="1"/>
      <c r="J514" s="1"/>
      <c r="K514" s="1"/>
      <c r="L514" s="1"/>
      <c r="M514" s="1"/>
      <c r="N514" s="1"/>
      <c r="O514" s="1"/>
      <c r="P514" s="1"/>
      <c r="Q514" s="1"/>
      <c r="R514" s="1"/>
      <c r="S514" s="1"/>
      <c r="T514" s="1"/>
      <c r="U514" s="2"/>
      <c r="V514" s="1"/>
      <c r="W514" s="1"/>
      <c r="X514" s="1"/>
      <c r="Y514" s="1"/>
      <c r="Z514" s="1"/>
    </row>
    <row r="515" spans="1:26" ht="39.75" customHeight="1">
      <c r="A515" s="1"/>
      <c r="B515" s="1"/>
      <c r="C515" s="1"/>
      <c r="D515" s="1"/>
      <c r="E515" s="1"/>
      <c r="F515" s="1"/>
      <c r="G515" s="1"/>
      <c r="H515" s="1"/>
      <c r="I515" s="1"/>
      <c r="J515" s="1"/>
      <c r="K515" s="1"/>
      <c r="L515" s="1"/>
      <c r="M515" s="1"/>
      <c r="N515" s="1"/>
      <c r="O515" s="1"/>
      <c r="P515" s="1"/>
      <c r="Q515" s="1"/>
      <c r="R515" s="1"/>
      <c r="S515" s="1"/>
      <c r="T515" s="1"/>
      <c r="U515" s="2"/>
      <c r="V515" s="1"/>
      <c r="W515" s="1"/>
      <c r="X515" s="1"/>
      <c r="Y515" s="1"/>
      <c r="Z515" s="1"/>
    </row>
    <row r="516" spans="1:26" ht="39.75" customHeight="1">
      <c r="A516" s="1"/>
      <c r="B516" s="1"/>
      <c r="C516" s="1"/>
      <c r="D516" s="1"/>
      <c r="E516" s="1"/>
      <c r="F516" s="1"/>
      <c r="G516" s="1"/>
      <c r="H516" s="1"/>
      <c r="I516" s="1"/>
      <c r="J516" s="1"/>
      <c r="K516" s="1"/>
      <c r="L516" s="1"/>
      <c r="M516" s="1"/>
      <c r="N516" s="1"/>
      <c r="O516" s="1"/>
      <c r="P516" s="1"/>
      <c r="Q516" s="1"/>
      <c r="R516" s="1"/>
      <c r="S516" s="1"/>
      <c r="T516" s="1"/>
      <c r="U516" s="2"/>
      <c r="V516" s="1"/>
      <c r="W516" s="1"/>
      <c r="X516" s="1"/>
      <c r="Y516" s="1"/>
      <c r="Z516" s="1"/>
    </row>
    <row r="517" spans="1:26" ht="39.75" customHeight="1">
      <c r="A517" s="1"/>
      <c r="B517" s="1"/>
      <c r="C517" s="1"/>
      <c r="D517" s="1"/>
      <c r="E517" s="1"/>
      <c r="F517" s="1"/>
      <c r="G517" s="1"/>
      <c r="H517" s="1"/>
      <c r="I517" s="1"/>
      <c r="J517" s="1"/>
      <c r="K517" s="1"/>
      <c r="L517" s="1"/>
      <c r="M517" s="1"/>
      <c r="N517" s="1"/>
      <c r="O517" s="1"/>
      <c r="P517" s="1"/>
      <c r="Q517" s="1"/>
      <c r="R517" s="1"/>
      <c r="S517" s="1"/>
      <c r="T517" s="1"/>
      <c r="U517" s="2"/>
      <c r="V517" s="1"/>
      <c r="W517" s="1"/>
      <c r="X517" s="1"/>
      <c r="Y517" s="1"/>
      <c r="Z517" s="1"/>
    </row>
    <row r="518" spans="1:26" ht="39.75" customHeight="1">
      <c r="A518" s="1"/>
      <c r="B518" s="1"/>
      <c r="C518" s="1"/>
      <c r="D518" s="1"/>
      <c r="E518" s="1"/>
      <c r="F518" s="1"/>
      <c r="G518" s="1"/>
      <c r="H518" s="1"/>
      <c r="I518" s="1"/>
      <c r="J518" s="1"/>
      <c r="K518" s="1"/>
      <c r="L518" s="1"/>
      <c r="M518" s="1"/>
      <c r="N518" s="1"/>
      <c r="O518" s="1"/>
      <c r="P518" s="1"/>
      <c r="Q518" s="1"/>
      <c r="R518" s="1"/>
      <c r="S518" s="1"/>
      <c r="T518" s="1"/>
      <c r="U518" s="2"/>
      <c r="V518" s="1"/>
      <c r="W518" s="1"/>
      <c r="X518" s="1"/>
      <c r="Y518" s="1"/>
      <c r="Z518" s="1"/>
    </row>
    <row r="519" spans="1:26" ht="39.75" customHeight="1">
      <c r="A519" s="1"/>
      <c r="B519" s="1"/>
      <c r="C519" s="1"/>
      <c r="D519" s="1"/>
      <c r="E519" s="1"/>
      <c r="F519" s="1"/>
      <c r="G519" s="1"/>
      <c r="H519" s="1"/>
      <c r="I519" s="1"/>
      <c r="J519" s="1"/>
      <c r="K519" s="1"/>
      <c r="L519" s="1"/>
      <c r="M519" s="1"/>
      <c r="N519" s="1"/>
      <c r="O519" s="1"/>
      <c r="P519" s="1"/>
      <c r="Q519" s="1"/>
      <c r="R519" s="1"/>
      <c r="S519" s="1"/>
      <c r="T519" s="1"/>
      <c r="U519" s="2"/>
      <c r="V519" s="1"/>
      <c r="W519" s="1"/>
      <c r="X519" s="1"/>
      <c r="Y519" s="1"/>
      <c r="Z519" s="1"/>
    </row>
    <row r="520" spans="1:26" ht="39.75" customHeight="1">
      <c r="A520" s="1"/>
      <c r="B520" s="1"/>
      <c r="C520" s="1"/>
      <c r="D520" s="1"/>
      <c r="E520" s="1"/>
      <c r="F520" s="1"/>
      <c r="G520" s="1"/>
      <c r="H520" s="1"/>
      <c r="I520" s="1"/>
      <c r="J520" s="1"/>
      <c r="K520" s="1"/>
      <c r="L520" s="1"/>
      <c r="M520" s="1"/>
      <c r="N520" s="1"/>
      <c r="O520" s="1"/>
      <c r="P520" s="1"/>
      <c r="Q520" s="1"/>
      <c r="R520" s="1"/>
      <c r="S520" s="1"/>
      <c r="T520" s="1"/>
      <c r="U520" s="2"/>
      <c r="V520" s="1"/>
      <c r="W520" s="1"/>
      <c r="X520" s="1"/>
      <c r="Y520" s="1"/>
      <c r="Z520" s="1"/>
    </row>
    <row r="521" spans="1:26" ht="39.75" customHeight="1">
      <c r="A521" s="1"/>
      <c r="B521" s="1"/>
      <c r="C521" s="1"/>
      <c r="D521" s="1"/>
      <c r="E521" s="1"/>
      <c r="F521" s="1"/>
      <c r="G521" s="1"/>
      <c r="H521" s="1"/>
      <c r="I521" s="1"/>
      <c r="J521" s="1"/>
      <c r="K521" s="1"/>
      <c r="L521" s="1"/>
      <c r="M521" s="1"/>
      <c r="N521" s="1"/>
      <c r="O521" s="1"/>
      <c r="P521" s="1"/>
      <c r="Q521" s="1"/>
      <c r="R521" s="1"/>
      <c r="S521" s="1"/>
      <c r="T521" s="1"/>
      <c r="U521" s="2"/>
      <c r="V521" s="1"/>
      <c r="W521" s="1"/>
      <c r="X521" s="1"/>
      <c r="Y521" s="1"/>
      <c r="Z521" s="1"/>
    </row>
    <row r="522" spans="1:26" ht="39.75" customHeight="1">
      <c r="A522" s="1"/>
      <c r="B522" s="1"/>
      <c r="C522" s="1"/>
      <c r="D522" s="1"/>
      <c r="E522" s="1"/>
      <c r="F522" s="1"/>
      <c r="G522" s="1"/>
      <c r="H522" s="1"/>
      <c r="I522" s="1"/>
      <c r="J522" s="1"/>
      <c r="K522" s="1"/>
      <c r="L522" s="1"/>
      <c r="M522" s="1"/>
      <c r="N522" s="1"/>
      <c r="O522" s="1"/>
      <c r="P522" s="1"/>
      <c r="Q522" s="1"/>
      <c r="R522" s="1"/>
      <c r="S522" s="1"/>
      <c r="T522" s="1"/>
      <c r="U522" s="2"/>
      <c r="V522" s="1"/>
      <c r="W522" s="1"/>
      <c r="X522" s="1"/>
      <c r="Y522" s="1"/>
      <c r="Z522" s="1"/>
    </row>
    <row r="523" spans="1:26" ht="39.75" customHeight="1">
      <c r="A523" s="1"/>
      <c r="B523" s="1"/>
      <c r="C523" s="1"/>
      <c r="D523" s="1"/>
      <c r="E523" s="1"/>
      <c r="F523" s="1"/>
      <c r="G523" s="1"/>
      <c r="H523" s="1"/>
      <c r="I523" s="1"/>
      <c r="J523" s="1"/>
      <c r="K523" s="1"/>
      <c r="L523" s="1"/>
      <c r="M523" s="1"/>
      <c r="N523" s="1"/>
      <c r="O523" s="1"/>
      <c r="P523" s="1"/>
      <c r="Q523" s="1"/>
      <c r="R523" s="1"/>
      <c r="S523" s="1"/>
      <c r="T523" s="1"/>
      <c r="U523" s="2"/>
      <c r="V523" s="1"/>
      <c r="W523" s="1"/>
      <c r="X523" s="1"/>
      <c r="Y523" s="1"/>
      <c r="Z523" s="1"/>
    </row>
    <row r="524" spans="1:26" ht="39.75" customHeight="1">
      <c r="A524" s="1"/>
      <c r="B524" s="1"/>
      <c r="C524" s="1"/>
      <c r="D524" s="1"/>
      <c r="E524" s="1"/>
      <c r="F524" s="1"/>
      <c r="G524" s="1"/>
      <c r="H524" s="1"/>
      <c r="I524" s="1"/>
      <c r="J524" s="1"/>
      <c r="K524" s="1"/>
      <c r="L524" s="1"/>
      <c r="M524" s="1"/>
      <c r="N524" s="1"/>
      <c r="O524" s="1"/>
      <c r="P524" s="1"/>
      <c r="Q524" s="1"/>
      <c r="R524" s="1"/>
      <c r="S524" s="1"/>
      <c r="T524" s="1"/>
      <c r="U524" s="2"/>
      <c r="V524" s="1"/>
      <c r="W524" s="1"/>
      <c r="X524" s="1"/>
      <c r="Y524" s="1"/>
      <c r="Z524" s="1"/>
    </row>
    <row r="525" spans="1:26" ht="39.75" customHeight="1">
      <c r="A525" s="1"/>
      <c r="B525" s="1"/>
      <c r="C525" s="1"/>
      <c r="D525" s="1"/>
      <c r="E525" s="1"/>
      <c r="F525" s="1"/>
      <c r="G525" s="1"/>
      <c r="H525" s="1"/>
      <c r="I525" s="1"/>
      <c r="J525" s="1"/>
      <c r="K525" s="1"/>
      <c r="L525" s="1"/>
      <c r="M525" s="1"/>
      <c r="N525" s="1"/>
      <c r="O525" s="1"/>
      <c r="P525" s="1"/>
      <c r="Q525" s="1"/>
      <c r="R525" s="1"/>
      <c r="S525" s="1"/>
      <c r="T525" s="1"/>
      <c r="U525" s="2"/>
      <c r="V525" s="1"/>
      <c r="W525" s="1"/>
      <c r="X525" s="1"/>
      <c r="Y525" s="1"/>
      <c r="Z525" s="1"/>
    </row>
    <row r="526" spans="1:26" ht="39.75" customHeight="1">
      <c r="A526" s="1"/>
      <c r="B526" s="1"/>
      <c r="C526" s="1"/>
      <c r="D526" s="1"/>
      <c r="E526" s="1"/>
      <c r="F526" s="1"/>
      <c r="G526" s="1"/>
      <c r="H526" s="1"/>
      <c r="I526" s="1"/>
      <c r="J526" s="1"/>
      <c r="K526" s="1"/>
      <c r="L526" s="1"/>
      <c r="M526" s="1"/>
      <c r="N526" s="1"/>
      <c r="O526" s="1"/>
      <c r="P526" s="1"/>
      <c r="Q526" s="1"/>
      <c r="R526" s="1"/>
      <c r="S526" s="1"/>
      <c r="T526" s="1"/>
      <c r="U526" s="2"/>
      <c r="V526" s="1"/>
      <c r="W526" s="1"/>
      <c r="X526" s="1"/>
      <c r="Y526" s="1"/>
      <c r="Z526" s="1"/>
    </row>
    <row r="527" spans="1:26" ht="39.75" customHeight="1">
      <c r="A527" s="1"/>
      <c r="B527" s="1"/>
      <c r="C527" s="1"/>
      <c r="D527" s="1"/>
      <c r="E527" s="1"/>
      <c r="F527" s="1"/>
      <c r="G527" s="1"/>
      <c r="H527" s="1"/>
      <c r="I527" s="1"/>
      <c r="J527" s="1"/>
      <c r="K527" s="1"/>
      <c r="L527" s="1"/>
      <c r="M527" s="1"/>
      <c r="N527" s="1"/>
      <c r="O527" s="1"/>
      <c r="P527" s="1"/>
      <c r="Q527" s="1"/>
      <c r="R527" s="1"/>
      <c r="S527" s="1"/>
      <c r="T527" s="1"/>
      <c r="U527" s="2"/>
      <c r="V527" s="1"/>
      <c r="W527" s="1"/>
      <c r="X527" s="1"/>
      <c r="Y527" s="1"/>
      <c r="Z527" s="1"/>
    </row>
    <row r="528" spans="1:26" ht="39.75" customHeight="1">
      <c r="A528" s="1"/>
      <c r="B528" s="1"/>
      <c r="C528" s="1"/>
      <c r="D528" s="1"/>
      <c r="E528" s="1"/>
      <c r="F528" s="1"/>
      <c r="G528" s="1"/>
      <c r="H528" s="1"/>
      <c r="I528" s="1"/>
      <c r="J528" s="1"/>
      <c r="K528" s="1"/>
      <c r="L528" s="1"/>
      <c r="M528" s="1"/>
      <c r="N528" s="1"/>
      <c r="O528" s="1"/>
      <c r="P528" s="1"/>
      <c r="Q528" s="1"/>
      <c r="R528" s="1"/>
      <c r="S528" s="1"/>
      <c r="T528" s="1"/>
      <c r="U528" s="2"/>
      <c r="V528" s="1"/>
      <c r="W528" s="1"/>
      <c r="X528" s="1"/>
      <c r="Y528" s="1"/>
      <c r="Z528" s="1"/>
    </row>
    <row r="529" spans="1:26" ht="39.75" customHeight="1">
      <c r="A529" s="1"/>
      <c r="B529" s="1"/>
      <c r="C529" s="1"/>
      <c r="D529" s="1"/>
      <c r="E529" s="1"/>
      <c r="F529" s="1"/>
      <c r="G529" s="1"/>
      <c r="H529" s="1"/>
      <c r="I529" s="1"/>
      <c r="J529" s="1"/>
      <c r="K529" s="1"/>
      <c r="L529" s="1"/>
      <c r="M529" s="1"/>
      <c r="N529" s="1"/>
      <c r="O529" s="1"/>
      <c r="P529" s="1"/>
      <c r="Q529" s="1"/>
      <c r="R529" s="1"/>
      <c r="S529" s="1"/>
      <c r="T529" s="1"/>
      <c r="U529" s="2"/>
      <c r="V529" s="1"/>
      <c r="W529" s="1"/>
      <c r="X529" s="1"/>
      <c r="Y529" s="1"/>
      <c r="Z529" s="1"/>
    </row>
    <row r="530" spans="1:26" ht="39.75" customHeight="1">
      <c r="A530" s="1"/>
      <c r="B530" s="1"/>
      <c r="C530" s="1"/>
      <c r="D530" s="1"/>
      <c r="E530" s="1"/>
      <c r="F530" s="1"/>
      <c r="G530" s="1"/>
      <c r="H530" s="1"/>
      <c r="I530" s="1"/>
      <c r="J530" s="1"/>
      <c r="K530" s="1"/>
      <c r="L530" s="1"/>
      <c r="M530" s="1"/>
      <c r="N530" s="1"/>
      <c r="O530" s="1"/>
      <c r="P530" s="1"/>
      <c r="Q530" s="1"/>
      <c r="R530" s="1"/>
      <c r="S530" s="1"/>
      <c r="T530" s="1"/>
      <c r="U530" s="2"/>
      <c r="V530" s="1"/>
      <c r="W530" s="1"/>
      <c r="X530" s="1"/>
      <c r="Y530" s="1"/>
      <c r="Z530" s="1"/>
    </row>
    <row r="531" spans="1:26" ht="39.75" customHeight="1">
      <c r="A531" s="1"/>
      <c r="B531" s="1"/>
      <c r="C531" s="1"/>
      <c r="D531" s="1"/>
      <c r="E531" s="1"/>
      <c r="F531" s="1"/>
      <c r="G531" s="1"/>
      <c r="H531" s="1"/>
      <c r="I531" s="1"/>
      <c r="J531" s="1"/>
      <c r="K531" s="1"/>
      <c r="L531" s="1"/>
      <c r="M531" s="1"/>
      <c r="N531" s="1"/>
      <c r="O531" s="1"/>
      <c r="P531" s="1"/>
      <c r="Q531" s="1"/>
      <c r="R531" s="1"/>
      <c r="S531" s="1"/>
      <c r="T531" s="1"/>
      <c r="U531" s="2"/>
      <c r="V531" s="1"/>
      <c r="W531" s="1"/>
      <c r="X531" s="1"/>
      <c r="Y531" s="1"/>
      <c r="Z531" s="1"/>
    </row>
    <row r="532" spans="1:26" ht="39.75" customHeight="1">
      <c r="A532" s="1"/>
      <c r="B532" s="1"/>
      <c r="C532" s="1"/>
      <c r="D532" s="1"/>
      <c r="E532" s="1"/>
      <c r="F532" s="1"/>
      <c r="G532" s="1"/>
      <c r="H532" s="1"/>
      <c r="I532" s="1"/>
      <c r="J532" s="1"/>
      <c r="K532" s="1"/>
      <c r="L532" s="1"/>
      <c r="M532" s="1"/>
      <c r="N532" s="1"/>
      <c r="O532" s="1"/>
      <c r="P532" s="1"/>
      <c r="Q532" s="1"/>
      <c r="R532" s="1"/>
      <c r="S532" s="1"/>
      <c r="T532" s="1"/>
      <c r="U532" s="2"/>
      <c r="V532" s="1"/>
      <c r="W532" s="1"/>
      <c r="X532" s="1"/>
      <c r="Y532" s="1"/>
      <c r="Z532" s="1"/>
    </row>
    <row r="533" spans="1:26" ht="39.75" customHeight="1">
      <c r="A533" s="1"/>
      <c r="B533" s="1"/>
      <c r="C533" s="1"/>
      <c r="D533" s="1"/>
      <c r="E533" s="1"/>
      <c r="F533" s="1"/>
      <c r="G533" s="1"/>
      <c r="H533" s="1"/>
      <c r="I533" s="1"/>
      <c r="J533" s="1"/>
      <c r="K533" s="1"/>
      <c r="L533" s="1"/>
      <c r="M533" s="1"/>
      <c r="N533" s="1"/>
      <c r="O533" s="1"/>
      <c r="P533" s="1"/>
      <c r="Q533" s="1"/>
      <c r="R533" s="1"/>
      <c r="S533" s="1"/>
      <c r="T533" s="1"/>
      <c r="U533" s="2"/>
      <c r="V533" s="1"/>
      <c r="W533" s="1"/>
      <c r="X533" s="1"/>
      <c r="Y533" s="1"/>
      <c r="Z533" s="1"/>
    </row>
    <row r="534" spans="1:26" ht="39.75" customHeight="1">
      <c r="A534" s="1"/>
      <c r="B534" s="1"/>
      <c r="C534" s="1"/>
      <c r="D534" s="1"/>
      <c r="E534" s="1"/>
      <c r="F534" s="1"/>
      <c r="G534" s="1"/>
      <c r="H534" s="1"/>
      <c r="I534" s="1"/>
      <c r="J534" s="1"/>
      <c r="K534" s="1"/>
      <c r="L534" s="1"/>
      <c r="M534" s="1"/>
      <c r="N534" s="1"/>
      <c r="O534" s="1"/>
      <c r="P534" s="1"/>
      <c r="Q534" s="1"/>
      <c r="R534" s="1"/>
      <c r="S534" s="1"/>
      <c r="T534" s="1"/>
      <c r="U534" s="2"/>
      <c r="V534" s="1"/>
      <c r="W534" s="1"/>
      <c r="X534" s="1"/>
      <c r="Y534" s="1"/>
      <c r="Z534" s="1"/>
    </row>
    <row r="535" spans="1:26" ht="39.75" customHeight="1">
      <c r="A535" s="1"/>
      <c r="B535" s="1"/>
      <c r="C535" s="1"/>
      <c r="D535" s="1"/>
      <c r="E535" s="1"/>
      <c r="F535" s="1"/>
      <c r="G535" s="1"/>
      <c r="H535" s="1"/>
      <c r="I535" s="1"/>
      <c r="J535" s="1"/>
      <c r="K535" s="1"/>
      <c r="L535" s="1"/>
      <c r="M535" s="1"/>
      <c r="N535" s="1"/>
      <c r="O535" s="1"/>
      <c r="P535" s="1"/>
      <c r="Q535" s="1"/>
      <c r="R535" s="1"/>
      <c r="S535" s="1"/>
      <c r="T535" s="1"/>
      <c r="U535" s="2"/>
      <c r="V535" s="1"/>
      <c r="W535" s="1"/>
      <c r="X535" s="1"/>
      <c r="Y535" s="1"/>
      <c r="Z535" s="1"/>
    </row>
    <row r="536" spans="1:26" ht="39.75" customHeight="1">
      <c r="A536" s="1"/>
      <c r="B536" s="1"/>
      <c r="C536" s="1"/>
      <c r="D536" s="1"/>
      <c r="E536" s="1"/>
      <c r="F536" s="1"/>
      <c r="G536" s="1"/>
      <c r="H536" s="1"/>
      <c r="I536" s="1"/>
      <c r="J536" s="1"/>
      <c r="K536" s="1"/>
      <c r="L536" s="1"/>
      <c r="M536" s="1"/>
      <c r="N536" s="1"/>
      <c r="O536" s="1"/>
      <c r="P536" s="1"/>
      <c r="Q536" s="1"/>
      <c r="R536" s="1"/>
      <c r="S536" s="1"/>
      <c r="T536" s="1"/>
      <c r="U536" s="2"/>
      <c r="V536" s="1"/>
      <c r="W536" s="1"/>
      <c r="X536" s="1"/>
      <c r="Y536" s="1"/>
      <c r="Z536" s="1"/>
    </row>
    <row r="537" spans="1:26" ht="39.75" customHeight="1">
      <c r="A537" s="1"/>
      <c r="B537" s="1"/>
      <c r="C537" s="1"/>
      <c r="D537" s="1"/>
      <c r="E537" s="1"/>
      <c r="F537" s="1"/>
      <c r="G537" s="1"/>
      <c r="H537" s="1"/>
      <c r="I537" s="1"/>
      <c r="J537" s="1"/>
      <c r="K537" s="1"/>
      <c r="L537" s="1"/>
      <c r="M537" s="1"/>
      <c r="N537" s="1"/>
      <c r="O537" s="1"/>
      <c r="P537" s="1"/>
      <c r="Q537" s="1"/>
      <c r="R537" s="1"/>
      <c r="S537" s="1"/>
      <c r="T537" s="1"/>
      <c r="U537" s="2"/>
      <c r="V537" s="1"/>
      <c r="W537" s="1"/>
      <c r="X537" s="1"/>
      <c r="Y537" s="1"/>
      <c r="Z537" s="1"/>
    </row>
    <row r="538" spans="1:26" ht="39.75" customHeight="1">
      <c r="A538" s="1"/>
      <c r="B538" s="1"/>
      <c r="C538" s="1"/>
      <c r="D538" s="1"/>
      <c r="E538" s="1"/>
      <c r="F538" s="1"/>
      <c r="G538" s="1"/>
      <c r="H538" s="1"/>
      <c r="I538" s="1"/>
      <c r="J538" s="1"/>
      <c r="K538" s="1"/>
      <c r="L538" s="1"/>
      <c r="M538" s="1"/>
      <c r="N538" s="1"/>
      <c r="O538" s="1"/>
      <c r="P538" s="1"/>
      <c r="Q538" s="1"/>
      <c r="R538" s="1"/>
      <c r="S538" s="1"/>
      <c r="T538" s="1"/>
      <c r="U538" s="2"/>
      <c r="V538" s="1"/>
      <c r="W538" s="1"/>
      <c r="X538" s="1"/>
      <c r="Y538" s="1"/>
      <c r="Z538" s="1"/>
    </row>
    <row r="539" spans="1:26" ht="39.75" customHeight="1">
      <c r="A539" s="1"/>
      <c r="B539" s="1"/>
      <c r="C539" s="1"/>
      <c r="D539" s="1"/>
      <c r="E539" s="1"/>
      <c r="F539" s="1"/>
      <c r="G539" s="1"/>
      <c r="H539" s="1"/>
      <c r="I539" s="1"/>
      <c r="J539" s="1"/>
      <c r="K539" s="1"/>
      <c r="L539" s="1"/>
      <c r="M539" s="1"/>
      <c r="N539" s="1"/>
      <c r="O539" s="1"/>
      <c r="P539" s="1"/>
      <c r="Q539" s="1"/>
      <c r="R539" s="1"/>
      <c r="S539" s="1"/>
      <c r="T539" s="1"/>
      <c r="U539" s="2"/>
      <c r="V539" s="1"/>
      <c r="W539" s="1"/>
      <c r="X539" s="1"/>
      <c r="Y539" s="1"/>
      <c r="Z539" s="1"/>
    </row>
    <row r="540" spans="1:26" ht="39.75" customHeight="1">
      <c r="A540" s="1"/>
      <c r="B540" s="1"/>
      <c r="C540" s="1"/>
      <c r="D540" s="1"/>
      <c r="E540" s="1"/>
      <c r="F540" s="1"/>
      <c r="G540" s="1"/>
      <c r="H540" s="1"/>
      <c r="I540" s="1"/>
      <c r="J540" s="1"/>
      <c r="K540" s="1"/>
      <c r="L540" s="1"/>
      <c r="M540" s="1"/>
      <c r="N540" s="1"/>
      <c r="O540" s="1"/>
      <c r="P540" s="1"/>
      <c r="Q540" s="1"/>
      <c r="R540" s="1"/>
      <c r="S540" s="1"/>
      <c r="T540" s="1"/>
      <c r="U540" s="2"/>
      <c r="V540" s="1"/>
      <c r="W540" s="1"/>
      <c r="X540" s="1"/>
      <c r="Y540" s="1"/>
      <c r="Z540" s="1"/>
    </row>
    <row r="541" spans="1:26" ht="39.75" customHeight="1">
      <c r="A541" s="1"/>
      <c r="B541" s="1"/>
      <c r="C541" s="1"/>
      <c r="D541" s="1"/>
      <c r="E541" s="1"/>
      <c r="F541" s="1"/>
      <c r="G541" s="1"/>
      <c r="H541" s="1"/>
      <c r="I541" s="1"/>
      <c r="J541" s="1"/>
      <c r="K541" s="1"/>
      <c r="L541" s="1"/>
      <c r="M541" s="1"/>
      <c r="N541" s="1"/>
      <c r="O541" s="1"/>
      <c r="P541" s="1"/>
      <c r="Q541" s="1"/>
      <c r="R541" s="1"/>
      <c r="S541" s="1"/>
      <c r="T541" s="1"/>
      <c r="U541" s="2"/>
      <c r="V541" s="1"/>
      <c r="W541" s="1"/>
      <c r="X541" s="1"/>
      <c r="Y541" s="1"/>
      <c r="Z541" s="1"/>
    </row>
    <row r="542" spans="1:26" ht="39.75" customHeight="1">
      <c r="A542" s="1"/>
      <c r="B542" s="1"/>
      <c r="C542" s="1"/>
      <c r="D542" s="1"/>
      <c r="E542" s="1"/>
      <c r="F542" s="1"/>
      <c r="G542" s="1"/>
      <c r="H542" s="1"/>
      <c r="I542" s="1"/>
      <c r="J542" s="1"/>
      <c r="K542" s="1"/>
      <c r="L542" s="1"/>
      <c r="M542" s="1"/>
      <c r="N542" s="1"/>
      <c r="O542" s="1"/>
      <c r="P542" s="1"/>
      <c r="Q542" s="1"/>
      <c r="R542" s="1"/>
      <c r="S542" s="1"/>
      <c r="T542" s="1"/>
      <c r="U542" s="2"/>
      <c r="V542" s="1"/>
      <c r="W542" s="1"/>
      <c r="X542" s="1"/>
      <c r="Y542" s="1"/>
      <c r="Z542" s="1"/>
    </row>
    <row r="543" spans="1:26" ht="39.75" customHeight="1">
      <c r="A543" s="1"/>
      <c r="B543" s="1"/>
      <c r="C543" s="1"/>
      <c r="D543" s="1"/>
      <c r="E543" s="1"/>
      <c r="F543" s="1"/>
      <c r="G543" s="1"/>
      <c r="H543" s="1"/>
      <c r="I543" s="1"/>
      <c r="J543" s="1"/>
      <c r="K543" s="1"/>
      <c r="L543" s="1"/>
      <c r="M543" s="1"/>
      <c r="N543" s="1"/>
      <c r="O543" s="1"/>
      <c r="P543" s="1"/>
      <c r="Q543" s="1"/>
      <c r="R543" s="1"/>
      <c r="S543" s="1"/>
      <c r="T543" s="1"/>
      <c r="U543" s="2"/>
      <c r="V543" s="1"/>
      <c r="W543" s="1"/>
      <c r="X543" s="1"/>
      <c r="Y543" s="1"/>
      <c r="Z543" s="1"/>
    </row>
    <row r="544" spans="1:26" ht="39.75" customHeight="1">
      <c r="A544" s="1"/>
      <c r="B544" s="1"/>
      <c r="C544" s="1"/>
      <c r="D544" s="1"/>
      <c r="E544" s="1"/>
      <c r="F544" s="1"/>
      <c r="G544" s="1"/>
      <c r="H544" s="1"/>
      <c r="I544" s="1"/>
      <c r="J544" s="1"/>
      <c r="K544" s="1"/>
      <c r="L544" s="1"/>
      <c r="M544" s="1"/>
      <c r="N544" s="1"/>
      <c r="O544" s="1"/>
      <c r="P544" s="1"/>
      <c r="Q544" s="1"/>
      <c r="R544" s="1"/>
      <c r="S544" s="1"/>
      <c r="T544" s="1"/>
      <c r="U544" s="2"/>
      <c r="V544" s="1"/>
      <c r="W544" s="1"/>
      <c r="X544" s="1"/>
      <c r="Y544" s="1"/>
      <c r="Z544" s="1"/>
    </row>
    <row r="545" spans="1:26" ht="39.75" customHeight="1">
      <c r="A545" s="1"/>
      <c r="B545" s="1"/>
      <c r="C545" s="1"/>
      <c r="D545" s="1"/>
      <c r="E545" s="1"/>
      <c r="F545" s="1"/>
      <c r="G545" s="1"/>
      <c r="H545" s="1"/>
      <c r="I545" s="1"/>
      <c r="J545" s="1"/>
      <c r="K545" s="1"/>
      <c r="L545" s="1"/>
      <c r="M545" s="1"/>
      <c r="N545" s="1"/>
      <c r="O545" s="1"/>
      <c r="P545" s="1"/>
      <c r="Q545" s="1"/>
      <c r="R545" s="1"/>
      <c r="S545" s="1"/>
      <c r="T545" s="1"/>
      <c r="U545" s="2"/>
      <c r="V545" s="1"/>
      <c r="W545" s="1"/>
      <c r="X545" s="1"/>
      <c r="Y545" s="1"/>
      <c r="Z545" s="1"/>
    </row>
    <row r="546" spans="1:26" ht="39.75" customHeight="1">
      <c r="A546" s="1"/>
      <c r="B546" s="1"/>
      <c r="C546" s="1"/>
      <c r="D546" s="1"/>
      <c r="E546" s="1"/>
      <c r="F546" s="1"/>
      <c r="G546" s="1"/>
      <c r="H546" s="1"/>
      <c r="I546" s="1"/>
      <c r="J546" s="1"/>
      <c r="K546" s="1"/>
      <c r="L546" s="1"/>
      <c r="M546" s="1"/>
      <c r="N546" s="1"/>
      <c r="O546" s="1"/>
      <c r="P546" s="1"/>
      <c r="Q546" s="1"/>
      <c r="R546" s="1"/>
      <c r="S546" s="1"/>
      <c r="T546" s="1"/>
      <c r="U546" s="2"/>
      <c r="V546" s="1"/>
      <c r="W546" s="1"/>
      <c r="X546" s="1"/>
      <c r="Y546" s="1"/>
      <c r="Z546" s="1"/>
    </row>
    <row r="547" spans="1:26" ht="39.75" customHeight="1">
      <c r="A547" s="1"/>
      <c r="B547" s="1"/>
      <c r="C547" s="1"/>
      <c r="D547" s="1"/>
      <c r="E547" s="1"/>
      <c r="F547" s="1"/>
      <c r="G547" s="1"/>
      <c r="H547" s="1"/>
      <c r="I547" s="1"/>
      <c r="J547" s="1"/>
      <c r="K547" s="1"/>
      <c r="L547" s="1"/>
      <c r="M547" s="1"/>
      <c r="N547" s="1"/>
      <c r="O547" s="1"/>
      <c r="P547" s="1"/>
      <c r="Q547" s="1"/>
      <c r="R547" s="1"/>
      <c r="S547" s="1"/>
      <c r="T547" s="1"/>
      <c r="U547" s="2"/>
      <c r="V547" s="1"/>
      <c r="W547" s="1"/>
      <c r="X547" s="1"/>
      <c r="Y547" s="1"/>
      <c r="Z547" s="1"/>
    </row>
    <row r="548" spans="1:26" ht="39.75" customHeight="1">
      <c r="A548" s="1"/>
      <c r="B548" s="1"/>
      <c r="C548" s="1"/>
      <c r="D548" s="1"/>
      <c r="E548" s="1"/>
      <c r="F548" s="1"/>
      <c r="G548" s="1"/>
      <c r="H548" s="1"/>
      <c r="I548" s="1"/>
      <c r="J548" s="1"/>
      <c r="K548" s="1"/>
      <c r="L548" s="1"/>
      <c r="M548" s="1"/>
      <c r="N548" s="1"/>
      <c r="O548" s="1"/>
      <c r="P548" s="1"/>
      <c r="Q548" s="1"/>
      <c r="R548" s="1"/>
      <c r="S548" s="1"/>
      <c r="T548" s="1"/>
      <c r="U548" s="2"/>
      <c r="V548" s="1"/>
      <c r="W548" s="1"/>
      <c r="X548" s="1"/>
      <c r="Y548" s="1"/>
      <c r="Z548" s="1"/>
    </row>
    <row r="549" spans="1:26" ht="39.75" customHeight="1">
      <c r="A549" s="1"/>
      <c r="B549" s="1"/>
      <c r="C549" s="1"/>
      <c r="D549" s="1"/>
      <c r="E549" s="1"/>
      <c r="F549" s="1"/>
      <c r="G549" s="1"/>
      <c r="H549" s="1"/>
      <c r="I549" s="1"/>
      <c r="J549" s="1"/>
      <c r="K549" s="1"/>
      <c r="L549" s="1"/>
      <c r="M549" s="1"/>
      <c r="N549" s="1"/>
      <c r="O549" s="1"/>
      <c r="P549" s="1"/>
      <c r="Q549" s="1"/>
      <c r="R549" s="1"/>
      <c r="S549" s="1"/>
      <c r="T549" s="1"/>
      <c r="U549" s="2"/>
      <c r="V549" s="1"/>
      <c r="W549" s="1"/>
      <c r="X549" s="1"/>
      <c r="Y549" s="1"/>
      <c r="Z549" s="1"/>
    </row>
    <row r="550" spans="1:26" ht="39.75" customHeight="1">
      <c r="A550" s="1"/>
      <c r="B550" s="1"/>
      <c r="C550" s="1"/>
      <c r="D550" s="1"/>
      <c r="E550" s="1"/>
      <c r="F550" s="1"/>
      <c r="G550" s="1"/>
      <c r="H550" s="1"/>
      <c r="I550" s="1"/>
      <c r="J550" s="1"/>
      <c r="K550" s="1"/>
      <c r="L550" s="1"/>
      <c r="M550" s="1"/>
      <c r="N550" s="1"/>
      <c r="O550" s="1"/>
      <c r="P550" s="1"/>
      <c r="Q550" s="1"/>
      <c r="R550" s="1"/>
      <c r="S550" s="1"/>
      <c r="T550" s="1"/>
      <c r="U550" s="2"/>
      <c r="V550" s="1"/>
      <c r="W550" s="1"/>
      <c r="X550" s="1"/>
      <c r="Y550" s="1"/>
      <c r="Z550" s="1"/>
    </row>
    <row r="551" spans="1:26" ht="39.75" customHeight="1">
      <c r="A551" s="1"/>
      <c r="B551" s="1"/>
      <c r="C551" s="1"/>
      <c r="D551" s="1"/>
      <c r="E551" s="1"/>
      <c r="F551" s="1"/>
      <c r="G551" s="1"/>
      <c r="H551" s="1"/>
      <c r="I551" s="1"/>
      <c r="J551" s="1"/>
      <c r="K551" s="1"/>
      <c r="L551" s="1"/>
      <c r="M551" s="1"/>
      <c r="N551" s="1"/>
      <c r="O551" s="1"/>
      <c r="P551" s="1"/>
      <c r="Q551" s="1"/>
      <c r="R551" s="1"/>
      <c r="S551" s="1"/>
      <c r="T551" s="1"/>
      <c r="U551" s="2"/>
      <c r="V551" s="1"/>
      <c r="W551" s="1"/>
      <c r="X551" s="1"/>
      <c r="Y551" s="1"/>
      <c r="Z551" s="1"/>
    </row>
    <row r="552" spans="1:26" ht="39.75" customHeight="1">
      <c r="A552" s="1"/>
      <c r="B552" s="1"/>
      <c r="C552" s="1"/>
      <c r="D552" s="1"/>
      <c r="E552" s="1"/>
      <c r="F552" s="1"/>
      <c r="G552" s="1"/>
      <c r="H552" s="1"/>
      <c r="I552" s="1"/>
      <c r="J552" s="1"/>
      <c r="K552" s="1"/>
      <c r="L552" s="1"/>
      <c r="M552" s="1"/>
      <c r="N552" s="1"/>
      <c r="O552" s="1"/>
      <c r="P552" s="1"/>
      <c r="Q552" s="1"/>
      <c r="R552" s="1"/>
      <c r="S552" s="1"/>
      <c r="T552" s="1"/>
      <c r="U552" s="2"/>
      <c r="V552" s="1"/>
      <c r="W552" s="1"/>
      <c r="X552" s="1"/>
      <c r="Y552" s="1"/>
      <c r="Z552" s="1"/>
    </row>
    <row r="553" spans="1:26" ht="39.75" customHeight="1">
      <c r="A553" s="1"/>
      <c r="B553" s="1"/>
      <c r="C553" s="1"/>
      <c r="D553" s="1"/>
      <c r="E553" s="1"/>
      <c r="F553" s="1"/>
      <c r="G553" s="1"/>
      <c r="H553" s="1"/>
      <c r="I553" s="1"/>
      <c r="J553" s="1"/>
      <c r="K553" s="1"/>
      <c r="L553" s="1"/>
      <c r="M553" s="1"/>
      <c r="N553" s="1"/>
      <c r="O553" s="1"/>
      <c r="P553" s="1"/>
      <c r="Q553" s="1"/>
      <c r="R553" s="1"/>
      <c r="S553" s="1"/>
      <c r="T553" s="1"/>
      <c r="U553" s="2"/>
      <c r="V553" s="1"/>
      <c r="W553" s="1"/>
      <c r="X553" s="1"/>
      <c r="Y553" s="1"/>
      <c r="Z553" s="1"/>
    </row>
    <row r="554" spans="1:26" ht="39.75" customHeight="1">
      <c r="A554" s="1"/>
      <c r="B554" s="1"/>
      <c r="C554" s="1"/>
      <c r="D554" s="1"/>
      <c r="E554" s="1"/>
      <c r="F554" s="1"/>
      <c r="G554" s="1"/>
      <c r="H554" s="1"/>
      <c r="I554" s="1"/>
      <c r="J554" s="1"/>
      <c r="K554" s="1"/>
      <c r="L554" s="1"/>
      <c r="M554" s="1"/>
      <c r="N554" s="1"/>
      <c r="O554" s="1"/>
      <c r="P554" s="1"/>
      <c r="Q554" s="1"/>
      <c r="R554" s="1"/>
      <c r="S554" s="1"/>
      <c r="T554" s="1"/>
      <c r="U554" s="2"/>
      <c r="V554" s="1"/>
      <c r="W554" s="1"/>
      <c r="X554" s="1"/>
      <c r="Y554" s="1"/>
      <c r="Z554" s="1"/>
    </row>
    <row r="555" spans="1:26" ht="39.75" customHeight="1">
      <c r="A555" s="1"/>
      <c r="B555" s="1"/>
      <c r="C555" s="1"/>
      <c r="D555" s="1"/>
      <c r="E555" s="1"/>
      <c r="F555" s="1"/>
      <c r="G555" s="1"/>
      <c r="H555" s="1"/>
      <c r="I555" s="1"/>
      <c r="J555" s="1"/>
      <c r="K555" s="1"/>
      <c r="L555" s="1"/>
      <c r="M555" s="1"/>
      <c r="N555" s="1"/>
      <c r="O555" s="1"/>
      <c r="P555" s="1"/>
      <c r="Q555" s="1"/>
      <c r="R555" s="1"/>
      <c r="S555" s="1"/>
      <c r="T555" s="1"/>
      <c r="U555" s="2"/>
      <c r="V555" s="1"/>
      <c r="W555" s="1"/>
      <c r="X555" s="1"/>
      <c r="Y555" s="1"/>
      <c r="Z555" s="1"/>
    </row>
    <row r="556" spans="1:26" ht="39.75" customHeight="1">
      <c r="A556" s="1"/>
      <c r="B556" s="1"/>
      <c r="C556" s="1"/>
      <c r="D556" s="1"/>
      <c r="E556" s="1"/>
      <c r="F556" s="1"/>
      <c r="G556" s="1"/>
      <c r="H556" s="1"/>
      <c r="I556" s="1"/>
      <c r="J556" s="1"/>
      <c r="K556" s="1"/>
      <c r="L556" s="1"/>
      <c r="M556" s="1"/>
      <c r="N556" s="1"/>
      <c r="O556" s="1"/>
      <c r="P556" s="1"/>
      <c r="Q556" s="1"/>
      <c r="R556" s="1"/>
      <c r="S556" s="1"/>
      <c r="T556" s="1"/>
      <c r="U556" s="2"/>
      <c r="V556" s="1"/>
      <c r="W556" s="1"/>
      <c r="X556" s="1"/>
      <c r="Y556" s="1"/>
      <c r="Z556" s="1"/>
    </row>
    <row r="557" spans="1:26" ht="39.75" customHeight="1">
      <c r="A557" s="1"/>
      <c r="B557" s="1"/>
      <c r="C557" s="1"/>
      <c r="D557" s="1"/>
      <c r="E557" s="1"/>
      <c r="F557" s="1"/>
      <c r="G557" s="1"/>
      <c r="H557" s="1"/>
      <c r="I557" s="1"/>
      <c r="J557" s="1"/>
      <c r="K557" s="1"/>
      <c r="L557" s="1"/>
      <c r="M557" s="1"/>
      <c r="N557" s="1"/>
      <c r="O557" s="1"/>
      <c r="P557" s="1"/>
      <c r="Q557" s="1"/>
      <c r="R557" s="1"/>
      <c r="S557" s="1"/>
      <c r="T557" s="1"/>
      <c r="U557" s="2"/>
      <c r="V557" s="1"/>
      <c r="W557" s="1"/>
      <c r="X557" s="1"/>
      <c r="Y557" s="1"/>
      <c r="Z557" s="1"/>
    </row>
    <row r="558" spans="1:26" ht="39.75" customHeight="1">
      <c r="A558" s="1"/>
      <c r="B558" s="1"/>
      <c r="C558" s="1"/>
      <c r="D558" s="1"/>
      <c r="E558" s="1"/>
      <c r="F558" s="1"/>
      <c r="G558" s="1"/>
      <c r="H558" s="1"/>
      <c r="I558" s="1"/>
      <c r="J558" s="1"/>
      <c r="K558" s="1"/>
      <c r="L558" s="1"/>
      <c r="M558" s="1"/>
      <c r="N558" s="1"/>
      <c r="O558" s="1"/>
      <c r="P558" s="1"/>
      <c r="Q558" s="1"/>
      <c r="R558" s="1"/>
      <c r="S558" s="1"/>
      <c r="T558" s="1"/>
      <c r="U558" s="2"/>
      <c r="V558" s="1"/>
      <c r="W558" s="1"/>
      <c r="X558" s="1"/>
      <c r="Y558" s="1"/>
      <c r="Z558" s="1"/>
    </row>
    <row r="559" spans="1:26" ht="39.75" customHeight="1">
      <c r="A559" s="1"/>
      <c r="B559" s="1"/>
      <c r="C559" s="1"/>
      <c r="D559" s="1"/>
      <c r="E559" s="1"/>
      <c r="F559" s="1"/>
      <c r="G559" s="1"/>
      <c r="H559" s="1"/>
      <c r="I559" s="1"/>
      <c r="J559" s="1"/>
      <c r="K559" s="1"/>
      <c r="L559" s="1"/>
      <c r="M559" s="1"/>
      <c r="N559" s="1"/>
      <c r="O559" s="1"/>
      <c r="P559" s="1"/>
      <c r="Q559" s="1"/>
      <c r="R559" s="1"/>
      <c r="S559" s="1"/>
      <c r="T559" s="1"/>
      <c r="U559" s="2"/>
      <c r="V559" s="1"/>
      <c r="W559" s="1"/>
      <c r="X559" s="1"/>
      <c r="Y559" s="1"/>
      <c r="Z559" s="1"/>
    </row>
    <row r="560" spans="1:26" ht="39.75" customHeight="1">
      <c r="A560" s="1"/>
      <c r="B560" s="1"/>
      <c r="C560" s="1"/>
      <c r="D560" s="1"/>
      <c r="E560" s="1"/>
      <c r="F560" s="1"/>
      <c r="G560" s="1"/>
      <c r="H560" s="1"/>
      <c r="I560" s="1"/>
      <c r="J560" s="1"/>
      <c r="K560" s="1"/>
      <c r="L560" s="1"/>
      <c r="M560" s="1"/>
      <c r="N560" s="1"/>
      <c r="O560" s="1"/>
      <c r="P560" s="1"/>
      <c r="Q560" s="1"/>
      <c r="R560" s="1"/>
      <c r="S560" s="1"/>
      <c r="T560" s="1"/>
      <c r="U560" s="2"/>
      <c r="V560" s="1"/>
      <c r="W560" s="1"/>
      <c r="X560" s="1"/>
      <c r="Y560" s="1"/>
      <c r="Z560" s="1"/>
    </row>
    <row r="561" spans="1:26" ht="39.75" customHeight="1">
      <c r="A561" s="1"/>
      <c r="B561" s="1"/>
      <c r="C561" s="1"/>
      <c r="D561" s="1"/>
      <c r="E561" s="1"/>
      <c r="F561" s="1"/>
      <c r="G561" s="1"/>
      <c r="H561" s="1"/>
      <c r="I561" s="1"/>
      <c r="J561" s="1"/>
      <c r="K561" s="1"/>
      <c r="L561" s="1"/>
      <c r="M561" s="1"/>
      <c r="N561" s="1"/>
      <c r="O561" s="1"/>
      <c r="P561" s="1"/>
      <c r="Q561" s="1"/>
      <c r="R561" s="1"/>
      <c r="S561" s="1"/>
      <c r="T561" s="1"/>
      <c r="U561" s="2"/>
      <c r="V561" s="1"/>
      <c r="W561" s="1"/>
      <c r="X561" s="1"/>
      <c r="Y561" s="1"/>
      <c r="Z561" s="1"/>
    </row>
    <row r="562" spans="1:26" ht="39.75" customHeight="1">
      <c r="A562" s="1"/>
      <c r="B562" s="1"/>
      <c r="C562" s="1"/>
      <c r="D562" s="1"/>
      <c r="E562" s="1"/>
      <c r="F562" s="1"/>
      <c r="G562" s="1"/>
      <c r="H562" s="1"/>
      <c r="I562" s="1"/>
      <c r="J562" s="1"/>
      <c r="K562" s="1"/>
      <c r="L562" s="1"/>
      <c r="M562" s="1"/>
      <c r="N562" s="1"/>
      <c r="O562" s="1"/>
      <c r="P562" s="1"/>
      <c r="Q562" s="1"/>
      <c r="R562" s="1"/>
      <c r="S562" s="1"/>
      <c r="T562" s="1"/>
      <c r="U562" s="2"/>
      <c r="V562" s="1"/>
      <c r="W562" s="1"/>
      <c r="X562" s="1"/>
      <c r="Y562" s="1"/>
      <c r="Z562" s="1"/>
    </row>
    <row r="563" spans="1:26" ht="39.75" customHeight="1">
      <c r="A563" s="1"/>
      <c r="B563" s="1"/>
      <c r="C563" s="1"/>
      <c r="D563" s="1"/>
      <c r="E563" s="1"/>
      <c r="F563" s="1"/>
      <c r="G563" s="1"/>
      <c r="H563" s="1"/>
      <c r="I563" s="1"/>
      <c r="J563" s="1"/>
      <c r="K563" s="1"/>
      <c r="L563" s="1"/>
      <c r="M563" s="1"/>
      <c r="N563" s="1"/>
      <c r="O563" s="1"/>
      <c r="P563" s="1"/>
      <c r="Q563" s="1"/>
      <c r="R563" s="1"/>
      <c r="S563" s="1"/>
      <c r="T563" s="1"/>
      <c r="U563" s="2"/>
      <c r="V563" s="1"/>
      <c r="W563" s="1"/>
      <c r="X563" s="1"/>
      <c r="Y563" s="1"/>
      <c r="Z563" s="1"/>
    </row>
    <row r="564" spans="1:26" ht="39.75" customHeight="1">
      <c r="A564" s="1"/>
      <c r="B564" s="1"/>
      <c r="C564" s="1"/>
      <c r="D564" s="1"/>
      <c r="E564" s="1"/>
      <c r="F564" s="1"/>
      <c r="G564" s="1"/>
      <c r="H564" s="1"/>
      <c r="I564" s="1"/>
      <c r="J564" s="1"/>
      <c r="K564" s="1"/>
      <c r="L564" s="1"/>
      <c r="M564" s="1"/>
      <c r="N564" s="1"/>
      <c r="O564" s="1"/>
      <c r="P564" s="1"/>
      <c r="Q564" s="1"/>
      <c r="R564" s="1"/>
      <c r="S564" s="1"/>
      <c r="T564" s="1"/>
      <c r="U564" s="2"/>
      <c r="V564" s="1"/>
      <c r="W564" s="1"/>
      <c r="X564" s="1"/>
      <c r="Y564" s="1"/>
      <c r="Z564" s="1"/>
    </row>
    <row r="565" spans="1:26" ht="39.75" customHeight="1">
      <c r="A565" s="1"/>
      <c r="B565" s="1"/>
      <c r="C565" s="1"/>
      <c r="D565" s="1"/>
      <c r="E565" s="1"/>
      <c r="F565" s="1"/>
      <c r="G565" s="1"/>
      <c r="H565" s="1"/>
      <c r="I565" s="1"/>
      <c r="J565" s="1"/>
      <c r="K565" s="1"/>
      <c r="L565" s="1"/>
      <c r="M565" s="1"/>
      <c r="N565" s="1"/>
      <c r="O565" s="1"/>
      <c r="P565" s="1"/>
      <c r="Q565" s="1"/>
      <c r="R565" s="1"/>
      <c r="S565" s="1"/>
      <c r="T565" s="1"/>
      <c r="U565" s="2"/>
      <c r="V565" s="1"/>
      <c r="W565" s="1"/>
      <c r="X565" s="1"/>
      <c r="Y565" s="1"/>
      <c r="Z565" s="1"/>
    </row>
    <row r="566" spans="1:26" ht="39.75" customHeight="1">
      <c r="A566" s="1"/>
      <c r="B566" s="1"/>
      <c r="C566" s="1"/>
      <c r="D566" s="1"/>
      <c r="E566" s="1"/>
      <c r="F566" s="1"/>
      <c r="G566" s="1"/>
      <c r="H566" s="1"/>
      <c r="I566" s="1"/>
      <c r="J566" s="1"/>
      <c r="K566" s="1"/>
      <c r="L566" s="1"/>
      <c r="M566" s="1"/>
      <c r="N566" s="1"/>
      <c r="O566" s="1"/>
      <c r="P566" s="1"/>
      <c r="Q566" s="1"/>
      <c r="R566" s="1"/>
      <c r="S566" s="1"/>
      <c r="T566" s="1"/>
      <c r="U566" s="2"/>
      <c r="V566" s="1"/>
      <c r="W566" s="1"/>
      <c r="X566" s="1"/>
      <c r="Y566" s="1"/>
      <c r="Z566" s="1"/>
    </row>
    <row r="567" spans="1:26" ht="39.75" customHeight="1">
      <c r="A567" s="1"/>
      <c r="B567" s="1"/>
      <c r="C567" s="1"/>
      <c r="D567" s="1"/>
      <c r="E567" s="1"/>
      <c r="F567" s="1"/>
      <c r="G567" s="1"/>
      <c r="H567" s="1"/>
      <c r="I567" s="1"/>
      <c r="J567" s="1"/>
      <c r="K567" s="1"/>
      <c r="L567" s="1"/>
      <c r="M567" s="1"/>
      <c r="N567" s="1"/>
      <c r="O567" s="1"/>
      <c r="P567" s="1"/>
      <c r="Q567" s="1"/>
      <c r="R567" s="1"/>
      <c r="S567" s="1"/>
      <c r="T567" s="1"/>
      <c r="U567" s="2"/>
      <c r="V567" s="1"/>
      <c r="W567" s="1"/>
      <c r="X567" s="1"/>
      <c r="Y567" s="1"/>
      <c r="Z567" s="1"/>
    </row>
    <row r="568" spans="1:26" ht="39.75" customHeight="1">
      <c r="A568" s="1"/>
      <c r="B568" s="1"/>
      <c r="C568" s="1"/>
      <c r="D568" s="1"/>
      <c r="E568" s="1"/>
      <c r="F568" s="1"/>
      <c r="G568" s="1"/>
      <c r="H568" s="1"/>
      <c r="I568" s="1"/>
      <c r="J568" s="1"/>
      <c r="K568" s="1"/>
      <c r="L568" s="1"/>
      <c r="M568" s="1"/>
      <c r="N568" s="1"/>
      <c r="O568" s="1"/>
      <c r="P568" s="1"/>
      <c r="Q568" s="1"/>
      <c r="R568" s="1"/>
      <c r="S568" s="1"/>
      <c r="T568" s="1"/>
      <c r="U568" s="2"/>
      <c r="V568" s="1"/>
      <c r="W568" s="1"/>
      <c r="X568" s="1"/>
      <c r="Y568" s="1"/>
      <c r="Z568" s="1"/>
    </row>
    <row r="569" spans="1:26" ht="39.75" customHeight="1">
      <c r="A569" s="1"/>
      <c r="B569" s="1"/>
      <c r="C569" s="1"/>
      <c r="D569" s="1"/>
      <c r="E569" s="1"/>
      <c r="F569" s="1"/>
      <c r="G569" s="1"/>
      <c r="H569" s="1"/>
      <c r="I569" s="1"/>
      <c r="J569" s="1"/>
      <c r="K569" s="1"/>
      <c r="L569" s="1"/>
      <c r="M569" s="1"/>
      <c r="N569" s="1"/>
      <c r="O569" s="1"/>
      <c r="P569" s="1"/>
      <c r="Q569" s="1"/>
      <c r="R569" s="1"/>
      <c r="S569" s="1"/>
      <c r="T569" s="1"/>
      <c r="U569" s="2"/>
      <c r="V569" s="1"/>
      <c r="W569" s="1"/>
      <c r="X569" s="1"/>
      <c r="Y569" s="1"/>
      <c r="Z569" s="1"/>
    </row>
    <row r="570" spans="1:26" ht="39.75" customHeight="1">
      <c r="A570" s="1"/>
      <c r="B570" s="1"/>
      <c r="C570" s="1"/>
      <c r="D570" s="1"/>
      <c r="E570" s="1"/>
      <c r="F570" s="1"/>
      <c r="G570" s="1"/>
      <c r="H570" s="1"/>
      <c r="I570" s="1"/>
      <c r="J570" s="1"/>
      <c r="K570" s="1"/>
      <c r="L570" s="1"/>
      <c r="M570" s="1"/>
      <c r="N570" s="1"/>
      <c r="O570" s="1"/>
      <c r="P570" s="1"/>
      <c r="Q570" s="1"/>
      <c r="R570" s="1"/>
      <c r="S570" s="1"/>
      <c r="T570" s="1"/>
      <c r="U570" s="2"/>
      <c r="V570" s="1"/>
      <c r="W570" s="1"/>
      <c r="X570" s="1"/>
      <c r="Y570" s="1"/>
      <c r="Z570" s="1"/>
    </row>
    <row r="571" spans="1:26" ht="39.75" customHeight="1">
      <c r="A571" s="1"/>
      <c r="B571" s="1"/>
      <c r="C571" s="1"/>
      <c r="D571" s="1"/>
      <c r="E571" s="1"/>
      <c r="F571" s="1"/>
      <c r="G571" s="1"/>
      <c r="H571" s="1"/>
      <c r="I571" s="1"/>
      <c r="J571" s="1"/>
      <c r="K571" s="1"/>
      <c r="L571" s="1"/>
      <c r="M571" s="1"/>
      <c r="N571" s="1"/>
      <c r="O571" s="1"/>
      <c r="P571" s="1"/>
      <c r="Q571" s="1"/>
      <c r="R571" s="1"/>
      <c r="S571" s="1"/>
      <c r="T571" s="1"/>
      <c r="U571" s="2"/>
      <c r="V571" s="1"/>
      <c r="W571" s="1"/>
      <c r="X571" s="1"/>
      <c r="Y571" s="1"/>
      <c r="Z571" s="1"/>
    </row>
    <row r="572" spans="1:26" ht="39.75" customHeight="1">
      <c r="A572" s="1"/>
      <c r="B572" s="1"/>
      <c r="C572" s="1"/>
      <c r="D572" s="1"/>
      <c r="E572" s="1"/>
      <c r="F572" s="1"/>
      <c r="G572" s="1"/>
      <c r="H572" s="1"/>
      <c r="I572" s="1"/>
      <c r="J572" s="1"/>
      <c r="K572" s="1"/>
      <c r="L572" s="1"/>
      <c r="M572" s="1"/>
      <c r="N572" s="1"/>
      <c r="O572" s="1"/>
      <c r="P572" s="1"/>
      <c r="Q572" s="1"/>
      <c r="R572" s="1"/>
      <c r="S572" s="1"/>
      <c r="T572" s="1"/>
      <c r="U572" s="2"/>
      <c r="V572" s="1"/>
      <c r="W572" s="1"/>
      <c r="X572" s="1"/>
      <c r="Y572" s="1"/>
      <c r="Z572" s="1"/>
    </row>
    <row r="573" spans="1:26" ht="39.75" customHeight="1">
      <c r="A573" s="1"/>
      <c r="B573" s="1"/>
      <c r="C573" s="1"/>
      <c r="D573" s="1"/>
      <c r="E573" s="1"/>
      <c r="F573" s="1"/>
      <c r="G573" s="1"/>
      <c r="H573" s="1"/>
      <c r="I573" s="1"/>
      <c r="J573" s="1"/>
      <c r="K573" s="1"/>
      <c r="L573" s="1"/>
      <c r="M573" s="1"/>
      <c r="N573" s="1"/>
      <c r="O573" s="1"/>
      <c r="P573" s="1"/>
      <c r="Q573" s="1"/>
      <c r="R573" s="1"/>
      <c r="S573" s="1"/>
      <c r="T573" s="1"/>
      <c r="U573" s="2"/>
      <c r="V573" s="1"/>
      <c r="W573" s="1"/>
      <c r="X573" s="1"/>
      <c r="Y573" s="1"/>
      <c r="Z573" s="1"/>
    </row>
    <row r="574" spans="1:26" ht="39.75" customHeight="1">
      <c r="A574" s="1"/>
      <c r="B574" s="1"/>
      <c r="C574" s="1"/>
      <c r="D574" s="1"/>
      <c r="E574" s="1"/>
      <c r="F574" s="1"/>
      <c r="G574" s="1"/>
      <c r="H574" s="1"/>
      <c r="I574" s="1"/>
      <c r="J574" s="1"/>
      <c r="K574" s="1"/>
      <c r="L574" s="1"/>
      <c r="M574" s="1"/>
      <c r="N574" s="1"/>
      <c r="O574" s="1"/>
      <c r="P574" s="1"/>
      <c r="Q574" s="1"/>
      <c r="R574" s="1"/>
      <c r="S574" s="1"/>
      <c r="T574" s="1"/>
      <c r="U574" s="2"/>
      <c r="V574" s="1"/>
      <c r="W574" s="1"/>
      <c r="X574" s="1"/>
      <c r="Y574" s="1"/>
      <c r="Z574" s="1"/>
    </row>
    <row r="575" spans="1:26" ht="39.75" customHeight="1">
      <c r="A575" s="1"/>
      <c r="B575" s="1"/>
      <c r="C575" s="1"/>
      <c r="D575" s="1"/>
      <c r="E575" s="1"/>
      <c r="F575" s="1"/>
      <c r="G575" s="1"/>
      <c r="H575" s="1"/>
      <c r="I575" s="1"/>
      <c r="J575" s="1"/>
      <c r="K575" s="1"/>
      <c r="L575" s="1"/>
      <c r="M575" s="1"/>
      <c r="N575" s="1"/>
      <c r="O575" s="1"/>
      <c r="P575" s="1"/>
      <c r="Q575" s="1"/>
      <c r="R575" s="1"/>
      <c r="S575" s="1"/>
      <c r="T575" s="1"/>
      <c r="U575" s="2"/>
      <c r="V575" s="1"/>
      <c r="W575" s="1"/>
      <c r="X575" s="1"/>
      <c r="Y575" s="1"/>
      <c r="Z575" s="1"/>
    </row>
    <row r="576" spans="1:26" ht="39.75" customHeight="1">
      <c r="A576" s="1"/>
      <c r="B576" s="1"/>
      <c r="C576" s="1"/>
      <c r="D576" s="1"/>
      <c r="E576" s="1"/>
      <c r="F576" s="1"/>
      <c r="G576" s="1"/>
      <c r="H576" s="1"/>
      <c r="I576" s="1"/>
      <c r="J576" s="1"/>
      <c r="K576" s="1"/>
      <c r="L576" s="1"/>
      <c r="M576" s="1"/>
      <c r="N576" s="1"/>
      <c r="O576" s="1"/>
      <c r="P576" s="1"/>
      <c r="Q576" s="1"/>
      <c r="R576" s="1"/>
      <c r="S576" s="1"/>
      <c r="T576" s="1"/>
      <c r="U576" s="2"/>
      <c r="V576" s="1"/>
      <c r="W576" s="1"/>
      <c r="X576" s="1"/>
      <c r="Y576" s="1"/>
      <c r="Z576" s="1"/>
    </row>
    <row r="577" spans="1:26" ht="39.75" customHeight="1">
      <c r="A577" s="1"/>
      <c r="B577" s="1"/>
      <c r="C577" s="1"/>
      <c r="D577" s="1"/>
      <c r="E577" s="1"/>
      <c r="F577" s="1"/>
      <c r="G577" s="1"/>
      <c r="H577" s="1"/>
      <c r="I577" s="1"/>
      <c r="J577" s="1"/>
      <c r="K577" s="1"/>
      <c r="L577" s="1"/>
      <c r="M577" s="1"/>
      <c r="N577" s="1"/>
      <c r="O577" s="1"/>
      <c r="P577" s="1"/>
      <c r="Q577" s="1"/>
      <c r="R577" s="1"/>
      <c r="S577" s="1"/>
      <c r="T577" s="1"/>
      <c r="U577" s="2"/>
      <c r="V577" s="1"/>
      <c r="W577" s="1"/>
      <c r="X577" s="1"/>
      <c r="Y577" s="1"/>
      <c r="Z577" s="1"/>
    </row>
    <row r="578" spans="1:26" ht="39.75" customHeight="1">
      <c r="A578" s="1"/>
      <c r="B578" s="1"/>
      <c r="C578" s="1"/>
      <c r="D578" s="1"/>
      <c r="E578" s="1"/>
      <c r="F578" s="1"/>
      <c r="G578" s="1"/>
      <c r="H578" s="1"/>
      <c r="I578" s="1"/>
      <c r="J578" s="1"/>
      <c r="K578" s="1"/>
      <c r="L578" s="1"/>
      <c r="M578" s="1"/>
      <c r="N578" s="1"/>
      <c r="O578" s="1"/>
      <c r="P578" s="1"/>
      <c r="Q578" s="1"/>
      <c r="R578" s="1"/>
      <c r="S578" s="1"/>
      <c r="T578" s="1"/>
      <c r="U578" s="2"/>
      <c r="V578" s="1"/>
      <c r="W578" s="1"/>
      <c r="X578" s="1"/>
      <c r="Y578" s="1"/>
      <c r="Z578" s="1"/>
    </row>
    <row r="579" spans="1:26" ht="39.75" customHeight="1">
      <c r="A579" s="1"/>
      <c r="B579" s="1"/>
      <c r="C579" s="1"/>
      <c r="D579" s="1"/>
      <c r="E579" s="1"/>
      <c r="F579" s="1"/>
      <c r="G579" s="1"/>
      <c r="H579" s="1"/>
      <c r="I579" s="1"/>
      <c r="J579" s="1"/>
      <c r="K579" s="1"/>
      <c r="L579" s="1"/>
      <c r="M579" s="1"/>
      <c r="N579" s="1"/>
      <c r="O579" s="1"/>
      <c r="P579" s="1"/>
      <c r="Q579" s="1"/>
      <c r="R579" s="1"/>
      <c r="S579" s="1"/>
      <c r="T579" s="1"/>
      <c r="U579" s="2"/>
      <c r="V579" s="1"/>
      <c r="W579" s="1"/>
      <c r="X579" s="1"/>
      <c r="Y579" s="1"/>
      <c r="Z579" s="1"/>
    </row>
    <row r="580" spans="1:26" ht="39.75" customHeight="1">
      <c r="A580" s="1"/>
      <c r="B580" s="1"/>
      <c r="C580" s="1"/>
      <c r="D580" s="1"/>
      <c r="E580" s="1"/>
      <c r="F580" s="1"/>
      <c r="G580" s="1"/>
      <c r="H580" s="1"/>
      <c r="I580" s="1"/>
      <c r="J580" s="1"/>
      <c r="K580" s="1"/>
      <c r="L580" s="1"/>
      <c r="M580" s="1"/>
      <c r="N580" s="1"/>
      <c r="O580" s="1"/>
      <c r="P580" s="1"/>
      <c r="Q580" s="1"/>
      <c r="R580" s="1"/>
      <c r="S580" s="1"/>
      <c r="T580" s="1"/>
      <c r="U580" s="2"/>
      <c r="V580" s="1"/>
      <c r="W580" s="1"/>
      <c r="X580" s="1"/>
      <c r="Y580" s="1"/>
      <c r="Z580" s="1"/>
    </row>
    <row r="581" spans="1:26" ht="39.75" customHeight="1">
      <c r="A581" s="1"/>
      <c r="B581" s="1"/>
      <c r="C581" s="1"/>
      <c r="D581" s="1"/>
      <c r="E581" s="1"/>
      <c r="F581" s="1"/>
      <c r="G581" s="1"/>
      <c r="H581" s="1"/>
      <c r="I581" s="1"/>
      <c r="J581" s="1"/>
      <c r="K581" s="1"/>
      <c r="L581" s="1"/>
      <c r="M581" s="1"/>
      <c r="N581" s="1"/>
      <c r="O581" s="1"/>
      <c r="P581" s="1"/>
      <c r="Q581" s="1"/>
      <c r="R581" s="1"/>
      <c r="S581" s="1"/>
      <c r="T581" s="1"/>
      <c r="U581" s="2"/>
      <c r="V581" s="1"/>
      <c r="W581" s="1"/>
      <c r="X581" s="1"/>
      <c r="Y581" s="1"/>
      <c r="Z581" s="1"/>
    </row>
    <row r="582" spans="1:26" ht="39.75" customHeight="1">
      <c r="A582" s="1"/>
      <c r="B582" s="1"/>
      <c r="C582" s="1"/>
      <c r="D582" s="1"/>
      <c r="E582" s="1"/>
      <c r="F582" s="1"/>
      <c r="G582" s="1"/>
      <c r="H582" s="1"/>
      <c r="I582" s="1"/>
      <c r="J582" s="1"/>
      <c r="K582" s="1"/>
      <c r="L582" s="1"/>
      <c r="M582" s="1"/>
      <c r="N582" s="1"/>
      <c r="O582" s="1"/>
      <c r="P582" s="1"/>
      <c r="Q582" s="1"/>
      <c r="R582" s="1"/>
      <c r="S582" s="1"/>
      <c r="T582" s="1"/>
      <c r="U582" s="2"/>
      <c r="V582" s="1"/>
      <c r="W582" s="1"/>
      <c r="X582" s="1"/>
      <c r="Y582" s="1"/>
      <c r="Z582" s="1"/>
    </row>
    <row r="583" spans="1:26" ht="39.75" customHeight="1">
      <c r="A583" s="1"/>
      <c r="B583" s="1"/>
      <c r="C583" s="1"/>
      <c r="D583" s="1"/>
      <c r="E583" s="1"/>
      <c r="F583" s="1"/>
      <c r="G583" s="1"/>
      <c r="H583" s="1"/>
      <c r="I583" s="1"/>
      <c r="J583" s="1"/>
      <c r="K583" s="1"/>
      <c r="L583" s="1"/>
      <c r="M583" s="1"/>
      <c r="N583" s="1"/>
      <c r="O583" s="1"/>
      <c r="P583" s="1"/>
      <c r="Q583" s="1"/>
      <c r="R583" s="1"/>
      <c r="S583" s="1"/>
      <c r="T583" s="1"/>
      <c r="U583" s="2"/>
      <c r="V583" s="1"/>
      <c r="W583" s="1"/>
      <c r="X583" s="1"/>
      <c r="Y583" s="1"/>
      <c r="Z583" s="1"/>
    </row>
    <row r="584" spans="1:26" ht="39.75" customHeight="1">
      <c r="A584" s="1"/>
      <c r="B584" s="1"/>
      <c r="C584" s="1"/>
      <c r="D584" s="1"/>
      <c r="E584" s="1"/>
      <c r="F584" s="1"/>
      <c r="G584" s="1"/>
      <c r="H584" s="1"/>
      <c r="I584" s="1"/>
      <c r="J584" s="1"/>
      <c r="K584" s="1"/>
      <c r="L584" s="1"/>
      <c r="M584" s="1"/>
      <c r="N584" s="1"/>
      <c r="O584" s="1"/>
      <c r="P584" s="1"/>
      <c r="Q584" s="1"/>
      <c r="R584" s="1"/>
      <c r="S584" s="1"/>
      <c r="T584" s="1"/>
      <c r="U584" s="2"/>
      <c r="V584" s="1"/>
      <c r="W584" s="1"/>
      <c r="X584" s="1"/>
      <c r="Y584" s="1"/>
      <c r="Z584" s="1"/>
    </row>
    <row r="585" spans="1:26" ht="39.75" customHeight="1">
      <c r="A585" s="1"/>
      <c r="B585" s="1"/>
      <c r="C585" s="1"/>
      <c r="D585" s="1"/>
      <c r="E585" s="1"/>
      <c r="F585" s="1"/>
      <c r="G585" s="1"/>
      <c r="H585" s="1"/>
      <c r="I585" s="1"/>
      <c r="J585" s="1"/>
      <c r="K585" s="1"/>
      <c r="L585" s="1"/>
      <c r="M585" s="1"/>
      <c r="N585" s="1"/>
      <c r="O585" s="1"/>
      <c r="P585" s="1"/>
      <c r="Q585" s="1"/>
      <c r="R585" s="1"/>
      <c r="S585" s="1"/>
      <c r="T585" s="1"/>
      <c r="U585" s="2"/>
      <c r="V585" s="1"/>
      <c r="W585" s="1"/>
      <c r="X585" s="1"/>
      <c r="Y585" s="1"/>
      <c r="Z585" s="1"/>
    </row>
    <row r="586" spans="1:26" ht="39.75" customHeight="1">
      <c r="A586" s="1"/>
      <c r="B586" s="1"/>
      <c r="C586" s="1"/>
      <c r="D586" s="1"/>
      <c r="E586" s="1"/>
      <c r="F586" s="1"/>
      <c r="G586" s="1"/>
      <c r="H586" s="1"/>
      <c r="I586" s="1"/>
      <c r="J586" s="1"/>
      <c r="K586" s="1"/>
      <c r="L586" s="1"/>
      <c r="M586" s="1"/>
      <c r="N586" s="1"/>
      <c r="O586" s="1"/>
      <c r="P586" s="1"/>
      <c r="Q586" s="1"/>
      <c r="R586" s="1"/>
      <c r="S586" s="1"/>
      <c r="T586" s="1"/>
      <c r="U586" s="2"/>
      <c r="V586" s="1"/>
      <c r="W586" s="1"/>
      <c r="X586" s="1"/>
      <c r="Y586" s="1"/>
      <c r="Z586" s="1"/>
    </row>
    <row r="587" spans="1:26" ht="39.75" customHeight="1">
      <c r="A587" s="1"/>
      <c r="B587" s="1"/>
      <c r="C587" s="1"/>
      <c r="D587" s="1"/>
      <c r="E587" s="1"/>
      <c r="F587" s="1"/>
      <c r="G587" s="1"/>
      <c r="H587" s="1"/>
      <c r="I587" s="1"/>
      <c r="J587" s="1"/>
      <c r="K587" s="1"/>
      <c r="L587" s="1"/>
      <c r="M587" s="1"/>
      <c r="N587" s="1"/>
      <c r="O587" s="1"/>
      <c r="P587" s="1"/>
      <c r="Q587" s="1"/>
      <c r="R587" s="1"/>
      <c r="S587" s="1"/>
      <c r="T587" s="1"/>
      <c r="U587" s="2"/>
      <c r="V587" s="1"/>
      <c r="W587" s="1"/>
      <c r="X587" s="1"/>
      <c r="Y587" s="1"/>
      <c r="Z587" s="1"/>
    </row>
    <row r="588" spans="1:26" ht="39.75" customHeight="1">
      <c r="A588" s="1"/>
      <c r="B588" s="1"/>
      <c r="C588" s="1"/>
      <c r="D588" s="1"/>
      <c r="E588" s="1"/>
      <c r="F588" s="1"/>
      <c r="G588" s="1"/>
      <c r="H588" s="1"/>
      <c r="I588" s="1"/>
      <c r="J588" s="1"/>
      <c r="K588" s="1"/>
      <c r="L588" s="1"/>
      <c r="M588" s="1"/>
      <c r="N588" s="1"/>
      <c r="O588" s="1"/>
      <c r="P588" s="1"/>
      <c r="Q588" s="1"/>
      <c r="R588" s="1"/>
      <c r="S588" s="1"/>
      <c r="T588" s="1"/>
      <c r="U588" s="2"/>
      <c r="V588" s="1"/>
      <c r="W588" s="1"/>
      <c r="X588" s="1"/>
      <c r="Y588" s="1"/>
      <c r="Z588" s="1"/>
    </row>
    <row r="589" spans="1:26" ht="39.75" customHeight="1">
      <c r="A589" s="1"/>
      <c r="B589" s="1"/>
      <c r="C589" s="1"/>
      <c r="D589" s="1"/>
      <c r="E589" s="1"/>
      <c r="F589" s="1"/>
      <c r="G589" s="1"/>
      <c r="H589" s="1"/>
      <c r="I589" s="1"/>
      <c r="J589" s="1"/>
      <c r="K589" s="1"/>
      <c r="L589" s="1"/>
      <c r="M589" s="1"/>
      <c r="N589" s="1"/>
      <c r="O589" s="1"/>
      <c r="P589" s="1"/>
      <c r="Q589" s="1"/>
      <c r="R589" s="1"/>
      <c r="S589" s="1"/>
      <c r="T589" s="1"/>
      <c r="U589" s="2"/>
      <c r="V589" s="1"/>
      <c r="W589" s="1"/>
      <c r="X589" s="1"/>
      <c r="Y589" s="1"/>
      <c r="Z589" s="1"/>
    </row>
    <row r="590" spans="1:26" ht="39.75" customHeight="1">
      <c r="A590" s="1"/>
      <c r="B590" s="1"/>
      <c r="C590" s="1"/>
      <c r="D590" s="1"/>
      <c r="E590" s="1"/>
      <c r="F590" s="1"/>
      <c r="G590" s="1"/>
      <c r="H590" s="1"/>
      <c r="I590" s="1"/>
      <c r="J590" s="1"/>
      <c r="K590" s="1"/>
      <c r="L590" s="1"/>
      <c r="M590" s="1"/>
      <c r="N590" s="1"/>
      <c r="O590" s="1"/>
      <c r="P590" s="1"/>
      <c r="Q590" s="1"/>
      <c r="R590" s="1"/>
      <c r="S590" s="1"/>
      <c r="T590" s="1"/>
      <c r="U590" s="2"/>
      <c r="V590" s="1"/>
      <c r="W590" s="1"/>
      <c r="X590" s="1"/>
      <c r="Y590" s="1"/>
      <c r="Z590" s="1"/>
    </row>
    <row r="591" spans="1:26" ht="39.75" customHeight="1">
      <c r="A591" s="1"/>
      <c r="B591" s="1"/>
      <c r="C591" s="1"/>
      <c r="D591" s="1"/>
      <c r="E591" s="1"/>
      <c r="F591" s="1"/>
      <c r="G591" s="1"/>
      <c r="H591" s="1"/>
      <c r="I591" s="1"/>
      <c r="J591" s="1"/>
      <c r="K591" s="1"/>
      <c r="L591" s="1"/>
      <c r="M591" s="1"/>
      <c r="N591" s="1"/>
      <c r="O591" s="1"/>
      <c r="P591" s="1"/>
      <c r="Q591" s="1"/>
      <c r="R591" s="1"/>
      <c r="S591" s="1"/>
      <c r="T591" s="1"/>
      <c r="U591" s="2"/>
      <c r="V591" s="1"/>
      <c r="W591" s="1"/>
      <c r="X591" s="1"/>
      <c r="Y591" s="1"/>
      <c r="Z591" s="1"/>
    </row>
    <row r="592" spans="1:26" ht="39.75" customHeight="1">
      <c r="A592" s="1"/>
      <c r="B592" s="1"/>
      <c r="C592" s="1"/>
      <c r="D592" s="1"/>
      <c r="E592" s="1"/>
      <c r="F592" s="1"/>
      <c r="G592" s="1"/>
      <c r="H592" s="1"/>
      <c r="I592" s="1"/>
      <c r="J592" s="1"/>
      <c r="K592" s="1"/>
      <c r="L592" s="1"/>
      <c r="M592" s="1"/>
      <c r="N592" s="1"/>
      <c r="O592" s="1"/>
      <c r="P592" s="1"/>
      <c r="Q592" s="1"/>
      <c r="R592" s="1"/>
      <c r="S592" s="1"/>
      <c r="T592" s="1"/>
      <c r="U592" s="2"/>
      <c r="V592" s="1"/>
      <c r="W592" s="1"/>
      <c r="X592" s="1"/>
      <c r="Y592" s="1"/>
      <c r="Z592" s="1"/>
    </row>
    <row r="593" spans="1:26" ht="39.75" customHeight="1">
      <c r="A593" s="1"/>
      <c r="B593" s="1"/>
      <c r="C593" s="1"/>
      <c r="D593" s="1"/>
      <c r="E593" s="1"/>
      <c r="F593" s="1"/>
      <c r="G593" s="1"/>
      <c r="H593" s="1"/>
      <c r="I593" s="1"/>
      <c r="J593" s="1"/>
      <c r="K593" s="1"/>
      <c r="L593" s="1"/>
      <c r="M593" s="1"/>
      <c r="N593" s="1"/>
      <c r="O593" s="1"/>
      <c r="P593" s="1"/>
      <c r="Q593" s="1"/>
      <c r="R593" s="1"/>
      <c r="S593" s="1"/>
      <c r="T593" s="1"/>
      <c r="U593" s="2"/>
      <c r="V593" s="1"/>
      <c r="W593" s="1"/>
      <c r="X593" s="1"/>
      <c r="Y593" s="1"/>
      <c r="Z593" s="1"/>
    </row>
    <row r="594" spans="1:26" ht="39.75" customHeight="1">
      <c r="A594" s="1"/>
      <c r="B594" s="1"/>
      <c r="C594" s="1"/>
      <c r="D594" s="1"/>
      <c r="E594" s="1"/>
      <c r="F594" s="1"/>
      <c r="G594" s="1"/>
      <c r="H594" s="1"/>
      <c r="I594" s="1"/>
      <c r="J594" s="1"/>
      <c r="K594" s="1"/>
      <c r="L594" s="1"/>
      <c r="M594" s="1"/>
      <c r="N594" s="1"/>
      <c r="O594" s="1"/>
      <c r="P594" s="1"/>
      <c r="Q594" s="1"/>
      <c r="R594" s="1"/>
      <c r="S594" s="1"/>
      <c r="T594" s="1"/>
      <c r="U594" s="2"/>
      <c r="V594" s="1"/>
      <c r="W594" s="1"/>
      <c r="X594" s="1"/>
      <c r="Y594" s="1"/>
      <c r="Z594" s="1"/>
    </row>
    <row r="595" spans="1:26" ht="39.75" customHeight="1">
      <c r="A595" s="1"/>
      <c r="B595" s="1"/>
      <c r="C595" s="1"/>
      <c r="D595" s="1"/>
      <c r="E595" s="1"/>
      <c r="F595" s="1"/>
      <c r="G595" s="1"/>
      <c r="H595" s="1"/>
      <c r="I595" s="1"/>
      <c r="J595" s="1"/>
      <c r="K595" s="1"/>
      <c r="L595" s="1"/>
      <c r="M595" s="1"/>
      <c r="N595" s="1"/>
      <c r="O595" s="1"/>
      <c r="P595" s="1"/>
      <c r="Q595" s="1"/>
      <c r="R595" s="1"/>
      <c r="S595" s="1"/>
      <c r="T595" s="1"/>
      <c r="U595" s="2"/>
      <c r="V595" s="1"/>
      <c r="W595" s="1"/>
      <c r="X595" s="1"/>
      <c r="Y595" s="1"/>
      <c r="Z595" s="1"/>
    </row>
    <row r="596" spans="1:26" ht="39.75" customHeight="1">
      <c r="A596" s="1"/>
      <c r="B596" s="1"/>
      <c r="C596" s="1"/>
      <c r="D596" s="1"/>
      <c r="E596" s="1"/>
      <c r="F596" s="1"/>
      <c r="G596" s="1"/>
      <c r="H596" s="1"/>
      <c r="I596" s="1"/>
      <c r="J596" s="1"/>
      <c r="K596" s="1"/>
      <c r="L596" s="1"/>
      <c r="M596" s="1"/>
      <c r="N596" s="1"/>
      <c r="O596" s="1"/>
      <c r="P596" s="1"/>
      <c r="Q596" s="1"/>
      <c r="R596" s="1"/>
      <c r="S596" s="1"/>
      <c r="T596" s="1"/>
      <c r="U596" s="2"/>
      <c r="V596" s="1"/>
      <c r="W596" s="1"/>
      <c r="X596" s="1"/>
      <c r="Y596" s="1"/>
      <c r="Z596" s="1"/>
    </row>
    <row r="597" spans="1:26" ht="39.75" customHeight="1">
      <c r="A597" s="1"/>
      <c r="B597" s="1"/>
      <c r="C597" s="1"/>
      <c r="D597" s="1"/>
      <c r="E597" s="1"/>
      <c r="F597" s="1"/>
      <c r="G597" s="1"/>
      <c r="H597" s="1"/>
      <c r="I597" s="1"/>
      <c r="J597" s="1"/>
      <c r="K597" s="1"/>
      <c r="L597" s="1"/>
      <c r="M597" s="1"/>
      <c r="N597" s="1"/>
      <c r="O597" s="1"/>
      <c r="P597" s="1"/>
      <c r="Q597" s="1"/>
      <c r="R597" s="1"/>
      <c r="S597" s="1"/>
      <c r="T597" s="1"/>
      <c r="U597" s="2"/>
      <c r="V597" s="1"/>
      <c r="W597" s="1"/>
      <c r="X597" s="1"/>
      <c r="Y597" s="1"/>
      <c r="Z597" s="1"/>
    </row>
    <row r="598" spans="1:26" ht="39.75" customHeight="1">
      <c r="A598" s="1"/>
      <c r="B598" s="1"/>
      <c r="C598" s="1"/>
      <c r="D598" s="1"/>
      <c r="E598" s="1"/>
      <c r="F598" s="1"/>
      <c r="G598" s="1"/>
      <c r="H598" s="1"/>
      <c r="I598" s="1"/>
      <c r="J598" s="1"/>
      <c r="K598" s="1"/>
      <c r="L598" s="1"/>
      <c r="M598" s="1"/>
      <c r="N598" s="1"/>
      <c r="O598" s="1"/>
      <c r="P598" s="1"/>
      <c r="Q598" s="1"/>
      <c r="R598" s="1"/>
      <c r="S598" s="1"/>
      <c r="T598" s="1"/>
      <c r="U598" s="2"/>
      <c r="V598" s="1"/>
      <c r="W598" s="1"/>
      <c r="X598" s="1"/>
      <c r="Y598" s="1"/>
      <c r="Z598" s="1"/>
    </row>
    <row r="599" spans="1:26" ht="39.75" customHeight="1">
      <c r="A599" s="1"/>
      <c r="B599" s="1"/>
      <c r="C599" s="1"/>
      <c r="D599" s="1"/>
      <c r="E599" s="1"/>
      <c r="F599" s="1"/>
      <c r="G599" s="1"/>
      <c r="H599" s="1"/>
      <c r="I599" s="1"/>
      <c r="J599" s="1"/>
      <c r="K599" s="1"/>
      <c r="L599" s="1"/>
      <c r="M599" s="1"/>
      <c r="N599" s="1"/>
      <c r="O599" s="1"/>
      <c r="P599" s="1"/>
      <c r="Q599" s="1"/>
      <c r="R599" s="1"/>
      <c r="S599" s="1"/>
      <c r="T599" s="1"/>
      <c r="U599" s="2"/>
      <c r="V599" s="1"/>
      <c r="W599" s="1"/>
      <c r="X599" s="1"/>
      <c r="Y599" s="1"/>
      <c r="Z599" s="1"/>
    </row>
    <row r="600" spans="1:26" ht="39.75" customHeight="1">
      <c r="A600" s="1"/>
      <c r="B600" s="1"/>
      <c r="C600" s="1"/>
      <c r="D600" s="1"/>
      <c r="E600" s="1"/>
      <c r="F600" s="1"/>
      <c r="G600" s="1"/>
      <c r="H600" s="1"/>
      <c r="I600" s="1"/>
      <c r="J600" s="1"/>
      <c r="K600" s="1"/>
      <c r="L600" s="1"/>
      <c r="M600" s="1"/>
      <c r="N600" s="1"/>
      <c r="O600" s="1"/>
      <c r="P600" s="1"/>
      <c r="Q600" s="1"/>
      <c r="R600" s="1"/>
      <c r="S600" s="1"/>
      <c r="T600" s="1"/>
      <c r="U600" s="2"/>
      <c r="V600" s="1"/>
      <c r="W600" s="1"/>
      <c r="X600" s="1"/>
      <c r="Y600" s="1"/>
      <c r="Z600" s="1"/>
    </row>
    <row r="601" spans="1:26" ht="39.75" customHeight="1">
      <c r="A601" s="1"/>
      <c r="B601" s="1"/>
      <c r="C601" s="1"/>
      <c r="D601" s="1"/>
      <c r="E601" s="1"/>
      <c r="F601" s="1"/>
      <c r="G601" s="1"/>
      <c r="H601" s="1"/>
      <c r="I601" s="1"/>
      <c r="J601" s="1"/>
      <c r="K601" s="1"/>
      <c r="L601" s="1"/>
      <c r="M601" s="1"/>
      <c r="N601" s="1"/>
      <c r="O601" s="1"/>
      <c r="P601" s="1"/>
      <c r="Q601" s="1"/>
      <c r="R601" s="1"/>
      <c r="S601" s="1"/>
      <c r="T601" s="1"/>
      <c r="U601" s="2"/>
      <c r="V601" s="1"/>
      <c r="W601" s="1"/>
      <c r="X601" s="1"/>
      <c r="Y601" s="1"/>
      <c r="Z601" s="1"/>
    </row>
    <row r="602" spans="1:26" ht="39.75" customHeight="1">
      <c r="A602" s="1"/>
      <c r="B602" s="1"/>
      <c r="C602" s="1"/>
      <c r="D602" s="1"/>
      <c r="E602" s="1"/>
      <c r="F602" s="1"/>
      <c r="G602" s="1"/>
      <c r="H602" s="1"/>
      <c r="I602" s="1"/>
      <c r="J602" s="1"/>
      <c r="K602" s="1"/>
      <c r="L602" s="1"/>
      <c r="M602" s="1"/>
      <c r="N602" s="1"/>
      <c r="O602" s="1"/>
      <c r="P602" s="1"/>
      <c r="Q602" s="1"/>
      <c r="R602" s="1"/>
      <c r="S602" s="1"/>
      <c r="T602" s="1"/>
      <c r="U602" s="2"/>
      <c r="V602" s="1"/>
      <c r="W602" s="1"/>
      <c r="X602" s="1"/>
      <c r="Y602" s="1"/>
      <c r="Z602" s="1"/>
    </row>
    <row r="603" spans="1:26" ht="39.75" customHeight="1">
      <c r="A603" s="1"/>
      <c r="B603" s="1"/>
      <c r="C603" s="1"/>
      <c r="D603" s="1"/>
      <c r="E603" s="1"/>
      <c r="F603" s="1"/>
      <c r="G603" s="1"/>
      <c r="H603" s="1"/>
      <c r="I603" s="1"/>
      <c r="J603" s="1"/>
      <c r="K603" s="1"/>
      <c r="L603" s="1"/>
      <c r="M603" s="1"/>
      <c r="N603" s="1"/>
      <c r="O603" s="1"/>
      <c r="P603" s="1"/>
      <c r="Q603" s="1"/>
      <c r="R603" s="1"/>
      <c r="S603" s="1"/>
      <c r="T603" s="1"/>
      <c r="U603" s="2"/>
      <c r="V603" s="1"/>
      <c r="W603" s="1"/>
      <c r="X603" s="1"/>
      <c r="Y603" s="1"/>
      <c r="Z603" s="1"/>
    </row>
    <row r="604" spans="1:26" ht="39.75" customHeight="1">
      <c r="A604" s="1"/>
      <c r="B604" s="1"/>
      <c r="C604" s="1"/>
      <c r="D604" s="1"/>
      <c r="E604" s="1"/>
      <c r="F604" s="1"/>
      <c r="G604" s="1"/>
      <c r="H604" s="1"/>
      <c r="I604" s="1"/>
      <c r="J604" s="1"/>
      <c r="K604" s="1"/>
      <c r="L604" s="1"/>
      <c r="M604" s="1"/>
      <c r="N604" s="1"/>
      <c r="O604" s="1"/>
      <c r="P604" s="1"/>
      <c r="Q604" s="1"/>
      <c r="R604" s="1"/>
      <c r="S604" s="1"/>
      <c r="T604" s="1"/>
      <c r="U604" s="2"/>
      <c r="V604" s="1"/>
      <c r="W604" s="1"/>
      <c r="X604" s="1"/>
      <c r="Y604" s="1"/>
      <c r="Z604" s="1"/>
    </row>
    <row r="605" spans="1:26" ht="39.75" customHeight="1">
      <c r="A605" s="1"/>
      <c r="B605" s="1"/>
      <c r="C605" s="1"/>
      <c r="D605" s="1"/>
      <c r="E605" s="1"/>
      <c r="F605" s="1"/>
      <c r="G605" s="1"/>
      <c r="H605" s="1"/>
      <c r="I605" s="1"/>
      <c r="J605" s="1"/>
      <c r="K605" s="1"/>
      <c r="L605" s="1"/>
      <c r="M605" s="1"/>
      <c r="N605" s="1"/>
      <c r="O605" s="1"/>
      <c r="P605" s="1"/>
      <c r="Q605" s="1"/>
      <c r="R605" s="1"/>
      <c r="S605" s="1"/>
      <c r="T605" s="1"/>
      <c r="U605" s="2"/>
      <c r="V605" s="1"/>
      <c r="W605" s="1"/>
      <c r="X605" s="1"/>
      <c r="Y605" s="1"/>
      <c r="Z605" s="1"/>
    </row>
    <row r="606" spans="1:26" ht="39.75" customHeight="1">
      <c r="A606" s="1"/>
      <c r="B606" s="1"/>
      <c r="C606" s="1"/>
      <c r="D606" s="1"/>
      <c r="E606" s="1"/>
      <c r="F606" s="1"/>
      <c r="G606" s="1"/>
      <c r="H606" s="1"/>
      <c r="I606" s="1"/>
      <c r="J606" s="1"/>
      <c r="K606" s="1"/>
      <c r="L606" s="1"/>
      <c r="M606" s="1"/>
      <c r="N606" s="1"/>
      <c r="O606" s="1"/>
      <c r="P606" s="1"/>
      <c r="Q606" s="1"/>
      <c r="R606" s="1"/>
      <c r="S606" s="1"/>
      <c r="T606" s="1"/>
      <c r="U606" s="2"/>
      <c r="V606" s="1"/>
      <c r="W606" s="1"/>
      <c r="X606" s="1"/>
      <c r="Y606" s="1"/>
      <c r="Z606" s="1"/>
    </row>
    <row r="607" spans="1:26" ht="39.75" customHeight="1">
      <c r="A607" s="1"/>
      <c r="B607" s="1"/>
      <c r="C607" s="1"/>
      <c r="D607" s="1"/>
      <c r="E607" s="1"/>
      <c r="F607" s="1"/>
      <c r="G607" s="1"/>
      <c r="H607" s="1"/>
      <c r="I607" s="1"/>
      <c r="J607" s="1"/>
      <c r="K607" s="1"/>
      <c r="L607" s="1"/>
      <c r="M607" s="1"/>
      <c r="N607" s="1"/>
      <c r="O607" s="1"/>
      <c r="P607" s="1"/>
      <c r="Q607" s="1"/>
      <c r="R607" s="1"/>
      <c r="S607" s="1"/>
      <c r="T607" s="1"/>
      <c r="U607" s="2"/>
      <c r="V607" s="1"/>
      <c r="W607" s="1"/>
      <c r="X607" s="1"/>
      <c r="Y607" s="1"/>
      <c r="Z607" s="1"/>
    </row>
    <row r="608" spans="1:26" ht="39.75" customHeight="1">
      <c r="A608" s="1"/>
      <c r="B608" s="1"/>
      <c r="C608" s="1"/>
      <c r="D608" s="1"/>
      <c r="E608" s="1"/>
      <c r="F608" s="1"/>
      <c r="G608" s="1"/>
      <c r="H608" s="1"/>
      <c r="I608" s="1"/>
      <c r="J608" s="1"/>
      <c r="K608" s="1"/>
      <c r="L608" s="1"/>
      <c r="M608" s="1"/>
      <c r="N608" s="1"/>
      <c r="O608" s="1"/>
      <c r="P608" s="1"/>
      <c r="Q608" s="1"/>
      <c r="R608" s="1"/>
      <c r="S608" s="1"/>
      <c r="T608" s="1"/>
      <c r="U608" s="2"/>
      <c r="V608" s="1"/>
      <c r="W608" s="1"/>
      <c r="X608" s="1"/>
      <c r="Y608" s="1"/>
      <c r="Z608" s="1"/>
    </row>
    <row r="609" spans="1:26" ht="39.75" customHeight="1">
      <c r="A609" s="1"/>
      <c r="B609" s="1"/>
      <c r="C609" s="1"/>
      <c r="D609" s="1"/>
      <c r="E609" s="1"/>
      <c r="F609" s="1"/>
      <c r="G609" s="1"/>
      <c r="H609" s="1"/>
      <c r="I609" s="1"/>
      <c r="J609" s="1"/>
      <c r="K609" s="1"/>
      <c r="L609" s="1"/>
      <c r="M609" s="1"/>
      <c r="N609" s="1"/>
      <c r="O609" s="1"/>
      <c r="P609" s="1"/>
      <c r="Q609" s="1"/>
      <c r="R609" s="1"/>
      <c r="S609" s="1"/>
      <c r="T609" s="1"/>
      <c r="U609" s="2"/>
      <c r="V609" s="1"/>
      <c r="W609" s="1"/>
      <c r="X609" s="1"/>
      <c r="Y609" s="1"/>
      <c r="Z609" s="1"/>
    </row>
    <row r="610" spans="1:26" ht="39.75" customHeight="1">
      <c r="A610" s="1"/>
      <c r="B610" s="1"/>
      <c r="C610" s="1"/>
      <c r="D610" s="1"/>
      <c r="E610" s="1"/>
      <c r="F610" s="1"/>
      <c r="G610" s="1"/>
      <c r="H610" s="1"/>
      <c r="I610" s="1"/>
      <c r="J610" s="1"/>
      <c r="K610" s="1"/>
      <c r="L610" s="1"/>
      <c r="M610" s="1"/>
      <c r="N610" s="1"/>
      <c r="O610" s="1"/>
      <c r="P610" s="1"/>
      <c r="Q610" s="1"/>
      <c r="R610" s="1"/>
      <c r="S610" s="1"/>
      <c r="T610" s="1"/>
      <c r="U610" s="2"/>
      <c r="V610" s="1"/>
      <c r="W610" s="1"/>
      <c r="X610" s="1"/>
      <c r="Y610" s="1"/>
      <c r="Z610" s="1"/>
    </row>
    <row r="611" spans="1:26" ht="39.75" customHeight="1">
      <c r="A611" s="1"/>
      <c r="B611" s="1"/>
      <c r="C611" s="1"/>
      <c r="D611" s="1"/>
      <c r="E611" s="1"/>
      <c r="F611" s="1"/>
      <c r="G611" s="1"/>
      <c r="H611" s="1"/>
      <c r="I611" s="1"/>
      <c r="J611" s="1"/>
      <c r="K611" s="1"/>
      <c r="L611" s="1"/>
      <c r="M611" s="1"/>
      <c r="N611" s="1"/>
      <c r="O611" s="1"/>
      <c r="P611" s="1"/>
      <c r="Q611" s="1"/>
      <c r="R611" s="1"/>
      <c r="S611" s="1"/>
      <c r="T611" s="1"/>
      <c r="U611" s="2"/>
      <c r="V611" s="1"/>
      <c r="W611" s="1"/>
      <c r="X611" s="1"/>
      <c r="Y611" s="1"/>
      <c r="Z611" s="1"/>
    </row>
    <row r="612" spans="1:26" ht="39.75" customHeight="1">
      <c r="A612" s="1"/>
      <c r="B612" s="1"/>
      <c r="C612" s="1"/>
      <c r="D612" s="1"/>
      <c r="E612" s="1"/>
      <c r="F612" s="1"/>
      <c r="G612" s="1"/>
      <c r="H612" s="1"/>
      <c r="I612" s="1"/>
      <c r="J612" s="1"/>
      <c r="K612" s="1"/>
      <c r="L612" s="1"/>
      <c r="M612" s="1"/>
      <c r="N612" s="1"/>
      <c r="O612" s="1"/>
      <c r="P612" s="1"/>
      <c r="Q612" s="1"/>
      <c r="R612" s="1"/>
      <c r="S612" s="1"/>
      <c r="T612" s="1"/>
      <c r="U612" s="2"/>
      <c r="V612" s="1"/>
      <c r="W612" s="1"/>
      <c r="X612" s="1"/>
      <c r="Y612" s="1"/>
      <c r="Z612" s="1"/>
    </row>
    <row r="613" spans="1:26" ht="39.75" customHeight="1">
      <c r="A613" s="1"/>
      <c r="B613" s="1"/>
      <c r="C613" s="1"/>
      <c r="D613" s="1"/>
      <c r="E613" s="1"/>
      <c r="F613" s="1"/>
      <c r="G613" s="1"/>
      <c r="H613" s="1"/>
      <c r="I613" s="1"/>
      <c r="J613" s="1"/>
      <c r="K613" s="1"/>
      <c r="L613" s="1"/>
      <c r="M613" s="1"/>
      <c r="N613" s="1"/>
      <c r="O613" s="1"/>
      <c r="P613" s="1"/>
      <c r="Q613" s="1"/>
      <c r="R613" s="1"/>
      <c r="S613" s="1"/>
      <c r="T613" s="1"/>
      <c r="U613" s="2"/>
      <c r="V613" s="1"/>
      <c r="W613" s="1"/>
      <c r="X613" s="1"/>
      <c r="Y613" s="1"/>
      <c r="Z613" s="1"/>
    </row>
    <row r="614" spans="1:26" ht="39.75" customHeight="1">
      <c r="A614" s="1"/>
      <c r="B614" s="1"/>
      <c r="C614" s="1"/>
      <c r="D614" s="1"/>
      <c r="E614" s="1"/>
      <c r="F614" s="1"/>
      <c r="G614" s="1"/>
      <c r="H614" s="1"/>
      <c r="I614" s="1"/>
      <c r="J614" s="1"/>
      <c r="K614" s="1"/>
      <c r="L614" s="1"/>
      <c r="M614" s="1"/>
      <c r="N614" s="1"/>
      <c r="O614" s="1"/>
      <c r="P614" s="1"/>
      <c r="Q614" s="1"/>
      <c r="R614" s="1"/>
      <c r="S614" s="1"/>
      <c r="T614" s="1"/>
      <c r="U614" s="2"/>
      <c r="V614" s="1"/>
      <c r="W614" s="1"/>
      <c r="X614" s="1"/>
      <c r="Y614" s="1"/>
      <c r="Z614" s="1"/>
    </row>
    <row r="615" spans="1:26" ht="39.75" customHeight="1">
      <c r="A615" s="1"/>
      <c r="B615" s="1"/>
      <c r="C615" s="1"/>
      <c r="D615" s="1"/>
      <c r="E615" s="1"/>
      <c r="F615" s="1"/>
      <c r="G615" s="1"/>
      <c r="H615" s="1"/>
      <c r="I615" s="1"/>
      <c r="J615" s="1"/>
      <c r="K615" s="1"/>
      <c r="L615" s="1"/>
      <c r="M615" s="1"/>
      <c r="N615" s="1"/>
      <c r="O615" s="1"/>
      <c r="P615" s="1"/>
      <c r="Q615" s="1"/>
      <c r="R615" s="1"/>
      <c r="S615" s="1"/>
      <c r="T615" s="1"/>
      <c r="U615" s="2"/>
      <c r="V615" s="1"/>
      <c r="W615" s="1"/>
      <c r="X615" s="1"/>
      <c r="Y615" s="1"/>
      <c r="Z615" s="1"/>
    </row>
    <row r="616" spans="1:26" ht="39.75" customHeight="1">
      <c r="A616" s="1"/>
      <c r="B616" s="1"/>
      <c r="C616" s="1"/>
      <c r="D616" s="1"/>
      <c r="E616" s="1"/>
      <c r="F616" s="1"/>
      <c r="G616" s="1"/>
      <c r="H616" s="1"/>
      <c r="I616" s="1"/>
      <c r="J616" s="1"/>
      <c r="K616" s="1"/>
      <c r="L616" s="1"/>
      <c r="M616" s="1"/>
      <c r="N616" s="1"/>
      <c r="O616" s="1"/>
      <c r="P616" s="1"/>
      <c r="Q616" s="1"/>
      <c r="R616" s="1"/>
      <c r="S616" s="1"/>
      <c r="T616" s="1"/>
      <c r="U616" s="2"/>
      <c r="V616" s="1"/>
      <c r="W616" s="1"/>
      <c r="X616" s="1"/>
      <c r="Y616" s="1"/>
      <c r="Z616" s="1"/>
    </row>
    <row r="617" spans="1:26" ht="39.75" customHeight="1">
      <c r="A617" s="1"/>
      <c r="B617" s="1"/>
      <c r="C617" s="1"/>
      <c r="D617" s="1"/>
      <c r="E617" s="1"/>
      <c r="F617" s="1"/>
      <c r="G617" s="1"/>
      <c r="H617" s="1"/>
      <c r="I617" s="1"/>
      <c r="J617" s="1"/>
      <c r="K617" s="1"/>
      <c r="L617" s="1"/>
      <c r="M617" s="1"/>
      <c r="N617" s="1"/>
      <c r="O617" s="1"/>
      <c r="P617" s="1"/>
      <c r="Q617" s="1"/>
      <c r="R617" s="1"/>
      <c r="S617" s="1"/>
      <c r="T617" s="1"/>
      <c r="U617" s="2"/>
      <c r="V617" s="1"/>
      <c r="W617" s="1"/>
      <c r="X617" s="1"/>
      <c r="Y617" s="1"/>
      <c r="Z617" s="1"/>
    </row>
    <row r="618" spans="1:26" ht="39.75" customHeight="1">
      <c r="A618" s="1"/>
      <c r="B618" s="1"/>
      <c r="C618" s="1"/>
      <c r="D618" s="1"/>
      <c r="E618" s="1"/>
      <c r="F618" s="1"/>
      <c r="G618" s="1"/>
      <c r="H618" s="1"/>
      <c r="I618" s="1"/>
      <c r="J618" s="1"/>
      <c r="K618" s="1"/>
      <c r="L618" s="1"/>
      <c r="M618" s="1"/>
      <c r="N618" s="1"/>
      <c r="O618" s="1"/>
      <c r="P618" s="1"/>
      <c r="Q618" s="1"/>
      <c r="R618" s="1"/>
      <c r="S618" s="1"/>
      <c r="T618" s="1"/>
      <c r="U618" s="2"/>
      <c r="V618" s="1"/>
      <c r="W618" s="1"/>
      <c r="X618" s="1"/>
      <c r="Y618" s="1"/>
      <c r="Z618" s="1"/>
    </row>
    <row r="619" spans="1:26" ht="39.75" customHeight="1">
      <c r="A619" s="1"/>
      <c r="B619" s="1"/>
      <c r="C619" s="1"/>
      <c r="D619" s="1"/>
      <c r="E619" s="1"/>
      <c r="F619" s="1"/>
      <c r="G619" s="1"/>
      <c r="H619" s="1"/>
      <c r="I619" s="1"/>
      <c r="J619" s="1"/>
      <c r="K619" s="1"/>
      <c r="L619" s="1"/>
      <c r="M619" s="1"/>
      <c r="N619" s="1"/>
      <c r="O619" s="1"/>
      <c r="P619" s="1"/>
      <c r="Q619" s="1"/>
      <c r="R619" s="1"/>
      <c r="S619" s="1"/>
      <c r="T619" s="1"/>
      <c r="U619" s="2"/>
      <c r="V619" s="1"/>
      <c r="W619" s="1"/>
      <c r="X619" s="1"/>
      <c r="Y619" s="1"/>
      <c r="Z619" s="1"/>
    </row>
    <row r="620" spans="1:26" ht="39.75" customHeight="1">
      <c r="A620" s="1"/>
      <c r="B620" s="1"/>
      <c r="C620" s="1"/>
      <c r="D620" s="1"/>
      <c r="E620" s="1"/>
      <c r="F620" s="1"/>
      <c r="G620" s="1"/>
      <c r="H620" s="1"/>
      <c r="I620" s="1"/>
      <c r="J620" s="1"/>
      <c r="K620" s="1"/>
      <c r="L620" s="1"/>
      <c r="M620" s="1"/>
      <c r="N620" s="1"/>
      <c r="O620" s="1"/>
      <c r="P620" s="1"/>
      <c r="Q620" s="1"/>
      <c r="R620" s="1"/>
      <c r="S620" s="1"/>
      <c r="T620" s="1"/>
      <c r="U620" s="2"/>
      <c r="V620" s="1"/>
      <c r="W620" s="1"/>
      <c r="X620" s="1"/>
      <c r="Y620" s="1"/>
      <c r="Z620" s="1"/>
    </row>
    <row r="621" spans="1:26" ht="39.75" customHeight="1">
      <c r="A621" s="1"/>
      <c r="B621" s="1"/>
      <c r="C621" s="1"/>
      <c r="D621" s="1"/>
      <c r="E621" s="1"/>
      <c r="F621" s="1"/>
      <c r="G621" s="1"/>
      <c r="H621" s="1"/>
      <c r="I621" s="1"/>
      <c r="J621" s="1"/>
      <c r="K621" s="1"/>
      <c r="L621" s="1"/>
      <c r="M621" s="1"/>
      <c r="N621" s="1"/>
      <c r="O621" s="1"/>
      <c r="P621" s="1"/>
      <c r="Q621" s="1"/>
      <c r="R621" s="1"/>
      <c r="S621" s="1"/>
      <c r="T621" s="1"/>
      <c r="U621" s="2"/>
      <c r="V621" s="1"/>
      <c r="W621" s="1"/>
      <c r="X621" s="1"/>
      <c r="Y621" s="1"/>
      <c r="Z621" s="1"/>
    </row>
    <row r="622" spans="1:26" ht="39.75" customHeight="1">
      <c r="A622" s="1"/>
      <c r="B622" s="1"/>
      <c r="C622" s="1"/>
      <c r="D622" s="1"/>
      <c r="E622" s="1"/>
      <c r="F622" s="1"/>
      <c r="G622" s="1"/>
      <c r="H622" s="1"/>
      <c r="I622" s="1"/>
      <c r="J622" s="1"/>
      <c r="K622" s="1"/>
      <c r="L622" s="1"/>
      <c r="M622" s="1"/>
      <c r="N622" s="1"/>
      <c r="O622" s="1"/>
      <c r="P622" s="1"/>
      <c r="Q622" s="1"/>
      <c r="R622" s="1"/>
      <c r="S622" s="1"/>
      <c r="T622" s="1"/>
      <c r="U622" s="2"/>
      <c r="V622" s="1"/>
      <c r="W622" s="1"/>
      <c r="X622" s="1"/>
      <c r="Y622" s="1"/>
      <c r="Z622" s="1"/>
    </row>
    <row r="623" spans="1:26" ht="39.75" customHeight="1">
      <c r="A623" s="1"/>
      <c r="B623" s="1"/>
      <c r="C623" s="1"/>
      <c r="D623" s="1"/>
      <c r="E623" s="1"/>
      <c r="F623" s="1"/>
      <c r="G623" s="1"/>
      <c r="H623" s="1"/>
      <c r="I623" s="1"/>
      <c r="J623" s="1"/>
      <c r="K623" s="1"/>
      <c r="L623" s="1"/>
      <c r="M623" s="1"/>
      <c r="N623" s="1"/>
      <c r="O623" s="1"/>
      <c r="P623" s="1"/>
      <c r="Q623" s="1"/>
      <c r="R623" s="1"/>
      <c r="S623" s="1"/>
      <c r="T623" s="1"/>
      <c r="U623" s="2"/>
      <c r="V623" s="1"/>
      <c r="W623" s="1"/>
      <c r="X623" s="1"/>
      <c r="Y623" s="1"/>
      <c r="Z623" s="1"/>
    </row>
    <row r="624" spans="1:26" ht="39.75" customHeight="1">
      <c r="A624" s="1"/>
      <c r="B624" s="1"/>
      <c r="C624" s="1"/>
      <c r="D624" s="1"/>
      <c r="E624" s="1"/>
      <c r="F624" s="1"/>
      <c r="G624" s="1"/>
      <c r="H624" s="1"/>
      <c r="I624" s="1"/>
      <c r="J624" s="1"/>
      <c r="K624" s="1"/>
      <c r="L624" s="1"/>
      <c r="M624" s="1"/>
      <c r="N624" s="1"/>
      <c r="O624" s="1"/>
      <c r="P624" s="1"/>
      <c r="Q624" s="1"/>
      <c r="R624" s="1"/>
      <c r="S624" s="1"/>
      <c r="T624" s="1"/>
      <c r="U624" s="2"/>
      <c r="V624" s="1"/>
      <c r="W624" s="1"/>
      <c r="X624" s="1"/>
      <c r="Y624" s="1"/>
      <c r="Z624" s="1"/>
    </row>
    <row r="625" spans="1:26" ht="39.75" customHeight="1">
      <c r="A625" s="1"/>
      <c r="B625" s="1"/>
      <c r="C625" s="1"/>
      <c r="D625" s="1"/>
      <c r="E625" s="1"/>
      <c r="F625" s="1"/>
      <c r="G625" s="1"/>
      <c r="H625" s="1"/>
      <c r="I625" s="1"/>
      <c r="J625" s="1"/>
      <c r="K625" s="1"/>
      <c r="L625" s="1"/>
      <c r="M625" s="1"/>
      <c r="N625" s="1"/>
      <c r="O625" s="1"/>
      <c r="P625" s="1"/>
      <c r="Q625" s="1"/>
      <c r="R625" s="1"/>
      <c r="S625" s="1"/>
      <c r="T625" s="1"/>
      <c r="U625" s="2"/>
      <c r="V625" s="1"/>
      <c r="W625" s="1"/>
      <c r="X625" s="1"/>
      <c r="Y625" s="1"/>
      <c r="Z625" s="1"/>
    </row>
    <row r="626" spans="1:26" ht="39.75" customHeight="1">
      <c r="A626" s="1"/>
      <c r="B626" s="1"/>
      <c r="C626" s="1"/>
      <c r="D626" s="1"/>
      <c r="E626" s="1"/>
      <c r="F626" s="1"/>
      <c r="G626" s="1"/>
      <c r="H626" s="1"/>
      <c r="I626" s="1"/>
      <c r="J626" s="1"/>
      <c r="K626" s="1"/>
      <c r="L626" s="1"/>
      <c r="M626" s="1"/>
      <c r="N626" s="1"/>
      <c r="O626" s="1"/>
      <c r="P626" s="1"/>
      <c r="Q626" s="1"/>
      <c r="R626" s="1"/>
      <c r="S626" s="1"/>
      <c r="T626" s="1"/>
      <c r="U626" s="2"/>
      <c r="V626" s="1"/>
      <c r="W626" s="1"/>
      <c r="X626" s="1"/>
      <c r="Y626" s="1"/>
      <c r="Z626" s="1"/>
    </row>
    <row r="627" spans="1:26" ht="39.75" customHeight="1">
      <c r="A627" s="1"/>
      <c r="B627" s="1"/>
      <c r="C627" s="1"/>
      <c r="D627" s="1"/>
      <c r="E627" s="1"/>
      <c r="F627" s="1"/>
      <c r="G627" s="1"/>
      <c r="H627" s="1"/>
      <c r="I627" s="1"/>
      <c r="J627" s="1"/>
      <c r="K627" s="1"/>
      <c r="L627" s="1"/>
      <c r="M627" s="1"/>
      <c r="N627" s="1"/>
      <c r="O627" s="1"/>
      <c r="P627" s="1"/>
      <c r="Q627" s="1"/>
      <c r="R627" s="1"/>
      <c r="S627" s="1"/>
      <c r="T627" s="1"/>
      <c r="U627" s="2"/>
      <c r="V627" s="1"/>
      <c r="W627" s="1"/>
      <c r="X627" s="1"/>
      <c r="Y627" s="1"/>
      <c r="Z627" s="1"/>
    </row>
    <row r="628" spans="1:26" ht="39.75" customHeight="1">
      <c r="A628" s="1"/>
      <c r="B628" s="1"/>
      <c r="C628" s="1"/>
      <c r="D628" s="1"/>
      <c r="E628" s="1"/>
      <c r="F628" s="1"/>
      <c r="G628" s="1"/>
      <c r="H628" s="1"/>
      <c r="I628" s="1"/>
      <c r="J628" s="1"/>
      <c r="K628" s="1"/>
      <c r="L628" s="1"/>
      <c r="M628" s="1"/>
      <c r="N628" s="1"/>
      <c r="O628" s="1"/>
      <c r="P628" s="1"/>
      <c r="Q628" s="1"/>
      <c r="R628" s="1"/>
      <c r="S628" s="1"/>
      <c r="T628" s="1"/>
      <c r="U628" s="2"/>
      <c r="V628" s="1"/>
      <c r="W628" s="1"/>
      <c r="X628" s="1"/>
      <c r="Y628" s="1"/>
      <c r="Z628" s="1"/>
    </row>
    <row r="629" spans="1:26" ht="39.75" customHeight="1">
      <c r="A629" s="1"/>
      <c r="B629" s="1"/>
      <c r="C629" s="1"/>
      <c r="D629" s="1"/>
      <c r="E629" s="1"/>
      <c r="F629" s="1"/>
      <c r="G629" s="1"/>
      <c r="H629" s="1"/>
      <c r="I629" s="1"/>
      <c r="J629" s="1"/>
      <c r="K629" s="1"/>
      <c r="L629" s="1"/>
      <c r="M629" s="1"/>
      <c r="N629" s="1"/>
      <c r="O629" s="1"/>
      <c r="P629" s="1"/>
      <c r="Q629" s="1"/>
      <c r="R629" s="1"/>
      <c r="S629" s="1"/>
      <c r="T629" s="1"/>
      <c r="U629" s="2"/>
      <c r="V629" s="1"/>
      <c r="W629" s="1"/>
      <c r="X629" s="1"/>
      <c r="Y629" s="1"/>
      <c r="Z629" s="1"/>
    </row>
    <row r="630" spans="1:26" ht="39.75" customHeight="1">
      <c r="A630" s="1"/>
      <c r="B630" s="1"/>
      <c r="C630" s="1"/>
      <c r="D630" s="1"/>
      <c r="E630" s="1"/>
      <c r="F630" s="1"/>
      <c r="G630" s="1"/>
      <c r="H630" s="1"/>
      <c r="I630" s="1"/>
      <c r="J630" s="1"/>
      <c r="K630" s="1"/>
      <c r="L630" s="1"/>
      <c r="M630" s="1"/>
      <c r="N630" s="1"/>
      <c r="O630" s="1"/>
      <c r="P630" s="1"/>
      <c r="Q630" s="1"/>
      <c r="R630" s="1"/>
      <c r="S630" s="1"/>
      <c r="T630" s="1"/>
      <c r="U630" s="2"/>
      <c r="V630" s="1"/>
      <c r="W630" s="1"/>
      <c r="X630" s="1"/>
      <c r="Y630" s="1"/>
      <c r="Z630" s="1"/>
    </row>
    <row r="631" spans="1:26" ht="39.75" customHeight="1">
      <c r="A631" s="1"/>
      <c r="B631" s="1"/>
      <c r="C631" s="1"/>
      <c r="D631" s="1"/>
      <c r="E631" s="1"/>
      <c r="F631" s="1"/>
      <c r="G631" s="1"/>
      <c r="H631" s="1"/>
      <c r="I631" s="1"/>
      <c r="J631" s="1"/>
      <c r="K631" s="1"/>
      <c r="L631" s="1"/>
      <c r="M631" s="1"/>
      <c r="N631" s="1"/>
      <c r="O631" s="1"/>
      <c r="P631" s="1"/>
      <c r="Q631" s="1"/>
      <c r="R631" s="1"/>
      <c r="S631" s="1"/>
      <c r="T631" s="1"/>
      <c r="U631" s="2"/>
      <c r="V631" s="1"/>
      <c r="W631" s="1"/>
      <c r="X631" s="1"/>
      <c r="Y631" s="1"/>
      <c r="Z631" s="1"/>
    </row>
    <row r="632" spans="1:26" ht="39.75" customHeight="1">
      <c r="A632" s="1"/>
      <c r="B632" s="1"/>
      <c r="C632" s="1"/>
      <c r="D632" s="1"/>
      <c r="E632" s="1"/>
      <c r="F632" s="1"/>
      <c r="G632" s="1"/>
      <c r="H632" s="1"/>
      <c r="I632" s="1"/>
      <c r="J632" s="1"/>
      <c r="K632" s="1"/>
      <c r="L632" s="1"/>
      <c r="M632" s="1"/>
      <c r="N632" s="1"/>
      <c r="O632" s="1"/>
      <c r="P632" s="1"/>
      <c r="Q632" s="1"/>
      <c r="R632" s="1"/>
      <c r="S632" s="1"/>
      <c r="T632" s="1"/>
      <c r="U632" s="2"/>
      <c r="V632" s="1"/>
      <c r="W632" s="1"/>
      <c r="X632" s="1"/>
      <c r="Y632" s="1"/>
      <c r="Z632" s="1"/>
    </row>
    <row r="633" spans="1:26" ht="39.75" customHeight="1">
      <c r="A633" s="1"/>
      <c r="B633" s="1"/>
      <c r="C633" s="1"/>
      <c r="D633" s="1"/>
      <c r="E633" s="1"/>
      <c r="F633" s="1"/>
      <c r="G633" s="1"/>
      <c r="H633" s="1"/>
      <c r="I633" s="1"/>
      <c r="J633" s="1"/>
      <c r="K633" s="1"/>
      <c r="L633" s="1"/>
      <c r="M633" s="1"/>
      <c r="N633" s="1"/>
      <c r="O633" s="1"/>
      <c r="P633" s="1"/>
      <c r="Q633" s="1"/>
      <c r="R633" s="1"/>
      <c r="S633" s="1"/>
      <c r="T633" s="1"/>
      <c r="U633" s="2"/>
      <c r="V633" s="1"/>
      <c r="W633" s="1"/>
      <c r="X633" s="1"/>
      <c r="Y633" s="1"/>
      <c r="Z633" s="1"/>
    </row>
    <row r="634" spans="1:26" ht="39.75" customHeight="1">
      <c r="A634" s="1"/>
      <c r="B634" s="1"/>
      <c r="C634" s="1"/>
      <c r="D634" s="1"/>
      <c r="E634" s="1"/>
      <c r="F634" s="1"/>
      <c r="G634" s="1"/>
      <c r="H634" s="1"/>
      <c r="I634" s="1"/>
      <c r="J634" s="1"/>
      <c r="K634" s="1"/>
      <c r="L634" s="1"/>
      <c r="M634" s="1"/>
      <c r="N634" s="1"/>
      <c r="O634" s="1"/>
      <c r="P634" s="1"/>
      <c r="Q634" s="1"/>
      <c r="R634" s="1"/>
      <c r="S634" s="1"/>
      <c r="T634" s="1"/>
      <c r="U634" s="2"/>
      <c r="V634" s="1"/>
      <c r="W634" s="1"/>
      <c r="X634" s="1"/>
      <c r="Y634" s="1"/>
      <c r="Z634" s="1"/>
    </row>
    <row r="635" spans="1:26" ht="39.75" customHeight="1">
      <c r="A635" s="1"/>
      <c r="B635" s="1"/>
      <c r="C635" s="1"/>
      <c r="D635" s="1"/>
      <c r="E635" s="1"/>
      <c r="F635" s="1"/>
      <c r="G635" s="1"/>
      <c r="H635" s="1"/>
      <c r="I635" s="1"/>
      <c r="J635" s="1"/>
      <c r="K635" s="1"/>
      <c r="L635" s="1"/>
      <c r="M635" s="1"/>
      <c r="N635" s="1"/>
      <c r="O635" s="1"/>
      <c r="P635" s="1"/>
      <c r="Q635" s="1"/>
      <c r="R635" s="1"/>
      <c r="S635" s="1"/>
      <c r="T635" s="1"/>
      <c r="U635" s="2"/>
      <c r="V635" s="1"/>
      <c r="W635" s="1"/>
      <c r="X635" s="1"/>
      <c r="Y635" s="1"/>
      <c r="Z635" s="1"/>
    </row>
    <row r="636" spans="1:26" ht="39.75" customHeight="1">
      <c r="A636" s="1"/>
      <c r="B636" s="1"/>
      <c r="C636" s="1"/>
      <c r="D636" s="1"/>
      <c r="E636" s="1"/>
      <c r="F636" s="1"/>
      <c r="G636" s="1"/>
      <c r="H636" s="1"/>
      <c r="I636" s="1"/>
      <c r="J636" s="1"/>
      <c r="K636" s="1"/>
      <c r="L636" s="1"/>
      <c r="M636" s="1"/>
      <c r="N636" s="1"/>
      <c r="O636" s="1"/>
      <c r="P636" s="1"/>
      <c r="Q636" s="1"/>
      <c r="R636" s="1"/>
      <c r="S636" s="1"/>
      <c r="T636" s="1"/>
      <c r="U636" s="2"/>
      <c r="V636" s="1"/>
      <c r="W636" s="1"/>
      <c r="X636" s="1"/>
      <c r="Y636" s="1"/>
      <c r="Z636" s="1"/>
    </row>
    <row r="637" spans="1:26" ht="39.75" customHeight="1">
      <c r="A637" s="1"/>
      <c r="B637" s="1"/>
      <c r="C637" s="1"/>
      <c r="D637" s="1"/>
      <c r="E637" s="1"/>
      <c r="F637" s="1"/>
      <c r="G637" s="1"/>
      <c r="H637" s="1"/>
      <c r="I637" s="1"/>
      <c r="J637" s="1"/>
      <c r="K637" s="1"/>
      <c r="L637" s="1"/>
      <c r="M637" s="1"/>
      <c r="N637" s="1"/>
      <c r="O637" s="1"/>
      <c r="P637" s="1"/>
      <c r="Q637" s="1"/>
      <c r="R637" s="1"/>
      <c r="S637" s="1"/>
      <c r="T637" s="1"/>
      <c r="U637" s="2"/>
      <c r="V637" s="1"/>
      <c r="W637" s="1"/>
      <c r="X637" s="1"/>
      <c r="Y637" s="1"/>
      <c r="Z637" s="1"/>
    </row>
    <row r="638" spans="1:26" ht="39.75" customHeight="1">
      <c r="A638" s="1"/>
      <c r="B638" s="1"/>
      <c r="C638" s="1"/>
      <c r="D638" s="1"/>
      <c r="E638" s="1"/>
      <c r="F638" s="1"/>
      <c r="G638" s="1"/>
      <c r="H638" s="1"/>
      <c r="I638" s="1"/>
      <c r="J638" s="1"/>
      <c r="K638" s="1"/>
      <c r="L638" s="1"/>
      <c r="M638" s="1"/>
      <c r="N638" s="1"/>
      <c r="O638" s="1"/>
      <c r="P638" s="1"/>
      <c r="Q638" s="1"/>
      <c r="R638" s="1"/>
      <c r="S638" s="1"/>
      <c r="T638" s="1"/>
      <c r="U638" s="2"/>
      <c r="V638" s="1"/>
      <c r="W638" s="1"/>
      <c r="X638" s="1"/>
      <c r="Y638" s="1"/>
      <c r="Z638" s="1"/>
    </row>
    <row r="639" spans="1:26" ht="39.75" customHeight="1">
      <c r="A639" s="1"/>
      <c r="B639" s="1"/>
      <c r="C639" s="1"/>
      <c r="D639" s="1"/>
      <c r="E639" s="1"/>
      <c r="F639" s="1"/>
      <c r="G639" s="1"/>
      <c r="H639" s="1"/>
      <c r="I639" s="1"/>
      <c r="J639" s="1"/>
      <c r="K639" s="1"/>
      <c r="L639" s="1"/>
      <c r="M639" s="1"/>
      <c r="N639" s="1"/>
      <c r="O639" s="1"/>
      <c r="P639" s="1"/>
      <c r="Q639" s="1"/>
      <c r="R639" s="1"/>
      <c r="S639" s="1"/>
      <c r="T639" s="1"/>
      <c r="U639" s="2"/>
      <c r="V639" s="1"/>
      <c r="W639" s="1"/>
      <c r="X639" s="1"/>
      <c r="Y639" s="1"/>
      <c r="Z639" s="1"/>
    </row>
    <row r="640" spans="1:26" ht="39.75" customHeight="1">
      <c r="A640" s="1"/>
      <c r="B640" s="1"/>
      <c r="C640" s="1"/>
      <c r="D640" s="1"/>
      <c r="E640" s="1"/>
      <c r="F640" s="1"/>
      <c r="G640" s="1"/>
      <c r="H640" s="1"/>
      <c r="I640" s="1"/>
      <c r="J640" s="1"/>
      <c r="K640" s="1"/>
      <c r="L640" s="1"/>
      <c r="M640" s="1"/>
      <c r="N640" s="1"/>
      <c r="O640" s="1"/>
      <c r="P640" s="1"/>
      <c r="Q640" s="1"/>
      <c r="R640" s="1"/>
      <c r="S640" s="1"/>
      <c r="T640" s="1"/>
      <c r="U640" s="2"/>
      <c r="V640" s="1"/>
      <c r="W640" s="1"/>
      <c r="X640" s="1"/>
      <c r="Y640" s="1"/>
      <c r="Z640" s="1"/>
    </row>
    <row r="641" spans="1:26" ht="39.75" customHeight="1">
      <c r="A641" s="1"/>
      <c r="B641" s="1"/>
      <c r="C641" s="1"/>
      <c r="D641" s="1"/>
      <c r="E641" s="1"/>
      <c r="F641" s="1"/>
      <c r="G641" s="1"/>
      <c r="H641" s="1"/>
      <c r="I641" s="1"/>
      <c r="J641" s="1"/>
      <c r="K641" s="1"/>
      <c r="L641" s="1"/>
      <c r="M641" s="1"/>
      <c r="N641" s="1"/>
      <c r="O641" s="1"/>
      <c r="P641" s="1"/>
      <c r="Q641" s="1"/>
      <c r="R641" s="1"/>
      <c r="S641" s="1"/>
      <c r="T641" s="1"/>
      <c r="U641" s="2"/>
      <c r="V641" s="1"/>
      <c r="W641" s="1"/>
      <c r="X641" s="1"/>
      <c r="Y641" s="1"/>
      <c r="Z641" s="1"/>
    </row>
    <row r="642" spans="1:26" ht="39.75" customHeight="1">
      <c r="A642" s="1"/>
      <c r="B642" s="1"/>
      <c r="C642" s="1"/>
      <c r="D642" s="1"/>
      <c r="E642" s="1"/>
      <c r="F642" s="1"/>
      <c r="G642" s="1"/>
      <c r="H642" s="1"/>
      <c r="I642" s="1"/>
      <c r="J642" s="1"/>
      <c r="K642" s="1"/>
      <c r="L642" s="1"/>
      <c r="M642" s="1"/>
      <c r="N642" s="1"/>
      <c r="O642" s="1"/>
      <c r="P642" s="1"/>
      <c r="Q642" s="1"/>
      <c r="R642" s="1"/>
      <c r="S642" s="1"/>
      <c r="T642" s="1"/>
      <c r="U642" s="2"/>
      <c r="V642" s="1"/>
      <c r="W642" s="1"/>
      <c r="X642" s="1"/>
      <c r="Y642" s="1"/>
      <c r="Z642" s="1"/>
    </row>
    <row r="643" spans="1:26" ht="39.75" customHeight="1">
      <c r="A643" s="1"/>
      <c r="B643" s="1"/>
      <c r="C643" s="1"/>
      <c r="D643" s="1"/>
      <c r="E643" s="1"/>
      <c r="F643" s="1"/>
      <c r="G643" s="1"/>
      <c r="H643" s="1"/>
      <c r="I643" s="1"/>
      <c r="J643" s="1"/>
      <c r="K643" s="1"/>
      <c r="L643" s="1"/>
      <c r="M643" s="1"/>
      <c r="N643" s="1"/>
      <c r="O643" s="1"/>
      <c r="P643" s="1"/>
      <c r="Q643" s="1"/>
      <c r="R643" s="1"/>
      <c r="S643" s="1"/>
      <c r="T643" s="1"/>
      <c r="U643" s="2"/>
      <c r="V643" s="1"/>
      <c r="W643" s="1"/>
      <c r="X643" s="1"/>
      <c r="Y643" s="1"/>
      <c r="Z643" s="1"/>
    </row>
    <row r="644" spans="1:26" ht="39.75" customHeight="1">
      <c r="A644" s="1"/>
      <c r="B644" s="1"/>
      <c r="C644" s="1"/>
      <c r="D644" s="1"/>
      <c r="E644" s="1"/>
      <c r="F644" s="1"/>
      <c r="G644" s="1"/>
      <c r="H644" s="1"/>
      <c r="I644" s="1"/>
      <c r="J644" s="1"/>
      <c r="K644" s="1"/>
      <c r="L644" s="1"/>
      <c r="M644" s="1"/>
      <c r="N644" s="1"/>
      <c r="O644" s="1"/>
      <c r="P644" s="1"/>
      <c r="Q644" s="1"/>
      <c r="R644" s="1"/>
      <c r="S644" s="1"/>
      <c r="T644" s="1"/>
      <c r="U644" s="2"/>
      <c r="V644" s="1"/>
      <c r="W644" s="1"/>
      <c r="X644" s="1"/>
      <c r="Y644" s="1"/>
      <c r="Z644" s="1"/>
    </row>
    <row r="645" spans="1:26" ht="39.75" customHeight="1">
      <c r="A645" s="1"/>
      <c r="B645" s="1"/>
      <c r="C645" s="1"/>
      <c r="D645" s="1"/>
      <c r="E645" s="1"/>
      <c r="F645" s="1"/>
      <c r="G645" s="1"/>
      <c r="H645" s="1"/>
      <c r="I645" s="1"/>
      <c r="J645" s="1"/>
      <c r="K645" s="1"/>
      <c r="L645" s="1"/>
      <c r="M645" s="1"/>
      <c r="N645" s="1"/>
      <c r="O645" s="1"/>
      <c r="P645" s="1"/>
      <c r="Q645" s="1"/>
      <c r="R645" s="1"/>
      <c r="S645" s="1"/>
      <c r="T645" s="1"/>
      <c r="U645" s="2"/>
      <c r="V645" s="1"/>
      <c r="W645" s="1"/>
      <c r="X645" s="1"/>
      <c r="Y645" s="1"/>
      <c r="Z645" s="1"/>
    </row>
    <row r="646" spans="1:26" ht="39.75" customHeight="1">
      <c r="A646" s="1"/>
      <c r="B646" s="1"/>
      <c r="C646" s="1"/>
      <c r="D646" s="1"/>
      <c r="E646" s="1"/>
      <c r="F646" s="1"/>
      <c r="G646" s="1"/>
      <c r="H646" s="1"/>
      <c r="I646" s="1"/>
      <c r="J646" s="1"/>
      <c r="K646" s="1"/>
      <c r="L646" s="1"/>
      <c r="M646" s="1"/>
      <c r="N646" s="1"/>
      <c r="O646" s="1"/>
      <c r="P646" s="1"/>
      <c r="Q646" s="1"/>
      <c r="R646" s="1"/>
      <c r="S646" s="1"/>
      <c r="T646" s="1"/>
      <c r="U646" s="2"/>
      <c r="V646" s="1"/>
      <c r="W646" s="1"/>
      <c r="X646" s="1"/>
      <c r="Y646" s="1"/>
      <c r="Z646" s="1"/>
    </row>
    <row r="647" spans="1:26" ht="39.75" customHeight="1">
      <c r="A647" s="1"/>
      <c r="B647" s="1"/>
      <c r="C647" s="1"/>
      <c r="D647" s="1"/>
      <c r="E647" s="1"/>
      <c r="F647" s="1"/>
      <c r="G647" s="1"/>
      <c r="H647" s="1"/>
      <c r="I647" s="1"/>
      <c r="J647" s="1"/>
      <c r="K647" s="1"/>
      <c r="L647" s="1"/>
      <c r="M647" s="1"/>
      <c r="N647" s="1"/>
      <c r="O647" s="1"/>
      <c r="P647" s="1"/>
      <c r="Q647" s="1"/>
      <c r="R647" s="1"/>
      <c r="S647" s="1"/>
      <c r="T647" s="1"/>
      <c r="U647" s="2"/>
      <c r="V647" s="1"/>
      <c r="W647" s="1"/>
      <c r="X647" s="1"/>
      <c r="Y647" s="1"/>
      <c r="Z647" s="1"/>
    </row>
    <row r="648" spans="1:26" ht="39.75" customHeight="1">
      <c r="A648" s="1"/>
      <c r="B648" s="1"/>
      <c r="C648" s="1"/>
      <c r="D648" s="1"/>
      <c r="E648" s="1"/>
      <c r="F648" s="1"/>
      <c r="G648" s="1"/>
      <c r="H648" s="1"/>
      <c r="I648" s="1"/>
      <c r="J648" s="1"/>
      <c r="K648" s="1"/>
      <c r="L648" s="1"/>
      <c r="M648" s="1"/>
      <c r="N648" s="1"/>
      <c r="O648" s="1"/>
      <c r="P648" s="1"/>
      <c r="Q648" s="1"/>
      <c r="R648" s="1"/>
      <c r="S648" s="1"/>
      <c r="T648" s="1"/>
      <c r="U648" s="2"/>
      <c r="V648" s="1"/>
      <c r="W648" s="1"/>
      <c r="X648" s="1"/>
      <c r="Y648" s="1"/>
      <c r="Z648" s="1"/>
    </row>
    <row r="649" spans="1:26" ht="39.75" customHeight="1">
      <c r="A649" s="1"/>
      <c r="B649" s="1"/>
      <c r="C649" s="1"/>
      <c r="D649" s="1"/>
      <c r="E649" s="1"/>
      <c r="F649" s="1"/>
      <c r="G649" s="1"/>
      <c r="H649" s="1"/>
      <c r="I649" s="1"/>
      <c r="J649" s="1"/>
      <c r="K649" s="1"/>
      <c r="L649" s="1"/>
      <c r="M649" s="1"/>
      <c r="N649" s="1"/>
      <c r="O649" s="1"/>
      <c r="P649" s="1"/>
      <c r="Q649" s="1"/>
      <c r="R649" s="1"/>
      <c r="S649" s="1"/>
      <c r="T649" s="1"/>
      <c r="U649" s="2"/>
      <c r="V649" s="1"/>
      <c r="W649" s="1"/>
      <c r="X649" s="1"/>
      <c r="Y649" s="1"/>
      <c r="Z649" s="1"/>
    </row>
    <row r="650" spans="1:26" ht="39.75" customHeight="1">
      <c r="A650" s="1"/>
      <c r="B650" s="1"/>
      <c r="C650" s="1"/>
      <c r="D650" s="1"/>
      <c r="E650" s="1"/>
      <c r="F650" s="1"/>
      <c r="G650" s="1"/>
      <c r="H650" s="1"/>
      <c r="I650" s="1"/>
      <c r="J650" s="1"/>
      <c r="K650" s="1"/>
      <c r="L650" s="1"/>
      <c r="M650" s="1"/>
      <c r="N650" s="1"/>
      <c r="O650" s="1"/>
      <c r="P650" s="1"/>
      <c r="Q650" s="1"/>
      <c r="R650" s="1"/>
      <c r="S650" s="1"/>
      <c r="T650" s="1"/>
      <c r="U650" s="2"/>
      <c r="V650" s="1"/>
      <c r="W650" s="1"/>
      <c r="X650" s="1"/>
      <c r="Y650" s="1"/>
      <c r="Z650" s="1"/>
    </row>
    <row r="651" spans="1:26" ht="39.75" customHeight="1">
      <c r="A651" s="1"/>
      <c r="B651" s="1"/>
      <c r="C651" s="1"/>
      <c r="D651" s="1"/>
      <c r="E651" s="1"/>
      <c r="F651" s="1"/>
      <c r="G651" s="1"/>
      <c r="H651" s="1"/>
      <c r="I651" s="1"/>
      <c r="J651" s="1"/>
      <c r="K651" s="1"/>
      <c r="L651" s="1"/>
      <c r="M651" s="1"/>
      <c r="N651" s="1"/>
      <c r="O651" s="1"/>
      <c r="P651" s="1"/>
      <c r="Q651" s="1"/>
      <c r="R651" s="1"/>
      <c r="S651" s="1"/>
      <c r="T651" s="1"/>
      <c r="U651" s="2"/>
      <c r="V651" s="1"/>
      <c r="W651" s="1"/>
      <c r="X651" s="1"/>
      <c r="Y651" s="1"/>
      <c r="Z651" s="1"/>
    </row>
    <row r="652" spans="1:26" ht="39.75" customHeight="1">
      <c r="A652" s="1"/>
      <c r="B652" s="1"/>
      <c r="C652" s="1"/>
      <c r="D652" s="1"/>
      <c r="E652" s="1"/>
      <c r="F652" s="1"/>
      <c r="G652" s="1"/>
      <c r="H652" s="1"/>
      <c r="I652" s="1"/>
      <c r="J652" s="1"/>
      <c r="K652" s="1"/>
      <c r="L652" s="1"/>
      <c r="M652" s="1"/>
      <c r="N652" s="1"/>
      <c r="O652" s="1"/>
      <c r="P652" s="1"/>
      <c r="Q652" s="1"/>
      <c r="R652" s="1"/>
      <c r="S652" s="1"/>
      <c r="T652" s="1"/>
      <c r="U652" s="2"/>
      <c r="V652" s="1"/>
      <c r="W652" s="1"/>
      <c r="X652" s="1"/>
      <c r="Y652" s="1"/>
      <c r="Z652" s="1"/>
    </row>
    <row r="653" spans="1:26" ht="39.75" customHeight="1">
      <c r="A653" s="1"/>
      <c r="B653" s="1"/>
      <c r="C653" s="1"/>
      <c r="D653" s="1"/>
      <c r="E653" s="1"/>
      <c r="F653" s="1"/>
      <c r="G653" s="1"/>
      <c r="H653" s="1"/>
      <c r="I653" s="1"/>
      <c r="J653" s="1"/>
      <c r="K653" s="1"/>
      <c r="L653" s="1"/>
      <c r="M653" s="1"/>
      <c r="N653" s="1"/>
      <c r="O653" s="1"/>
      <c r="P653" s="1"/>
      <c r="Q653" s="1"/>
      <c r="R653" s="1"/>
      <c r="S653" s="1"/>
      <c r="T653" s="1"/>
      <c r="U653" s="2"/>
      <c r="V653" s="1"/>
      <c r="W653" s="1"/>
      <c r="X653" s="1"/>
      <c r="Y653" s="1"/>
      <c r="Z653" s="1"/>
    </row>
    <row r="654" spans="1:26" ht="39.75" customHeight="1">
      <c r="A654" s="1"/>
      <c r="B654" s="1"/>
      <c r="C654" s="1"/>
      <c r="D654" s="1"/>
      <c r="E654" s="1"/>
      <c r="F654" s="1"/>
      <c r="G654" s="1"/>
      <c r="H654" s="1"/>
      <c r="I654" s="1"/>
      <c r="J654" s="1"/>
      <c r="K654" s="1"/>
      <c r="L654" s="1"/>
      <c r="M654" s="1"/>
      <c r="N654" s="1"/>
      <c r="O654" s="1"/>
      <c r="P654" s="1"/>
      <c r="Q654" s="1"/>
      <c r="R654" s="1"/>
      <c r="S654" s="1"/>
      <c r="T654" s="1"/>
      <c r="U654" s="2"/>
      <c r="V654" s="1"/>
      <c r="W654" s="1"/>
      <c r="X654" s="1"/>
      <c r="Y654" s="1"/>
      <c r="Z654" s="1"/>
    </row>
    <row r="655" spans="1:26" ht="39.75" customHeight="1">
      <c r="A655" s="1"/>
      <c r="B655" s="1"/>
      <c r="C655" s="1"/>
      <c r="D655" s="1"/>
      <c r="E655" s="1"/>
      <c r="F655" s="1"/>
      <c r="G655" s="1"/>
      <c r="H655" s="1"/>
      <c r="I655" s="1"/>
      <c r="J655" s="1"/>
      <c r="K655" s="1"/>
      <c r="L655" s="1"/>
      <c r="M655" s="1"/>
      <c r="N655" s="1"/>
      <c r="O655" s="1"/>
      <c r="P655" s="1"/>
      <c r="Q655" s="1"/>
      <c r="R655" s="1"/>
      <c r="S655" s="1"/>
      <c r="T655" s="1"/>
      <c r="U655" s="2"/>
      <c r="V655" s="1"/>
      <c r="W655" s="1"/>
      <c r="X655" s="1"/>
      <c r="Y655" s="1"/>
      <c r="Z655" s="1"/>
    </row>
    <row r="656" spans="1:26" ht="39.75" customHeight="1">
      <c r="A656" s="1"/>
      <c r="B656" s="1"/>
      <c r="C656" s="1"/>
      <c r="D656" s="1"/>
      <c r="E656" s="1"/>
      <c r="F656" s="1"/>
      <c r="G656" s="1"/>
      <c r="H656" s="1"/>
      <c r="I656" s="1"/>
      <c r="J656" s="1"/>
      <c r="K656" s="1"/>
      <c r="L656" s="1"/>
      <c r="M656" s="1"/>
      <c r="N656" s="1"/>
      <c r="O656" s="1"/>
      <c r="P656" s="1"/>
      <c r="Q656" s="1"/>
      <c r="R656" s="1"/>
      <c r="S656" s="1"/>
      <c r="T656" s="1"/>
      <c r="U656" s="2"/>
      <c r="V656" s="1"/>
      <c r="W656" s="1"/>
      <c r="X656" s="1"/>
      <c r="Y656" s="1"/>
      <c r="Z656" s="1"/>
    </row>
    <row r="657" spans="1:26" ht="39.75" customHeight="1">
      <c r="A657" s="1"/>
      <c r="B657" s="1"/>
      <c r="C657" s="1"/>
      <c r="D657" s="1"/>
      <c r="E657" s="1"/>
      <c r="F657" s="1"/>
      <c r="G657" s="1"/>
      <c r="H657" s="1"/>
      <c r="I657" s="1"/>
      <c r="J657" s="1"/>
      <c r="K657" s="1"/>
      <c r="L657" s="1"/>
      <c r="M657" s="1"/>
      <c r="N657" s="1"/>
      <c r="O657" s="1"/>
      <c r="P657" s="1"/>
      <c r="Q657" s="1"/>
      <c r="R657" s="1"/>
      <c r="S657" s="1"/>
      <c r="T657" s="1"/>
      <c r="U657" s="2"/>
      <c r="V657" s="1"/>
      <c r="W657" s="1"/>
      <c r="X657" s="1"/>
      <c r="Y657" s="1"/>
      <c r="Z657" s="1"/>
    </row>
    <row r="658" spans="1:26" ht="39.75" customHeight="1">
      <c r="A658" s="1"/>
      <c r="B658" s="1"/>
      <c r="C658" s="1"/>
      <c r="D658" s="1"/>
      <c r="E658" s="1"/>
      <c r="F658" s="1"/>
      <c r="G658" s="1"/>
      <c r="H658" s="1"/>
      <c r="I658" s="1"/>
      <c r="J658" s="1"/>
      <c r="K658" s="1"/>
      <c r="L658" s="1"/>
      <c r="M658" s="1"/>
      <c r="N658" s="1"/>
      <c r="O658" s="1"/>
      <c r="P658" s="1"/>
      <c r="Q658" s="1"/>
      <c r="R658" s="1"/>
      <c r="S658" s="1"/>
      <c r="T658" s="1"/>
      <c r="U658" s="2"/>
      <c r="V658" s="1"/>
      <c r="W658" s="1"/>
      <c r="X658" s="1"/>
      <c r="Y658" s="1"/>
      <c r="Z658" s="1"/>
    </row>
    <row r="659" spans="1:26" ht="39.75" customHeight="1">
      <c r="A659" s="1"/>
      <c r="B659" s="1"/>
      <c r="C659" s="1"/>
      <c r="D659" s="1"/>
      <c r="E659" s="1"/>
      <c r="F659" s="1"/>
      <c r="G659" s="1"/>
      <c r="H659" s="1"/>
      <c r="I659" s="1"/>
      <c r="J659" s="1"/>
      <c r="K659" s="1"/>
      <c r="L659" s="1"/>
      <c r="M659" s="1"/>
      <c r="N659" s="1"/>
      <c r="O659" s="1"/>
      <c r="P659" s="1"/>
      <c r="Q659" s="1"/>
      <c r="R659" s="1"/>
      <c r="S659" s="1"/>
      <c r="T659" s="1"/>
      <c r="U659" s="2"/>
      <c r="V659" s="1"/>
      <c r="W659" s="1"/>
      <c r="X659" s="1"/>
      <c r="Y659" s="1"/>
      <c r="Z659" s="1"/>
    </row>
    <row r="660" spans="1:26" ht="39.75" customHeight="1">
      <c r="A660" s="1"/>
      <c r="B660" s="1"/>
      <c r="C660" s="1"/>
      <c r="D660" s="1"/>
      <c r="E660" s="1"/>
      <c r="F660" s="1"/>
      <c r="G660" s="1"/>
      <c r="H660" s="1"/>
      <c r="I660" s="1"/>
      <c r="J660" s="1"/>
      <c r="K660" s="1"/>
      <c r="L660" s="1"/>
      <c r="M660" s="1"/>
      <c r="N660" s="1"/>
      <c r="O660" s="1"/>
      <c r="P660" s="1"/>
      <c r="Q660" s="1"/>
      <c r="R660" s="1"/>
      <c r="S660" s="1"/>
      <c r="T660" s="1"/>
      <c r="U660" s="2"/>
      <c r="V660" s="1"/>
      <c r="W660" s="1"/>
      <c r="X660" s="1"/>
      <c r="Y660" s="1"/>
      <c r="Z660" s="1"/>
    </row>
    <row r="661" spans="1:26" ht="39.75" customHeight="1">
      <c r="A661" s="1"/>
      <c r="B661" s="1"/>
      <c r="C661" s="1"/>
      <c r="D661" s="1"/>
      <c r="E661" s="1"/>
      <c r="F661" s="1"/>
      <c r="G661" s="1"/>
      <c r="H661" s="1"/>
      <c r="I661" s="1"/>
      <c r="J661" s="1"/>
      <c r="K661" s="1"/>
      <c r="L661" s="1"/>
      <c r="M661" s="1"/>
      <c r="N661" s="1"/>
      <c r="O661" s="1"/>
      <c r="P661" s="1"/>
      <c r="Q661" s="1"/>
      <c r="R661" s="1"/>
      <c r="S661" s="1"/>
      <c r="T661" s="1"/>
      <c r="U661" s="2"/>
      <c r="V661" s="1"/>
      <c r="W661" s="1"/>
      <c r="X661" s="1"/>
      <c r="Y661" s="1"/>
      <c r="Z661" s="1"/>
    </row>
    <row r="662" spans="1:26" ht="39.75" customHeight="1">
      <c r="A662" s="1"/>
      <c r="B662" s="1"/>
      <c r="C662" s="1"/>
      <c r="D662" s="1"/>
      <c r="E662" s="1"/>
      <c r="F662" s="1"/>
      <c r="G662" s="1"/>
      <c r="H662" s="1"/>
      <c r="I662" s="1"/>
      <c r="J662" s="1"/>
      <c r="K662" s="1"/>
      <c r="L662" s="1"/>
      <c r="M662" s="1"/>
      <c r="N662" s="1"/>
      <c r="O662" s="1"/>
      <c r="P662" s="1"/>
      <c r="Q662" s="1"/>
      <c r="R662" s="1"/>
      <c r="S662" s="1"/>
      <c r="T662" s="1"/>
      <c r="U662" s="2"/>
      <c r="V662" s="1"/>
      <c r="W662" s="1"/>
      <c r="X662" s="1"/>
      <c r="Y662" s="1"/>
      <c r="Z662" s="1"/>
    </row>
    <row r="663" spans="1:26" ht="39.75" customHeight="1">
      <c r="A663" s="1"/>
      <c r="B663" s="1"/>
      <c r="C663" s="1"/>
      <c r="D663" s="1"/>
      <c r="E663" s="1"/>
      <c r="F663" s="1"/>
      <c r="G663" s="1"/>
      <c r="H663" s="1"/>
      <c r="I663" s="1"/>
      <c r="J663" s="1"/>
      <c r="K663" s="1"/>
      <c r="L663" s="1"/>
      <c r="M663" s="1"/>
      <c r="N663" s="1"/>
      <c r="O663" s="1"/>
      <c r="P663" s="1"/>
      <c r="Q663" s="1"/>
      <c r="R663" s="1"/>
      <c r="S663" s="1"/>
      <c r="T663" s="1"/>
      <c r="U663" s="2"/>
      <c r="V663" s="1"/>
      <c r="W663" s="1"/>
      <c r="X663" s="1"/>
      <c r="Y663" s="1"/>
      <c r="Z663" s="1"/>
    </row>
    <row r="664" spans="1:26" ht="39.75" customHeight="1">
      <c r="A664" s="1"/>
      <c r="B664" s="1"/>
      <c r="C664" s="1"/>
      <c r="D664" s="1"/>
      <c r="E664" s="1"/>
      <c r="F664" s="1"/>
      <c r="G664" s="1"/>
      <c r="H664" s="1"/>
      <c r="I664" s="1"/>
      <c r="J664" s="1"/>
      <c r="K664" s="1"/>
      <c r="L664" s="1"/>
      <c r="M664" s="1"/>
      <c r="N664" s="1"/>
      <c r="O664" s="1"/>
      <c r="P664" s="1"/>
      <c r="Q664" s="1"/>
      <c r="R664" s="1"/>
      <c r="S664" s="1"/>
      <c r="T664" s="1"/>
      <c r="U664" s="2"/>
      <c r="V664" s="1"/>
      <c r="W664" s="1"/>
      <c r="X664" s="1"/>
      <c r="Y664" s="1"/>
      <c r="Z664" s="1"/>
    </row>
    <row r="665" spans="1:26" ht="39.75" customHeight="1">
      <c r="A665" s="1"/>
      <c r="B665" s="1"/>
      <c r="C665" s="1"/>
      <c r="D665" s="1"/>
      <c r="E665" s="1"/>
      <c r="F665" s="1"/>
      <c r="G665" s="1"/>
      <c r="H665" s="1"/>
      <c r="I665" s="1"/>
      <c r="J665" s="1"/>
      <c r="K665" s="1"/>
      <c r="L665" s="1"/>
      <c r="M665" s="1"/>
      <c r="N665" s="1"/>
      <c r="O665" s="1"/>
      <c r="P665" s="1"/>
      <c r="Q665" s="1"/>
      <c r="R665" s="1"/>
      <c r="S665" s="1"/>
      <c r="T665" s="1"/>
      <c r="U665" s="2"/>
      <c r="V665" s="1"/>
      <c r="W665" s="1"/>
      <c r="X665" s="1"/>
      <c r="Y665" s="1"/>
      <c r="Z665" s="1"/>
    </row>
    <row r="666" spans="1:26" ht="39.75" customHeight="1">
      <c r="A666" s="1"/>
      <c r="B666" s="1"/>
      <c r="C666" s="1"/>
      <c r="D666" s="1"/>
      <c r="E666" s="1"/>
      <c r="F666" s="1"/>
      <c r="G666" s="1"/>
      <c r="H666" s="1"/>
      <c r="I666" s="1"/>
      <c r="J666" s="1"/>
      <c r="K666" s="1"/>
      <c r="L666" s="1"/>
      <c r="M666" s="1"/>
      <c r="N666" s="1"/>
      <c r="O666" s="1"/>
      <c r="P666" s="1"/>
      <c r="Q666" s="1"/>
      <c r="R666" s="1"/>
      <c r="S666" s="1"/>
      <c r="T666" s="1"/>
      <c r="U666" s="2"/>
      <c r="V666" s="1"/>
      <c r="W666" s="1"/>
      <c r="X666" s="1"/>
      <c r="Y666" s="1"/>
      <c r="Z666" s="1"/>
    </row>
    <row r="667" spans="1:26" ht="39.75" customHeight="1">
      <c r="A667" s="1"/>
      <c r="B667" s="1"/>
      <c r="C667" s="1"/>
      <c r="D667" s="1"/>
      <c r="E667" s="1"/>
      <c r="F667" s="1"/>
      <c r="G667" s="1"/>
      <c r="H667" s="1"/>
      <c r="I667" s="1"/>
      <c r="J667" s="1"/>
      <c r="K667" s="1"/>
      <c r="L667" s="1"/>
      <c r="M667" s="1"/>
      <c r="N667" s="1"/>
      <c r="O667" s="1"/>
      <c r="P667" s="1"/>
      <c r="Q667" s="1"/>
      <c r="R667" s="1"/>
      <c r="S667" s="1"/>
      <c r="T667" s="1"/>
      <c r="U667" s="2"/>
      <c r="V667" s="1"/>
      <c r="W667" s="1"/>
      <c r="X667" s="1"/>
      <c r="Y667" s="1"/>
      <c r="Z667" s="1"/>
    </row>
    <row r="668" spans="1:26" ht="39.75" customHeight="1">
      <c r="A668" s="1"/>
      <c r="B668" s="1"/>
      <c r="C668" s="1"/>
      <c r="D668" s="1"/>
      <c r="E668" s="1"/>
      <c r="F668" s="1"/>
      <c r="G668" s="1"/>
      <c r="H668" s="1"/>
      <c r="I668" s="1"/>
      <c r="J668" s="1"/>
      <c r="K668" s="1"/>
      <c r="L668" s="1"/>
      <c r="M668" s="1"/>
      <c r="N668" s="1"/>
      <c r="O668" s="1"/>
      <c r="P668" s="1"/>
      <c r="Q668" s="1"/>
      <c r="R668" s="1"/>
      <c r="S668" s="1"/>
      <c r="T668" s="1"/>
      <c r="U668" s="2"/>
      <c r="V668" s="1"/>
      <c r="W668" s="1"/>
      <c r="X668" s="1"/>
      <c r="Y668" s="1"/>
      <c r="Z668" s="1"/>
    </row>
    <row r="669" spans="1:26" ht="39.75" customHeight="1">
      <c r="A669" s="1"/>
      <c r="B669" s="1"/>
      <c r="C669" s="1"/>
      <c r="D669" s="1"/>
      <c r="E669" s="1"/>
      <c r="F669" s="1"/>
      <c r="G669" s="1"/>
      <c r="H669" s="1"/>
      <c r="I669" s="1"/>
      <c r="J669" s="1"/>
      <c r="K669" s="1"/>
      <c r="L669" s="1"/>
      <c r="M669" s="1"/>
      <c r="N669" s="1"/>
      <c r="O669" s="1"/>
      <c r="P669" s="1"/>
      <c r="Q669" s="1"/>
      <c r="R669" s="1"/>
      <c r="S669" s="1"/>
      <c r="T669" s="1"/>
      <c r="U669" s="2"/>
      <c r="V669" s="1"/>
      <c r="W669" s="1"/>
      <c r="X669" s="1"/>
      <c r="Y669" s="1"/>
      <c r="Z669" s="1"/>
    </row>
    <row r="670" spans="1:26" ht="39.75" customHeight="1">
      <c r="A670" s="1"/>
      <c r="B670" s="1"/>
      <c r="C670" s="1"/>
      <c r="D670" s="1"/>
      <c r="E670" s="1"/>
      <c r="F670" s="1"/>
      <c r="G670" s="1"/>
      <c r="H670" s="1"/>
      <c r="I670" s="1"/>
      <c r="J670" s="1"/>
      <c r="K670" s="1"/>
      <c r="L670" s="1"/>
      <c r="M670" s="1"/>
      <c r="N670" s="1"/>
      <c r="O670" s="1"/>
      <c r="P670" s="1"/>
      <c r="Q670" s="1"/>
      <c r="R670" s="1"/>
      <c r="S670" s="1"/>
      <c r="T670" s="1"/>
      <c r="U670" s="2"/>
      <c r="V670" s="1"/>
      <c r="W670" s="1"/>
      <c r="X670" s="1"/>
      <c r="Y670" s="1"/>
      <c r="Z670" s="1"/>
    </row>
    <row r="671" spans="1:26" ht="39.75" customHeight="1">
      <c r="A671" s="1"/>
      <c r="B671" s="1"/>
      <c r="C671" s="1"/>
      <c r="D671" s="1"/>
      <c r="E671" s="1"/>
      <c r="F671" s="1"/>
      <c r="G671" s="1"/>
      <c r="H671" s="1"/>
      <c r="I671" s="1"/>
      <c r="J671" s="1"/>
      <c r="K671" s="1"/>
      <c r="L671" s="1"/>
      <c r="M671" s="1"/>
      <c r="N671" s="1"/>
      <c r="O671" s="1"/>
      <c r="P671" s="1"/>
      <c r="Q671" s="1"/>
      <c r="R671" s="1"/>
      <c r="S671" s="1"/>
      <c r="T671" s="1"/>
      <c r="U671" s="2"/>
      <c r="V671" s="1"/>
      <c r="W671" s="1"/>
      <c r="X671" s="1"/>
      <c r="Y671" s="1"/>
      <c r="Z671" s="1"/>
    </row>
    <row r="672" spans="1:26" ht="39.75" customHeight="1">
      <c r="A672" s="1"/>
      <c r="B672" s="1"/>
      <c r="C672" s="1"/>
      <c r="D672" s="1"/>
      <c r="E672" s="1"/>
      <c r="F672" s="1"/>
      <c r="G672" s="1"/>
      <c r="H672" s="1"/>
      <c r="I672" s="1"/>
      <c r="J672" s="1"/>
      <c r="K672" s="1"/>
      <c r="L672" s="1"/>
      <c r="M672" s="1"/>
      <c r="N672" s="1"/>
      <c r="O672" s="1"/>
      <c r="P672" s="1"/>
      <c r="Q672" s="1"/>
      <c r="R672" s="1"/>
      <c r="S672" s="1"/>
      <c r="T672" s="1"/>
      <c r="U672" s="2"/>
      <c r="V672" s="1"/>
      <c r="W672" s="1"/>
      <c r="X672" s="1"/>
      <c r="Y672" s="1"/>
      <c r="Z672" s="1"/>
    </row>
    <row r="673" spans="1:26" ht="39.75" customHeight="1">
      <c r="A673" s="1"/>
      <c r="B673" s="1"/>
      <c r="C673" s="1"/>
      <c r="D673" s="1"/>
      <c r="E673" s="1"/>
      <c r="F673" s="1"/>
      <c r="G673" s="1"/>
      <c r="H673" s="1"/>
      <c r="I673" s="1"/>
      <c r="J673" s="1"/>
      <c r="K673" s="1"/>
      <c r="L673" s="1"/>
      <c r="M673" s="1"/>
      <c r="N673" s="1"/>
      <c r="O673" s="1"/>
      <c r="P673" s="1"/>
      <c r="Q673" s="1"/>
      <c r="R673" s="1"/>
      <c r="S673" s="1"/>
      <c r="T673" s="1"/>
      <c r="U673" s="2"/>
      <c r="V673" s="1"/>
      <c r="W673" s="1"/>
      <c r="X673" s="1"/>
      <c r="Y673" s="1"/>
      <c r="Z673" s="1"/>
    </row>
    <row r="674" spans="1:26" ht="39.75" customHeight="1">
      <c r="A674" s="1"/>
      <c r="B674" s="1"/>
      <c r="C674" s="1"/>
      <c r="D674" s="1"/>
      <c r="E674" s="1"/>
      <c r="F674" s="1"/>
      <c r="G674" s="1"/>
      <c r="H674" s="1"/>
      <c r="I674" s="1"/>
      <c r="J674" s="1"/>
      <c r="K674" s="1"/>
      <c r="L674" s="1"/>
      <c r="M674" s="1"/>
      <c r="N674" s="1"/>
      <c r="O674" s="1"/>
      <c r="P674" s="1"/>
      <c r="Q674" s="1"/>
      <c r="R674" s="1"/>
      <c r="S674" s="1"/>
      <c r="T674" s="1"/>
      <c r="U674" s="2"/>
      <c r="V674" s="1"/>
      <c r="W674" s="1"/>
      <c r="X674" s="1"/>
      <c r="Y674" s="1"/>
      <c r="Z674" s="1"/>
    </row>
    <row r="675" spans="1:26" ht="39.75" customHeight="1">
      <c r="A675" s="1"/>
      <c r="B675" s="1"/>
      <c r="C675" s="1"/>
      <c r="D675" s="1"/>
      <c r="E675" s="1"/>
      <c r="F675" s="1"/>
      <c r="G675" s="1"/>
      <c r="H675" s="1"/>
      <c r="I675" s="1"/>
      <c r="J675" s="1"/>
      <c r="K675" s="1"/>
      <c r="L675" s="1"/>
      <c r="M675" s="1"/>
      <c r="N675" s="1"/>
      <c r="O675" s="1"/>
      <c r="P675" s="1"/>
      <c r="Q675" s="1"/>
      <c r="R675" s="1"/>
      <c r="S675" s="1"/>
      <c r="T675" s="1"/>
      <c r="U675" s="2"/>
      <c r="V675" s="1"/>
      <c r="W675" s="1"/>
      <c r="X675" s="1"/>
      <c r="Y675" s="1"/>
      <c r="Z675" s="1"/>
    </row>
    <row r="676" spans="1:26" ht="39.75" customHeight="1">
      <c r="A676" s="1"/>
      <c r="B676" s="1"/>
      <c r="C676" s="1"/>
      <c r="D676" s="1"/>
      <c r="E676" s="1"/>
      <c r="F676" s="1"/>
      <c r="G676" s="1"/>
      <c r="H676" s="1"/>
      <c r="I676" s="1"/>
      <c r="J676" s="1"/>
      <c r="K676" s="1"/>
      <c r="L676" s="1"/>
      <c r="M676" s="1"/>
      <c r="N676" s="1"/>
      <c r="O676" s="1"/>
      <c r="P676" s="1"/>
      <c r="Q676" s="1"/>
      <c r="R676" s="1"/>
      <c r="S676" s="1"/>
      <c r="T676" s="1"/>
      <c r="U676" s="2"/>
      <c r="V676" s="1"/>
      <c r="W676" s="1"/>
      <c r="X676" s="1"/>
      <c r="Y676" s="1"/>
      <c r="Z676" s="1"/>
    </row>
    <row r="677" spans="1:26" ht="39.75" customHeight="1">
      <c r="A677" s="1"/>
      <c r="B677" s="1"/>
      <c r="C677" s="1"/>
      <c r="D677" s="1"/>
      <c r="E677" s="1"/>
      <c r="F677" s="1"/>
      <c r="G677" s="1"/>
      <c r="H677" s="1"/>
      <c r="I677" s="1"/>
      <c r="J677" s="1"/>
      <c r="K677" s="1"/>
      <c r="L677" s="1"/>
      <c r="M677" s="1"/>
      <c r="N677" s="1"/>
      <c r="O677" s="1"/>
      <c r="P677" s="1"/>
      <c r="Q677" s="1"/>
      <c r="R677" s="1"/>
      <c r="S677" s="1"/>
      <c r="T677" s="1"/>
      <c r="U677" s="2"/>
      <c r="V677" s="1"/>
      <c r="W677" s="1"/>
      <c r="X677" s="1"/>
      <c r="Y677" s="1"/>
      <c r="Z677" s="1"/>
    </row>
    <row r="678" spans="1:26" ht="39.75" customHeight="1">
      <c r="A678" s="1"/>
      <c r="B678" s="1"/>
      <c r="C678" s="1"/>
      <c r="D678" s="1"/>
      <c r="E678" s="1"/>
      <c r="F678" s="1"/>
      <c r="G678" s="1"/>
      <c r="H678" s="1"/>
      <c r="I678" s="1"/>
      <c r="J678" s="1"/>
      <c r="K678" s="1"/>
      <c r="L678" s="1"/>
      <c r="M678" s="1"/>
      <c r="N678" s="1"/>
      <c r="O678" s="1"/>
      <c r="P678" s="1"/>
      <c r="Q678" s="1"/>
      <c r="R678" s="1"/>
      <c r="S678" s="1"/>
      <c r="T678" s="1"/>
      <c r="U678" s="2"/>
      <c r="V678" s="1"/>
      <c r="W678" s="1"/>
      <c r="X678" s="1"/>
      <c r="Y678" s="1"/>
      <c r="Z678" s="1"/>
    </row>
    <row r="679" spans="1:26" ht="39.75" customHeight="1">
      <c r="A679" s="1"/>
      <c r="B679" s="1"/>
      <c r="C679" s="1"/>
      <c r="D679" s="1"/>
      <c r="E679" s="1"/>
      <c r="F679" s="1"/>
      <c r="G679" s="1"/>
      <c r="H679" s="1"/>
      <c r="I679" s="1"/>
      <c r="J679" s="1"/>
      <c r="K679" s="1"/>
      <c r="L679" s="1"/>
      <c r="M679" s="1"/>
      <c r="N679" s="1"/>
      <c r="O679" s="1"/>
      <c r="P679" s="1"/>
      <c r="Q679" s="1"/>
      <c r="R679" s="1"/>
      <c r="S679" s="1"/>
      <c r="T679" s="1"/>
      <c r="U679" s="2"/>
      <c r="V679" s="1"/>
      <c r="W679" s="1"/>
      <c r="X679" s="1"/>
      <c r="Y679" s="1"/>
      <c r="Z679" s="1"/>
    </row>
    <row r="680" spans="1:26" ht="39.75" customHeight="1">
      <c r="A680" s="1"/>
      <c r="B680" s="1"/>
      <c r="C680" s="1"/>
      <c r="D680" s="1"/>
      <c r="E680" s="1"/>
      <c r="F680" s="1"/>
      <c r="G680" s="1"/>
      <c r="H680" s="1"/>
      <c r="I680" s="1"/>
      <c r="J680" s="1"/>
      <c r="K680" s="1"/>
      <c r="L680" s="1"/>
      <c r="M680" s="1"/>
      <c r="N680" s="1"/>
      <c r="O680" s="1"/>
      <c r="P680" s="1"/>
      <c r="Q680" s="1"/>
      <c r="R680" s="1"/>
      <c r="S680" s="1"/>
      <c r="T680" s="1"/>
      <c r="U680" s="2"/>
      <c r="V680" s="1"/>
      <c r="W680" s="1"/>
      <c r="X680" s="1"/>
      <c r="Y680" s="1"/>
      <c r="Z680" s="1"/>
    </row>
    <row r="681" spans="1:26" ht="39.75" customHeight="1">
      <c r="A681" s="1"/>
      <c r="B681" s="1"/>
      <c r="C681" s="1"/>
      <c r="D681" s="1"/>
      <c r="E681" s="1"/>
      <c r="F681" s="1"/>
      <c r="G681" s="1"/>
      <c r="H681" s="1"/>
      <c r="I681" s="1"/>
      <c r="J681" s="1"/>
      <c r="K681" s="1"/>
      <c r="L681" s="1"/>
      <c r="M681" s="1"/>
      <c r="N681" s="1"/>
      <c r="O681" s="1"/>
      <c r="P681" s="1"/>
      <c r="Q681" s="1"/>
      <c r="R681" s="1"/>
      <c r="S681" s="1"/>
      <c r="T681" s="1"/>
      <c r="U681" s="2"/>
      <c r="V681" s="1"/>
      <c r="W681" s="1"/>
      <c r="X681" s="1"/>
      <c r="Y681" s="1"/>
      <c r="Z681" s="1"/>
    </row>
    <row r="682" spans="1:26" ht="39.75" customHeight="1">
      <c r="A682" s="1"/>
      <c r="B682" s="1"/>
      <c r="C682" s="1"/>
      <c r="D682" s="1"/>
      <c r="E682" s="1"/>
      <c r="F682" s="1"/>
      <c r="G682" s="1"/>
      <c r="H682" s="1"/>
      <c r="I682" s="1"/>
      <c r="J682" s="1"/>
      <c r="K682" s="1"/>
      <c r="L682" s="1"/>
      <c r="M682" s="1"/>
      <c r="N682" s="1"/>
      <c r="O682" s="1"/>
      <c r="P682" s="1"/>
      <c r="Q682" s="1"/>
      <c r="R682" s="1"/>
      <c r="S682" s="1"/>
      <c r="T682" s="1"/>
      <c r="U682" s="2"/>
      <c r="V682" s="1"/>
      <c r="W682" s="1"/>
      <c r="X682" s="1"/>
      <c r="Y682" s="1"/>
      <c r="Z682" s="1"/>
    </row>
    <row r="683" spans="1:26" ht="39.75" customHeight="1">
      <c r="A683" s="1"/>
      <c r="B683" s="1"/>
      <c r="C683" s="1"/>
      <c r="D683" s="1"/>
      <c r="E683" s="1"/>
      <c r="F683" s="1"/>
      <c r="G683" s="1"/>
      <c r="H683" s="1"/>
      <c r="I683" s="1"/>
      <c r="J683" s="1"/>
      <c r="K683" s="1"/>
      <c r="L683" s="1"/>
      <c r="M683" s="1"/>
      <c r="N683" s="1"/>
      <c r="O683" s="1"/>
      <c r="P683" s="1"/>
      <c r="Q683" s="1"/>
      <c r="R683" s="1"/>
      <c r="S683" s="1"/>
      <c r="T683" s="1"/>
      <c r="U683" s="2"/>
      <c r="V683" s="1"/>
      <c r="W683" s="1"/>
      <c r="X683" s="1"/>
      <c r="Y683" s="1"/>
      <c r="Z683" s="1"/>
    </row>
    <row r="684" spans="1:26" ht="39.75" customHeight="1">
      <c r="A684" s="1"/>
      <c r="B684" s="1"/>
      <c r="C684" s="1"/>
      <c r="D684" s="1"/>
      <c r="E684" s="1"/>
      <c r="F684" s="1"/>
      <c r="G684" s="1"/>
      <c r="H684" s="1"/>
      <c r="I684" s="1"/>
      <c r="J684" s="1"/>
      <c r="K684" s="1"/>
      <c r="L684" s="1"/>
      <c r="M684" s="1"/>
      <c r="N684" s="1"/>
      <c r="O684" s="1"/>
      <c r="P684" s="1"/>
      <c r="Q684" s="1"/>
      <c r="R684" s="1"/>
      <c r="S684" s="1"/>
      <c r="T684" s="1"/>
      <c r="U684" s="2"/>
      <c r="V684" s="1"/>
      <c r="W684" s="1"/>
      <c r="X684" s="1"/>
      <c r="Y684" s="1"/>
      <c r="Z684" s="1"/>
    </row>
    <row r="685" spans="1:26" ht="39.75" customHeight="1">
      <c r="A685" s="1"/>
      <c r="B685" s="1"/>
      <c r="C685" s="1"/>
      <c r="D685" s="1"/>
      <c r="E685" s="1"/>
      <c r="F685" s="1"/>
      <c r="G685" s="1"/>
      <c r="H685" s="1"/>
      <c r="I685" s="1"/>
      <c r="J685" s="1"/>
      <c r="K685" s="1"/>
      <c r="L685" s="1"/>
      <c r="M685" s="1"/>
      <c r="N685" s="1"/>
      <c r="O685" s="1"/>
      <c r="P685" s="1"/>
      <c r="Q685" s="1"/>
      <c r="R685" s="1"/>
      <c r="S685" s="1"/>
      <c r="T685" s="1"/>
      <c r="U685" s="2"/>
      <c r="V685" s="1"/>
      <c r="W685" s="1"/>
      <c r="X685" s="1"/>
      <c r="Y685" s="1"/>
      <c r="Z685" s="1"/>
    </row>
    <row r="686" spans="1:26" ht="39.75" customHeight="1">
      <c r="A686" s="1"/>
      <c r="B686" s="1"/>
      <c r="C686" s="1"/>
      <c r="D686" s="1"/>
      <c r="E686" s="1"/>
      <c r="F686" s="1"/>
      <c r="G686" s="1"/>
      <c r="H686" s="1"/>
      <c r="I686" s="1"/>
      <c r="J686" s="1"/>
      <c r="K686" s="1"/>
      <c r="L686" s="1"/>
      <c r="M686" s="1"/>
      <c r="N686" s="1"/>
      <c r="O686" s="1"/>
      <c r="P686" s="1"/>
      <c r="Q686" s="1"/>
      <c r="R686" s="1"/>
      <c r="S686" s="1"/>
      <c r="T686" s="1"/>
      <c r="U686" s="2"/>
      <c r="V686" s="1"/>
      <c r="W686" s="1"/>
      <c r="X686" s="1"/>
      <c r="Y686" s="1"/>
      <c r="Z686" s="1"/>
    </row>
    <row r="687" spans="1:26" ht="39.75" customHeight="1">
      <c r="A687" s="1"/>
      <c r="B687" s="1"/>
      <c r="C687" s="1"/>
      <c r="D687" s="1"/>
      <c r="E687" s="1"/>
      <c r="F687" s="1"/>
      <c r="G687" s="1"/>
      <c r="H687" s="1"/>
      <c r="I687" s="1"/>
      <c r="J687" s="1"/>
      <c r="K687" s="1"/>
      <c r="L687" s="1"/>
      <c r="M687" s="1"/>
      <c r="N687" s="1"/>
      <c r="O687" s="1"/>
      <c r="P687" s="1"/>
      <c r="Q687" s="1"/>
      <c r="R687" s="1"/>
      <c r="S687" s="1"/>
      <c r="T687" s="1"/>
      <c r="U687" s="2"/>
      <c r="V687" s="1"/>
      <c r="W687" s="1"/>
      <c r="X687" s="1"/>
      <c r="Y687" s="1"/>
      <c r="Z687" s="1"/>
    </row>
    <row r="688" spans="1:26" ht="39.75" customHeight="1">
      <c r="A688" s="1"/>
      <c r="B688" s="1"/>
      <c r="C688" s="1"/>
      <c r="D688" s="1"/>
      <c r="E688" s="1"/>
      <c r="F688" s="1"/>
      <c r="G688" s="1"/>
      <c r="H688" s="1"/>
      <c r="I688" s="1"/>
      <c r="J688" s="1"/>
      <c r="K688" s="1"/>
      <c r="L688" s="1"/>
      <c r="M688" s="1"/>
      <c r="N688" s="1"/>
      <c r="O688" s="1"/>
      <c r="P688" s="1"/>
      <c r="Q688" s="1"/>
      <c r="R688" s="1"/>
      <c r="S688" s="1"/>
      <c r="T688" s="1"/>
      <c r="U688" s="2"/>
      <c r="V688" s="1"/>
      <c r="W688" s="1"/>
      <c r="X688" s="1"/>
      <c r="Y688" s="1"/>
      <c r="Z688" s="1"/>
    </row>
    <row r="689" spans="1:26" ht="39.75" customHeight="1">
      <c r="A689" s="1"/>
      <c r="B689" s="1"/>
      <c r="C689" s="1"/>
      <c r="D689" s="1"/>
      <c r="E689" s="1"/>
      <c r="F689" s="1"/>
      <c r="G689" s="1"/>
      <c r="H689" s="1"/>
      <c r="I689" s="1"/>
      <c r="J689" s="1"/>
      <c r="K689" s="1"/>
      <c r="L689" s="1"/>
      <c r="M689" s="1"/>
      <c r="N689" s="1"/>
      <c r="O689" s="1"/>
      <c r="P689" s="1"/>
      <c r="Q689" s="1"/>
      <c r="R689" s="1"/>
      <c r="S689" s="1"/>
      <c r="T689" s="1"/>
      <c r="U689" s="2"/>
      <c r="V689" s="1"/>
      <c r="W689" s="1"/>
      <c r="X689" s="1"/>
      <c r="Y689" s="1"/>
      <c r="Z689" s="1"/>
    </row>
    <row r="690" spans="1:26" ht="39.75" customHeight="1">
      <c r="A690" s="1"/>
      <c r="B690" s="1"/>
      <c r="C690" s="1"/>
      <c r="D690" s="1"/>
      <c r="E690" s="1"/>
      <c r="F690" s="1"/>
      <c r="G690" s="1"/>
      <c r="H690" s="1"/>
      <c r="I690" s="1"/>
      <c r="J690" s="1"/>
      <c r="K690" s="1"/>
      <c r="L690" s="1"/>
      <c r="M690" s="1"/>
      <c r="N690" s="1"/>
      <c r="O690" s="1"/>
      <c r="P690" s="1"/>
      <c r="Q690" s="1"/>
      <c r="R690" s="1"/>
      <c r="S690" s="1"/>
      <c r="T690" s="1"/>
      <c r="U690" s="2"/>
      <c r="V690" s="1"/>
      <c r="W690" s="1"/>
      <c r="X690" s="1"/>
      <c r="Y690" s="1"/>
      <c r="Z690" s="1"/>
    </row>
    <row r="691" spans="1:26" ht="39.75" customHeight="1">
      <c r="A691" s="1"/>
      <c r="B691" s="1"/>
      <c r="C691" s="1"/>
      <c r="D691" s="1"/>
      <c r="E691" s="1"/>
      <c r="F691" s="1"/>
      <c r="G691" s="1"/>
      <c r="H691" s="1"/>
      <c r="I691" s="1"/>
      <c r="J691" s="1"/>
      <c r="K691" s="1"/>
      <c r="L691" s="1"/>
      <c r="M691" s="1"/>
      <c r="N691" s="1"/>
      <c r="O691" s="1"/>
      <c r="P691" s="1"/>
      <c r="Q691" s="1"/>
      <c r="R691" s="1"/>
      <c r="S691" s="1"/>
      <c r="T691" s="1"/>
      <c r="U691" s="2"/>
      <c r="V691" s="1"/>
      <c r="W691" s="1"/>
      <c r="X691" s="1"/>
      <c r="Y691" s="1"/>
      <c r="Z691" s="1"/>
    </row>
    <row r="692" spans="1:26" ht="39.75" customHeight="1">
      <c r="A692" s="1"/>
      <c r="B692" s="1"/>
      <c r="C692" s="1"/>
      <c r="D692" s="1"/>
      <c r="E692" s="1"/>
      <c r="F692" s="1"/>
      <c r="G692" s="1"/>
      <c r="H692" s="1"/>
      <c r="I692" s="1"/>
      <c r="J692" s="1"/>
      <c r="K692" s="1"/>
      <c r="L692" s="1"/>
      <c r="M692" s="1"/>
      <c r="N692" s="1"/>
      <c r="O692" s="1"/>
      <c r="P692" s="1"/>
      <c r="Q692" s="1"/>
      <c r="R692" s="1"/>
      <c r="S692" s="1"/>
      <c r="T692" s="1"/>
      <c r="U692" s="2"/>
      <c r="V692" s="1"/>
      <c r="W692" s="1"/>
      <c r="X692" s="1"/>
      <c r="Y692" s="1"/>
      <c r="Z692" s="1"/>
    </row>
    <row r="693" spans="1:26" ht="39.75" customHeight="1">
      <c r="A693" s="1"/>
      <c r="B693" s="1"/>
      <c r="C693" s="1"/>
      <c r="D693" s="1"/>
      <c r="E693" s="1"/>
      <c r="F693" s="1"/>
      <c r="G693" s="1"/>
      <c r="H693" s="1"/>
      <c r="I693" s="1"/>
      <c r="J693" s="1"/>
      <c r="K693" s="1"/>
      <c r="L693" s="1"/>
      <c r="M693" s="1"/>
      <c r="N693" s="1"/>
      <c r="O693" s="1"/>
      <c r="P693" s="1"/>
      <c r="Q693" s="1"/>
      <c r="R693" s="1"/>
      <c r="S693" s="1"/>
      <c r="T693" s="1"/>
      <c r="U693" s="2"/>
      <c r="V693" s="1"/>
      <c r="W693" s="1"/>
      <c r="X693" s="1"/>
      <c r="Y693" s="1"/>
      <c r="Z693" s="1"/>
    </row>
    <row r="694" spans="1:26" ht="39.75" customHeight="1">
      <c r="A694" s="1"/>
      <c r="B694" s="1"/>
      <c r="C694" s="1"/>
      <c r="D694" s="1"/>
      <c r="E694" s="1"/>
      <c r="F694" s="1"/>
      <c r="G694" s="1"/>
      <c r="H694" s="1"/>
      <c r="I694" s="1"/>
      <c r="J694" s="1"/>
      <c r="K694" s="1"/>
      <c r="L694" s="1"/>
      <c r="M694" s="1"/>
      <c r="N694" s="1"/>
      <c r="O694" s="1"/>
      <c r="P694" s="1"/>
      <c r="Q694" s="1"/>
      <c r="R694" s="1"/>
      <c r="S694" s="1"/>
      <c r="T694" s="1"/>
      <c r="U694" s="2"/>
      <c r="V694" s="1"/>
      <c r="W694" s="1"/>
      <c r="X694" s="1"/>
      <c r="Y694" s="1"/>
      <c r="Z694" s="1"/>
    </row>
    <row r="695" spans="1:26" ht="39.75" customHeight="1">
      <c r="A695" s="1"/>
      <c r="B695" s="1"/>
      <c r="C695" s="1"/>
      <c r="D695" s="1"/>
      <c r="E695" s="1"/>
      <c r="F695" s="1"/>
      <c r="G695" s="1"/>
      <c r="H695" s="1"/>
      <c r="I695" s="1"/>
      <c r="J695" s="1"/>
      <c r="K695" s="1"/>
      <c r="L695" s="1"/>
      <c r="M695" s="1"/>
      <c r="N695" s="1"/>
      <c r="O695" s="1"/>
      <c r="P695" s="1"/>
      <c r="Q695" s="1"/>
      <c r="R695" s="1"/>
      <c r="S695" s="1"/>
      <c r="T695" s="1"/>
      <c r="U695" s="2"/>
      <c r="V695" s="1"/>
      <c r="W695" s="1"/>
      <c r="X695" s="1"/>
      <c r="Y695" s="1"/>
      <c r="Z695" s="1"/>
    </row>
    <row r="696" spans="1:26" ht="39.75" customHeight="1">
      <c r="A696" s="1"/>
      <c r="B696" s="1"/>
      <c r="C696" s="1"/>
      <c r="D696" s="1"/>
      <c r="E696" s="1"/>
      <c r="F696" s="1"/>
      <c r="G696" s="1"/>
      <c r="H696" s="1"/>
      <c r="I696" s="1"/>
      <c r="J696" s="1"/>
      <c r="K696" s="1"/>
      <c r="L696" s="1"/>
      <c r="M696" s="1"/>
      <c r="N696" s="1"/>
      <c r="O696" s="1"/>
      <c r="P696" s="1"/>
      <c r="Q696" s="1"/>
      <c r="R696" s="1"/>
      <c r="S696" s="1"/>
      <c r="T696" s="1"/>
      <c r="U696" s="2"/>
      <c r="V696" s="1"/>
      <c r="W696" s="1"/>
      <c r="X696" s="1"/>
      <c r="Y696" s="1"/>
      <c r="Z696" s="1"/>
    </row>
    <row r="697" spans="1:26" ht="39.75" customHeight="1">
      <c r="A697" s="1"/>
      <c r="B697" s="1"/>
      <c r="C697" s="1"/>
      <c r="D697" s="1"/>
      <c r="E697" s="1"/>
      <c r="F697" s="1"/>
      <c r="G697" s="1"/>
      <c r="H697" s="1"/>
      <c r="I697" s="1"/>
      <c r="J697" s="1"/>
      <c r="K697" s="1"/>
      <c r="L697" s="1"/>
      <c r="M697" s="1"/>
      <c r="N697" s="1"/>
      <c r="O697" s="1"/>
      <c r="P697" s="1"/>
      <c r="Q697" s="1"/>
      <c r="R697" s="1"/>
      <c r="S697" s="1"/>
      <c r="T697" s="1"/>
      <c r="U697" s="2"/>
      <c r="V697" s="1"/>
      <c r="W697" s="1"/>
      <c r="X697" s="1"/>
      <c r="Y697" s="1"/>
      <c r="Z697" s="1"/>
    </row>
    <row r="698" spans="1:26" ht="39.75" customHeight="1">
      <c r="A698" s="1"/>
      <c r="B698" s="1"/>
      <c r="C698" s="1"/>
      <c r="D698" s="1"/>
      <c r="E698" s="1"/>
      <c r="F698" s="1"/>
      <c r="G698" s="1"/>
      <c r="H698" s="1"/>
      <c r="I698" s="1"/>
      <c r="J698" s="1"/>
      <c r="K698" s="1"/>
      <c r="L698" s="1"/>
      <c r="M698" s="1"/>
      <c r="N698" s="1"/>
      <c r="O698" s="1"/>
      <c r="P698" s="1"/>
      <c r="Q698" s="1"/>
      <c r="R698" s="1"/>
      <c r="S698" s="1"/>
      <c r="T698" s="1"/>
      <c r="U698" s="2"/>
      <c r="V698" s="1"/>
      <c r="W698" s="1"/>
      <c r="X698" s="1"/>
      <c r="Y698" s="1"/>
      <c r="Z698" s="1"/>
    </row>
    <row r="699" spans="1:26" ht="39.75" customHeight="1">
      <c r="A699" s="1"/>
      <c r="B699" s="1"/>
      <c r="C699" s="1"/>
      <c r="D699" s="1"/>
      <c r="E699" s="1"/>
      <c r="F699" s="1"/>
      <c r="G699" s="1"/>
      <c r="H699" s="1"/>
      <c r="I699" s="1"/>
      <c r="J699" s="1"/>
      <c r="K699" s="1"/>
      <c r="L699" s="1"/>
      <c r="M699" s="1"/>
      <c r="N699" s="1"/>
      <c r="O699" s="1"/>
      <c r="P699" s="1"/>
      <c r="Q699" s="1"/>
      <c r="R699" s="1"/>
      <c r="S699" s="1"/>
      <c r="T699" s="1"/>
      <c r="U699" s="2"/>
      <c r="V699" s="1"/>
      <c r="W699" s="1"/>
      <c r="X699" s="1"/>
      <c r="Y699" s="1"/>
      <c r="Z699" s="1"/>
    </row>
    <row r="700" spans="1:26" ht="39.75" customHeight="1">
      <c r="A700" s="1"/>
      <c r="B700" s="1"/>
      <c r="C700" s="1"/>
      <c r="D700" s="1"/>
      <c r="E700" s="1"/>
      <c r="F700" s="1"/>
      <c r="G700" s="1"/>
      <c r="H700" s="1"/>
      <c r="I700" s="1"/>
      <c r="J700" s="1"/>
      <c r="K700" s="1"/>
      <c r="L700" s="1"/>
      <c r="M700" s="1"/>
      <c r="N700" s="1"/>
      <c r="O700" s="1"/>
      <c r="P700" s="1"/>
      <c r="Q700" s="1"/>
      <c r="R700" s="1"/>
      <c r="S700" s="1"/>
      <c r="T700" s="1"/>
      <c r="U700" s="2"/>
      <c r="V700" s="1"/>
      <c r="W700" s="1"/>
      <c r="X700" s="1"/>
      <c r="Y700" s="1"/>
      <c r="Z700" s="1"/>
    </row>
    <row r="701" spans="1:26" ht="39.75" customHeight="1">
      <c r="A701" s="1"/>
      <c r="B701" s="1"/>
      <c r="C701" s="1"/>
      <c r="D701" s="1"/>
      <c r="E701" s="1"/>
      <c r="F701" s="1"/>
      <c r="G701" s="1"/>
      <c r="H701" s="1"/>
      <c r="I701" s="1"/>
      <c r="J701" s="1"/>
      <c r="K701" s="1"/>
      <c r="L701" s="1"/>
      <c r="M701" s="1"/>
      <c r="N701" s="1"/>
      <c r="O701" s="1"/>
      <c r="P701" s="1"/>
      <c r="Q701" s="1"/>
      <c r="R701" s="1"/>
      <c r="S701" s="1"/>
      <c r="T701" s="1"/>
      <c r="U701" s="2"/>
      <c r="V701" s="1"/>
      <c r="W701" s="1"/>
      <c r="X701" s="1"/>
      <c r="Y701" s="1"/>
      <c r="Z701" s="1"/>
    </row>
    <row r="702" spans="1:26" ht="39.75" customHeight="1">
      <c r="A702" s="1"/>
      <c r="B702" s="1"/>
      <c r="C702" s="1"/>
      <c r="D702" s="1"/>
      <c r="E702" s="1"/>
      <c r="F702" s="1"/>
      <c r="G702" s="1"/>
      <c r="H702" s="1"/>
      <c r="I702" s="1"/>
      <c r="J702" s="1"/>
      <c r="K702" s="1"/>
      <c r="L702" s="1"/>
      <c r="M702" s="1"/>
      <c r="N702" s="1"/>
      <c r="O702" s="1"/>
      <c r="P702" s="1"/>
      <c r="Q702" s="1"/>
      <c r="R702" s="1"/>
      <c r="S702" s="1"/>
      <c r="T702" s="1"/>
      <c r="U702" s="2"/>
      <c r="V702" s="1"/>
      <c r="W702" s="1"/>
      <c r="X702" s="1"/>
      <c r="Y702" s="1"/>
      <c r="Z702" s="1"/>
    </row>
    <row r="703" spans="1:26" ht="39.75" customHeight="1">
      <c r="A703" s="1"/>
      <c r="B703" s="1"/>
      <c r="C703" s="1"/>
      <c r="D703" s="1"/>
      <c r="E703" s="1"/>
      <c r="F703" s="1"/>
      <c r="G703" s="1"/>
      <c r="H703" s="1"/>
      <c r="I703" s="1"/>
      <c r="J703" s="1"/>
      <c r="K703" s="1"/>
      <c r="L703" s="1"/>
      <c r="M703" s="1"/>
      <c r="N703" s="1"/>
      <c r="O703" s="1"/>
      <c r="P703" s="1"/>
      <c r="Q703" s="1"/>
      <c r="R703" s="1"/>
      <c r="S703" s="1"/>
      <c r="T703" s="1"/>
      <c r="U703" s="2"/>
      <c r="V703" s="1"/>
      <c r="W703" s="1"/>
      <c r="X703" s="1"/>
      <c r="Y703" s="1"/>
      <c r="Z703" s="1"/>
    </row>
    <row r="704" spans="1:26" ht="39.75" customHeight="1">
      <c r="A704" s="1"/>
      <c r="B704" s="1"/>
      <c r="C704" s="1"/>
      <c r="D704" s="1"/>
      <c r="E704" s="1"/>
      <c r="F704" s="1"/>
      <c r="G704" s="1"/>
      <c r="H704" s="1"/>
      <c r="I704" s="1"/>
      <c r="J704" s="1"/>
      <c r="K704" s="1"/>
      <c r="L704" s="1"/>
      <c r="M704" s="1"/>
      <c r="N704" s="1"/>
      <c r="O704" s="1"/>
      <c r="P704" s="1"/>
      <c r="Q704" s="1"/>
      <c r="R704" s="1"/>
      <c r="S704" s="1"/>
      <c r="T704" s="1"/>
      <c r="U704" s="2"/>
      <c r="V704" s="1"/>
      <c r="W704" s="1"/>
      <c r="X704" s="1"/>
      <c r="Y704" s="1"/>
      <c r="Z704" s="1"/>
    </row>
    <row r="705" spans="1:26" ht="39.75" customHeight="1">
      <c r="A705" s="1"/>
      <c r="B705" s="1"/>
      <c r="C705" s="1"/>
      <c r="D705" s="1"/>
      <c r="E705" s="1"/>
      <c r="F705" s="1"/>
      <c r="G705" s="1"/>
      <c r="H705" s="1"/>
      <c r="I705" s="1"/>
      <c r="J705" s="1"/>
      <c r="K705" s="1"/>
      <c r="L705" s="1"/>
      <c r="M705" s="1"/>
      <c r="N705" s="1"/>
      <c r="O705" s="1"/>
      <c r="P705" s="1"/>
      <c r="Q705" s="1"/>
      <c r="R705" s="1"/>
      <c r="S705" s="1"/>
      <c r="T705" s="1"/>
      <c r="U705" s="2"/>
      <c r="V705" s="1"/>
      <c r="W705" s="1"/>
      <c r="X705" s="1"/>
      <c r="Y705" s="1"/>
      <c r="Z705" s="1"/>
    </row>
    <row r="706" spans="1:26" ht="39.75" customHeight="1">
      <c r="A706" s="1"/>
      <c r="B706" s="1"/>
      <c r="C706" s="1"/>
      <c r="D706" s="1"/>
      <c r="E706" s="1"/>
      <c r="F706" s="1"/>
      <c r="G706" s="1"/>
      <c r="H706" s="1"/>
      <c r="I706" s="1"/>
      <c r="J706" s="1"/>
      <c r="K706" s="1"/>
      <c r="L706" s="1"/>
      <c r="M706" s="1"/>
      <c r="N706" s="1"/>
      <c r="O706" s="1"/>
      <c r="P706" s="1"/>
      <c r="Q706" s="1"/>
      <c r="R706" s="1"/>
      <c r="S706" s="1"/>
      <c r="T706" s="1"/>
      <c r="U706" s="2"/>
      <c r="V706" s="1"/>
      <c r="W706" s="1"/>
      <c r="X706" s="1"/>
      <c r="Y706" s="1"/>
      <c r="Z706" s="1"/>
    </row>
    <row r="707" spans="1:26" ht="39.75" customHeight="1">
      <c r="A707" s="1"/>
      <c r="B707" s="1"/>
      <c r="C707" s="1"/>
      <c r="D707" s="1"/>
      <c r="E707" s="1"/>
      <c r="F707" s="1"/>
      <c r="G707" s="1"/>
      <c r="H707" s="1"/>
      <c r="I707" s="1"/>
      <c r="J707" s="1"/>
      <c r="K707" s="1"/>
      <c r="L707" s="1"/>
      <c r="M707" s="1"/>
      <c r="N707" s="1"/>
      <c r="O707" s="1"/>
      <c r="P707" s="1"/>
      <c r="Q707" s="1"/>
      <c r="R707" s="1"/>
      <c r="S707" s="1"/>
      <c r="T707" s="1"/>
      <c r="U707" s="2"/>
      <c r="V707" s="1"/>
      <c r="W707" s="1"/>
      <c r="X707" s="1"/>
      <c r="Y707" s="1"/>
      <c r="Z707" s="1"/>
    </row>
    <row r="708" spans="1:26" ht="39.75" customHeight="1">
      <c r="A708" s="1"/>
      <c r="B708" s="1"/>
      <c r="C708" s="1"/>
      <c r="D708" s="1"/>
      <c r="E708" s="1"/>
      <c r="F708" s="1"/>
      <c r="G708" s="1"/>
      <c r="H708" s="1"/>
      <c r="I708" s="1"/>
      <c r="J708" s="1"/>
      <c r="K708" s="1"/>
      <c r="L708" s="1"/>
      <c r="M708" s="1"/>
      <c r="N708" s="1"/>
      <c r="O708" s="1"/>
      <c r="P708" s="1"/>
      <c r="Q708" s="1"/>
      <c r="R708" s="1"/>
      <c r="S708" s="1"/>
      <c r="T708" s="1"/>
      <c r="U708" s="2"/>
      <c r="V708" s="1"/>
      <c r="W708" s="1"/>
      <c r="X708" s="1"/>
      <c r="Y708" s="1"/>
      <c r="Z708" s="1"/>
    </row>
    <row r="709" spans="1:26" ht="39.75" customHeight="1">
      <c r="A709" s="1"/>
      <c r="B709" s="1"/>
      <c r="C709" s="1"/>
      <c r="D709" s="1"/>
      <c r="E709" s="1"/>
      <c r="F709" s="1"/>
      <c r="G709" s="1"/>
      <c r="H709" s="1"/>
      <c r="I709" s="1"/>
      <c r="J709" s="1"/>
      <c r="K709" s="1"/>
      <c r="L709" s="1"/>
      <c r="M709" s="1"/>
      <c r="N709" s="1"/>
      <c r="O709" s="1"/>
      <c r="P709" s="1"/>
      <c r="Q709" s="1"/>
      <c r="R709" s="1"/>
      <c r="S709" s="1"/>
      <c r="T709" s="1"/>
      <c r="U709" s="2"/>
      <c r="V709" s="1"/>
      <c r="W709" s="1"/>
      <c r="X709" s="1"/>
      <c r="Y709" s="1"/>
      <c r="Z709" s="1"/>
    </row>
    <row r="710" spans="1:26" ht="39.75" customHeight="1">
      <c r="A710" s="1"/>
      <c r="B710" s="1"/>
      <c r="C710" s="1"/>
      <c r="D710" s="1"/>
      <c r="E710" s="1"/>
      <c r="F710" s="1"/>
      <c r="G710" s="1"/>
      <c r="H710" s="1"/>
      <c r="I710" s="1"/>
      <c r="J710" s="1"/>
      <c r="K710" s="1"/>
      <c r="L710" s="1"/>
      <c r="M710" s="1"/>
      <c r="N710" s="1"/>
      <c r="O710" s="1"/>
      <c r="P710" s="1"/>
      <c r="Q710" s="1"/>
      <c r="R710" s="1"/>
      <c r="S710" s="1"/>
      <c r="T710" s="1"/>
      <c r="U710" s="2"/>
      <c r="V710" s="1"/>
      <c r="W710" s="1"/>
      <c r="X710" s="1"/>
      <c r="Y710" s="1"/>
      <c r="Z710" s="1"/>
    </row>
    <row r="711" spans="1:26" ht="39.75" customHeight="1">
      <c r="A711" s="1"/>
      <c r="B711" s="1"/>
      <c r="C711" s="1"/>
      <c r="D711" s="1"/>
      <c r="E711" s="1"/>
      <c r="F711" s="1"/>
      <c r="G711" s="1"/>
      <c r="H711" s="1"/>
      <c r="I711" s="1"/>
      <c r="J711" s="1"/>
      <c r="K711" s="1"/>
      <c r="L711" s="1"/>
      <c r="M711" s="1"/>
      <c r="N711" s="1"/>
      <c r="O711" s="1"/>
      <c r="P711" s="1"/>
      <c r="Q711" s="1"/>
      <c r="R711" s="1"/>
      <c r="S711" s="1"/>
      <c r="T711" s="1"/>
      <c r="U711" s="2"/>
      <c r="V711" s="1"/>
      <c r="W711" s="1"/>
      <c r="X711" s="1"/>
      <c r="Y711" s="1"/>
      <c r="Z711" s="1"/>
    </row>
    <row r="712" spans="1:26" ht="39.75" customHeight="1">
      <c r="A712" s="1"/>
      <c r="B712" s="1"/>
      <c r="C712" s="1"/>
      <c r="D712" s="1"/>
      <c r="E712" s="1"/>
      <c r="F712" s="1"/>
      <c r="G712" s="1"/>
      <c r="H712" s="1"/>
      <c r="I712" s="1"/>
      <c r="J712" s="1"/>
      <c r="K712" s="1"/>
      <c r="L712" s="1"/>
      <c r="M712" s="1"/>
      <c r="N712" s="1"/>
      <c r="O712" s="1"/>
      <c r="P712" s="1"/>
      <c r="Q712" s="1"/>
      <c r="R712" s="1"/>
      <c r="S712" s="1"/>
      <c r="T712" s="1"/>
      <c r="U712" s="2"/>
      <c r="V712" s="1"/>
      <c r="W712" s="1"/>
      <c r="X712" s="1"/>
      <c r="Y712" s="1"/>
      <c r="Z712" s="1"/>
    </row>
    <row r="713" spans="1:26" ht="39.75" customHeight="1">
      <c r="A713" s="1"/>
      <c r="B713" s="1"/>
      <c r="C713" s="1"/>
      <c r="D713" s="1"/>
      <c r="E713" s="1"/>
      <c r="F713" s="1"/>
      <c r="G713" s="1"/>
      <c r="H713" s="1"/>
      <c r="I713" s="1"/>
      <c r="J713" s="1"/>
      <c r="K713" s="1"/>
      <c r="L713" s="1"/>
      <c r="M713" s="1"/>
      <c r="N713" s="1"/>
      <c r="O713" s="1"/>
      <c r="P713" s="1"/>
      <c r="Q713" s="1"/>
      <c r="R713" s="1"/>
      <c r="S713" s="1"/>
      <c r="T713" s="1"/>
      <c r="U713" s="2"/>
      <c r="V713" s="1"/>
      <c r="W713" s="1"/>
      <c r="X713" s="1"/>
      <c r="Y713" s="1"/>
      <c r="Z713" s="1"/>
    </row>
    <row r="714" spans="1:26" ht="39.75" customHeight="1">
      <c r="A714" s="1"/>
      <c r="B714" s="1"/>
      <c r="C714" s="1"/>
      <c r="D714" s="1"/>
      <c r="E714" s="1"/>
      <c r="F714" s="1"/>
      <c r="G714" s="1"/>
      <c r="H714" s="1"/>
      <c r="I714" s="1"/>
      <c r="J714" s="1"/>
      <c r="K714" s="1"/>
      <c r="L714" s="1"/>
      <c r="M714" s="1"/>
      <c r="N714" s="1"/>
      <c r="O714" s="1"/>
      <c r="P714" s="1"/>
      <c r="Q714" s="1"/>
      <c r="R714" s="1"/>
      <c r="S714" s="1"/>
      <c r="T714" s="1"/>
      <c r="U714" s="2"/>
      <c r="V714" s="1"/>
      <c r="W714" s="1"/>
      <c r="X714" s="1"/>
      <c r="Y714" s="1"/>
      <c r="Z714" s="1"/>
    </row>
    <row r="715" spans="1:26" ht="39.75" customHeight="1">
      <c r="A715" s="1"/>
      <c r="B715" s="1"/>
      <c r="C715" s="1"/>
      <c r="D715" s="1"/>
      <c r="E715" s="1"/>
      <c r="F715" s="1"/>
      <c r="G715" s="1"/>
      <c r="H715" s="1"/>
      <c r="I715" s="1"/>
      <c r="J715" s="1"/>
      <c r="K715" s="1"/>
      <c r="L715" s="1"/>
      <c r="M715" s="1"/>
      <c r="N715" s="1"/>
      <c r="O715" s="1"/>
      <c r="P715" s="1"/>
      <c r="Q715" s="1"/>
      <c r="R715" s="1"/>
      <c r="S715" s="1"/>
      <c r="T715" s="1"/>
      <c r="U715" s="2"/>
      <c r="V715" s="1"/>
      <c r="W715" s="1"/>
      <c r="X715" s="1"/>
      <c r="Y715" s="1"/>
      <c r="Z715" s="1"/>
    </row>
    <row r="716" spans="1:26" ht="39.75" customHeight="1">
      <c r="A716" s="1"/>
      <c r="B716" s="1"/>
      <c r="C716" s="1"/>
      <c r="D716" s="1"/>
      <c r="E716" s="1"/>
      <c r="F716" s="1"/>
      <c r="G716" s="1"/>
      <c r="H716" s="1"/>
      <c r="I716" s="1"/>
      <c r="J716" s="1"/>
      <c r="K716" s="1"/>
      <c r="L716" s="1"/>
      <c r="M716" s="1"/>
      <c r="N716" s="1"/>
      <c r="O716" s="1"/>
      <c r="P716" s="1"/>
      <c r="Q716" s="1"/>
      <c r="R716" s="1"/>
      <c r="S716" s="1"/>
      <c r="T716" s="1"/>
      <c r="U716" s="2"/>
      <c r="V716" s="1"/>
      <c r="W716" s="1"/>
      <c r="X716" s="1"/>
      <c r="Y716" s="1"/>
      <c r="Z716" s="1"/>
    </row>
    <row r="717" spans="1:26" ht="39.75" customHeight="1">
      <c r="A717" s="1"/>
      <c r="B717" s="1"/>
      <c r="C717" s="1"/>
      <c r="D717" s="1"/>
      <c r="E717" s="1"/>
      <c r="F717" s="1"/>
      <c r="G717" s="1"/>
      <c r="H717" s="1"/>
      <c r="I717" s="1"/>
      <c r="J717" s="1"/>
      <c r="K717" s="1"/>
      <c r="L717" s="1"/>
      <c r="M717" s="1"/>
      <c r="N717" s="1"/>
      <c r="O717" s="1"/>
      <c r="P717" s="1"/>
      <c r="Q717" s="1"/>
      <c r="R717" s="1"/>
      <c r="S717" s="1"/>
      <c r="T717" s="1"/>
      <c r="U717" s="2"/>
      <c r="V717" s="1"/>
      <c r="W717" s="1"/>
      <c r="X717" s="1"/>
      <c r="Y717" s="1"/>
      <c r="Z717" s="1"/>
    </row>
    <row r="718" spans="1:26" ht="39.75" customHeight="1">
      <c r="A718" s="1"/>
      <c r="B718" s="1"/>
      <c r="C718" s="1"/>
      <c r="D718" s="1"/>
      <c r="E718" s="1"/>
      <c r="F718" s="1"/>
      <c r="G718" s="1"/>
      <c r="H718" s="1"/>
      <c r="I718" s="1"/>
      <c r="J718" s="1"/>
      <c r="K718" s="1"/>
      <c r="L718" s="1"/>
      <c r="M718" s="1"/>
      <c r="N718" s="1"/>
      <c r="O718" s="1"/>
      <c r="P718" s="1"/>
      <c r="Q718" s="1"/>
      <c r="R718" s="1"/>
      <c r="S718" s="1"/>
      <c r="T718" s="1"/>
      <c r="U718" s="2"/>
      <c r="V718" s="1"/>
      <c r="W718" s="1"/>
      <c r="X718" s="1"/>
      <c r="Y718" s="1"/>
      <c r="Z718" s="1"/>
    </row>
    <row r="719" spans="1:26" ht="39.75" customHeight="1">
      <c r="A719" s="1"/>
      <c r="B719" s="1"/>
      <c r="C719" s="1"/>
      <c r="D719" s="1"/>
      <c r="E719" s="1"/>
      <c r="F719" s="1"/>
      <c r="G719" s="1"/>
      <c r="H719" s="1"/>
      <c r="I719" s="1"/>
      <c r="J719" s="1"/>
      <c r="K719" s="1"/>
      <c r="L719" s="1"/>
      <c r="M719" s="1"/>
      <c r="N719" s="1"/>
      <c r="O719" s="1"/>
      <c r="P719" s="1"/>
      <c r="Q719" s="1"/>
      <c r="R719" s="1"/>
      <c r="S719" s="1"/>
      <c r="T719" s="1"/>
      <c r="U719" s="2"/>
      <c r="V719" s="1"/>
      <c r="W719" s="1"/>
      <c r="X719" s="1"/>
      <c r="Y719" s="1"/>
      <c r="Z719" s="1"/>
    </row>
    <row r="720" spans="1:26" ht="39.75" customHeight="1">
      <c r="A720" s="1"/>
      <c r="B720" s="1"/>
      <c r="C720" s="1"/>
      <c r="D720" s="1"/>
      <c r="E720" s="1"/>
      <c r="F720" s="1"/>
      <c r="G720" s="1"/>
      <c r="H720" s="1"/>
      <c r="I720" s="1"/>
      <c r="J720" s="1"/>
      <c r="K720" s="1"/>
      <c r="L720" s="1"/>
      <c r="M720" s="1"/>
      <c r="N720" s="1"/>
      <c r="O720" s="1"/>
      <c r="P720" s="1"/>
      <c r="Q720" s="1"/>
      <c r="R720" s="1"/>
      <c r="S720" s="1"/>
      <c r="T720" s="1"/>
      <c r="U720" s="2"/>
      <c r="V720" s="1"/>
      <c r="W720" s="1"/>
      <c r="X720" s="1"/>
      <c r="Y720" s="1"/>
      <c r="Z720" s="1"/>
    </row>
    <row r="721" spans="1:26" ht="39.75" customHeight="1">
      <c r="A721" s="1"/>
      <c r="B721" s="1"/>
      <c r="C721" s="1"/>
      <c r="D721" s="1"/>
      <c r="E721" s="1"/>
      <c r="F721" s="1"/>
      <c r="G721" s="1"/>
      <c r="H721" s="1"/>
      <c r="I721" s="1"/>
      <c r="J721" s="1"/>
      <c r="K721" s="1"/>
      <c r="L721" s="1"/>
      <c r="M721" s="1"/>
      <c r="N721" s="1"/>
      <c r="O721" s="1"/>
      <c r="P721" s="1"/>
      <c r="Q721" s="1"/>
      <c r="R721" s="1"/>
      <c r="S721" s="1"/>
      <c r="T721" s="1"/>
      <c r="U721" s="2"/>
      <c r="V721" s="1"/>
      <c r="W721" s="1"/>
      <c r="X721" s="1"/>
      <c r="Y721" s="1"/>
      <c r="Z721" s="1"/>
    </row>
    <row r="722" spans="1:26" ht="39.75" customHeight="1">
      <c r="A722" s="1"/>
      <c r="B722" s="1"/>
      <c r="C722" s="1"/>
      <c r="D722" s="1"/>
      <c r="E722" s="1"/>
      <c r="F722" s="1"/>
      <c r="G722" s="1"/>
      <c r="H722" s="1"/>
      <c r="I722" s="1"/>
      <c r="J722" s="1"/>
      <c r="K722" s="1"/>
      <c r="L722" s="1"/>
      <c r="M722" s="1"/>
      <c r="N722" s="1"/>
      <c r="O722" s="1"/>
      <c r="P722" s="1"/>
      <c r="Q722" s="1"/>
      <c r="R722" s="1"/>
      <c r="S722" s="1"/>
      <c r="T722" s="1"/>
      <c r="U722" s="2"/>
      <c r="V722" s="1"/>
      <c r="W722" s="1"/>
      <c r="X722" s="1"/>
      <c r="Y722" s="1"/>
      <c r="Z722" s="1"/>
    </row>
    <row r="723" spans="1:26" ht="39.75" customHeight="1">
      <c r="A723" s="1"/>
      <c r="B723" s="1"/>
      <c r="C723" s="1"/>
      <c r="D723" s="1"/>
      <c r="E723" s="1"/>
      <c r="F723" s="1"/>
      <c r="G723" s="1"/>
      <c r="H723" s="1"/>
      <c r="I723" s="1"/>
      <c r="J723" s="1"/>
      <c r="K723" s="1"/>
      <c r="L723" s="1"/>
      <c r="M723" s="1"/>
      <c r="N723" s="1"/>
      <c r="O723" s="1"/>
      <c r="P723" s="1"/>
      <c r="Q723" s="1"/>
      <c r="R723" s="1"/>
      <c r="S723" s="1"/>
      <c r="T723" s="1"/>
      <c r="U723" s="2"/>
      <c r="V723" s="1"/>
      <c r="W723" s="1"/>
      <c r="X723" s="1"/>
      <c r="Y723" s="1"/>
      <c r="Z723" s="1"/>
    </row>
    <row r="724" spans="1:26" ht="39.75" customHeight="1">
      <c r="A724" s="1"/>
      <c r="B724" s="1"/>
      <c r="C724" s="1"/>
      <c r="D724" s="1"/>
      <c r="E724" s="1"/>
      <c r="F724" s="1"/>
      <c r="G724" s="1"/>
      <c r="H724" s="1"/>
      <c r="I724" s="1"/>
      <c r="J724" s="1"/>
      <c r="K724" s="1"/>
      <c r="L724" s="1"/>
      <c r="M724" s="1"/>
      <c r="N724" s="1"/>
      <c r="O724" s="1"/>
      <c r="P724" s="1"/>
      <c r="Q724" s="1"/>
      <c r="R724" s="1"/>
      <c r="S724" s="1"/>
      <c r="T724" s="1"/>
      <c r="U724" s="2"/>
      <c r="V724" s="1"/>
      <c r="W724" s="1"/>
      <c r="X724" s="1"/>
      <c r="Y724" s="1"/>
      <c r="Z724" s="1"/>
    </row>
    <row r="725" spans="1:26" ht="39.75" customHeight="1">
      <c r="A725" s="1"/>
      <c r="B725" s="1"/>
      <c r="C725" s="1"/>
      <c r="D725" s="1"/>
      <c r="E725" s="1"/>
      <c r="F725" s="1"/>
      <c r="G725" s="1"/>
      <c r="H725" s="1"/>
      <c r="I725" s="1"/>
      <c r="J725" s="1"/>
      <c r="K725" s="1"/>
      <c r="L725" s="1"/>
      <c r="M725" s="1"/>
      <c r="N725" s="1"/>
      <c r="O725" s="1"/>
      <c r="P725" s="1"/>
      <c r="Q725" s="1"/>
      <c r="R725" s="1"/>
      <c r="S725" s="1"/>
      <c r="T725" s="1"/>
      <c r="U725" s="2"/>
      <c r="V725" s="1"/>
      <c r="W725" s="1"/>
      <c r="X725" s="1"/>
      <c r="Y725" s="1"/>
      <c r="Z725" s="1"/>
    </row>
    <row r="726" spans="1:26" ht="39.75" customHeight="1">
      <c r="A726" s="1"/>
      <c r="B726" s="1"/>
      <c r="C726" s="1"/>
      <c r="D726" s="1"/>
      <c r="E726" s="1"/>
      <c r="F726" s="1"/>
      <c r="G726" s="1"/>
      <c r="H726" s="1"/>
      <c r="I726" s="1"/>
      <c r="J726" s="1"/>
      <c r="K726" s="1"/>
      <c r="L726" s="1"/>
      <c r="M726" s="1"/>
      <c r="N726" s="1"/>
      <c r="O726" s="1"/>
      <c r="P726" s="1"/>
      <c r="Q726" s="1"/>
      <c r="R726" s="1"/>
      <c r="S726" s="1"/>
      <c r="T726" s="1"/>
      <c r="U726" s="2"/>
      <c r="V726" s="1"/>
      <c r="W726" s="1"/>
      <c r="X726" s="1"/>
      <c r="Y726" s="1"/>
      <c r="Z726" s="1"/>
    </row>
    <row r="727" spans="1:26" ht="39.75" customHeight="1">
      <c r="A727" s="1"/>
      <c r="B727" s="1"/>
      <c r="C727" s="1"/>
      <c r="D727" s="1"/>
      <c r="E727" s="1"/>
      <c r="F727" s="1"/>
      <c r="G727" s="1"/>
      <c r="H727" s="1"/>
      <c r="I727" s="1"/>
      <c r="J727" s="1"/>
      <c r="K727" s="1"/>
      <c r="L727" s="1"/>
      <c r="M727" s="1"/>
      <c r="N727" s="1"/>
      <c r="O727" s="1"/>
      <c r="P727" s="1"/>
      <c r="Q727" s="1"/>
      <c r="R727" s="1"/>
      <c r="S727" s="1"/>
      <c r="T727" s="1"/>
      <c r="U727" s="2"/>
      <c r="V727" s="1"/>
      <c r="W727" s="1"/>
      <c r="X727" s="1"/>
      <c r="Y727" s="1"/>
      <c r="Z727" s="1"/>
    </row>
    <row r="728" spans="1:26" ht="39.75" customHeight="1">
      <c r="A728" s="1"/>
      <c r="B728" s="1"/>
      <c r="C728" s="1"/>
      <c r="D728" s="1"/>
      <c r="E728" s="1"/>
      <c r="F728" s="1"/>
      <c r="G728" s="1"/>
      <c r="H728" s="1"/>
      <c r="I728" s="1"/>
      <c r="J728" s="1"/>
      <c r="K728" s="1"/>
      <c r="L728" s="1"/>
      <c r="M728" s="1"/>
      <c r="N728" s="1"/>
      <c r="O728" s="1"/>
      <c r="P728" s="1"/>
      <c r="Q728" s="1"/>
      <c r="R728" s="1"/>
      <c r="S728" s="1"/>
      <c r="T728" s="1"/>
      <c r="U728" s="2"/>
      <c r="V728" s="1"/>
      <c r="W728" s="1"/>
      <c r="X728" s="1"/>
      <c r="Y728" s="1"/>
      <c r="Z728" s="1"/>
    </row>
    <row r="729" spans="1:26" ht="39.75" customHeight="1">
      <c r="A729" s="1"/>
      <c r="B729" s="1"/>
      <c r="C729" s="1"/>
      <c r="D729" s="1"/>
      <c r="E729" s="1"/>
      <c r="F729" s="1"/>
      <c r="G729" s="1"/>
      <c r="H729" s="1"/>
      <c r="I729" s="1"/>
      <c r="J729" s="1"/>
      <c r="K729" s="1"/>
      <c r="L729" s="1"/>
      <c r="M729" s="1"/>
      <c r="N729" s="1"/>
      <c r="O729" s="1"/>
      <c r="P729" s="1"/>
      <c r="Q729" s="1"/>
      <c r="R729" s="1"/>
      <c r="S729" s="1"/>
      <c r="T729" s="1"/>
      <c r="U729" s="2"/>
      <c r="V729" s="1"/>
      <c r="W729" s="1"/>
      <c r="X729" s="1"/>
      <c r="Y729" s="1"/>
      <c r="Z729" s="1"/>
    </row>
    <row r="730" spans="1:26" ht="39.75" customHeight="1">
      <c r="A730" s="1"/>
      <c r="B730" s="1"/>
      <c r="C730" s="1"/>
      <c r="D730" s="1"/>
      <c r="E730" s="1"/>
      <c r="F730" s="1"/>
      <c r="G730" s="1"/>
      <c r="H730" s="1"/>
      <c r="I730" s="1"/>
      <c r="J730" s="1"/>
      <c r="K730" s="1"/>
      <c r="L730" s="1"/>
      <c r="M730" s="1"/>
      <c r="N730" s="1"/>
      <c r="O730" s="1"/>
      <c r="P730" s="1"/>
      <c r="Q730" s="1"/>
      <c r="R730" s="1"/>
      <c r="S730" s="1"/>
      <c r="T730" s="1"/>
      <c r="U730" s="2"/>
      <c r="V730" s="1"/>
      <c r="W730" s="1"/>
      <c r="X730" s="1"/>
      <c r="Y730" s="1"/>
      <c r="Z730" s="1"/>
    </row>
    <row r="731" spans="1:26" ht="39.75" customHeight="1">
      <c r="A731" s="1"/>
      <c r="B731" s="1"/>
      <c r="C731" s="1"/>
      <c r="D731" s="1"/>
      <c r="E731" s="1"/>
      <c r="F731" s="1"/>
      <c r="G731" s="1"/>
      <c r="H731" s="1"/>
      <c r="I731" s="1"/>
      <c r="J731" s="1"/>
      <c r="K731" s="1"/>
      <c r="L731" s="1"/>
      <c r="M731" s="1"/>
      <c r="N731" s="1"/>
      <c r="O731" s="1"/>
      <c r="P731" s="1"/>
      <c r="Q731" s="1"/>
      <c r="R731" s="1"/>
      <c r="S731" s="1"/>
      <c r="T731" s="1"/>
      <c r="U731" s="2"/>
      <c r="V731" s="1"/>
      <c r="W731" s="1"/>
      <c r="X731" s="1"/>
      <c r="Y731" s="1"/>
      <c r="Z731" s="1"/>
    </row>
    <row r="732" spans="1:26" ht="39.75" customHeight="1">
      <c r="A732" s="1"/>
      <c r="B732" s="1"/>
      <c r="C732" s="1"/>
      <c r="D732" s="1"/>
      <c r="E732" s="1"/>
      <c r="F732" s="1"/>
      <c r="G732" s="1"/>
      <c r="H732" s="1"/>
      <c r="I732" s="1"/>
      <c r="J732" s="1"/>
      <c r="K732" s="1"/>
      <c r="L732" s="1"/>
      <c r="M732" s="1"/>
      <c r="N732" s="1"/>
      <c r="O732" s="1"/>
      <c r="P732" s="1"/>
      <c r="Q732" s="1"/>
      <c r="R732" s="1"/>
      <c r="S732" s="1"/>
      <c r="T732" s="1"/>
      <c r="U732" s="2"/>
      <c r="V732" s="1"/>
      <c r="W732" s="1"/>
      <c r="X732" s="1"/>
      <c r="Y732" s="1"/>
      <c r="Z732" s="1"/>
    </row>
    <row r="733" spans="1:26" ht="39.75" customHeight="1">
      <c r="A733" s="1"/>
      <c r="B733" s="1"/>
      <c r="C733" s="1"/>
      <c r="D733" s="1"/>
      <c r="E733" s="1"/>
      <c r="F733" s="1"/>
      <c r="G733" s="1"/>
      <c r="H733" s="1"/>
      <c r="I733" s="1"/>
      <c r="J733" s="1"/>
      <c r="K733" s="1"/>
      <c r="L733" s="1"/>
      <c r="M733" s="1"/>
      <c r="N733" s="1"/>
      <c r="O733" s="1"/>
      <c r="P733" s="1"/>
      <c r="Q733" s="1"/>
      <c r="R733" s="1"/>
      <c r="S733" s="1"/>
      <c r="T733" s="1"/>
      <c r="U733" s="2"/>
      <c r="V733" s="1"/>
      <c r="W733" s="1"/>
      <c r="X733" s="1"/>
      <c r="Y733" s="1"/>
      <c r="Z733" s="1"/>
    </row>
    <row r="734" spans="1:26" ht="39.75" customHeight="1">
      <c r="A734" s="1"/>
      <c r="B734" s="1"/>
      <c r="C734" s="1"/>
      <c r="D734" s="1"/>
      <c r="E734" s="1"/>
      <c r="F734" s="1"/>
      <c r="G734" s="1"/>
      <c r="H734" s="1"/>
      <c r="I734" s="1"/>
      <c r="J734" s="1"/>
      <c r="K734" s="1"/>
      <c r="L734" s="1"/>
      <c r="M734" s="1"/>
      <c r="N734" s="1"/>
      <c r="O734" s="1"/>
      <c r="P734" s="1"/>
      <c r="Q734" s="1"/>
      <c r="R734" s="1"/>
      <c r="S734" s="1"/>
      <c r="T734" s="1"/>
      <c r="U734" s="2"/>
      <c r="V734" s="1"/>
      <c r="W734" s="1"/>
      <c r="X734" s="1"/>
      <c r="Y734" s="1"/>
      <c r="Z734" s="1"/>
    </row>
    <row r="735" spans="1:26" ht="39.75" customHeight="1">
      <c r="A735" s="1"/>
      <c r="B735" s="1"/>
      <c r="C735" s="1"/>
      <c r="D735" s="1"/>
      <c r="E735" s="1"/>
      <c r="F735" s="1"/>
      <c r="G735" s="1"/>
      <c r="H735" s="1"/>
      <c r="I735" s="1"/>
      <c r="J735" s="1"/>
      <c r="K735" s="1"/>
      <c r="L735" s="1"/>
      <c r="M735" s="1"/>
      <c r="N735" s="1"/>
      <c r="O735" s="1"/>
      <c r="P735" s="1"/>
      <c r="Q735" s="1"/>
      <c r="R735" s="1"/>
      <c r="S735" s="1"/>
      <c r="T735" s="1"/>
      <c r="U735" s="2"/>
      <c r="V735" s="1"/>
      <c r="W735" s="1"/>
      <c r="X735" s="1"/>
      <c r="Y735" s="1"/>
      <c r="Z735" s="1"/>
    </row>
    <row r="736" spans="1:26" ht="39.75" customHeight="1">
      <c r="A736" s="1"/>
      <c r="B736" s="1"/>
      <c r="C736" s="1"/>
      <c r="D736" s="1"/>
      <c r="E736" s="1"/>
      <c r="F736" s="1"/>
      <c r="G736" s="1"/>
      <c r="H736" s="1"/>
      <c r="I736" s="1"/>
      <c r="J736" s="1"/>
      <c r="K736" s="1"/>
      <c r="L736" s="1"/>
      <c r="M736" s="1"/>
      <c r="N736" s="1"/>
      <c r="O736" s="1"/>
      <c r="P736" s="1"/>
      <c r="Q736" s="1"/>
      <c r="R736" s="1"/>
      <c r="S736" s="1"/>
      <c r="T736" s="1"/>
      <c r="U736" s="2"/>
      <c r="V736" s="1"/>
      <c r="W736" s="1"/>
      <c r="X736" s="1"/>
      <c r="Y736" s="1"/>
      <c r="Z736" s="1"/>
    </row>
    <row r="737" spans="1:26" ht="39.75" customHeight="1">
      <c r="A737" s="1"/>
      <c r="B737" s="1"/>
      <c r="C737" s="1"/>
      <c r="D737" s="1"/>
      <c r="E737" s="1"/>
      <c r="F737" s="1"/>
      <c r="G737" s="1"/>
      <c r="H737" s="1"/>
      <c r="I737" s="1"/>
      <c r="J737" s="1"/>
      <c r="K737" s="1"/>
      <c r="L737" s="1"/>
      <c r="M737" s="1"/>
      <c r="N737" s="1"/>
      <c r="O737" s="1"/>
      <c r="P737" s="1"/>
      <c r="Q737" s="1"/>
      <c r="R737" s="1"/>
      <c r="S737" s="1"/>
      <c r="T737" s="1"/>
      <c r="U737" s="2"/>
      <c r="V737" s="1"/>
      <c r="W737" s="1"/>
      <c r="X737" s="1"/>
      <c r="Y737" s="1"/>
      <c r="Z737" s="1"/>
    </row>
    <row r="738" spans="1:26" ht="39.75" customHeight="1">
      <c r="A738" s="1"/>
      <c r="B738" s="1"/>
      <c r="C738" s="1"/>
      <c r="D738" s="1"/>
      <c r="E738" s="1"/>
      <c r="F738" s="1"/>
      <c r="G738" s="1"/>
      <c r="H738" s="1"/>
      <c r="I738" s="1"/>
      <c r="J738" s="1"/>
      <c r="K738" s="1"/>
      <c r="L738" s="1"/>
      <c r="M738" s="1"/>
      <c r="N738" s="1"/>
      <c r="O738" s="1"/>
      <c r="P738" s="1"/>
      <c r="Q738" s="1"/>
      <c r="R738" s="1"/>
      <c r="S738" s="1"/>
      <c r="T738" s="1"/>
      <c r="U738" s="2"/>
      <c r="V738" s="1"/>
      <c r="W738" s="1"/>
      <c r="X738" s="1"/>
      <c r="Y738" s="1"/>
      <c r="Z738" s="1"/>
    </row>
    <row r="739" spans="1:26" ht="39.75" customHeight="1">
      <c r="A739" s="1"/>
      <c r="B739" s="1"/>
      <c r="C739" s="1"/>
      <c r="D739" s="1"/>
      <c r="E739" s="1"/>
      <c r="F739" s="1"/>
      <c r="G739" s="1"/>
      <c r="H739" s="1"/>
      <c r="I739" s="1"/>
      <c r="J739" s="1"/>
      <c r="K739" s="1"/>
      <c r="L739" s="1"/>
      <c r="M739" s="1"/>
      <c r="N739" s="1"/>
      <c r="O739" s="1"/>
      <c r="P739" s="1"/>
      <c r="Q739" s="1"/>
      <c r="R739" s="1"/>
      <c r="S739" s="1"/>
      <c r="T739" s="1"/>
      <c r="U739" s="2"/>
      <c r="V739" s="1"/>
      <c r="W739" s="1"/>
      <c r="X739" s="1"/>
      <c r="Y739" s="1"/>
      <c r="Z739" s="1"/>
    </row>
    <row r="740" spans="1:26" ht="39.75" customHeight="1">
      <c r="A740" s="1"/>
      <c r="B740" s="1"/>
      <c r="C740" s="1"/>
      <c r="D740" s="1"/>
      <c r="E740" s="1"/>
      <c r="F740" s="1"/>
      <c r="G740" s="1"/>
      <c r="H740" s="1"/>
      <c r="I740" s="1"/>
      <c r="J740" s="1"/>
      <c r="K740" s="1"/>
      <c r="L740" s="1"/>
      <c r="M740" s="1"/>
      <c r="N740" s="1"/>
      <c r="O740" s="1"/>
      <c r="P740" s="1"/>
      <c r="Q740" s="1"/>
      <c r="R740" s="1"/>
      <c r="S740" s="1"/>
      <c r="T740" s="1"/>
      <c r="U740" s="2"/>
      <c r="V740" s="1"/>
      <c r="W740" s="1"/>
      <c r="X740" s="1"/>
      <c r="Y740" s="1"/>
      <c r="Z740" s="1"/>
    </row>
    <row r="741" spans="1:26" ht="39.75" customHeight="1">
      <c r="A741" s="1"/>
      <c r="B741" s="1"/>
      <c r="C741" s="1"/>
      <c r="D741" s="1"/>
      <c r="E741" s="1"/>
      <c r="F741" s="1"/>
      <c r="G741" s="1"/>
      <c r="H741" s="1"/>
      <c r="I741" s="1"/>
      <c r="J741" s="1"/>
      <c r="K741" s="1"/>
      <c r="L741" s="1"/>
      <c r="M741" s="1"/>
      <c r="N741" s="1"/>
      <c r="O741" s="1"/>
      <c r="P741" s="1"/>
      <c r="Q741" s="1"/>
      <c r="R741" s="1"/>
      <c r="S741" s="1"/>
      <c r="T741" s="1"/>
      <c r="U741" s="2"/>
      <c r="V741" s="1"/>
      <c r="W741" s="1"/>
      <c r="X741" s="1"/>
      <c r="Y741" s="1"/>
      <c r="Z741" s="1"/>
    </row>
    <row r="742" spans="1:26" ht="39.75" customHeight="1">
      <c r="A742" s="1"/>
      <c r="B742" s="1"/>
      <c r="C742" s="1"/>
      <c r="D742" s="1"/>
      <c r="E742" s="1"/>
      <c r="F742" s="1"/>
      <c r="G742" s="1"/>
      <c r="H742" s="1"/>
      <c r="I742" s="1"/>
      <c r="J742" s="1"/>
      <c r="K742" s="1"/>
      <c r="L742" s="1"/>
      <c r="M742" s="1"/>
      <c r="N742" s="1"/>
      <c r="O742" s="1"/>
      <c r="P742" s="1"/>
      <c r="Q742" s="1"/>
      <c r="R742" s="1"/>
      <c r="S742" s="1"/>
      <c r="T742" s="1"/>
      <c r="U742" s="2"/>
      <c r="V742" s="1"/>
      <c r="W742" s="1"/>
      <c r="X742" s="1"/>
      <c r="Y742" s="1"/>
      <c r="Z742" s="1"/>
    </row>
    <row r="743" spans="1:26" ht="39.75" customHeight="1">
      <c r="A743" s="1"/>
      <c r="B743" s="1"/>
      <c r="C743" s="1"/>
      <c r="D743" s="1"/>
      <c r="E743" s="1"/>
      <c r="F743" s="1"/>
      <c r="G743" s="1"/>
      <c r="H743" s="1"/>
      <c r="I743" s="1"/>
      <c r="J743" s="1"/>
      <c r="K743" s="1"/>
      <c r="L743" s="1"/>
      <c r="M743" s="1"/>
      <c r="N743" s="1"/>
      <c r="O743" s="1"/>
      <c r="P743" s="1"/>
      <c r="Q743" s="1"/>
      <c r="R743" s="1"/>
      <c r="S743" s="1"/>
      <c r="T743" s="1"/>
      <c r="U743" s="2"/>
      <c r="V743" s="1"/>
      <c r="W743" s="1"/>
      <c r="X743" s="1"/>
      <c r="Y743" s="1"/>
      <c r="Z743" s="1"/>
    </row>
    <row r="744" spans="1:26" ht="39.75" customHeight="1">
      <c r="A744" s="1"/>
      <c r="B744" s="1"/>
      <c r="C744" s="1"/>
      <c r="D744" s="1"/>
      <c r="E744" s="1"/>
      <c r="F744" s="1"/>
      <c r="G744" s="1"/>
      <c r="H744" s="1"/>
      <c r="I744" s="1"/>
      <c r="J744" s="1"/>
      <c r="K744" s="1"/>
      <c r="L744" s="1"/>
      <c r="M744" s="1"/>
      <c r="N744" s="1"/>
      <c r="O744" s="1"/>
      <c r="P744" s="1"/>
      <c r="Q744" s="1"/>
      <c r="R744" s="1"/>
      <c r="S744" s="1"/>
      <c r="T744" s="1"/>
      <c r="U744" s="2"/>
      <c r="V744" s="1"/>
      <c r="W744" s="1"/>
      <c r="X744" s="1"/>
      <c r="Y744" s="1"/>
      <c r="Z744" s="1"/>
    </row>
    <row r="745" spans="1:26" ht="39.75" customHeight="1">
      <c r="A745" s="1"/>
      <c r="B745" s="1"/>
      <c r="C745" s="1"/>
      <c r="D745" s="1"/>
      <c r="E745" s="1"/>
      <c r="F745" s="1"/>
      <c r="G745" s="1"/>
      <c r="H745" s="1"/>
      <c r="I745" s="1"/>
      <c r="J745" s="1"/>
      <c r="K745" s="1"/>
      <c r="L745" s="1"/>
      <c r="M745" s="1"/>
      <c r="N745" s="1"/>
      <c r="O745" s="1"/>
      <c r="P745" s="1"/>
      <c r="Q745" s="1"/>
      <c r="R745" s="1"/>
      <c r="S745" s="1"/>
      <c r="T745" s="1"/>
      <c r="U745" s="2"/>
      <c r="V745" s="1"/>
      <c r="W745" s="1"/>
      <c r="X745" s="1"/>
      <c r="Y745" s="1"/>
      <c r="Z745" s="1"/>
    </row>
    <row r="746" spans="1:26" ht="39.75" customHeight="1">
      <c r="A746" s="1"/>
      <c r="B746" s="1"/>
      <c r="C746" s="1"/>
      <c r="D746" s="1"/>
      <c r="E746" s="1"/>
      <c r="F746" s="1"/>
      <c r="G746" s="1"/>
      <c r="H746" s="1"/>
      <c r="I746" s="1"/>
      <c r="J746" s="1"/>
      <c r="K746" s="1"/>
      <c r="L746" s="1"/>
      <c r="M746" s="1"/>
      <c r="N746" s="1"/>
      <c r="O746" s="1"/>
      <c r="P746" s="1"/>
      <c r="Q746" s="1"/>
      <c r="R746" s="1"/>
      <c r="S746" s="1"/>
      <c r="T746" s="1"/>
      <c r="U746" s="2"/>
      <c r="V746" s="1"/>
      <c r="W746" s="1"/>
      <c r="X746" s="1"/>
      <c r="Y746" s="1"/>
      <c r="Z746" s="1"/>
    </row>
    <row r="747" spans="1:26" ht="39.75" customHeight="1">
      <c r="A747" s="1"/>
      <c r="B747" s="1"/>
      <c r="C747" s="1"/>
      <c r="D747" s="1"/>
      <c r="E747" s="1"/>
      <c r="F747" s="1"/>
      <c r="G747" s="1"/>
      <c r="H747" s="1"/>
      <c r="I747" s="1"/>
      <c r="J747" s="1"/>
      <c r="K747" s="1"/>
      <c r="L747" s="1"/>
      <c r="M747" s="1"/>
      <c r="N747" s="1"/>
      <c r="O747" s="1"/>
      <c r="P747" s="1"/>
      <c r="Q747" s="1"/>
      <c r="R747" s="1"/>
      <c r="S747" s="1"/>
      <c r="T747" s="1"/>
      <c r="U747" s="2"/>
      <c r="V747" s="1"/>
      <c r="W747" s="1"/>
      <c r="X747" s="1"/>
      <c r="Y747" s="1"/>
      <c r="Z747" s="1"/>
    </row>
    <row r="748" spans="1:26" ht="39.75" customHeight="1">
      <c r="A748" s="1"/>
      <c r="B748" s="1"/>
      <c r="C748" s="1"/>
      <c r="D748" s="1"/>
      <c r="E748" s="1"/>
      <c r="F748" s="1"/>
      <c r="G748" s="1"/>
      <c r="H748" s="1"/>
      <c r="I748" s="1"/>
      <c r="J748" s="1"/>
      <c r="K748" s="1"/>
      <c r="L748" s="1"/>
      <c r="M748" s="1"/>
      <c r="N748" s="1"/>
      <c r="O748" s="1"/>
      <c r="P748" s="1"/>
      <c r="Q748" s="1"/>
      <c r="R748" s="1"/>
      <c r="S748" s="1"/>
      <c r="T748" s="1"/>
      <c r="U748" s="2"/>
      <c r="V748" s="1"/>
      <c r="W748" s="1"/>
      <c r="X748" s="1"/>
      <c r="Y748" s="1"/>
      <c r="Z748" s="1"/>
    </row>
    <row r="749" spans="1:26" ht="39.75" customHeight="1">
      <c r="A749" s="1"/>
      <c r="B749" s="1"/>
      <c r="C749" s="1"/>
      <c r="D749" s="1"/>
      <c r="E749" s="1"/>
      <c r="F749" s="1"/>
      <c r="G749" s="1"/>
      <c r="H749" s="1"/>
      <c r="I749" s="1"/>
      <c r="J749" s="1"/>
      <c r="K749" s="1"/>
      <c r="L749" s="1"/>
      <c r="M749" s="1"/>
      <c r="N749" s="1"/>
      <c r="O749" s="1"/>
      <c r="P749" s="1"/>
      <c r="Q749" s="1"/>
      <c r="R749" s="1"/>
      <c r="S749" s="1"/>
      <c r="T749" s="1"/>
      <c r="U749" s="2"/>
      <c r="V749" s="1"/>
      <c r="W749" s="1"/>
      <c r="X749" s="1"/>
      <c r="Y749" s="1"/>
      <c r="Z749" s="1"/>
    </row>
    <row r="750" spans="1:26" ht="39.75" customHeight="1">
      <c r="A750" s="1"/>
      <c r="B750" s="1"/>
      <c r="C750" s="1"/>
      <c r="D750" s="1"/>
      <c r="E750" s="1"/>
      <c r="F750" s="1"/>
      <c r="G750" s="1"/>
      <c r="H750" s="1"/>
      <c r="I750" s="1"/>
      <c r="J750" s="1"/>
      <c r="K750" s="1"/>
      <c r="L750" s="1"/>
      <c r="M750" s="1"/>
      <c r="N750" s="1"/>
      <c r="O750" s="1"/>
      <c r="P750" s="1"/>
      <c r="Q750" s="1"/>
      <c r="R750" s="1"/>
      <c r="S750" s="1"/>
      <c r="T750" s="1"/>
      <c r="U750" s="2"/>
      <c r="V750" s="1"/>
      <c r="W750" s="1"/>
      <c r="X750" s="1"/>
      <c r="Y750" s="1"/>
      <c r="Z750" s="1"/>
    </row>
    <row r="751" spans="1:26" ht="39.75" customHeight="1">
      <c r="A751" s="1"/>
      <c r="B751" s="1"/>
      <c r="C751" s="1"/>
      <c r="D751" s="1"/>
      <c r="E751" s="1"/>
      <c r="F751" s="1"/>
      <c r="G751" s="1"/>
      <c r="H751" s="1"/>
      <c r="I751" s="1"/>
      <c r="J751" s="1"/>
      <c r="K751" s="1"/>
      <c r="L751" s="1"/>
      <c r="M751" s="1"/>
      <c r="N751" s="1"/>
      <c r="O751" s="1"/>
      <c r="P751" s="1"/>
      <c r="Q751" s="1"/>
      <c r="R751" s="1"/>
      <c r="S751" s="1"/>
      <c r="T751" s="1"/>
      <c r="U751" s="2"/>
      <c r="V751" s="1"/>
      <c r="W751" s="1"/>
      <c r="X751" s="1"/>
      <c r="Y751" s="1"/>
      <c r="Z751" s="1"/>
    </row>
    <row r="752" spans="1:26" ht="39.75" customHeight="1">
      <c r="A752" s="1"/>
      <c r="B752" s="1"/>
      <c r="C752" s="1"/>
      <c r="D752" s="1"/>
      <c r="E752" s="1"/>
      <c r="F752" s="1"/>
      <c r="G752" s="1"/>
      <c r="H752" s="1"/>
      <c r="I752" s="1"/>
      <c r="J752" s="1"/>
      <c r="K752" s="1"/>
      <c r="L752" s="1"/>
      <c r="M752" s="1"/>
      <c r="N752" s="1"/>
      <c r="O752" s="1"/>
      <c r="P752" s="1"/>
      <c r="Q752" s="1"/>
      <c r="R752" s="1"/>
      <c r="S752" s="1"/>
      <c r="T752" s="1"/>
      <c r="U752" s="2"/>
      <c r="V752" s="1"/>
      <c r="W752" s="1"/>
      <c r="X752" s="1"/>
      <c r="Y752" s="1"/>
      <c r="Z752" s="1"/>
    </row>
    <row r="753" spans="1:26" ht="39.75" customHeight="1">
      <c r="A753" s="1"/>
      <c r="B753" s="1"/>
      <c r="C753" s="1"/>
      <c r="D753" s="1"/>
      <c r="E753" s="1"/>
      <c r="F753" s="1"/>
      <c r="G753" s="1"/>
      <c r="H753" s="1"/>
      <c r="I753" s="1"/>
      <c r="J753" s="1"/>
      <c r="K753" s="1"/>
      <c r="L753" s="1"/>
      <c r="M753" s="1"/>
      <c r="N753" s="1"/>
      <c r="O753" s="1"/>
      <c r="P753" s="1"/>
      <c r="Q753" s="1"/>
      <c r="R753" s="1"/>
      <c r="S753" s="1"/>
      <c r="T753" s="1"/>
      <c r="U753" s="2"/>
      <c r="V753" s="1"/>
      <c r="W753" s="1"/>
      <c r="X753" s="1"/>
      <c r="Y753" s="1"/>
      <c r="Z753" s="1"/>
    </row>
    <row r="754" spans="1:26" ht="39.75" customHeight="1">
      <c r="A754" s="1"/>
      <c r="B754" s="1"/>
      <c r="C754" s="1"/>
      <c r="D754" s="1"/>
      <c r="E754" s="1"/>
      <c r="F754" s="1"/>
      <c r="G754" s="1"/>
      <c r="H754" s="1"/>
      <c r="I754" s="1"/>
      <c r="J754" s="1"/>
      <c r="K754" s="1"/>
      <c r="L754" s="1"/>
      <c r="M754" s="1"/>
      <c r="N754" s="1"/>
      <c r="O754" s="1"/>
      <c r="P754" s="1"/>
      <c r="Q754" s="1"/>
      <c r="R754" s="1"/>
      <c r="S754" s="1"/>
      <c r="T754" s="1"/>
      <c r="U754" s="2"/>
      <c r="V754" s="1"/>
      <c r="W754" s="1"/>
      <c r="X754" s="1"/>
      <c r="Y754" s="1"/>
      <c r="Z754" s="1"/>
    </row>
    <row r="755" spans="1:26" ht="39.75" customHeight="1">
      <c r="A755" s="1"/>
      <c r="B755" s="1"/>
      <c r="C755" s="1"/>
      <c r="D755" s="1"/>
      <c r="E755" s="1"/>
      <c r="F755" s="1"/>
      <c r="G755" s="1"/>
      <c r="H755" s="1"/>
      <c r="I755" s="1"/>
      <c r="J755" s="1"/>
      <c r="K755" s="1"/>
      <c r="L755" s="1"/>
      <c r="M755" s="1"/>
      <c r="N755" s="1"/>
      <c r="O755" s="1"/>
      <c r="P755" s="1"/>
      <c r="Q755" s="1"/>
      <c r="R755" s="1"/>
      <c r="S755" s="1"/>
      <c r="T755" s="1"/>
      <c r="U755" s="2"/>
      <c r="V755" s="1"/>
      <c r="W755" s="1"/>
      <c r="X755" s="1"/>
      <c r="Y755" s="1"/>
      <c r="Z755" s="1"/>
    </row>
    <row r="756" spans="1:26" ht="39.75" customHeight="1">
      <c r="A756" s="1"/>
      <c r="B756" s="1"/>
      <c r="C756" s="1"/>
      <c r="D756" s="1"/>
      <c r="E756" s="1"/>
      <c r="F756" s="1"/>
      <c r="G756" s="1"/>
      <c r="H756" s="1"/>
      <c r="I756" s="1"/>
      <c r="J756" s="1"/>
      <c r="K756" s="1"/>
      <c r="L756" s="1"/>
      <c r="M756" s="1"/>
      <c r="N756" s="1"/>
      <c r="O756" s="1"/>
      <c r="P756" s="1"/>
      <c r="Q756" s="1"/>
      <c r="R756" s="1"/>
      <c r="S756" s="1"/>
      <c r="T756" s="1"/>
      <c r="U756" s="2"/>
      <c r="V756" s="1"/>
      <c r="W756" s="1"/>
      <c r="X756" s="1"/>
      <c r="Y756" s="1"/>
      <c r="Z756" s="1"/>
    </row>
    <row r="757" spans="1:26" ht="39.75" customHeight="1">
      <c r="A757" s="1"/>
      <c r="B757" s="1"/>
      <c r="C757" s="1"/>
      <c r="D757" s="1"/>
      <c r="E757" s="1"/>
      <c r="F757" s="1"/>
      <c r="G757" s="1"/>
      <c r="H757" s="1"/>
      <c r="I757" s="1"/>
      <c r="J757" s="1"/>
      <c r="K757" s="1"/>
      <c r="L757" s="1"/>
      <c r="M757" s="1"/>
      <c r="N757" s="1"/>
      <c r="O757" s="1"/>
      <c r="P757" s="1"/>
      <c r="Q757" s="1"/>
      <c r="R757" s="1"/>
      <c r="S757" s="1"/>
      <c r="T757" s="1"/>
      <c r="U757" s="2"/>
      <c r="V757" s="1"/>
      <c r="W757" s="1"/>
      <c r="X757" s="1"/>
      <c r="Y757" s="1"/>
      <c r="Z757" s="1"/>
    </row>
    <row r="758" spans="1:26" ht="39.75" customHeight="1">
      <c r="A758" s="1"/>
      <c r="B758" s="1"/>
      <c r="C758" s="1"/>
      <c r="D758" s="1"/>
      <c r="E758" s="1"/>
      <c r="F758" s="1"/>
      <c r="G758" s="1"/>
      <c r="H758" s="1"/>
      <c r="I758" s="1"/>
      <c r="J758" s="1"/>
      <c r="K758" s="1"/>
      <c r="L758" s="1"/>
      <c r="M758" s="1"/>
      <c r="N758" s="1"/>
      <c r="O758" s="1"/>
      <c r="P758" s="1"/>
      <c r="Q758" s="1"/>
      <c r="R758" s="1"/>
      <c r="S758" s="1"/>
      <c r="T758" s="1"/>
      <c r="U758" s="2"/>
      <c r="V758" s="1"/>
      <c r="W758" s="1"/>
      <c r="X758" s="1"/>
      <c r="Y758" s="1"/>
      <c r="Z758" s="1"/>
    </row>
    <row r="759" spans="1:26" ht="39.75" customHeight="1">
      <c r="A759" s="1"/>
      <c r="B759" s="1"/>
      <c r="C759" s="1"/>
      <c r="D759" s="1"/>
      <c r="E759" s="1"/>
      <c r="F759" s="1"/>
      <c r="G759" s="1"/>
      <c r="H759" s="1"/>
      <c r="I759" s="1"/>
      <c r="J759" s="1"/>
      <c r="K759" s="1"/>
      <c r="L759" s="1"/>
      <c r="M759" s="1"/>
      <c r="N759" s="1"/>
      <c r="O759" s="1"/>
      <c r="P759" s="1"/>
      <c r="Q759" s="1"/>
      <c r="R759" s="1"/>
      <c r="S759" s="1"/>
      <c r="T759" s="1"/>
      <c r="U759" s="2"/>
      <c r="V759" s="1"/>
      <c r="W759" s="1"/>
      <c r="X759" s="1"/>
      <c r="Y759" s="1"/>
      <c r="Z759" s="1"/>
    </row>
    <row r="760" spans="1:26" ht="39.75" customHeight="1">
      <c r="A760" s="1"/>
      <c r="B760" s="1"/>
      <c r="C760" s="1"/>
      <c r="D760" s="1"/>
      <c r="E760" s="1"/>
      <c r="F760" s="1"/>
      <c r="G760" s="1"/>
      <c r="H760" s="1"/>
      <c r="I760" s="1"/>
      <c r="J760" s="1"/>
      <c r="K760" s="1"/>
      <c r="L760" s="1"/>
      <c r="M760" s="1"/>
      <c r="N760" s="1"/>
      <c r="O760" s="1"/>
      <c r="P760" s="1"/>
      <c r="Q760" s="1"/>
      <c r="R760" s="1"/>
      <c r="S760" s="1"/>
      <c r="T760" s="1"/>
      <c r="U760" s="2"/>
      <c r="V760" s="1"/>
      <c r="W760" s="1"/>
      <c r="X760" s="1"/>
      <c r="Y760" s="1"/>
      <c r="Z760" s="1"/>
    </row>
    <row r="761" spans="1:26" ht="39.75" customHeight="1">
      <c r="A761" s="1"/>
      <c r="B761" s="1"/>
      <c r="C761" s="1"/>
      <c r="D761" s="1"/>
      <c r="E761" s="1"/>
      <c r="F761" s="1"/>
      <c r="G761" s="1"/>
      <c r="H761" s="1"/>
      <c r="I761" s="1"/>
      <c r="J761" s="1"/>
      <c r="K761" s="1"/>
      <c r="L761" s="1"/>
      <c r="M761" s="1"/>
      <c r="N761" s="1"/>
      <c r="O761" s="1"/>
      <c r="P761" s="1"/>
      <c r="Q761" s="1"/>
      <c r="R761" s="1"/>
      <c r="S761" s="1"/>
      <c r="T761" s="1"/>
      <c r="U761" s="2"/>
      <c r="V761" s="1"/>
      <c r="W761" s="1"/>
      <c r="X761" s="1"/>
      <c r="Y761" s="1"/>
      <c r="Z761" s="1"/>
    </row>
    <row r="762" spans="1:26" ht="39.75" customHeight="1">
      <c r="A762" s="1"/>
      <c r="B762" s="1"/>
      <c r="C762" s="1"/>
      <c r="D762" s="1"/>
      <c r="E762" s="1"/>
      <c r="F762" s="1"/>
      <c r="G762" s="1"/>
      <c r="H762" s="1"/>
      <c r="I762" s="1"/>
      <c r="J762" s="1"/>
      <c r="K762" s="1"/>
      <c r="L762" s="1"/>
      <c r="M762" s="1"/>
      <c r="N762" s="1"/>
      <c r="O762" s="1"/>
      <c r="P762" s="1"/>
      <c r="Q762" s="1"/>
      <c r="R762" s="1"/>
      <c r="S762" s="1"/>
      <c r="T762" s="1"/>
      <c r="U762" s="2"/>
      <c r="V762" s="1"/>
      <c r="W762" s="1"/>
      <c r="X762" s="1"/>
      <c r="Y762" s="1"/>
      <c r="Z762" s="1"/>
    </row>
    <row r="763" spans="1:26" ht="39.75" customHeight="1">
      <c r="A763" s="1"/>
      <c r="B763" s="1"/>
      <c r="C763" s="1"/>
      <c r="D763" s="1"/>
      <c r="E763" s="1"/>
      <c r="F763" s="1"/>
      <c r="G763" s="1"/>
      <c r="H763" s="1"/>
      <c r="I763" s="1"/>
      <c r="J763" s="1"/>
      <c r="K763" s="1"/>
      <c r="L763" s="1"/>
      <c r="M763" s="1"/>
      <c r="N763" s="1"/>
      <c r="O763" s="1"/>
      <c r="P763" s="1"/>
      <c r="Q763" s="1"/>
      <c r="R763" s="1"/>
      <c r="S763" s="1"/>
      <c r="T763" s="1"/>
      <c r="U763" s="2"/>
      <c r="V763" s="1"/>
      <c r="W763" s="1"/>
      <c r="X763" s="1"/>
      <c r="Y763" s="1"/>
      <c r="Z763" s="1"/>
    </row>
    <row r="764" spans="1:26" ht="39.75" customHeight="1">
      <c r="A764" s="1"/>
      <c r="B764" s="1"/>
      <c r="C764" s="1"/>
      <c r="D764" s="1"/>
      <c r="E764" s="1"/>
      <c r="F764" s="1"/>
      <c r="G764" s="1"/>
      <c r="H764" s="1"/>
      <c r="I764" s="1"/>
      <c r="J764" s="1"/>
      <c r="K764" s="1"/>
      <c r="L764" s="1"/>
      <c r="M764" s="1"/>
      <c r="N764" s="1"/>
      <c r="O764" s="1"/>
      <c r="P764" s="1"/>
      <c r="Q764" s="1"/>
      <c r="R764" s="1"/>
      <c r="S764" s="1"/>
      <c r="T764" s="1"/>
      <c r="U764" s="2"/>
      <c r="V764" s="1"/>
      <c r="W764" s="1"/>
      <c r="X764" s="1"/>
      <c r="Y764" s="1"/>
      <c r="Z764" s="1"/>
    </row>
    <row r="765" spans="1:26" ht="39.75" customHeight="1">
      <c r="A765" s="1"/>
      <c r="B765" s="1"/>
      <c r="C765" s="1"/>
      <c r="D765" s="1"/>
      <c r="E765" s="1"/>
      <c r="F765" s="1"/>
      <c r="G765" s="1"/>
      <c r="H765" s="1"/>
      <c r="I765" s="1"/>
      <c r="J765" s="1"/>
      <c r="K765" s="1"/>
      <c r="L765" s="1"/>
      <c r="M765" s="1"/>
      <c r="N765" s="1"/>
      <c r="O765" s="1"/>
      <c r="P765" s="1"/>
      <c r="Q765" s="1"/>
      <c r="R765" s="1"/>
      <c r="S765" s="1"/>
      <c r="T765" s="1"/>
      <c r="U765" s="2"/>
      <c r="V765" s="1"/>
      <c r="W765" s="1"/>
      <c r="X765" s="1"/>
      <c r="Y765" s="1"/>
      <c r="Z765" s="1"/>
    </row>
    <row r="766" spans="1:26" ht="39.75" customHeight="1">
      <c r="A766" s="1"/>
      <c r="B766" s="1"/>
      <c r="C766" s="1"/>
      <c r="D766" s="1"/>
      <c r="E766" s="1"/>
      <c r="F766" s="1"/>
      <c r="G766" s="1"/>
      <c r="H766" s="1"/>
      <c r="I766" s="1"/>
      <c r="J766" s="1"/>
      <c r="K766" s="1"/>
      <c r="L766" s="1"/>
      <c r="M766" s="1"/>
      <c r="N766" s="1"/>
      <c r="O766" s="1"/>
      <c r="P766" s="1"/>
      <c r="Q766" s="1"/>
      <c r="R766" s="1"/>
      <c r="S766" s="1"/>
      <c r="T766" s="1"/>
      <c r="U766" s="2"/>
      <c r="V766" s="1"/>
      <c r="W766" s="1"/>
      <c r="X766" s="1"/>
      <c r="Y766" s="1"/>
      <c r="Z766" s="1"/>
    </row>
    <row r="767" spans="1:26" ht="39.75" customHeight="1">
      <c r="A767" s="1"/>
      <c r="B767" s="1"/>
      <c r="C767" s="1"/>
      <c r="D767" s="1"/>
      <c r="E767" s="1"/>
      <c r="F767" s="1"/>
      <c r="G767" s="1"/>
      <c r="H767" s="1"/>
      <c r="I767" s="1"/>
      <c r="J767" s="1"/>
      <c r="K767" s="1"/>
      <c r="L767" s="1"/>
      <c r="M767" s="1"/>
      <c r="N767" s="1"/>
      <c r="O767" s="1"/>
      <c r="P767" s="1"/>
      <c r="Q767" s="1"/>
      <c r="R767" s="1"/>
      <c r="S767" s="1"/>
      <c r="T767" s="1"/>
      <c r="U767" s="2"/>
      <c r="V767" s="1"/>
      <c r="W767" s="1"/>
      <c r="X767" s="1"/>
      <c r="Y767" s="1"/>
      <c r="Z767" s="1"/>
    </row>
    <row r="768" spans="1:26" ht="39.75" customHeight="1">
      <c r="A768" s="1"/>
      <c r="B768" s="1"/>
      <c r="C768" s="1"/>
      <c r="D768" s="1"/>
      <c r="E768" s="1"/>
      <c r="F768" s="1"/>
      <c r="G768" s="1"/>
      <c r="H768" s="1"/>
      <c r="I768" s="1"/>
      <c r="J768" s="1"/>
      <c r="K768" s="1"/>
      <c r="L768" s="1"/>
      <c r="M768" s="1"/>
      <c r="N768" s="1"/>
      <c r="O768" s="1"/>
      <c r="P768" s="1"/>
      <c r="Q768" s="1"/>
      <c r="R768" s="1"/>
      <c r="S768" s="1"/>
      <c r="T768" s="1"/>
      <c r="U768" s="2"/>
      <c r="V768" s="1"/>
      <c r="W768" s="1"/>
      <c r="X768" s="1"/>
      <c r="Y768" s="1"/>
      <c r="Z768" s="1"/>
    </row>
    <row r="769" spans="1:26" ht="39.75" customHeight="1">
      <c r="A769" s="1"/>
      <c r="B769" s="1"/>
      <c r="C769" s="1"/>
      <c r="D769" s="1"/>
      <c r="E769" s="1"/>
      <c r="F769" s="1"/>
      <c r="G769" s="1"/>
      <c r="H769" s="1"/>
      <c r="I769" s="1"/>
      <c r="J769" s="1"/>
      <c r="K769" s="1"/>
      <c r="L769" s="1"/>
      <c r="M769" s="1"/>
      <c r="N769" s="1"/>
      <c r="O769" s="1"/>
      <c r="P769" s="1"/>
      <c r="Q769" s="1"/>
      <c r="R769" s="1"/>
      <c r="S769" s="1"/>
      <c r="T769" s="1"/>
      <c r="U769" s="2"/>
      <c r="V769" s="1"/>
      <c r="W769" s="1"/>
      <c r="X769" s="1"/>
      <c r="Y769" s="1"/>
      <c r="Z769" s="1"/>
    </row>
    <row r="770" spans="1:26" ht="39.75" customHeight="1">
      <c r="A770" s="1"/>
      <c r="B770" s="1"/>
      <c r="C770" s="1"/>
      <c r="D770" s="1"/>
      <c r="E770" s="1"/>
      <c r="F770" s="1"/>
      <c r="G770" s="1"/>
      <c r="H770" s="1"/>
      <c r="I770" s="1"/>
      <c r="J770" s="1"/>
      <c r="K770" s="1"/>
      <c r="L770" s="1"/>
      <c r="M770" s="1"/>
      <c r="N770" s="1"/>
      <c r="O770" s="1"/>
      <c r="P770" s="1"/>
      <c r="Q770" s="1"/>
      <c r="R770" s="1"/>
      <c r="S770" s="1"/>
      <c r="T770" s="1"/>
      <c r="U770" s="2"/>
      <c r="V770" s="1"/>
      <c r="W770" s="1"/>
      <c r="X770" s="1"/>
      <c r="Y770" s="1"/>
      <c r="Z770" s="1"/>
    </row>
    <row r="771" spans="1:26" ht="39.75" customHeight="1">
      <c r="A771" s="1"/>
      <c r="B771" s="1"/>
      <c r="C771" s="1"/>
      <c r="D771" s="1"/>
      <c r="E771" s="1"/>
      <c r="F771" s="1"/>
      <c r="G771" s="1"/>
      <c r="H771" s="1"/>
      <c r="I771" s="1"/>
      <c r="J771" s="1"/>
      <c r="K771" s="1"/>
      <c r="L771" s="1"/>
      <c r="M771" s="1"/>
      <c r="N771" s="1"/>
      <c r="O771" s="1"/>
      <c r="P771" s="1"/>
      <c r="Q771" s="1"/>
      <c r="R771" s="1"/>
      <c r="S771" s="1"/>
      <c r="T771" s="1"/>
      <c r="U771" s="2"/>
      <c r="V771" s="1"/>
      <c r="W771" s="1"/>
      <c r="X771" s="1"/>
      <c r="Y771" s="1"/>
      <c r="Z771" s="1"/>
    </row>
    <row r="772" spans="1:26" ht="39.75" customHeight="1">
      <c r="A772" s="1"/>
      <c r="B772" s="1"/>
      <c r="C772" s="1"/>
      <c r="D772" s="1"/>
      <c r="E772" s="1"/>
      <c r="F772" s="1"/>
      <c r="G772" s="1"/>
      <c r="H772" s="1"/>
      <c r="I772" s="1"/>
      <c r="J772" s="1"/>
      <c r="K772" s="1"/>
      <c r="L772" s="1"/>
      <c r="M772" s="1"/>
      <c r="N772" s="1"/>
      <c r="O772" s="1"/>
      <c r="P772" s="1"/>
      <c r="Q772" s="1"/>
      <c r="R772" s="1"/>
      <c r="S772" s="1"/>
      <c r="T772" s="1"/>
      <c r="U772" s="2"/>
      <c r="V772" s="1"/>
      <c r="W772" s="1"/>
      <c r="X772" s="1"/>
      <c r="Y772" s="1"/>
      <c r="Z772" s="1"/>
    </row>
    <row r="773" spans="1:26" ht="39.75" customHeight="1">
      <c r="A773" s="1"/>
      <c r="B773" s="1"/>
      <c r="C773" s="1"/>
      <c r="D773" s="1"/>
      <c r="E773" s="1"/>
      <c r="F773" s="1"/>
      <c r="G773" s="1"/>
      <c r="H773" s="1"/>
      <c r="I773" s="1"/>
      <c r="J773" s="1"/>
      <c r="K773" s="1"/>
      <c r="L773" s="1"/>
      <c r="M773" s="1"/>
      <c r="N773" s="1"/>
      <c r="O773" s="1"/>
      <c r="P773" s="1"/>
      <c r="Q773" s="1"/>
      <c r="R773" s="1"/>
      <c r="S773" s="1"/>
      <c r="T773" s="1"/>
      <c r="U773" s="2"/>
      <c r="V773" s="1"/>
      <c r="W773" s="1"/>
      <c r="X773" s="1"/>
      <c r="Y773" s="1"/>
      <c r="Z773" s="1"/>
    </row>
    <row r="774" spans="1:26" ht="39.75" customHeight="1">
      <c r="A774" s="1"/>
      <c r="B774" s="1"/>
      <c r="C774" s="1"/>
      <c r="D774" s="1"/>
      <c r="E774" s="1"/>
      <c r="F774" s="1"/>
      <c r="G774" s="1"/>
      <c r="H774" s="1"/>
      <c r="I774" s="1"/>
      <c r="J774" s="1"/>
      <c r="K774" s="1"/>
      <c r="L774" s="1"/>
      <c r="M774" s="1"/>
      <c r="N774" s="1"/>
      <c r="O774" s="1"/>
      <c r="P774" s="1"/>
      <c r="Q774" s="1"/>
      <c r="R774" s="1"/>
      <c r="S774" s="1"/>
      <c r="T774" s="1"/>
      <c r="U774" s="2"/>
      <c r="V774" s="1"/>
      <c r="W774" s="1"/>
      <c r="X774" s="1"/>
      <c r="Y774" s="1"/>
      <c r="Z774" s="1"/>
    </row>
    <row r="775" spans="1:26" ht="39.75" customHeight="1">
      <c r="A775" s="1"/>
      <c r="B775" s="1"/>
      <c r="C775" s="1"/>
      <c r="D775" s="1"/>
      <c r="E775" s="1"/>
      <c r="F775" s="1"/>
      <c r="G775" s="1"/>
      <c r="H775" s="1"/>
      <c r="I775" s="1"/>
      <c r="J775" s="1"/>
      <c r="K775" s="1"/>
      <c r="L775" s="1"/>
      <c r="M775" s="1"/>
      <c r="N775" s="1"/>
      <c r="O775" s="1"/>
      <c r="P775" s="1"/>
      <c r="Q775" s="1"/>
      <c r="R775" s="1"/>
      <c r="S775" s="1"/>
      <c r="T775" s="1"/>
      <c r="U775" s="2"/>
      <c r="V775" s="1"/>
      <c r="W775" s="1"/>
      <c r="X775" s="1"/>
      <c r="Y775" s="1"/>
      <c r="Z775" s="1"/>
    </row>
    <row r="776" spans="1:26" ht="39.75" customHeight="1">
      <c r="A776" s="1"/>
      <c r="B776" s="1"/>
      <c r="C776" s="1"/>
      <c r="D776" s="1"/>
      <c r="E776" s="1"/>
      <c r="F776" s="1"/>
      <c r="G776" s="1"/>
      <c r="H776" s="1"/>
      <c r="I776" s="1"/>
      <c r="J776" s="1"/>
      <c r="K776" s="1"/>
      <c r="L776" s="1"/>
      <c r="M776" s="1"/>
      <c r="N776" s="1"/>
      <c r="O776" s="1"/>
      <c r="P776" s="1"/>
      <c r="Q776" s="1"/>
      <c r="R776" s="1"/>
      <c r="S776" s="1"/>
      <c r="T776" s="1"/>
      <c r="U776" s="2"/>
      <c r="V776" s="1"/>
      <c r="W776" s="1"/>
      <c r="X776" s="1"/>
      <c r="Y776" s="1"/>
      <c r="Z776" s="1"/>
    </row>
    <row r="777" spans="1:26" ht="39.75" customHeight="1">
      <c r="A777" s="1"/>
      <c r="B777" s="1"/>
      <c r="C777" s="1"/>
      <c r="D777" s="1"/>
      <c r="E777" s="1"/>
      <c r="F777" s="1"/>
      <c r="G777" s="1"/>
      <c r="H777" s="1"/>
      <c r="I777" s="1"/>
      <c r="J777" s="1"/>
      <c r="K777" s="1"/>
      <c r="L777" s="1"/>
      <c r="M777" s="1"/>
      <c r="N777" s="1"/>
      <c r="O777" s="1"/>
      <c r="P777" s="1"/>
      <c r="Q777" s="1"/>
      <c r="R777" s="1"/>
      <c r="S777" s="1"/>
      <c r="T777" s="1"/>
      <c r="U777" s="2"/>
      <c r="V777" s="1"/>
      <c r="W777" s="1"/>
      <c r="X777" s="1"/>
      <c r="Y777" s="1"/>
      <c r="Z777" s="1"/>
    </row>
    <row r="778" spans="1:26" ht="39.75" customHeight="1">
      <c r="A778" s="1"/>
      <c r="B778" s="1"/>
      <c r="C778" s="1"/>
      <c r="D778" s="1"/>
      <c r="E778" s="1"/>
      <c r="F778" s="1"/>
      <c r="G778" s="1"/>
      <c r="H778" s="1"/>
      <c r="I778" s="1"/>
      <c r="J778" s="1"/>
      <c r="K778" s="1"/>
      <c r="L778" s="1"/>
      <c r="M778" s="1"/>
      <c r="N778" s="1"/>
      <c r="O778" s="1"/>
      <c r="P778" s="1"/>
      <c r="Q778" s="1"/>
      <c r="R778" s="1"/>
      <c r="S778" s="1"/>
      <c r="T778" s="1"/>
      <c r="U778" s="2"/>
      <c r="V778" s="1"/>
      <c r="W778" s="1"/>
      <c r="X778" s="1"/>
      <c r="Y778" s="1"/>
      <c r="Z778" s="1"/>
    </row>
    <row r="779" spans="1:26" ht="39.75" customHeight="1">
      <c r="A779" s="1"/>
      <c r="B779" s="1"/>
      <c r="C779" s="1"/>
      <c r="D779" s="1"/>
      <c r="E779" s="1"/>
      <c r="F779" s="1"/>
      <c r="G779" s="1"/>
      <c r="H779" s="1"/>
      <c r="I779" s="1"/>
      <c r="J779" s="1"/>
      <c r="K779" s="1"/>
      <c r="L779" s="1"/>
      <c r="M779" s="1"/>
      <c r="N779" s="1"/>
      <c r="O779" s="1"/>
      <c r="P779" s="1"/>
      <c r="Q779" s="1"/>
      <c r="R779" s="1"/>
      <c r="S779" s="1"/>
      <c r="T779" s="1"/>
      <c r="U779" s="2"/>
      <c r="V779" s="1"/>
      <c r="W779" s="1"/>
      <c r="X779" s="1"/>
      <c r="Y779" s="1"/>
      <c r="Z779" s="1"/>
    </row>
    <row r="780" spans="1:26" ht="39.75" customHeight="1">
      <c r="A780" s="1"/>
      <c r="B780" s="1"/>
      <c r="C780" s="1"/>
      <c r="D780" s="1"/>
      <c r="E780" s="1"/>
      <c r="F780" s="1"/>
      <c r="G780" s="1"/>
      <c r="H780" s="1"/>
      <c r="I780" s="1"/>
      <c r="J780" s="1"/>
      <c r="K780" s="1"/>
      <c r="L780" s="1"/>
      <c r="M780" s="1"/>
      <c r="N780" s="1"/>
      <c r="O780" s="1"/>
      <c r="P780" s="1"/>
      <c r="Q780" s="1"/>
      <c r="R780" s="1"/>
      <c r="S780" s="1"/>
      <c r="T780" s="1"/>
      <c r="U780" s="2"/>
      <c r="V780" s="1"/>
      <c r="W780" s="1"/>
      <c r="X780" s="1"/>
      <c r="Y780" s="1"/>
      <c r="Z780" s="1"/>
    </row>
    <row r="781" spans="1:26" ht="39.75" customHeight="1">
      <c r="A781" s="1"/>
      <c r="B781" s="1"/>
      <c r="C781" s="1"/>
      <c r="D781" s="1"/>
      <c r="E781" s="1"/>
      <c r="F781" s="1"/>
      <c r="G781" s="1"/>
      <c r="H781" s="1"/>
      <c r="I781" s="1"/>
      <c r="J781" s="1"/>
      <c r="K781" s="1"/>
      <c r="L781" s="1"/>
      <c r="M781" s="1"/>
      <c r="N781" s="1"/>
      <c r="O781" s="1"/>
      <c r="P781" s="1"/>
      <c r="Q781" s="1"/>
      <c r="R781" s="1"/>
      <c r="S781" s="1"/>
      <c r="T781" s="1"/>
      <c r="U781" s="2"/>
      <c r="V781" s="1"/>
      <c r="W781" s="1"/>
      <c r="X781" s="1"/>
      <c r="Y781" s="1"/>
      <c r="Z781" s="1"/>
    </row>
    <row r="782" spans="1:26" ht="39.75" customHeight="1">
      <c r="A782" s="1"/>
      <c r="B782" s="1"/>
      <c r="C782" s="1"/>
      <c r="D782" s="1"/>
      <c r="E782" s="1"/>
      <c r="F782" s="1"/>
      <c r="G782" s="1"/>
      <c r="H782" s="1"/>
      <c r="I782" s="1"/>
      <c r="J782" s="1"/>
      <c r="K782" s="1"/>
      <c r="L782" s="1"/>
      <c r="M782" s="1"/>
      <c r="N782" s="1"/>
      <c r="O782" s="1"/>
      <c r="P782" s="1"/>
      <c r="Q782" s="1"/>
      <c r="R782" s="1"/>
      <c r="S782" s="1"/>
      <c r="T782" s="1"/>
      <c r="U782" s="2"/>
      <c r="V782" s="1"/>
      <c r="W782" s="1"/>
      <c r="X782" s="1"/>
      <c r="Y782" s="1"/>
      <c r="Z782" s="1"/>
    </row>
    <row r="783" spans="1:26" ht="39.75" customHeight="1">
      <c r="A783" s="1"/>
      <c r="B783" s="1"/>
      <c r="C783" s="1"/>
      <c r="D783" s="1"/>
      <c r="E783" s="1"/>
      <c r="F783" s="1"/>
      <c r="G783" s="1"/>
      <c r="H783" s="1"/>
      <c r="I783" s="1"/>
      <c r="J783" s="1"/>
      <c r="K783" s="1"/>
      <c r="L783" s="1"/>
      <c r="M783" s="1"/>
      <c r="N783" s="1"/>
      <c r="O783" s="1"/>
      <c r="P783" s="1"/>
      <c r="Q783" s="1"/>
      <c r="R783" s="1"/>
      <c r="S783" s="1"/>
      <c r="T783" s="1"/>
      <c r="U783" s="2"/>
      <c r="V783" s="1"/>
      <c r="W783" s="1"/>
      <c r="X783" s="1"/>
      <c r="Y783" s="1"/>
      <c r="Z783" s="1"/>
    </row>
    <row r="784" spans="1:26" ht="39.75" customHeight="1">
      <c r="A784" s="1"/>
      <c r="B784" s="1"/>
      <c r="C784" s="1"/>
      <c r="D784" s="1"/>
      <c r="E784" s="1"/>
      <c r="F784" s="1"/>
      <c r="G784" s="1"/>
      <c r="H784" s="1"/>
      <c r="I784" s="1"/>
      <c r="J784" s="1"/>
      <c r="K784" s="1"/>
      <c r="L784" s="1"/>
      <c r="M784" s="1"/>
      <c r="N784" s="1"/>
      <c r="O784" s="1"/>
      <c r="P784" s="1"/>
      <c r="Q784" s="1"/>
      <c r="R784" s="1"/>
      <c r="S784" s="1"/>
      <c r="T784" s="1"/>
      <c r="U784" s="2"/>
      <c r="V784" s="1"/>
      <c r="W784" s="1"/>
      <c r="X784" s="1"/>
      <c r="Y784" s="1"/>
      <c r="Z784" s="1"/>
    </row>
    <row r="785" spans="1:26" ht="39.75" customHeight="1">
      <c r="A785" s="1"/>
      <c r="B785" s="1"/>
      <c r="C785" s="1"/>
      <c r="D785" s="1"/>
      <c r="E785" s="1"/>
      <c r="F785" s="1"/>
      <c r="G785" s="1"/>
      <c r="H785" s="1"/>
      <c r="I785" s="1"/>
      <c r="J785" s="1"/>
      <c r="K785" s="1"/>
      <c r="L785" s="1"/>
      <c r="M785" s="1"/>
      <c r="N785" s="1"/>
      <c r="O785" s="1"/>
      <c r="P785" s="1"/>
      <c r="Q785" s="1"/>
      <c r="R785" s="1"/>
      <c r="S785" s="1"/>
      <c r="T785" s="1"/>
      <c r="U785" s="2"/>
      <c r="V785" s="1"/>
      <c r="W785" s="1"/>
      <c r="X785" s="1"/>
      <c r="Y785" s="1"/>
      <c r="Z785" s="1"/>
    </row>
    <row r="786" spans="1:26" ht="39.75" customHeight="1">
      <c r="A786" s="1"/>
      <c r="B786" s="1"/>
      <c r="C786" s="1"/>
      <c r="D786" s="1"/>
      <c r="E786" s="1"/>
      <c r="F786" s="1"/>
      <c r="G786" s="1"/>
      <c r="H786" s="1"/>
      <c r="I786" s="1"/>
      <c r="J786" s="1"/>
      <c r="K786" s="1"/>
      <c r="L786" s="1"/>
      <c r="M786" s="1"/>
      <c r="N786" s="1"/>
      <c r="O786" s="1"/>
      <c r="P786" s="1"/>
      <c r="Q786" s="1"/>
      <c r="R786" s="1"/>
      <c r="S786" s="1"/>
      <c r="T786" s="1"/>
      <c r="U786" s="2"/>
      <c r="V786" s="1"/>
      <c r="W786" s="1"/>
      <c r="X786" s="1"/>
      <c r="Y786" s="1"/>
      <c r="Z786" s="1"/>
    </row>
    <row r="787" spans="1:26" ht="39.75" customHeight="1">
      <c r="A787" s="1"/>
      <c r="B787" s="1"/>
      <c r="C787" s="1"/>
      <c r="D787" s="1"/>
      <c r="E787" s="1"/>
      <c r="F787" s="1"/>
      <c r="G787" s="1"/>
      <c r="H787" s="1"/>
      <c r="I787" s="1"/>
      <c r="J787" s="1"/>
      <c r="K787" s="1"/>
      <c r="L787" s="1"/>
      <c r="M787" s="1"/>
      <c r="N787" s="1"/>
      <c r="O787" s="1"/>
      <c r="P787" s="1"/>
      <c r="Q787" s="1"/>
      <c r="R787" s="1"/>
      <c r="S787" s="1"/>
      <c r="T787" s="1"/>
      <c r="U787" s="2"/>
      <c r="V787" s="1"/>
      <c r="W787" s="1"/>
      <c r="X787" s="1"/>
      <c r="Y787" s="1"/>
      <c r="Z787" s="1"/>
    </row>
    <row r="788" spans="1:26" ht="39.75" customHeight="1">
      <c r="A788" s="1"/>
      <c r="B788" s="1"/>
      <c r="C788" s="1"/>
      <c r="D788" s="1"/>
      <c r="E788" s="1"/>
      <c r="F788" s="1"/>
      <c r="G788" s="1"/>
      <c r="H788" s="1"/>
      <c r="I788" s="1"/>
      <c r="J788" s="1"/>
      <c r="K788" s="1"/>
      <c r="L788" s="1"/>
      <c r="M788" s="1"/>
      <c r="N788" s="1"/>
      <c r="O788" s="1"/>
      <c r="P788" s="1"/>
      <c r="Q788" s="1"/>
      <c r="R788" s="1"/>
      <c r="S788" s="1"/>
      <c r="T788" s="1"/>
      <c r="U788" s="2"/>
      <c r="V788" s="1"/>
      <c r="W788" s="1"/>
      <c r="X788" s="1"/>
      <c r="Y788" s="1"/>
      <c r="Z788" s="1"/>
    </row>
    <row r="789" spans="1:26" ht="39.75" customHeight="1">
      <c r="A789" s="1"/>
      <c r="B789" s="1"/>
      <c r="C789" s="1"/>
      <c r="D789" s="1"/>
      <c r="E789" s="1"/>
      <c r="F789" s="1"/>
      <c r="G789" s="1"/>
      <c r="H789" s="1"/>
      <c r="I789" s="1"/>
      <c r="J789" s="1"/>
      <c r="K789" s="1"/>
      <c r="L789" s="1"/>
      <c r="M789" s="1"/>
      <c r="N789" s="1"/>
      <c r="O789" s="1"/>
      <c r="P789" s="1"/>
      <c r="Q789" s="1"/>
      <c r="R789" s="1"/>
      <c r="S789" s="1"/>
      <c r="T789" s="1"/>
      <c r="U789" s="2"/>
      <c r="V789" s="1"/>
      <c r="W789" s="1"/>
      <c r="X789" s="1"/>
      <c r="Y789" s="1"/>
      <c r="Z789" s="1"/>
    </row>
    <row r="790" spans="1:26" ht="39.75" customHeight="1">
      <c r="A790" s="1"/>
      <c r="B790" s="1"/>
      <c r="C790" s="1"/>
      <c r="D790" s="1"/>
      <c r="E790" s="1"/>
      <c r="F790" s="1"/>
      <c r="G790" s="1"/>
      <c r="H790" s="1"/>
      <c r="I790" s="1"/>
      <c r="J790" s="1"/>
      <c r="K790" s="1"/>
      <c r="L790" s="1"/>
      <c r="M790" s="1"/>
      <c r="N790" s="1"/>
      <c r="O790" s="1"/>
      <c r="P790" s="1"/>
      <c r="Q790" s="1"/>
      <c r="R790" s="1"/>
      <c r="S790" s="1"/>
      <c r="T790" s="1"/>
      <c r="U790" s="2"/>
      <c r="V790" s="1"/>
      <c r="W790" s="1"/>
      <c r="X790" s="1"/>
      <c r="Y790" s="1"/>
      <c r="Z790" s="1"/>
    </row>
    <row r="791" spans="1:26" ht="39.75" customHeight="1">
      <c r="A791" s="1"/>
      <c r="B791" s="1"/>
      <c r="C791" s="1"/>
      <c r="D791" s="1"/>
      <c r="E791" s="1"/>
      <c r="F791" s="1"/>
      <c r="G791" s="1"/>
      <c r="H791" s="1"/>
      <c r="I791" s="1"/>
      <c r="J791" s="1"/>
      <c r="K791" s="1"/>
      <c r="L791" s="1"/>
      <c r="M791" s="1"/>
      <c r="N791" s="1"/>
      <c r="O791" s="1"/>
      <c r="P791" s="1"/>
      <c r="Q791" s="1"/>
      <c r="R791" s="1"/>
      <c r="S791" s="1"/>
      <c r="T791" s="1"/>
      <c r="U791" s="2"/>
      <c r="V791" s="1"/>
      <c r="W791" s="1"/>
      <c r="X791" s="1"/>
      <c r="Y791" s="1"/>
      <c r="Z791" s="1"/>
    </row>
    <row r="792" spans="1:26" ht="39.75" customHeight="1">
      <c r="A792" s="1"/>
      <c r="B792" s="1"/>
      <c r="C792" s="1"/>
      <c r="D792" s="1"/>
      <c r="E792" s="1"/>
      <c r="F792" s="1"/>
      <c r="G792" s="1"/>
      <c r="H792" s="1"/>
      <c r="I792" s="1"/>
      <c r="J792" s="1"/>
      <c r="K792" s="1"/>
      <c r="L792" s="1"/>
      <c r="M792" s="1"/>
      <c r="N792" s="1"/>
      <c r="O792" s="1"/>
      <c r="P792" s="1"/>
      <c r="Q792" s="1"/>
      <c r="R792" s="1"/>
      <c r="S792" s="1"/>
      <c r="T792" s="1"/>
      <c r="U792" s="2"/>
      <c r="V792" s="1"/>
      <c r="W792" s="1"/>
      <c r="X792" s="1"/>
      <c r="Y792" s="1"/>
      <c r="Z792" s="1"/>
    </row>
    <row r="793" spans="1:26" ht="39.75" customHeight="1">
      <c r="A793" s="1"/>
      <c r="B793" s="1"/>
      <c r="C793" s="1"/>
      <c r="D793" s="1"/>
      <c r="E793" s="1"/>
      <c r="F793" s="1"/>
      <c r="G793" s="1"/>
      <c r="H793" s="1"/>
      <c r="I793" s="1"/>
      <c r="J793" s="1"/>
      <c r="K793" s="1"/>
      <c r="L793" s="1"/>
      <c r="M793" s="1"/>
      <c r="N793" s="1"/>
      <c r="O793" s="1"/>
      <c r="P793" s="1"/>
      <c r="Q793" s="1"/>
      <c r="R793" s="1"/>
      <c r="S793" s="1"/>
      <c r="T793" s="1"/>
      <c r="U793" s="2"/>
      <c r="V793" s="1"/>
      <c r="W793" s="1"/>
      <c r="X793" s="1"/>
      <c r="Y793" s="1"/>
      <c r="Z793" s="1"/>
    </row>
    <row r="794" spans="1:26" ht="39.75" customHeight="1">
      <c r="A794" s="1"/>
      <c r="B794" s="1"/>
      <c r="C794" s="1"/>
      <c r="D794" s="1"/>
      <c r="E794" s="1"/>
      <c r="F794" s="1"/>
      <c r="G794" s="1"/>
      <c r="H794" s="1"/>
      <c r="I794" s="1"/>
      <c r="J794" s="1"/>
      <c r="K794" s="1"/>
      <c r="L794" s="1"/>
      <c r="M794" s="1"/>
      <c r="N794" s="1"/>
      <c r="O794" s="1"/>
      <c r="P794" s="1"/>
      <c r="Q794" s="1"/>
      <c r="R794" s="1"/>
      <c r="S794" s="1"/>
      <c r="T794" s="1"/>
      <c r="U794" s="2"/>
      <c r="V794" s="1"/>
      <c r="W794" s="1"/>
      <c r="X794" s="1"/>
      <c r="Y794" s="1"/>
      <c r="Z794" s="1"/>
    </row>
    <row r="795" spans="1:26" ht="39.75" customHeight="1">
      <c r="A795" s="1"/>
      <c r="B795" s="1"/>
      <c r="C795" s="1"/>
      <c r="D795" s="1"/>
      <c r="E795" s="1"/>
      <c r="F795" s="1"/>
      <c r="G795" s="1"/>
      <c r="H795" s="1"/>
      <c r="I795" s="1"/>
      <c r="J795" s="1"/>
      <c r="K795" s="1"/>
      <c r="L795" s="1"/>
      <c r="M795" s="1"/>
      <c r="N795" s="1"/>
      <c r="O795" s="1"/>
      <c r="P795" s="1"/>
      <c r="Q795" s="1"/>
      <c r="R795" s="1"/>
      <c r="S795" s="1"/>
      <c r="T795" s="1"/>
      <c r="U795" s="2"/>
      <c r="V795" s="1"/>
      <c r="W795" s="1"/>
      <c r="X795" s="1"/>
      <c r="Y795" s="1"/>
      <c r="Z795" s="1"/>
    </row>
    <row r="796" spans="1:26" ht="39.75" customHeight="1">
      <c r="A796" s="1"/>
      <c r="B796" s="1"/>
      <c r="C796" s="1"/>
      <c r="D796" s="1"/>
      <c r="E796" s="1"/>
      <c r="F796" s="1"/>
      <c r="G796" s="1"/>
      <c r="H796" s="1"/>
      <c r="I796" s="1"/>
      <c r="J796" s="1"/>
      <c r="K796" s="1"/>
      <c r="L796" s="1"/>
      <c r="M796" s="1"/>
      <c r="N796" s="1"/>
      <c r="O796" s="1"/>
      <c r="P796" s="1"/>
      <c r="Q796" s="1"/>
      <c r="R796" s="1"/>
      <c r="S796" s="1"/>
      <c r="T796" s="1"/>
      <c r="U796" s="2"/>
      <c r="V796" s="1"/>
      <c r="W796" s="1"/>
      <c r="X796" s="1"/>
      <c r="Y796" s="1"/>
      <c r="Z796" s="1"/>
    </row>
    <row r="797" spans="1:26" ht="39.75" customHeight="1">
      <c r="A797" s="1"/>
      <c r="B797" s="1"/>
      <c r="C797" s="1"/>
      <c r="D797" s="1"/>
      <c r="E797" s="1"/>
      <c r="F797" s="1"/>
      <c r="G797" s="1"/>
      <c r="H797" s="1"/>
      <c r="I797" s="1"/>
      <c r="J797" s="1"/>
      <c r="K797" s="1"/>
      <c r="L797" s="1"/>
      <c r="M797" s="1"/>
      <c r="N797" s="1"/>
      <c r="O797" s="1"/>
      <c r="P797" s="1"/>
      <c r="Q797" s="1"/>
      <c r="R797" s="1"/>
      <c r="S797" s="1"/>
      <c r="T797" s="1"/>
      <c r="U797" s="2"/>
      <c r="V797" s="1"/>
      <c r="W797" s="1"/>
      <c r="X797" s="1"/>
      <c r="Y797" s="1"/>
      <c r="Z797" s="1"/>
    </row>
    <row r="798" spans="1:26" ht="39.75" customHeight="1">
      <c r="A798" s="1"/>
      <c r="B798" s="1"/>
      <c r="C798" s="1"/>
      <c r="D798" s="1"/>
      <c r="E798" s="1"/>
      <c r="F798" s="1"/>
      <c r="G798" s="1"/>
      <c r="H798" s="1"/>
      <c r="I798" s="1"/>
      <c r="J798" s="1"/>
      <c r="K798" s="1"/>
      <c r="L798" s="1"/>
      <c r="M798" s="1"/>
      <c r="N798" s="1"/>
      <c r="O798" s="1"/>
      <c r="P798" s="1"/>
      <c r="Q798" s="1"/>
      <c r="R798" s="1"/>
      <c r="S798" s="1"/>
      <c r="T798" s="1"/>
      <c r="U798" s="2"/>
      <c r="V798" s="1"/>
      <c r="W798" s="1"/>
      <c r="X798" s="1"/>
      <c r="Y798" s="1"/>
      <c r="Z798" s="1"/>
    </row>
    <row r="799" spans="1:26" ht="39.75" customHeight="1">
      <c r="A799" s="1"/>
      <c r="B799" s="1"/>
      <c r="C799" s="1"/>
      <c r="D799" s="1"/>
      <c r="E799" s="1"/>
      <c r="F799" s="1"/>
      <c r="G799" s="1"/>
      <c r="H799" s="1"/>
      <c r="I799" s="1"/>
      <c r="J799" s="1"/>
      <c r="K799" s="1"/>
      <c r="L799" s="1"/>
      <c r="M799" s="1"/>
      <c r="N799" s="1"/>
      <c r="O799" s="1"/>
      <c r="P799" s="1"/>
      <c r="Q799" s="1"/>
      <c r="R799" s="1"/>
      <c r="S799" s="1"/>
      <c r="T799" s="1"/>
      <c r="U799" s="2"/>
      <c r="V799" s="1"/>
      <c r="W799" s="1"/>
      <c r="X799" s="1"/>
      <c r="Y799" s="1"/>
      <c r="Z799" s="1"/>
    </row>
    <row r="800" spans="1:26" ht="39.75" customHeight="1">
      <c r="A800" s="1"/>
      <c r="B800" s="1"/>
      <c r="C800" s="1"/>
      <c r="D800" s="1"/>
      <c r="E800" s="1"/>
      <c r="F800" s="1"/>
      <c r="G800" s="1"/>
      <c r="H800" s="1"/>
      <c r="I800" s="1"/>
      <c r="J800" s="1"/>
      <c r="K800" s="1"/>
      <c r="L800" s="1"/>
      <c r="M800" s="1"/>
      <c r="N800" s="1"/>
      <c r="O800" s="1"/>
      <c r="P800" s="1"/>
      <c r="Q800" s="1"/>
      <c r="R800" s="1"/>
      <c r="S800" s="1"/>
      <c r="T800" s="1"/>
      <c r="U800" s="2"/>
      <c r="V800" s="1"/>
      <c r="W800" s="1"/>
      <c r="X800" s="1"/>
      <c r="Y800" s="1"/>
      <c r="Z800" s="1"/>
    </row>
    <row r="801" spans="1:26" ht="39.75" customHeight="1">
      <c r="A801" s="1"/>
      <c r="B801" s="1"/>
      <c r="C801" s="1"/>
      <c r="D801" s="1"/>
      <c r="E801" s="1"/>
      <c r="F801" s="1"/>
      <c r="G801" s="1"/>
      <c r="H801" s="1"/>
      <c r="I801" s="1"/>
      <c r="J801" s="1"/>
      <c r="K801" s="1"/>
      <c r="L801" s="1"/>
      <c r="M801" s="1"/>
      <c r="N801" s="1"/>
      <c r="O801" s="1"/>
      <c r="P801" s="1"/>
      <c r="Q801" s="1"/>
      <c r="R801" s="1"/>
      <c r="S801" s="1"/>
      <c r="T801" s="1"/>
      <c r="U801" s="2"/>
      <c r="V801" s="1"/>
      <c r="W801" s="1"/>
      <c r="X801" s="1"/>
      <c r="Y801" s="1"/>
      <c r="Z801" s="1"/>
    </row>
    <row r="802" spans="1:26" ht="39.75" customHeight="1">
      <c r="A802" s="1"/>
      <c r="B802" s="1"/>
      <c r="C802" s="1"/>
      <c r="D802" s="1"/>
      <c r="E802" s="1"/>
      <c r="F802" s="1"/>
      <c r="G802" s="1"/>
      <c r="H802" s="1"/>
      <c r="I802" s="1"/>
      <c r="J802" s="1"/>
      <c r="K802" s="1"/>
      <c r="L802" s="1"/>
      <c r="M802" s="1"/>
      <c r="N802" s="1"/>
      <c r="O802" s="1"/>
      <c r="P802" s="1"/>
      <c r="Q802" s="1"/>
      <c r="R802" s="1"/>
      <c r="S802" s="1"/>
      <c r="T802" s="1"/>
      <c r="U802" s="2"/>
      <c r="V802" s="1"/>
      <c r="W802" s="1"/>
      <c r="X802" s="1"/>
      <c r="Y802" s="1"/>
      <c r="Z802" s="1"/>
    </row>
    <row r="803" spans="1:26" ht="39.75" customHeight="1">
      <c r="A803" s="1"/>
      <c r="B803" s="1"/>
      <c r="C803" s="1"/>
      <c r="D803" s="1"/>
      <c r="E803" s="1"/>
      <c r="F803" s="1"/>
      <c r="G803" s="1"/>
      <c r="H803" s="1"/>
      <c r="I803" s="1"/>
      <c r="J803" s="1"/>
      <c r="K803" s="1"/>
      <c r="L803" s="1"/>
      <c r="M803" s="1"/>
      <c r="N803" s="1"/>
      <c r="O803" s="1"/>
      <c r="P803" s="1"/>
      <c r="Q803" s="1"/>
      <c r="R803" s="1"/>
      <c r="S803" s="1"/>
      <c r="T803" s="1"/>
      <c r="U803" s="2"/>
      <c r="V803" s="1"/>
      <c r="W803" s="1"/>
      <c r="X803" s="1"/>
      <c r="Y803" s="1"/>
      <c r="Z803" s="1"/>
    </row>
    <row r="804" spans="1:26" ht="39.75" customHeight="1">
      <c r="A804" s="1"/>
      <c r="B804" s="1"/>
      <c r="C804" s="1"/>
      <c r="D804" s="1"/>
      <c r="E804" s="1"/>
      <c r="F804" s="1"/>
      <c r="G804" s="1"/>
      <c r="H804" s="1"/>
      <c r="I804" s="1"/>
      <c r="J804" s="1"/>
      <c r="K804" s="1"/>
      <c r="L804" s="1"/>
      <c r="M804" s="1"/>
      <c r="N804" s="1"/>
      <c r="O804" s="1"/>
      <c r="P804" s="1"/>
      <c r="Q804" s="1"/>
      <c r="R804" s="1"/>
      <c r="S804" s="1"/>
      <c r="T804" s="1"/>
      <c r="U804" s="2"/>
      <c r="V804" s="1"/>
      <c r="W804" s="1"/>
      <c r="X804" s="1"/>
      <c r="Y804" s="1"/>
      <c r="Z804" s="1"/>
    </row>
    <row r="805" spans="1:26" ht="39.75" customHeight="1">
      <c r="A805" s="1"/>
      <c r="B805" s="1"/>
      <c r="C805" s="1"/>
      <c r="D805" s="1"/>
      <c r="E805" s="1"/>
      <c r="F805" s="1"/>
      <c r="G805" s="1"/>
      <c r="H805" s="1"/>
      <c r="I805" s="1"/>
      <c r="J805" s="1"/>
      <c r="K805" s="1"/>
      <c r="L805" s="1"/>
      <c r="M805" s="1"/>
      <c r="N805" s="1"/>
      <c r="O805" s="1"/>
      <c r="P805" s="1"/>
      <c r="Q805" s="1"/>
      <c r="R805" s="1"/>
      <c r="S805" s="1"/>
      <c r="T805" s="1"/>
      <c r="U805" s="2"/>
      <c r="V805" s="1"/>
      <c r="W805" s="1"/>
      <c r="X805" s="1"/>
      <c r="Y805" s="1"/>
      <c r="Z805" s="1"/>
    </row>
    <row r="806" spans="1:26" ht="39.75" customHeight="1">
      <c r="A806" s="1"/>
      <c r="B806" s="1"/>
      <c r="C806" s="1"/>
      <c r="D806" s="1"/>
      <c r="E806" s="1"/>
      <c r="F806" s="1"/>
      <c r="G806" s="1"/>
      <c r="H806" s="1"/>
      <c r="I806" s="1"/>
      <c r="J806" s="1"/>
      <c r="K806" s="1"/>
      <c r="L806" s="1"/>
      <c r="M806" s="1"/>
      <c r="N806" s="1"/>
      <c r="O806" s="1"/>
      <c r="P806" s="1"/>
      <c r="Q806" s="1"/>
      <c r="R806" s="1"/>
      <c r="S806" s="1"/>
      <c r="T806" s="1"/>
      <c r="U806" s="2"/>
      <c r="V806" s="1"/>
      <c r="W806" s="1"/>
      <c r="X806" s="1"/>
      <c r="Y806" s="1"/>
      <c r="Z806" s="1"/>
    </row>
    <row r="807" spans="1:26" ht="39.75" customHeight="1">
      <c r="A807" s="1"/>
      <c r="B807" s="1"/>
      <c r="C807" s="1"/>
      <c r="D807" s="1"/>
      <c r="E807" s="1"/>
      <c r="F807" s="1"/>
      <c r="G807" s="1"/>
      <c r="H807" s="1"/>
      <c r="I807" s="1"/>
      <c r="J807" s="1"/>
      <c r="K807" s="1"/>
      <c r="L807" s="1"/>
      <c r="M807" s="1"/>
      <c r="N807" s="1"/>
      <c r="O807" s="1"/>
      <c r="P807" s="1"/>
      <c r="Q807" s="1"/>
      <c r="R807" s="1"/>
      <c r="S807" s="1"/>
      <c r="T807" s="1"/>
      <c r="U807" s="2"/>
      <c r="V807" s="1"/>
      <c r="W807" s="1"/>
      <c r="X807" s="1"/>
      <c r="Y807" s="1"/>
      <c r="Z807" s="1"/>
    </row>
    <row r="808" spans="1:26" ht="39.75" customHeight="1">
      <c r="A808" s="1"/>
      <c r="B808" s="1"/>
      <c r="C808" s="1"/>
      <c r="D808" s="1"/>
      <c r="E808" s="1"/>
      <c r="F808" s="1"/>
      <c r="G808" s="1"/>
      <c r="H808" s="1"/>
      <c r="I808" s="1"/>
      <c r="J808" s="1"/>
      <c r="K808" s="1"/>
      <c r="L808" s="1"/>
      <c r="M808" s="1"/>
      <c r="N808" s="1"/>
      <c r="O808" s="1"/>
      <c r="P808" s="1"/>
      <c r="Q808" s="1"/>
      <c r="R808" s="1"/>
      <c r="S808" s="1"/>
      <c r="T808" s="1"/>
      <c r="U808" s="2"/>
      <c r="V808" s="1"/>
      <c r="W808" s="1"/>
      <c r="X808" s="1"/>
      <c r="Y808" s="1"/>
      <c r="Z808" s="1"/>
    </row>
    <row r="809" spans="1:26" ht="39.75" customHeight="1">
      <c r="A809" s="1"/>
      <c r="B809" s="1"/>
      <c r="C809" s="1"/>
      <c r="D809" s="1"/>
      <c r="E809" s="1"/>
      <c r="F809" s="1"/>
      <c r="G809" s="1"/>
      <c r="H809" s="1"/>
      <c r="I809" s="1"/>
      <c r="J809" s="1"/>
      <c r="K809" s="1"/>
      <c r="L809" s="1"/>
      <c r="M809" s="1"/>
      <c r="N809" s="1"/>
      <c r="O809" s="1"/>
      <c r="P809" s="1"/>
      <c r="Q809" s="1"/>
      <c r="R809" s="1"/>
      <c r="S809" s="1"/>
      <c r="T809" s="1"/>
      <c r="U809" s="2"/>
      <c r="V809" s="1"/>
      <c r="W809" s="1"/>
      <c r="X809" s="1"/>
      <c r="Y809" s="1"/>
      <c r="Z809" s="1"/>
    </row>
    <row r="810" spans="1:26" ht="39.75" customHeight="1">
      <c r="A810" s="1"/>
      <c r="B810" s="1"/>
      <c r="C810" s="1"/>
      <c r="D810" s="1"/>
      <c r="E810" s="1"/>
      <c r="F810" s="1"/>
      <c r="G810" s="1"/>
      <c r="H810" s="1"/>
      <c r="I810" s="1"/>
      <c r="J810" s="1"/>
      <c r="K810" s="1"/>
      <c r="L810" s="1"/>
      <c r="M810" s="1"/>
      <c r="N810" s="1"/>
      <c r="O810" s="1"/>
      <c r="P810" s="1"/>
      <c r="Q810" s="1"/>
      <c r="R810" s="1"/>
      <c r="S810" s="1"/>
      <c r="T810" s="1"/>
      <c r="U810" s="2"/>
      <c r="V810" s="1"/>
      <c r="W810" s="1"/>
      <c r="X810" s="1"/>
      <c r="Y810" s="1"/>
      <c r="Z810" s="1"/>
    </row>
    <row r="811" spans="1:26" ht="39.75" customHeight="1">
      <c r="A811" s="1"/>
      <c r="B811" s="1"/>
      <c r="C811" s="1"/>
      <c r="D811" s="1"/>
      <c r="E811" s="1"/>
      <c r="F811" s="1"/>
      <c r="G811" s="1"/>
      <c r="H811" s="1"/>
      <c r="I811" s="1"/>
      <c r="J811" s="1"/>
      <c r="K811" s="1"/>
      <c r="L811" s="1"/>
      <c r="M811" s="1"/>
      <c r="N811" s="1"/>
      <c r="O811" s="1"/>
      <c r="P811" s="1"/>
      <c r="Q811" s="1"/>
      <c r="R811" s="1"/>
      <c r="S811" s="1"/>
      <c r="T811" s="1"/>
      <c r="U811" s="2"/>
      <c r="V811" s="1"/>
      <c r="W811" s="1"/>
      <c r="X811" s="1"/>
      <c r="Y811" s="1"/>
      <c r="Z811" s="1"/>
    </row>
    <row r="812" spans="1:26" ht="39.75" customHeight="1">
      <c r="A812" s="1"/>
      <c r="B812" s="1"/>
      <c r="C812" s="1"/>
      <c r="D812" s="1"/>
      <c r="E812" s="1"/>
      <c r="F812" s="1"/>
      <c r="G812" s="1"/>
      <c r="H812" s="1"/>
      <c r="I812" s="1"/>
      <c r="J812" s="1"/>
      <c r="K812" s="1"/>
      <c r="L812" s="1"/>
      <c r="M812" s="1"/>
      <c r="N812" s="1"/>
      <c r="O812" s="1"/>
      <c r="P812" s="1"/>
      <c r="Q812" s="1"/>
      <c r="R812" s="1"/>
      <c r="S812" s="1"/>
      <c r="T812" s="1"/>
      <c r="U812" s="2"/>
      <c r="V812" s="1"/>
      <c r="W812" s="1"/>
      <c r="X812" s="1"/>
      <c r="Y812" s="1"/>
      <c r="Z812" s="1"/>
    </row>
    <row r="813" spans="1:26" ht="39.75" customHeight="1">
      <c r="A813" s="1"/>
      <c r="B813" s="1"/>
      <c r="C813" s="1"/>
      <c r="D813" s="1"/>
      <c r="E813" s="1"/>
      <c r="F813" s="1"/>
      <c r="G813" s="1"/>
      <c r="H813" s="1"/>
      <c r="I813" s="1"/>
      <c r="J813" s="1"/>
      <c r="K813" s="1"/>
      <c r="L813" s="1"/>
      <c r="M813" s="1"/>
      <c r="N813" s="1"/>
      <c r="O813" s="1"/>
      <c r="P813" s="1"/>
      <c r="Q813" s="1"/>
      <c r="R813" s="1"/>
      <c r="S813" s="1"/>
      <c r="T813" s="1"/>
      <c r="U813" s="2"/>
      <c r="V813" s="1"/>
      <c r="W813" s="1"/>
      <c r="X813" s="1"/>
      <c r="Y813" s="1"/>
      <c r="Z813" s="1"/>
    </row>
    <row r="814" spans="1:26" ht="39.75" customHeight="1">
      <c r="A814" s="1"/>
      <c r="B814" s="1"/>
      <c r="C814" s="1"/>
      <c r="D814" s="1"/>
      <c r="E814" s="1"/>
      <c r="F814" s="1"/>
      <c r="G814" s="1"/>
      <c r="H814" s="1"/>
      <c r="I814" s="1"/>
      <c r="J814" s="1"/>
      <c r="K814" s="1"/>
      <c r="L814" s="1"/>
      <c r="M814" s="1"/>
      <c r="N814" s="1"/>
      <c r="O814" s="1"/>
      <c r="P814" s="1"/>
      <c r="Q814" s="1"/>
      <c r="R814" s="1"/>
      <c r="S814" s="1"/>
      <c r="T814" s="1"/>
      <c r="U814" s="2"/>
      <c r="V814" s="1"/>
      <c r="W814" s="1"/>
      <c r="X814" s="1"/>
      <c r="Y814" s="1"/>
      <c r="Z814" s="1"/>
    </row>
    <row r="815" spans="1:26" ht="39.75" customHeight="1">
      <c r="A815" s="1"/>
      <c r="B815" s="1"/>
      <c r="C815" s="1"/>
      <c r="D815" s="1"/>
      <c r="E815" s="1"/>
      <c r="F815" s="1"/>
      <c r="G815" s="1"/>
      <c r="H815" s="1"/>
      <c r="I815" s="1"/>
      <c r="J815" s="1"/>
      <c r="K815" s="1"/>
      <c r="L815" s="1"/>
      <c r="M815" s="1"/>
      <c r="N815" s="1"/>
      <c r="O815" s="1"/>
      <c r="P815" s="1"/>
      <c r="Q815" s="1"/>
      <c r="R815" s="1"/>
      <c r="S815" s="1"/>
      <c r="T815" s="1"/>
      <c r="U815" s="2"/>
      <c r="V815" s="1"/>
      <c r="W815" s="1"/>
      <c r="X815" s="1"/>
      <c r="Y815" s="1"/>
      <c r="Z815" s="1"/>
    </row>
    <row r="816" spans="1:26" ht="39.75" customHeight="1">
      <c r="A816" s="1"/>
      <c r="B816" s="1"/>
      <c r="C816" s="1"/>
      <c r="D816" s="1"/>
      <c r="E816" s="1"/>
      <c r="F816" s="1"/>
      <c r="G816" s="1"/>
      <c r="H816" s="1"/>
      <c r="I816" s="1"/>
      <c r="J816" s="1"/>
      <c r="K816" s="1"/>
      <c r="L816" s="1"/>
      <c r="M816" s="1"/>
      <c r="N816" s="1"/>
      <c r="O816" s="1"/>
      <c r="P816" s="1"/>
      <c r="Q816" s="1"/>
      <c r="R816" s="1"/>
      <c r="S816" s="1"/>
      <c r="T816" s="1"/>
      <c r="U816" s="2"/>
      <c r="V816" s="1"/>
      <c r="W816" s="1"/>
      <c r="X816" s="1"/>
      <c r="Y816" s="1"/>
      <c r="Z816" s="1"/>
    </row>
    <row r="817" spans="1:26" ht="39.75" customHeight="1">
      <c r="A817" s="1"/>
      <c r="B817" s="1"/>
      <c r="C817" s="1"/>
      <c r="D817" s="1"/>
      <c r="E817" s="1"/>
      <c r="F817" s="1"/>
      <c r="G817" s="1"/>
      <c r="H817" s="1"/>
      <c r="I817" s="1"/>
      <c r="J817" s="1"/>
      <c r="K817" s="1"/>
      <c r="L817" s="1"/>
      <c r="M817" s="1"/>
      <c r="N817" s="1"/>
      <c r="O817" s="1"/>
      <c r="P817" s="1"/>
      <c r="Q817" s="1"/>
      <c r="R817" s="1"/>
      <c r="S817" s="1"/>
      <c r="T817" s="1"/>
      <c r="U817" s="2"/>
      <c r="V817" s="1"/>
      <c r="W817" s="1"/>
      <c r="X817" s="1"/>
      <c r="Y817" s="1"/>
      <c r="Z817" s="1"/>
    </row>
    <row r="818" spans="1:26" ht="39.75" customHeight="1">
      <c r="A818" s="1"/>
      <c r="B818" s="1"/>
      <c r="C818" s="1"/>
      <c r="D818" s="1"/>
      <c r="E818" s="1"/>
      <c r="F818" s="1"/>
      <c r="G818" s="1"/>
      <c r="H818" s="1"/>
      <c r="I818" s="1"/>
      <c r="J818" s="1"/>
      <c r="K818" s="1"/>
      <c r="L818" s="1"/>
      <c r="M818" s="1"/>
      <c r="N818" s="1"/>
      <c r="O818" s="1"/>
      <c r="P818" s="1"/>
      <c r="Q818" s="1"/>
      <c r="R818" s="1"/>
      <c r="S818" s="1"/>
      <c r="T818" s="1"/>
      <c r="U818" s="2"/>
      <c r="V818" s="1"/>
      <c r="W818" s="1"/>
      <c r="X818" s="1"/>
      <c r="Y818" s="1"/>
      <c r="Z818" s="1"/>
    </row>
    <row r="819" spans="1:26" ht="39.75" customHeight="1">
      <c r="A819" s="1"/>
      <c r="B819" s="1"/>
      <c r="C819" s="1"/>
      <c r="D819" s="1"/>
      <c r="E819" s="1"/>
      <c r="F819" s="1"/>
      <c r="G819" s="1"/>
      <c r="H819" s="1"/>
      <c r="I819" s="1"/>
      <c r="J819" s="1"/>
      <c r="K819" s="1"/>
      <c r="L819" s="1"/>
      <c r="M819" s="1"/>
      <c r="N819" s="1"/>
      <c r="O819" s="1"/>
      <c r="P819" s="1"/>
      <c r="Q819" s="1"/>
      <c r="R819" s="1"/>
      <c r="S819" s="1"/>
      <c r="T819" s="1"/>
      <c r="U819" s="2"/>
      <c r="V819" s="1"/>
      <c r="W819" s="1"/>
      <c r="X819" s="1"/>
      <c r="Y819" s="1"/>
      <c r="Z819" s="1"/>
    </row>
    <row r="820" spans="1:26" ht="39.75" customHeight="1">
      <c r="A820" s="1"/>
      <c r="B820" s="1"/>
      <c r="C820" s="1"/>
      <c r="D820" s="1"/>
      <c r="E820" s="1"/>
      <c r="F820" s="1"/>
      <c r="G820" s="1"/>
      <c r="H820" s="1"/>
      <c r="I820" s="1"/>
      <c r="J820" s="1"/>
      <c r="K820" s="1"/>
      <c r="L820" s="1"/>
      <c r="M820" s="1"/>
      <c r="N820" s="1"/>
      <c r="O820" s="1"/>
      <c r="P820" s="1"/>
      <c r="Q820" s="1"/>
      <c r="R820" s="1"/>
      <c r="S820" s="1"/>
      <c r="T820" s="1"/>
      <c r="U820" s="2"/>
      <c r="V820" s="1"/>
      <c r="W820" s="1"/>
      <c r="X820" s="1"/>
      <c r="Y820" s="1"/>
      <c r="Z820" s="1"/>
    </row>
    <row r="821" spans="1:26" ht="39.75" customHeight="1">
      <c r="A821" s="1"/>
      <c r="B821" s="1"/>
      <c r="C821" s="1"/>
      <c r="D821" s="1"/>
      <c r="E821" s="1"/>
      <c r="F821" s="1"/>
      <c r="G821" s="1"/>
      <c r="H821" s="1"/>
      <c r="I821" s="1"/>
      <c r="J821" s="1"/>
      <c r="K821" s="1"/>
      <c r="L821" s="1"/>
      <c r="M821" s="1"/>
      <c r="N821" s="1"/>
      <c r="O821" s="1"/>
      <c r="P821" s="1"/>
      <c r="Q821" s="1"/>
      <c r="R821" s="1"/>
      <c r="S821" s="1"/>
      <c r="T821" s="1"/>
      <c r="U821" s="2"/>
      <c r="V821" s="1"/>
      <c r="W821" s="1"/>
      <c r="X821" s="1"/>
      <c r="Y821" s="1"/>
      <c r="Z821" s="1"/>
    </row>
    <row r="822" spans="1:26" ht="39.75" customHeight="1">
      <c r="A822" s="1"/>
      <c r="B822" s="1"/>
      <c r="C822" s="1"/>
      <c r="D822" s="1"/>
      <c r="E822" s="1"/>
      <c r="F822" s="1"/>
      <c r="G822" s="1"/>
      <c r="H822" s="1"/>
      <c r="I822" s="1"/>
      <c r="J822" s="1"/>
      <c r="K822" s="1"/>
      <c r="L822" s="1"/>
      <c r="M822" s="1"/>
      <c r="N822" s="1"/>
      <c r="O822" s="1"/>
      <c r="P822" s="1"/>
      <c r="Q822" s="1"/>
      <c r="R822" s="1"/>
      <c r="S822" s="1"/>
      <c r="T822" s="1"/>
      <c r="U822" s="2"/>
      <c r="V822" s="1"/>
      <c r="W822" s="1"/>
      <c r="X822" s="1"/>
      <c r="Y822" s="1"/>
      <c r="Z822" s="1"/>
    </row>
    <row r="823" spans="1:26" ht="39.75" customHeight="1">
      <c r="A823" s="1"/>
      <c r="B823" s="1"/>
      <c r="C823" s="1"/>
      <c r="D823" s="1"/>
      <c r="E823" s="1"/>
      <c r="F823" s="1"/>
      <c r="G823" s="1"/>
      <c r="H823" s="1"/>
      <c r="I823" s="1"/>
      <c r="J823" s="1"/>
      <c r="K823" s="1"/>
      <c r="L823" s="1"/>
      <c r="M823" s="1"/>
      <c r="N823" s="1"/>
      <c r="O823" s="1"/>
      <c r="P823" s="1"/>
      <c r="Q823" s="1"/>
      <c r="R823" s="1"/>
      <c r="S823" s="1"/>
      <c r="T823" s="1"/>
      <c r="U823" s="2"/>
      <c r="V823" s="1"/>
      <c r="W823" s="1"/>
      <c r="X823" s="1"/>
      <c r="Y823" s="1"/>
      <c r="Z823" s="1"/>
    </row>
    <row r="824" spans="1:26" ht="39.75" customHeight="1">
      <c r="A824" s="1"/>
      <c r="B824" s="1"/>
      <c r="C824" s="1"/>
      <c r="D824" s="1"/>
      <c r="E824" s="1"/>
      <c r="F824" s="1"/>
      <c r="G824" s="1"/>
      <c r="H824" s="1"/>
      <c r="I824" s="1"/>
      <c r="J824" s="1"/>
      <c r="K824" s="1"/>
      <c r="L824" s="1"/>
      <c r="M824" s="1"/>
      <c r="N824" s="1"/>
      <c r="O824" s="1"/>
      <c r="P824" s="1"/>
      <c r="Q824" s="1"/>
      <c r="R824" s="1"/>
      <c r="S824" s="1"/>
      <c r="T824" s="1"/>
      <c r="U824" s="2"/>
      <c r="V824" s="1"/>
      <c r="W824" s="1"/>
      <c r="X824" s="1"/>
      <c r="Y824" s="1"/>
      <c r="Z824" s="1"/>
    </row>
    <row r="825" spans="1:26" ht="39.75" customHeight="1">
      <c r="A825" s="1"/>
      <c r="B825" s="1"/>
      <c r="C825" s="1"/>
      <c r="D825" s="1"/>
      <c r="E825" s="1"/>
      <c r="F825" s="1"/>
      <c r="G825" s="1"/>
      <c r="H825" s="1"/>
      <c r="I825" s="1"/>
      <c r="J825" s="1"/>
      <c r="K825" s="1"/>
      <c r="L825" s="1"/>
      <c r="M825" s="1"/>
      <c r="N825" s="1"/>
      <c r="O825" s="1"/>
      <c r="P825" s="1"/>
      <c r="Q825" s="1"/>
      <c r="R825" s="1"/>
      <c r="S825" s="1"/>
      <c r="T825" s="1"/>
      <c r="U825" s="2"/>
      <c r="V825" s="1"/>
      <c r="W825" s="1"/>
      <c r="X825" s="1"/>
      <c r="Y825" s="1"/>
      <c r="Z825" s="1"/>
    </row>
    <row r="826" spans="1:26" ht="39.75" customHeight="1">
      <c r="A826" s="1"/>
      <c r="B826" s="1"/>
      <c r="C826" s="1"/>
      <c r="D826" s="1"/>
      <c r="E826" s="1"/>
      <c r="F826" s="1"/>
      <c r="G826" s="1"/>
      <c r="H826" s="1"/>
      <c r="I826" s="1"/>
      <c r="J826" s="1"/>
      <c r="K826" s="1"/>
      <c r="L826" s="1"/>
      <c r="M826" s="1"/>
      <c r="N826" s="1"/>
      <c r="O826" s="1"/>
      <c r="P826" s="1"/>
      <c r="Q826" s="1"/>
      <c r="R826" s="1"/>
      <c r="S826" s="1"/>
      <c r="T826" s="1"/>
      <c r="U826" s="2"/>
      <c r="V826" s="1"/>
      <c r="W826" s="1"/>
      <c r="X826" s="1"/>
      <c r="Y826" s="1"/>
      <c r="Z826" s="1"/>
    </row>
    <row r="827" spans="1:26" ht="39.75" customHeight="1">
      <c r="A827" s="1"/>
      <c r="B827" s="1"/>
      <c r="C827" s="1"/>
      <c r="D827" s="1"/>
      <c r="E827" s="1"/>
      <c r="F827" s="1"/>
      <c r="G827" s="1"/>
      <c r="H827" s="1"/>
      <c r="I827" s="1"/>
      <c r="J827" s="1"/>
      <c r="K827" s="1"/>
      <c r="L827" s="1"/>
      <c r="M827" s="1"/>
      <c r="N827" s="1"/>
      <c r="O827" s="1"/>
      <c r="P827" s="1"/>
      <c r="Q827" s="1"/>
      <c r="R827" s="1"/>
      <c r="S827" s="1"/>
      <c r="T827" s="1"/>
      <c r="U827" s="2"/>
      <c r="V827" s="1"/>
      <c r="W827" s="1"/>
      <c r="X827" s="1"/>
      <c r="Y827" s="1"/>
      <c r="Z827" s="1"/>
    </row>
    <row r="828" spans="1:26" ht="39.75" customHeight="1">
      <c r="A828" s="1"/>
      <c r="B828" s="1"/>
      <c r="C828" s="1"/>
      <c r="D828" s="1"/>
      <c r="E828" s="1"/>
      <c r="F828" s="1"/>
      <c r="G828" s="1"/>
      <c r="H828" s="1"/>
      <c r="I828" s="1"/>
      <c r="J828" s="1"/>
      <c r="K828" s="1"/>
      <c r="L828" s="1"/>
      <c r="M828" s="1"/>
      <c r="N828" s="1"/>
      <c r="O828" s="1"/>
      <c r="P828" s="1"/>
      <c r="Q828" s="1"/>
      <c r="R828" s="1"/>
      <c r="S828" s="1"/>
      <c r="T828" s="1"/>
      <c r="U828" s="2"/>
      <c r="V828" s="1"/>
      <c r="W828" s="1"/>
      <c r="X828" s="1"/>
      <c r="Y828" s="1"/>
      <c r="Z828" s="1"/>
    </row>
    <row r="829" spans="1:26" ht="39.75" customHeight="1">
      <c r="A829" s="1"/>
      <c r="B829" s="1"/>
      <c r="C829" s="1"/>
      <c r="D829" s="1"/>
      <c r="E829" s="1"/>
      <c r="F829" s="1"/>
      <c r="G829" s="1"/>
      <c r="H829" s="1"/>
      <c r="I829" s="1"/>
      <c r="J829" s="1"/>
      <c r="K829" s="1"/>
      <c r="L829" s="1"/>
      <c r="M829" s="1"/>
      <c r="N829" s="1"/>
      <c r="O829" s="1"/>
      <c r="P829" s="1"/>
      <c r="Q829" s="1"/>
      <c r="R829" s="1"/>
      <c r="S829" s="1"/>
      <c r="T829" s="1"/>
      <c r="U829" s="2"/>
      <c r="V829" s="1"/>
      <c r="W829" s="1"/>
      <c r="X829" s="1"/>
      <c r="Y829" s="1"/>
      <c r="Z829" s="1"/>
    </row>
    <row r="830" spans="1:26" ht="39.75" customHeight="1">
      <c r="A830" s="1"/>
      <c r="B830" s="1"/>
      <c r="C830" s="1"/>
      <c r="D830" s="1"/>
      <c r="E830" s="1"/>
      <c r="F830" s="1"/>
      <c r="G830" s="1"/>
      <c r="H830" s="1"/>
      <c r="I830" s="1"/>
      <c r="J830" s="1"/>
      <c r="K830" s="1"/>
      <c r="L830" s="1"/>
      <c r="M830" s="1"/>
      <c r="N830" s="1"/>
      <c r="O830" s="1"/>
      <c r="P830" s="1"/>
      <c r="Q830" s="1"/>
      <c r="R830" s="1"/>
      <c r="S830" s="1"/>
      <c r="T830" s="1"/>
      <c r="U830" s="2"/>
      <c r="V830" s="1"/>
      <c r="W830" s="1"/>
      <c r="X830" s="1"/>
      <c r="Y830" s="1"/>
      <c r="Z830" s="1"/>
    </row>
    <row r="831" spans="1:26" ht="39.75" customHeight="1">
      <c r="A831" s="1"/>
      <c r="B831" s="1"/>
      <c r="C831" s="1"/>
      <c r="D831" s="1"/>
      <c r="E831" s="1"/>
      <c r="F831" s="1"/>
      <c r="G831" s="1"/>
      <c r="H831" s="1"/>
      <c r="I831" s="1"/>
      <c r="J831" s="1"/>
      <c r="K831" s="1"/>
      <c r="L831" s="1"/>
      <c r="M831" s="1"/>
      <c r="N831" s="1"/>
      <c r="O831" s="1"/>
      <c r="P831" s="1"/>
      <c r="Q831" s="1"/>
      <c r="R831" s="1"/>
      <c r="S831" s="1"/>
      <c r="T831" s="1"/>
      <c r="U831" s="2"/>
      <c r="V831" s="1"/>
      <c r="W831" s="1"/>
      <c r="X831" s="1"/>
      <c r="Y831" s="1"/>
      <c r="Z831" s="1"/>
    </row>
    <row r="832" spans="1:26" ht="39.75" customHeight="1">
      <c r="A832" s="1"/>
      <c r="B832" s="1"/>
      <c r="C832" s="1"/>
      <c r="D832" s="1"/>
      <c r="E832" s="1"/>
      <c r="F832" s="1"/>
      <c r="G832" s="1"/>
      <c r="H832" s="1"/>
      <c r="I832" s="1"/>
      <c r="J832" s="1"/>
      <c r="K832" s="1"/>
      <c r="L832" s="1"/>
      <c r="M832" s="1"/>
      <c r="N832" s="1"/>
      <c r="O832" s="1"/>
      <c r="P832" s="1"/>
      <c r="Q832" s="1"/>
      <c r="R832" s="1"/>
      <c r="S832" s="1"/>
      <c r="T832" s="1"/>
      <c r="U832" s="2"/>
      <c r="V832" s="1"/>
      <c r="W832" s="1"/>
      <c r="X832" s="1"/>
      <c r="Y832" s="1"/>
      <c r="Z832" s="1"/>
    </row>
    <row r="833" spans="1:26" ht="39.75" customHeight="1">
      <c r="A833" s="1"/>
      <c r="B833" s="1"/>
      <c r="C833" s="1"/>
      <c r="D833" s="1"/>
      <c r="E833" s="1"/>
      <c r="F833" s="1"/>
      <c r="G833" s="1"/>
      <c r="H833" s="1"/>
      <c r="I833" s="1"/>
      <c r="J833" s="1"/>
      <c r="K833" s="1"/>
      <c r="L833" s="1"/>
      <c r="M833" s="1"/>
      <c r="N833" s="1"/>
      <c r="O833" s="1"/>
      <c r="P833" s="1"/>
      <c r="Q833" s="1"/>
      <c r="R833" s="1"/>
      <c r="S833" s="1"/>
      <c r="T833" s="1"/>
      <c r="U833" s="2"/>
      <c r="V833" s="1"/>
      <c r="W833" s="1"/>
      <c r="X833" s="1"/>
      <c r="Y833" s="1"/>
      <c r="Z833" s="1"/>
    </row>
    <row r="834" spans="1:26" ht="39.75" customHeight="1">
      <c r="A834" s="1"/>
      <c r="B834" s="1"/>
      <c r="C834" s="1"/>
      <c r="D834" s="1"/>
      <c r="E834" s="1"/>
      <c r="F834" s="1"/>
      <c r="G834" s="1"/>
      <c r="H834" s="1"/>
      <c r="I834" s="1"/>
      <c r="J834" s="1"/>
      <c r="K834" s="1"/>
      <c r="L834" s="1"/>
      <c r="M834" s="1"/>
      <c r="N834" s="1"/>
      <c r="O834" s="1"/>
      <c r="P834" s="1"/>
      <c r="Q834" s="1"/>
      <c r="R834" s="1"/>
      <c r="S834" s="1"/>
      <c r="T834" s="1"/>
      <c r="U834" s="2"/>
      <c r="V834" s="1"/>
      <c r="W834" s="1"/>
      <c r="X834" s="1"/>
      <c r="Y834" s="1"/>
      <c r="Z834" s="1"/>
    </row>
    <row r="835" spans="1:26" ht="39.75" customHeight="1">
      <c r="A835" s="1"/>
      <c r="B835" s="1"/>
      <c r="C835" s="1"/>
      <c r="D835" s="1"/>
      <c r="E835" s="1"/>
      <c r="F835" s="1"/>
      <c r="G835" s="1"/>
      <c r="H835" s="1"/>
      <c r="I835" s="1"/>
      <c r="J835" s="1"/>
      <c r="K835" s="1"/>
      <c r="L835" s="1"/>
      <c r="M835" s="1"/>
      <c r="N835" s="1"/>
      <c r="O835" s="1"/>
      <c r="P835" s="1"/>
      <c r="Q835" s="1"/>
      <c r="R835" s="1"/>
      <c r="S835" s="1"/>
      <c r="T835" s="1"/>
      <c r="U835" s="2"/>
      <c r="V835" s="1"/>
      <c r="W835" s="1"/>
      <c r="X835" s="1"/>
      <c r="Y835" s="1"/>
      <c r="Z835" s="1"/>
    </row>
    <row r="836" spans="1:26" ht="39.75" customHeight="1">
      <c r="A836" s="1"/>
      <c r="B836" s="1"/>
      <c r="C836" s="1"/>
      <c r="D836" s="1"/>
      <c r="E836" s="1"/>
      <c r="F836" s="1"/>
      <c r="G836" s="1"/>
      <c r="H836" s="1"/>
      <c r="I836" s="1"/>
      <c r="J836" s="1"/>
      <c r="K836" s="1"/>
      <c r="L836" s="1"/>
      <c r="M836" s="1"/>
      <c r="N836" s="1"/>
      <c r="O836" s="1"/>
      <c r="P836" s="1"/>
      <c r="Q836" s="1"/>
      <c r="R836" s="1"/>
      <c r="S836" s="1"/>
      <c r="T836" s="1"/>
      <c r="U836" s="2"/>
      <c r="V836" s="1"/>
      <c r="W836" s="1"/>
      <c r="X836" s="1"/>
      <c r="Y836" s="1"/>
      <c r="Z836" s="1"/>
    </row>
    <row r="837" spans="1:26" ht="39.75" customHeight="1">
      <c r="A837" s="1"/>
      <c r="B837" s="1"/>
      <c r="C837" s="1"/>
      <c r="D837" s="1"/>
      <c r="E837" s="1"/>
      <c r="F837" s="1"/>
      <c r="G837" s="1"/>
      <c r="H837" s="1"/>
      <c r="I837" s="1"/>
      <c r="J837" s="1"/>
      <c r="K837" s="1"/>
      <c r="L837" s="1"/>
      <c r="M837" s="1"/>
      <c r="N837" s="1"/>
      <c r="O837" s="1"/>
      <c r="P837" s="1"/>
      <c r="Q837" s="1"/>
      <c r="R837" s="1"/>
      <c r="S837" s="1"/>
      <c r="T837" s="1"/>
      <c r="U837" s="2"/>
      <c r="V837" s="1"/>
      <c r="W837" s="1"/>
      <c r="X837" s="1"/>
      <c r="Y837" s="1"/>
      <c r="Z837" s="1"/>
    </row>
    <row r="838" spans="1:26" ht="39.75" customHeight="1">
      <c r="A838" s="1"/>
      <c r="B838" s="1"/>
      <c r="C838" s="1"/>
      <c r="D838" s="1"/>
      <c r="E838" s="1"/>
      <c r="F838" s="1"/>
      <c r="G838" s="1"/>
      <c r="H838" s="1"/>
      <c r="I838" s="1"/>
      <c r="J838" s="1"/>
      <c r="K838" s="1"/>
      <c r="L838" s="1"/>
      <c r="M838" s="1"/>
      <c r="N838" s="1"/>
      <c r="O838" s="1"/>
      <c r="P838" s="1"/>
      <c r="Q838" s="1"/>
      <c r="R838" s="1"/>
      <c r="S838" s="1"/>
      <c r="T838" s="1"/>
      <c r="U838" s="2"/>
      <c r="V838" s="1"/>
      <c r="W838" s="1"/>
      <c r="X838" s="1"/>
      <c r="Y838" s="1"/>
      <c r="Z838" s="1"/>
    </row>
    <row r="839" spans="1:26" ht="39.75" customHeight="1">
      <c r="A839" s="1"/>
      <c r="B839" s="1"/>
      <c r="C839" s="1"/>
      <c r="D839" s="1"/>
      <c r="E839" s="1"/>
      <c r="F839" s="1"/>
      <c r="G839" s="1"/>
      <c r="H839" s="1"/>
      <c r="I839" s="1"/>
      <c r="J839" s="1"/>
      <c r="K839" s="1"/>
      <c r="L839" s="1"/>
      <c r="M839" s="1"/>
      <c r="N839" s="1"/>
      <c r="O839" s="1"/>
      <c r="P839" s="1"/>
      <c r="Q839" s="1"/>
      <c r="R839" s="1"/>
      <c r="S839" s="1"/>
      <c r="T839" s="1"/>
      <c r="U839" s="2"/>
      <c r="V839" s="1"/>
      <c r="W839" s="1"/>
      <c r="X839" s="1"/>
      <c r="Y839" s="1"/>
      <c r="Z839" s="1"/>
    </row>
    <row r="840" spans="1:26" ht="39.75" customHeight="1">
      <c r="A840" s="1"/>
      <c r="B840" s="1"/>
      <c r="C840" s="1"/>
      <c r="D840" s="1"/>
      <c r="E840" s="1"/>
      <c r="F840" s="1"/>
      <c r="G840" s="1"/>
      <c r="H840" s="1"/>
      <c r="I840" s="1"/>
      <c r="J840" s="1"/>
      <c r="K840" s="1"/>
      <c r="L840" s="1"/>
      <c r="M840" s="1"/>
      <c r="N840" s="1"/>
      <c r="O840" s="1"/>
      <c r="P840" s="1"/>
      <c r="Q840" s="1"/>
      <c r="R840" s="1"/>
      <c r="S840" s="1"/>
      <c r="T840" s="1"/>
      <c r="U840" s="2"/>
      <c r="V840" s="1"/>
      <c r="W840" s="1"/>
      <c r="X840" s="1"/>
      <c r="Y840" s="1"/>
      <c r="Z840" s="1"/>
    </row>
    <row r="841" spans="1:26" ht="39.75" customHeight="1">
      <c r="A841" s="1"/>
      <c r="B841" s="1"/>
      <c r="C841" s="1"/>
      <c r="D841" s="1"/>
      <c r="E841" s="1"/>
      <c r="F841" s="1"/>
      <c r="G841" s="1"/>
      <c r="H841" s="1"/>
      <c r="I841" s="1"/>
      <c r="J841" s="1"/>
      <c r="K841" s="1"/>
      <c r="L841" s="1"/>
      <c r="M841" s="1"/>
      <c r="N841" s="1"/>
      <c r="O841" s="1"/>
      <c r="P841" s="1"/>
      <c r="Q841" s="1"/>
      <c r="R841" s="1"/>
      <c r="S841" s="1"/>
      <c r="T841" s="1"/>
      <c r="U841" s="2"/>
      <c r="V841" s="1"/>
      <c r="W841" s="1"/>
      <c r="X841" s="1"/>
      <c r="Y841" s="1"/>
      <c r="Z841" s="1"/>
    </row>
    <row r="842" spans="1:26" ht="39.75" customHeight="1">
      <c r="A842" s="1"/>
      <c r="B842" s="1"/>
      <c r="C842" s="1"/>
      <c r="D842" s="1"/>
      <c r="E842" s="1"/>
      <c r="F842" s="1"/>
      <c r="G842" s="1"/>
      <c r="H842" s="1"/>
      <c r="I842" s="1"/>
      <c r="J842" s="1"/>
      <c r="K842" s="1"/>
      <c r="L842" s="1"/>
      <c r="M842" s="1"/>
      <c r="N842" s="1"/>
      <c r="O842" s="1"/>
      <c r="P842" s="1"/>
      <c r="Q842" s="1"/>
      <c r="R842" s="1"/>
      <c r="S842" s="1"/>
      <c r="T842" s="1"/>
      <c r="U842" s="2"/>
      <c r="V842" s="1"/>
      <c r="W842" s="1"/>
      <c r="X842" s="1"/>
      <c r="Y842" s="1"/>
      <c r="Z842" s="1"/>
    </row>
    <row r="843" spans="1:26" ht="39.75" customHeight="1">
      <c r="A843" s="1"/>
      <c r="B843" s="1"/>
      <c r="C843" s="1"/>
      <c r="D843" s="1"/>
      <c r="E843" s="1"/>
      <c r="F843" s="1"/>
      <c r="G843" s="1"/>
      <c r="H843" s="1"/>
      <c r="I843" s="1"/>
      <c r="J843" s="1"/>
      <c r="K843" s="1"/>
      <c r="L843" s="1"/>
      <c r="M843" s="1"/>
      <c r="N843" s="1"/>
      <c r="O843" s="1"/>
      <c r="P843" s="1"/>
      <c r="Q843" s="1"/>
      <c r="R843" s="1"/>
      <c r="S843" s="1"/>
      <c r="T843" s="1"/>
      <c r="U843" s="2"/>
      <c r="V843" s="1"/>
      <c r="W843" s="1"/>
      <c r="X843" s="1"/>
      <c r="Y843" s="1"/>
      <c r="Z843" s="1"/>
    </row>
    <row r="844" spans="1:26" ht="39.75" customHeight="1">
      <c r="A844" s="1"/>
      <c r="B844" s="1"/>
      <c r="C844" s="1"/>
      <c r="D844" s="1"/>
      <c r="E844" s="1"/>
      <c r="F844" s="1"/>
      <c r="G844" s="1"/>
      <c r="H844" s="1"/>
      <c r="I844" s="1"/>
      <c r="J844" s="1"/>
      <c r="K844" s="1"/>
      <c r="L844" s="1"/>
      <c r="M844" s="1"/>
      <c r="N844" s="1"/>
      <c r="O844" s="1"/>
      <c r="P844" s="1"/>
      <c r="Q844" s="1"/>
      <c r="R844" s="1"/>
      <c r="S844" s="1"/>
      <c r="T844" s="1"/>
      <c r="U844" s="2"/>
      <c r="V844" s="1"/>
      <c r="W844" s="1"/>
      <c r="X844" s="1"/>
      <c r="Y844" s="1"/>
      <c r="Z844" s="1"/>
    </row>
    <row r="845" spans="1:26" ht="39.75" customHeight="1">
      <c r="A845" s="1"/>
      <c r="B845" s="1"/>
      <c r="C845" s="1"/>
      <c r="D845" s="1"/>
      <c r="E845" s="1"/>
      <c r="F845" s="1"/>
      <c r="G845" s="1"/>
      <c r="H845" s="1"/>
      <c r="I845" s="1"/>
      <c r="J845" s="1"/>
      <c r="K845" s="1"/>
      <c r="L845" s="1"/>
      <c r="M845" s="1"/>
      <c r="N845" s="1"/>
      <c r="O845" s="1"/>
      <c r="P845" s="1"/>
      <c r="Q845" s="1"/>
      <c r="R845" s="1"/>
      <c r="S845" s="1"/>
      <c r="T845" s="1"/>
      <c r="U845" s="2"/>
      <c r="V845" s="1"/>
      <c r="W845" s="1"/>
      <c r="X845" s="1"/>
      <c r="Y845" s="1"/>
      <c r="Z845" s="1"/>
    </row>
    <row r="846" spans="1:26" ht="39.75" customHeight="1">
      <c r="A846" s="1"/>
      <c r="B846" s="1"/>
      <c r="C846" s="1"/>
      <c r="D846" s="1"/>
      <c r="E846" s="1"/>
      <c r="F846" s="1"/>
      <c r="G846" s="1"/>
      <c r="H846" s="1"/>
      <c r="I846" s="1"/>
      <c r="J846" s="1"/>
      <c r="K846" s="1"/>
      <c r="L846" s="1"/>
      <c r="M846" s="1"/>
      <c r="N846" s="1"/>
      <c r="O846" s="1"/>
      <c r="P846" s="1"/>
      <c r="Q846" s="1"/>
      <c r="R846" s="1"/>
      <c r="S846" s="1"/>
      <c r="T846" s="1"/>
      <c r="U846" s="2"/>
      <c r="V846" s="1"/>
      <c r="W846" s="1"/>
      <c r="X846" s="1"/>
      <c r="Y846" s="1"/>
      <c r="Z846" s="1"/>
    </row>
    <row r="847" spans="1:26" ht="39.75" customHeight="1">
      <c r="A847" s="1"/>
      <c r="B847" s="1"/>
      <c r="C847" s="1"/>
      <c r="D847" s="1"/>
      <c r="E847" s="1"/>
      <c r="F847" s="1"/>
      <c r="G847" s="1"/>
      <c r="H847" s="1"/>
      <c r="I847" s="1"/>
      <c r="J847" s="1"/>
      <c r="K847" s="1"/>
      <c r="L847" s="1"/>
      <c r="M847" s="1"/>
      <c r="N847" s="1"/>
      <c r="O847" s="1"/>
      <c r="P847" s="1"/>
      <c r="Q847" s="1"/>
      <c r="R847" s="1"/>
      <c r="S847" s="1"/>
      <c r="T847" s="1"/>
      <c r="U847" s="2"/>
      <c r="V847" s="1"/>
      <c r="W847" s="1"/>
      <c r="X847" s="1"/>
      <c r="Y847" s="1"/>
      <c r="Z847" s="1"/>
    </row>
    <row r="848" spans="1:26" ht="39.75" customHeight="1">
      <c r="A848" s="1"/>
      <c r="B848" s="1"/>
      <c r="C848" s="1"/>
      <c r="D848" s="1"/>
      <c r="E848" s="1"/>
      <c r="F848" s="1"/>
      <c r="G848" s="1"/>
      <c r="H848" s="1"/>
      <c r="I848" s="1"/>
      <c r="J848" s="1"/>
      <c r="K848" s="1"/>
      <c r="L848" s="1"/>
      <c r="M848" s="1"/>
      <c r="N848" s="1"/>
      <c r="O848" s="1"/>
      <c r="P848" s="1"/>
      <c r="Q848" s="1"/>
      <c r="R848" s="1"/>
      <c r="S848" s="1"/>
      <c r="T848" s="1"/>
      <c r="U848" s="2"/>
      <c r="V848" s="1"/>
      <c r="W848" s="1"/>
      <c r="X848" s="1"/>
      <c r="Y848" s="1"/>
      <c r="Z848" s="1"/>
    </row>
    <row r="849" spans="1:26" ht="39.75" customHeight="1">
      <c r="A849" s="1"/>
      <c r="B849" s="1"/>
      <c r="C849" s="1"/>
      <c r="D849" s="1"/>
      <c r="E849" s="1"/>
      <c r="F849" s="1"/>
      <c r="G849" s="1"/>
      <c r="H849" s="1"/>
      <c r="I849" s="1"/>
      <c r="J849" s="1"/>
      <c r="K849" s="1"/>
      <c r="L849" s="1"/>
      <c r="M849" s="1"/>
      <c r="N849" s="1"/>
      <c r="O849" s="1"/>
      <c r="P849" s="1"/>
      <c r="Q849" s="1"/>
      <c r="R849" s="1"/>
      <c r="S849" s="1"/>
      <c r="T849" s="1"/>
      <c r="U849" s="2"/>
      <c r="V849" s="1"/>
      <c r="W849" s="1"/>
      <c r="X849" s="1"/>
      <c r="Y849" s="1"/>
      <c r="Z849" s="1"/>
    </row>
    <row r="850" spans="1:26" ht="39.75" customHeight="1">
      <c r="A850" s="1"/>
      <c r="B850" s="1"/>
      <c r="C850" s="1"/>
      <c r="D850" s="1"/>
      <c r="E850" s="1"/>
      <c r="F850" s="1"/>
      <c r="G850" s="1"/>
      <c r="H850" s="1"/>
      <c r="I850" s="1"/>
      <c r="J850" s="1"/>
      <c r="K850" s="1"/>
      <c r="L850" s="1"/>
      <c r="M850" s="1"/>
      <c r="N850" s="1"/>
      <c r="O850" s="1"/>
      <c r="P850" s="1"/>
      <c r="Q850" s="1"/>
      <c r="R850" s="1"/>
      <c r="S850" s="1"/>
      <c r="T850" s="1"/>
      <c r="U850" s="2"/>
      <c r="V850" s="1"/>
      <c r="W850" s="1"/>
      <c r="X850" s="1"/>
      <c r="Y850" s="1"/>
      <c r="Z850" s="1"/>
    </row>
    <row r="851" spans="1:26" ht="39.75" customHeight="1">
      <c r="A851" s="1"/>
      <c r="B851" s="1"/>
      <c r="C851" s="1"/>
      <c r="D851" s="1"/>
      <c r="E851" s="1"/>
      <c r="F851" s="1"/>
      <c r="G851" s="1"/>
      <c r="H851" s="1"/>
      <c r="I851" s="1"/>
      <c r="J851" s="1"/>
      <c r="K851" s="1"/>
      <c r="L851" s="1"/>
      <c r="M851" s="1"/>
      <c r="N851" s="1"/>
      <c r="O851" s="1"/>
      <c r="P851" s="1"/>
      <c r="Q851" s="1"/>
      <c r="R851" s="1"/>
      <c r="S851" s="1"/>
      <c r="T851" s="1"/>
      <c r="U851" s="2"/>
      <c r="V851" s="1"/>
      <c r="W851" s="1"/>
      <c r="X851" s="1"/>
      <c r="Y851" s="1"/>
      <c r="Z851" s="1"/>
    </row>
    <row r="852" spans="1:26" ht="39.75" customHeight="1">
      <c r="A852" s="1"/>
      <c r="B852" s="1"/>
      <c r="C852" s="1"/>
      <c r="D852" s="1"/>
      <c r="E852" s="1"/>
      <c r="F852" s="1"/>
      <c r="G852" s="1"/>
      <c r="H852" s="1"/>
      <c r="I852" s="1"/>
      <c r="J852" s="1"/>
      <c r="K852" s="1"/>
      <c r="L852" s="1"/>
      <c r="M852" s="1"/>
      <c r="N852" s="1"/>
      <c r="O852" s="1"/>
      <c r="P852" s="1"/>
      <c r="Q852" s="1"/>
      <c r="R852" s="1"/>
      <c r="S852" s="1"/>
      <c r="T852" s="1"/>
      <c r="U852" s="2"/>
      <c r="V852" s="1"/>
      <c r="W852" s="1"/>
      <c r="X852" s="1"/>
      <c r="Y852" s="1"/>
      <c r="Z852" s="1"/>
    </row>
    <row r="853" spans="1:26" ht="39.75" customHeight="1">
      <c r="A853" s="1"/>
      <c r="B853" s="1"/>
      <c r="C853" s="1"/>
      <c r="D853" s="1"/>
      <c r="E853" s="1"/>
      <c r="F853" s="1"/>
      <c r="G853" s="1"/>
      <c r="H853" s="1"/>
      <c r="I853" s="1"/>
      <c r="J853" s="1"/>
      <c r="K853" s="1"/>
      <c r="L853" s="1"/>
      <c r="M853" s="1"/>
      <c r="N853" s="1"/>
      <c r="O853" s="1"/>
      <c r="P853" s="1"/>
      <c r="Q853" s="1"/>
      <c r="R853" s="1"/>
      <c r="S853" s="1"/>
      <c r="T853" s="1"/>
      <c r="U853" s="2"/>
      <c r="V853" s="1"/>
      <c r="W853" s="1"/>
      <c r="X853" s="1"/>
      <c r="Y853" s="1"/>
      <c r="Z853" s="1"/>
    </row>
    <row r="854" spans="1:26" ht="39.75" customHeight="1">
      <c r="A854" s="1"/>
      <c r="B854" s="1"/>
      <c r="C854" s="1"/>
      <c r="D854" s="1"/>
      <c r="E854" s="1"/>
      <c r="F854" s="1"/>
      <c r="G854" s="1"/>
      <c r="H854" s="1"/>
      <c r="I854" s="1"/>
      <c r="J854" s="1"/>
      <c r="K854" s="1"/>
      <c r="L854" s="1"/>
      <c r="M854" s="1"/>
      <c r="N854" s="1"/>
      <c r="O854" s="1"/>
      <c r="P854" s="1"/>
      <c r="Q854" s="1"/>
      <c r="R854" s="1"/>
      <c r="S854" s="1"/>
      <c r="T854" s="1"/>
      <c r="U854" s="2"/>
      <c r="V854" s="1"/>
      <c r="W854" s="1"/>
      <c r="X854" s="1"/>
      <c r="Y854" s="1"/>
      <c r="Z854" s="1"/>
    </row>
    <row r="855" spans="1:26" ht="39.75" customHeight="1">
      <c r="A855" s="1"/>
      <c r="B855" s="1"/>
      <c r="C855" s="1"/>
      <c r="D855" s="1"/>
      <c r="E855" s="1"/>
      <c r="F855" s="1"/>
      <c r="G855" s="1"/>
      <c r="H855" s="1"/>
      <c r="I855" s="1"/>
      <c r="J855" s="1"/>
      <c r="K855" s="1"/>
      <c r="L855" s="1"/>
      <c r="M855" s="1"/>
      <c r="N855" s="1"/>
      <c r="O855" s="1"/>
      <c r="P855" s="1"/>
      <c r="Q855" s="1"/>
      <c r="R855" s="1"/>
      <c r="S855" s="1"/>
      <c r="T855" s="1"/>
      <c r="U855" s="2"/>
      <c r="V855" s="1"/>
      <c r="W855" s="1"/>
      <c r="X855" s="1"/>
      <c r="Y855" s="1"/>
      <c r="Z855" s="1"/>
    </row>
    <row r="856" spans="1:26" ht="39.75" customHeight="1">
      <c r="A856" s="1"/>
      <c r="B856" s="1"/>
      <c r="C856" s="1"/>
      <c r="D856" s="1"/>
      <c r="E856" s="1"/>
      <c r="F856" s="1"/>
      <c r="G856" s="1"/>
      <c r="H856" s="1"/>
      <c r="I856" s="1"/>
      <c r="J856" s="1"/>
      <c r="K856" s="1"/>
      <c r="L856" s="1"/>
      <c r="M856" s="1"/>
      <c r="N856" s="1"/>
      <c r="O856" s="1"/>
      <c r="P856" s="1"/>
      <c r="Q856" s="1"/>
      <c r="R856" s="1"/>
      <c r="S856" s="1"/>
      <c r="T856" s="1"/>
      <c r="U856" s="2"/>
      <c r="V856" s="1"/>
      <c r="W856" s="1"/>
      <c r="X856" s="1"/>
      <c r="Y856" s="1"/>
      <c r="Z856" s="1"/>
    </row>
    <row r="857" spans="1:26" ht="39.75" customHeight="1">
      <c r="A857" s="1"/>
      <c r="B857" s="1"/>
      <c r="C857" s="1"/>
      <c r="D857" s="1"/>
      <c r="E857" s="1"/>
      <c r="F857" s="1"/>
      <c r="G857" s="1"/>
      <c r="H857" s="1"/>
      <c r="I857" s="1"/>
      <c r="J857" s="1"/>
      <c r="K857" s="1"/>
      <c r="L857" s="1"/>
      <c r="M857" s="1"/>
      <c r="N857" s="1"/>
      <c r="O857" s="1"/>
      <c r="P857" s="1"/>
      <c r="Q857" s="1"/>
      <c r="R857" s="1"/>
      <c r="S857" s="1"/>
      <c r="T857" s="1"/>
      <c r="U857" s="2"/>
      <c r="V857" s="1"/>
      <c r="W857" s="1"/>
      <c r="X857" s="1"/>
      <c r="Y857" s="1"/>
      <c r="Z857" s="1"/>
    </row>
    <row r="858" spans="1:26" ht="39.75" customHeight="1">
      <c r="A858" s="1"/>
      <c r="B858" s="1"/>
      <c r="C858" s="1"/>
      <c r="D858" s="1"/>
      <c r="E858" s="1"/>
      <c r="F858" s="1"/>
      <c r="G858" s="1"/>
      <c r="H858" s="1"/>
      <c r="I858" s="1"/>
      <c r="J858" s="1"/>
      <c r="K858" s="1"/>
      <c r="L858" s="1"/>
      <c r="M858" s="1"/>
      <c r="N858" s="1"/>
      <c r="O858" s="1"/>
      <c r="P858" s="1"/>
      <c r="Q858" s="1"/>
      <c r="R858" s="1"/>
      <c r="S858" s="1"/>
      <c r="T858" s="1"/>
      <c r="U858" s="2"/>
      <c r="V858" s="1"/>
      <c r="W858" s="1"/>
      <c r="X858" s="1"/>
      <c r="Y858" s="1"/>
      <c r="Z858" s="1"/>
    </row>
    <row r="859" spans="1:26" ht="39.75" customHeight="1">
      <c r="A859" s="1"/>
      <c r="B859" s="1"/>
      <c r="C859" s="1"/>
      <c r="D859" s="1"/>
      <c r="E859" s="1"/>
      <c r="F859" s="1"/>
      <c r="G859" s="1"/>
      <c r="H859" s="1"/>
      <c r="I859" s="1"/>
      <c r="J859" s="1"/>
      <c r="K859" s="1"/>
      <c r="L859" s="1"/>
      <c r="M859" s="1"/>
      <c r="N859" s="1"/>
      <c r="O859" s="1"/>
      <c r="P859" s="1"/>
      <c r="Q859" s="1"/>
      <c r="R859" s="1"/>
      <c r="S859" s="1"/>
      <c r="T859" s="1"/>
      <c r="U859" s="2"/>
      <c r="V859" s="1"/>
      <c r="W859" s="1"/>
      <c r="X859" s="1"/>
      <c r="Y859" s="1"/>
      <c r="Z859" s="1"/>
    </row>
    <row r="860" spans="1:26" ht="39.75" customHeight="1">
      <c r="A860" s="1"/>
      <c r="B860" s="1"/>
      <c r="C860" s="1"/>
      <c r="D860" s="1"/>
      <c r="E860" s="1"/>
      <c r="F860" s="1"/>
      <c r="G860" s="1"/>
      <c r="H860" s="1"/>
      <c r="I860" s="1"/>
      <c r="J860" s="1"/>
      <c r="K860" s="1"/>
      <c r="L860" s="1"/>
      <c r="M860" s="1"/>
      <c r="N860" s="1"/>
      <c r="O860" s="1"/>
      <c r="P860" s="1"/>
      <c r="Q860" s="1"/>
      <c r="R860" s="1"/>
      <c r="S860" s="1"/>
      <c r="T860" s="1"/>
      <c r="U860" s="2"/>
      <c r="V860" s="1"/>
      <c r="W860" s="1"/>
      <c r="X860" s="1"/>
      <c r="Y860" s="1"/>
      <c r="Z860" s="1"/>
    </row>
    <row r="861" spans="1:26" ht="39.75" customHeight="1">
      <c r="A861" s="1"/>
      <c r="B861" s="1"/>
      <c r="C861" s="1"/>
      <c r="D861" s="1"/>
      <c r="E861" s="1"/>
      <c r="F861" s="1"/>
      <c r="G861" s="1"/>
      <c r="H861" s="1"/>
      <c r="I861" s="1"/>
      <c r="J861" s="1"/>
      <c r="K861" s="1"/>
      <c r="L861" s="1"/>
      <c r="M861" s="1"/>
      <c r="N861" s="1"/>
      <c r="O861" s="1"/>
      <c r="P861" s="1"/>
      <c r="Q861" s="1"/>
      <c r="R861" s="1"/>
      <c r="S861" s="1"/>
      <c r="T861" s="1"/>
      <c r="U861" s="2"/>
      <c r="V861" s="1"/>
      <c r="W861" s="1"/>
      <c r="X861" s="1"/>
      <c r="Y861" s="1"/>
      <c r="Z861" s="1"/>
    </row>
    <row r="862" spans="1:26" ht="39.75" customHeight="1">
      <c r="A862" s="1"/>
      <c r="B862" s="1"/>
      <c r="C862" s="1"/>
      <c r="D862" s="1"/>
      <c r="E862" s="1"/>
      <c r="F862" s="1"/>
      <c r="G862" s="1"/>
      <c r="H862" s="1"/>
      <c r="I862" s="1"/>
      <c r="J862" s="1"/>
      <c r="K862" s="1"/>
      <c r="L862" s="1"/>
      <c r="M862" s="1"/>
      <c r="N862" s="1"/>
      <c r="O862" s="1"/>
      <c r="P862" s="1"/>
      <c r="Q862" s="1"/>
      <c r="R862" s="1"/>
      <c r="S862" s="1"/>
      <c r="T862" s="1"/>
      <c r="U862" s="2"/>
      <c r="V862" s="1"/>
      <c r="W862" s="1"/>
      <c r="X862" s="1"/>
      <c r="Y862" s="1"/>
      <c r="Z862" s="1"/>
    </row>
    <row r="863" spans="1:26" ht="39.75" customHeight="1">
      <c r="A863" s="1"/>
      <c r="B863" s="1"/>
      <c r="C863" s="1"/>
      <c r="D863" s="1"/>
      <c r="E863" s="1"/>
      <c r="F863" s="1"/>
      <c r="G863" s="1"/>
      <c r="H863" s="1"/>
      <c r="I863" s="1"/>
      <c r="J863" s="1"/>
      <c r="K863" s="1"/>
      <c r="L863" s="1"/>
      <c r="M863" s="1"/>
      <c r="N863" s="1"/>
      <c r="O863" s="1"/>
      <c r="P863" s="1"/>
      <c r="Q863" s="1"/>
      <c r="R863" s="1"/>
      <c r="S863" s="1"/>
      <c r="T863" s="1"/>
      <c r="U863" s="2"/>
      <c r="V863" s="1"/>
      <c r="W863" s="1"/>
      <c r="X863" s="1"/>
      <c r="Y863" s="1"/>
      <c r="Z863" s="1"/>
    </row>
    <row r="864" spans="1:26" ht="39.75" customHeight="1">
      <c r="A864" s="1"/>
      <c r="B864" s="1"/>
      <c r="C864" s="1"/>
      <c r="D864" s="1"/>
      <c r="E864" s="1"/>
      <c r="F864" s="1"/>
      <c r="G864" s="1"/>
      <c r="H864" s="1"/>
      <c r="I864" s="1"/>
      <c r="J864" s="1"/>
      <c r="K864" s="1"/>
      <c r="L864" s="1"/>
      <c r="M864" s="1"/>
      <c r="N864" s="1"/>
      <c r="O864" s="1"/>
      <c r="P864" s="1"/>
      <c r="Q864" s="1"/>
      <c r="R864" s="1"/>
      <c r="S864" s="1"/>
      <c r="T864" s="1"/>
      <c r="U864" s="2"/>
      <c r="V864" s="1"/>
      <c r="W864" s="1"/>
      <c r="X864" s="1"/>
      <c r="Y864" s="1"/>
      <c r="Z864" s="1"/>
    </row>
    <row r="865" spans="1:26" ht="39.75" customHeight="1">
      <c r="A865" s="1"/>
      <c r="B865" s="1"/>
      <c r="C865" s="1"/>
      <c r="D865" s="1"/>
      <c r="E865" s="1"/>
      <c r="F865" s="1"/>
      <c r="G865" s="1"/>
      <c r="H865" s="1"/>
      <c r="I865" s="1"/>
      <c r="J865" s="1"/>
      <c r="K865" s="1"/>
      <c r="L865" s="1"/>
      <c r="M865" s="1"/>
      <c r="N865" s="1"/>
      <c r="O865" s="1"/>
      <c r="P865" s="1"/>
      <c r="Q865" s="1"/>
      <c r="R865" s="1"/>
      <c r="S865" s="1"/>
      <c r="T865" s="1"/>
      <c r="U865" s="2"/>
      <c r="V865" s="1"/>
      <c r="W865" s="1"/>
      <c r="X865" s="1"/>
      <c r="Y865" s="1"/>
      <c r="Z865" s="1"/>
    </row>
    <row r="866" spans="1:26" ht="39.75" customHeight="1">
      <c r="A866" s="1"/>
      <c r="B866" s="1"/>
      <c r="C866" s="1"/>
      <c r="D866" s="1"/>
      <c r="E866" s="1"/>
      <c r="F866" s="1"/>
      <c r="G866" s="1"/>
      <c r="H866" s="1"/>
      <c r="I866" s="1"/>
      <c r="J866" s="1"/>
      <c r="K866" s="1"/>
      <c r="L866" s="1"/>
      <c r="M866" s="1"/>
      <c r="N866" s="1"/>
      <c r="O866" s="1"/>
      <c r="P866" s="1"/>
      <c r="Q866" s="1"/>
      <c r="R866" s="1"/>
      <c r="S866" s="1"/>
      <c r="T866" s="1"/>
      <c r="U866" s="2"/>
      <c r="V866" s="1"/>
      <c r="W866" s="1"/>
      <c r="X866" s="1"/>
      <c r="Y866" s="1"/>
      <c r="Z866" s="1"/>
    </row>
    <row r="867" spans="1:26" ht="39.75" customHeight="1">
      <c r="A867" s="1"/>
      <c r="B867" s="1"/>
      <c r="C867" s="1"/>
      <c r="D867" s="1"/>
      <c r="E867" s="1"/>
      <c r="F867" s="1"/>
      <c r="G867" s="1"/>
      <c r="H867" s="1"/>
      <c r="I867" s="1"/>
      <c r="J867" s="1"/>
      <c r="K867" s="1"/>
      <c r="L867" s="1"/>
      <c r="M867" s="1"/>
      <c r="N867" s="1"/>
      <c r="O867" s="1"/>
      <c r="P867" s="1"/>
      <c r="Q867" s="1"/>
      <c r="R867" s="1"/>
      <c r="S867" s="1"/>
      <c r="T867" s="1"/>
      <c r="U867" s="2"/>
      <c r="V867" s="1"/>
      <c r="W867" s="1"/>
      <c r="X867" s="1"/>
      <c r="Y867" s="1"/>
      <c r="Z867" s="1"/>
    </row>
    <row r="868" spans="1:26" ht="39.75" customHeight="1">
      <c r="A868" s="1"/>
      <c r="B868" s="1"/>
      <c r="C868" s="1"/>
      <c r="D868" s="1"/>
      <c r="E868" s="1"/>
      <c r="F868" s="1"/>
      <c r="G868" s="1"/>
      <c r="H868" s="1"/>
      <c r="I868" s="1"/>
      <c r="J868" s="1"/>
      <c r="K868" s="1"/>
      <c r="L868" s="1"/>
      <c r="M868" s="1"/>
      <c r="N868" s="1"/>
      <c r="O868" s="1"/>
      <c r="P868" s="1"/>
      <c r="Q868" s="1"/>
      <c r="R868" s="1"/>
      <c r="S868" s="1"/>
      <c r="T868" s="1"/>
      <c r="U868" s="2"/>
      <c r="V868" s="1"/>
      <c r="W868" s="1"/>
      <c r="X868" s="1"/>
      <c r="Y868" s="1"/>
      <c r="Z868" s="1"/>
    </row>
    <row r="869" spans="1:26" ht="39.75" customHeight="1">
      <c r="A869" s="1"/>
      <c r="B869" s="1"/>
      <c r="C869" s="1"/>
      <c r="D869" s="1"/>
      <c r="E869" s="1"/>
      <c r="F869" s="1"/>
      <c r="G869" s="1"/>
      <c r="H869" s="1"/>
      <c r="I869" s="1"/>
      <c r="J869" s="1"/>
      <c r="K869" s="1"/>
      <c r="L869" s="1"/>
      <c r="M869" s="1"/>
      <c r="N869" s="1"/>
      <c r="O869" s="1"/>
      <c r="P869" s="1"/>
      <c r="Q869" s="1"/>
      <c r="R869" s="1"/>
      <c r="S869" s="1"/>
      <c r="T869" s="1"/>
      <c r="U869" s="2"/>
      <c r="V869" s="1"/>
      <c r="W869" s="1"/>
      <c r="X869" s="1"/>
      <c r="Y869" s="1"/>
      <c r="Z869" s="1"/>
    </row>
    <row r="870" spans="1:26" ht="39.75" customHeight="1">
      <c r="A870" s="1"/>
      <c r="B870" s="1"/>
      <c r="C870" s="1"/>
      <c r="D870" s="1"/>
      <c r="E870" s="1"/>
      <c r="F870" s="1"/>
      <c r="G870" s="1"/>
      <c r="H870" s="1"/>
      <c r="I870" s="1"/>
      <c r="J870" s="1"/>
      <c r="K870" s="1"/>
      <c r="L870" s="1"/>
      <c r="M870" s="1"/>
      <c r="N870" s="1"/>
      <c r="O870" s="1"/>
      <c r="P870" s="1"/>
      <c r="Q870" s="1"/>
      <c r="R870" s="1"/>
      <c r="S870" s="1"/>
      <c r="T870" s="1"/>
      <c r="U870" s="2"/>
      <c r="V870" s="1"/>
      <c r="W870" s="1"/>
      <c r="X870" s="1"/>
      <c r="Y870" s="1"/>
      <c r="Z870" s="1"/>
    </row>
    <row r="871" spans="1:26" ht="39.75" customHeight="1">
      <c r="A871" s="1"/>
      <c r="B871" s="1"/>
      <c r="C871" s="1"/>
      <c r="D871" s="1"/>
      <c r="E871" s="1"/>
      <c r="F871" s="1"/>
      <c r="G871" s="1"/>
      <c r="H871" s="1"/>
      <c r="I871" s="1"/>
      <c r="J871" s="1"/>
      <c r="K871" s="1"/>
      <c r="L871" s="1"/>
      <c r="M871" s="1"/>
      <c r="N871" s="1"/>
      <c r="O871" s="1"/>
      <c r="P871" s="1"/>
      <c r="Q871" s="1"/>
      <c r="R871" s="1"/>
      <c r="S871" s="1"/>
      <c r="T871" s="1"/>
      <c r="U871" s="2"/>
      <c r="V871" s="1"/>
      <c r="W871" s="1"/>
      <c r="X871" s="1"/>
      <c r="Y871" s="1"/>
      <c r="Z871" s="1"/>
    </row>
    <row r="872" spans="1:26" ht="39.75" customHeight="1">
      <c r="A872" s="1"/>
      <c r="B872" s="1"/>
      <c r="C872" s="1"/>
      <c r="D872" s="1"/>
      <c r="E872" s="1"/>
      <c r="F872" s="1"/>
      <c r="G872" s="1"/>
      <c r="H872" s="1"/>
      <c r="I872" s="1"/>
      <c r="J872" s="1"/>
      <c r="K872" s="1"/>
      <c r="L872" s="1"/>
      <c r="M872" s="1"/>
      <c r="N872" s="1"/>
      <c r="O872" s="1"/>
      <c r="P872" s="1"/>
      <c r="Q872" s="1"/>
      <c r="R872" s="1"/>
      <c r="S872" s="1"/>
      <c r="T872" s="1"/>
      <c r="U872" s="2"/>
      <c r="V872" s="1"/>
      <c r="W872" s="1"/>
      <c r="X872" s="1"/>
      <c r="Y872" s="1"/>
      <c r="Z872" s="1"/>
    </row>
    <row r="873" spans="1:26" ht="39.75" customHeight="1">
      <c r="A873" s="1"/>
      <c r="B873" s="1"/>
      <c r="C873" s="1"/>
      <c r="D873" s="1"/>
      <c r="E873" s="1"/>
      <c r="F873" s="1"/>
      <c r="G873" s="1"/>
      <c r="H873" s="1"/>
      <c r="I873" s="1"/>
      <c r="J873" s="1"/>
      <c r="K873" s="1"/>
      <c r="L873" s="1"/>
      <c r="M873" s="1"/>
      <c r="N873" s="1"/>
      <c r="O873" s="1"/>
      <c r="P873" s="1"/>
      <c r="Q873" s="1"/>
      <c r="R873" s="1"/>
      <c r="S873" s="1"/>
      <c r="T873" s="1"/>
      <c r="U873" s="2"/>
      <c r="V873" s="1"/>
      <c r="W873" s="1"/>
      <c r="X873" s="1"/>
      <c r="Y873" s="1"/>
      <c r="Z873" s="1"/>
    </row>
    <row r="874" spans="1:26" ht="39.75" customHeight="1">
      <c r="A874" s="1"/>
      <c r="B874" s="1"/>
      <c r="C874" s="1"/>
      <c r="D874" s="1"/>
      <c r="E874" s="1"/>
      <c r="F874" s="1"/>
      <c r="G874" s="1"/>
      <c r="H874" s="1"/>
      <c r="I874" s="1"/>
      <c r="J874" s="1"/>
      <c r="K874" s="1"/>
      <c r="L874" s="1"/>
      <c r="M874" s="1"/>
      <c r="N874" s="1"/>
      <c r="O874" s="1"/>
      <c r="P874" s="1"/>
      <c r="Q874" s="1"/>
      <c r="R874" s="1"/>
      <c r="S874" s="1"/>
      <c r="T874" s="1"/>
      <c r="U874" s="2"/>
      <c r="V874" s="1"/>
      <c r="W874" s="1"/>
      <c r="X874" s="1"/>
      <c r="Y874" s="1"/>
      <c r="Z874" s="1"/>
    </row>
    <row r="875" spans="1:26" ht="39.75" customHeight="1">
      <c r="A875" s="1"/>
      <c r="B875" s="1"/>
      <c r="C875" s="1"/>
      <c r="D875" s="1"/>
      <c r="E875" s="1"/>
      <c r="F875" s="1"/>
      <c r="G875" s="1"/>
      <c r="H875" s="1"/>
      <c r="I875" s="1"/>
      <c r="J875" s="1"/>
      <c r="K875" s="1"/>
      <c r="L875" s="1"/>
      <c r="M875" s="1"/>
      <c r="N875" s="1"/>
      <c r="O875" s="1"/>
      <c r="P875" s="1"/>
      <c r="Q875" s="1"/>
      <c r="R875" s="1"/>
      <c r="S875" s="1"/>
      <c r="T875" s="1"/>
      <c r="U875" s="2"/>
      <c r="V875" s="1"/>
      <c r="W875" s="1"/>
      <c r="X875" s="1"/>
      <c r="Y875" s="1"/>
      <c r="Z875" s="1"/>
    </row>
    <row r="876" spans="1:26" ht="39.75" customHeight="1">
      <c r="A876" s="1"/>
      <c r="B876" s="1"/>
      <c r="C876" s="1"/>
      <c r="D876" s="1"/>
      <c r="E876" s="1"/>
      <c r="F876" s="1"/>
      <c r="G876" s="1"/>
      <c r="H876" s="1"/>
      <c r="I876" s="1"/>
      <c r="J876" s="1"/>
      <c r="K876" s="1"/>
      <c r="L876" s="1"/>
      <c r="M876" s="1"/>
      <c r="N876" s="1"/>
      <c r="O876" s="1"/>
      <c r="P876" s="1"/>
      <c r="Q876" s="1"/>
      <c r="R876" s="1"/>
      <c r="S876" s="1"/>
      <c r="T876" s="1"/>
      <c r="U876" s="2"/>
      <c r="V876" s="1"/>
      <c r="W876" s="1"/>
      <c r="X876" s="1"/>
      <c r="Y876" s="1"/>
      <c r="Z876" s="1"/>
    </row>
    <row r="877" spans="1:26" ht="39.75" customHeight="1">
      <c r="A877" s="1"/>
      <c r="B877" s="1"/>
      <c r="C877" s="1"/>
      <c r="D877" s="1"/>
      <c r="E877" s="1"/>
      <c r="F877" s="1"/>
      <c r="G877" s="1"/>
      <c r="H877" s="1"/>
      <c r="I877" s="1"/>
      <c r="J877" s="1"/>
      <c r="K877" s="1"/>
      <c r="L877" s="1"/>
      <c r="M877" s="1"/>
      <c r="N877" s="1"/>
      <c r="O877" s="1"/>
      <c r="P877" s="1"/>
      <c r="Q877" s="1"/>
      <c r="R877" s="1"/>
      <c r="S877" s="1"/>
      <c r="T877" s="1"/>
      <c r="U877" s="2"/>
      <c r="V877" s="1"/>
      <c r="W877" s="1"/>
      <c r="X877" s="1"/>
      <c r="Y877" s="1"/>
      <c r="Z877" s="1"/>
    </row>
    <row r="878" spans="1:26" ht="39.75" customHeight="1">
      <c r="A878" s="1"/>
      <c r="B878" s="1"/>
      <c r="C878" s="1"/>
      <c r="D878" s="1"/>
      <c r="E878" s="1"/>
      <c r="F878" s="1"/>
      <c r="G878" s="1"/>
      <c r="H878" s="1"/>
      <c r="I878" s="1"/>
      <c r="J878" s="1"/>
      <c r="K878" s="1"/>
      <c r="L878" s="1"/>
      <c r="M878" s="1"/>
      <c r="N878" s="1"/>
      <c r="O878" s="1"/>
      <c r="P878" s="1"/>
      <c r="Q878" s="1"/>
      <c r="R878" s="1"/>
      <c r="S878" s="1"/>
      <c r="T878" s="1"/>
      <c r="U878" s="2"/>
      <c r="V878" s="1"/>
      <c r="W878" s="1"/>
      <c r="X878" s="1"/>
      <c r="Y878" s="1"/>
      <c r="Z878" s="1"/>
    </row>
    <row r="879" spans="1:26" ht="39.75" customHeight="1">
      <c r="A879" s="1"/>
      <c r="B879" s="1"/>
      <c r="C879" s="1"/>
      <c r="D879" s="1"/>
      <c r="E879" s="1"/>
      <c r="F879" s="1"/>
      <c r="G879" s="1"/>
      <c r="H879" s="1"/>
      <c r="I879" s="1"/>
      <c r="J879" s="1"/>
      <c r="K879" s="1"/>
      <c r="L879" s="1"/>
      <c r="M879" s="1"/>
      <c r="N879" s="1"/>
      <c r="O879" s="1"/>
      <c r="P879" s="1"/>
      <c r="Q879" s="1"/>
      <c r="R879" s="1"/>
      <c r="S879" s="1"/>
      <c r="T879" s="1"/>
      <c r="U879" s="2"/>
      <c r="V879" s="1"/>
      <c r="W879" s="1"/>
      <c r="X879" s="1"/>
      <c r="Y879" s="1"/>
      <c r="Z879" s="1"/>
    </row>
    <row r="880" spans="1:26" ht="39.75" customHeight="1">
      <c r="A880" s="1"/>
      <c r="B880" s="1"/>
      <c r="C880" s="1"/>
      <c r="D880" s="1"/>
      <c r="E880" s="1"/>
      <c r="F880" s="1"/>
      <c r="G880" s="1"/>
      <c r="H880" s="1"/>
      <c r="I880" s="1"/>
      <c r="J880" s="1"/>
      <c r="K880" s="1"/>
      <c r="L880" s="1"/>
      <c r="M880" s="1"/>
      <c r="N880" s="1"/>
      <c r="O880" s="1"/>
      <c r="P880" s="1"/>
      <c r="Q880" s="1"/>
      <c r="R880" s="1"/>
      <c r="S880" s="1"/>
      <c r="T880" s="1"/>
      <c r="U880" s="2"/>
      <c r="V880" s="1"/>
      <c r="W880" s="1"/>
      <c r="X880" s="1"/>
      <c r="Y880" s="1"/>
      <c r="Z880" s="1"/>
    </row>
    <row r="881" spans="1:26" ht="39.75" customHeight="1">
      <c r="A881" s="1"/>
      <c r="B881" s="1"/>
      <c r="C881" s="1"/>
      <c r="D881" s="1"/>
      <c r="E881" s="1"/>
      <c r="F881" s="1"/>
      <c r="G881" s="1"/>
      <c r="H881" s="1"/>
      <c r="I881" s="1"/>
      <c r="J881" s="1"/>
      <c r="K881" s="1"/>
      <c r="L881" s="1"/>
      <c r="M881" s="1"/>
      <c r="N881" s="1"/>
      <c r="O881" s="1"/>
      <c r="P881" s="1"/>
      <c r="Q881" s="1"/>
      <c r="R881" s="1"/>
      <c r="S881" s="1"/>
      <c r="T881" s="1"/>
      <c r="U881" s="2"/>
      <c r="V881" s="1"/>
      <c r="W881" s="1"/>
      <c r="X881" s="1"/>
      <c r="Y881" s="1"/>
      <c r="Z881" s="1"/>
    </row>
    <row r="882" spans="1:26" ht="39.75" customHeight="1">
      <c r="A882" s="1"/>
      <c r="B882" s="1"/>
      <c r="C882" s="1"/>
      <c r="D882" s="1"/>
      <c r="E882" s="1"/>
      <c r="F882" s="1"/>
      <c r="G882" s="1"/>
      <c r="H882" s="1"/>
      <c r="I882" s="1"/>
      <c r="J882" s="1"/>
      <c r="K882" s="1"/>
      <c r="L882" s="1"/>
      <c r="M882" s="1"/>
      <c r="N882" s="1"/>
      <c r="O882" s="1"/>
      <c r="P882" s="1"/>
      <c r="Q882" s="1"/>
      <c r="R882" s="1"/>
      <c r="S882" s="1"/>
      <c r="T882" s="1"/>
      <c r="U882" s="2"/>
      <c r="V882" s="1"/>
      <c r="W882" s="1"/>
      <c r="X882" s="1"/>
      <c r="Y882" s="1"/>
      <c r="Z882" s="1"/>
    </row>
    <row r="883" spans="1:26" ht="39.75" customHeight="1">
      <c r="A883" s="1"/>
      <c r="B883" s="1"/>
      <c r="C883" s="1"/>
      <c r="D883" s="1"/>
      <c r="E883" s="1"/>
      <c r="F883" s="1"/>
      <c r="G883" s="1"/>
      <c r="H883" s="1"/>
      <c r="I883" s="1"/>
      <c r="J883" s="1"/>
      <c r="K883" s="1"/>
      <c r="L883" s="1"/>
      <c r="M883" s="1"/>
      <c r="N883" s="1"/>
      <c r="O883" s="1"/>
      <c r="P883" s="1"/>
      <c r="Q883" s="1"/>
      <c r="R883" s="1"/>
      <c r="S883" s="1"/>
      <c r="T883" s="1"/>
      <c r="U883" s="2"/>
      <c r="V883" s="1"/>
      <c r="W883" s="1"/>
      <c r="X883" s="1"/>
      <c r="Y883" s="1"/>
      <c r="Z883" s="1"/>
    </row>
    <row r="884" spans="1:26" ht="39.75" customHeight="1">
      <c r="A884" s="1"/>
      <c r="B884" s="1"/>
      <c r="C884" s="1"/>
      <c r="D884" s="1"/>
      <c r="E884" s="1"/>
      <c r="F884" s="1"/>
      <c r="G884" s="1"/>
      <c r="H884" s="1"/>
      <c r="I884" s="1"/>
      <c r="J884" s="1"/>
      <c r="K884" s="1"/>
      <c r="L884" s="1"/>
      <c r="M884" s="1"/>
      <c r="N884" s="1"/>
      <c r="O884" s="1"/>
      <c r="P884" s="1"/>
      <c r="Q884" s="1"/>
      <c r="R884" s="1"/>
      <c r="S884" s="1"/>
      <c r="T884" s="1"/>
      <c r="U884" s="2"/>
      <c r="V884" s="1"/>
      <c r="W884" s="1"/>
      <c r="X884" s="1"/>
      <c r="Y884" s="1"/>
      <c r="Z884" s="1"/>
    </row>
    <row r="885" spans="1:26" ht="39.75" customHeight="1">
      <c r="A885" s="1"/>
      <c r="B885" s="1"/>
      <c r="C885" s="1"/>
      <c r="D885" s="1"/>
      <c r="E885" s="1"/>
      <c r="F885" s="1"/>
      <c r="G885" s="1"/>
      <c r="H885" s="1"/>
      <c r="I885" s="1"/>
      <c r="J885" s="1"/>
      <c r="K885" s="1"/>
      <c r="L885" s="1"/>
      <c r="M885" s="1"/>
      <c r="N885" s="1"/>
      <c r="O885" s="1"/>
      <c r="P885" s="1"/>
      <c r="Q885" s="1"/>
      <c r="R885" s="1"/>
      <c r="S885" s="1"/>
      <c r="T885" s="1"/>
      <c r="U885" s="2"/>
      <c r="V885" s="1"/>
      <c r="W885" s="1"/>
      <c r="X885" s="1"/>
      <c r="Y885" s="1"/>
      <c r="Z885" s="1"/>
    </row>
    <row r="886" spans="1:26" ht="39.75" customHeight="1">
      <c r="A886" s="1"/>
      <c r="B886" s="1"/>
      <c r="C886" s="1"/>
      <c r="D886" s="1"/>
      <c r="E886" s="1"/>
      <c r="F886" s="1"/>
      <c r="G886" s="1"/>
      <c r="H886" s="1"/>
      <c r="I886" s="1"/>
      <c r="J886" s="1"/>
      <c r="K886" s="1"/>
      <c r="L886" s="1"/>
      <c r="M886" s="1"/>
      <c r="N886" s="1"/>
      <c r="O886" s="1"/>
      <c r="P886" s="1"/>
      <c r="Q886" s="1"/>
      <c r="R886" s="1"/>
      <c r="S886" s="1"/>
      <c r="T886" s="1"/>
      <c r="U886" s="2"/>
      <c r="V886" s="1"/>
      <c r="W886" s="1"/>
      <c r="X886" s="1"/>
      <c r="Y886" s="1"/>
      <c r="Z886" s="1"/>
    </row>
    <row r="887" spans="1:26" ht="39.75" customHeight="1">
      <c r="A887" s="1"/>
      <c r="B887" s="1"/>
      <c r="C887" s="1"/>
      <c r="D887" s="1"/>
      <c r="E887" s="1"/>
      <c r="F887" s="1"/>
      <c r="G887" s="1"/>
      <c r="H887" s="1"/>
      <c r="I887" s="1"/>
      <c r="J887" s="1"/>
      <c r="K887" s="1"/>
      <c r="L887" s="1"/>
      <c r="M887" s="1"/>
      <c r="N887" s="1"/>
      <c r="O887" s="1"/>
      <c r="P887" s="1"/>
      <c r="Q887" s="1"/>
      <c r="R887" s="1"/>
      <c r="S887" s="1"/>
      <c r="T887" s="1"/>
      <c r="U887" s="2"/>
      <c r="V887" s="1"/>
      <c r="W887" s="1"/>
      <c r="X887" s="1"/>
      <c r="Y887" s="1"/>
      <c r="Z887" s="1"/>
    </row>
    <row r="888" spans="1:26" ht="39.75" customHeight="1">
      <c r="A888" s="1"/>
      <c r="B888" s="1"/>
      <c r="C888" s="1"/>
      <c r="D888" s="1"/>
      <c r="E888" s="1"/>
      <c r="F888" s="1"/>
      <c r="G888" s="1"/>
      <c r="H888" s="1"/>
      <c r="I888" s="1"/>
      <c r="J888" s="1"/>
      <c r="K888" s="1"/>
      <c r="L888" s="1"/>
      <c r="M888" s="1"/>
      <c r="N888" s="1"/>
      <c r="O888" s="1"/>
      <c r="P888" s="1"/>
      <c r="Q888" s="1"/>
      <c r="R888" s="1"/>
      <c r="S888" s="1"/>
      <c r="T888" s="1"/>
      <c r="U888" s="2"/>
      <c r="V888" s="1"/>
      <c r="W888" s="1"/>
      <c r="X888" s="1"/>
      <c r="Y888" s="1"/>
      <c r="Z888" s="1"/>
    </row>
    <row r="889" spans="1:26" ht="39.75" customHeight="1">
      <c r="A889" s="1"/>
      <c r="B889" s="1"/>
      <c r="C889" s="1"/>
      <c r="D889" s="1"/>
      <c r="E889" s="1"/>
      <c r="F889" s="1"/>
      <c r="G889" s="1"/>
      <c r="H889" s="1"/>
      <c r="I889" s="1"/>
      <c r="J889" s="1"/>
      <c r="K889" s="1"/>
      <c r="L889" s="1"/>
      <c r="M889" s="1"/>
      <c r="N889" s="1"/>
      <c r="O889" s="1"/>
      <c r="P889" s="1"/>
      <c r="Q889" s="1"/>
      <c r="R889" s="1"/>
      <c r="S889" s="1"/>
      <c r="T889" s="1"/>
      <c r="U889" s="2"/>
      <c r="V889" s="1"/>
      <c r="W889" s="1"/>
      <c r="X889" s="1"/>
      <c r="Y889" s="1"/>
      <c r="Z889" s="1"/>
    </row>
    <row r="890" spans="1:26" ht="39.75" customHeight="1">
      <c r="A890" s="1"/>
      <c r="B890" s="1"/>
      <c r="C890" s="1"/>
      <c r="D890" s="1"/>
      <c r="E890" s="1"/>
      <c r="F890" s="1"/>
      <c r="G890" s="1"/>
      <c r="H890" s="1"/>
      <c r="I890" s="1"/>
      <c r="J890" s="1"/>
      <c r="K890" s="1"/>
      <c r="L890" s="1"/>
      <c r="M890" s="1"/>
      <c r="N890" s="1"/>
      <c r="O890" s="1"/>
      <c r="P890" s="1"/>
      <c r="Q890" s="1"/>
      <c r="R890" s="1"/>
      <c r="S890" s="1"/>
      <c r="T890" s="1"/>
      <c r="U890" s="2"/>
      <c r="V890" s="1"/>
      <c r="W890" s="1"/>
      <c r="X890" s="1"/>
      <c r="Y890" s="1"/>
      <c r="Z890" s="1"/>
    </row>
    <row r="891" spans="1:26" ht="39.75" customHeight="1">
      <c r="A891" s="1"/>
      <c r="B891" s="1"/>
      <c r="C891" s="1"/>
      <c r="D891" s="1"/>
      <c r="E891" s="1"/>
      <c r="F891" s="1"/>
      <c r="G891" s="1"/>
      <c r="H891" s="1"/>
      <c r="I891" s="1"/>
      <c r="J891" s="1"/>
      <c r="K891" s="1"/>
      <c r="L891" s="1"/>
      <c r="M891" s="1"/>
      <c r="N891" s="1"/>
      <c r="O891" s="1"/>
      <c r="P891" s="1"/>
      <c r="Q891" s="1"/>
      <c r="R891" s="1"/>
      <c r="S891" s="1"/>
      <c r="T891" s="1"/>
      <c r="U891" s="2"/>
      <c r="V891" s="1"/>
      <c r="W891" s="1"/>
      <c r="X891" s="1"/>
      <c r="Y891" s="1"/>
      <c r="Z891" s="1"/>
    </row>
    <row r="892" spans="1:26" ht="39.75" customHeight="1">
      <c r="A892" s="1"/>
      <c r="B892" s="1"/>
      <c r="C892" s="1"/>
      <c r="D892" s="1"/>
      <c r="E892" s="1"/>
      <c r="F892" s="1"/>
      <c r="G892" s="1"/>
      <c r="H892" s="1"/>
      <c r="I892" s="1"/>
      <c r="J892" s="1"/>
      <c r="K892" s="1"/>
      <c r="L892" s="1"/>
      <c r="M892" s="1"/>
      <c r="N892" s="1"/>
      <c r="O892" s="1"/>
      <c r="P892" s="1"/>
      <c r="Q892" s="1"/>
      <c r="R892" s="1"/>
      <c r="S892" s="1"/>
      <c r="T892" s="1"/>
      <c r="U892" s="2"/>
      <c r="V892" s="1"/>
      <c r="W892" s="1"/>
      <c r="X892" s="1"/>
      <c r="Y892" s="1"/>
      <c r="Z892" s="1"/>
    </row>
    <row r="893" spans="1:26" ht="39.75" customHeight="1">
      <c r="A893" s="1"/>
      <c r="B893" s="1"/>
      <c r="C893" s="1"/>
      <c r="D893" s="1"/>
      <c r="E893" s="1"/>
      <c r="F893" s="1"/>
      <c r="G893" s="1"/>
      <c r="H893" s="1"/>
      <c r="I893" s="1"/>
      <c r="J893" s="1"/>
      <c r="K893" s="1"/>
      <c r="L893" s="1"/>
      <c r="M893" s="1"/>
      <c r="N893" s="1"/>
      <c r="O893" s="1"/>
      <c r="P893" s="1"/>
      <c r="Q893" s="1"/>
      <c r="R893" s="1"/>
      <c r="S893" s="1"/>
      <c r="T893" s="1"/>
      <c r="U893" s="2"/>
      <c r="V893" s="1"/>
      <c r="W893" s="1"/>
      <c r="X893" s="1"/>
      <c r="Y893" s="1"/>
      <c r="Z893" s="1"/>
    </row>
    <row r="894" spans="1:26" ht="39.75" customHeight="1">
      <c r="A894" s="1"/>
      <c r="B894" s="1"/>
      <c r="C894" s="1"/>
      <c r="D894" s="1"/>
      <c r="E894" s="1"/>
      <c r="F894" s="1"/>
      <c r="G894" s="1"/>
      <c r="H894" s="1"/>
      <c r="I894" s="1"/>
      <c r="J894" s="1"/>
      <c r="K894" s="1"/>
      <c r="L894" s="1"/>
      <c r="M894" s="1"/>
      <c r="N894" s="1"/>
      <c r="O894" s="1"/>
      <c r="P894" s="1"/>
      <c r="Q894" s="1"/>
      <c r="R894" s="1"/>
      <c r="S894" s="1"/>
      <c r="T894" s="1"/>
      <c r="U894" s="2"/>
      <c r="V894" s="1"/>
      <c r="W894" s="1"/>
      <c r="X894" s="1"/>
      <c r="Y894" s="1"/>
      <c r="Z894" s="1"/>
    </row>
    <row r="895" spans="1:26" ht="39.75" customHeight="1">
      <c r="A895" s="1"/>
      <c r="B895" s="1"/>
      <c r="C895" s="1"/>
      <c r="D895" s="1"/>
      <c r="E895" s="1"/>
      <c r="F895" s="1"/>
      <c r="G895" s="1"/>
      <c r="H895" s="1"/>
      <c r="I895" s="1"/>
      <c r="J895" s="1"/>
      <c r="K895" s="1"/>
      <c r="L895" s="1"/>
      <c r="M895" s="1"/>
      <c r="N895" s="1"/>
      <c r="O895" s="1"/>
      <c r="P895" s="1"/>
      <c r="Q895" s="1"/>
      <c r="R895" s="1"/>
      <c r="S895" s="1"/>
      <c r="T895" s="1"/>
      <c r="U895" s="2"/>
      <c r="V895" s="1"/>
      <c r="W895" s="1"/>
      <c r="X895" s="1"/>
      <c r="Y895" s="1"/>
      <c r="Z895" s="1"/>
    </row>
    <row r="896" spans="1:26" ht="39.75" customHeight="1">
      <c r="A896" s="1"/>
      <c r="B896" s="1"/>
      <c r="C896" s="1"/>
      <c r="D896" s="1"/>
      <c r="E896" s="1"/>
      <c r="F896" s="1"/>
      <c r="G896" s="1"/>
      <c r="H896" s="1"/>
      <c r="I896" s="1"/>
      <c r="J896" s="1"/>
      <c r="K896" s="1"/>
      <c r="L896" s="1"/>
      <c r="M896" s="1"/>
      <c r="N896" s="1"/>
      <c r="O896" s="1"/>
      <c r="P896" s="1"/>
      <c r="Q896" s="1"/>
      <c r="R896" s="1"/>
      <c r="S896" s="1"/>
      <c r="T896" s="1"/>
      <c r="U896" s="2"/>
      <c r="V896" s="1"/>
      <c r="W896" s="1"/>
      <c r="X896" s="1"/>
      <c r="Y896" s="1"/>
      <c r="Z896" s="1"/>
    </row>
    <row r="897" spans="1:26" ht="39.75" customHeight="1">
      <c r="A897" s="1"/>
      <c r="B897" s="1"/>
      <c r="C897" s="1"/>
      <c r="D897" s="1"/>
      <c r="E897" s="1"/>
      <c r="F897" s="1"/>
      <c r="G897" s="1"/>
      <c r="H897" s="1"/>
      <c r="I897" s="1"/>
      <c r="J897" s="1"/>
      <c r="K897" s="1"/>
      <c r="L897" s="1"/>
      <c r="M897" s="1"/>
      <c r="N897" s="1"/>
      <c r="O897" s="1"/>
      <c r="P897" s="1"/>
      <c r="Q897" s="1"/>
      <c r="R897" s="1"/>
      <c r="S897" s="1"/>
      <c r="T897" s="1"/>
      <c r="U897" s="2"/>
      <c r="V897" s="1"/>
      <c r="W897" s="1"/>
      <c r="X897" s="1"/>
      <c r="Y897" s="1"/>
      <c r="Z897" s="1"/>
    </row>
    <row r="898" spans="1:26" ht="39.75" customHeight="1">
      <c r="A898" s="1"/>
      <c r="B898" s="1"/>
      <c r="C898" s="1"/>
      <c r="D898" s="1"/>
      <c r="E898" s="1"/>
      <c r="F898" s="1"/>
      <c r="G898" s="1"/>
      <c r="H898" s="1"/>
      <c r="I898" s="1"/>
      <c r="J898" s="1"/>
      <c r="K898" s="1"/>
      <c r="L898" s="1"/>
      <c r="M898" s="1"/>
      <c r="N898" s="1"/>
      <c r="O898" s="1"/>
      <c r="P898" s="1"/>
      <c r="Q898" s="1"/>
      <c r="R898" s="1"/>
      <c r="S898" s="1"/>
      <c r="T898" s="1"/>
      <c r="U898" s="2"/>
      <c r="V898" s="1"/>
      <c r="W898" s="1"/>
      <c r="X898" s="1"/>
      <c r="Y898" s="1"/>
      <c r="Z898" s="1"/>
    </row>
    <row r="899" spans="1:26" ht="39.75" customHeight="1">
      <c r="A899" s="1"/>
      <c r="B899" s="1"/>
      <c r="C899" s="1"/>
      <c r="D899" s="1"/>
      <c r="E899" s="1"/>
      <c r="F899" s="1"/>
      <c r="G899" s="1"/>
      <c r="H899" s="1"/>
      <c r="I899" s="1"/>
      <c r="J899" s="1"/>
      <c r="K899" s="1"/>
      <c r="L899" s="1"/>
      <c r="M899" s="1"/>
      <c r="N899" s="1"/>
      <c r="O899" s="1"/>
      <c r="P899" s="1"/>
      <c r="Q899" s="1"/>
      <c r="R899" s="1"/>
      <c r="S899" s="1"/>
      <c r="T899" s="1"/>
      <c r="U899" s="2"/>
      <c r="V899" s="1"/>
      <c r="W899" s="1"/>
      <c r="X899" s="1"/>
      <c r="Y899" s="1"/>
      <c r="Z899" s="1"/>
    </row>
    <row r="900" spans="1:26" ht="39.75" customHeight="1">
      <c r="A900" s="1"/>
      <c r="B900" s="1"/>
      <c r="C900" s="1"/>
      <c r="D900" s="1"/>
      <c r="E900" s="1"/>
      <c r="F900" s="1"/>
      <c r="G900" s="1"/>
      <c r="H900" s="1"/>
      <c r="I900" s="1"/>
      <c r="J900" s="1"/>
      <c r="K900" s="1"/>
      <c r="L900" s="1"/>
      <c r="M900" s="1"/>
      <c r="N900" s="1"/>
      <c r="O900" s="1"/>
      <c r="P900" s="1"/>
      <c r="Q900" s="1"/>
      <c r="R900" s="1"/>
      <c r="S900" s="1"/>
      <c r="T900" s="1"/>
      <c r="U900" s="2"/>
      <c r="V900" s="1"/>
      <c r="W900" s="1"/>
      <c r="X900" s="1"/>
      <c r="Y900" s="1"/>
      <c r="Z900" s="1"/>
    </row>
    <row r="901" spans="1:26" ht="39.75" customHeight="1">
      <c r="A901" s="1"/>
      <c r="B901" s="1"/>
      <c r="C901" s="1"/>
      <c r="D901" s="1"/>
      <c r="E901" s="1"/>
      <c r="F901" s="1"/>
      <c r="G901" s="1"/>
      <c r="H901" s="1"/>
      <c r="I901" s="1"/>
      <c r="J901" s="1"/>
      <c r="K901" s="1"/>
      <c r="L901" s="1"/>
      <c r="M901" s="1"/>
      <c r="N901" s="1"/>
      <c r="O901" s="1"/>
      <c r="P901" s="1"/>
      <c r="Q901" s="1"/>
      <c r="R901" s="1"/>
      <c r="S901" s="1"/>
      <c r="T901" s="1"/>
      <c r="U901" s="2"/>
      <c r="V901" s="1"/>
      <c r="W901" s="1"/>
      <c r="X901" s="1"/>
      <c r="Y901" s="1"/>
      <c r="Z901" s="1"/>
    </row>
    <row r="902" spans="1:26" ht="39.75" customHeight="1">
      <c r="A902" s="1"/>
      <c r="B902" s="1"/>
      <c r="C902" s="1"/>
      <c r="D902" s="1"/>
      <c r="E902" s="1"/>
      <c r="F902" s="1"/>
      <c r="G902" s="1"/>
      <c r="H902" s="1"/>
      <c r="I902" s="1"/>
      <c r="J902" s="1"/>
      <c r="K902" s="1"/>
      <c r="L902" s="1"/>
      <c r="M902" s="1"/>
      <c r="N902" s="1"/>
      <c r="O902" s="1"/>
      <c r="P902" s="1"/>
      <c r="Q902" s="1"/>
      <c r="R902" s="1"/>
      <c r="S902" s="1"/>
      <c r="T902" s="1"/>
      <c r="U902" s="2"/>
      <c r="V902" s="1"/>
      <c r="W902" s="1"/>
      <c r="X902" s="1"/>
      <c r="Y902" s="1"/>
      <c r="Z902" s="1"/>
    </row>
    <row r="903" spans="1:26" ht="39.75" customHeight="1">
      <c r="A903" s="1"/>
      <c r="B903" s="1"/>
      <c r="C903" s="1"/>
      <c r="D903" s="1"/>
      <c r="E903" s="1"/>
      <c r="F903" s="1"/>
      <c r="G903" s="1"/>
      <c r="H903" s="1"/>
      <c r="I903" s="1"/>
      <c r="J903" s="1"/>
      <c r="K903" s="1"/>
      <c r="L903" s="1"/>
      <c r="M903" s="1"/>
      <c r="N903" s="1"/>
      <c r="O903" s="1"/>
      <c r="P903" s="1"/>
      <c r="Q903" s="1"/>
      <c r="R903" s="1"/>
      <c r="S903" s="1"/>
      <c r="T903" s="1"/>
      <c r="U903" s="2"/>
      <c r="V903" s="1"/>
      <c r="W903" s="1"/>
      <c r="X903" s="1"/>
      <c r="Y903" s="1"/>
      <c r="Z903" s="1"/>
    </row>
    <row r="904" spans="1:26" ht="39.75" customHeight="1">
      <c r="A904" s="1"/>
      <c r="B904" s="1"/>
      <c r="C904" s="1"/>
      <c r="D904" s="1"/>
      <c r="E904" s="1"/>
      <c r="F904" s="1"/>
      <c r="G904" s="1"/>
      <c r="H904" s="1"/>
      <c r="I904" s="1"/>
      <c r="J904" s="1"/>
      <c r="K904" s="1"/>
      <c r="L904" s="1"/>
      <c r="M904" s="1"/>
      <c r="N904" s="1"/>
      <c r="O904" s="1"/>
      <c r="P904" s="1"/>
      <c r="Q904" s="1"/>
      <c r="R904" s="1"/>
      <c r="S904" s="1"/>
      <c r="T904" s="1"/>
      <c r="U904" s="2"/>
      <c r="V904" s="1"/>
      <c r="W904" s="1"/>
      <c r="X904" s="1"/>
      <c r="Y904" s="1"/>
      <c r="Z904" s="1"/>
    </row>
    <row r="905" spans="1:26" ht="39.75" customHeight="1">
      <c r="A905" s="1"/>
      <c r="B905" s="1"/>
      <c r="C905" s="1"/>
      <c r="D905" s="1"/>
      <c r="E905" s="1"/>
      <c r="F905" s="1"/>
      <c r="G905" s="1"/>
      <c r="H905" s="1"/>
      <c r="I905" s="1"/>
      <c r="J905" s="1"/>
      <c r="K905" s="1"/>
      <c r="L905" s="1"/>
      <c r="M905" s="1"/>
      <c r="N905" s="1"/>
      <c r="O905" s="1"/>
      <c r="P905" s="1"/>
      <c r="Q905" s="1"/>
      <c r="R905" s="1"/>
      <c r="S905" s="1"/>
      <c r="T905" s="1"/>
      <c r="U905" s="2"/>
      <c r="V905" s="1"/>
      <c r="W905" s="1"/>
      <c r="X905" s="1"/>
      <c r="Y905" s="1"/>
      <c r="Z905" s="1"/>
    </row>
    <row r="906" spans="1:26" ht="39.75" customHeight="1">
      <c r="A906" s="1"/>
      <c r="B906" s="1"/>
      <c r="C906" s="1"/>
      <c r="D906" s="1"/>
      <c r="E906" s="1"/>
      <c r="F906" s="1"/>
      <c r="G906" s="1"/>
      <c r="H906" s="1"/>
      <c r="I906" s="1"/>
      <c r="J906" s="1"/>
      <c r="K906" s="1"/>
      <c r="L906" s="1"/>
      <c r="M906" s="1"/>
      <c r="N906" s="1"/>
      <c r="O906" s="1"/>
      <c r="P906" s="1"/>
      <c r="Q906" s="1"/>
      <c r="R906" s="1"/>
      <c r="S906" s="1"/>
      <c r="T906" s="1"/>
      <c r="U906" s="2"/>
      <c r="V906" s="1"/>
      <c r="W906" s="1"/>
      <c r="X906" s="1"/>
      <c r="Y906" s="1"/>
      <c r="Z906" s="1"/>
    </row>
    <row r="907" spans="1:26" ht="39.75" customHeight="1">
      <c r="A907" s="1"/>
      <c r="B907" s="1"/>
      <c r="C907" s="1"/>
      <c r="D907" s="1"/>
      <c r="E907" s="1"/>
      <c r="F907" s="1"/>
      <c r="G907" s="1"/>
      <c r="H907" s="1"/>
      <c r="I907" s="1"/>
      <c r="J907" s="1"/>
      <c r="K907" s="1"/>
      <c r="L907" s="1"/>
      <c r="M907" s="1"/>
      <c r="N907" s="1"/>
      <c r="O907" s="1"/>
      <c r="P907" s="1"/>
      <c r="Q907" s="1"/>
      <c r="R907" s="1"/>
      <c r="S907" s="1"/>
      <c r="T907" s="1"/>
      <c r="U907" s="2"/>
      <c r="V907" s="1"/>
      <c r="W907" s="1"/>
      <c r="X907" s="1"/>
      <c r="Y907" s="1"/>
      <c r="Z907" s="1"/>
    </row>
    <row r="908" spans="1:26" ht="39.75" customHeight="1">
      <c r="A908" s="1"/>
      <c r="B908" s="1"/>
      <c r="C908" s="1"/>
      <c r="D908" s="1"/>
      <c r="E908" s="1"/>
      <c r="F908" s="1"/>
      <c r="G908" s="1"/>
      <c r="H908" s="1"/>
      <c r="I908" s="1"/>
      <c r="J908" s="1"/>
      <c r="K908" s="1"/>
      <c r="L908" s="1"/>
      <c r="M908" s="1"/>
      <c r="N908" s="1"/>
      <c r="O908" s="1"/>
      <c r="P908" s="1"/>
      <c r="Q908" s="1"/>
      <c r="R908" s="1"/>
      <c r="S908" s="1"/>
      <c r="T908" s="1"/>
      <c r="U908" s="2"/>
      <c r="V908" s="1"/>
      <c r="W908" s="1"/>
      <c r="X908" s="1"/>
      <c r="Y908" s="1"/>
      <c r="Z908" s="1"/>
    </row>
    <row r="909" spans="1:26" ht="39.75" customHeight="1">
      <c r="A909" s="1"/>
      <c r="B909" s="1"/>
      <c r="C909" s="1"/>
      <c r="D909" s="1"/>
      <c r="E909" s="1"/>
      <c r="F909" s="1"/>
      <c r="G909" s="1"/>
      <c r="H909" s="1"/>
      <c r="I909" s="1"/>
      <c r="J909" s="1"/>
      <c r="K909" s="1"/>
      <c r="L909" s="1"/>
      <c r="M909" s="1"/>
      <c r="N909" s="1"/>
      <c r="O909" s="1"/>
      <c r="P909" s="1"/>
      <c r="Q909" s="1"/>
      <c r="R909" s="1"/>
      <c r="S909" s="1"/>
      <c r="T909" s="1"/>
      <c r="U909" s="2"/>
      <c r="V909" s="1"/>
      <c r="W909" s="1"/>
      <c r="X909" s="1"/>
      <c r="Y909" s="1"/>
      <c r="Z909" s="1"/>
    </row>
    <row r="910" spans="1:26" ht="39.75" customHeight="1">
      <c r="A910" s="1"/>
      <c r="B910" s="1"/>
      <c r="C910" s="1"/>
      <c r="D910" s="1"/>
      <c r="E910" s="1"/>
      <c r="F910" s="1"/>
      <c r="G910" s="1"/>
      <c r="H910" s="1"/>
      <c r="I910" s="1"/>
      <c r="J910" s="1"/>
      <c r="K910" s="1"/>
      <c r="L910" s="1"/>
      <c r="M910" s="1"/>
      <c r="N910" s="1"/>
      <c r="O910" s="1"/>
      <c r="P910" s="1"/>
      <c r="Q910" s="1"/>
      <c r="R910" s="1"/>
      <c r="S910" s="1"/>
      <c r="T910" s="1"/>
      <c r="U910" s="2"/>
      <c r="V910" s="1"/>
      <c r="W910" s="1"/>
      <c r="X910" s="1"/>
      <c r="Y910" s="1"/>
      <c r="Z910" s="1"/>
    </row>
    <row r="911" spans="1:26" ht="39.75" customHeight="1">
      <c r="A911" s="1"/>
      <c r="B911" s="1"/>
      <c r="C911" s="1"/>
      <c r="D911" s="1"/>
      <c r="E911" s="1"/>
      <c r="F911" s="1"/>
      <c r="G911" s="1"/>
      <c r="H911" s="1"/>
      <c r="I911" s="1"/>
      <c r="J911" s="1"/>
      <c r="K911" s="1"/>
      <c r="L911" s="1"/>
      <c r="M911" s="1"/>
      <c r="N911" s="1"/>
      <c r="O911" s="1"/>
      <c r="P911" s="1"/>
      <c r="Q911" s="1"/>
      <c r="R911" s="1"/>
      <c r="S911" s="1"/>
      <c r="T911" s="1"/>
      <c r="U911" s="2"/>
      <c r="V911" s="1"/>
      <c r="W911" s="1"/>
      <c r="X911" s="1"/>
      <c r="Y911" s="1"/>
      <c r="Z911" s="1"/>
    </row>
    <row r="912" spans="1:26" ht="39.75" customHeight="1">
      <c r="A912" s="1"/>
      <c r="B912" s="1"/>
      <c r="C912" s="1"/>
      <c r="D912" s="1"/>
      <c r="E912" s="1"/>
      <c r="F912" s="1"/>
      <c r="G912" s="1"/>
      <c r="H912" s="1"/>
      <c r="I912" s="1"/>
      <c r="J912" s="1"/>
      <c r="K912" s="1"/>
      <c r="L912" s="1"/>
      <c r="M912" s="1"/>
      <c r="N912" s="1"/>
      <c r="O912" s="1"/>
      <c r="P912" s="1"/>
      <c r="Q912" s="1"/>
      <c r="R912" s="1"/>
      <c r="S912" s="1"/>
      <c r="T912" s="1"/>
      <c r="U912" s="2"/>
      <c r="V912" s="1"/>
      <c r="W912" s="1"/>
      <c r="X912" s="1"/>
      <c r="Y912" s="1"/>
      <c r="Z912" s="1"/>
    </row>
    <row r="913" spans="1:26" ht="39.75" customHeight="1">
      <c r="A913" s="1"/>
      <c r="B913" s="1"/>
      <c r="C913" s="1"/>
      <c r="D913" s="1"/>
      <c r="E913" s="1"/>
      <c r="F913" s="1"/>
      <c r="G913" s="1"/>
      <c r="H913" s="1"/>
      <c r="I913" s="1"/>
      <c r="J913" s="1"/>
      <c r="K913" s="1"/>
      <c r="L913" s="1"/>
      <c r="M913" s="1"/>
      <c r="N913" s="1"/>
      <c r="O913" s="1"/>
      <c r="P913" s="1"/>
      <c r="Q913" s="1"/>
      <c r="R913" s="1"/>
      <c r="S913" s="1"/>
      <c r="T913" s="1"/>
      <c r="U913" s="2"/>
      <c r="V913" s="1"/>
      <c r="W913" s="1"/>
      <c r="X913" s="1"/>
      <c r="Y913" s="1"/>
      <c r="Z913" s="1"/>
    </row>
    <row r="914" spans="1:26" ht="39.75" customHeight="1">
      <c r="A914" s="1"/>
      <c r="B914" s="1"/>
      <c r="C914" s="1"/>
      <c r="D914" s="1"/>
      <c r="E914" s="1"/>
      <c r="F914" s="1"/>
      <c r="G914" s="1"/>
      <c r="H914" s="1"/>
      <c r="I914" s="1"/>
      <c r="J914" s="1"/>
      <c r="K914" s="1"/>
      <c r="L914" s="1"/>
      <c r="M914" s="1"/>
      <c r="N914" s="1"/>
      <c r="O914" s="1"/>
      <c r="P914" s="1"/>
      <c r="Q914" s="1"/>
      <c r="R914" s="1"/>
      <c r="S914" s="1"/>
      <c r="T914" s="1"/>
      <c r="U914" s="2"/>
      <c r="V914" s="1"/>
      <c r="W914" s="1"/>
      <c r="X914" s="1"/>
      <c r="Y914" s="1"/>
      <c r="Z914" s="1"/>
    </row>
    <row r="915" spans="1:26" ht="39.75" customHeight="1">
      <c r="A915" s="1"/>
      <c r="B915" s="1"/>
      <c r="C915" s="1"/>
      <c r="D915" s="1"/>
      <c r="E915" s="1"/>
      <c r="F915" s="1"/>
      <c r="G915" s="1"/>
      <c r="H915" s="1"/>
      <c r="I915" s="1"/>
      <c r="J915" s="1"/>
      <c r="K915" s="1"/>
      <c r="L915" s="1"/>
      <c r="M915" s="1"/>
      <c r="N915" s="1"/>
      <c r="O915" s="1"/>
      <c r="P915" s="1"/>
      <c r="Q915" s="1"/>
      <c r="R915" s="1"/>
      <c r="S915" s="1"/>
      <c r="T915" s="1"/>
      <c r="U915" s="2"/>
      <c r="V915" s="1"/>
      <c r="W915" s="1"/>
      <c r="X915" s="1"/>
      <c r="Y915" s="1"/>
      <c r="Z915" s="1"/>
    </row>
    <row r="916" spans="1:26" ht="39.75" customHeight="1">
      <c r="A916" s="1"/>
      <c r="B916" s="1"/>
      <c r="C916" s="1"/>
      <c r="D916" s="1"/>
      <c r="E916" s="1"/>
      <c r="F916" s="1"/>
      <c r="G916" s="1"/>
      <c r="H916" s="1"/>
      <c r="I916" s="1"/>
      <c r="J916" s="1"/>
      <c r="K916" s="1"/>
      <c r="L916" s="1"/>
      <c r="M916" s="1"/>
      <c r="N916" s="1"/>
      <c r="O916" s="1"/>
      <c r="P916" s="1"/>
      <c r="Q916" s="1"/>
      <c r="R916" s="1"/>
      <c r="S916" s="1"/>
      <c r="T916" s="1"/>
      <c r="U916" s="2"/>
      <c r="V916" s="1"/>
      <c r="W916" s="1"/>
      <c r="X916" s="1"/>
      <c r="Y916" s="1"/>
      <c r="Z916" s="1"/>
    </row>
    <row r="917" spans="1:26" ht="39.75" customHeight="1">
      <c r="A917" s="1"/>
      <c r="B917" s="1"/>
      <c r="C917" s="1"/>
      <c r="D917" s="1"/>
      <c r="E917" s="1"/>
      <c r="F917" s="1"/>
      <c r="G917" s="1"/>
      <c r="H917" s="1"/>
      <c r="I917" s="1"/>
      <c r="J917" s="1"/>
      <c r="K917" s="1"/>
      <c r="L917" s="1"/>
      <c r="M917" s="1"/>
      <c r="N917" s="1"/>
      <c r="O917" s="1"/>
      <c r="P917" s="1"/>
      <c r="Q917" s="1"/>
      <c r="R917" s="1"/>
      <c r="S917" s="1"/>
      <c r="T917" s="1"/>
      <c r="U917" s="2"/>
      <c r="V917" s="1"/>
      <c r="W917" s="1"/>
      <c r="X917" s="1"/>
      <c r="Y917" s="1"/>
      <c r="Z917" s="1"/>
    </row>
    <row r="918" spans="1:26" ht="39.75" customHeight="1">
      <c r="A918" s="1"/>
      <c r="B918" s="1"/>
      <c r="C918" s="1"/>
      <c r="D918" s="1"/>
      <c r="E918" s="1"/>
      <c r="F918" s="1"/>
      <c r="G918" s="1"/>
      <c r="H918" s="1"/>
      <c r="I918" s="1"/>
      <c r="J918" s="1"/>
      <c r="K918" s="1"/>
      <c r="L918" s="1"/>
      <c r="M918" s="1"/>
      <c r="N918" s="1"/>
      <c r="O918" s="1"/>
      <c r="P918" s="1"/>
      <c r="Q918" s="1"/>
      <c r="R918" s="1"/>
      <c r="S918" s="1"/>
      <c r="T918" s="1"/>
      <c r="U918" s="2"/>
      <c r="V918" s="1"/>
      <c r="W918" s="1"/>
      <c r="X918" s="1"/>
      <c r="Y918" s="1"/>
      <c r="Z918" s="1"/>
    </row>
    <row r="919" spans="1:26" ht="39.75" customHeight="1">
      <c r="A919" s="1"/>
      <c r="B919" s="1"/>
      <c r="C919" s="1"/>
      <c r="D919" s="1"/>
      <c r="E919" s="1"/>
      <c r="F919" s="1"/>
      <c r="G919" s="1"/>
      <c r="H919" s="1"/>
      <c r="I919" s="1"/>
      <c r="J919" s="1"/>
      <c r="K919" s="1"/>
      <c r="L919" s="1"/>
      <c r="M919" s="1"/>
      <c r="N919" s="1"/>
      <c r="O919" s="1"/>
      <c r="P919" s="1"/>
      <c r="Q919" s="1"/>
      <c r="R919" s="1"/>
      <c r="S919" s="1"/>
      <c r="T919" s="1"/>
      <c r="U919" s="2"/>
      <c r="V919" s="1"/>
      <c r="W919" s="1"/>
      <c r="X919" s="1"/>
      <c r="Y919" s="1"/>
      <c r="Z919" s="1"/>
    </row>
    <row r="920" spans="1:26" ht="39.75" customHeight="1">
      <c r="A920" s="1"/>
      <c r="B920" s="1"/>
      <c r="C920" s="1"/>
      <c r="D920" s="1"/>
      <c r="E920" s="1"/>
      <c r="F920" s="1"/>
      <c r="G920" s="1"/>
      <c r="H920" s="1"/>
      <c r="I920" s="1"/>
      <c r="J920" s="1"/>
      <c r="K920" s="1"/>
      <c r="L920" s="1"/>
      <c r="M920" s="1"/>
      <c r="N920" s="1"/>
      <c r="O920" s="1"/>
      <c r="P920" s="1"/>
      <c r="Q920" s="1"/>
      <c r="R920" s="1"/>
      <c r="S920" s="1"/>
      <c r="T920" s="1"/>
      <c r="U920" s="2"/>
      <c r="V920" s="1"/>
      <c r="W920" s="1"/>
      <c r="X920" s="1"/>
      <c r="Y920" s="1"/>
      <c r="Z920" s="1"/>
    </row>
    <row r="921" spans="1:26" ht="39.75" customHeight="1">
      <c r="A921" s="1"/>
      <c r="B921" s="1"/>
      <c r="C921" s="1"/>
      <c r="D921" s="1"/>
      <c r="E921" s="1"/>
      <c r="F921" s="1"/>
      <c r="G921" s="1"/>
      <c r="H921" s="1"/>
      <c r="I921" s="1"/>
      <c r="J921" s="1"/>
      <c r="K921" s="1"/>
      <c r="L921" s="1"/>
      <c r="M921" s="1"/>
      <c r="N921" s="1"/>
      <c r="O921" s="1"/>
      <c r="P921" s="1"/>
      <c r="Q921" s="1"/>
      <c r="R921" s="1"/>
      <c r="S921" s="1"/>
      <c r="T921" s="1"/>
      <c r="U921" s="2"/>
      <c r="V921" s="1"/>
      <c r="W921" s="1"/>
      <c r="X921" s="1"/>
      <c r="Y921" s="1"/>
      <c r="Z921" s="1"/>
    </row>
    <row r="922" spans="1:26" ht="39.75" customHeight="1">
      <c r="A922" s="1"/>
      <c r="B922" s="1"/>
      <c r="C922" s="1"/>
      <c r="D922" s="1"/>
      <c r="E922" s="1"/>
      <c r="F922" s="1"/>
      <c r="G922" s="1"/>
      <c r="H922" s="1"/>
      <c r="I922" s="1"/>
      <c r="J922" s="1"/>
      <c r="K922" s="1"/>
      <c r="L922" s="1"/>
      <c r="M922" s="1"/>
      <c r="N922" s="1"/>
      <c r="O922" s="1"/>
      <c r="P922" s="1"/>
      <c r="Q922" s="1"/>
      <c r="R922" s="1"/>
      <c r="S922" s="1"/>
      <c r="T922" s="1"/>
      <c r="U922" s="2"/>
      <c r="V922" s="1"/>
      <c r="W922" s="1"/>
      <c r="X922" s="1"/>
      <c r="Y922" s="1"/>
      <c r="Z922" s="1"/>
    </row>
    <row r="923" spans="1:26" ht="39.75" customHeight="1">
      <c r="A923" s="1"/>
      <c r="B923" s="1"/>
      <c r="C923" s="1"/>
      <c r="D923" s="1"/>
      <c r="E923" s="1"/>
      <c r="F923" s="1"/>
      <c r="G923" s="1"/>
      <c r="H923" s="1"/>
      <c r="I923" s="1"/>
      <c r="J923" s="1"/>
      <c r="K923" s="1"/>
      <c r="L923" s="1"/>
      <c r="M923" s="1"/>
      <c r="N923" s="1"/>
      <c r="O923" s="1"/>
      <c r="P923" s="1"/>
      <c r="Q923" s="1"/>
      <c r="R923" s="1"/>
      <c r="S923" s="1"/>
      <c r="T923" s="1"/>
      <c r="U923" s="2"/>
      <c r="V923" s="1"/>
      <c r="W923" s="1"/>
      <c r="X923" s="1"/>
      <c r="Y923" s="1"/>
      <c r="Z923" s="1"/>
    </row>
    <row r="924" spans="1:26" ht="39.75" customHeight="1">
      <c r="A924" s="1"/>
      <c r="B924" s="1"/>
      <c r="C924" s="1"/>
      <c r="D924" s="1"/>
      <c r="E924" s="1"/>
      <c r="F924" s="1"/>
      <c r="G924" s="1"/>
      <c r="H924" s="1"/>
      <c r="I924" s="1"/>
      <c r="J924" s="1"/>
      <c r="K924" s="1"/>
      <c r="L924" s="1"/>
      <c r="M924" s="1"/>
      <c r="N924" s="1"/>
      <c r="O924" s="1"/>
      <c r="P924" s="1"/>
      <c r="Q924" s="1"/>
      <c r="R924" s="1"/>
      <c r="S924" s="1"/>
      <c r="T924" s="1"/>
      <c r="U924" s="2"/>
      <c r="V924" s="1"/>
      <c r="W924" s="1"/>
      <c r="X924" s="1"/>
      <c r="Y924" s="1"/>
      <c r="Z924" s="1"/>
    </row>
    <row r="925" spans="1:26" ht="39.75" customHeight="1">
      <c r="A925" s="1"/>
      <c r="B925" s="1"/>
      <c r="C925" s="1"/>
      <c r="D925" s="1"/>
      <c r="E925" s="1"/>
      <c r="F925" s="1"/>
      <c r="G925" s="1"/>
      <c r="H925" s="1"/>
      <c r="I925" s="1"/>
      <c r="J925" s="1"/>
      <c r="K925" s="1"/>
      <c r="L925" s="1"/>
      <c r="M925" s="1"/>
      <c r="N925" s="1"/>
      <c r="O925" s="1"/>
      <c r="P925" s="1"/>
      <c r="Q925" s="1"/>
      <c r="R925" s="1"/>
      <c r="S925" s="1"/>
      <c r="T925" s="1"/>
      <c r="U925" s="2"/>
      <c r="V925" s="1"/>
      <c r="W925" s="1"/>
      <c r="X925" s="1"/>
      <c r="Y925" s="1"/>
      <c r="Z925" s="1"/>
    </row>
    <row r="926" spans="1:26" ht="39.75" customHeight="1">
      <c r="A926" s="1"/>
      <c r="B926" s="1"/>
      <c r="C926" s="1"/>
      <c r="D926" s="1"/>
      <c r="E926" s="1"/>
      <c r="F926" s="1"/>
      <c r="G926" s="1"/>
      <c r="H926" s="1"/>
      <c r="I926" s="1"/>
      <c r="J926" s="1"/>
      <c r="K926" s="1"/>
      <c r="L926" s="1"/>
      <c r="M926" s="1"/>
      <c r="N926" s="1"/>
      <c r="O926" s="1"/>
      <c r="P926" s="1"/>
      <c r="Q926" s="1"/>
      <c r="R926" s="1"/>
      <c r="S926" s="1"/>
      <c r="T926" s="1"/>
      <c r="U926" s="2"/>
      <c r="V926" s="1"/>
      <c r="W926" s="1"/>
      <c r="X926" s="1"/>
      <c r="Y926" s="1"/>
      <c r="Z926" s="1"/>
    </row>
    <row r="927" spans="1:26" ht="39.75" customHeight="1">
      <c r="A927" s="1"/>
      <c r="B927" s="1"/>
      <c r="C927" s="1"/>
      <c r="D927" s="1"/>
      <c r="E927" s="1"/>
      <c r="F927" s="1"/>
      <c r="G927" s="1"/>
      <c r="H927" s="1"/>
      <c r="I927" s="1"/>
      <c r="J927" s="1"/>
      <c r="K927" s="1"/>
      <c r="L927" s="1"/>
      <c r="M927" s="1"/>
      <c r="N927" s="1"/>
      <c r="O927" s="1"/>
      <c r="P927" s="1"/>
      <c r="Q927" s="1"/>
      <c r="R927" s="1"/>
      <c r="S927" s="1"/>
      <c r="T927" s="1"/>
      <c r="U927" s="2"/>
      <c r="V927" s="1"/>
      <c r="W927" s="1"/>
      <c r="X927" s="1"/>
      <c r="Y927" s="1"/>
      <c r="Z927" s="1"/>
    </row>
    <row r="928" spans="1:26" ht="39.75" customHeight="1">
      <c r="A928" s="1"/>
      <c r="B928" s="1"/>
      <c r="C928" s="1"/>
      <c r="D928" s="1"/>
      <c r="E928" s="1"/>
      <c r="F928" s="1"/>
      <c r="G928" s="1"/>
      <c r="H928" s="1"/>
      <c r="I928" s="1"/>
      <c r="J928" s="1"/>
      <c r="K928" s="1"/>
      <c r="L928" s="1"/>
      <c r="M928" s="1"/>
      <c r="N928" s="1"/>
      <c r="O928" s="1"/>
      <c r="P928" s="1"/>
      <c r="Q928" s="1"/>
      <c r="R928" s="1"/>
      <c r="S928" s="1"/>
      <c r="T928" s="1"/>
      <c r="U928" s="2"/>
      <c r="V928" s="1"/>
      <c r="W928" s="1"/>
      <c r="X928" s="1"/>
      <c r="Y928" s="1"/>
      <c r="Z928" s="1"/>
    </row>
    <row r="929" spans="1:26" ht="39.75" customHeight="1">
      <c r="A929" s="1"/>
      <c r="B929" s="1"/>
      <c r="C929" s="1"/>
      <c r="D929" s="1"/>
      <c r="E929" s="1"/>
      <c r="F929" s="1"/>
      <c r="G929" s="1"/>
      <c r="H929" s="1"/>
      <c r="I929" s="1"/>
      <c r="J929" s="1"/>
      <c r="K929" s="1"/>
      <c r="L929" s="1"/>
      <c r="M929" s="1"/>
      <c r="N929" s="1"/>
      <c r="O929" s="1"/>
      <c r="P929" s="1"/>
      <c r="Q929" s="1"/>
      <c r="R929" s="1"/>
      <c r="S929" s="1"/>
      <c r="T929" s="1"/>
      <c r="U929" s="2"/>
      <c r="V929" s="1"/>
      <c r="W929" s="1"/>
      <c r="X929" s="1"/>
      <c r="Y929" s="1"/>
      <c r="Z929" s="1"/>
    </row>
    <row r="930" spans="1:26" ht="39.75" customHeight="1">
      <c r="A930" s="1"/>
      <c r="B930" s="1"/>
      <c r="C930" s="1"/>
      <c r="D930" s="1"/>
      <c r="E930" s="1"/>
      <c r="F930" s="1"/>
      <c r="G930" s="1"/>
      <c r="H930" s="1"/>
      <c r="I930" s="1"/>
      <c r="J930" s="1"/>
      <c r="K930" s="1"/>
      <c r="L930" s="1"/>
      <c r="M930" s="1"/>
      <c r="N930" s="1"/>
      <c r="O930" s="1"/>
      <c r="P930" s="1"/>
      <c r="Q930" s="1"/>
      <c r="R930" s="1"/>
      <c r="S930" s="1"/>
      <c r="T930" s="1"/>
      <c r="U930" s="2"/>
      <c r="V930" s="1"/>
      <c r="W930" s="1"/>
      <c r="X930" s="1"/>
      <c r="Y930" s="1"/>
      <c r="Z930" s="1"/>
    </row>
    <row r="931" spans="1:26" ht="39.75" customHeight="1">
      <c r="A931" s="1"/>
      <c r="B931" s="1"/>
      <c r="C931" s="1"/>
      <c r="D931" s="1"/>
      <c r="E931" s="1"/>
      <c r="F931" s="1"/>
      <c r="G931" s="1"/>
      <c r="H931" s="1"/>
      <c r="I931" s="1"/>
      <c r="J931" s="1"/>
      <c r="K931" s="1"/>
      <c r="L931" s="1"/>
      <c r="M931" s="1"/>
      <c r="N931" s="1"/>
      <c r="O931" s="1"/>
      <c r="P931" s="1"/>
      <c r="Q931" s="1"/>
      <c r="R931" s="1"/>
      <c r="S931" s="1"/>
      <c r="T931" s="1"/>
      <c r="U931" s="2"/>
      <c r="V931" s="1"/>
      <c r="W931" s="1"/>
      <c r="X931" s="1"/>
      <c r="Y931" s="1"/>
      <c r="Z931" s="1"/>
    </row>
    <row r="932" spans="1:26" ht="39.75" customHeight="1">
      <c r="A932" s="1"/>
      <c r="B932" s="1"/>
      <c r="C932" s="1"/>
      <c r="D932" s="1"/>
      <c r="E932" s="1"/>
      <c r="F932" s="1"/>
      <c r="G932" s="1"/>
      <c r="H932" s="1"/>
      <c r="I932" s="1"/>
      <c r="J932" s="1"/>
      <c r="K932" s="1"/>
      <c r="L932" s="1"/>
      <c r="M932" s="1"/>
      <c r="N932" s="1"/>
      <c r="O932" s="1"/>
      <c r="P932" s="1"/>
      <c r="Q932" s="1"/>
      <c r="R932" s="1"/>
      <c r="S932" s="1"/>
      <c r="T932" s="1"/>
      <c r="U932" s="2"/>
      <c r="V932" s="1"/>
      <c r="W932" s="1"/>
      <c r="X932" s="1"/>
      <c r="Y932" s="1"/>
      <c r="Z932" s="1"/>
    </row>
    <row r="933" spans="1:26" ht="39.75" customHeight="1">
      <c r="A933" s="1"/>
      <c r="B933" s="1"/>
      <c r="C933" s="1"/>
      <c r="D933" s="1"/>
      <c r="E933" s="1"/>
      <c r="F933" s="1"/>
      <c r="G933" s="1"/>
      <c r="H933" s="1"/>
      <c r="I933" s="1"/>
      <c r="J933" s="1"/>
      <c r="K933" s="1"/>
      <c r="L933" s="1"/>
      <c r="M933" s="1"/>
      <c r="N933" s="1"/>
      <c r="O933" s="1"/>
      <c r="P933" s="1"/>
      <c r="Q933" s="1"/>
      <c r="R933" s="1"/>
      <c r="S933" s="1"/>
      <c r="T933" s="1"/>
      <c r="U933" s="2"/>
      <c r="V933" s="1"/>
      <c r="W933" s="1"/>
      <c r="X933" s="1"/>
      <c r="Y933" s="1"/>
      <c r="Z933" s="1"/>
    </row>
    <row r="934" spans="1:26" ht="39.75" customHeight="1">
      <c r="A934" s="1"/>
      <c r="B934" s="1"/>
      <c r="C934" s="1"/>
      <c r="D934" s="1"/>
      <c r="E934" s="1"/>
      <c r="F934" s="1"/>
      <c r="G934" s="1"/>
      <c r="H934" s="1"/>
      <c r="I934" s="1"/>
      <c r="J934" s="1"/>
      <c r="K934" s="1"/>
      <c r="L934" s="1"/>
      <c r="M934" s="1"/>
      <c r="N934" s="1"/>
      <c r="O934" s="1"/>
      <c r="P934" s="1"/>
      <c r="Q934" s="1"/>
      <c r="R934" s="1"/>
      <c r="S934" s="1"/>
      <c r="T934" s="1"/>
      <c r="U934" s="2"/>
      <c r="V934" s="1"/>
      <c r="W934" s="1"/>
      <c r="X934" s="1"/>
      <c r="Y934" s="1"/>
      <c r="Z934" s="1"/>
    </row>
    <row r="935" spans="1:26" ht="39.75" customHeight="1">
      <c r="A935" s="1"/>
      <c r="B935" s="1"/>
      <c r="C935" s="1"/>
      <c r="D935" s="1"/>
      <c r="E935" s="1"/>
      <c r="F935" s="1"/>
      <c r="G935" s="1"/>
      <c r="H935" s="1"/>
      <c r="I935" s="1"/>
      <c r="J935" s="1"/>
      <c r="K935" s="1"/>
      <c r="L935" s="1"/>
      <c r="M935" s="1"/>
      <c r="N935" s="1"/>
      <c r="O935" s="1"/>
      <c r="P935" s="1"/>
      <c r="Q935" s="1"/>
      <c r="R935" s="1"/>
      <c r="S935" s="1"/>
      <c r="T935" s="1"/>
      <c r="U935" s="2"/>
      <c r="V935" s="1"/>
      <c r="W935" s="1"/>
      <c r="X935" s="1"/>
      <c r="Y935" s="1"/>
      <c r="Z935" s="1"/>
    </row>
    <row r="936" spans="1:26" ht="39.75" customHeight="1">
      <c r="A936" s="1"/>
      <c r="B936" s="1"/>
      <c r="C936" s="1"/>
      <c r="D936" s="1"/>
      <c r="E936" s="1"/>
      <c r="F936" s="1"/>
      <c r="G936" s="1"/>
      <c r="H936" s="1"/>
      <c r="I936" s="1"/>
      <c r="J936" s="1"/>
      <c r="K936" s="1"/>
      <c r="L936" s="1"/>
      <c r="M936" s="1"/>
      <c r="N936" s="1"/>
      <c r="O936" s="1"/>
      <c r="P936" s="1"/>
      <c r="Q936" s="1"/>
      <c r="R936" s="1"/>
      <c r="S936" s="1"/>
      <c r="T936" s="1"/>
      <c r="U936" s="2"/>
      <c r="V936" s="1"/>
      <c r="W936" s="1"/>
      <c r="X936" s="1"/>
      <c r="Y936" s="1"/>
      <c r="Z936" s="1"/>
    </row>
    <row r="937" spans="1:26" ht="39.75" customHeight="1">
      <c r="A937" s="1"/>
      <c r="B937" s="1"/>
      <c r="C937" s="1"/>
      <c r="D937" s="1"/>
      <c r="E937" s="1"/>
      <c r="F937" s="1"/>
      <c r="G937" s="1"/>
      <c r="H937" s="1"/>
      <c r="I937" s="1"/>
      <c r="J937" s="1"/>
      <c r="K937" s="1"/>
      <c r="L937" s="1"/>
      <c r="M937" s="1"/>
      <c r="N937" s="1"/>
      <c r="O937" s="1"/>
      <c r="P937" s="1"/>
      <c r="Q937" s="1"/>
      <c r="R937" s="1"/>
      <c r="S937" s="1"/>
      <c r="T937" s="1"/>
      <c r="U937" s="2"/>
      <c r="V937" s="1"/>
      <c r="W937" s="1"/>
      <c r="X937" s="1"/>
      <c r="Y937" s="1"/>
      <c r="Z937" s="1"/>
    </row>
    <row r="938" spans="1:26" ht="39.75" customHeight="1">
      <c r="A938" s="1"/>
      <c r="B938" s="1"/>
      <c r="C938" s="1"/>
      <c r="D938" s="1"/>
      <c r="E938" s="1"/>
      <c r="F938" s="1"/>
      <c r="G938" s="1"/>
      <c r="H938" s="1"/>
      <c r="I938" s="1"/>
      <c r="J938" s="1"/>
      <c r="K938" s="1"/>
      <c r="L938" s="1"/>
      <c r="M938" s="1"/>
      <c r="N938" s="1"/>
      <c r="O938" s="1"/>
      <c r="P938" s="1"/>
      <c r="Q938" s="1"/>
      <c r="R938" s="1"/>
      <c r="S938" s="1"/>
      <c r="T938" s="1"/>
      <c r="U938" s="2"/>
      <c r="V938" s="1"/>
      <c r="W938" s="1"/>
      <c r="X938" s="1"/>
      <c r="Y938" s="1"/>
      <c r="Z938" s="1"/>
    </row>
    <row r="939" spans="1:26" ht="39.75" customHeight="1">
      <c r="A939" s="1"/>
      <c r="B939" s="1"/>
      <c r="C939" s="1"/>
      <c r="D939" s="1"/>
      <c r="E939" s="1"/>
      <c r="F939" s="1"/>
      <c r="G939" s="1"/>
      <c r="H939" s="1"/>
      <c r="I939" s="1"/>
      <c r="J939" s="1"/>
      <c r="K939" s="1"/>
      <c r="L939" s="1"/>
      <c r="M939" s="1"/>
      <c r="N939" s="1"/>
      <c r="O939" s="1"/>
      <c r="P939" s="1"/>
      <c r="Q939" s="1"/>
      <c r="R939" s="1"/>
      <c r="S939" s="1"/>
      <c r="T939" s="1"/>
      <c r="U939" s="2"/>
      <c r="V939" s="1"/>
      <c r="W939" s="1"/>
      <c r="X939" s="1"/>
      <c r="Y939" s="1"/>
      <c r="Z939" s="1"/>
    </row>
    <row r="940" spans="1:26" ht="39.75" customHeight="1">
      <c r="A940" s="1"/>
      <c r="B940" s="1"/>
      <c r="C940" s="1"/>
      <c r="D940" s="1"/>
      <c r="E940" s="1"/>
      <c r="F940" s="1"/>
      <c r="G940" s="1"/>
      <c r="H940" s="1"/>
      <c r="I940" s="1"/>
      <c r="J940" s="1"/>
      <c r="K940" s="1"/>
      <c r="L940" s="1"/>
      <c r="M940" s="1"/>
      <c r="N940" s="1"/>
      <c r="O940" s="1"/>
      <c r="P940" s="1"/>
      <c r="Q940" s="1"/>
      <c r="R940" s="1"/>
      <c r="S940" s="1"/>
      <c r="T940" s="1"/>
      <c r="U940" s="2"/>
      <c r="V940" s="1"/>
      <c r="W940" s="1"/>
      <c r="X940" s="1"/>
      <c r="Y940" s="1"/>
      <c r="Z940" s="1"/>
    </row>
    <row r="941" spans="1:26" ht="39.75" customHeight="1">
      <c r="A941" s="1"/>
      <c r="B941" s="1"/>
      <c r="C941" s="1"/>
      <c r="D941" s="1"/>
      <c r="E941" s="1"/>
      <c r="F941" s="1"/>
      <c r="G941" s="1"/>
      <c r="H941" s="1"/>
      <c r="I941" s="1"/>
      <c r="J941" s="1"/>
      <c r="K941" s="1"/>
      <c r="L941" s="1"/>
      <c r="M941" s="1"/>
      <c r="N941" s="1"/>
      <c r="O941" s="1"/>
      <c r="P941" s="1"/>
      <c r="Q941" s="1"/>
      <c r="R941" s="1"/>
      <c r="S941" s="1"/>
      <c r="T941" s="1"/>
      <c r="U941" s="2"/>
      <c r="V941" s="1"/>
      <c r="W941" s="1"/>
      <c r="X941" s="1"/>
      <c r="Y941" s="1"/>
      <c r="Z941" s="1"/>
    </row>
    <row r="942" spans="1:26" ht="39.75" customHeight="1">
      <c r="A942" s="1"/>
      <c r="B942" s="1"/>
      <c r="C942" s="1"/>
      <c r="D942" s="1"/>
      <c r="E942" s="1"/>
      <c r="F942" s="1"/>
      <c r="G942" s="1"/>
      <c r="H942" s="1"/>
      <c r="I942" s="1"/>
      <c r="J942" s="1"/>
      <c r="K942" s="1"/>
      <c r="L942" s="1"/>
      <c r="M942" s="1"/>
      <c r="N942" s="1"/>
      <c r="O942" s="1"/>
      <c r="P942" s="1"/>
      <c r="Q942" s="1"/>
      <c r="R942" s="1"/>
      <c r="S942" s="1"/>
      <c r="T942" s="1"/>
      <c r="U942" s="2"/>
      <c r="V942" s="1"/>
      <c r="W942" s="1"/>
      <c r="X942" s="1"/>
      <c r="Y942" s="1"/>
      <c r="Z942" s="1"/>
    </row>
    <row r="943" spans="1:26" ht="39.75" customHeight="1">
      <c r="A943" s="1"/>
      <c r="B943" s="1"/>
      <c r="C943" s="1"/>
      <c r="D943" s="1"/>
      <c r="E943" s="1"/>
      <c r="F943" s="1"/>
      <c r="G943" s="1"/>
      <c r="H943" s="1"/>
      <c r="I943" s="1"/>
      <c r="J943" s="1"/>
      <c r="K943" s="1"/>
      <c r="L943" s="1"/>
      <c r="M943" s="1"/>
      <c r="N943" s="1"/>
      <c r="O943" s="1"/>
      <c r="P943" s="1"/>
      <c r="Q943" s="1"/>
      <c r="R943" s="1"/>
      <c r="S943" s="1"/>
      <c r="T943" s="1"/>
      <c r="U943" s="2"/>
      <c r="V943" s="1"/>
      <c r="W943" s="1"/>
      <c r="X943" s="1"/>
      <c r="Y943" s="1"/>
      <c r="Z943" s="1"/>
    </row>
    <row r="944" spans="1:26" ht="39.75" customHeight="1">
      <c r="A944" s="1"/>
      <c r="B944" s="1"/>
      <c r="C944" s="1"/>
      <c r="D944" s="1"/>
      <c r="E944" s="1"/>
      <c r="F944" s="1"/>
      <c r="G944" s="1"/>
      <c r="H944" s="1"/>
      <c r="I944" s="1"/>
      <c r="J944" s="1"/>
      <c r="K944" s="1"/>
      <c r="L944" s="1"/>
      <c r="M944" s="1"/>
      <c r="N944" s="1"/>
      <c r="O944" s="1"/>
      <c r="P944" s="1"/>
      <c r="Q944" s="1"/>
      <c r="R944" s="1"/>
      <c r="S944" s="1"/>
      <c r="T944" s="1"/>
      <c r="U944" s="2"/>
      <c r="V944" s="1"/>
      <c r="W944" s="1"/>
      <c r="X944" s="1"/>
      <c r="Y944" s="1"/>
      <c r="Z944" s="1"/>
    </row>
    <row r="945" spans="1:26" ht="39.75" customHeight="1">
      <c r="A945" s="1"/>
      <c r="B945" s="1"/>
      <c r="C945" s="1"/>
      <c r="D945" s="1"/>
      <c r="E945" s="1"/>
      <c r="F945" s="1"/>
      <c r="G945" s="1"/>
      <c r="H945" s="1"/>
      <c r="I945" s="1"/>
      <c r="J945" s="1"/>
      <c r="K945" s="1"/>
      <c r="L945" s="1"/>
      <c r="M945" s="1"/>
      <c r="N945" s="1"/>
      <c r="O945" s="1"/>
      <c r="P945" s="1"/>
      <c r="Q945" s="1"/>
      <c r="R945" s="1"/>
      <c r="S945" s="1"/>
      <c r="T945" s="1"/>
      <c r="U945" s="2"/>
      <c r="V945" s="1"/>
      <c r="W945" s="1"/>
      <c r="X945" s="1"/>
      <c r="Y945" s="1"/>
      <c r="Z945" s="1"/>
    </row>
    <row r="946" spans="1:26" ht="39.75" customHeight="1">
      <c r="A946" s="1"/>
      <c r="B946" s="1"/>
      <c r="C946" s="1"/>
      <c r="D946" s="1"/>
      <c r="E946" s="1"/>
      <c r="F946" s="1"/>
      <c r="G946" s="1"/>
      <c r="H946" s="1"/>
      <c r="I946" s="1"/>
      <c r="J946" s="1"/>
      <c r="K946" s="1"/>
      <c r="L946" s="1"/>
      <c r="M946" s="1"/>
      <c r="N946" s="1"/>
      <c r="O946" s="1"/>
      <c r="P946" s="1"/>
      <c r="Q946" s="1"/>
      <c r="R946" s="1"/>
      <c r="S946" s="1"/>
      <c r="T946" s="1"/>
      <c r="U946" s="2"/>
      <c r="V946" s="1"/>
      <c r="W946" s="1"/>
      <c r="X946" s="1"/>
      <c r="Y946" s="1"/>
      <c r="Z946" s="1"/>
    </row>
    <row r="947" spans="1:26" ht="39.75" customHeight="1">
      <c r="A947" s="1"/>
      <c r="B947" s="1"/>
      <c r="C947" s="1"/>
      <c r="D947" s="1"/>
      <c r="E947" s="1"/>
      <c r="F947" s="1"/>
      <c r="G947" s="1"/>
      <c r="H947" s="1"/>
      <c r="I947" s="1"/>
      <c r="J947" s="1"/>
      <c r="K947" s="1"/>
      <c r="L947" s="1"/>
      <c r="M947" s="1"/>
      <c r="N947" s="1"/>
      <c r="O947" s="1"/>
      <c r="P947" s="1"/>
      <c r="Q947" s="1"/>
      <c r="R947" s="1"/>
      <c r="S947" s="1"/>
      <c r="T947" s="1"/>
      <c r="U947" s="2"/>
      <c r="V947" s="1"/>
      <c r="W947" s="1"/>
      <c r="X947" s="1"/>
      <c r="Y947" s="1"/>
      <c r="Z947" s="1"/>
    </row>
    <row r="948" spans="1:26" ht="39.75" customHeight="1">
      <c r="A948" s="1"/>
      <c r="B948" s="1"/>
      <c r="C948" s="1"/>
      <c r="D948" s="1"/>
      <c r="E948" s="1"/>
      <c r="F948" s="1"/>
      <c r="G948" s="1"/>
      <c r="H948" s="1"/>
      <c r="I948" s="1"/>
      <c r="J948" s="1"/>
      <c r="K948" s="1"/>
      <c r="L948" s="1"/>
      <c r="M948" s="1"/>
      <c r="N948" s="1"/>
      <c r="O948" s="1"/>
      <c r="P948" s="1"/>
      <c r="Q948" s="1"/>
      <c r="R948" s="1"/>
      <c r="S948" s="1"/>
      <c r="T948" s="1"/>
      <c r="U948" s="2"/>
      <c r="V948" s="1"/>
      <c r="W948" s="1"/>
      <c r="X948" s="1"/>
      <c r="Y948" s="1"/>
      <c r="Z948" s="1"/>
    </row>
    <row r="949" spans="1:26" ht="39.75" customHeight="1">
      <c r="A949" s="1"/>
      <c r="B949" s="1"/>
      <c r="C949" s="1"/>
      <c r="D949" s="1"/>
      <c r="E949" s="1"/>
      <c r="F949" s="1"/>
      <c r="G949" s="1"/>
      <c r="H949" s="1"/>
      <c r="I949" s="1"/>
      <c r="J949" s="1"/>
      <c r="K949" s="1"/>
      <c r="L949" s="1"/>
      <c r="M949" s="1"/>
      <c r="N949" s="1"/>
      <c r="O949" s="1"/>
      <c r="P949" s="1"/>
      <c r="Q949" s="1"/>
      <c r="R949" s="1"/>
      <c r="S949" s="1"/>
      <c r="T949" s="1"/>
      <c r="U949" s="2"/>
      <c r="V949" s="1"/>
      <c r="W949" s="1"/>
      <c r="X949" s="1"/>
      <c r="Y949" s="1"/>
      <c r="Z949" s="1"/>
    </row>
    <row r="950" spans="1:26" ht="39.75" customHeight="1">
      <c r="A950" s="1"/>
      <c r="B950" s="1"/>
      <c r="C950" s="1"/>
      <c r="D950" s="1"/>
      <c r="E950" s="1"/>
      <c r="F950" s="1"/>
      <c r="G950" s="1"/>
      <c r="H950" s="1"/>
      <c r="I950" s="1"/>
      <c r="J950" s="1"/>
      <c r="K950" s="1"/>
      <c r="L950" s="1"/>
      <c r="M950" s="1"/>
      <c r="N950" s="1"/>
      <c r="O950" s="1"/>
      <c r="P950" s="1"/>
      <c r="Q950" s="1"/>
      <c r="R950" s="1"/>
      <c r="S950" s="1"/>
      <c r="T950" s="1"/>
      <c r="U950" s="2"/>
      <c r="V950" s="1"/>
      <c r="W950" s="1"/>
      <c r="X950" s="1"/>
      <c r="Y950" s="1"/>
      <c r="Z950" s="1"/>
    </row>
    <row r="951" spans="1:26" ht="39.75" customHeight="1">
      <c r="A951" s="1"/>
      <c r="B951" s="1"/>
      <c r="C951" s="1"/>
      <c r="D951" s="1"/>
      <c r="E951" s="1"/>
      <c r="F951" s="1"/>
      <c r="G951" s="1"/>
      <c r="H951" s="1"/>
      <c r="I951" s="1"/>
      <c r="J951" s="1"/>
      <c r="K951" s="1"/>
      <c r="L951" s="1"/>
      <c r="M951" s="1"/>
      <c r="N951" s="1"/>
      <c r="O951" s="1"/>
      <c r="P951" s="1"/>
      <c r="Q951" s="1"/>
      <c r="R951" s="1"/>
      <c r="S951" s="1"/>
      <c r="T951" s="1"/>
      <c r="U951" s="2"/>
      <c r="V951" s="1"/>
      <c r="W951" s="1"/>
      <c r="X951" s="1"/>
      <c r="Y951" s="1"/>
      <c r="Z951" s="1"/>
    </row>
    <row r="952" spans="1:26" ht="39.75" customHeight="1">
      <c r="A952" s="1"/>
      <c r="B952" s="1"/>
      <c r="C952" s="1"/>
      <c r="D952" s="1"/>
      <c r="E952" s="1"/>
      <c r="F952" s="1"/>
      <c r="G952" s="1"/>
      <c r="H952" s="1"/>
      <c r="I952" s="1"/>
      <c r="J952" s="1"/>
      <c r="K952" s="1"/>
      <c r="L952" s="1"/>
      <c r="M952" s="1"/>
      <c r="N952" s="1"/>
      <c r="O952" s="1"/>
      <c r="P952" s="1"/>
      <c r="Q952" s="1"/>
      <c r="R952" s="1"/>
      <c r="S952" s="1"/>
      <c r="T952" s="1"/>
      <c r="U952" s="2"/>
      <c r="V952" s="1"/>
      <c r="W952" s="1"/>
      <c r="X952" s="1"/>
      <c r="Y952" s="1"/>
      <c r="Z952" s="1"/>
    </row>
    <row r="953" spans="1:26" ht="39.75" customHeight="1">
      <c r="A953" s="1"/>
      <c r="B953" s="1"/>
      <c r="C953" s="1"/>
      <c r="D953" s="1"/>
      <c r="E953" s="1"/>
      <c r="F953" s="1"/>
      <c r="G953" s="1"/>
      <c r="H953" s="1"/>
      <c r="I953" s="1"/>
      <c r="J953" s="1"/>
      <c r="K953" s="1"/>
      <c r="L953" s="1"/>
      <c r="M953" s="1"/>
      <c r="N953" s="1"/>
      <c r="O953" s="1"/>
      <c r="P953" s="1"/>
      <c r="Q953" s="1"/>
      <c r="R953" s="1"/>
      <c r="S953" s="1"/>
      <c r="T953" s="1"/>
      <c r="U953" s="2"/>
      <c r="V953" s="1"/>
      <c r="W953" s="1"/>
      <c r="X953" s="1"/>
      <c r="Y953" s="1"/>
      <c r="Z953" s="1"/>
    </row>
    <row r="954" spans="1:26" ht="39.75" customHeight="1">
      <c r="A954" s="1"/>
      <c r="B954" s="1"/>
      <c r="C954" s="1"/>
      <c r="D954" s="1"/>
      <c r="E954" s="1"/>
      <c r="F954" s="1"/>
      <c r="G954" s="1"/>
      <c r="H954" s="1"/>
      <c r="I954" s="1"/>
      <c r="J954" s="1"/>
      <c r="K954" s="1"/>
      <c r="L954" s="1"/>
      <c r="M954" s="1"/>
      <c r="N954" s="1"/>
      <c r="O954" s="1"/>
      <c r="P954" s="1"/>
      <c r="Q954" s="1"/>
      <c r="R954" s="1"/>
      <c r="S954" s="1"/>
      <c r="T954" s="1"/>
      <c r="U954" s="2"/>
      <c r="V954" s="1"/>
      <c r="W954" s="1"/>
      <c r="X954" s="1"/>
      <c r="Y954" s="1"/>
      <c r="Z954" s="1"/>
    </row>
    <row r="955" spans="1:26" ht="39.75" customHeight="1">
      <c r="A955" s="1"/>
      <c r="B955" s="1"/>
      <c r="C955" s="1"/>
      <c r="D955" s="1"/>
      <c r="E955" s="1"/>
      <c r="F955" s="1"/>
      <c r="G955" s="1"/>
      <c r="H955" s="1"/>
      <c r="I955" s="1"/>
      <c r="J955" s="1"/>
      <c r="K955" s="1"/>
      <c r="L955" s="1"/>
      <c r="M955" s="1"/>
      <c r="N955" s="1"/>
      <c r="O955" s="1"/>
      <c r="P955" s="1"/>
      <c r="Q955" s="1"/>
      <c r="R955" s="1"/>
      <c r="S955" s="1"/>
      <c r="T955" s="1"/>
      <c r="U955" s="2"/>
      <c r="V955" s="1"/>
      <c r="W955" s="1"/>
      <c r="X955" s="1"/>
      <c r="Y955" s="1"/>
      <c r="Z955" s="1"/>
    </row>
    <row r="956" spans="1:26" ht="39.75" customHeight="1">
      <c r="A956" s="1"/>
      <c r="B956" s="1"/>
      <c r="C956" s="1"/>
      <c r="D956" s="1"/>
      <c r="E956" s="1"/>
      <c r="F956" s="1"/>
      <c r="G956" s="1"/>
      <c r="H956" s="1"/>
      <c r="I956" s="1"/>
      <c r="J956" s="1"/>
      <c r="K956" s="1"/>
      <c r="L956" s="1"/>
      <c r="M956" s="1"/>
      <c r="N956" s="1"/>
      <c r="O956" s="1"/>
      <c r="P956" s="1"/>
      <c r="Q956" s="1"/>
      <c r="R956" s="1"/>
      <c r="S956" s="1"/>
      <c r="T956" s="1"/>
      <c r="U956" s="2"/>
      <c r="V956" s="1"/>
      <c r="W956" s="1"/>
      <c r="X956" s="1"/>
      <c r="Y956" s="1"/>
      <c r="Z956" s="1"/>
    </row>
    <row r="957" spans="1:26" ht="39.75" customHeight="1">
      <c r="A957" s="1"/>
      <c r="B957" s="1"/>
      <c r="C957" s="1"/>
      <c r="D957" s="1"/>
      <c r="E957" s="1"/>
      <c r="F957" s="1"/>
      <c r="G957" s="1"/>
      <c r="H957" s="1"/>
      <c r="I957" s="1"/>
      <c r="J957" s="1"/>
      <c r="K957" s="1"/>
      <c r="L957" s="1"/>
      <c r="M957" s="1"/>
      <c r="N957" s="1"/>
      <c r="O957" s="1"/>
      <c r="P957" s="1"/>
      <c r="Q957" s="1"/>
      <c r="R957" s="1"/>
      <c r="S957" s="1"/>
      <c r="T957" s="1"/>
      <c r="U957" s="2"/>
      <c r="V957" s="1"/>
      <c r="W957" s="1"/>
      <c r="X957" s="1"/>
      <c r="Y957" s="1"/>
      <c r="Z957" s="1"/>
    </row>
    <row r="958" spans="1:26" ht="39.75" customHeight="1">
      <c r="A958" s="1"/>
      <c r="B958" s="1"/>
      <c r="C958" s="1"/>
      <c r="D958" s="1"/>
      <c r="E958" s="1"/>
      <c r="F958" s="1"/>
      <c r="G958" s="1"/>
      <c r="H958" s="1"/>
      <c r="I958" s="1"/>
      <c r="J958" s="1"/>
      <c r="K958" s="1"/>
      <c r="L958" s="1"/>
      <c r="M958" s="1"/>
      <c r="N958" s="1"/>
      <c r="O958" s="1"/>
      <c r="P958" s="1"/>
      <c r="Q958" s="1"/>
      <c r="R958" s="1"/>
      <c r="S958" s="1"/>
      <c r="T958" s="1"/>
      <c r="U958" s="2"/>
      <c r="V958" s="1"/>
      <c r="W958" s="1"/>
      <c r="X958" s="1"/>
      <c r="Y958" s="1"/>
      <c r="Z958" s="1"/>
    </row>
    <row r="959" spans="1:26" ht="39.75" customHeight="1">
      <c r="A959" s="1"/>
      <c r="B959" s="1"/>
      <c r="C959" s="1"/>
      <c r="D959" s="1"/>
      <c r="E959" s="1"/>
      <c r="F959" s="1"/>
      <c r="G959" s="1"/>
      <c r="H959" s="1"/>
      <c r="I959" s="1"/>
      <c r="J959" s="1"/>
      <c r="K959" s="1"/>
      <c r="L959" s="1"/>
      <c r="M959" s="1"/>
      <c r="N959" s="1"/>
      <c r="O959" s="1"/>
      <c r="P959" s="1"/>
      <c r="Q959" s="1"/>
      <c r="R959" s="1"/>
      <c r="S959" s="1"/>
      <c r="T959" s="1"/>
      <c r="U959" s="2"/>
      <c r="V959" s="1"/>
      <c r="W959" s="1"/>
      <c r="X959" s="1"/>
      <c r="Y959" s="1"/>
      <c r="Z959" s="1"/>
    </row>
    <row r="960" spans="1:26" ht="39.75" customHeight="1">
      <c r="A960" s="1"/>
      <c r="B960" s="1"/>
      <c r="C960" s="1"/>
      <c r="D960" s="1"/>
      <c r="E960" s="1"/>
      <c r="F960" s="1"/>
      <c r="G960" s="1"/>
      <c r="H960" s="1"/>
      <c r="I960" s="1"/>
      <c r="J960" s="1"/>
      <c r="K960" s="1"/>
      <c r="L960" s="1"/>
      <c r="M960" s="1"/>
      <c r="N960" s="1"/>
      <c r="O960" s="1"/>
      <c r="P960" s="1"/>
      <c r="Q960" s="1"/>
      <c r="R960" s="1"/>
      <c r="S960" s="1"/>
      <c r="T960" s="1"/>
      <c r="U960" s="2"/>
      <c r="V960" s="1"/>
      <c r="W960" s="1"/>
      <c r="X960" s="1"/>
      <c r="Y960" s="1"/>
      <c r="Z960" s="1"/>
    </row>
    <row r="961" spans="1:26" ht="39.75" customHeight="1">
      <c r="A961" s="1"/>
      <c r="B961" s="1"/>
      <c r="C961" s="1"/>
      <c r="D961" s="1"/>
      <c r="E961" s="1"/>
      <c r="F961" s="1"/>
      <c r="G961" s="1"/>
      <c r="H961" s="1"/>
      <c r="I961" s="1"/>
      <c r="J961" s="1"/>
      <c r="K961" s="1"/>
      <c r="L961" s="1"/>
      <c r="M961" s="1"/>
      <c r="N961" s="1"/>
      <c r="O961" s="1"/>
      <c r="P961" s="1"/>
      <c r="Q961" s="1"/>
      <c r="R961" s="1"/>
      <c r="S961" s="1"/>
      <c r="T961" s="1"/>
      <c r="U961" s="2"/>
      <c r="V961" s="1"/>
      <c r="W961" s="1"/>
      <c r="X961" s="1"/>
      <c r="Y961" s="1"/>
      <c r="Z961" s="1"/>
    </row>
    <row r="962" spans="1:26" ht="39.75" customHeight="1">
      <c r="A962" s="1"/>
      <c r="B962" s="1"/>
      <c r="C962" s="1"/>
      <c r="D962" s="1"/>
      <c r="E962" s="1"/>
      <c r="F962" s="1"/>
      <c r="G962" s="1"/>
      <c r="H962" s="1"/>
      <c r="I962" s="1"/>
      <c r="J962" s="1"/>
      <c r="K962" s="1"/>
      <c r="L962" s="1"/>
      <c r="M962" s="1"/>
      <c r="N962" s="1"/>
      <c r="O962" s="1"/>
      <c r="P962" s="1"/>
      <c r="Q962" s="1"/>
      <c r="R962" s="1"/>
      <c r="S962" s="1"/>
      <c r="T962" s="1"/>
      <c r="U962" s="2"/>
      <c r="V962" s="1"/>
      <c r="W962" s="1"/>
      <c r="X962" s="1"/>
      <c r="Y962" s="1"/>
      <c r="Z962" s="1"/>
    </row>
    <row r="963" spans="1:26" ht="39.75" customHeight="1">
      <c r="A963" s="1"/>
      <c r="B963" s="1"/>
      <c r="C963" s="1"/>
      <c r="D963" s="1"/>
      <c r="E963" s="1"/>
      <c r="F963" s="1"/>
      <c r="G963" s="1"/>
      <c r="H963" s="1"/>
      <c r="I963" s="1"/>
      <c r="J963" s="1"/>
      <c r="K963" s="1"/>
      <c r="L963" s="1"/>
      <c r="M963" s="1"/>
      <c r="N963" s="1"/>
      <c r="O963" s="1"/>
      <c r="P963" s="1"/>
      <c r="Q963" s="1"/>
      <c r="R963" s="1"/>
      <c r="S963" s="1"/>
      <c r="T963" s="1"/>
      <c r="U963" s="2"/>
      <c r="V963" s="1"/>
      <c r="W963" s="1"/>
      <c r="X963" s="1"/>
      <c r="Y963" s="1"/>
      <c r="Z963" s="1"/>
    </row>
    <row r="964" spans="1:26" ht="39.75" customHeight="1">
      <c r="A964" s="1"/>
      <c r="B964" s="1"/>
      <c r="C964" s="1"/>
      <c r="D964" s="1"/>
      <c r="E964" s="1"/>
      <c r="F964" s="1"/>
      <c r="G964" s="1"/>
      <c r="H964" s="1"/>
      <c r="I964" s="1"/>
      <c r="J964" s="1"/>
      <c r="K964" s="1"/>
      <c r="L964" s="1"/>
      <c r="M964" s="1"/>
      <c r="N964" s="1"/>
      <c r="O964" s="1"/>
      <c r="P964" s="1"/>
      <c r="Q964" s="1"/>
      <c r="R964" s="1"/>
      <c r="S964" s="1"/>
      <c r="T964" s="1"/>
      <c r="U964" s="2"/>
      <c r="V964" s="1"/>
      <c r="W964" s="1"/>
      <c r="X964" s="1"/>
      <c r="Y964" s="1"/>
      <c r="Z964" s="1"/>
    </row>
    <row r="965" spans="1:26" ht="39.75" customHeight="1">
      <c r="A965" s="1"/>
      <c r="B965" s="1"/>
      <c r="C965" s="1"/>
      <c r="D965" s="1"/>
      <c r="E965" s="1"/>
      <c r="F965" s="1"/>
      <c r="G965" s="1"/>
      <c r="H965" s="1"/>
      <c r="I965" s="1"/>
      <c r="J965" s="1"/>
      <c r="K965" s="1"/>
      <c r="L965" s="1"/>
      <c r="M965" s="1"/>
      <c r="N965" s="1"/>
      <c r="O965" s="1"/>
      <c r="P965" s="1"/>
      <c r="Q965" s="1"/>
      <c r="R965" s="1"/>
      <c r="S965" s="1"/>
      <c r="T965" s="1"/>
      <c r="U965" s="2"/>
      <c r="V965" s="1"/>
      <c r="W965" s="1"/>
      <c r="X965" s="1"/>
      <c r="Y965" s="1"/>
      <c r="Z965" s="1"/>
    </row>
    <row r="966" spans="1:26" ht="39.75" customHeight="1">
      <c r="A966" s="1"/>
      <c r="B966" s="1"/>
      <c r="C966" s="1"/>
      <c r="D966" s="1"/>
      <c r="E966" s="1"/>
      <c r="F966" s="1"/>
      <c r="G966" s="1"/>
      <c r="H966" s="1"/>
      <c r="I966" s="1"/>
      <c r="J966" s="1"/>
      <c r="K966" s="1"/>
      <c r="L966" s="1"/>
      <c r="M966" s="1"/>
      <c r="N966" s="1"/>
      <c r="O966" s="1"/>
      <c r="P966" s="1"/>
      <c r="Q966" s="1"/>
      <c r="R966" s="1"/>
      <c r="S966" s="1"/>
      <c r="T966" s="1"/>
      <c r="U966" s="2"/>
      <c r="V966" s="1"/>
      <c r="W966" s="1"/>
      <c r="X966" s="1"/>
      <c r="Y966" s="1"/>
      <c r="Z966" s="1"/>
    </row>
    <row r="967" spans="1:26" ht="39.75" customHeight="1">
      <c r="A967" s="1"/>
      <c r="B967" s="1"/>
      <c r="C967" s="1"/>
      <c r="D967" s="1"/>
      <c r="E967" s="1"/>
      <c r="F967" s="1"/>
      <c r="G967" s="1"/>
      <c r="H967" s="1"/>
      <c r="I967" s="1"/>
      <c r="J967" s="1"/>
      <c r="K967" s="1"/>
      <c r="L967" s="1"/>
      <c r="M967" s="1"/>
      <c r="N967" s="1"/>
      <c r="O967" s="1"/>
      <c r="P967" s="1"/>
      <c r="Q967" s="1"/>
      <c r="R967" s="1"/>
      <c r="S967" s="1"/>
      <c r="T967" s="1"/>
      <c r="U967" s="2"/>
      <c r="V967" s="1"/>
      <c r="W967" s="1"/>
      <c r="X967" s="1"/>
      <c r="Y967" s="1"/>
      <c r="Z967" s="1"/>
    </row>
    <row r="968" spans="1:26" ht="39.75" customHeight="1">
      <c r="A968" s="1"/>
      <c r="B968" s="1"/>
      <c r="C968" s="1"/>
      <c r="D968" s="1"/>
      <c r="E968" s="1"/>
      <c r="F968" s="1"/>
      <c r="G968" s="1"/>
      <c r="H968" s="1"/>
      <c r="I968" s="1"/>
      <c r="J968" s="1"/>
      <c r="K968" s="1"/>
      <c r="L968" s="1"/>
      <c r="M968" s="1"/>
      <c r="N968" s="1"/>
      <c r="O968" s="1"/>
      <c r="P968" s="1"/>
      <c r="Q968" s="1"/>
      <c r="R968" s="1"/>
      <c r="S968" s="1"/>
      <c r="T968" s="1"/>
      <c r="U968" s="2"/>
      <c r="V968" s="1"/>
      <c r="W968" s="1"/>
      <c r="X968" s="1"/>
      <c r="Y968" s="1"/>
      <c r="Z968" s="1"/>
    </row>
    <row r="969" spans="1:26" ht="39.75" customHeight="1">
      <c r="A969" s="1"/>
      <c r="B969" s="1"/>
      <c r="C969" s="1"/>
      <c r="D969" s="1"/>
      <c r="E969" s="1"/>
      <c r="F969" s="1"/>
      <c r="G969" s="1"/>
      <c r="H969" s="1"/>
      <c r="I969" s="1"/>
      <c r="J969" s="1"/>
      <c r="K969" s="1"/>
      <c r="L969" s="1"/>
      <c r="M969" s="1"/>
      <c r="N969" s="1"/>
      <c r="O969" s="1"/>
      <c r="P969" s="1"/>
      <c r="Q969" s="1"/>
      <c r="R969" s="1"/>
      <c r="S969" s="1"/>
      <c r="T969" s="1"/>
      <c r="U969" s="2"/>
      <c r="V969" s="1"/>
      <c r="W969" s="1"/>
      <c r="X969" s="1"/>
      <c r="Y969" s="1"/>
      <c r="Z969" s="1"/>
    </row>
    <row r="970" spans="1:26" ht="39.75" customHeight="1">
      <c r="A970" s="1"/>
      <c r="B970" s="1"/>
      <c r="C970" s="1"/>
      <c r="D970" s="1"/>
      <c r="E970" s="1"/>
      <c r="F970" s="1"/>
      <c r="G970" s="1"/>
      <c r="H970" s="1"/>
      <c r="I970" s="1"/>
      <c r="J970" s="1"/>
      <c r="K970" s="1"/>
      <c r="L970" s="1"/>
      <c r="M970" s="1"/>
      <c r="N970" s="1"/>
      <c r="O970" s="1"/>
      <c r="P970" s="1"/>
      <c r="Q970" s="1"/>
      <c r="R970" s="1"/>
      <c r="S970" s="1"/>
      <c r="T970" s="1"/>
      <c r="U970" s="2"/>
      <c r="V970" s="1"/>
      <c r="W970" s="1"/>
      <c r="X970" s="1"/>
      <c r="Y970" s="1"/>
      <c r="Z970" s="1"/>
    </row>
    <row r="971" spans="1:26" ht="39.75" customHeight="1">
      <c r="A971" s="1"/>
      <c r="B971" s="1"/>
      <c r="C971" s="1"/>
      <c r="D971" s="1"/>
      <c r="E971" s="1"/>
      <c r="F971" s="1"/>
      <c r="G971" s="1"/>
      <c r="H971" s="1"/>
      <c r="I971" s="1"/>
      <c r="J971" s="1"/>
      <c r="K971" s="1"/>
      <c r="L971" s="1"/>
      <c r="M971" s="1"/>
      <c r="N971" s="1"/>
      <c r="O971" s="1"/>
      <c r="P971" s="1"/>
      <c r="Q971" s="1"/>
      <c r="R971" s="1"/>
      <c r="S971" s="1"/>
      <c r="T971" s="1"/>
      <c r="U971" s="2"/>
      <c r="V971" s="1"/>
      <c r="W971" s="1"/>
      <c r="X971" s="1"/>
      <c r="Y971" s="1"/>
      <c r="Z971" s="1"/>
    </row>
    <row r="972" spans="1:26" ht="39.75" customHeight="1">
      <c r="A972" s="1"/>
      <c r="B972" s="1"/>
      <c r="C972" s="1"/>
      <c r="D972" s="1"/>
      <c r="E972" s="1"/>
      <c r="F972" s="1"/>
      <c r="G972" s="1"/>
      <c r="H972" s="1"/>
      <c r="I972" s="1"/>
      <c r="J972" s="1"/>
      <c r="K972" s="1"/>
      <c r="L972" s="1"/>
      <c r="M972" s="1"/>
      <c r="N972" s="1"/>
      <c r="O972" s="1"/>
      <c r="P972" s="1"/>
      <c r="Q972" s="1"/>
      <c r="R972" s="1"/>
      <c r="S972" s="1"/>
      <c r="T972" s="1"/>
      <c r="U972" s="2"/>
      <c r="V972" s="1"/>
      <c r="W972" s="1"/>
      <c r="X972" s="1"/>
      <c r="Y972" s="1"/>
      <c r="Z972" s="1"/>
    </row>
    <row r="973" spans="1:26" ht="39.75" customHeight="1">
      <c r="A973" s="1"/>
      <c r="B973" s="1"/>
      <c r="C973" s="1"/>
      <c r="D973" s="1"/>
      <c r="E973" s="1"/>
      <c r="F973" s="1"/>
      <c r="G973" s="1"/>
      <c r="H973" s="1"/>
      <c r="I973" s="1"/>
      <c r="J973" s="1"/>
      <c r="K973" s="1"/>
      <c r="L973" s="1"/>
      <c r="M973" s="1"/>
      <c r="N973" s="1"/>
      <c r="O973" s="1"/>
      <c r="P973" s="1"/>
      <c r="Q973" s="1"/>
      <c r="R973" s="1"/>
      <c r="S973" s="1"/>
      <c r="T973" s="1"/>
      <c r="U973" s="2"/>
      <c r="V973" s="1"/>
      <c r="W973" s="1"/>
      <c r="X973" s="1"/>
      <c r="Y973" s="1"/>
      <c r="Z973" s="1"/>
    </row>
    <row r="974" spans="1:26" ht="39.75" customHeight="1">
      <c r="A974" s="1"/>
      <c r="B974" s="1"/>
      <c r="C974" s="1"/>
      <c r="D974" s="1"/>
      <c r="E974" s="1"/>
      <c r="F974" s="1"/>
      <c r="G974" s="1"/>
      <c r="H974" s="1"/>
      <c r="I974" s="1"/>
      <c r="J974" s="1"/>
      <c r="K974" s="1"/>
      <c r="L974" s="1"/>
      <c r="M974" s="1"/>
      <c r="N974" s="1"/>
      <c r="O974" s="1"/>
      <c r="P974" s="1"/>
      <c r="Q974" s="1"/>
      <c r="R974" s="1"/>
      <c r="S974" s="1"/>
      <c r="T974" s="1"/>
      <c r="U974" s="2"/>
      <c r="V974" s="1"/>
      <c r="W974" s="1"/>
      <c r="X974" s="1"/>
      <c r="Y974" s="1"/>
      <c r="Z974" s="1"/>
    </row>
    <row r="975" spans="1:26" ht="39.75" customHeight="1">
      <c r="A975" s="1"/>
      <c r="B975" s="1"/>
      <c r="C975" s="1"/>
      <c r="D975" s="1"/>
      <c r="E975" s="1"/>
      <c r="F975" s="1"/>
      <c r="G975" s="1"/>
      <c r="H975" s="1"/>
      <c r="I975" s="1"/>
      <c r="J975" s="1"/>
      <c r="K975" s="1"/>
      <c r="L975" s="1"/>
      <c r="M975" s="1"/>
      <c r="N975" s="1"/>
      <c r="O975" s="1"/>
      <c r="P975" s="1"/>
      <c r="Q975" s="1"/>
      <c r="R975" s="1"/>
      <c r="S975" s="1"/>
      <c r="T975" s="1"/>
      <c r="U975" s="2"/>
      <c r="V975" s="1"/>
      <c r="W975" s="1"/>
      <c r="X975" s="1"/>
      <c r="Y975" s="1"/>
      <c r="Z975" s="1"/>
    </row>
    <row r="976" spans="1:26" ht="39.75" customHeight="1">
      <c r="A976" s="1"/>
      <c r="B976" s="1"/>
      <c r="C976" s="1"/>
      <c r="D976" s="1"/>
      <c r="E976" s="1"/>
      <c r="F976" s="1"/>
      <c r="G976" s="1"/>
      <c r="H976" s="1"/>
      <c r="I976" s="1"/>
      <c r="J976" s="1"/>
      <c r="K976" s="1"/>
      <c r="L976" s="1"/>
      <c r="M976" s="1"/>
      <c r="N976" s="1"/>
      <c r="O976" s="1"/>
      <c r="P976" s="1"/>
      <c r="Q976" s="1"/>
      <c r="R976" s="1"/>
      <c r="S976" s="1"/>
      <c r="T976" s="1"/>
      <c r="U976" s="2"/>
      <c r="V976" s="1"/>
      <c r="W976" s="1"/>
      <c r="X976" s="1"/>
      <c r="Y976" s="1"/>
      <c r="Z976" s="1"/>
    </row>
    <row r="977" spans="1:26" ht="39.75" customHeight="1">
      <c r="A977" s="1"/>
      <c r="B977" s="1"/>
      <c r="C977" s="1"/>
      <c r="D977" s="1"/>
      <c r="E977" s="1"/>
      <c r="F977" s="1"/>
      <c r="G977" s="1"/>
      <c r="H977" s="1"/>
      <c r="I977" s="1"/>
      <c r="J977" s="1"/>
      <c r="K977" s="1"/>
      <c r="L977" s="1"/>
      <c r="M977" s="1"/>
      <c r="N977" s="1"/>
      <c r="O977" s="1"/>
      <c r="P977" s="1"/>
      <c r="Q977" s="1"/>
      <c r="R977" s="1"/>
      <c r="S977" s="1"/>
      <c r="T977" s="1"/>
      <c r="U977" s="2"/>
      <c r="V977" s="1"/>
      <c r="W977" s="1"/>
      <c r="X977" s="1"/>
      <c r="Y977" s="1"/>
      <c r="Z977" s="1"/>
    </row>
    <row r="978" spans="1:26" ht="39.75" customHeight="1">
      <c r="A978" s="1"/>
      <c r="B978" s="1"/>
      <c r="C978" s="1"/>
      <c r="D978" s="1"/>
      <c r="E978" s="1"/>
      <c r="F978" s="1"/>
      <c r="G978" s="1"/>
      <c r="H978" s="1"/>
      <c r="I978" s="1"/>
      <c r="J978" s="1"/>
      <c r="K978" s="1"/>
      <c r="L978" s="1"/>
      <c r="M978" s="1"/>
      <c r="N978" s="1"/>
      <c r="O978" s="1"/>
      <c r="P978" s="1"/>
      <c r="Q978" s="1"/>
      <c r="R978" s="1"/>
      <c r="S978" s="1"/>
      <c r="T978" s="1"/>
      <c r="U978" s="2"/>
      <c r="V978" s="1"/>
      <c r="W978" s="1"/>
      <c r="X978" s="1"/>
      <c r="Y978" s="1"/>
      <c r="Z978" s="1"/>
    </row>
    <row r="979" spans="1:26" ht="39.75" customHeight="1">
      <c r="A979" s="1"/>
      <c r="B979" s="1"/>
      <c r="C979" s="1"/>
      <c r="D979" s="1"/>
      <c r="E979" s="1"/>
      <c r="F979" s="1"/>
      <c r="G979" s="1"/>
      <c r="H979" s="1"/>
      <c r="I979" s="1"/>
      <c r="J979" s="1"/>
      <c r="K979" s="1"/>
      <c r="L979" s="1"/>
      <c r="M979" s="1"/>
      <c r="N979" s="1"/>
      <c r="O979" s="1"/>
      <c r="P979" s="1"/>
      <c r="Q979" s="1"/>
      <c r="R979" s="1"/>
      <c r="S979" s="1"/>
      <c r="T979" s="1"/>
      <c r="U979" s="2"/>
      <c r="V979" s="1"/>
      <c r="W979" s="1"/>
      <c r="X979" s="1"/>
      <c r="Y979" s="1"/>
      <c r="Z979" s="1"/>
    </row>
    <row r="980" spans="1:26" ht="39.75" customHeight="1">
      <c r="A980" s="1"/>
      <c r="B980" s="1"/>
      <c r="C980" s="1"/>
      <c r="D980" s="1"/>
      <c r="E980" s="1"/>
      <c r="F980" s="1"/>
      <c r="G980" s="1"/>
      <c r="H980" s="1"/>
      <c r="I980" s="1"/>
      <c r="J980" s="1"/>
      <c r="K980" s="1"/>
      <c r="L980" s="1"/>
      <c r="M980" s="1"/>
      <c r="N980" s="1"/>
      <c r="O980" s="1"/>
      <c r="P980" s="1"/>
      <c r="Q980" s="1"/>
      <c r="R980" s="1"/>
      <c r="S980" s="1"/>
      <c r="T980" s="1"/>
      <c r="U980" s="2"/>
      <c r="V980" s="1"/>
      <c r="W980" s="1"/>
      <c r="X980" s="1"/>
      <c r="Y980" s="1"/>
      <c r="Z980" s="1"/>
    </row>
    <row r="981" spans="1:26" ht="39.75" customHeight="1">
      <c r="A981" s="1"/>
      <c r="B981" s="1"/>
      <c r="C981" s="1"/>
      <c r="D981" s="1"/>
      <c r="E981" s="1"/>
      <c r="F981" s="1"/>
      <c r="G981" s="1"/>
      <c r="H981" s="1"/>
      <c r="I981" s="1"/>
      <c r="J981" s="1"/>
      <c r="K981" s="1"/>
      <c r="L981" s="1"/>
      <c r="M981" s="1"/>
      <c r="N981" s="1"/>
      <c r="O981" s="1"/>
      <c r="P981" s="1"/>
      <c r="Q981" s="1"/>
      <c r="R981" s="1"/>
      <c r="S981" s="1"/>
      <c r="T981" s="1"/>
      <c r="U981" s="2"/>
      <c r="V981" s="1"/>
      <c r="W981" s="1"/>
      <c r="X981" s="1"/>
      <c r="Y981" s="1"/>
      <c r="Z981" s="1"/>
    </row>
    <row r="982" spans="1:26" ht="39.75" customHeight="1">
      <c r="A982" s="1"/>
      <c r="B982" s="1"/>
      <c r="C982" s="1"/>
      <c r="D982" s="1"/>
      <c r="E982" s="1"/>
      <c r="F982" s="1"/>
      <c r="G982" s="1"/>
      <c r="H982" s="1"/>
      <c r="I982" s="1"/>
      <c r="J982" s="1"/>
      <c r="K982" s="1"/>
      <c r="L982" s="1"/>
      <c r="M982" s="1"/>
      <c r="N982" s="1"/>
      <c r="O982" s="1"/>
      <c r="P982" s="1"/>
      <c r="Q982" s="1"/>
      <c r="R982" s="1"/>
      <c r="S982" s="1"/>
      <c r="T982" s="1"/>
      <c r="U982" s="2"/>
      <c r="V982" s="1"/>
      <c r="W982" s="1"/>
      <c r="X982" s="1"/>
      <c r="Y982" s="1"/>
      <c r="Z982" s="1"/>
    </row>
    <row r="983" spans="1:26" ht="39.75" customHeight="1">
      <c r="A983" s="1"/>
      <c r="B983" s="1"/>
      <c r="C983" s="1"/>
      <c r="D983" s="1"/>
      <c r="E983" s="1"/>
      <c r="F983" s="1"/>
      <c r="G983" s="1"/>
      <c r="H983" s="1"/>
      <c r="I983" s="1"/>
      <c r="J983" s="1"/>
      <c r="K983" s="1"/>
      <c r="L983" s="1"/>
      <c r="M983" s="1"/>
      <c r="N983" s="1"/>
      <c r="O983" s="1"/>
      <c r="P983" s="1"/>
      <c r="Q983" s="1"/>
      <c r="R983" s="1"/>
      <c r="S983" s="1"/>
      <c r="T983" s="1"/>
      <c r="U983" s="2"/>
      <c r="V983" s="1"/>
      <c r="W983" s="1"/>
      <c r="X983" s="1"/>
      <c r="Y983" s="1"/>
      <c r="Z983" s="1"/>
    </row>
    <row r="984" spans="1:26" ht="39.75" customHeight="1">
      <c r="A984" s="1"/>
      <c r="B984" s="1"/>
      <c r="C984" s="1"/>
      <c r="D984" s="1"/>
      <c r="E984" s="1"/>
      <c r="F984" s="1"/>
      <c r="G984" s="1"/>
      <c r="H984" s="1"/>
      <c r="I984" s="1"/>
      <c r="J984" s="1"/>
      <c r="K984" s="1"/>
      <c r="L984" s="1"/>
      <c r="M984" s="1"/>
      <c r="N984" s="1"/>
      <c r="O984" s="1"/>
      <c r="P984" s="1"/>
      <c r="Q984" s="1"/>
      <c r="R984" s="1"/>
      <c r="S984" s="1"/>
      <c r="T984" s="1"/>
      <c r="U984" s="2"/>
      <c r="V984" s="1"/>
      <c r="W984" s="1"/>
      <c r="X984" s="1"/>
      <c r="Y984" s="1"/>
      <c r="Z984" s="1"/>
    </row>
    <row r="985" spans="1:26" ht="39.75" customHeight="1">
      <c r="A985" s="1"/>
      <c r="B985" s="1"/>
      <c r="C985" s="1"/>
      <c r="D985" s="1"/>
      <c r="E985" s="1"/>
      <c r="F985" s="1"/>
      <c r="G985" s="1"/>
      <c r="H985" s="1"/>
      <c r="I985" s="1"/>
      <c r="J985" s="1"/>
      <c r="K985" s="1"/>
      <c r="L985" s="1"/>
      <c r="M985" s="1"/>
      <c r="N985" s="1"/>
      <c r="O985" s="1"/>
      <c r="P985" s="1"/>
      <c r="Q985" s="1"/>
      <c r="R985" s="1"/>
      <c r="S985" s="1"/>
      <c r="T985" s="1"/>
      <c r="U985" s="2"/>
      <c r="V985" s="1"/>
      <c r="W985" s="1"/>
      <c r="X985" s="1"/>
      <c r="Y985" s="1"/>
      <c r="Z985" s="1"/>
    </row>
    <row r="986" spans="1:26" ht="39.75" customHeight="1">
      <c r="A986" s="1"/>
      <c r="B986" s="1"/>
      <c r="C986" s="1"/>
      <c r="D986" s="1"/>
      <c r="E986" s="1"/>
      <c r="F986" s="1"/>
      <c r="G986" s="1"/>
      <c r="H986" s="1"/>
      <c r="I986" s="1"/>
      <c r="J986" s="1"/>
      <c r="K986" s="1"/>
      <c r="L986" s="1"/>
      <c r="M986" s="1"/>
      <c r="N986" s="1"/>
      <c r="O986" s="1"/>
      <c r="P986" s="1"/>
      <c r="Q986" s="1"/>
      <c r="R986" s="1"/>
      <c r="S986" s="1"/>
      <c r="T986" s="1"/>
      <c r="U986" s="2"/>
      <c r="V986" s="1"/>
      <c r="W986" s="1"/>
      <c r="X986" s="1"/>
      <c r="Y986" s="1"/>
      <c r="Z986" s="1"/>
    </row>
    <row r="987" spans="1:26" ht="39.75" customHeight="1">
      <c r="A987" s="1"/>
      <c r="B987" s="1"/>
      <c r="C987" s="1"/>
      <c r="D987" s="1"/>
      <c r="E987" s="1"/>
      <c r="F987" s="1"/>
      <c r="G987" s="1"/>
      <c r="H987" s="1"/>
      <c r="I987" s="1"/>
      <c r="J987" s="1"/>
      <c r="K987" s="1"/>
      <c r="L987" s="1"/>
      <c r="M987" s="1"/>
      <c r="N987" s="1"/>
      <c r="O987" s="1"/>
      <c r="P987" s="1"/>
      <c r="Q987" s="1"/>
      <c r="R987" s="1"/>
      <c r="S987" s="1"/>
      <c r="T987" s="1"/>
      <c r="U987" s="2"/>
      <c r="V987" s="1"/>
      <c r="W987" s="1"/>
      <c r="X987" s="1"/>
      <c r="Y987" s="1"/>
      <c r="Z987" s="1"/>
    </row>
    <row r="988" spans="1:26" ht="39.75" customHeight="1">
      <c r="A988" s="1"/>
      <c r="B988" s="1"/>
      <c r="C988" s="1"/>
      <c r="D988" s="1"/>
      <c r="E988" s="1"/>
      <c r="F988" s="1"/>
      <c r="G988" s="1"/>
      <c r="H988" s="1"/>
      <c r="I988" s="1"/>
      <c r="J988" s="1"/>
      <c r="K988" s="1"/>
      <c r="L988" s="1"/>
      <c r="M988" s="1"/>
      <c r="N988" s="1"/>
      <c r="O988" s="1"/>
      <c r="P988" s="1"/>
      <c r="Q988" s="1"/>
      <c r="R988" s="1"/>
      <c r="S988" s="1"/>
      <c r="T988" s="1"/>
      <c r="U988" s="2"/>
      <c r="V988" s="1"/>
      <c r="W988" s="1"/>
      <c r="X988" s="1"/>
      <c r="Y988" s="1"/>
      <c r="Z988" s="1"/>
    </row>
    <row r="989" spans="1:26" ht="39.75" customHeight="1">
      <c r="A989" s="1"/>
      <c r="B989" s="1"/>
      <c r="C989" s="1"/>
      <c r="D989" s="1"/>
      <c r="E989" s="1"/>
      <c r="F989" s="1"/>
      <c r="G989" s="1"/>
      <c r="H989" s="1"/>
      <c r="I989" s="1"/>
      <c r="J989" s="1"/>
      <c r="K989" s="1"/>
      <c r="L989" s="1"/>
      <c r="M989" s="1"/>
      <c r="N989" s="1"/>
      <c r="O989" s="1"/>
      <c r="P989" s="1"/>
      <c r="Q989" s="1"/>
      <c r="R989" s="1"/>
      <c r="S989" s="1"/>
      <c r="T989" s="1"/>
      <c r="U989" s="2"/>
      <c r="V989" s="1"/>
      <c r="W989" s="1"/>
      <c r="X989" s="1"/>
      <c r="Y989" s="1"/>
      <c r="Z989" s="1"/>
    </row>
    <row r="990" spans="1:26" ht="39.75" customHeight="1">
      <c r="A990" s="1"/>
      <c r="B990" s="1"/>
      <c r="C990" s="1"/>
      <c r="D990" s="1"/>
      <c r="E990" s="1"/>
      <c r="F990" s="1"/>
      <c r="G990" s="1"/>
      <c r="H990" s="1"/>
      <c r="I990" s="1"/>
      <c r="J990" s="1"/>
      <c r="K990" s="1"/>
      <c r="L990" s="1"/>
      <c r="M990" s="1"/>
      <c r="N990" s="1"/>
      <c r="O990" s="1"/>
      <c r="P990" s="1"/>
      <c r="Q990" s="1"/>
      <c r="R990" s="1"/>
      <c r="S990" s="1"/>
      <c r="T990" s="1"/>
      <c r="U990" s="2"/>
      <c r="V990" s="1"/>
      <c r="W990" s="1"/>
      <c r="X990" s="1"/>
      <c r="Y990" s="1"/>
      <c r="Z990" s="1"/>
    </row>
    <row r="991" spans="1:26" ht="39.75" customHeight="1">
      <c r="A991" s="1"/>
      <c r="B991" s="1"/>
      <c r="C991" s="1"/>
      <c r="D991" s="1"/>
      <c r="E991" s="1"/>
      <c r="F991" s="1"/>
      <c r="G991" s="1"/>
      <c r="H991" s="1"/>
      <c r="I991" s="1"/>
      <c r="J991" s="1"/>
      <c r="K991" s="1"/>
      <c r="L991" s="1"/>
      <c r="M991" s="1"/>
      <c r="N991" s="1"/>
      <c r="O991" s="1"/>
      <c r="P991" s="1"/>
      <c r="Q991" s="1"/>
      <c r="R991" s="1"/>
      <c r="S991" s="1"/>
      <c r="T991" s="1"/>
      <c r="U991" s="2"/>
      <c r="V991" s="1"/>
      <c r="W991" s="1"/>
      <c r="X991" s="1"/>
      <c r="Y991" s="1"/>
      <c r="Z991" s="1"/>
    </row>
    <row r="992" spans="1:26" ht="39.75" customHeight="1">
      <c r="A992" s="1"/>
      <c r="B992" s="1"/>
      <c r="C992" s="1"/>
      <c r="D992" s="1"/>
      <c r="E992" s="1"/>
      <c r="F992" s="1"/>
      <c r="G992" s="1"/>
      <c r="H992" s="1"/>
      <c r="I992" s="1"/>
      <c r="J992" s="1"/>
      <c r="K992" s="1"/>
      <c r="L992" s="1"/>
      <c r="M992" s="1"/>
      <c r="N992" s="1"/>
      <c r="O992" s="1"/>
      <c r="P992" s="1"/>
      <c r="Q992" s="1"/>
      <c r="R992" s="1"/>
      <c r="S992" s="1"/>
      <c r="T992" s="1"/>
      <c r="U992" s="2"/>
      <c r="V992" s="1"/>
      <c r="W992" s="1"/>
      <c r="X992" s="1"/>
      <c r="Y992" s="1"/>
      <c r="Z992" s="1"/>
    </row>
    <row r="993" spans="1:26" ht="39.75" customHeight="1">
      <c r="A993" s="1"/>
      <c r="B993" s="1"/>
      <c r="C993" s="1"/>
      <c r="D993" s="1"/>
      <c r="E993" s="1"/>
      <c r="F993" s="1"/>
      <c r="G993" s="1"/>
      <c r="H993" s="1"/>
      <c r="I993" s="1"/>
      <c r="J993" s="1"/>
      <c r="K993" s="1"/>
      <c r="L993" s="1"/>
      <c r="M993" s="1"/>
      <c r="N993" s="1"/>
      <c r="O993" s="1"/>
      <c r="P993" s="1"/>
      <c r="Q993" s="1"/>
      <c r="R993" s="1"/>
      <c r="S993" s="1"/>
      <c r="T993" s="1"/>
      <c r="U993" s="2"/>
      <c r="V993" s="1"/>
      <c r="W993" s="1"/>
      <c r="X993" s="1"/>
      <c r="Y993" s="1"/>
      <c r="Z993" s="1"/>
    </row>
    <row r="994" spans="1:26" ht="39.75" customHeight="1">
      <c r="A994" s="1"/>
      <c r="B994" s="1"/>
      <c r="C994" s="1"/>
      <c r="D994" s="1"/>
      <c r="E994" s="1"/>
      <c r="F994" s="1"/>
      <c r="G994" s="1"/>
      <c r="H994" s="1"/>
      <c r="I994" s="1"/>
      <c r="J994" s="1"/>
      <c r="K994" s="1"/>
      <c r="L994" s="1"/>
      <c r="M994" s="1"/>
      <c r="N994" s="1"/>
      <c r="O994" s="1"/>
      <c r="P994" s="1"/>
      <c r="Q994" s="1"/>
      <c r="R994" s="1"/>
      <c r="S994" s="1"/>
      <c r="T994" s="1"/>
      <c r="U994" s="2"/>
      <c r="V994" s="1"/>
      <c r="W994" s="1"/>
      <c r="X994" s="1"/>
      <c r="Y994" s="1"/>
      <c r="Z994" s="1"/>
    </row>
    <row r="995" spans="1:26" ht="39.75" customHeight="1">
      <c r="A995" s="1"/>
      <c r="B995" s="1"/>
      <c r="C995" s="1"/>
      <c r="D995" s="1"/>
      <c r="E995" s="1"/>
      <c r="F995" s="1"/>
      <c r="G995" s="1"/>
      <c r="H995" s="1"/>
      <c r="I995" s="1"/>
      <c r="J995" s="1"/>
      <c r="K995" s="1"/>
      <c r="L995" s="1"/>
      <c r="M995" s="1"/>
      <c r="N995" s="1"/>
      <c r="O995" s="1"/>
      <c r="P995" s="1"/>
      <c r="Q995" s="1"/>
      <c r="R995" s="1"/>
      <c r="S995" s="1"/>
      <c r="T995" s="1"/>
      <c r="U995" s="2"/>
      <c r="V995" s="1"/>
      <c r="W995" s="1"/>
      <c r="X995" s="1"/>
      <c r="Y995" s="1"/>
      <c r="Z995" s="1"/>
    </row>
    <row r="996" spans="1:26" ht="39.75" customHeight="1">
      <c r="A996" s="1"/>
      <c r="B996" s="1"/>
      <c r="C996" s="1"/>
      <c r="D996" s="1"/>
      <c r="E996" s="1"/>
      <c r="F996" s="1"/>
      <c r="G996" s="1"/>
      <c r="H996" s="1"/>
      <c r="I996" s="1"/>
      <c r="J996" s="1"/>
      <c r="K996" s="1"/>
      <c r="L996" s="1"/>
      <c r="M996" s="1"/>
      <c r="N996" s="1"/>
      <c r="O996" s="1"/>
      <c r="P996" s="1"/>
      <c r="Q996" s="1"/>
      <c r="R996" s="1"/>
      <c r="S996" s="1"/>
      <c r="T996" s="1"/>
      <c r="U996" s="2"/>
      <c r="V996" s="1"/>
      <c r="W996" s="1"/>
      <c r="X996" s="1"/>
      <c r="Y996" s="1"/>
      <c r="Z996" s="1"/>
    </row>
    <row r="997" spans="1:26" ht="39.75" customHeight="1">
      <c r="A997" s="1"/>
      <c r="B997" s="1"/>
      <c r="C997" s="1"/>
      <c r="D997" s="1"/>
      <c r="E997" s="1"/>
      <c r="F997" s="1"/>
      <c r="G997" s="1"/>
      <c r="H997" s="1"/>
      <c r="I997" s="1"/>
      <c r="J997" s="1"/>
      <c r="K997" s="1"/>
      <c r="L997" s="1"/>
      <c r="M997" s="1"/>
      <c r="N997" s="1"/>
      <c r="O997" s="1"/>
      <c r="P997" s="1"/>
      <c r="Q997" s="1"/>
      <c r="R997" s="1"/>
      <c r="S997" s="1"/>
      <c r="T997" s="1"/>
      <c r="U997" s="2"/>
      <c r="V997" s="1"/>
      <c r="W997" s="1"/>
      <c r="X997" s="1"/>
      <c r="Y997" s="1"/>
      <c r="Z997" s="1"/>
    </row>
    <row r="998" spans="1:26" ht="39.75" customHeight="1">
      <c r="A998" s="1"/>
      <c r="B998" s="1"/>
      <c r="C998" s="1"/>
      <c r="D998" s="1"/>
      <c r="E998" s="1"/>
      <c r="F998" s="1"/>
      <c r="G998" s="1"/>
      <c r="H998" s="1"/>
      <c r="I998" s="1"/>
      <c r="J998" s="1"/>
      <c r="K998" s="1"/>
      <c r="L998" s="1"/>
      <c r="M998" s="1"/>
      <c r="N998" s="1"/>
      <c r="O998" s="1"/>
      <c r="P998" s="1"/>
      <c r="Q998" s="1"/>
      <c r="R998" s="1"/>
      <c r="S998" s="1"/>
      <c r="T998" s="1"/>
      <c r="U998" s="2"/>
      <c r="V998" s="1"/>
      <c r="W998" s="1"/>
      <c r="X998" s="1"/>
      <c r="Y998" s="1"/>
      <c r="Z998" s="1"/>
    </row>
    <row r="999" spans="1:26" ht="39.75" customHeight="1">
      <c r="A999" s="1"/>
      <c r="B999" s="1"/>
      <c r="C999" s="1"/>
      <c r="D999" s="1"/>
      <c r="E999" s="1"/>
      <c r="F999" s="1"/>
      <c r="G999" s="1"/>
      <c r="H999" s="1"/>
      <c r="I999" s="1"/>
      <c r="J999" s="1"/>
      <c r="K999" s="1"/>
      <c r="L999" s="1"/>
      <c r="M999" s="1"/>
      <c r="N999" s="1"/>
      <c r="O999" s="1"/>
      <c r="P999" s="1"/>
      <c r="Q999" s="1"/>
      <c r="R999" s="1"/>
      <c r="S999" s="1"/>
      <c r="T999" s="1"/>
      <c r="U999" s="2"/>
      <c r="V999" s="1"/>
      <c r="W999" s="1"/>
      <c r="X999" s="1"/>
      <c r="Y999" s="1"/>
      <c r="Z999" s="1"/>
    </row>
    <row r="1000" spans="1:26" ht="39.75" customHeight="1">
      <c r="A1000" s="1"/>
      <c r="B1000" s="1"/>
      <c r="C1000" s="1"/>
      <c r="D1000" s="1"/>
      <c r="E1000" s="1"/>
      <c r="F1000" s="1"/>
      <c r="G1000" s="1"/>
      <c r="H1000" s="1"/>
      <c r="I1000" s="1"/>
      <c r="J1000" s="1"/>
      <c r="K1000" s="1"/>
      <c r="L1000" s="1"/>
      <c r="M1000" s="1"/>
      <c r="N1000" s="1"/>
      <c r="O1000" s="1"/>
      <c r="P1000" s="1"/>
      <c r="Q1000" s="1"/>
      <c r="R1000" s="1"/>
      <c r="S1000" s="1"/>
      <c r="T1000" s="1"/>
      <c r="U1000" s="2"/>
      <c r="V1000" s="1"/>
      <c r="W1000" s="1"/>
      <c r="X1000" s="1"/>
      <c r="Y1000" s="1"/>
      <c r="Z1000" s="1"/>
    </row>
  </sheetData>
  <mergeCells count="99">
    <mergeCell ref="A210:D210"/>
    <mergeCell ref="C168:C172"/>
    <mergeCell ref="C173:C179"/>
    <mergeCell ref="C180:C183"/>
    <mergeCell ref="C184:C186"/>
    <mergeCell ref="C187:C192"/>
    <mergeCell ref="C194:C199"/>
    <mergeCell ref="C200:C201"/>
    <mergeCell ref="B202:B203"/>
    <mergeCell ref="B204:B206"/>
    <mergeCell ref="C202:C203"/>
    <mergeCell ref="C204:C206"/>
    <mergeCell ref="B209:D209"/>
    <mergeCell ref="B180:B183"/>
    <mergeCell ref="B184:B186"/>
    <mergeCell ref="B187:B192"/>
    <mergeCell ref="B194:B199"/>
    <mergeCell ref="B200:B201"/>
    <mergeCell ref="A94:A134"/>
    <mergeCell ref="A135:A158"/>
    <mergeCell ref="A159:A209"/>
    <mergeCell ref="B131:B132"/>
    <mergeCell ref="B122:B125"/>
    <mergeCell ref="B128:B130"/>
    <mergeCell ref="B134:D134"/>
    <mergeCell ref="B135:B136"/>
    <mergeCell ref="C135:C136"/>
    <mergeCell ref="B173:B179"/>
    <mergeCell ref="B168:B172"/>
    <mergeCell ref="B94:B103"/>
    <mergeCell ref="B104:B105"/>
    <mergeCell ref="C114:C118"/>
    <mergeCell ref="A69:A93"/>
    <mergeCell ref="B70:B74"/>
    <mergeCell ref="B75:B78"/>
    <mergeCell ref="B79:B85"/>
    <mergeCell ref="B86:B89"/>
    <mergeCell ref="C150:C153"/>
    <mergeCell ref="B158:D158"/>
    <mergeCell ref="C159:C162"/>
    <mergeCell ref="C163:C167"/>
    <mergeCell ref="B138:B144"/>
    <mergeCell ref="B145:B146"/>
    <mergeCell ref="B147:B149"/>
    <mergeCell ref="B150:B153"/>
    <mergeCell ref="B159:B162"/>
    <mergeCell ref="B163:B167"/>
    <mergeCell ref="B111:B113"/>
    <mergeCell ref="C111:C113"/>
    <mergeCell ref="C138:C144"/>
    <mergeCell ref="C145:C146"/>
    <mergeCell ref="C147:C149"/>
    <mergeCell ref="C131:C132"/>
    <mergeCell ref="C119:C120"/>
    <mergeCell ref="C122:C125"/>
    <mergeCell ref="B114:B118"/>
    <mergeCell ref="B119:B120"/>
    <mergeCell ref="C128:C130"/>
    <mergeCell ref="C106:C110"/>
    <mergeCell ref="B37:B39"/>
    <mergeCell ref="B40:B46"/>
    <mergeCell ref="C40:C46"/>
    <mergeCell ref="B47:B56"/>
    <mergeCell ref="C47:C56"/>
    <mergeCell ref="C57:C66"/>
    <mergeCell ref="B68:D68"/>
    <mergeCell ref="B106:B110"/>
    <mergeCell ref="C79:C85"/>
    <mergeCell ref="C86:C89"/>
    <mergeCell ref="B93:D93"/>
    <mergeCell ref="C94:C103"/>
    <mergeCell ref="C104:C105"/>
    <mergeCell ref="B57:B66"/>
    <mergeCell ref="B26:B36"/>
    <mergeCell ref="C26:C36"/>
    <mergeCell ref="C37:C39"/>
    <mergeCell ref="C70:C74"/>
    <mergeCell ref="C75:C78"/>
    <mergeCell ref="F4:F5"/>
    <mergeCell ref="I4:I5"/>
    <mergeCell ref="B6:B23"/>
    <mergeCell ref="C6:C23"/>
    <mergeCell ref="B24:B25"/>
    <mergeCell ref="C24:C25"/>
    <mergeCell ref="A1:E1"/>
    <mergeCell ref="B4:B5"/>
    <mergeCell ref="C4:C5"/>
    <mergeCell ref="D4:D5"/>
    <mergeCell ref="E4:E5"/>
    <mergeCell ref="R4:R5"/>
    <mergeCell ref="S4:S5"/>
    <mergeCell ref="U4:U5"/>
    <mergeCell ref="G4:H4"/>
    <mergeCell ref="J4:L4"/>
    <mergeCell ref="M4:M5"/>
    <mergeCell ref="N4:N5"/>
    <mergeCell ref="O4:O5"/>
    <mergeCell ref="P4:P5"/>
    <mergeCell ref="Q4:Q5"/>
  </mergeCells>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dimension ref="A1:Z1000"/>
  <sheetViews>
    <sheetView tabSelected="1" workbookViewId="0">
      <pane xSplit="5" ySplit="5" topLeftCell="F6" activePane="bottomRight" state="frozen"/>
      <selection pane="topRight" activeCell="F1" sqref="F1"/>
      <selection pane="bottomLeft" activeCell="A6" sqref="A6"/>
      <selection pane="bottomRight" activeCell="J6" sqref="J6"/>
    </sheetView>
  </sheetViews>
  <sheetFormatPr defaultColWidth="14.42578125" defaultRowHeight="15" customHeight="1"/>
  <cols>
    <col min="1" max="1" width="6.7109375" style="3" customWidth="1"/>
    <col min="2" max="2" width="7.28515625" style="3" customWidth="1"/>
    <col min="3" max="3" width="11.28515625" style="3" customWidth="1"/>
    <col min="4" max="4" width="5.85546875" style="3" customWidth="1"/>
    <col min="5" max="5" width="35.85546875" style="3" customWidth="1"/>
    <col min="6" max="6" width="7.42578125" style="3" customWidth="1"/>
    <col min="7" max="7" width="10.7109375" style="3" customWidth="1"/>
    <col min="8" max="8" width="9.7109375" style="3" customWidth="1"/>
    <col min="9" max="9" width="12.42578125" style="3" customWidth="1"/>
    <col min="10" max="10" width="11.85546875" style="3" customWidth="1"/>
    <col min="11" max="11" width="10" style="3" customWidth="1"/>
    <col min="12" max="12" width="6.7109375" style="3" customWidth="1"/>
    <col min="13" max="13" width="10.7109375" style="3" customWidth="1"/>
    <col min="14" max="14" width="9.7109375" style="3" customWidth="1"/>
    <col min="15" max="15" width="10.140625" style="3" customWidth="1"/>
    <col min="16" max="16" width="11.85546875" style="3" customWidth="1"/>
    <col min="17" max="17" width="8.28515625" style="3" customWidth="1"/>
    <col min="18" max="18" width="10.140625" style="3" customWidth="1"/>
    <col min="19" max="19" width="10.42578125" style="3" customWidth="1"/>
    <col min="20" max="20" width="15.7109375" style="3" customWidth="1"/>
    <col min="21" max="21" width="12.7109375" style="3" customWidth="1"/>
    <col min="22" max="22" width="14.42578125" style="3" customWidth="1"/>
    <col min="23" max="16384" width="14.42578125" style="3"/>
  </cols>
  <sheetData>
    <row r="1" spans="1:26" ht="39.75" customHeight="1">
      <c r="A1" s="172" t="s">
        <v>379</v>
      </c>
      <c r="B1" s="173"/>
      <c r="C1" s="173"/>
      <c r="D1" s="173"/>
      <c r="E1" s="174"/>
      <c r="F1" s="1"/>
      <c r="G1" s="1"/>
      <c r="H1" s="1"/>
      <c r="I1" s="1"/>
      <c r="J1" s="1"/>
      <c r="K1" s="1"/>
      <c r="L1" s="1"/>
      <c r="M1" s="1"/>
      <c r="N1" s="1"/>
      <c r="O1" s="1"/>
      <c r="P1" s="1"/>
      <c r="Q1" s="1"/>
      <c r="R1" s="1"/>
      <c r="S1" s="1"/>
      <c r="T1" s="1"/>
      <c r="U1" s="2"/>
      <c r="V1" s="1"/>
      <c r="W1" s="1"/>
      <c r="X1" s="1"/>
      <c r="Y1" s="1"/>
      <c r="Z1" s="1"/>
    </row>
    <row r="2" spans="1:26" ht="39.75" customHeight="1">
      <c r="A2" s="1"/>
      <c r="B2" s="1"/>
      <c r="C2" s="1"/>
      <c r="D2" s="1"/>
      <c r="E2" s="1"/>
      <c r="F2" s="1"/>
      <c r="G2" s="1"/>
      <c r="H2" s="1"/>
      <c r="I2" s="1"/>
      <c r="J2" s="1"/>
      <c r="K2" s="1"/>
      <c r="L2" s="1"/>
      <c r="M2" s="1"/>
      <c r="N2" s="1"/>
      <c r="O2" s="1"/>
      <c r="P2" s="1"/>
      <c r="Q2" s="1"/>
      <c r="R2" s="1"/>
      <c r="S2" s="1"/>
      <c r="T2" s="1"/>
      <c r="U2" s="2"/>
      <c r="V2" s="1"/>
      <c r="W2" s="1"/>
      <c r="X2" s="1"/>
      <c r="Y2" s="1"/>
      <c r="Z2" s="1"/>
    </row>
    <row r="3" spans="1:26" ht="39.75" customHeight="1">
      <c r="A3" s="1"/>
      <c r="B3" s="4"/>
      <c r="C3" s="4"/>
      <c r="D3" s="4"/>
      <c r="E3" s="4"/>
      <c r="F3" s="4"/>
      <c r="G3" s="4"/>
      <c r="H3" s="4"/>
      <c r="I3" s="4"/>
      <c r="J3" s="4"/>
      <c r="K3" s="4"/>
      <c r="L3" s="4"/>
      <c r="M3" s="4"/>
      <c r="N3" s="4"/>
      <c r="O3" s="4"/>
      <c r="P3" s="4"/>
      <c r="Q3" s="4"/>
      <c r="R3" s="4"/>
      <c r="S3" s="4"/>
      <c r="T3" s="59" t="s">
        <v>1</v>
      </c>
      <c r="V3" s="1"/>
      <c r="W3" s="1"/>
      <c r="X3" s="1"/>
      <c r="Y3" s="1"/>
      <c r="Z3" s="1"/>
    </row>
    <row r="4" spans="1:26" ht="39.75" customHeight="1">
      <c r="A4" s="168" t="s">
        <v>2</v>
      </c>
      <c r="B4" s="168" t="s">
        <v>3</v>
      </c>
      <c r="C4" s="168" t="s">
        <v>4</v>
      </c>
      <c r="D4" s="168" t="s">
        <v>5</v>
      </c>
      <c r="E4" s="168" t="s">
        <v>6</v>
      </c>
      <c r="F4" s="168" t="s">
        <v>7</v>
      </c>
      <c r="G4" s="166" t="s">
        <v>8</v>
      </c>
      <c r="H4" s="167"/>
      <c r="I4" s="168" t="s">
        <v>9</v>
      </c>
      <c r="J4" s="166" t="s">
        <v>10</v>
      </c>
      <c r="K4" s="170"/>
      <c r="L4" s="167"/>
      <c r="M4" s="168" t="s">
        <v>570</v>
      </c>
      <c r="N4" s="168" t="s">
        <v>11</v>
      </c>
      <c r="O4" s="168" t="s">
        <v>12</v>
      </c>
      <c r="P4" s="168" t="s">
        <v>380</v>
      </c>
      <c r="Q4" s="168" t="s">
        <v>14</v>
      </c>
      <c r="R4" s="168" t="s">
        <v>15</v>
      </c>
      <c r="S4" s="168" t="s">
        <v>16</v>
      </c>
      <c r="T4" s="5" t="s">
        <v>597</v>
      </c>
      <c r="U4" s="164" t="s">
        <v>17</v>
      </c>
      <c r="V4" s="1"/>
      <c r="W4" s="1"/>
      <c r="X4" s="1"/>
      <c r="Y4" s="1"/>
      <c r="Z4" s="1"/>
    </row>
    <row r="5" spans="1:26" ht="63.75" customHeight="1">
      <c r="A5" s="169"/>
      <c r="B5" s="169"/>
      <c r="C5" s="169"/>
      <c r="D5" s="169"/>
      <c r="E5" s="169"/>
      <c r="F5" s="169"/>
      <c r="G5" s="5" t="s">
        <v>18</v>
      </c>
      <c r="H5" s="5" t="s">
        <v>19</v>
      </c>
      <c r="I5" s="169"/>
      <c r="J5" s="5" t="s">
        <v>571</v>
      </c>
      <c r="K5" s="5" t="s">
        <v>20</v>
      </c>
      <c r="L5" s="5" t="s">
        <v>21</v>
      </c>
      <c r="M5" s="169"/>
      <c r="N5" s="169"/>
      <c r="O5" s="169"/>
      <c r="P5" s="169"/>
      <c r="Q5" s="169"/>
      <c r="R5" s="169"/>
      <c r="S5" s="169"/>
      <c r="T5" s="5" t="s">
        <v>22</v>
      </c>
      <c r="U5" s="169"/>
      <c r="V5" s="1"/>
      <c r="W5" s="1"/>
      <c r="X5" s="1"/>
      <c r="Y5" s="1"/>
      <c r="Z5" s="1"/>
    </row>
    <row r="6" spans="1:26" ht="39.75" customHeight="1">
      <c r="A6" s="175" t="s">
        <v>23</v>
      </c>
      <c r="B6" s="168" t="s">
        <v>24</v>
      </c>
      <c r="C6" s="168" t="s">
        <v>25</v>
      </c>
      <c r="D6" s="5">
        <v>1</v>
      </c>
      <c r="E6" s="5" t="s">
        <v>26</v>
      </c>
      <c r="F6" s="24">
        <f>TVM!F6+KLM!F6+PTA!F6+ALP!F6+KTYM!F6+IDK!F6+EKM!F6+TSR!F6+PLKD!F6+MLPM!F6+KKD!F6+WYND!F6+KNR!F6+KSRGD!F6+SHS!F6</f>
        <v>0</v>
      </c>
      <c r="G6" s="24">
        <f>TVM!G6+KLM!G6+PTA!G6+ALP!G6+KTYM!G6+IDK!G6+EKM!G6+TSR!G6+PLKD!G6+MLPM!G6+KKD!G6+WYND!G6+KNR!G6+KSRGD!G6+SHS!G6</f>
        <v>0</v>
      </c>
      <c r="H6" s="24">
        <f>TVM!H6+KLM!H6+PTA!H6+ALP!H6+KTYM!H6+IDK!H6+EKM!H6+TSR!H6+PLKD!H6+MLPM!H6+KKD!H6+WYND!H6+KNR!H6+KSRGD!H6+SHS!H6</f>
        <v>0</v>
      </c>
      <c r="I6" s="24">
        <f>TVM!I6+KLM!I6+PTA!I6+ALP!I6+KTYM!I6+IDK!I6+EKM!I6+TSR!I6+PLKD!I6+MLPM!I6+KKD!I6+WYND!I6+KNR!I6+KSRGD!I6+SHS!I6</f>
        <v>0</v>
      </c>
      <c r="J6" s="24">
        <f>TVM!J6+KLM!J6+PTA!J6+ALP!J6+KTYM!J6+IDK!J6+EKM!J6+TSR!J6+PLKD!J6+MLPM!J6+KKD!J6+WYND!J6+KNR!J6+KSRGD!J6+SHS!J6</f>
        <v>0</v>
      </c>
      <c r="K6" s="24">
        <f>TVM!K6+KLM!K6+PTA!K6+ALP!K6+KTYM!K6+IDK!K6+EKM!K6+TSR!K6+PLKD!K6+MLPM!K6+KKD!K6+WYND!K6+KNR!K6+KSRGD!K6+SHS!K6</f>
        <v>0</v>
      </c>
      <c r="L6" s="24">
        <f>TVM!L6+KLM!L6+PTA!L6+ALP!L6+KTYM!L6+IDK!L6+EKM!L6+TSR!L6+PLKD!L6+MLPM!L6+KKD!L6+WYND!L6+KNR!L6+KSRGD!L6+SHS!L6</f>
        <v>0</v>
      </c>
      <c r="M6" s="24">
        <f>TVM!M6+KLM!M6+PTA!M6+ALP!M6+KTYM!M6+IDK!M6+EKM!M6+TSR!M6+PLKD!M6+MLPM!M6+KKD!M6+WYND!M6+KNR!M6+KSRGD!M6+SHS!M6</f>
        <v>0</v>
      </c>
      <c r="N6" s="24">
        <f>TVM!N6+KLM!N6+PTA!N6+ALP!N6+KTYM!N6+IDK!N6+EKM!N6+TSR!N6+PLKD!N6+MLPM!N6+KKD!N6+WYND!N6+KNR!N6+KSRGD!N6+SHS!N6</f>
        <v>0</v>
      </c>
      <c r="O6" s="24">
        <f>TVM!O6+KLM!O6+PTA!O6+ALP!O6+KTYM!O6+IDK!O6+EKM!O6+TSR!O6+PLKD!O6+MLPM!O6+KKD!O6+WYND!O6+KNR!O6+KSRGD!O6+SHS!O6</f>
        <v>0</v>
      </c>
      <c r="P6" s="24">
        <f>TVM!P6+KLM!P6+PTA!P6+ALP!P6+KTYM!P6+IDK!P6+EKM!P6+TSR!P6+PLKD!P6+MLPM!P6+KKD!P6+WYND!P6+KNR!P6+KSRGD!P6+SHS!P6</f>
        <v>0</v>
      </c>
      <c r="Q6" s="24">
        <f>TVM!Q6+KLM!Q6+PTA!Q6+ALP!Q6+KTYM!Q6+IDK!Q6+EKM!Q6+TSR!Q6+PLKD!Q6+MLPM!Q6+KKD!Q6+WYND!Q6+KNR!Q6+KSRGD!Q6+SHS!Q6</f>
        <v>0</v>
      </c>
      <c r="R6" s="24">
        <f>TVM!R6+KLM!R6+PTA!R6+ALP!R6+KTYM!R6+IDK!R6+EKM!R6+TSR!R6+PLKD!R6+MLPM!R6+KKD!R6+WYND!R6+KNR!R6+KSRGD!R6+SHS!R6</f>
        <v>0</v>
      </c>
      <c r="S6" s="24">
        <f>TVM!S6+KLM!S6+PTA!S6+ALP!S6+KTYM!S6+IDK!S6+EKM!S6+TSR!S6+PLKD!S6+MLPM!S6+KKD!S6+WYND!S6+KNR!S6+KSRGD!S6+SHS!S6</f>
        <v>0</v>
      </c>
      <c r="T6" s="6">
        <f t="shared" ref="T6:T67" si="0">SUM(F6:S6)</f>
        <v>0</v>
      </c>
      <c r="U6" s="9"/>
      <c r="V6" s="1"/>
      <c r="W6" s="1"/>
      <c r="X6" s="1"/>
      <c r="Y6" s="1"/>
      <c r="Z6" s="1"/>
    </row>
    <row r="7" spans="1:26" ht="55.5" customHeight="1">
      <c r="A7" s="171"/>
      <c r="B7" s="171"/>
      <c r="C7" s="171"/>
      <c r="D7" s="5">
        <v>2</v>
      </c>
      <c r="E7" s="5" t="s">
        <v>27</v>
      </c>
      <c r="F7" s="24">
        <f>TVM!F7+KLM!F7+PTA!F7+ALP!F7+KTYM!F7+IDK!F7+EKM!F7+TSR!F7+PLKD!F7+MLPM!F7+KKD!F7+WYND!F7+KNR!F7+KSRGD!F7+SHS!F7</f>
        <v>0</v>
      </c>
      <c r="G7" s="24">
        <f>TVM!G7+KLM!G7+PTA!G7+ALP!G7+KTYM!G7+IDK!G7+EKM!G7+TSR!G7+PLKD!G7+MLPM!G7+KKD!G7+WYND!G7+KNR!G7+KSRGD!G7+SHS!G7</f>
        <v>0</v>
      </c>
      <c r="H7" s="24">
        <f>TVM!H7+KLM!H7+PTA!H7+ALP!H7+KTYM!H7+IDK!H7+EKM!H7+TSR!H7+PLKD!H7+MLPM!H7+KKD!H7+WYND!H7+KNR!H7+KSRGD!H7+SHS!H7</f>
        <v>0</v>
      </c>
      <c r="I7" s="24">
        <f>TVM!I7+KLM!I7+PTA!I7+ALP!I7+KTYM!I7+IDK!I7+EKM!I7+TSR!I7+PLKD!I7+MLPM!I7+KKD!I7+WYND!I7+KNR!I7+KSRGD!I7+SHS!I7</f>
        <v>0</v>
      </c>
      <c r="J7" s="24">
        <f>TVM!J7+KLM!J7+PTA!J7+ALP!J7+KTYM!J7+IDK!J7+EKM!J7+TSR!J7+PLKD!J7+MLPM!J7+KKD!J7+WYND!J7+KNR!J7+KSRGD!J7+SHS!J7</f>
        <v>0</v>
      </c>
      <c r="K7" s="27">
        <f>TVM!K7+KLM!K7+PTA!K7+ALP!K7+KTYM!K7+IDK!K7+EKM!K7+TSR!K7+PLKD!K7+MLPM!K7+KKD!K7+WYND!K7+KNR!K7+KSRGD!K7+SHS!K7</f>
        <v>1886.6600000000003</v>
      </c>
      <c r="L7" s="24">
        <f>TVM!L7+KLM!L7+PTA!L7+ALP!L7+KTYM!L7+IDK!L7+EKM!L7+TSR!L7+PLKD!L7+MLPM!L7+KKD!L7+WYND!L7+KNR!L7+KSRGD!L7+SHS!L7</f>
        <v>0</v>
      </c>
      <c r="M7" s="24">
        <f>TVM!M7+KLM!M7+PTA!M7+ALP!M7+KTYM!M7+IDK!M7+EKM!M7+TSR!M7+PLKD!M7+MLPM!M7+KKD!M7+WYND!M7+KNR!M7+KSRGD!M7+SHS!M7</f>
        <v>0</v>
      </c>
      <c r="N7" s="24">
        <f>TVM!N7+KLM!N7+PTA!N7+ALP!N7+KTYM!N7+IDK!N7+EKM!N7+TSR!N7+PLKD!N7+MLPM!N7+KKD!N7+WYND!N7+KNR!N7+KSRGD!N7+SHS!N7</f>
        <v>0</v>
      </c>
      <c r="O7" s="24">
        <f>TVM!O7+KLM!O7+PTA!O7+ALP!O7+KTYM!O7+IDK!O7+EKM!O7+TSR!O7+PLKD!O7+MLPM!O7+KKD!O7+WYND!O7+KNR!O7+KSRGD!O7+SHS!O7</f>
        <v>0</v>
      </c>
      <c r="P7" s="31">
        <f>TVM!P7+KLM!P7+PTA!P7+ALP!P7+KTYM!P7+IDK!P7+EKM!P7+TSR!P7+PLKD!P7+MLPM!P7+KKD!P7+WYND!P7+KNR!P7+KSRGD!P7+SHS!P7</f>
        <v>24.31</v>
      </c>
      <c r="Q7" s="24">
        <f>TVM!Q7+KLM!Q7+PTA!Q7+ALP!Q7+KTYM!Q7+IDK!Q7+EKM!Q7+TSR!Q7+PLKD!Q7+MLPM!Q7+KKD!Q7+WYND!Q7+KNR!Q7+KSRGD!Q7+SHS!Q7</f>
        <v>0</v>
      </c>
      <c r="R7" s="24">
        <f>TVM!R7+KLM!R7+PTA!R7+ALP!R7+KTYM!R7+IDK!R7+EKM!R7+TSR!R7+PLKD!R7+MLPM!R7+KKD!R7+WYND!R7+KNR!R7+KSRGD!R7+SHS!R7</f>
        <v>0</v>
      </c>
      <c r="S7" s="24">
        <f>TVM!S7+KLM!S7+PTA!S7+ALP!S7+KTYM!S7+IDK!S7+EKM!S7+TSR!S7+PLKD!S7+MLPM!S7+KKD!S7+WYND!S7+KNR!S7+KSRGD!S7+SHS!S7</f>
        <v>0</v>
      </c>
      <c r="T7" s="6">
        <f t="shared" si="0"/>
        <v>1910.9700000000003</v>
      </c>
      <c r="U7" s="154"/>
      <c r="V7" s="32"/>
      <c r="W7" s="1"/>
      <c r="X7" s="1"/>
      <c r="Y7" s="1"/>
      <c r="Z7" s="1"/>
    </row>
    <row r="8" spans="1:26" ht="39.75" customHeight="1">
      <c r="A8" s="171"/>
      <c r="B8" s="171"/>
      <c r="C8" s="171"/>
      <c r="D8" s="5">
        <v>3</v>
      </c>
      <c r="E8" s="5" t="s">
        <v>29</v>
      </c>
      <c r="F8" s="31">
        <f>TVM!F8+KLM!F8+PTA!F8+ALP!F8+KTYM!F8+IDK!F8+EKM!F8+TSR!F8+PLKD!F8+MLPM!F8+KKD!F8+WYND!F8+KNR!F8+KSRGD!F8+SHS!F8</f>
        <v>803.38</v>
      </c>
      <c r="G8" s="24">
        <f>TVM!G8+KLM!G8+PTA!G8+ALP!G8+KTYM!G8+IDK!G8+EKM!G8+TSR!G8+PLKD!G8+MLPM!G8+KKD!G8+WYND!G8+KNR!G8+KSRGD!G8+SHS!G8</f>
        <v>0</v>
      </c>
      <c r="H8" s="24">
        <f>TVM!H8+KLM!H8+PTA!H8+ALP!H8+KTYM!H8+IDK!H8+EKM!H8+TSR!H8+PLKD!H8+MLPM!H8+KKD!H8+WYND!H8+KNR!H8+KSRGD!H8+SHS!H8</f>
        <v>0</v>
      </c>
      <c r="I8" s="24">
        <f>TVM!I8+KLM!I8+PTA!I8+ALP!I8+KTYM!I8+IDK!I8+EKM!I8+TSR!I8+PLKD!I8+MLPM!I8+KKD!I8+WYND!I8+KNR!I8+KSRGD!I8+SHS!I8</f>
        <v>0</v>
      </c>
      <c r="J8" s="24">
        <f>TVM!J8+KLM!J8+PTA!J8+ALP!J8+KTYM!J8+IDK!J8+EKM!J8+TSR!J8+PLKD!J8+MLPM!J8+KKD!J8+WYND!J8+KNR!J8+KSRGD!J8+SHS!J8</f>
        <v>0</v>
      </c>
      <c r="K8" s="24">
        <f>TVM!K8+KLM!K8+PTA!K8+ALP!K8+KTYM!K8+IDK!K8+EKM!K8+TSR!K8+PLKD!K8+MLPM!K8+KKD!K8+WYND!K8+KNR!K8+KSRGD!K8+SHS!K8</f>
        <v>0</v>
      </c>
      <c r="L8" s="24">
        <f>TVM!L8+KLM!L8+PTA!L8+ALP!L8+KTYM!L8+IDK!L8+EKM!L8+TSR!L8+PLKD!L8+MLPM!L8+KKD!L8+WYND!L8+KNR!L8+KSRGD!L8+SHS!L8</f>
        <v>0</v>
      </c>
      <c r="M8" s="24">
        <f>TVM!M8+KLM!M8+PTA!M8+ALP!M8+KTYM!M8+IDK!M8+EKM!M8+TSR!M8+PLKD!M8+MLPM!M8+KKD!M8+WYND!M8+KNR!M8+KSRGD!M8+SHS!M8</f>
        <v>0</v>
      </c>
      <c r="N8" s="24">
        <f>TVM!N8+KLM!N8+PTA!N8+ALP!N8+KTYM!N8+IDK!N8+EKM!N8+TSR!N8+PLKD!N8+MLPM!N8+KKD!N8+WYND!N8+KNR!N8+KSRGD!N8+SHS!N8</f>
        <v>0</v>
      </c>
      <c r="O8" s="31">
        <f>TVM!O8+KLM!O8+PTA!O8+ALP!O8+KTYM!O8+IDK!O8+EKM!O8+TSR!O8+PLKD!O8+MLPM!O8+KKD!O8+WYND!O8+KNR!O8+KSRGD!O8+SHS!O8</f>
        <v>640</v>
      </c>
      <c r="P8" s="24">
        <f>TVM!P8+KLM!P8+PTA!P8+ALP!P8+KTYM!P8+IDK!P8+EKM!P8+TSR!P8+PLKD!P8+MLPM!P8+KKD!P8+WYND!P8+KNR!P8+KSRGD!P8+SHS!P8</f>
        <v>0</v>
      </c>
      <c r="Q8" s="24">
        <f>TVM!Q8+KLM!Q8+PTA!Q8+ALP!Q8+KTYM!Q8+IDK!Q8+EKM!Q8+TSR!Q8+PLKD!Q8+MLPM!Q8+KKD!Q8+WYND!Q8+KNR!Q8+KSRGD!Q8+SHS!Q8</f>
        <v>0</v>
      </c>
      <c r="R8" s="31">
        <f>TVM!R8+KLM!R8+PTA!R8+ALP!R8+KTYM!R8+IDK!R8+EKM!R8+TSR!R8+PLKD!R8+MLPM!R8+KKD!R8+WYND!R8+KNR!R8+KSRGD!R8+SHS!R8</f>
        <v>36.93</v>
      </c>
      <c r="S8" s="24">
        <f>TVM!S8+KLM!S8+PTA!S8+ALP!S8+KTYM!S8+IDK!S8+EKM!S8+TSR!S8+PLKD!S8+MLPM!S8+KKD!S8+WYND!S8+KNR!S8+KSRGD!S8+SHS!S8</f>
        <v>0</v>
      </c>
      <c r="T8" s="6">
        <f t="shared" si="0"/>
        <v>1480.3100000000002</v>
      </c>
      <c r="U8" s="9"/>
      <c r="V8" s="32"/>
      <c r="W8" s="1"/>
      <c r="X8" s="1"/>
      <c r="Y8" s="1"/>
      <c r="Z8" s="1"/>
    </row>
    <row r="9" spans="1:26" ht="39.75" customHeight="1">
      <c r="A9" s="171"/>
      <c r="B9" s="171"/>
      <c r="C9" s="171"/>
      <c r="D9" s="5">
        <v>4</v>
      </c>
      <c r="E9" s="5" t="s">
        <v>31</v>
      </c>
      <c r="F9" s="24">
        <f>TVM!F9+KLM!F9+PTA!F9+ALP!F9+KTYM!F9+IDK!F9+EKM!F9+TSR!F9+PLKD!F9+MLPM!F9+KKD!F9+WYND!F9+KNR!F9+KSRGD!F9+SHS!F9</f>
        <v>0</v>
      </c>
      <c r="G9" s="24">
        <f>TVM!G9+KLM!G9+PTA!G9+ALP!G9+KTYM!G9+IDK!G9+EKM!G9+TSR!G9+PLKD!G9+MLPM!G9+KKD!G9+WYND!G9+KNR!G9+KSRGD!G9+SHS!G9</f>
        <v>0</v>
      </c>
      <c r="H9" s="24">
        <f>TVM!H9+KLM!H9+PTA!H9+ALP!H9+KTYM!H9+IDK!H9+EKM!H9+TSR!H9+PLKD!H9+MLPM!H9+KKD!H9+WYND!H9+KNR!H9+KSRGD!H9+SHS!H9</f>
        <v>0</v>
      </c>
      <c r="I9" s="24">
        <f>TVM!I9+KLM!I9+PTA!I9+ALP!I9+KTYM!I9+IDK!I9+EKM!I9+TSR!I9+PLKD!I9+MLPM!I9+KKD!I9+WYND!I9+KNR!I9+KSRGD!I9+SHS!I9</f>
        <v>0</v>
      </c>
      <c r="J9" s="24">
        <f>TVM!J9+KLM!J9+PTA!J9+ALP!J9+KTYM!J9+IDK!J9+EKM!J9+TSR!J9+PLKD!J9+MLPM!J9+KKD!J9+WYND!J9+KNR!J9+KSRGD!J9+SHS!J9</f>
        <v>0</v>
      </c>
      <c r="K9" s="24">
        <f>TVM!K9+KLM!K9+PTA!K9+ALP!K9+KTYM!K9+IDK!K9+EKM!K9+TSR!K9+PLKD!K9+MLPM!K9+KKD!K9+WYND!K9+KNR!K9+KSRGD!K9+SHS!K9</f>
        <v>0</v>
      </c>
      <c r="L9" s="24">
        <f>TVM!L9+KLM!L9+PTA!L9+ALP!L9+KTYM!L9+IDK!L9+EKM!L9+TSR!L9+PLKD!L9+MLPM!L9+KKD!L9+WYND!L9+KNR!L9+KSRGD!L9+SHS!L9</f>
        <v>0</v>
      </c>
      <c r="M9" s="27">
        <f>TVM!M9+KLM!M9+PTA!M9+ALP!M9+KTYM!M9+IDK!M9+EKM!M9+TSR!M9+PLKD!M9+MLPM!M9+KKD!M9+WYND!M9+KNR!M9+KSRGD!M9+SHS!M9</f>
        <v>402.11999999999989</v>
      </c>
      <c r="N9" s="24">
        <f>TVM!N9+KLM!N9+PTA!N9+ALP!N9+KTYM!N9+IDK!N9+EKM!N9+TSR!N9+PLKD!N9+MLPM!N9+KKD!N9+WYND!N9+KNR!N9+KSRGD!N9+SHS!N9</f>
        <v>0</v>
      </c>
      <c r="O9" s="24">
        <f>TVM!O9+KLM!O9+PTA!O9+ALP!O9+KTYM!O9+IDK!O9+EKM!O9+TSR!O9+PLKD!O9+MLPM!O9+KKD!O9+WYND!O9+KNR!O9+KSRGD!O9+SHS!O9</f>
        <v>0</v>
      </c>
      <c r="P9" s="31">
        <f>TVM!P9+KLM!P9+PTA!P9+ALP!P9+KTYM!P9+IDK!P9+EKM!P9+TSR!P9+PLKD!P9+MLPM!P9+KKD!P9+WYND!P9+KNR!P9+KSRGD!P9+SHS!P9</f>
        <v>304.45999999999998</v>
      </c>
      <c r="Q9" s="24">
        <f>TVM!Q9+KLM!Q9+PTA!Q9+ALP!Q9+KTYM!Q9+IDK!Q9+EKM!Q9+TSR!Q9+PLKD!Q9+MLPM!Q9+KKD!Q9+WYND!Q9+KNR!Q9+KSRGD!Q9+SHS!Q9</f>
        <v>0</v>
      </c>
      <c r="R9" s="24">
        <f>TVM!R9+KLM!R9+PTA!R9+ALP!R9+KTYM!R9+IDK!R9+EKM!R9+TSR!R9+PLKD!R9+MLPM!R9+KKD!R9+WYND!R9+KNR!R9+KSRGD!R9+SHS!R9</f>
        <v>0</v>
      </c>
      <c r="S9" s="24">
        <f>TVM!S9+KLM!S9+PTA!S9+ALP!S9+KTYM!S9+IDK!S9+EKM!S9+TSR!S9+PLKD!S9+MLPM!S9+KKD!S9+WYND!S9+KNR!S9+KSRGD!S9+SHS!S9</f>
        <v>0</v>
      </c>
      <c r="T9" s="6">
        <f t="shared" si="0"/>
        <v>706.57999999999993</v>
      </c>
      <c r="U9" s="9"/>
      <c r="V9" s="32"/>
      <c r="W9" s="1"/>
      <c r="X9" s="1"/>
      <c r="Y9" s="1"/>
      <c r="Z9" s="1"/>
    </row>
    <row r="10" spans="1:26" ht="39.75" customHeight="1">
      <c r="A10" s="171"/>
      <c r="B10" s="171"/>
      <c r="C10" s="171"/>
      <c r="D10" s="5">
        <v>5</v>
      </c>
      <c r="E10" s="5" t="s">
        <v>33</v>
      </c>
      <c r="F10" s="24">
        <f>TVM!F10+KLM!F10+PTA!F10+ALP!F10+KTYM!F10+IDK!F10+EKM!F10+TSR!F10+PLKD!F10+MLPM!F10+KKD!F10+WYND!F10+KNR!F10+KSRGD!F10+SHS!F10</f>
        <v>0</v>
      </c>
      <c r="G10" s="24">
        <f>TVM!G10+KLM!G10+PTA!G10+ALP!G10+KTYM!G10+IDK!G10+EKM!G10+TSR!G10+PLKD!G10+MLPM!G10+KKD!G10+WYND!G10+KNR!G10+KSRGD!G10+SHS!G10</f>
        <v>0</v>
      </c>
      <c r="H10" s="24">
        <f>TVM!H10+KLM!H10+PTA!H10+ALP!H10+KTYM!H10+IDK!H10+EKM!H10+TSR!H10+PLKD!H10+MLPM!H10+KKD!H10+WYND!H10+KNR!H10+KSRGD!H10+SHS!H10</f>
        <v>0</v>
      </c>
      <c r="I10" s="24">
        <f>TVM!I10+KLM!I10+PTA!I10+ALP!I10+KTYM!I10+IDK!I10+EKM!I10+TSR!I10+PLKD!I10+MLPM!I10+KKD!I10+WYND!I10+KNR!I10+KSRGD!I10+SHS!I10</f>
        <v>0</v>
      </c>
      <c r="J10" s="24">
        <f>TVM!J10+KLM!J10+PTA!J10+ALP!J10+KTYM!J10+IDK!J10+EKM!J10+TSR!J10+PLKD!J10+MLPM!J10+KKD!J10+WYND!J10+KNR!J10+KSRGD!J10+SHS!J10</f>
        <v>0</v>
      </c>
      <c r="K10" s="24">
        <f>TVM!K10+KLM!K10+PTA!K10+ALP!K10+KTYM!K10+IDK!K10+EKM!K10+TSR!K10+PLKD!K10+MLPM!K10+KKD!K10+WYND!K10+KNR!K10+KSRGD!K10+SHS!K10</f>
        <v>0</v>
      </c>
      <c r="L10" s="24">
        <f>TVM!L10+KLM!L10+PTA!L10+ALP!L10+KTYM!L10+IDK!L10+EKM!L10+TSR!L10+PLKD!L10+MLPM!L10+KKD!L10+WYND!L10+KNR!L10+KSRGD!L10+SHS!L10</f>
        <v>0</v>
      </c>
      <c r="M10" s="24">
        <f>TVM!M10+KLM!M10+PTA!M10+ALP!M10+KTYM!M10+IDK!M10+EKM!M10+TSR!M10+PLKD!M10+MLPM!M10+KKD!M10+WYND!M10+KNR!M10+KSRGD!M10+SHS!M10</f>
        <v>0</v>
      </c>
      <c r="N10" s="24">
        <f>TVM!N10+KLM!N10+PTA!N10+ALP!N10+KTYM!N10+IDK!N10+EKM!N10+TSR!N10+PLKD!N10+MLPM!N10+KKD!N10+WYND!N10+KNR!N10+KSRGD!N10+SHS!N10</f>
        <v>0</v>
      </c>
      <c r="O10" s="24">
        <f>TVM!O10+KLM!O10+PTA!O10+ALP!O10+KTYM!O10+IDK!O10+EKM!O10+TSR!O10+PLKD!O10+MLPM!O10+KKD!O10+WYND!O10+KNR!O10+KSRGD!O10+SHS!O10</f>
        <v>0</v>
      </c>
      <c r="P10" s="27">
        <f>TVM!P10+KLM!P10+PTA!P10+ALP!P10+KTYM!P10+IDK!P10+EKM!P10+TSR!P10+PLKD!P10+MLPM!P10+KKD!P10+WYND!P10+KNR!P10+KSRGD!P10+SHS!P10</f>
        <v>670.19999999999982</v>
      </c>
      <c r="Q10" s="24">
        <f>TVM!Q10+KLM!Q10+PTA!Q10+ALP!Q10+KTYM!Q10+IDK!Q10+EKM!Q10+TSR!Q10+PLKD!Q10+MLPM!Q10+KKD!Q10+WYND!Q10+KNR!Q10+KSRGD!Q10+SHS!Q10</f>
        <v>0</v>
      </c>
      <c r="R10" s="24">
        <f>TVM!R10+KLM!R10+PTA!R10+ALP!R10+KTYM!R10+IDK!R10+EKM!R10+TSR!R10+PLKD!R10+MLPM!R10+KKD!R10+WYND!R10+KNR!R10+KSRGD!R10+SHS!R10</f>
        <v>0</v>
      </c>
      <c r="S10" s="24">
        <f>TVM!S10+KLM!S10+PTA!S10+ALP!S10+KTYM!S10+IDK!S10+EKM!S10+TSR!S10+PLKD!S10+MLPM!S10+KKD!S10+WYND!S10+KNR!S10+KSRGD!S10+SHS!S10</f>
        <v>0</v>
      </c>
      <c r="T10" s="6">
        <f t="shared" si="0"/>
        <v>670.19999999999982</v>
      </c>
      <c r="U10" s="9"/>
      <c r="V10" s="32"/>
      <c r="W10" s="1"/>
      <c r="X10" s="1"/>
      <c r="Y10" s="1"/>
      <c r="Z10" s="1"/>
    </row>
    <row r="11" spans="1:26" ht="39.75" customHeight="1">
      <c r="A11" s="171"/>
      <c r="B11" s="171"/>
      <c r="C11" s="171"/>
      <c r="D11" s="5">
        <v>6</v>
      </c>
      <c r="E11" s="5" t="s">
        <v>35</v>
      </c>
      <c r="F11" s="24">
        <f>TVM!F11+KLM!F11+PTA!F11+ALP!F11+KTYM!F11+IDK!F11+EKM!F11+TSR!F11+PLKD!F11+MLPM!F11+KKD!F11+WYND!F11+KNR!F11+KSRGD!F11+SHS!F11</f>
        <v>0</v>
      </c>
      <c r="G11" s="24">
        <f>TVM!G11+KLM!G11+PTA!G11+ALP!G11+KTYM!G11+IDK!G11+EKM!G11+TSR!G11+PLKD!G11+MLPM!G11+KKD!G11+WYND!G11+KNR!G11+KSRGD!G11+SHS!G11</f>
        <v>0</v>
      </c>
      <c r="H11" s="24">
        <f>TVM!H11+KLM!H11+PTA!H11+ALP!H11+KTYM!H11+IDK!H11+EKM!H11+TSR!H11+PLKD!H11+MLPM!H11+KKD!H11+WYND!H11+KNR!H11+KSRGD!H11+SHS!H11</f>
        <v>0</v>
      </c>
      <c r="I11" s="24">
        <f>TVM!I11+KLM!I11+PTA!I11+ALP!I11+KTYM!I11+IDK!I11+EKM!I11+TSR!I11+PLKD!I11+MLPM!I11+KKD!I11+WYND!I11+KNR!I11+KSRGD!I11+SHS!I11</f>
        <v>0</v>
      </c>
      <c r="J11" s="24">
        <f>TVM!J11+KLM!J11+PTA!J11+ALP!J11+KTYM!J11+IDK!J11+EKM!J11+TSR!J11+PLKD!J11+MLPM!J11+KKD!J11+WYND!J11+KNR!J11+KSRGD!J11+SHS!J11</f>
        <v>0</v>
      </c>
      <c r="K11" s="24">
        <f>TVM!K11+KLM!K11+PTA!K11+ALP!K11+KTYM!K11+IDK!K11+EKM!K11+TSR!K11+PLKD!K11+MLPM!K11+KKD!K11+WYND!K11+KNR!K11+KSRGD!K11+SHS!K11</f>
        <v>0</v>
      </c>
      <c r="L11" s="24">
        <f>TVM!L11+KLM!L11+PTA!L11+ALP!L11+KTYM!L11+IDK!L11+EKM!L11+TSR!L11+PLKD!L11+MLPM!L11+KKD!L11+WYND!L11+KNR!L11+KSRGD!L11+SHS!L11</f>
        <v>0</v>
      </c>
      <c r="M11" s="24">
        <f>TVM!M11+KLM!M11+PTA!M11+ALP!M11+KTYM!M11+IDK!M11+EKM!M11+TSR!M11+PLKD!M11+MLPM!M11+KKD!M11+WYND!M11+KNR!M11+KSRGD!M11+SHS!M11</f>
        <v>0</v>
      </c>
      <c r="N11" s="31">
        <f>TVM!N11+KLM!N11+PTA!N11+ALP!N11+KTYM!N11+IDK!N11+EKM!N11+TSR!N11+PLKD!N11+MLPM!N11+KKD!N11+WYND!N11+KNR!N11+KSRGD!N11+SHS!N11</f>
        <v>0</v>
      </c>
      <c r="O11" s="24">
        <f>TVM!O11+KLM!O11+PTA!O11+ALP!O11+KTYM!O11+IDK!O11+EKM!O11+TSR!O11+PLKD!O11+MLPM!O11+KKD!O11+WYND!O11+KNR!O11+KSRGD!O11+SHS!O11</f>
        <v>0</v>
      </c>
      <c r="P11" s="31">
        <f>TVM!P11+KLM!P11+PTA!P11+ALP!P11+KTYM!P11+IDK!P11+EKM!P11+TSR!P11+PLKD!P11+MLPM!P11+KKD!P11+WYND!P11+KNR!P11+KSRGD!P11+SHS!P11</f>
        <v>11.97</v>
      </c>
      <c r="Q11" s="24">
        <f>TVM!Q11+KLM!Q11+PTA!Q11+ALP!Q11+KTYM!Q11+IDK!Q11+EKM!Q11+TSR!Q11+PLKD!Q11+MLPM!Q11+KKD!Q11+WYND!Q11+KNR!Q11+KSRGD!Q11+SHS!Q11</f>
        <v>0</v>
      </c>
      <c r="R11" s="24">
        <f>TVM!R11+KLM!R11+PTA!R11+ALP!R11+KTYM!R11+IDK!R11+EKM!R11+TSR!R11+PLKD!R11+MLPM!R11+KKD!R11+WYND!R11+KNR!R11+KSRGD!R11+SHS!R11</f>
        <v>0</v>
      </c>
      <c r="S11" s="24">
        <f>TVM!S11+KLM!S11+PTA!S11+ALP!S11+KTYM!S11+IDK!S11+EKM!S11+TSR!S11+PLKD!S11+MLPM!S11+KKD!S11+WYND!S11+KNR!S11+KSRGD!S11+SHS!S11</f>
        <v>0</v>
      </c>
      <c r="T11" s="6">
        <f t="shared" si="0"/>
        <v>11.97</v>
      </c>
      <c r="U11" s="9"/>
      <c r="V11" s="32"/>
      <c r="W11" s="1"/>
      <c r="X11" s="1"/>
      <c r="Y11" s="1"/>
      <c r="Z11" s="1"/>
    </row>
    <row r="12" spans="1:26" ht="39.75" customHeight="1">
      <c r="A12" s="171"/>
      <c r="B12" s="171"/>
      <c r="C12" s="171"/>
      <c r="D12" s="5">
        <v>7</v>
      </c>
      <c r="E12" s="5" t="s">
        <v>37</v>
      </c>
      <c r="F12" s="24">
        <f>TVM!F12+KLM!F12+PTA!F12+ALP!F12+KTYM!F12+IDK!F12+EKM!F12+TSR!F12+PLKD!F12+MLPM!F12+KKD!F12+WYND!F12+KNR!F12+KSRGD!F12+SHS!F12</f>
        <v>0</v>
      </c>
      <c r="G12" s="24">
        <f>TVM!G12+KLM!G12+PTA!G12+ALP!G12+KTYM!G12+IDK!G12+EKM!G12+TSR!G12+PLKD!G12+MLPM!G12+KKD!G12+WYND!G12+KNR!G12+KSRGD!G12+SHS!G12</f>
        <v>0</v>
      </c>
      <c r="H12" s="24">
        <f>TVM!H12+KLM!H12+PTA!H12+ALP!H12+KTYM!H12+IDK!H12+EKM!H12+TSR!H12+PLKD!H12+MLPM!H12+KKD!H12+WYND!H12+KNR!H12+KSRGD!H12+SHS!H12</f>
        <v>0</v>
      </c>
      <c r="I12" s="24">
        <f>TVM!I12+KLM!I12+PTA!I12+ALP!I12+KTYM!I12+IDK!I12+EKM!I12+TSR!I12+PLKD!I12+MLPM!I12+KKD!I12+WYND!I12+KNR!I12+KSRGD!I12+SHS!I12</f>
        <v>0</v>
      </c>
      <c r="J12" s="24">
        <f>TVM!J12+KLM!J12+PTA!J12+ALP!J12+KTYM!J12+IDK!J12+EKM!J12+TSR!J12+PLKD!J12+MLPM!J12+KKD!J12+WYND!J12+KNR!J12+KSRGD!J12+SHS!J12</f>
        <v>0</v>
      </c>
      <c r="K12" s="24">
        <f>TVM!K12+KLM!K12+PTA!K12+ALP!K12+KTYM!K12+IDK!K12+EKM!K12+TSR!K12+PLKD!K12+MLPM!K12+KKD!K12+WYND!K12+KNR!K12+KSRGD!K12+SHS!K12</f>
        <v>0</v>
      </c>
      <c r="L12" s="24">
        <f>TVM!L12+KLM!L12+PTA!L12+ALP!L12+KTYM!L12+IDK!L12+EKM!L12+TSR!L12+PLKD!L12+MLPM!L12+KKD!L12+WYND!L12+KNR!L12+KSRGD!L12+SHS!L12</f>
        <v>0</v>
      </c>
      <c r="M12" s="24">
        <f>TVM!M12+KLM!M12+PTA!M12+ALP!M12+KTYM!M12+IDK!M12+EKM!M12+TSR!M12+PLKD!M12+MLPM!M12+KKD!M12+WYND!M12+KNR!M12+KSRGD!M12+SHS!M12</f>
        <v>0</v>
      </c>
      <c r="N12" s="24">
        <f>TVM!N12+KLM!N12+PTA!N12+ALP!N12+KTYM!N12+IDK!N12+EKM!N12+TSR!N12+PLKD!N12+MLPM!N12+KKD!N12+WYND!N12+KNR!N12+KSRGD!N12+SHS!N12</f>
        <v>0</v>
      </c>
      <c r="O12" s="24">
        <f>TVM!O12+KLM!O12+PTA!O12+ALP!O12+KTYM!O12+IDK!O12+EKM!O12+TSR!O12+PLKD!O12+MLPM!O12+KKD!O12+WYND!O12+KNR!O12+KSRGD!O12+SHS!O12</f>
        <v>0</v>
      </c>
      <c r="P12" s="31">
        <f>TVM!P12+KLM!P12+PTA!P12+ALP!P12+KTYM!P12+IDK!P12+EKM!P12+TSR!P12+PLKD!P12+MLPM!P12+KKD!P12+WYND!P12+KNR!P12+KSRGD!P12+SHS!P12</f>
        <v>15</v>
      </c>
      <c r="Q12" s="31">
        <f>TVM!Q12+KLM!Q12+PTA!Q12+ALP!Q12+KTYM!Q12+IDK!Q12+EKM!Q12+TSR!Q12+PLKD!Q12+MLPM!Q12+KKD!Q12+WYND!Q12+KNR!Q12+KSRGD!Q12+SHS!Q12</f>
        <v>143</v>
      </c>
      <c r="R12" s="24">
        <f>TVM!R12+KLM!R12+PTA!R12+ALP!R12+KTYM!R12+IDK!R12+EKM!R12+TSR!R12+PLKD!R12+MLPM!R12+KKD!R12+WYND!R12+KNR!R12+KSRGD!R12+SHS!R12</f>
        <v>0</v>
      </c>
      <c r="S12" s="24">
        <f>TVM!S12+KLM!S12+PTA!S12+ALP!S12+KTYM!S12+IDK!S12+EKM!S12+TSR!S12+PLKD!S12+MLPM!S12+KKD!S12+WYND!S12+KNR!S12+KSRGD!S12+SHS!S12</f>
        <v>0</v>
      </c>
      <c r="T12" s="6">
        <f t="shared" si="0"/>
        <v>158</v>
      </c>
      <c r="U12" s="9"/>
      <c r="V12" s="32"/>
      <c r="W12" s="1"/>
      <c r="X12" s="1"/>
      <c r="Y12" s="1"/>
      <c r="Z12" s="1"/>
    </row>
    <row r="13" spans="1:26" ht="39.75" customHeight="1">
      <c r="A13" s="171"/>
      <c r="B13" s="171"/>
      <c r="C13" s="171"/>
      <c r="D13" s="5">
        <v>8</v>
      </c>
      <c r="E13" s="5" t="s">
        <v>39</v>
      </c>
      <c r="F13" s="24">
        <f>TVM!F13+KLM!F13+PTA!F13+ALP!F13+KTYM!F13+IDK!F13+EKM!F13+TSR!F13+PLKD!F13+MLPM!F13+KKD!F13+WYND!F13+KNR!F13+KSRGD!F13+SHS!F13</f>
        <v>0</v>
      </c>
      <c r="G13" s="24">
        <f>TVM!G13+KLM!G13+PTA!G13+ALP!G13+KTYM!G13+IDK!G13+EKM!G13+TSR!G13+PLKD!G13+MLPM!G13+KKD!G13+WYND!G13+KNR!G13+KSRGD!G13+SHS!G13</f>
        <v>0</v>
      </c>
      <c r="H13" s="24">
        <f>TVM!H13+KLM!H13+PTA!H13+ALP!H13+KTYM!H13+IDK!H13+EKM!H13+TSR!H13+PLKD!H13+MLPM!H13+KKD!H13+WYND!H13+KNR!H13+KSRGD!H13+SHS!H13</f>
        <v>0</v>
      </c>
      <c r="I13" s="24">
        <f>TVM!I13+KLM!I13+PTA!I13+ALP!I13+KTYM!I13+IDK!I13+EKM!I13+TSR!I13+PLKD!I13+MLPM!I13+KKD!I13+WYND!I13+KNR!I13+KSRGD!I13+SHS!I13</f>
        <v>0</v>
      </c>
      <c r="J13" s="24">
        <f>TVM!J13+KLM!J13+PTA!J13+ALP!J13+KTYM!J13+IDK!J13+EKM!J13+TSR!J13+PLKD!J13+MLPM!J13+KKD!J13+WYND!J13+KNR!J13+KSRGD!J13+SHS!J13</f>
        <v>0</v>
      </c>
      <c r="K13" s="24">
        <f>TVM!K13+KLM!K13+PTA!K13+ALP!K13+KTYM!K13+IDK!K13+EKM!K13+TSR!K13+PLKD!K13+MLPM!K13+KKD!K13+WYND!K13+KNR!K13+KSRGD!K13+SHS!K13</f>
        <v>0</v>
      </c>
      <c r="L13" s="24">
        <f>TVM!L13+KLM!L13+PTA!L13+ALP!L13+KTYM!L13+IDK!L13+EKM!L13+TSR!L13+PLKD!L13+MLPM!L13+KKD!L13+WYND!L13+KNR!L13+KSRGD!L13+SHS!L13</f>
        <v>0</v>
      </c>
      <c r="M13" s="24">
        <f>TVM!M13+KLM!M13+PTA!M13+ALP!M13+KTYM!M13+IDK!M13+EKM!M13+TSR!M13+PLKD!M13+MLPM!M13+KKD!M13+WYND!M13+KNR!M13+KSRGD!M13+SHS!M13</f>
        <v>0</v>
      </c>
      <c r="N13" s="27">
        <f>TVM!N13+KLM!N13+PTA!N13+ALP!N13+KTYM!N13+IDK!N13+EKM!N13+TSR!N13+PLKD!N13+MLPM!N13+KKD!N13+WYND!N13+KNR!N13+KSRGD!N13+SHS!N13</f>
        <v>6.94</v>
      </c>
      <c r="O13" s="24">
        <f>TVM!O13+KLM!O13+PTA!O13+ALP!O13+KTYM!O13+IDK!O13+EKM!O13+TSR!O13+PLKD!O13+MLPM!O13+KKD!O13+WYND!O13+KNR!O13+KSRGD!O13+SHS!O13</f>
        <v>0</v>
      </c>
      <c r="P13" s="24">
        <f>TVM!P13+KLM!P13+PTA!P13+ALP!P13+KTYM!P13+IDK!P13+EKM!P13+TSR!P13+PLKD!P13+MLPM!P13+KKD!P13+WYND!P13+KNR!P13+KSRGD!P13+SHS!P13</f>
        <v>0</v>
      </c>
      <c r="Q13" s="24">
        <f>TVM!Q13+KLM!Q13+PTA!Q13+ALP!Q13+KTYM!Q13+IDK!Q13+EKM!Q13+TSR!Q13+PLKD!Q13+MLPM!Q13+KKD!Q13+WYND!Q13+KNR!Q13+KSRGD!Q13+SHS!Q13</f>
        <v>0</v>
      </c>
      <c r="R13" s="24">
        <f>TVM!R13+KLM!R13+PTA!R13+ALP!R13+KTYM!R13+IDK!R13+EKM!R13+TSR!R13+PLKD!R13+MLPM!R13+KKD!R13+WYND!R13+KNR!R13+KSRGD!R13+SHS!R13</f>
        <v>0</v>
      </c>
      <c r="S13" s="24">
        <f>TVM!S13+KLM!S13+PTA!S13+ALP!S13+KTYM!S13+IDK!S13+EKM!S13+TSR!S13+PLKD!S13+MLPM!S13+KKD!S13+WYND!S13+KNR!S13+KSRGD!S13+SHS!S13</f>
        <v>0</v>
      </c>
      <c r="T13" s="6">
        <f t="shared" si="0"/>
        <v>6.94</v>
      </c>
      <c r="U13" s="9"/>
      <c r="V13" s="32"/>
      <c r="W13" s="1"/>
      <c r="X13" s="1"/>
      <c r="Y13" s="1"/>
      <c r="Z13" s="1"/>
    </row>
    <row r="14" spans="1:26" ht="39.75" customHeight="1">
      <c r="A14" s="171"/>
      <c r="B14" s="171"/>
      <c r="C14" s="171"/>
      <c r="D14" s="5">
        <v>9</v>
      </c>
      <c r="E14" s="5" t="s">
        <v>40</v>
      </c>
      <c r="F14" s="24">
        <f>TVM!F14+KLM!F14+PTA!F14+ALP!F14+KTYM!F14+IDK!F14+EKM!F14+TSR!F14+PLKD!F14+MLPM!F14+KKD!F14+WYND!F14+KNR!F14+KSRGD!F14+SHS!F14</f>
        <v>0</v>
      </c>
      <c r="G14" s="24">
        <f>TVM!G14+KLM!G14+PTA!G14+ALP!G14+KTYM!G14+IDK!G14+EKM!G14+TSR!G14+PLKD!G14+MLPM!G14+KKD!G14+WYND!G14+KNR!G14+KSRGD!G14+SHS!G14</f>
        <v>0</v>
      </c>
      <c r="H14" s="24">
        <f>TVM!H14+KLM!H14+PTA!H14+ALP!H14+KTYM!H14+IDK!H14+EKM!H14+TSR!H14+PLKD!H14+MLPM!H14+KKD!H14+WYND!H14+KNR!H14+KSRGD!H14+SHS!H14</f>
        <v>0</v>
      </c>
      <c r="I14" s="24">
        <f>TVM!I14+KLM!I14+PTA!I14+ALP!I14+KTYM!I14+IDK!I14+EKM!I14+TSR!I14+PLKD!I14+MLPM!I14+KKD!I14+WYND!I14+KNR!I14+KSRGD!I14+SHS!I14</f>
        <v>0</v>
      </c>
      <c r="J14" s="24">
        <f>TVM!J14+KLM!J14+PTA!J14+ALP!J14+KTYM!J14+IDK!J14+EKM!J14+TSR!J14+PLKD!J14+MLPM!J14+KKD!J14+WYND!J14+KNR!J14+KSRGD!J14+SHS!J14</f>
        <v>0</v>
      </c>
      <c r="K14" s="24">
        <f>TVM!K14+KLM!K14+PTA!K14+ALP!K14+KTYM!K14+IDK!K14+EKM!K14+TSR!K14+PLKD!K14+MLPM!K14+KKD!K14+WYND!K14+KNR!K14+KSRGD!K14+SHS!K14</f>
        <v>0</v>
      </c>
      <c r="L14" s="24">
        <f>TVM!L14+KLM!L14+PTA!L14+ALP!L14+KTYM!L14+IDK!L14+EKM!L14+TSR!L14+PLKD!L14+MLPM!L14+KKD!L14+WYND!L14+KNR!L14+KSRGD!L14+SHS!L14</f>
        <v>0</v>
      </c>
      <c r="M14" s="24">
        <f>TVM!M14+KLM!M14+PTA!M14+ALP!M14+KTYM!M14+IDK!M14+EKM!M14+TSR!M14+PLKD!M14+MLPM!M14+KKD!M14+WYND!M14+KNR!M14+KSRGD!M14+SHS!M14</f>
        <v>0</v>
      </c>
      <c r="N14" s="27">
        <f>TVM!N14+KLM!N14+PTA!N14+ALP!N14+KTYM!N14+IDK!N14+EKM!N14+TSR!N14+PLKD!N14+MLPM!N14+KKD!N14+WYND!N14+KNR!N14+KSRGD!N14+SHS!N14</f>
        <v>2.52</v>
      </c>
      <c r="O14" s="24">
        <f>TVM!O14+KLM!O14+PTA!O14+ALP!O14+KTYM!O14+IDK!O14+EKM!O14+TSR!O14+PLKD!O14+MLPM!O14+KKD!O14+WYND!O14+KNR!O14+KSRGD!O14+SHS!O14</f>
        <v>0</v>
      </c>
      <c r="P14" s="24">
        <f>TVM!P14+KLM!P14+PTA!P14+ALP!P14+KTYM!P14+IDK!P14+EKM!P14+TSR!P14+PLKD!P14+MLPM!P14+KKD!P14+WYND!P14+KNR!P14+KSRGD!P14+SHS!P14</f>
        <v>0</v>
      </c>
      <c r="Q14" s="31">
        <f>TVM!Q14+KLM!Q14+PTA!Q14+ALP!Q14+KTYM!Q14+IDK!Q14+EKM!Q14+TSR!Q14+PLKD!Q14+MLPM!Q14+KKD!Q14+WYND!Q14+KNR!Q14+KSRGD!Q14+SHS!Q14</f>
        <v>0.25</v>
      </c>
      <c r="R14" s="24">
        <f>TVM!R14+KLM!R14+PTA!R14+ALP!R14+KTYM!R14+IDK!R14+EKM!R14+TSR!R14+PLKD!R14+MLPM!R14+KKD!R14+WYND!R14+KNR!R14+KSRGD!R14+SHS!R14</f>
        <v>0</v>
      </c>
      <c r="S14" s="31">
        <f>TVM!S14+KLM!S14+PTA!S14+ALP!S14+KTYM!S14+IDK!S14+EKM!S14+TSR!S14+PLKD!S14+MLPM!S14+KKD!S14+WYND!S14+KNR!S14+KSRGD!S14+SHS!S14</f>
        <v>5.3599999999999994</v>
      </c>
      <c r="T14" s="6">
        <f t="shared" si="0"/>
        <v>8.129999999999999</v>
      </c>
      <c r="U14" s="9"/>
      <c r="V14" s="32"/>
      <c r="W14" s="1"/>
      <c r="X14" s="1"/>
      <c r="Y14" s="1"/>
      <c r="Z14" s="1"/>
    </row>
    <row r="15" spans="1:26" ht="39.75" customHeight="1">
      <c r="A15" s="171"/>
      <c r="B15" s="171"/>
      <c r="C15" s="171"/>
      <c r="D15" s="5">
        <v>10</v>
      </c>
      <c r="E15" s="5" t="s">
        <v>42</v>
      </c>
      <c r="F15" s="24">
        <f>TVM!F15+KLM!F15+PTA!F15+ALP!F15+KTYM!F15+IDK!F15+EKM!F15+TSR!F15+PLKD!F15+MLPM!F15+KKD!F15+WYND!F15+KNR!F15+KSRGD!F15+SHS!F15</f>
        <v>0</v>
      </c>
      <c r="G15" s="24">
        <f>TVM!G15+KLM!G15+PTA!G15+ALP!G15+KTYM!G15+IDK!G15+EKM!G15+TSR!G15+PLKD!G15+MLPM!G15+KKD!G15+WYND!G15+KNR!G15+KSRGD!G15+SHS!G15</f>
        <v>0</v>
      </c>
      <c r="H15" s="24">
        <f>TVM!H15+KLM!H15+PTA!H15+ALP!H15+KTYM!H15+IDK!H15+EKM!H15+TSR!H15+PLKD!H15+MLPM!H15+KKD!H15+WYND!H15+KNR!H15+KSRGD!H15+SHS!H15</f>
        <v>0</v>
      </c>
      <c r="I15" s="27">
        <f>TVM!I15+KLM!I15+PTA!I15+ALP!I15+KTYM!I15+IDK!I15+EKM!I15+TSR!I15+PLKD!I15+MLPM!I15+KKD!I15+WYND!I15+KNR!I15+KSRGD!I15+SHS!I15</f>
        <v>0.4</v>
      </c>
      <c r="J15" s="24">
        <f>TVM!J15+KLM!J15+PTA!J15+ALP!J15+KTYM!J15+IDK!J15+EKM!J15+TSR!J15+PLKD!J15+MLPM!J15+KKD!J15+WYND!J15+KNR!J15+KSRGD!J15+SHS!J15</f>
        <v>0</v>
      </c>
      <c r="K15" s="24">
        <f>TVM!K15+KLM!K15+PTA!K15+ALP!K15+KTYM!K15+IDK!K15+EKM!K15+TSR!K15+PLKD!K15+MLPM!K15+KKD!K15+WYND!K15+KNR!K15+KSRGD!K15+SHS!K15</f>
        <v>0</v>
      </c>
      <c r="L15" s="24">
        <f>TVM!L15+KLM!L15+PTA!L15+ALP!L15+KTYM!L15+IDK!L15+EKM!L15+TSR!L15+PLKD!L15+MLPM!L15+KKD!L15+WYND!L15+KNR!L15+KSRGD!L15+SHS!L15</f>
        <v>0</v>
      </c>
      <c r="M15" s="24">
        <f>TVM!M15+KLM!M15+PTA!M15+ALP!M15+KTYM!M15+IDK!M15+EKM!M15+TSR!M15+PLKD!M15+MLPM!M15+KKD!M15+WYND!M15+KNR!M15+KSRGD!M15+SHS!M15</f>
        <v>0</v>
      </c>
      <c r="N15" s="27">
        <f>TVM!N15+KLM!N15+PTA!N15+ALP!N15+KTYM!N15+IDK!N15+EKM!N15+TSR!N15+PLKD!N15+MLPM!N15+KKD!N15+WYND!N15+KNR!N15+KSRGD!N15+SHS!N15</f>
        <v>8.134999999999998</v>
      </c>
      <c r="O15" s="24">
        <f>TVM!O15+KLM!O15+PTA!O15+ALP!O15+KTYM!O15+IDK!O15+EKM!O15+TSR!O15+PLKD!O15+MLPM!O15+KKD!O15+WYND!O15+KNR!O15+KSRGD!O15+SHS!O15</f>
        <v>0</v>
      </c>
      <c r="P15" s="24">
        <f>TVM!P15+KLM!P15+PTA!P15+ALP!P15+KTYM!P15+IDK!P15+EKM!P15+TSR!P15+PLKD!P15+MLPM!P15+KKD!P15+WYND!P15+KNR!P15+KSRGD!P15+SHS!P15</f>
        <v>0</v>
      </c>
      <c r="Q15" s="24">
        <f>TVM!Q15+KLM!Q15+PTA!Q15+ALP!Q15+KTYM!Q15+IDK!Q15+EKM!Q15+TSR!Q15+PLKD!Q15+MLPM!Q15+KKD!Q15+WYND!Q15+KNR!Q15+KSRGD!Q15+SHS!Q15</f>
        <v>0</v>
      </c>
      <c r="R15" s="24">
        <f>TVM!R15+KLM!R15+PTA!R15+ALP!R15+KTYM!R15+IDK!R15+EKM!R15+TSR!R15+PLKD!R15+MLPM!R15+KKD!R15+WYND!R15+KNR!R15+KSRGD!R15+SHS!R15</f>
        <v>0</v>
      </c>
      <c r="S15" s="24">
        <f>TVM!S15+KLM!S15+PTA!S15+ALP!S15+KTYM!S15+IDK!S15+EKM!S15+TSR!S15+PLKD!S15+MLPM!S15+KKD!S15+WYND!S15+KNR!S15+KSRGD!S15+SHS!S15</f>
        <v>0</v>
      </c>
      <c r="T15" s="6">
        <f t="shared" si="0"/>
        <v>8.5349999999999984</v>
      </c>
      <c r="U15" s="9"/>
      <c r="V15" s="32"/>
      <c r="W15" s="1"/>
      <c r="X15" s="1"/>
      <c r="Y15" s="1"/>
      <c r="Z15" s="1"/>
    </row>
    <row r="16" spans="1:26" ht="39.75" customHeight="1">
      <c r="A16" s="171"/>
      <c r="B16" s="171"/>
      <c r="C16" s="171"/>
      <c r="D16" s="5">
        <v>11</v>
      </c>
      <c r="E16" s="5" t="s">
        <v>44</v>
      </c>
      <c r="F16" s="24">
        <f>TVM!F16+KLM!F16+PTA!F16+ALP!F16+KTYM!F16+IDK!F16+EKM!F16+TSR!F16+PLKD!F16+MLPM!F16+KKD!F16+WYND!F16+KNR!F16+KSRGD!F16+SHS!F16</f>
        <v>0</v>
      </c>
      <c r="G16" s="31">
        <f>TVM!G16+KLM!G16+PTA!G16+ALP!G16+KTYM!G16+IDK!G16+EKM!G16+TSR!G16+PLKD!G16+MLPM!G16+KKD!G16+WYND!G16+KNR!G16+KSRGD!G16+SHS!G16</f>
        <v>848.95</v>
      </c>
      <c r="H16" s="31">
        <f>TVM!H16+KLM!H16+PTA!H16+ALP!H16+KTYM!H16+IDK!H16+EKM!H16+TSR!H16+PLKD!H16+MLPM!H16+KKD!H16+WYND!H16+KNR!H16+KSRGD!H16+SHS!H16</f>
        <v>0</v>
      </c>
      <c r="I16" s="24">
        <f>TVM!I16+KLM!I16+PTA!I16+ALP!I16+KTYM!I16+IDK!I16+EKM!I16+TSR!I16+PLKD!I16+MLPM!I16+KKD!I16+WYND!I16+KNR!I16+KSRGD!I16+SHS!I16</f>
        <v>0</v>
      </c>
      <c r="J16" s="24">
        <f>TVM!J16+KLM!J16+PTA!J16+ALP!J16+KTYM!J16+IDK!J16+EKM!J16+TSR!J16+PLKD!J16+MLPM!J16+KKD!J16+WYND!J16+KNR!J16+KSRGD!J16+SHS!J16</f>
        <v>0</v>
      </c>
      <c r="K16" s="24">
        <f>TVM!K16+KLM!K16+PTA!K16+ALP!K16+KTYM!K16+IDK!K16+EKM!K16+TSR!K16+PLKD!K16+MLPM!K16+KKD!K16+WYND!K16+KNR!K16+KSRGD!K16+SHS!K16</f>
        <v>0</v>
      </c>
      <c r="L16" s="24">
        <f>TVM!L16+KLM!L16+PTA!L16+ALP!L16+KTYM!L16+IDK!L16+EKM!L16+TSR!L16+PLKD!L16+MLPM!L16+KKD!L16+WYND!L16+KNR!L16+KSRGD!L16+SHS!L16</f>
        <v>0</v>
      </c>
      <c r="M16" s="24">
        <f>TVM!M16+KLM!M16+PTA!M16+ALP!M16+KTYM!M16+IDK!M16+EKM!M16+TSR!M16+PLKD!M16+MLPM!M16+KKD!M16+WYND!M16+KNR!M16+KSRGD!M16+SHS!M16</f>
        <v>0</v>
      </c>
      <c r="N16" s="24">
        <f>TVM!N16+KLM!N16+PTA!N16+ALP!N16+KTYM!N16+IDK!N16+EKM!N16+TSR!N16+PLKD!N16+MLPM!N16+KKD!N16+WYND!N16+KNR!N16+KSRGD!N16+SHS!N16</f>
        <v>0</v>
      </c>
      <c r="O16" s="24">
        <f>TVM!O16+KLM!O16+PTA!O16+ALP!O16+KTYM!O16+IDK!O16+EKM!O16+TSR!O16+PLKD!O16+MLPM!O16+KKD!O16+WYND!O16+KNR!O16+KSRGD!O16+SHS!O16</f>
        <v>0</v>
      </c>
      <c r="P16" s="24">
        <f>TVM!P16+KLM!P16+PTA!P16+ALP!P16+KTYM!P16+IDK!P16+EKM!P16+TSR!P16+PLKD!P16+MLPM!P16+KKD!P16+WYND!P16+KNR!P16+KSRGD!P16+SHS!P16</f>
        <v>0</v>
      </c>
      <c r="Q16" s="24">
        <f>TVM!Q16+KLM!Q16+PTA!Q16+ALP!Q16+KTYM!Q16+IDK!Q16+EKM!Q16+TSR!Q16+PLKD!Q16+MLPM!Q16+KKD!Q16+WYND!Q16+KNR!Q16+KSRGD!Q16+SHS!Q16</f>
        <v>0</v>
      </c>
      <c r="R16" s="24">
        <f>TVM!R16+KLM!R16+PTA!R16+ALP!R16+KTYM!R16+IDK!R16+EKM!R16+TSR!R16+PLKD!R16+MLPM!R16+KKD!R16+WYND!R16+KNR!R16+KSRGD!R16+SHS!R16</f>
        <v>0</v>
      </c>
      <c r="S16" s="24">
        <f>TVM!S16+KLM!S16+PTA!S16+ALP!S16+KTYM!S16+IDK!S16+EKM!S16+TSR!S16+PLKD!S16+MLPM!S16+KKD!S16+WYND!S16+KNR!S16+KSRGD!S16+SHS!S16</f>
        <v>0</v>
      </c>
      <c r="T16" s="6">
        <f t="shared" si="0"/>
        <v>848.95</v>
      </c>
      <c r="U16" s="9"/>
      <c r="V16" s="32"/>
      <c r="W16" s="1"/>
      <c r="X16" s="1"/>
      <c r="Y16" s="1"/>
      <c r="Z16" s="1"/>
    </row>
    <row r="17" spans="1:26" ht="39.75" customHeight="1">
      <c r="A17" s="171"/>
      <c r="B17" s="171"/>
      <c r="C17" s="171"/>
      <c r="D17" s="5">
        <v>12</v>
      </c>
      <c r="E17" s="5" t="s">
        <v>45</v>
      </c>
      <c r="F17" s="24">
        <f>TVM!F17+KLM!F17+PTA!F17+ALP!F17+KTYM!F17+IDK!F17+EKM!F17+TSR!F17+PLKD!F17+MLPM!F17+KKD!F17+WYND!F17+KNR!F17+KSRGD!F17+SHS!F17</f>
        <v>0</v>
      </c>
      <c r="G17" s="24">
        <f>TVM!G17+KLM!G17+PTA!G17+ALP!G17+KTYM!G17+IDK!G17+EKM!G17+TSR!G17+PLKD!G17+MLPM!G17+KKD!G17+WYND!G17+KNR!G17+KSRGD!G17+SHS!G17</f>
        <v>0</v>
      </c>
      <c r="H17" s="24">
        <f>TVM!H17+KLM!H17+PTA!H17+ALP!H17+KTYM!H17+IDK!H17+EKM!H17+TSR!H17+PLKD!H17+MLPM!H17+KKD!H17+WYND!H17+KNR!H17+KSRGD!H17+SHS!H17</f>
        <v>0</v>
      </c>
      <c r="I17" s="24">
        <f>TVM!I17+KLM!I17+PTA!I17+ALP!I17+KTYM!I17+IDK!I17+EKM!I17+TSR!I17+PLKD!I17+MLPM!I17+KKD!I17+WYND!I17+KNR!I17+KSRGD!I17+SHS!I17</f>
        <v>0</v>
      </c>
      <c r="J17" s="24">
        <f>TVM!J17+KLM!J17+PTA!J17+ALP!J17+KTYM!J17+IDK!J17+EKM!J17+TSR!J17+PLKD!J17+MLPM!J17+KKD!J17+WYND!J17+KNR!J17+KSRGD!J17+SHS!J17</f>
        <v>0</v>
      </c>
      <c r="K17" s="24">
        <f>TVM!K17+KLM!K17+PTA!K17+ALP!K17+KTYM!K17+IDK!K17+EKM!K17+TSR!K17+PLKD!K17+MLPM!K17+KKD!K17+WYND!K17+KNR!K17+KSRGD!K17+SHS!K17</f>
        <v>0</v>
      </c>
      <c r="L17" s="24">
        <f>TVM!L17+KLM!L17+PTA!L17+ALP!L17+KTYM!L17+IDK!L17+EKM!L17+TSR!L17+PLKD!L17+MLPM!L17+KKD!L17+WYND!L17+KNR!L17+KSRGD!L17+SHS!L17</f>
        <v>0</v>
      </c>
      <c r="M17" s="24">
        <f>TVM!M17+KLM!M17+PTA!M17+ALP!M17+KTYM!M17+IDK!M17+EKM!M17+TSR!M17+PLKD!M17+MLPM!M17+KKD!M17+WYND!M17+KNR!M17+KSRGD!M17+SHS!M17</f>
        <v>0</v>
      </c>
      <c r="N17" s="27">
        <f>TVM!N17+KLM!N17+PTA!N17+ALP!N17+KTYM!N17+IDK!N17+EKM!N17+TSR!N17+PLKD!N17+MLPM!N17+KKD!N17+WYND!N17+KNR!N17+KSRGD!N17+SHS!N17</f>
        <v>55.347499999999989</v>
      </c>
      <c r="O17" s="24">
        <f>TVM!O17+KLM!O17+PTA!O17+ALP!O17+KTYM!O17+IDK!O17+EKM!O17+TSR!O17+PLKD!O17+MLPM!O17+KKD!O17+WYND!O17+KNR!O17+KSRGD!O17+SHS!O17</f>
        <v>0</v>
      </c>
      <c r="P17" s="24">
        <f>TVM!P17+KLM!P17+PTA!P17+ALP!P17+KTYM!P17+IDK!P17+EKM!P17+TSR!P17+PLKD!P17+MLPM!P17+KKD!P17+WYND!P17+KNR!P17+KSRGD!P17+SHS!P17</f>
        <v>0</v>
      </c>
      <c r="Q17" s="24">
        <f>TVM!Q17+KLM!Q17+PTA!Q17+ALP!Q17+KTYM!Q17+IDK!Q17+EKM!Q17+TSR!Q17+PLKD!Q17+MLPM!Q17+KKD!Q17+WYND!Q17+KNR!Q17+KSRGD!Q17+SHS!Q17</f>
        <v>0</v>
      </c>
      <c r="R17" s="24">
        <f>TVM!R17+KLM!R17+PTA!R17+ALP!R17+KTYM!R17+IDK!R17+EKM!R17+TSR!R17+PLKD!R17+MLPM!R17+KKD!R17+WYND!R17+KNR!R17+KSRGD!R17+SHS!R17</f>
        <v>0</v>
      </c>
      <c r="S17" s="24">
        <f>TVM!S17+KLM!S17+PTA!S17+ALP!S17+KTYM!S17+IDK!S17+EKM!S17+TSR!S17+PLKD!S17+MLPM!S17+KKD!S17+WYND!S17+KNR!S17+KSRGD!S17+SHS!S17</f>
        <v>0</v>
      </c>
      <c r="T17" s="6">
        <f t="shared" si="0"/>
        <v>55.347499999999989</v>
      </c>
      <c r="U17" s="9"/>
      <c r="V17" s="32"/>
      <c r="W17" s="1"/>
      <c r="X17" s="1"/>
      <c r="Y17" s="1"/>
      <c r="Z17" s="1"/>
    </row>
    <row r="18" spans="1:26" ht="39.75" customHeight="1">
      <c r="A18" s="171"/>
      <c r="B18" s="171"/>
      <c r="C18" s="171"/>
      <c r="D18" s="5">
        <v>13</v>
      </c>
      <c r="E18" s="5" t="s">
        <v>47</v>
      </c>
      <c r="F18" s="24">
        <f>TVM!F18+KLM!F18+PTA!F18+ALP!F18+KTYM!F18+IDK!F18+EKM!F18+TSR!F18+PLKD!F18+MLPM!F18+KKD!F18+WYND!F18+KNR!F18+KSRGD!F18+SHS!F18</f>
        <v>0</v>
      </c>
      <c r="G18" s="24">
        <f>TVM!G18+KLM!G18+PTA!G18+ALP!G18+KTYM!G18+IDK!G18+EKM!G18+TSR!G18+PLKD!G18+MLPM!G18+KKD!G18+WYND!G18+KNR!G18+KSRGD!G18+SHS!G18</f>
        <v>0</v>
      </c>
      <c r="H18" s="24">
        <f>TVM!H18+KLM!H18+PTA!H18+ALP!H18+KTYM!H18+IDK!H18+EKM!H18+TSR!H18+PLKD!H18+MLPM!H18+KKD!H18+WYND!H18+KNR!H18+KSRGD!H18+SHS!H18</f>
        <v>0</v>
      </c>
      <c r="I18" s="24">
        <f>TVM!I18+KLM!I18+PTA!I18+ALP!I18+KTYM!I18+IDK!I18+EKM!I18+TSR!I18+PLKD!I18+MLPM!I18+KKD!I18+WYND!I18+KNR!I18+KSRGD!I18+SHS!I18</f>
        <v>0</v>
      </c>
      <c r="J18" s="24">
        <f>TVM!J18+KLM!J18+PTA!J18+ALP!J18+KTYM!J18+IDK!J18+EKM!J18+TSR!J18+PLKD!J18+MLPM!J18+KKD!J18+WYND!J18+KNR!J18+KSRGD!J18+SHS!J18</f>
        <v>0</v>
      </c>
      <c r="K18" s="24">
        <f>TVM!K18+KLM!K18+PTA!K18+ALP!K18+KTYM!K18+IDK!K18+EKM!K18+TSR!K18+PLKD!K18+MLPM!K18+KKD!K18+WYND!K18+KNR!K18+KSRGD!K18+SHS!K18</f>
        <v>0</v>
      </c>
      <c r="L18" s="24">
        <f>TVM!L18+KLM!L18+PTA!L18+ALP!L18+KTYM!L18+IDK!L18+EKM!L18+TSR!L18+PLKD!L18+MLPM!L18+KKD!L18+WYND!L18+KNR!L18+KSRGD!L18+SHS!L18</f>
        <v>0</v>
      </c>
      <c r="M18" s="24">
        <f>TVM!M18+KLM!M18+PTA!M18+ALP!M18+KTYM!M18+IDK!M18+EKM!M18+TSR!M18+PLKD!M18+MLPM!M18+KKD!M18+WYND!M18+KNR!M18+KSRGD!M18+SHS!M18</f>
        <v>0</v>
      </c>
      <c r="N18" s="24">
        <f>TVM!N18+KLM!N18+PTA!N18+ALP!N18+KTYM!N18+IDK!N18+EKM!N18+TSR!N18+PLKD!N18+MLPM!N18+KKD!N18+WYND!N18+KNR!N18+KSRGD!N18+SHS!N18</f>
        <v>0</v>
      </c>
      <c r="O18" s="24">
        <f>TVM!O18+KLM!O18+PTA!O18+ALP!O18+KTYM!O18+IDK!O18+EKM!O18+TSR!O18+PLKD!O18+MLPM!O18+KKD!O18+WYND!O18+KNR!O18+KSRGD!O18+SHS!O18</f>
        <v>0</v>
      </c>
      <c r="P18" s="31">
        <f>TVM!P18+KLM!P18+PTA!P18+ALP!P18+KTYM!P18+IDK!P18+EKM!P18+TSR!P18+PLKD!P18+MLPM!P18+KKD!P18+WYND!P18+KNR!P18+KSRGD!P18+SHS!P18</f>
        <v>0</v>
      </c>
      <c r="Q18" s="24">
        <f>TVM!Q18+KLM!Q18+PTA!Q18+ALP!Q18+KTYM!Q18+IDK!Q18+EKM!Q18+TSR!Q18+PLKD!Q18+MLPM!Q18+KKD!Q18+WYND!Q18+KNR!Q18+KSRGD!Q18+SHS!Q18</f>
        <v>0</v>
      </c>
      <c r="R18" s="24">
        <f>TVM!R18+KLM!R18+PTA!R18+ALP!R18+KTYM!R18+IDK!R18+EKM!R18+TSR!R18+PLKD!R18+MLPM!R18+KKD!R18+WYND!R18+KNR!R18+KSRGD!R18+SHS!R18</f>
        <v>0</v>
      </c>
      <c r="S18" s="24">
        <f>TVM!S18+KLM!S18+PTA!S18+ALP!S18+KTYM!S18+IDK!S18+EKM!S18+TSR!S18+PLKD!S18+MLPM!S18+KKD!S18+WYND!S18+KNR!S18+KSRGD!S18+SHS!S18</f>
        <v>0</v>
      </c>
      <c r="T18" s="6">
        <f t="shared" si="0"/>
        <v>0</v>
      </c>
      <c r="U18" s="9"/>
      <c r="V18" s="32"/>
      <c r="W18" s="1"/>
      <c r="X18" s="1"/>
      <c r="Y18" s="1"/>
      <c r="Z18" s="1"/>
    </row>
    <row r="19" spans="1:26" ht="39.75" customHeight="1">
      <c r="A19" s="171"/>
      <c r="B19" s="171"/>
      <c r="C19" s="171"/>
      <c r="D19" s="5">
        <v>14</v>
      </c>
      <c r="E19" s="5" t="s">
        <v>48</v>
      </c>
      <c r="F19" s="24">
        <f>TVM!F19+KLM!F19+PTA!F19+ALP!F19+KTYM!F19+IDK!F19+EKM!F19+TSR!F19+PLKD!F19+MLPM!F19+KKD!F19+WYND!F19+KNR!F19+KSRGD!F19+SHS!F19</f>
        <v>0</v>
      </c>
      <c r="G19" s="24">
        <f>TVM!G19+KLM!G19+PTA!G19+ALP!G19+KTYM!G19+IDK!G19+EKM!G19+TSR!G19+PLKD!G19+MLPM!G19+KKD!G19+WYND!G19+KNR!G19+KSRGD!G19+SHS!G19</f>
        <v>0</v>
      </c>
      <c r="H19" s="24">
        <f>TVM!H19+KLM!H19+PTA!H19+ALP!H19+KTYM!H19+IDK!H19+EKM!H19+TSR!H19+PLKD!H19+MLPM!H19+KKD!H19+WYND!H19+KNR!H19+KSRGD!H19+SHS!H19</f>
        <v>0</v>
      </c>
      <c r="I19" s="24">
        <f>TVM!I19+KLM!I19+PTA!I19+ALP!I19+KTYM!I19+IDK!I19+EKM!I19+TSR!I19+PLKD!I19+MLPM!I19+KKD!I19+WYND!I19+KNR!I19+KSRGD!I19+SHS!I19</f>
        <v>0</v>
      </c>
      <c r="J19" s="24">
        <f>TVM!J19+KLM!J19+PTA!J19+ALP!J19+KTYM!J19+IDK!J19+EKM!J19+TSR!J19+PLKD!J19+MLPM!J19+KKD!J19+WYND!J19+KNR!J19+KSRGD!J19+SHS!J19</f>
        <v>0</v>
      </c>
      <c r="K19" s="24">
        <f>TVM!K19+KLM!K19+PTA!K19+ALP!K19+KTYM!K19+IDK!K19+EKM!K19+TSR!K19+PLKD!K19+MLPM!K19+KKD!K19+WYND!K19+KNR!K19+KSRGD!K19+SHS!K19</f>
        <v>0</v>
      </c>
      <c r="L19" s="24">
        <f>TVM!L19+KLM!L19+PTA!L19+ALP!L19+KTYM!L19+IDK!L19+EKM!L19+TSR!L19+PLKD!L19+MLPM!L19+KKD!L19+WYND!L19+KNR!L19+KSRGD!L19+SHS!L19</f>
        <v>0</v>
      </c>
      <c r="M19" s="24">
        <f>TVM!M19+KLM!M19+PTA!M19+ALP!M19+KTYM!M19+IDK!M19+EKM!M19+TSR!M19+PLKD!M19+MLPM!M19+KKD!M19+WYND!M19+KNR!M19+KSRGD!M19+SHS!M19</f>
        <v>0</v>
      </c>
      <c r="N19" s="24">
        <f>TVM!N19+KLM!N19+PTA!N19+ALP!N19+KTYM!N19+IDK!N19+EKM!N19+TSR!N19+PLKD!N19+MLPM!N19+KKD!N19+WYND!N19+KNR!N19+KSRGD!N19+SHS!N19</f>
        <v>0</v>
      </c>
      <c r="O19" s="24">
        <f>TVM!O19+KLM!O19+PTA!O19+ALP!O19+KTYM!O19+IDK!O19+EKM!O19+TSR!O19+PLKD!O19+MLPM!O19+KKD!O19+WYND!O19+KNR!O19+KSRGD!O19+SHS!O19</f>
        <v>0</v>
      </c>
      <c r="P19" s="24">
        <f>TVM!P19+KLM!P19+PTA!P19+ALP!P19+KTYM!P19+IDK!P19+EKM!P19+TSR!P19+PLKD!P19+MLPM!P19+KKD!P19+WYND!P19+KNR!P19+KSRGD!P19+SHS!P19</f>
        <v>0</v>
      </c>
      <c r="Q19" s="24">
        <f>TVM!Q19+KLM!Q19+PTA!Q19+ALP!Q19+KTYM!Q19+IDK!Q19+EKM!Q19+TSR!Q19+PLKD!Q19+MLPM!Q19+KKD!Q19+WYND!Q19+KNR!Q19+KSRGD!Q19+SHS!Q19</f>
        <v>0</v>
      </c>
      <c r="R19" s="24">
        <f>TVM!R19+KLM!R19+PTA!R19+ALP!R19+KTYM!R19+IDK!R19+EKM!R19+TSR!R19+PLKD!R19+MLPM!R19+KKD!R19+WYND!R19+KNR!R19+KSRGD!R19+SHS!R19</f>
        <v>0</v>
      </c>
      <c r="S19" s="24">
        <f>TVM!S19+KLM!S19+PTA!S19+ALP!S19+KTYM!S19+IDK!S19+EKM!S19+TSR!S19+PLKD!S19+MLPM!S19+KKD!S19+WYND!S19+KNR!S19+KSRGD!S19+SHS!S19</f>
        <v>0</v>
      </c>
      <c r="T19" s="6">
        <f t="shared" si="0"/>
        <v>0</v>
      </c>
      <c r="U19" s="9"/>
      <c r="V19" s="32"/>
      <c r="W19" s="1"/>
      <c r="X19" s="1"/>
      <c r="Y19" s="1"/>
      <c r="Z19" s="1"/>
    </row>
    <row r="20" spans="1:26" ht="39.75" customHeight="1">
      <c r="A20" s="171"/>
      <c r="B20" s="171"/>
      <c r="C20" s="171"/>
      <c r="D20" s="5">
        <v>15</v>
      </c>
      <c r="E20" s="5" t="s">
        <v>49</v>
      </c>
      <c r="F20" s="24">
        <f>TVM!F20+KLM!F20+PTA!F20+ALP!F20+KTYM!F20+IDK!F20+EKM!F20+TSR!F20+PLKD!F20+MLPM!F20+KKD!F20+WYND!F20+KNR!F20+KSRGD!F20+SHS!F20</f>
        <v>0</v>
      </c>
      <c r="G20" s="24">
        <f>TVM!G20+KLM!G20+PTA!G20+ALP!G20+KTYM!G20+IDK!G20+EKM!G20+TSR!G20+PLKD!G20+MLPM!G20+KKD!G20+WYND!G20+KNR!G20+KSRGD!G20+SHS!G20</f>
        <v>0</v>
      </c>
      <c r="H20" s="24">
        <f>TVM!H20+KLM!H20+PTA!H20+ALP!H20+KTYM!H20+IDK!H20+EKM!H20+TSR!H20+PLKD!H20+MLPM!H20+KKD!H20+WYND!H20+KNR!H20+KSRGD!H20+SHS!H20</f>
        <v>0</v>
      </c>
      <c r="I20" s="31">
        <f>TVM!I20+KLM!I20+PTA!I20+ALP!I20+KTYM!I20+IDK!I20+EKM!I20+TSR!I20+PLKD!I20+MLPM!I20+KKD!I20+WYND!I20+KNR!I20+KSRGD!I20+SHS!I20</f>
        <v>88.742999999999995</v>
      </c>
      <c r="J20" s="24">
        <f>TVM!J20+KLM!J20+PTA!J20+ALP!J20+KTYM!J20+IDK!J20+EKM!J20+TSR!J20+PLKD!J20+MLPM!J20+KKD!J20+WYND!J20+KNR!J20+KSRGD!J20+SHS!J20</f>
        <v>0</v>
      </c>
      <c r="K20" s="24">
        <f>TVM!K20+KLM!K20+PTA!K20+ALP!K20+KTYM!K20+IDK!K20+EKM!K20+TSR!K20+PLKD!K20+MLPM!K20+KKD!K20+WYND!K20+KNR!K20+KSRGD!K20+SHS!K20</f>
        <v>0</v>
      </c>
      <c r="L20" s="24">
        <f>TVM!L20+KLM!L20+PTA!L20+ALP!L20+KTYM!L20+IDK!L20+EKM!L20+TSR!L20+PLKD!L20+MLPM!L20+KKD!L20+WYND!L20+KNR!L20+KSRGD!L20+SHS!L20</f>
        <v>0</v>
      </c>
      <c r="M20" s="24">
        <f>TVM!M20+KLM!M20+PTA!M20+ALP!M20+KTYM!M20+IDK!M20+EKM!M20+TSR!M20+PLKD!M20+MLPM!M20+KKD!M20+WYND!M20+KNR!M20+KSRGD!M20+SHS!M20</f>
        <v>0</v>
      </c>
      <c r="N20" s="27">
        <f>TVM!N20+KLM!N20+PTA!N20+ALP!N20+KTYM!N20+IDK!N20+EKM!N20+TSR!N20+PLKD!N20+MLPM!N20+KKD!N20+WYND!N20+KNR!N20+KSRGD!N20+SHS!N20</f>
        <v>10.469899999999997</v>
      </c>
      <c r="O20" s="24">
        <f>TVM!O20+KLM!O20+PTA!O20+ALP!O20+KTYM!O20+IDK!O20+EKM!O20+TSR!O20+PLKD!O20+MLPM!O20+KKD!O20+WYND!O20+KNR!O20+KSRGD!O20+SHS!O20</f>
        <v>0</v>
      </c>
      <c r="P20" s="31">
        <f>TVM!P20+KLM!P20+PTA!P20+ALP!P20+KTYM!P20+IDK!P20+EKM!P20+TSR!P20+PLKD!P20+MLPM!P20+KKD!P20+WYND!P20+KNR!P20+KSRGD!P20+SHS!P20</f>
        <v>12.83</v>
      </c>
      <c r="Q20" s="31">
        <f>TVM!Q20+KLM!Q20+PTA!Q20+ALP!Q20+KTYM!Q20+IDK!Q20+EKM!Q20+TSR!Q20+PLKD!Q20+MLPM!Q20+KKD!Q20+WYND!Q20+KNR!Q20+KSRGD!Q20+SHS!Q20</f>
        <v>1.6</v>
      </c>
      <c r="R20" s="24">
        <f>TVM!R20+KLM!R20+PTA!R20+ALP!R20+KTYM!R20+IDK!R20+EKM!R20+TSR!R20+PLKD!R20+MLPM!R20+KKD!R20+WYND!R20+KNR!R20+KSRGD!R20+SHS!R20</f>
        <v>0</v>
      </c>
      <c r="S20" s="24">
        <f>TVM!S20+KLM!S20+PTA!S20+ALP!S20+KTYM!S20+IDK!S20+EKM!S20+TSR!S20+PLKD!S20+MLPM!S20+KKD!S20+WYND!S20+KNR!S20+KSRGD!S20+SHS!S20</f>
        <v>0</v>
      </c>
      <c r="T20" s="6">
        <f t="shared" si="0"/>
        <v>113.64289999999998</v>
      </c>
      <c r="U20" s="9"/>
      <c r="V20" s="32"/>
      <c r="W20" s="1"/>
      <c r="X20" s="1"/>
      <c r="Y20" s="1"/>
      <c r="Z20" s="1"/>
    </row>
    <row r="21" spans="1:26" ht="39.75" customHeight="1">
      <c r="A21" s="171"/>
      <c r="B21" s="171"/>
      <c r="C21" s="171"/>
      <c r="D21" s="5">
        <v>16</v>
      </c>
      <c r="E21" s="5" t="s">
        <v>51</v>
      </c>
      <c r="F21" s="24">
        <f>TVM!F21+KLM!F21+PTA!F21+ALP!F21+KTYM!F21+IDK!F21+EKM!F21+TSR!F21+PLKD!F21+MLPM!F21+KKD!F21+WYND!F21+KNR!F21+KSRGD!F21+SHS!F21</f>
        <v>0</v>
      </c>
      <c r="G21" s="24">
        <f>TVM!G21+KLM!G21+PTA!G21+ALP!G21+KTYM!G21+IDK!G21+EKM!G21+TSR!G21+PLKD!G21+MLPM!G21+KKD!G21+WYND!G21+KNR!G21+KSRGD!G21+SHS!G21</f>
        <v>0</v>
      </c>
      <c r="H21" s="24">
        <f>TVM!H21+KLM!H21+PTA!H21+ALP!H21+KTYM!H21+IDK!H21+EKM!H21+TSR!H21+PLKD!H21+MLPM!H21+KKD!H21+WYND!H21+KNR!H21+KSRGD!H21+SHS!H21</f>
        <v>0</v>
      </c>
      <c r="I21" s="24">
        <f>TVM!I21+KLM!I21+PTA!I21+ALP!I21+KTYM!I21+IDK!I21+EKM!I21+TSR!I21+PLKD!I21+MLPM!I21+KKD!I21+WYND!I21+KNR!I21+KSRGD!I21+SHS!I21</f>
        <v>0</v>
      </c>
      <c r="J21" s="24">
        <f>TVM!J21+KLM!J21+PTA!J21+ALP!J21+KTYM!J21+IDK!J21+EKM!J21+TSR!J21+PLKD!J21+MLPM!J21+KKD!J21+WYND!J21+KNR!J21+KSRGD!J21+SHS!J21</f>
        <v>0</v>
      </c>
      <c r="K21" s="24">
        <f>TVM!K21+KLM!K21+PTA!K21+ALP!K21+KTYM!K21+IDK!K21+EKM!K21+TSR!K21+PLKD!K21+MLPM!K21+KKD!K21+WYND!K21+KNR!K21+KSRGD!K21+SHS!K21</f>
        <v>0</v>
      </c>
      <c r="L21" s="24">
        <f>TVM!L21+KLM!L21+PTA!L21+ALP!L21+KTYM!L21+IDK!L21+EKM!L21+TSR!L21+PLKD!L21+MLPM!L21+KKD!L21+WYND!L21+KNR!L21+KSRGD!L21+SHS!L21</f>
        <v>0</v>
      </c>
      <c r="M21" s="24">
        <f>TVM!M21+KLM!M21+PTA!M21+ALP!M21+KTYM!M21+IDK!M21+EKM!M21+TSR!M21+PLKD!M21+MLPM!M21+KKD!M21+WYND!M21+KNR!M21+KSRGD!M21+SHS!M21</f>
        <v>0</v>
      </c>
      <c r="N21" s="24">
        <f>TVM!N21+KLM!N21+PTA!N21+ALP!N21+KTYM!N21+IDK!N21+EKM!N21+TSR!N21+PLKD!N21+MLPM!N21+KKD!N21+WYND!N21+KNR!N21+KSRGD!N21+SHS!N21</f>
        <v>0</v>
      </c>
      <c r="O21" s="24">
        <f>TVM!O21+KLM!O21+PTA!O21+ALP!O21+KTYM!O21+IDK!O21+EKM!O21+TSR!O21+PLKD!O21+MLPM!O21+KKD!O21+WYND!O21+KNR!O21+KSRGD!O21+SHS!O21</f>
        <v>0</v>
      </c>
      <c r="P21" s="24">
        <f>TVM!P21+KLM!P21+PTA!P21+ALP!P21+KTYM!P21+IDK!P21+EKM!P21+TSR!P21+PLKD!P21+MLPM!P21+KKD!P21+WYND!P21+KNR!P21+KSRGD!P21+SHS!P21</f>
        <v>0</v>
      </c>
      <c r="Q21" s="24">
        <f>TVM!Q21+KLM!Q21+PTA!Q21+ALP!Q21+KTYM!Q21+IDK!Q21+EKM!Q21+TSR!Q21+PLKD!Q21+MLPM!Q21+KKD!Q21+WYND!Q21+KNR!Q21+KSRGD!Q21+SHS!Q21</f>
        <v>0</v>
      </c>
      <c r="R21" s="24">
        <f>TVM!R21+KLM!R21+PTA!R21+ALP!R21+KTYM!R21+IDK!R21+EKM!R21+TSR!R21+PLKD!R21+MLPM!R21+KKD!R21+WYND!R21+KNR!R21+KSRGD!R21+SHS!R21</f>
        <v>0</v>
      </c>
      <c r="S21" s="24">
        <f>TVM!S21+KLM!S21+PTA!S21+ALP!S21+KTYM!S21+IDK!S21+EKM!S21+TSR!S21+PLKD!S21+MLPM!S21+KKD!S21+WYND!S21+KNR!S21+KSRGD!S21+SHS!S21</f>
        <v>0</v>
      </c>
      <c r="T21" s="6">
        <f t="shared" si="0"/>
        <v>0</v>
      </c>
      <c r="U21" s="9"/>
      <c r="V21" s="32"/>
      <c r="W21" s="1"/>
      <c r="X21" s="1"/>
      <c r="Y21" s="1"/>
      <c r="Z21" s="1"/>
    </row>
    <row r="22" spans="1:26" ht="39.75" customHeight="1">
      <c r="A22" s="171"/>
      <c r="B22" s="171"/>
      <c r="C22" s="171"/>
      <c r="D22" s="5">
        <v>17</v>
      </c>
      <c r="E22" s="5" t="s">
        <v>52</v>
      </c>
      <c r="F22" s="24">
        <f>TVM!F22+KLM!F22+PTA!F22+ALP!F22+KTYM!F22+IDK!F22+EKM!F22+TSR!F22+PLKD!F22+MLPM!F22+KKD!F22+WYND!F22+KNR!F22+KSRGD!F22+SHS!F22</f>
        <v>0</v>
      </c>
      <c r="G22" s="24">
        <f>TVM!G22+KLM!G22+PTA!G22+ALP!G22+KTYM!G22+IDK!G22+EKM!G22+TSR!G22+PLKD!G22+MLPM!G22+KKD!G22+WYND!G22+KNR!G22+KSRGD!G22+SHS!G22</f>
        <v>0</v>
      </c>
      <c r="H22" s="24">
        <f>TVM!H22+KLM!H22+PTA!H22+ALP!H22+KTYM!H22+IDK!H22+EKM!H22+TSR!H22+PLKD!H22+MLPM!H22+KKD!H22+WYND!H22+KNR!H22+KSRGD!H22+SHS!H22</f>
        <v>0</v>
      </c>
      <c r="I22" s="27">
        <f>TVM!I22+KLM!I22+PTA!I22+ALP!I22+KTYM!I22+IDK!I22+EKM!I22+TSR!I22+PLKD!I22+MLPM!I22+KKD!I22+WYND!I22+KNR!I22+KSRGD!I22+SHS!I22</f>
        <v>607.9</v>
      </c>
      <c r="J22" s="24">
        <f>TVM!J22+KLM!J22+PTA!J22+ALP!J22+KTYM!J22+IDK!J22+EKM!J22+TSR!J22+PLKD!J22+MLPM!J22+KKD!J22+WYND!J22+KNR!J22+KSRGD!J22+SHS!J22</f>
        <v>0</v>
      </c>
      <c r="K22" s="24">
        <f>TVM!K22+KLM!K22+PTA!K22+ALP!K22+KTYM!K22+IDK!K22+EKM!K22+TSR!K22+PLKD!K22+MLPM!K22+KKD!K22+WYND!K22+KNR!K22+KSRGD!K22+SHS!K22</f>
        <v>0</v>
      </c>
      <c r="L22" s="24">
        <f>TVM!L22+KLM!L22+PTA!L22+ALP!L22+KTYM!L22+IDK!L22+EKM!L22+TSR!L22+PLKD!L22+MLPM!L22+KKD!L22+WYND!L22+KNR!L22+KSRGD!L22+SHS!L22</f>
        <v>0</v>
      </c>
      <c r="M22" s="24">
        <f>TVM!M22+KLM!M22+PTA!M22+ALP!M22+KTYM!M22+IDK!M22+EKM!M22+TSR!M22+PLKD!M22+MLPM!M22+KKD!M22+WYND!M22+KNR!M22+KSRGD!M22+SHS!M22</f>
        <v>0</v>
      </c>
      <c r="N22" s="27">
        <f>TVM!N22+KLM!N22+PTA!N22+ALP!N22+KTYM!N22+IDK!N22+EKM!N22+TSR!N22+PLKD!N22+MLPM!N22+KKD!N22+WYND!N22+KNR!N22+KSRGD!N22+SHS!N22</f>
        <v>15.410000000000002</v>
      </c>
      <c r="O22" s="24">
        <f>TVM!O22+KLM!O22+PTA!O22+ALP!O22+KTYM!O22+IDK!O22+EKM!O22+TSR!O22+PLKD!O22+MLPM!O22+KKD!O22+WYND!O22+KNR!O22+KSRGD!O22+SHS!O22</f>
        <v>0</v>
      </c>
      <c r="P22" s="31">
        <f>TVM!P22+KLM!P22+PTA!P22+ALP!P22+KTYM!P22+IDK!P22+EKM!P22+TSR!P22+PLKD!P22+MLPM!P22+KKD!P22+WYND!P22+KNR!P22+KSRGD!P22+SHS!P22</f>
        <v>8.4</v>
      </c>
      <c r="Q22" s="27">
        <f>TVM!Q22+KLM!Q22+PTA!Q22+ALP!Q22+KTYM!Q22+IDK!Q22+EKM!Q22+TSR!Q22+PLKD!Q22+MLPM!Q22+KKD!Q22+WYND!Q22+KNR!Q22+KSRGD!Q22+SHS!Q22</f>
        <v>88.21</v>
      </c>
      <c r="R22" s="24">
        <f>TVM!R22+KLM!R22+PTA!R22+ALP!R22+KTYM!R22+IDK!R22+EKM!R22+TSR!R22+PLKD!R22+MLPM!R22+KKD!R22+WYND!R22+KNR!R22+KSRGD!R22+SHS!R22</f>
        <v>0</v>
      </c>
      <c r="S22" s="31">
        <f>TVM!S22+KLM!S22+PTA!S22+ALP!S22+KTYM!S22+IDK!S22+EKM!S22+TSR!S22+PLKD!S22+MLPM!S22+KKD!S22+WYND!S22+KNR!S22+KSRGD!S22+SHS!S22</f>
        <v>1.65</v>
      </c>
      <c r="T22" s="6">
        <f t="shared" si="0"/>
        <v>721.56999999999994</v>
      </c>
      <c r="U22" s="9"/>
      <c r="V22" s="32"/>
      <c r="W22" s="1"/>
      <c r="X22" s="1"/>
      <c r="Y22" s="1"/>
      <c r="Z22" s="1"/>
    </row>
    <row r="23" spans="1:26" ht="39.75" customHeight="1">
      <c r="A23" s="171"/>
      <c r="B23" s="169"/>
      <c r="C23" s="169"/>
      <c r="D23" s="5">
        <v>18</v>
      </c>
      <c r="E23" s="5" t="s">
        <v>54</v>
      </c>
      <c r="F23" s="24">
        <f>TVM!F23+KLM!F23+PTA!F23+ALP!F23+KTYM!F23+IDK!F23+EKM!F23+TSR!F23+PLKD!F23+MLPM!F23+KKD!F23+WYND!F23+KNR!F23+KSRGD!F23+SHS!F23</f>
        <v>0</v>
      </c>
      <c r="G23" s="24">
        <f>TVM!G23+KLM!G23+PTA!G23+ALP!G23+KTYM!G23+IDK!G23+EKM!G23+TSR!G23+PLKD!G23+MLPM!G23+KKD!G23+WYND!G23+KNR!G23+KSRGD!G23+SHS!G23</f>
        <v>0</v>
      </c>
      <c r="H23" s="24">
        <f>TVM!H23+KLM!H23+PTA!H23+ALP!H23+KTYM!H23+IDK!H23+EKM!H23+TSR!H23+PLKD!H23+MLPM!H23+KKD!H23+WYND!H23+KNR!H23+KSRGD!H23+SHS!H23</f>
        <v>0</v>
      </c>
      <c r="I23" s="24">
        <f>TVM!I23+KLM!I23+PTA!I23+ALP!I23+KTYM!I23+IDK!I23+EKM!I23+TSR!I23+PLKD!I23+MLPM!I23+KKD!I23+WYND!I23+KNR!I23+KSRGD!I23+SHS!I23</f>
        <v>0</v>
      </c>
      <c r="J23" s="24">
        <f>TVM!J23+KLM!J23+PTA!J23+ALP!J23+KTYM!J23+IDK!J23+EKM!J23+TSR!J23+PLKD!J23+MLPM!J23+KKD!J23+WYND!J23+KNR!J23+KSRGD!J23+SHS!J23</f>
        <v>0</v>
      </c>
      <c r="K23" s="24">
        <f>TVM!K23+KLM!K23+PTA!K23+ALP!K23+KTYM!K23+IDK!K23+EKM!K23+TSR!K23+PLKD!K23+MLPM!K23+KKD!K23+WYND!K23+KNR!K23+KSRGD!K23+SHS!K23</f>
        <v>0</v>
      </c>
      <c r="L23" s="24">
        <f>TVM!L23+KLM!L23+PTA!L23+ALP!L23+KTYM!L23+IDK!L23+EKM!L23+TSR!L23+PLKD!L23+MLPM!L23+KKD!L23+WYND!L23+KNR!L23+KSRGD!L23+SHS!L23</f>
        <v>0</v>
      </c>
      <c r="M23" s="24">
        <f>TVM!M23+KLM!M23+PTA!M23+ALP!M23+KTYM!M23+IDK!M23+EKM!M23+TSR!M23+PLKD!M23+MLPM!M23+KKD!M23+WYND!M23+KNR!M23+KSRGD!M23+SHS!M23</f>
        <v>0</v>
      </c>
      <c r="N23" s="24">
        <f>TVM!N23+KLM!N23+PTA!N23+ALP!N23+KTYM!N23+IDK!N23+EKM!N23+TSR!N23+PLKD!N23+MLPM!N23+KKD!N23+WYND!N23+KNR!N23+KSRGD!N23+SHS!N23</f>
        <v>0</v>
      </c>
      <c r="O23" s="24">
        <f>TVM!O23+KLM!O23+PTA!O23+ALP!O23+KTYM!O23+IDK!O23+EKM!O23+TSR!O23+PLKD!O23+MLPM!O23+KKD!O23+WYND!O23+KNR!O23+KSRGD!O23+SHS!O23</f>
        <v>0</v>
      </c>
      <c r="P23" s="31">
        <f>TVM!P23+KLM!P23+PTA!P23+ALP!P23+KTYM!P23+IDK!P23+EKM!P23+TSR!P23+PLKD!P23+MLPM!P23+KKD!P23+WYND!P23+KNR!P23+KSRGD!P23+SHS!P23</f>
        <v>19.414999999999999</v>
      </c>
      <c r="Q23" s="31">
        <f>TVM!Q23+KLM!Q23+PTA!Q23+ALP!Q23+KTYM!Q23+IDK!Q23+EKM!Q23+TSR!Q23+PLKD!Q23+MLPM!Q23+KKD!Q23+WYND!Q23+KNR!Q23+KSRGD!Q23+SHS!Q23</f>
        <v>0</v>
      </c>
      <c r="R23" s="24">
        <f>TVM!R23+KLM!R23+PTA!R23+ALP!R23+KTYM!R23+IDK!R23+EKM!R23+TSR!R23+PLKD!R23+MLPM!R23+KKD!R23+WYND!R23+KNR!R23+KSRGD!R23+SHS!R23</f>
        <v>0</v>
      </c>
      <c r="S23" s="31">
        <f>TVM!S23+KLM!S23+PTA!S23+ALP!S23+KTYM!S23+IDK!S23+EKM!S23+TSR!S23+PLKD!S23+MLPM!S23+KKD!S23+WYND!S23+KNR!S23+KSRGD!S23+SHS!S23</f>
        <v>0</v>
      </c>
      <c r="T23" s="6">
        <f t="shared" si="0"/>
        <v>19.414999999999999</v>
      </c>
      <c r="U23" s="9"/>
      <c r="V23" s="32"/>
      <c r="W23" s="1"/>
      <c r="X23" s="1"/>
      <c r="Y23" s="1"/>
      <c r="Z23" s="1"/>
    </row>
    <row r="24" spans="1:26" ht="39.75" customHeight="1">
      <c r="A24" s="171"/>
      <c r="B24" s="168" t="s">
        <v>56</v>
      </c>
      <c r="C24" s="168" t="s">
        <v>57</v>
      </c>
      <c r="D24" s="5">
        <v>19</v>
      </c>
      <c r="E24" s="5" t="s">
        <v>57</v>
      </c>
      <c r="F24" s="24">
        <f>TVM!F24+KLM!F24+PTA!F24+ALP!F24+KTYM!F24+IDK!F24+EKM!F24+TSR!F24+PLKD!F24+MLPM!F24+KKD!F24+WYND!F24+KNR!F24+KSRGD!F24+SHS!F24</f>
        <v>0</v>
      </c>
      <c r="G24" s="24">
        <f>TVM!G24+KLM!G24+PTA!G24+ALP!G24+KTYM!G24+IDK!G24+EKM!G24+TSR!G24+PLKD!G24+MLPM!G24+KKD!G24+WYND!G24+KNR!G24+KSRGD!G24+SHS!G24</f>
        <v>0</v>
      </c>
      <c r="H24" s="24">
        <f>TVM!H24+KLM!H24+PTA!H24+ALP!H24+KTYM!H24+IDK!H24+EKM!H24+TSR!H24+PLKD!H24+MLPM!H24+KKD!H24+WYND!H24+KNR!H24+KSRGD!H24+SHS!H24</f>
        <v>0</v>
      </c>
      <c r="I24" s="24">
        <f>TVM!I24+KLM!I24+PTA!I24+ALP!I24+KTYM!I24+IDK!I24+EKM!I24+TSR!I24+PLKD!I24+MLPM!I24+KKD!I24+WYND!I24+KNR!I24+KSRGD!I24+SHS!I24</f>
        <v>0</v>
      </c>
      <c r="J24" s="24">
        <f>TVM!J24+KLM!J24+PTA!J24+ALP!J24+KTYM!J24+IDK!J24+EKM!J24+TSR!J24+PLKD!J24+MLPM!J24+KKD!J24+WYND!J24+KNR!J24+KSRGD!J24+SHS!J24</f>
        <v>0</v>
      </c>
      <c r="K24" s="24">
        <f>TVM!K24+KLM!K24+PTA!K24+ALP!K24+KTYM!K24+IDK!K24+EKM!K24+TSR!K24+PLKD!K24+MLPM!K24+KKD!K24+WYND!K24+KNR!K24+KSRGD!K24+SHS!K24</f>
        <v>0</v>
      </c>
      <c r="L24" s="24">
        <f>TVM!L24+KLM!L24+PTA!L24+ALP!L24+KTYM!L24+IDK!L24+EKM!L24+TSR!L24+PLKD!L24+MLPM!L24+KKD!L24+WYND!L24+KNR!L24+KSRGD!L24+SHS!L24</f>
        <v>0</v>
      </c>
      <c r="M24" s="24">
        <f>TVM!M24+KLM!M24+PTA!M24+ALP!M24+KTYM!M24+IDK!M24+EKM!M24+TSR!M24+PLKD!M24+MLPM!M24+KKD!M24+WYND!M24+KNR!M24+KSRGD!M24+SHS!M24</f>
        <v>0</v>
      </c>
      <c r="N24" s="24">
        <f>TVM!N24+KLM!N24+PTA!N24+ALP!N24+KTYM!N24+IDK!N24+EKM!N24+TSR!N24+PLKD!N24+MLPM!N24+KKD!N24+WYND!N24+KNR!N24+KSRGD!N24+SHS!N24</f>
        <v>0</v>
      </c>
      <c r="O24" s="24">
        <f>TVM!O24+KLM!O24+PTA!O24+ALP!O24+KTYM!O24+IDK!O24+EKM!O24+TSR!O24+PLKD!O24+MLPM!O24+KKD!O24+WYND!O24+KNR!O24+KSRGD!O24+SHS!O24</f>
        <v>0</v>
      </c>
      <c r="P24" s="24">
        <f>TVM!P24+KLM!P24+PTA!P24+ALP!P24+KTYM!P24+IDK!P24+EKM!P24+TSR!P24+PLKD!P24+MLPM!P24+KKD!P24+WYND!P24+KNR!P24+KSRGD!P24+SHS!P24</f>
        <v>0</v>
      </c>
      <c r="Q24" s="24">
        <f>TVM!Q24+KLM!Q24+PTA!Q24+ALP!Q24+KTYM!Q24+IDK!Q24+EKM!Q24+TSR!Q24+PLKD!Q24+MLPM!Q24+KKD!Q24+WYND!Q24+KNR!Q24+KSRGD!Q24+SHS!Q24</f>
        <v>0</v>
      </c>
      <c r="R24" s="24">
        <f>TVM!R24+KLM!R24+PTA!R24+ALP!R24+KTYM!R24+IDK!R24+EKM!R24+TSR!R24+PLKD!R24+MLPM!R24+KKD!R24+WYND!R24+KNR!R24+KSRGD!R24+SHS!R24</f>
        <v>0</v>
      </c>
      <c r="S24" s="24">
        <f>TVM!S24+KLM!S24+PTA!S24+ALP!S24+KTYM!S24+IDK!S24+EKM!S24+TSR!S24+PLKD!S24+MLPM!S24+KKD!S24+WYND!S24+KNR!S24+KSRGD!S24+SHS!S24</f>
        <v>0</v>
      </c>
      <c r="T24" s="6">
        <f t="shared" si="0"/>
        <v>0</v>
      </c>
      <c r="U24" s="9"/>
      <c r="V24" s="32"/>
      <c r="W24" s="1"/>
      <c r="X24" s="1"/>
      <c r="Y24" s="1"/>
      <c r="Z24" s="1"/>
    </row>
    <row r="25" spans="1:26" ht="39.75" customHeight="1">
      <c r="A25" s="171"/>
      <c r="B25" s="169"/>
      <c r="C25" s="169"/>
      <c r="D25" s="5">
        <v>20</v>
      </c>
      <c r="E25" s="5" t="s">
        <v>58</v>
      </c>
      <c r="F25" s="24">
        <f>TVM!F25+KLM!F25+PTA!F25+ALP!F25+KTYM!F25+IDK!F25+EKM!F25+TSR!F25+PLKD!F25+MLPM!F25+KKD!F25+WYND!F25+KNR!F25+KSRGD!F25+SHS!F25</f>
        <v>0</v>
      </c>
      <c r="G25" s="24">
        <f>TVM!G25+KLM!G25+PTA!G25+ALP!G25+KTYM!G25+IDK!G25+EKM!G25+TSR!G25+PLKD!G25+MLPM!G25+KKD!G25+WYND!G25+KNR!G25+KSRGD!G25+SHS!G25</f>
        <v>0</v>
      </c>
      <c r="H25" s="24">
        <f>TVM!H25+KLM!H25+PTA!H25+ALP!H25+KTYM!H25+IDK!H25+EKM!H25+TSR!H25+PLKD!H25+MLPM!H25+KKD!H25+WYND!H25+KNR!H25+KSRGD!H25+SHS!H25</f>
        <v>0</v>
      </c>
      <c r="I25" s="24">
        <f>TVM!I25+KLM!I25+PTA!I25+ALP!I25+KTYM!I25+IDK!I25+EKM!I25+TSR!I25+PLKD!I25+MLPM!I25+KKD!I25+WYND!I25+KNR!I25+KSRGD!I25+SHS!I25</f>
        <v>0</v>
      </c>
      <c r="J25" s="24">
        <f>TVM!J25+KLM!J25+PTA!J25+ALP!J25+KTYM!J25+IDK!J25+EKM!J25+TSR!J25+PLKD!J25+MLPM!J25+KKD!J25+WYND!J25+KNR!J25+KSRGD!J25+SHS!J25</f>
        <v>0</v>
      </c>
      <c r="K25" s="24">
        <f>TVM!K25+KLM!K25+PTA!K25+ALP!K25+KTYM!K25+IDK!K25+EKM!K25+TSR!K25+PLKD!K25+MLPM!K25+KKD!K25+WYND!K25+KNR!K25+KSRGD!K25+SHS!K25</f>
        <v>0</v>
      </c>
      <c r="L25" s="24">
        <f>TVM!L25+KLM!L25+PTA!L25+ALP!L25+KTYM!L25+IDK!L25+EKM!L25+TSR!L25+PLKD!L25+MLPM!L25+KKD!L25+WYND!L25+KNR!L25+KSRGD!L25+SHS!L25</f>
        <v>0</v>
      </c>
      <c r="M25" s="24">
        <f>TVM!M25+KLM!M25+PTA!M25+ALP!M25+KTYM!M25+IDK!M25+EKM!M25+TSR!M25+PLKD!M25+MLPM!M25+KKD!M25+WYND!M25+KNR!M25+KSRGD!M25+SHS!M25</f>
        <v>0</v>
      </c>
      <c r="N25" s="24">
        <f>TVM!N25+KLM!N25+PTA!N25+ALP!N25+KTYM!N25+IDK!N25+EKM!N25+TSR!N25+PLKD!N25+MLPM!N25+KKD!N25+WYND!N25+KNR!N25+KSRGD!N25+SHS!N25</f>
        <v>0</v>
      </c>
      <c r="O25" s="24">
        <f>TVM!O25+KLM!O25+PTA!O25+ALP!O25+KTYM!O25+IDK!O25+EKM!O25+TSR!O25+PLKD!O25+MLPM!O25+KKD!O25+WYND!O25+KNR!O25+KSRGD!O25+SHS!O25</f>
        <v>0</v>
      </c>
      <c r="P25" s="24">
        <f>TVM!P25+KLM!P25+PTA!P25+ALP!P25+KTYM!P25+IDK!P25+EKM!P25+TSR!P25+PLKD!P25+MLPM!P25+KKD!P25+WYND!P25+KNR!P25+KSRGD!P25+SHS!P25</f>
        <v>0</v>
      </c>
      <c r="Q25" s="27">
        <f>TVM!Q25+KLM!Q25+PTA!Q25+ALP!Q25+KTYM!Q25+IDK!Q25+EKM!Q25+TSR!Q25+PLKD!Q25+MLPM!Q25+KKD!Q25+WYND!Q25+KNR!Q25+KSRGD!Q25+SHS!Q25</f>
        <v>44.47</v>
      </c>
      <c r="R25" s="24">
        <f>TVM!R25+KLM!R25+PTA!R25+ALP!R25+KTYM!R25+IDK!R25+EKM!R25+TSR!R25+PLKD!R25+MLPM!R25+KKD!R25+WYND!R25+KNR!R25+KSRGD!R25+SHS!R25</f>
        <v>0</v>
      </c>
      <c r="S25" s="24">
        <f>TVM!S25+KLM!S25+PTA!S25+ALP!S25+KTYM!S25+IDK!S25+EKM!S25+TSR!S25+PLKD!S25+MLPM!S25+KKD!S25+WYND!S25+KNR!S25+KSRGD!S25+SHS!S25</f>
        <v>0</v>
      </c>
      <c r="T25" s="6">
        <f t="shared" si="0"/>
        <v>44.47</v>
      </c>
      <c r="U25" s="9"/>
      <c r="V25" s="32"/>
      <c r="W25" s="1"/>
      <c r="X25" s="1"/>
      <c r="Y25" s="1"/>
      <c r="Z25" s="1"/>
    </row>
    <row r="26" spans="1:26" ht="39.75" customHeight="1">
      <c r="A26" s="171"/>
      <c r="B26" s="168" t="s">
        <v>60</v>
      </c>
      <c r="C26" s="168" t="s">
        <v>61</v>
      </c>
      <c r="D26" s="5">
        <v>21</v>
      </c>
      <c r="E26" s="5" t="s">
        <v>62</v>
      </c>
      <c r="F26" s="24">
        <f>TVM!F26+KLM!F26+PTA!F26+ALP!F26+KTYM!F26+IDK!F26+EKM!F26+TSR!F26+PLKD!F26+MLPM!F26+KKD!F26+WYND!F26+KNR!F26+KSRGD!F26+SHS!F26</f>
        <v>0</v>
      </c>
      <c r="G26" s="24">
        <f>TVM!G26+KLM!G26+PTA!G26+ALP!G26+KTYM!G26+IDK!G26+EKM!G26+TSR!G26+PLKD!G26+MLPM!G26+KKD!G26+WYND!G26+KNR!G26+KSRGD!G26+SHS!G26</f>
        <v>0</v>
      </c>
      <c r="H26" s="31">
        <f>TVM!H26+KLM!H26+PTA!H26+ALP!H26+KTYM!H26+IDK!H26+EKM!H26+TSR!H26+PLKD!H26+MLPM!H26+KKD!H26+WYND!H26+KNR!H26+KSRGD!H26+SHS!H26</f>
        <v>0</v>
      </c>
      <c r="I26" s="27">
        <f>TVM!I26+KLM!I26+PTA!I26+ALP!I26+KTYM!I26+IDK!I26+EKM!I26+TSR!I26+PLKD!I26+MLPM!I26+KKD!I26+WYND!I26+KNR!I26+KSRGD!I26+SHS!I26</f>
        <v>41.089999999999996</v>
      </c>
      <c r="J26" s="24">
        <f>TVM!J26+KLM!J26+PTA!J26+ALP!J26+KTYM!J26+IDK!J26+EKM!J26+TSR!J26+PLKD!J26+MLPM!J26+KKD!J26+WYND!J26+KNR!J26+KSRGD!J26+SHS!J26</f>
        <v>0</v>
      </c>
      <c r="K26" s="27">
        <f>TVM!K26+KLM!K26+PTA!K26+ALP!K26+KTYM!K26+IDK!K26+EKM!K26+TSR!K26+PLKD!K26+MLPM!K26+KKD!K26+WYND!K26+KNR!K26+KSRGD!K26+SHS!K26</f>
        <v>0</v>
      </c>
      <c r="L26" s="24">
        <f>TVM!L26+KLM!L26+PTA!L26+ALP!L26+KTYM!L26+IDK!L26+EKM!L26+TSR!L26+PLKD!L26+MLPM!L26+KKD!L26+WYND!L26+KNR!L26+KSRGD!L26+SHS!L26</f>
        <v>0</v>
      </c>
      <c r="M26" s="24">
        <f>TVM!M26+KLM!M26+PTA!M26+ALP!M26+KTYM!M26+IDK!M26+EKM!M26+TSR!M26+PLKD!M26+MLPM!M26+KKD!M26+WYND!M26+KNR!M26+KSRGD!M26+SHS!M26</f>
        <v>0</v>
      </c>
      <c r="N26" s="27">
        <f>TVM!N26+KLM!N26+PTA!N26+ALP!N26+KTYM!N26+IDK!N26+EKM!N26+TSR!N26+PLKD!N26+MLPM!N26+KKD!N26+WYND!N26+KNR!N26+KSRGD!N26+SHS!N26</f>
        <v>39.527000000000001</v>
      </c>
      <c r="O26" s="24">
        <f>TVM!O26+KLM!O26+PTA!O26+ALP!O26+KTYM!O26+IDK!O26+EKM!O26+TSR!O26+PLKD!O26+MLPM!O26+KKD!O26+WYND!O26+KNR!O26+KSRGD!O26+SHS!O26</f>
        <v>0</v>
      </c>
      <c r="P26" s="27">
        <f>TVM!P26+KLM!P26+PTA!P26+ALP!P26+KTYM!P26+IDK!P26+EKM!P26+TSR!P26+PLKD!P26+MLPM!P26+KKD!P26+WYND!P26+KNR!P26+KSRGD!P26+SHS!P26</f>
        <v>275.07600000000002</v>
      </c>
      <c r="Q26" s="27">
        <f>TVM!Q26+KLM!Q26+PTA!Q26+ALP!Q26+KTYM!Q26+IDK!Q26+EKM!Q26+TSR!Q26+PLKD!Q26+MLPM!Q26+KKD!Q26+WYND!Q26+KNR!Q26+KSRGD!Q26+SHS!Q26</f>
        <v>2.9349999999999996</v>
      </c>
      <c r="R26" s="27">
        <f>TVM!R26+KLM!R26+PTA!R26+ALP!R26+KTYM!R26+IDK!R26+EKM!R26+TSR!R26+PLKD!R26+MLPM!R26+KKD!R26+WYND!R26+KNR!R26+KSRGD!R26+SHS!R26</f>
        <v>50.568999999999996</v>
      </c>
      <c r="S26" s="24">
        <f>TVM!S26+KLM!S26+PTA!S26+ALP!S26+KTYM!S26+IDK!S26+EKM!S26+TSR!S26+PLKD!S26+MLPM!S26+KKD!S26+WYND!S26+KNR!S26+KSRGD!S26+SHS!S26</f>
        <v>0</v>
      </c>
      <c r="T26" s="6">
        <f t="shared" si="0"/>
        <v>409.197</v>
      </c>
      <c r="U26" s="9"/>
      <c r="V26" s="32"/>
      <c r="W26" s="1"/>
      <c r="X26" s="1"/>
      <c r="Y26" s="1"/>
      <c r="Z26" s="1"/>
    </row>
    <row r="27" spans="1:26" ht="39.75" customHeight="1">
      <c r="A27" s="171"/>
      <c r="B27" s="171"/>
      <c r="C27" s="171"/>
      <c r="D27" s="5">
        <v>22</v>
      </c>
      <c r="E27" s="5" t="s">
        <v>64</v>
      </c>
      <c r="F27" s="31">
        <f>TVM!F27+KLM!F27+PTA!F27+ALP!F27+KTYM!F27+IDK!F27+EKM!F27+TSR!F27+PLKD!F27+MLPM!F27+KKD!F27+WYND!F27+KNR!F27+KSRGD!F27+SHS!F27</f>
        <v>0</v>
      </c>
      <c r="G27" s="24">
        <f>TVM!G27+KLM!G27+PTA!G27+ALP!G27+KTYM!G27+IDK!G27+EKM!G27+TSR!G27+PLKD!G27+MLPM!G27+KKD!G27+WYND!G27+KNR!G27+KSRGD!G27+SHS!G27</f>
        <v>0</v>
      </c>
      <c r="H27" s="31">
        <f>TVM!H27+KLM!H27+PTA!H27+ALP!H27+KTYM!H27+IDK!H27+EKM!H27+TSR!H27+PLKD!H27+MLPM!H27+KKD!H27+WYND!H27+KNR!H27+KSRGD!H27+SHS!H27</f>
        <v>68.25</v>
      </c>
      <c r="I27" s="27">
        <f>TVM!I27+KLM!I27+PTA!I27+ALP!I27+KTYM!I27+IDK!I27+EKM!I27+TSR!I27+PLKD!I27+MLPM!I27+KKD!I27+WYND!I27+KNR!I27+KSRGD!I27+SHS!I27</f>
        <v>0</v>
      </c>
      <c r="J27" s="24">
        <f>TVM!J27+KLM!J27+PTA!J27+ALP!J27+KTYM!J27+IDK!J27+EKM!J27+TSR!J27+PLKD!J27+MLPM!J27+KKD!J27+WYND!J27+KNR!J27+KSRGD!J27+SHS!J27</f>
        <v>0</v>
      </c>
      <c r="K27" s="24">
        <f>TVM!K27+KLM!K27+PTA!K27+ALP!K27+KTYM!K27+IDK!K27+EKM!K27+TSR!K27+PLKD!K27+MLPM!K27+KKD!K27+WYND!K27+KNR!K27+KSRGD!K27+SHS!K27</f>
        <v>0</v>
      </c>
      <c r="L27" s="24">
        <f>TVM!L27+KLM!L27+PTA!L27+ALP!L27+KTYM!L27+IDK!L27+EKM!L27+TSR!L27+PLKD!L27+MLPM!L27+KKD!L27+WYND!L27+KNR!L27+KSRGD!L27+SHS!L27</f>
        <v>0</v>
      </c>
      <c r="M27" s="31">
        <f>TVM!M27+KLM!M27+PTA!M27+ALP!M27+KTYM!M27+IDK!M27+EKM!M27+TSR!M27+PLKD!M27+MLPM!M27+KKD!M27+WYND!M27+KNR!M27+KSRGD!M27+SHS!M27</f>
        <v>875.24</v>
      </c>
      <c r="N27" s="24">
        <f>TVM!N27+KLM!N27+PTA!N27+ALP!N27+KTYM!N27+IDK!N27+EKM!N27+TSR!N27+PLKD!N27+MLPM!N27+KKD!N27+WYND!N27+KNR!N27+KSRGD!N27+SHS!N27</f>
        <v>33.67</v>
      </c>
      <c r="O27" s="24">
        <f>TVM!O27+KLM!O27+PTA!O27+ALP!O27+KTYM!O27+IDK!O27+EKM!O27+TSR!O27+PLKD!O27+MLPM!O27+KKD!O27+WYND!O27+KNR!O27+KSRGD!O27+SHS!O27</f>
        <v>0</v>
      </c>
      <c r="P27" s="27">
        <f>TVM!P27+KLM!P27+PTA!P27+ALP!P27+KTYM!P27+IDK!P27+EKM!P27+TSR!P27+PLKD!P27+MLPM!P27+KKD!P27+WYND!P27+KNR!P27+KSRGD!P27+SHS!P27</f>
        <v>2966.6999999999994</v>
      </c>
      <c r="Q27" s="31">
        <f>TVM!Q27+KLM!Q27+PTA!Q27+ALP!Q27+KTYM!Q27+IDK!Q27+EKM!Q27+TSR!Q27+PLKD!Q27+MLPM!Q27+KKD!Q27+WYND!Q27+KNR!Q27+KSRGD!Q27+SHS!Q27</f>
        <v>14</v>
      </c>
      <c r="R27" s="27">
        <f>TVM!R27+KLM!R27+PTA!R27+ALP!R27+KTYM!R27+IDK!R27+EKM!R27+TSR!R27+PLKD!R27+MLPM!R27+KKD!R27+WYND!R27+KNR!R27+KSRGD!R27+SHS!R27</f>
        <v>0</v>
      </c>
      <c r="S27" s="24">
        <f>TVM!S27+KLM!S27+PTA!S27+ALP!S27+KTYM!S27+IDK!S27+EKM!S27+TSR!S27+PLKD!S27+MLPM!S27+KKD!S27+WYND!S27+KNR!S27+KSRGD!S27+SHS!S27</f>
        <v>0</v>
      </c>
      <c r="T27" s="6">
        <f t="shared" si="0"/>
        <v>3957.8599999999992</v>
      </c>
      <c r="U27" s="9"/>
      <c r="V27" s="32"/>
      <c r="W27" s="1"/>
      <c r="X27" s="1"/>
      <c r="Y27" s="1"/>
      <c r="Z27" s="1"/>
    </row>
    <row r="28" spans="1:26" ht="39.75" customHeight="1">
      <c r="A28" s="171"/>
      <c r="B28" s="171"/>
      <c r="C28" s="171"/>
      <c r="D28" s="5">
        <v>23</v>
      </c>
      <c r="E28" s="5" t="s">
        <v>66</v>
      </c>
      <c r="F28" s="24">
        <f>TVM!F28+KLM!F28+PTA!F28+ALP!F28+KTYM!F28+IDK!F28+EKM!F28+TSR!F28+PLKD!F28+MLPM!F28+KKD!F28+WYND!F28+KNR!F28+KSRGD!F28+SHS!F28</f>
        <v>0</v>
      </c>
      <c r="G28" s="24">
        <f>TVM!G28+KLM!G28+PTA!G28+ALP!G28+KTYM!G28+IDK!G28+EKM!G28+TSR!G28+PLKD!G28+MLPM!G28+KKD!G28+WYND!G28+KNR!G28+KSRGD!G28+SHS!G28</f>
        <v>0</v>
      </c>
      <c r="H28" s="24">
        <f>TVM!H28+KLM!H28+PTA!H28+ALP!H28+KTYM!H28+IDK!H28+EKM!H28+TSR!H28+PLKD!H28+MLPM!H28+KKD!H28+WYND!H28+KNR!H28+KSRGD!H28+SHS!H28</f>
        <v>0</v>
      </c>
      <c r="I28" s="24">
        <f>TVM!I28+KLM!I28+PTA!I28+ALP!I28+KTYM!I28+IDK!I28+EKM!I28+TSR!I28+PLKD!I28+MLPM!I28+KKD!I28+WYND!I28+KNR!I28+KSRGD!I28+SHS!I28</f>
        <v>0</v>
      </c>
      <c r="J28" s="24">
        <f>TVM!J28+KLM!J28+PTA!J28+ALP!J28+KTYM!J28+IDK!J28+EKM!J28+TSR!J28+PLKD!J28+MLPM!J28+KKD!J28+WYND!J28+KNR!J28+KSRGD!J28+SHS!J28</f>
        <v>0</v>
      </c>
      <c r="K28" s="27">
        <f>TVM!K28+KLM!K28+PTA!K28+ALP!K28+KTYM!K28+IDK!K28+EKM!K28+TSR!K28+PLKD!K28+MLPM!K28+KKD!K28+WYND!K28+KNR!K28+KSRGD!K28+SHS!K28</f>
        <v>264.43</v>
      </c>
      <c r="L28" s="24">
        <f>TVM!L28+KLM!L28+PTA!L28+ALP!L28+KTYM!L28+IDK!L28+EKM!L28+TSR!L28+PLKD!L28+MLPM!L28+KKD!L28+WYND!L28+KNR!L28+KSRGD!L28+SHS!L28</f>
        <v>0</v>
      </c>
      <c r="M28" s="24">
        <f>TVM!M28+KLM!M28+PTA!M28+ALP!M28+KTYM!M28+IDK!M28+EKM!M28+TSR!M28+PLKD!M28+MLPM!M28+KKD!M28+WYND!M28+KNR!M28+KSRGD!M28+SHS!M28</f>
        <v>0</v>
      </c>
      <c r="N28" s="24">
        <f>TVM!N28+KLM!N28+PTA!N28+ALP!N28+KTYM!N28+IDK!N28+EKM!N28+TSR!N28+PLKD!N28+MLPM!N28+KKD!N28+WYND!N28+KNR!N28+KSRGD!N28+SHS!N28</f>
        <v>0</v>
      </c>
      <c r="O28" s="27">
        <f>TVM!O28+KLM!O28+PTA!O28+ALP!O28+KTYM!O28+IDK!O28+EKM!O28+TSR!O28+PLKD!O28+MLPM!O28+KKD!O28+WYND!O28+KNR!O28+KSRGD!O28+SHS!O28</f>
        <v>505.37124999999997</v>
      </c>
      <c r="P28" s="24">
        <f>TVM!P28+KLM!P28+PTA!P28+ALP!P28+KTYM!P28+IDK!P28+EKM!P28+TSR!P28+PLKD!P28+MLPM!P28+KKD!P28+WYND!P28+KNR!P28+KSRGD!P28+SHS!P28</f>
        <v>0</v>
      </c>
      <c r="Q28" s="31">
        <f>TVM!Q28+KLM!Q28+PTA!Q28+ALP!Q28+KTYM!Q28+IDK!Q28+EKM!Q28+TSR!Q28+PLKD!Q28+MLPM!Q28+KKD!Q28+WYND!Q28+KNR!Q28+KSRGD!Q28+SHS!Q28</f>
        <v>5.14</v>
      </c>
      <c r="R28" s="24">
        <f>TVM!R28+KLM!R28+PTA!R28+ALP!R28+KTYM!R28+IDK!R28+EKM!R28+TSR!R28+PLKD!R28+MLPM!R28+KKD!R28+WYND!R28+KNR!R28+KSRGD!R28+SHS!R28</f>
        <v>0</v>
      </c>
      <c r="S28" s="24">
        <f>TVM!S28+KLM!S28+PTA!S28+ALP!S28+KTYM!S28+IDK!S28+EKM!S28+TSR!S28+PLKD!S28+MLPM!S28+KKD!S28+WYND!S28+KNR!S28+KSRGD!S28+SHS!S28</f>
        <v>0</v>
      </c>
      <c r="T28" s="6">
        <f t="shared" si="0"/>
        <v>774.94124999999997</v>
      </c>
      <c r="U28" s="9"/>
      <c r="V28" s="32"/>
      <c r="X28" s="1"/>
      <c r="Y28" s="1"/>
      <c r="Z28" s="1"/>
    </row>
    <row r="29" spans="1:26" ht="39.75" customHeight="1">
      <c r="A29" s="171"/>
      <c r="B29" s="171"/>
      <c r="C29" s="171"/>
      <c r="D29" s="5">
        <v>24</v>
      </c>
      <c r="E29" s="5" t="s">
        <v>67</v>
      </c>
      <c r="F29" s="24">
        <f>TVM!F29+KLM!F29+PTA!F29+ALP!F29+KTYM!F29+IDK!F29+EKM!F29+TSR!F29+PLKD!F29+MLPM!F29+KKD!F29+WYND!F29+KNR!F29+KSRGD!F29+SHS!F29</f>
        <v>0</v>
      </c>
      <c r="G29" s="24">
        <f>TVM!G29+KLM!G29+PTA!G29+ALP!G29+KTYM!G29+IDK!G29+EKM!G29+TSR!G29+PLKD!G29+MLPM!G29+KKD!G29+WYND!G29+KNR!G29+KSRGD!G29+SHS!G29</f>
        <v>0</v>
      </c>
      <c r="H29" s="31">
        <f>TVM!H29+KLM!H29+PTA!H29+ALP!H29+KTYM!H29+IDK!H29+EKM!H29+TSR!H29+PLKD!H29+MLPM!H29+KKD!H29+WYND!H29+KNR!H29+KSRGD!H29+SHS!H29</f>
        <v>100.2</v>
      </c>
      <c r="I29" s="24">
        <f>TVM!I29+KLM!I29+PTA!I29+ALP!I29+KTYM!I29+IDK!I29+EKM!I29+TSR!I29+PLKD!I29+MLPM!I29+KKD!I29+WYND!I29+KNR!I29+KSRGD!I29+SHS!I29</f>
        <v>31.23</v>
      </c>
      <c r="J29" s="24">
        <f>TVM!J29+KLM!J29+PTA!J29+ALP!J29+KTYM!J29+IDK!J29+EKM!J29+TSR!J29+PLKD!J29+MLPM!J29+KKD!J29+WYND!J29+KNR!J29+KSRGD!J29+SHS!J29</f>
        <v>0</v>
      </c>
      <c r="K29" s="24">
        <f>TVM!K29+KLM!K29+PTA!K29+ALP!K29+KTYM!K29+IDK!K29+EKM!K29+TSR!K29+PLKD!K29+MLPM!K29+KKD!K29+WYND!K29+KNR!K29+KSRGD!K29+SHS!K29</f>
        <v>0</v>
      </c>
      <c r="L29" s="24">
        <f>TVM!L29+KLM!L29+PTA!L29+ALP!L29+KTYM!L29+IDK!L29+EKM!L29+TSR!L29+PLKD!L29+MLPM!L29+KKD!L29+WYND!L29+KNR!L29+KSRGD!L29+SHS!L29</f>
        <v>0</v>
      </c>
      <c r="M29" s="24">
        <f>TVM!M29+KLM!M29+PTA!M29+ALP!M29+KTYM!M29+IDK!M29+EKM!M29+TSR!M29+PLKD!M29+MLPM!M29+KKD!M29+WYND!M29+KNR!M29+KSRGD!M29+SHS!M29</f>
        <v>0</v>
      </c>
      <c r="N29" s="27">
        <f>TVM!N29+KLM!N29+PTA!N29+ALP!N29+KTYM!N29+IDK!N29+EKM!N29+TSR!N29+PLKD!N29+MLPM!N29+KKD!N29+WYND!N29+KNR!N29+KSRGD!N29+SHS!N29</f>
        <v>237.09299999999996</v>
      </c>
      <c r="O29" s="31">
        <f>TVM!O29+KLM!O29+PTA!O29+ALP!O29+KTYM!O29+IDK!O29+EKM!O29+TSR!O29+PLKD!O29+MLPM!O29+KKD!O29+WYND!O29+KNR!O29+KSRGD!O29+SHS!O29</f>
        <v>0</v>
      </c>
      <c r="P29" s="24">
        <f>TVM!P29+KLM!P29+PTA!P29+ALP!P29+KTYM!P29+IDK!P29+EKM!P29+TSR!P29+PLKD!P29+MLPM!P29+KKD!P29+WYND!P29+KNR!P29+KSRGD!P29+SHS!P29</f>
        <v>277</v>
      </c>
      <c r="Q29" s="27">
        <f>TVM!Q29+KLM!Q29+PTA!Q29+ALP!Q29+KTYM!Q29+IDK!Q29+EKM!Q29+TSR!Q29+PLKD!Q29+MLPM!Q29+KKD!Q29+WYND!Q29+KNR!Q29+KSRGD!Q29+SHS!Q29</f>
        <v>62.370000000000005</v>
      </c>
      <c r="R29" s="24">
        <f>TVM!R29+KLM!R29+PTA!R29+ALP!R29+KTYM!R29+IDK!R29+EKM!R29+TSR!R29+PLKD!R29+MLPM!R29+KKD!R29+WYND!R29+KNR!R29+KSRGD!R29+SHS!R29</f>
        <v>0</v>
      </c>
      <c r="S29" s="24">
        <f>TVM!S29+KLM!S29+PTA!S29+ALP!S29+KTYM!S29+IDK!S29+EKM!S29+TSR!S29+PLKD!S29+MLPM!S29+KKD!S29+WYND!S29+KNR!S29+KSRGD!S29+SHS!S29</f>
        <v>0</v>
      </c>
      <c r="T29" s="6">
        <f t="shared" si="0"/>
        <v>707.89299999999992</v>
      </c>
      <c r="U29" s="9"/>
      <c r="V29" s="32"/>
      <c r="W29" s="1"/>
      <c r="X29" s="1"/>
      <c r="Y29" s="1"/>
      <c r="Z29" s="1"/>
    </row>
    <row r="30" spans="1:26" ht="39.75" customHeight="1">
      <c r="A30" s="171"/>
      <c r="B30" s="171"/>
      <c r="C30" s="171"/>
      <c r="D30" s="5">
        <v>25</v>
      </c>
      <c r="E30" s="5" t="s">
        <v>69</v>
      </c>
      <c r="F30" s="24">
        <f>TVM!F30+KLM!F30+PTA!F30+ALP!F30+KTYM!F30+IDK!F30+EKM!F30+TSR!F30+PLKD!F30+MLPM!F30+KKD!F30+WYND!F30+KNR!F30+KSRGD!F30+SHS!F30</f>
        <v>0</v>
      </c>
      <c r="G30" s="24">
        <f>TVM!G30+KLM!G30+PTA!G30+ALP!G30+KTYM!G30+IDK!G30+EKM!G30+TSR!G30+PLKD!G30+MLPM!G30+KKD!G30+WYND!G30+KNR!G30+KSRGD!G30+SHS!G30</f>
        <v>0</v>
      </c>
      <c r="H30" s="24">
        <f>TVM!H30+KLM!H30+PTA!H30+ALP!H30+KTYM!H30+IDK!H30+EKM!H30+TSR!H30+PLKD!H30+MLPM!H30+KKD!H30+WYND!H30+KNR!H30+KSRGD!H30+SHS!H30</f>
        <v>0</v>
      </c>
      <c r="I30" s="24">
        <f>TVM!I30+KLM!I30+PTA!I30+ALP!I30+KTYM!I30+IDK!I30+EKM!I30+TSR!I30+PLKD!I30+MLPM!I30+KKD!I30+WYND!I30+KNR!I30+KSRGD!I30+SHS!I30</f>
        <v>0</v>
      </c>
      <c r="J30" s="24">
        <f>TVM!J30+KLM!J30+PTA!J30+ALP!J30+KTYM!J30+IDK!J30+EKM!J30+TSR!J30+PLKD!J30+MLPM!J30+KKD!J30+WYND!J30+KNR!J30+KSRGD!J30+SHS!J30</f>
        <v>0</v>
      </c>
      <c r="K30" s="24">
        <f>TVM!K30+KLM!K30+PTA!K30+ALP!K30+KTYM!K30+IDK!K30+EKM!K30+TSR!K30+PLKD!K30+MLPM!K30+KKD!K30+WYND!K30+KNR!K30+KSRGD!K30+SHS!K30</f>
        <v>0</v>
      </c>
      <c r="L30" s="24">
        <f>TVM!L30+KLM!L30+PTA!L30+ALP!L30+KTYM!L30+IDK!L30+EKM!L30+TSR!L30+PLKD!L30+MLPM!L30+KKD!L30+WYND!L30+KNR!L30+KSRGD!L30+SHS!L30</f>
        <v>0</v>
      </c>
      <c r="M30" s="24">
        <f>TVM!M30+KLM!M30+PTA!M30+ALP!M30+KTYM!M30+IDK!M30+EKM!M30+TSR!M30+PLKD!M30+MLPM!M30+KKD!M30+WYND!M30+KNR!M30+KSRGD!M30+SHS!M30</f>
        <v>0</v>
      </c>
      <c r="N30" s="27">
        <f>TVM!N30+KLM!N30+PTA!N30+ALP!N30+KTYM!N30+IDK!N30+EKM!N30+TSR!N30+PLKD!N30+MLPM!N30+KKD!N30+WYND!N30+KNR!N30+KSRGD!N30+SHS!N30</f>
        <v>14</v>
      </c>
      <c r="O30" s="24">
        <f>TVM!O30+KLM!O30+PTA!O30+ALP!O30+KTYM!O30+IDK!O30+EKM!O30+TSR!O30+PLKD!O30+MLPM!O30+KKD!O30+WYND!O30+KNR!O30+KSRGD!O30+SHS!O30</f>
        <v>0</v>
      </c>
      <c r="P30" s="24">
        <f>TVM!P30+KLM!P30+PTA!P30+ALP!P30+KTYM!P30+IDK!P30+EKM!P30+TSR!P30+PLKD!P30+MLPM!P30+KKD!P30+WYND!P30+KNR!P30+KSRGD!P30+SHS!P30</f>
        <v>0</v>
      </c>
      <c r="Q30" s="24">
        <f>TVM!Q30+KLM!Q30+PTA!Q30+ALP!Q30+KTYM!Q30+IDK!Q30+EKM!Q30+TSR!Q30+PLKD!Q30+MLPM!Q30+KKD!Q30+WYND!Q30+KNR!Q30+KSRGD!Q30+SHS!Q30</f>
        <v>0</v>
      </c>
      <c r="R30" s="24">
        <f>TVM!R30+KLM!R30+PTA!R30+ALP!R30+KTYM!R30+IDK!R30+EKM!R30+TSR!R30+PLKD!R30+MLPM!R30+KKD!R30+WYND!R30+KNR!R30+KSRGD!R30+SHS!R30</f>
        <v>0</v>
      </c>
      <c r="S30" s="24">
        <f>TVM!S30+KLM!S30+PTA!S30+ALP!S30+KTYM!S30+IDK!S30+EKM!S30+TSR!S30+PLKD!S30+MLPM!S30+KKD!S30+WYND!S30+KNR!S30+KSRGD!S30+SHS!S30</f>
        <v>0</v>
      </c>
      <c r="T30" s="6">
        <f t="shared" si="0"/>
        <v>14</v>
      </c>
      <c r="U30" s="9"/>
      <c r="V30" s="32"/>
      <c r="W30" s="1"/>
      <c r="X30" s="1"/>
      <c r="Y30" s="1"/>
      <c r="Z30" s="1"/>
    </row>
    <row r="31" spans="1:26" ht="39.75" customHeight="1">
      <c r="A31" s="171"/>
      <c r="B31" s="171"/>
      <c r="C31" s="171"/>
      <c r="D31" s="5">
        <v>26</v>
      </c>
      <c r="E31" s="5" t="s">
        <v>70</v>
      </c>
      <c r="F31" s="24">
        <f>TVM!F31+KLM!F31+PTA!F31+ALP!F31+KTYM!F31+IDK!F31+EKM!F31+TSR!F31+PLKD!F31+MLPM!F31+KKD!F31+WYND!F31+KNR!F31+KSRGD!F31+SHS!F31</f>
        <v>0</v>
      </c>
      <c r="G31" s="24">
        <f>TVM!G31+KLM!G31+PTA!G31+ALP!G31+KTYM!G31+IDK!G31+EKM!G31+TSR!G31+PLKD!G31+MLPM!G31+KKD!G31+WYND!G31+KNR!G31+KSRGD!G31+SHS!G31</f>
        <v>0</v>
      </c>
      <c r="H31" s="24">
        <f>TVM!H31+KLM!H31+PTA!H31+ALP!H31+KTYM!H31+IDK!H31+EKM!H31+TSR!H31+PLKD!H31+MLPM!H31+KKD!H31+WYND!H31+KNR!H31+KSRGD!H31+SHS!H31</f>
        <v>0</v>
      </c>
      <c r="I31" s="27">
        <f>TVM!I31+KLM!I31+PTA!I31+ALP!I31+KTYM!I31+IDK!I31+EKM!I31+TSR!I31+PLKD!I31+MLPM!I31+KKD!I31+WYND!I31+KNR!I31+KSRGD!I31+SHS!I31</f>
        <v>0</v>
      </c>
      <c r="J31" s="24">
        <f>TVM!J31+KLM!J31+PTA!J31+ALP!J31+KTYM!J31+IDK!J31+EKM!J31+TSR!J31+PLKD!J31+MLPM!J31+KKD!J31+WYND!J31+KNR!J31+KSRGD!J31+SHS!J31</f>
        <v>0</v>
      </c>
      <c r="K31" s="24">
        <f>TVM!K31+KLM!K31+PTA!K31+ALP!K31+KTYM!K31+IDK!K31+EKM!K31+TSR!K31+PLKD!K31+MLPM!K31+KKD!K31+WYND!K31+KNR!K31+KSRGD!K31+SHS!K31</f>
        <v>0</v>
      </c>
      <c r="L31" s="24">
        <f>TVM!L31+KLM!L31+PTA!L31+ALP!L31+KTYM!L31+IDK!L31+EKM!L31+TSR!L31+PLKD!L31+MLPM!L31+KKD!L31+WYND!L31+KNR!L31+KSRGD!L31+SHS!L31</f>
        <v>0</v>
      </c>
      <c r="M31" s="24">
        <f>TVM!M31+KLM!M31+PTA!M31+ALP!M31+KTYM!M31+IDK!M31+EKM!M31+TSR!M31+PLKD!M31+MLPM!M31+KKD!M31+WYND!M31+KNR!M31+KSRGD!M31+SHS!M31</f>
        <v>0</v>
      </c>
      <c r="N31" s="27">
        <f>TVM!N31+KLM!N31+PTA!N31+ALP!N31+KTYM!N31+IDK!N31+EKM!N31+TSR!N31+PLKD!N31+MLPM!N31+KKD!N31+WYND!N31+KNR!N31+KSRGD!N31+SHS!N31</f>
        <v>50.8</v>
      </c>
      <c r="O31" s="24">
        <f>TVM!O31+KLM!O31+PTA!O31+ALP!O31+KTYM!O31+IDK!O31+EKM!O31+TSR!O31+PLKD!O31+MLPM!O31+KKD!O31+WYND!O31+KNR!O31+KSRGD!O31+SHS!O31</f>
        <v>0</v>
      </c>
      <c r="P31" s="24">
        <f>TVM!P31+KLM!P31+PTA!P31+ALP!P31+KTYM!P31+IDK!P31+EKM!P31+TSR!P31+PLKD!P31+MLPM!P31+KKD!P31+WYND!P31+KNR!P31+KSRGD!P31+SHS!P31</f>
        <v>0</v>
      </c>
      <c r="Q31" s="27">
        <f>TVM!Q31+KLM!Q31+PTA!Q31+ALP!Q31+KTYM!Q31+IDK!Q31+EKM!Q31+TSR!Q31+PLKD!Q31+MLPM!Q31+KKD!Q31+WYND!Q31+KNR!Q31+KSRGD!Q31+SHS!Q31</f>
        <v>54.5</v>
      </c>
      <c r="R31" s="31">
        <f>TVM!R31+KLM!R31+PTA!R31+ALP!R31+KTYM!R31+IDK!R31+EKM!R31+TSR!R31+PLKD!R31+MLPM!R31+KKD!R31+WYND!R31+KNR!R31+KSRGD!R31+SHS!R31</f>
        <v>3</v>
      </c>
      <c r="S31" s="24">
        <f>TVM!S31+KLM!S31+PTA!S31+ALP!S31+KTYM!S31+IDK!S31+EKM!S31+TSR!S31+PLKD!S31+MLPM!S31+KKD!S31+WYND!S31+KNR!S31+KSRGD!S31+SHS!S31</f>
        <v>0</v>
      </c>
      <c r="T31" s="6">
        <f t="shared" si="0"/>
        <v>108.3</v>
      </c>
      <c r="U31" s="9"/>
      <c r="V31" s="32"/>
      <c r="W31" s="1"/>
      <c r="X31" s="1"/>
      <c r="Y31" s="1"/>
      <c r="Z31" s="1"/>
    </row>
    <row r="32" spans="1:26" ht="39.75" customHeight="1">
      <c r="A32" s="171"/>
      <c r="B32" s="171"/>
      <c r="C32" s="171"/>
      <c r="D32" s="5">
        <v>27</v>
      </c>
      <c r="E32" s="5" t="s">
        <v>72</v>
      </c>
      <c r="F32" s="24">
        <f>TVM!F32+KLM!F32+PTA!F32+ALP!F32+KTYM!F32+IDK!F32+EKM!F32+TSR!F32+PLKD!F32+MLPM!F32+KKD!F32+WYND!F32+KNR!F32+KSRGD!F32+SHS!F32</f>
        <v>0</v>
      </c>
      <c r="G32" s="24">
        <f>TVM!G32+KLM!G32+PTA!G32+ALP!G32+KTYM!G32+IDK!G32+EKM!G32+TSR!G32+PLKD!G32+MLPM!G32+KKD!G32+WYND!G32+KNR!G32+KSRGD!G32+SHS!G32</f>
        <v>0</v>
      </c>
      <c r="H32" s="31">
        <f>TVM!H32+KLM!H32+PTA!H32+ALP!H32+KTYM!H32+IDK!H32+EKM!H32+TSR!H32+PLKD!H32+MLPM!H32+KKD!H32+WYND!H32+KNR!H32+KSRGD!H32+SHS!H32</f>
        <v>0</v>
      </c>
      <c r="I32" s="27">
        <f>TVM!I32+KLM!I32+PTA!I32+ALP!I32+KTYM!I32+IDK!I32+EKM!I32+TSR!I32+PLKD!I32+MLPM!I32+KKD!I32+WYND!I32+KNR!I32+KSRGD!I32+SHS!I32</f>
        <v>317.85000000000002</v>
      </c>
      <c r="J32" s="24">
        <f>TVM!J32+KLM!J32+PTA!J32+ALP!J32+KTYM!J32+IDK!J32+EKM!J32+TSR!J32+PLKD!J32+MLPM!J32+KKD!J32+WYND!J32+KNR!J32+KSRGD!J32+SHS!J32</f>
        <v>0</v>
      </c>
      <c r="K32" s="24">
        <f>TVM!K32+KLM!K32+PTA!K32+ALP!K32+KTYM!K32+IDK!K32+EKM!K32+TSR!K32+PLKD!K32+MLPM!K32+KKD!K32+WYND!K32+KNR!K32+KSRGD!K32+SHS!K32</f>
        <v>0</v>
      </c>
      <c r="L32" s="24">
        <f>TVM!L32+KLM!L32+PTA!L32+ALP!L32+KTYM!L32+IDK!L32+EKM!L32+TSR!L32+PLKD!L32+MLPM!L32+KKD!L32+WYND!L32+KNR!L32+KSRGD!L32+SHS!L32</f>
        <v>0</v>
      </c>
      <c r="M32" s="24">
        <f>TVM!M32+KLM!M32+PTA!M32+ALP!M32+KTYM!M32+IDK!M32+EKM!M32+TSR!M32+PLKD!M32+MLPM!M32+KKD!M32+WYND!M32+KNR!M32+KSRGD!M32+SHS!M32</f>
        <v>0</v>
      </c>
      <c r="N32" s="27">
        <f>TVM!N32+KLM!N32+PTA!N32+ALP!N32+KTYM!N32+IDK!N32+EKM!N32+TSR!N32+PLKD!N32+MLPM!N32+KKD!N32+WYND!N32+KNR!N32+KSRGD!N32+SHS!N32</f>
        <v>0</v>
      </c>
      <c r="O32" s="31">
        <f>TVM!O32+KLM!O32+PTA!O32+ALP!O32+KTYM!O32+IDK!O32+EKM!O32+TSR!O32+PLKD!O32+MLPM!O32+KKD!O32+WYND!O32+KNR!O32+KSRGD!O32+SHS!O32</f>
        <v>0</v>
      </c>
      <c r="P32" s="31">
        <f>TVM!P32+KLM!P32+PTA!P32+ALP!P32+KTYM!P32+IDK!P32+EKM!P32+TSR!P32+PLKD!P32+MLPM!P32+KKD!P32+WYND!P32+KNR!P32+KSRGD!P32+SHS!P32</f>
        <v>145</v>
      </c>
      <c r="Q32" s="24">
        <f>TVM!Q32+KLM!Q32+PTA!Q32+ALP!Q32+KTYM!Q32+IDK!Q32+EKM!Q32+TSR!Q32+PLKD!Q32+MLPM!Q32+KKD!Q32+WYND!Q32+KNR!Q32+KSRGD!Q32+SHS!Q32</f>
        <v>0</v>
      </c>
      <c r="R32" s="24">
        <f>TVM!R32+KLM!R32+PTA!R32+ALP!R32+KTYM!R32+IDK!R32+EKM!R32+TSR!R32+PLKD!R32+MLPM!R32+KKD!R32+WYND!R32+KNR!R32+KSRGD!R32+SHS!R32</f>
        <v>0</v>
      </c>
      <c r="S32" s="24">
        <f>TVM!S32+KLM!S32+PTA!S32+ALP!S32+KTYM!S32+IDK!S32+EKM!S32+TSR!S32+PLKD!S32+MLPM!S32+KKD!S32+WYND!S32+KNR!S32+KSRGD!S32+SHS!S32</f>
        <v>0</v>
      </c>
      <c r="T32" s="6">
        <f t="shared" si="0"/>
        <v>462.85</v>
      </c>
      <c r="U32" s="9"/>
      <c r="V32" s="32"/>
      <c r="W32" s="1"/>
      <c r="X32" s="1"/>
      <c r="Y32" s="1"/>
      <c r="Z32" s="1"/>
    </row>
    <row r="33" spans="1:26" ht="39.75" customHeight="1">
      <c r="A33" s="171"/>
      <c r="B33" s="171"/>
      <c r="C33" s="171"/>
      <c r="D33" s="5">
        <v>28</v>
      </c>
      <c r="E33" s="5" t="s">
        <v>31</v>
      </c>
      <c r="F33" s="24">
        <f>TVM!F33+KLM!F33+PTA!F33+ALP!F33+KTYM!F33+IDK!F33+EKM!F33+TSR!F33+PLKD!F33+MLPM!F33+KKD!F33+WYND!F33+KNR!F33+KSRGD!F33+SHS!F33</f>
        <v>0</v>
      </c>
      <c r="G33" s="24">
        <f>TVM!G33+KLM!G33+PTA!G33+ALP!G33+KTYM!G33+IDK!G33+EKM!G33+TSR!G33+PLKD!G33+MLPM!G33+KKD!G33+WYND!G33+KNR!G33+KSRGD!G33+SHS!G33</f>
        <v>0</v>
      </c>
      <c r="H33" s="24">
        <f>TVM!H33+KLM!H33+PTA!H33+ALP!H33+KTYM!H33+IDK!H33+EKM!H33+TSR!H33+PLKD!H33+MLPM!H33+KKD!H33+WYND!H33+KNR!H33+KSRGD!H33+SHS!H33</f>
        <v>0</v>
      </c>
      <c r="I33" s="24">
        <f>TVM!I33+KLM!I33+PTA!I33+ALP!I33+KTYM!I33+IDK!I33+EKM!I33+TSR!I33+PLKD!I33+MLPM!I33+KKD!I33+WYND!I33+KNR!I33+KSRGD!I33+SHS!I33</f>
        <v>0</v>
      </c>
      <c r="J33" s="24">
        <f>TVM!J33+KLM!J33+PTA!J33+ALP!J33+KTYM!J33+IDK!J33+EKM!J33+TSR!J33+PLKD!J33+MLPM!J33+KKD!J33+WYND!J33+KNR!J33+KSRGD!J33+SHS!J33</f>
        <v>0</v>
      </c>
      <c r="K33" s="27">
        <f>TVM!K33+KLM!K33+PTA!K33+ALP!K33+KTYM!K33+IDK!K33+EKM!K33+TSR!K33+PLKD!K33+MLPM!K33+KKD!K33+WYND!K33+KNR!K33+KSRGD!K33+SHS!K33</f>
        <v>40.211999999999996</v>
      </c>
      <c r="L33" s="24">
        <f>TVM!L33+KLM!L33+PTA!L33+ALP!L33+KTYM!L33+IDK!L33+EKM!L33+TSR!L33+PLKD!L33+MLPM!L33+KKD!L33+WYND!L33+KNR!L33+KSRGD!L33+SHS!L33</f>
        <v>0</v>
      </c>
      <c r="M33" s="27">
        <f>TVM!M33+KLM!M33+PTA!M33+ALP!M33+KTYM!M33+IDK!M33+EKM!M33+TSR!M33+PLKD!M33+MLPM!M33+KKD!M33+WYND!M33+KNR!M33+KSRGD!M33+SHS!M33</f>
        <v>40.211999999999996</v>
      </c>
      <c r="N33" s="24">
        <f>TVM!N33+KLM!N33+PTA!N33+ALP!N33+KTYM!N33+IDK!N33+EKM!N33+TSR!N33+PLKD!N33+MLPM!N33+KKD!N33+WYND!N33+KNR!N33+KSRGD!N33+SHS!N33</f>
        <v>0</v>
      </c>
      <c r="O33" s="24">
        <f>TVM!O33+KLM!O33+PTA!O33+ALP!O33+KTYM!O33+IDK!O33+EKM!O33+TSR!O33+PLKD!O33+MLPM!O33+KKD!O33+WYND!O33+KNR!O33+KSRGD!O33+SHS!O33</f>
        <v>0</v>
      </c>
      <c r="P33" s="24">
        <f>TVM!P33+KLM!P33+PTA!P33+ALP!P33+KTYM!P33+IDK!P33+EKM!P33+TSR!P33+PLKD!P33+MLPM!P33+KKD!P33+WYND!P33+KNR!P33+KSRGD!P33+SHS!P33</f>
        <v>0</v>
      </c>
      <c r="Q33" s="24">
        <f>TVM!Q33+KLM!Q33+PTA!Q33+ALP!Q33+KTYM!Q33+IDK!Q33+EKM!Q33+TSR!Q33+PLKD!Q33+MLPM!Q33+KKD!Q33+WYND!Q33+KNR!Q33+KSRGD!Q33+SHS!Q33</f>
        <v>0</v>
      </c>
      <c r="R33" s="24">
        <f>TVM!R33+KLM!R33+PTA!R33+ALP!R33+KTYM!R33+IDK!R33+EKM!R33+TSR!R33+PLKD!R33+MLPM!R33+KKD!R33+WYND!R33+KNR!R33+KSRGD!R33+SHS!R33</f>
        <v>0</v>
      </c>
      <c r="S33" s="24">
        <f>TVM!S33+KLM!S33+PTA!S33+ALP!S33+KTYM!S33+IDK!S33+EKM!S33+TSR!S33+PLKD!S33+MLPM!S33+KKD!S33+WYND!S33+KNR!S33+KSRGD!S33+SHS!S33</f>
        <v>0</v>
      </c>
      <c r="T33" s="6">
        <f t="shared" si="0"/>
        <v>80.423999999999992</v>
      </c>
      <c r="U33" s="9"/>
      <c r="V33" s="32"/>
      <c r="W33" s="1"/>
      <c r="X33" s="1"/>
      <c r="Y33" s="1"/>
      <c r="Z33" s="1"/>
    </row>
    <row r="34" spans="1:26" ht="39.75" customHeight="1">
      <c r="A34" s="171"/>
      <c r="B34" s="171"/>
      <c r="C34" s="171"/>
      <c r="D34" s="5">
        <v>29</v>
      </c>
      <c r="E34" s="5" t="s">
        <v>33</v>
      </c>
      <c r="F34" s="24">
        <f>TVM!F34+KLM!F34+PTA!F34+ALP!F34+KTYM!F34+IDK!F34+EKM!F34+TSR!F34+PLKD!F34+MLPM!F34+KKD!F34+WYND!F34+KNR!F34+KSRGD!F34+SHS!F34</f>
        <v>0</v>
      </c>
      <c r="G34" s="24">
        <f>TVM!G34+KLM!G34+PTA!G34+ALP!G34+KTYM!G34+IDK!G34+EKM!G34+TSR!G34+PLKD!G34+MLPM!G34+KKD!G34+WYND!G34+KNR!G34+KSRGD!G34+SHS!G34</f>
        <v>0</v>
      </c>
      <c r="H34" s="24">
        <f>TVM!H34+KLM!H34+PTA!H34+ALP!H34+KTYM!H34+IDK!H34+EKM!H34+TSR!H34+PLKD!H34+MLPM!H34+KKD!H34+WYND!H34+KNR!H34+KSRGD!H34+SHS!H34</f>
        <v>0</v>
      </c>
      <c r="I34" s="24">
        <f>TVM!I34+KLM!I34+PTA!I34+ALP!I34+KTYM!I34+IDK!I34+EKM!I34+TSR!I34+PLKD!I34+MLPM!I34+KKD!I34+WYND!I34+KNR!I34+KSRGD!I34+SHS!I34</f>
        <v>0</v>
      </c>
      <c r="J34" s="24">
        <f>TVM!J34+KLM!J34+PTA!J34+ALP!J34+KTYM!J34+IDK!J34+EKM!J34+TSR!J34+PLKD!J34+MLPM!J34+KKD!J34+WYND!J34+KNR!J34+KSRGD!J34+SHS!J34</f>
        <v>0</v>
      </c>
      <c r="K34" s="24">
        <f>TVM!K34+KLM!K34+PTA!K34+ALP!K34+KTYM!K34+IDK!K34+EKM!K34+TSR!K34+PLKD!K34+MLPM!K34+KKD!K34+WYND!K34+KNR!K34+KSRGD!K34+SHS!K34</f>
        <v>0</v>
      </c>
      <c r="L34" s="24">
        <f>TVM!L34+KLM!L34+PTA!L34+ALP!L34+KTYM!L34+IDK!L34+EKM!L34+TSR!L34+PLKD!L34+MLPM!L34+KKD!L34+WYND!L34+KNR!L34+KSRGD!L34+SHS!L34</f>
        <v>0</v>
      </c>
      <c r="M34" s="24">
        <f>TVM!M34+KLM!M34+PTA!M34+ALP!M34+KTYM!M34+IDK!M34+EKM!M34+TSR!M34+PLKD!M34+MLPM!M34+KKD!M34+WYND!M34+KNR!M34+KSRGD!M34+SHS!M34</f>
        <v>0</v>
      </c>
      <c r="N34" s="24">
        <f>TVM!N34+KLM!N34+PTA!N34+ALP!N34+KTYM!N34+IDK!N34+EKM!N34+TSR!N34+PLKD!N34+MLPM!N34+KKD!N34+WYND!N34+KNR!N34+KSRGD!N34+SHS!N34</f>
        <v>0</v>
      </c>
      <c r="O34" s="24">
        <f>TVM!O34+KLM!O34+PTA!O34+ALP!O34+KTYM!O34+IDK!O34+EKM!O34+TSR!O34+PLKD!O34+MLPM!O34+KKD!O34+WYND!O34+KNR!O34+KSRGD!O34+SHS!O34</f>
        <v>0</v>
      </c>
      <c r="P34" s="27">
        <f>TVM!P34+KLM!P34+PTA!P34+ALP!P34+KTYM!P34+IDK!P34+EKM!P34+TSR!P34+PLKD!P34+MLPM!P34+KKD!P34+WYND!P34+KNR!P34+KSRGD!P34+SHS!P34</f>
        <v>100.53</v>
      </c>
      <c r="Q34" s="24">
        <f>TVM!Q34+KLM!Q34+PTA!Q34+ALP!Q34+KTYM!Q34+IDK!Q34+EKM!Q34+TSR!Q34+PLKD!Q34+MLPM!Q34+KKD!Q34+WYND!Q34+KNR!Q34+KSRGD!Q34+SHS!Q34</f>
        <v>0</v>
      </c>
      <c r="R34" s="24">
        <f>TVM!R34+KLM!R34+PTA!R34+ALP!R34+KTYM!R34+IDK!R34+EKM!R34+TSR!R34+PLKD!R34+MLPM!R34+KKD!R34+WYND!R34+KNR!R34+KSRGD!R34+SHS!R34</f>
        <v>0</v>
      </c>
      <c r="S34" s="24">
        <f>TVM!S34+KLM!S34+PTA!S34+ALP!S34+KTYM!S34+IDK!S34+EKM!S34+TSR!S34+PLKD!S34+MLPM!S34+KKD!S34+WYND!S34+KNR!S34+KSRGD!S34+SHS!S34</f>
        <v>0</v>
      </c>
      <c r="T34" s="6">
        <f t="shared" si="0"/>
        <v>100.53</v>
      </c>
      <c r="U34" s="9"/>
      <c r="V34" s="32"/>
      <c r="W34" s="1"/>
      <c r="X34" s="1"/>
      <c r="Y34" s="1"/>
      <c r="Z34" s="1"/>
    </row>
    <row r="35" spans="1:26" ht="39.75" customHeight="1">
      <c r="A35" s="171"/>
      <c r="B35" s="171"/>
      <c r="C35" s="171"/>
      <c r="D35" s="5">
        <v>30</v>
      </c>
      <c r="E35" s="5" t="s">
        <v>73</v>
      </c>
      <c r="F35" s="24">
        <f>TVM!F35+KLM!F35+PTA!F35+ALP!F35+KTYM!F35+IDK!F35+EKM!F35+TSR!F35+PLKD!F35+MLPM!F35+KKD!F35+WYND!F35+KNR!F35+KSRGD!F35+SHS!F35</f>
        <v>0</v>
      </c>
      <c r="G35" s="24">
        <f>TVM!G35+KLM!G35+PTA!G35+ALP!G35+KTYM!G35+IDK!G35+EKM!G35+TSR!G35+PLKD!G35+MLPM!G35+KKD!G35+WYND!G35+KNR!G35+KSRGD!G35+SHS!G35</f>
        <v>0</v>
      </c>
      <c r="H35" s="24">
        <f>TVM!H35+KLM!H35+PTA!H35+ALP!H35+KTYM!H35+IDK!H35+EKM!H35+TSR!H35+PLKD!H35+MLPM!H35+KKD!H35+WYND!H35+KNR!H35+KSRGD!H35+SHS!H35</f>
        <v>0</v>
      </c>
      <c r="I35" s="27">
        <f>TVM!I35+KLM!I35+PTA!I35+ALP!I35+KTYM!I35+IDK!I35+EKM!I35+TSR!I35+PLKD!I35+MLPM!I35+KKD!I35+WYND!I35+KNR!I35+KSRGD!I35+SHS!I35</f>
        <v>0</v>
      </c>
      <c r="J35" s="24">
        <f>TVM!J35+KLM!J35+PTA!J35+ALP!J35+KTYM!J35+IDK!J35+EKM!J35+TSR!J35+PLKD!J35+MLPM!J35+KKD!J35+WYND!J35+KNR!J35+KSRGD!J35+SHS!J35</f>
        <v>0</v>
      </c>
      <c r="K35" s="24">
        <f>TVM!K35+KLM!K35+PTA!K35+ALP!K35+KTYM!K35+IDK!K35+EKM!K35+TSR!K35+PLKD!K35+MLPM!K35+KKD!K35+WYND!K35+KNR!K35+KSRGD!K35+SHS!K35</f>
        <v>0</v>
      </c>
      <c r="L35" s="24">
        <f>TVM!L35+KLM!L35+PTA!L35+ALP!L35+KTYM!L35+IDK!L35+EKM!L35+TSR!L35+PLKD!L35+MLPM!L35+KKD!L35+WYND!L35+KNR!L35+KSRGD!L35+SHS!L35</f>
        <v>0</v>
      </c>
      <c r="M35" s="24">
        <f>TVM!M35+KLM!M35+PTA!M35+ALP!M35+KTYM!M35+IDK!M35+EKM!M35+TSR!M35+PLKD!M35+MLPM!M35+KKD!M35+WYND!M35+KNR!M35+KSRGD!M35+SHS!M35</f>
        <v>0</v>
      </c>
      <c r="N35" s="24">
        <f>TVM!N35+KLM!N35+PTA!N35+ALP!N35+KTYM!N35+IDK!N35+EKM!N35+TSR!N35+PLKD!N35+MLPM!N35+KKD!N35+WYND!N35+KNR!N35+KSRGD!N35+SHS!N35</f>
        <v>0</v>
      </c>
      <c r="O35" s="24">
        <f>TVM!O35+KLM!O35+PTA!O35+ALP!O35+KTYM!O35+IDK!O35+EKM!O35+TSR!O35+PLKD!O35+MLPM!O35+KKD!O35+WYND!O35+KNR!O35+KSRGD!O35+SHS!O35</f>
        <v>0</v>
      </c>
      <c r="P35" s="24">
        <f>TVM!P35+KLM!P35+PTA!P35+ALP!P35+KTYM!P35+IDK!P35+EKM!P35+TSR!P35+PLKD!P35+MLPM!P35+KKD!P35+WYND!P35+KNR!P35+KSRGD!P35+SHS!P35</f>
        <v>0</v>
      </c>
      <c r="Q35" s="27">
        <f>TVM!Q35+KLM!Q35+PTA!Q35+ALP!Q35+KTYM!Q35+IDK!Q35+EKM!Q35+TSR!Q35+PLKD!Q35+MLPM!Q35+KKD!Q35+WYND!Q35+KNR!Q35+KSRGD!Q35+SHS!Q35</f>
        <v>113.31</v>
      </c>
      <c r="R35" s="31">
        <f>TVM!R35+KLM!R35+PTA!R35+ALP!R35+KTYM!R35+IDK!R35+EKM!R35+TSR!R35+PLKD!R35+MLPM!R35+KKD!R35+WYND!R35+KNR!R35+KSRGD!R35+SHS!R35</f>
        <v>23.950000000000003</v>
      </c>
      <c r="S35" s="24">
        <f>TVM!S35+KLM!S35+PTA!S35+ALP!S35+KTYM!S35+IDK!S35+EKM!S35+TSR!S35+PLKD!S35+MLPM!S35+KKD!S35+WYND!S35+KNR!S35+KSRGD!S35+SHS!S35</f>
        <v>0</v>
      </c>
      <c r="T35" s="6">
        <f t="shared" si="0"/>
        <v>137.26</v>
      </c>
      <c r="U35" s="9"/>
      <c r="V35" s="32"/>
      <c r="W35" s="1"/>
      <c r="X35" s="1"/>
      <c r="Y35" s="1"/>
      <c r="Z35" s="1"/>
    </row>
    <row r="36" spans="1:26" ht="39.75" customHeight="1">
      <c r="A36" s="171"/>
      <c r="B36" s="169"/>
      <c r="C36" s="169"/>
      <c r="D36" s="5">
        <v>31</v>
      </c>
      <c r="E36" s="5" t="s">
        <v>54</v>
      </c>
      <c r="F36" s="24">
        <f>TVM!F36+KLM!F36+PTA!F36+ALP!F36+KTYM!F36+IDK!F36+EKM!F36+TSR!F36+PLKD!F36+MLPM!F36+KKD!F36+WYND!F36+KNR!F36+KSRGD!F36+SHS!F36</f>
        <v>0</v>
      </c>
      <c r="G36" s="24">
        <f>TVM!G36+KLM!G36+PTA!G36+ALP!G36+KTYM!G36+IDK!G36+EKM!G36+TSR!G36+PLKD!G36+MLPM!G36+KKD!G36+WYND!G36+KNR!G36+KSRGD!G36+SHS!G36</f>
        <v>0</v>
      </c>
      <c r="H36" s="24">
        <f>TVM!H36+KLM!H36+PTA!H36+ALP!H36+KTYM!H36+IDK!H36+EKM!H36+TSR!H36+PLKD!H36+MLPM!H36+KKD!H36+WYND!H36+KNR!H36+KSRGD!H36+SHS!H36</f>
        <v>0</v>
      </c>
      <c r="I36" s="24">
        <f>TVM!I36+KLM!I36+PTA!I36+ALP!I36+KTYM!I36+IDK!I36+EKM!I36+TSR!I36+PLKD!I36+MLPM!I36+KKD!I36+WYND!I36+KNR!I36+KSRGD!I36+SHS!I36</f>
        <v>0</v>
      </c>
      <c r="J36" s="24">
        <f>TVM!J36+KLM!J36+PTA!J36+ALP!J36+KTYM!J36+IDK!J36+EKM!J36+TSR!J36+PLKD!J36+MLPM!J36+KKD!J36+WYND!J36+KNR!J36+KSRGD!J36+SHS!J36</f>
        <v>0</v>
      </c>
      <c r="K36" s="24">
        <f>TVM!K36+KLM!K36+PTA!K36+ALP!K36+KTYM!K36+IDK!K36+EKM!K36+TSR!K36+PLKD!K36+MLPM!K36+KKD!K36+WYND!K36+KNR!K36+KSRGD!K36+SHS!K36</f>
        <v>0</v>
      </c>
      <c r="L36" s="24">
        <f>TVM!L36+KLM!L36+PTA!L36+ALP!L36+KTYM!L36+IDK!L36+EKM!L36+TSR!L36+PLKD!L36+MLPM!L36+KKD!L36+WYND!L36+KNR!L36+KSRGD!L36+SHS!L36</f>
        <v>0</v>
      </c>
      <c r="M36" s="24">
        <f>TVM!M36+KLM!M36+PTA!M36+ALP!M36+KTYM!M36+IDK!M36+EKM!M36+TSR!M36+PLKD!M36+MLPM!M36+KKD!M36+WYND!M36+KNR!M36+KSRGD!M36+SHS!M36</f>
        <v>0</v>
      </c>
      <c r="N36" s="24">
        <f>TVM!N36+KLM!N36+PTA!N36+ALP!N36+KTYM!N36+IDK!N36+EKM!N36+TSR!N36+PLKD!N36+MLPM!N36+KKD!N36+WYND!N36+KNR!N36+KSRGD!N36+SHS!N36</f>
        <v>0</v>
      </c>
      <c r="O36" s="24">
        <f>TVM!O36+KLM!O36+PTA!O36+ALP!O36+KTYM!O36+IDK!O36+EKM!O36+TSR!O36+PLKD!O36+MLPM!O36+KKD!O36+WYND!O36+KNR!O36+KSRGD!O36+SHS!O36</f>
        <v>0</v>
      </c>
      <c r="P36" s="24">
        <f>TVM!P36+KLM!P36+PTA!P36+ALP!P36+KTYM!P36+IDK!P36+EKM!P36+TSR!P36+PLKD!P36+MLPM!P36+KKD!P36+WYND!P36+KNR!P36+KSRGD!P36+SHS!P36</f>
        <v>0</v>
      </c>
      <c r="Q36" s="24">
        <f>TVM!Q36+KLM!Q36+PTA!Q36+ALP!Q36+KTYM!Q36+IDK!Q36+EKM!Q36+TSR!Q36+PLKD!Q36+MLPM!Q36+KKD!Q36+WYND!Q36+KNR!Q36+KSRGD!Q36+SHS!Q36</f>
        <v>0</v>
      </c>
      <c r="R36" s="24">
        <f>TVM!R36+KLM!R36+PTA!R36+ALP!R36+KTYM!R36+IDK!R36+EKM!R36+TSR!R36+PLKD!R36+MLPM!R36+KKD!R36+WYND!R36+KNR!R36+KSRGD!R36+SHS!R36</f>
        <v>0</v>
      </c>
      <c r="S36" s="24">
        <f>TVM!S36+KLM!S36+PTA!S36+ALP!S36+KTYM!S36+IDK!S36+EKM!S36+TSR!S36+PLKD!S36+MLPM!S36+KKD!S36+WYND!S36+KNR!S36+KSRGD!S36+SHS!S36</f>
        <v>0</v>
      </c>
      <c r="T36" s="6">
        <f t="shared" si="0"/>
        <v>0</v>
      </c>
      <c r="U36" s="9"/>
      <c r="V36" s="32"/>
      <c r="W36" s="1"/>
      <c r="X36" s="1"/>
      <c r="Y36" s="1"/>
      <c r="Z36" s="1"/>
    </row>
    <row r="37" spans="1:26" ht="39.75" customHeight="1">
      <c r="A37" s="171"/>
      <c r="B37" s="168" t="s">
        <v>75</v>
      </c>
      <c r="C37" s="168" t="s">
        <v>76</v>
      </c>
      <c r="D37" s="5">
        <v>32</v>
      </c>
      <c r="E37" s="5" t="s">
        <v>77</v>
      </c>
      <c r="F37" s="24">
        <f>TVM!F37+KLM!F37+PTA!F37+ALP!F37+KTYM!F37+IDK!F37+EKM!F37+TSR!F37+PLKD!F37+MLPM!F37+KKD!F37+WYND!F37+KNR!F37+KSRGD!F37+SHS!F37</f>
        <v>0</v>
      </c>
      <c r="G37" s="24">
        <f>TVM!G37+KLM!G37+PTA!G37+ALP!G37+KTYM!G37+IDK!G37+EKM!G37+TSR!G37+PLKD!G37+MLPM!G37+KKD!G37+WYND!G37+KNR!G37+KSRGD!G37+SHS!G37</f>
        <v>0</v>
      </c>
      <c r="H37" s="24">
        <f>TVM!H37+KLM!H37+PTA!H37+ALP!H37+KTYM!H37+IDK!H37+EKM!H37+TSR!H37+PLKD!H37+MLPM!H37+KKD!H37+WYND!H37+KNR!H37+KSRGD!H37+SHS!H37</f>
        <v>0</v>
      </c>
      <c r="I37" s="27">
        <f>TVM!I37+KLM!I37+PTA!I37+ALP!I37+KTYM!I37+IDK!I37+EKM!I37+TSR!I37+PLKD!I37+MLPM!I37+KKD!I37+WYND!I37+KNR!I37+KSRGD!I37+SHS!I37</f>
        <v>16.87</v>
      </c>
      <c r="J37" s="24">
        <f>TVM!J37+KLM!J37+PTA!J37+ALP!J37+KTYM!J37+IDK!J37+EKM!J37+TSR!J37+PLKD!J37+MLPM!J37+KKD!J37+WYND!J37+KNR!J37+KSRGD!J37+SHS!J37</f>
        <v>0</v>
      </c>
      <c r="K37" s="24">
        <f>TVM!K37+KLM!K37+PTA!K37+ALP!K37+KTYM!K37+IDK!K37+EKM!K37+TSR!K37+PLKD!K37+MLPM!K37+KKD!K37+WYND!K37+KNR!K37+KSRGD!K37+SHS!K37</f>
        <v>0</v>
      </c>
      <c r="L37" s="24">
        <f>TVM!L37+KLM!L37+PTA!L37+ALP!L37+KTYM!L37+IDK!L37+EKM!L37+TSR!L37+PLKD!L37+MLPM!L37+KKD!L37+WYND!L37+KNR!L37+KSRGD!L37+SHS!L37</f>
        <v>0</v>
      </c>
      <c r="M37" s="27">
        <f>TVM!M37+KLM!M37+PTA!M37+ALP!M37+KTYM!M37+IDK!M37+EKM!M37+TSR!M37+PLKD!M37+MLPM!M37+KKD!M37+WYND!M37+KNR!M37+KSRGD!M37+SHS!M37</f>
        <v>0</v>
      </c>
      <c r="N37" s="27">
        <f>TVM!N37+KLM!N37+PTA!N37+ALP!N37+KTYM!N37+IDK!N37+EKM!N37+TSR!N37+PLKD!N37+MLPM!N37+KKD!N37+WYND!N37+KNR!N37+KSRGD!N37+SHS!N37</f>
        <v>31.900000000000009</v>
      </c>
      <c r="O37" s="31">
        <f>TVM!O37+KLM!O37+PTA!O37+ALP!O37+KTYM!O37+IDK!O37+EKM!O37+TSR!O37+PLKD!O37+MLPM!O37+KKD!O37+WYND!O37+KNR!O37+KSRGD!O37+SHS!O37</f>
        <v>1030.04</v>
      </c>
      <c r="P37" s="31">
        <f>TVM!P37+KLM!P37+PTA!P37+ALP!P37+KTYM!P37+IDK!P37+EKM!P37+TSR!P37+PLKD!P37+MLPM!P37+KKD!P37+WYND!P37+KNR!P37+KSRGD!P37+SHS!P37</f>
        <v>228.42000000000002</v>
      </c>
      <c r="Q37" s="27">
        <f>TVM!Q37+KLM!Q37+PTA!Q37+ALP!Q37+KTYM!Q37+IDK!Q37+EKM!Q37+TSR!Q37+PLKD!Q37+MLPM!Q37+KKD!Q37+WYND!Q37+KNR!Q37+KSRGD!Q37+SHS!Q37</f>
        <v>96.85</v>
      </c>
      <c r="R37" s="31">
        <f>TVM!R37+KLM!R37+PTA!R37+ALP!R37+KTYM!R37+IDK!R37+EKM!R37+TSR!R37+PLKD!R37+MLPM!R37+KKD!R37+WYND!R37+KNR!R37+KSRGD!R37+SHS!R37</f>
        <v>69.709999999999994</v>
      </c>
      <c r="S37" s="24">
        <f>TVM!S37+KLM!S37+PTA!S37+ALP!S37+KTYM!S37+IDK!S37+EKM!S37+TSR!S37+PLKD!S37+MLPM!S37+KKD!S37+WYND!S37+KNR!S37+KSRGD!S37+SHS!S37</f>
        <v>0</v>
      </c>
      <c r="T37" s="6">
        <f t="shared" si="0"/>
        <v>1473.79</v>
      </c>
      <c r="U37" s="9"/>
      <c r="V37" s="32"/>
      <c r="W37" s="1"/>
      <c r="X37" s="1"/>
      <c r="Y37" s="1"/>
      <c r="Z37" s="1"/>
    </row>
    <row r="38" spans="1:26" ht="39.75" customHeight="1">
      <c r="A38" s="171"/>
      <c r="B38" s="171"/>
      <c r="C38" s="171"/>
      <c r="D38" s="5">
        <v>33</v>
      </c>
      <c r="E38" s="5" t="s">
        <v>79</v>
      </c>
      <c r="F38" s="24">
        <f>TVM!F38+KLM!F38+PTA!F38+ALP!F38+KTYM!F38+IDK!F38+EKM!F38+TSR!F38+PLKD!F38+MLPM!F38+KKD!F38+WYND!F38+KNR!F38+KSRGD!F38+SHS!F38</f>
        <v>0</v>
      </c>
      <c r="G38" s="24">
        <f>TVM!G38+KLM!G38+PTA!G38+ALP!G38+KTYM!G38+IDK!G38+EKM!G38+TSR!G38+PLKD!G38+MLPM!G38+KKD!G38+WYND!G38+KNR!G38+KSRGD!G38+SHS!G38</f>
        <v>0</v>
      </c>
      <c r="H38" s="24">
        <f>TVM!H38+KLM!H38+PTA!H38+ALP!H38+KTYM!H38+IDK!H38+EKM!H38+TSR!H38+PLKD!H38+MLPM!H38+KKD!H38+WYND!H38+KNR!H38+KSRGD!H38+SHS!H38</f>
        <v>0</v>
      </c>
      <c r="I38" s="24">
        <f>TVM!I38+KLM!I38+PTA!I38+ALP!I38+KTYM!I38+IDK!I38+EKM!I38+TSR!I38+PLKD!I38+MLPM!I38+KKD!I38+WYND!I38+KNR!I38+KSRGD!I38+SHS!I38</f>
        <v>0</v>
      </c>
      <c r="J38" s="24">
        <f>TVM!J38+KLM!J38+PTA!J38+ALP!J38+KTYM!J38+IDK!J38+EKM!J38+TSR!J38+PLKD!J38+MLPM!J38+KKD!J38+WYND!J38+KNR!J38+KSRGD!J38+SHS!J38</f>
        <v>0</v>
      </c>
      <c r="K38" s="24">
        <f>TVM!K38+KLM!K38+PTA!K38+ALP!K38+KTYM!K38+IDK!K38+EKM!K38+TSR!K38+PLKD!K38+MLPM!K38+KKD!K38+WYND!K38+KNR!K38+KSRGD!K38+SHS!K38</f>
        <v>0</v>
      </c>
      <c r="L38" s="24">
        <f>TVM!L38+KLM!L38+PTA!L38+ALP!L38+KTYM!L38+IDK!L38+EKM!L38+TSR!L38+PLKD!L38+MLPM!L38+KKD!L38+WYND!L38+KNR!L38+KSRGD!L38+SHS!L38</f>
        <v>0</v>
      </c>
      <c r="M38" s="24">
        <f>TVM!M38+KLM!M38+PTA!M38+ALP!M38+KTYM!M38+IDK!M38+EKM!M38+TSR!M38+PLKD!M38+MLPM!M38+KKD!M38+WYND!M38+KNR!M38+KSRGD!M38+SHS!M38</f>
        <v>0</v>
      </c>
      <c r="N38" s="24">
        <f>TVM!N38+KLM!N38+PTA!N38+ALP!N38+KTYM!N38+IDK!N38+EKM!N38+TSR!N38+PLKD!N38+MLPM!N38+KKD!N38+WYND!N38+KNR!N38+KSRGD!N38+SHS!N38</f>
        <v>0</v>
      </c>
      <c r="O38" s="24">
        <f>TVM!O38+KLM!O38+PTA!O38+ALP!O38+KTYM!O38+IDK!O38+EKM!O38+TSR!O38+PLKD!O38+MLPM!O38+KKD!O38+WYND!O38+KNR!O38+KSRGD!O38+SHS!O38</f>
        <v>0</v>
      </c>
      <c r="P38" s="24">
        <f>TVM!P38+KLM!P38+PTA!P38+ALP!P38+KTYM!P38+IDK!P38+EKM!P38+TSR!P38+PLKD!P38+MLPM!P38+KKD!P38+WYND!P38+KNR!P38+KSRGD!P38+SHS!P38</f>
        <v>267.88</v>
      </c>
      <c r="Q38" s="24">
        <f>TVM!Q38+KLM!Q38+PTA!Q38+ALP!Q38+KTYM!Q38+IDK!Q38+EKM!Q38+TSR!Q38+PLKD!Q38+MLPM!Q38+KKD!Q38+WYND!Q38+KNR!Q38+KSRGD!Q38+SHS!Q38</f>
        <v>0</v>
      </c>
      <c r="R38" s="24">
        <f>TVM!R38+KLM!R38+PTA!R38+ALP!R38+KTYM!R38+IDK!R38+EKM!R38+TSR!R38+PLKD!R38+MLPM!R38+KKD!R38+WYND!R38+KNR!R38+KSRGD!R38+SHS!R38</f>
        <v>0</v>
      </c>
      <c r="S38" s="24">
        <f>TVM!S38+KLM!S38+PTA!S38+ALP!S38+KTYM!S38+IDK!S38+EKM!S38+TSR!S38+PLKD!S38+MLPM!S38+KKD!S38+WYND!S38+KNR!S38+KSRGD!S38+SHS!S38</f>
        <v>0</v>
      </c>
      <c r="T38" s="6">
        <f t="shared" si="0"/>
        <v>267.88</v>
      </c>
      <c r="U38" s="9"/>
      <c r="V38" s="32"/>
      <c r="W38" s="1"/>
      <c r="X38" s="1"/>
      <c r="Y38" s="1"/>
      <c r="Z38" s="1"/>
    </row>
    <row r="39" spans="1:26" ht="39.75" customHeight="1">
      <c r="A39" s="171"/>
      <c r="B39" s="169"/>
      <c r="C39" s="169"/>
      <c r="D39" s="5">
        <v>34</v>
      </c>
      <c r="E39" s="5" t="s">
        <v>80</v>
      </c>
      <c r="F39" s="24">
        <f>TVM!F39+KLM!F39+PTA!F39+ALP!F39+KTYM!F39+IDK!F39+EKM!F39+TSR!F39+PLKD!F39+MLPM!F39+KKD!F39+WYND!F39+KNR!F39+KSRGD!F39+SHS!F39</f>
        <v>0</v>
      </c>
      <c r="G39" s="24">
        <f>TVM!G39+KLM!G39+PTA!G39+ALP!G39+KTYM!G39+IDK!G39+EKM!G39+TSR!G39+PLKD!G39+MLPM!G39+KKD!G39+WYND!G39+KNR!G39+KSRGD!G39+SHS!G39</f>
        <v>0</v>
      </c>
      <c r="H39" s="24">
        <f>TVM!H39+KLM!H39+PTA!H39+ALP!H39+KTYM!H39+IDK!H39+EKM!H39+TSR!H39+PLKD!H39+MLPM!H39+KKD!H39+WYND!H39+KNR!H39+KSRGD!H39+SHS!H39</f>
        <v>0</v>
      </c>
      <c r="I39" s="24">
        <f>TVM!I39+KLM!I39+PTA!I39+ALP!I39+KTYM!I39+IDK!I39+EKM!I39+TSR!I39+PLKD!I39+MLPM!I39+KKD!I39+WYND!I39+KNR!I39+KSRGD!I39+SHS!I39</f>
        <v>0</v>
      </c>
      <c r="J39" s="24">
        <f>TVM!J39+KLM!J39+PTA!J39+ALP!J39+KTYM!J39+IDK!J39+EKM!J39+TSR!J39+PLKD!J39+MLPM!J39+KKD!J39+WYND!J39+KNR!J39+KSRGD!J39+SHS!J39</f>
        <v>0</v>
      </c>
      <c r="K39" s="24">
        <f>TVM!K39+KLM!K39+PTA!K39+ALP!K39+KTYM!K39+IDK!K39+EKM!K39+TSR!K39+PLKD!K39+MLPM!K39+KKD!K39+WYND!K39+KNR!K39+KSRGD!K39+SHS!K39</f>
        <v>0</v>
      </c>
      <c r="L39" s="24">
        <f>TVM!L39+KLM!L39+PTA!L39+ALP!L39+KTYM!L39+IDK!L39+EKM!L39+TSR!L39+PLKD!L39+MLPM!L39+KKD!L39+WYND!L39+KNR!L39+KSRGD!L39+SHS!L39</f>
        <v>0</v>
      </c>
      <c r="M39" s="24">
        <f>TVM!M39+KLM!M39+PTA!M39+ALP!M39+KTYM!M39+IDK!M39+EKM!M39+TSR!M39+PLKD!M39+MLPM!M39+KKD!M39+WYND!M39+KNR!M39+KSRGD!M39+SHS!M39</f>
        <v>0</v>
      </c>
      <c r="N39" s="27">
        <f>TVM!N39+KLM!N39+PTA!N39+ALP!N39+KTYM!N39+IDK!N39+EKM!N39+TSR!N39+PLKD!N39+MLPM!N39+KKD!N39+WYND!N39+KNR!N39+KSRGD!N39+SHS!N39</f>
        <v>15.45</v>
      </c>
      <c r="O39" s="24">
        <f>TVM!O39+KLM!O39+PTA!O39+ALP!O39+KTYM!O39+IDK!O39+EKM!O39+TSR!O39+PLKD!O39+MLPM!O39+KKD!O39+WYND!O39+KNR!O39+KSRGD!O39+SHS!O39</f>
        <v>0</v>
      </c>
      <c r="P39" s="31">
        <f>TVM!P39+KLM!P39+PTA!P39+ALP!P39+KTYM!P39+IDK!P39+EKM!P39+TSR!P39+PLKD!P39+MLPM!P39+KKD!P39+WYND!P39+KNR!P39+KSRGD!P39+SHS!P39</f>
        <v>99.76</v>
      </c>
      <c r="Q39" s="24">
        <f>TVM!Q39+KLM!Q39+PTA!Q39+ALP!Q39+KTYM!Q39+IDK!Q39+EKM!Q39+TSR!Q39+PLKD!Q39+MLPM!Q39+KKD!Q39+WYND!Q39+KNR!Q39+KSRGD!Q39+SHS!Q39</f>
        <v>0</v>
      </c>
      <c r="R39" s="24">
        <f>TVM!R39+KLM!R39+PTA!R39+ALP!R39+KTYM!R39+IDK!R39+EKM!R39+TSR!R39+PLKD!R39+MLPM!R39+KKD!R39+WYND!R39+KNR!R39+KSRGD!R39+SHS!R39</f>
        <v>0</v>
      </c>
      <c r="S39" s="24">
        <f>TVM!S39+KLM!S39+PTA!S39+ALP!S39+KTYM!S39+IDK!S39+EKM!S39+TSR!S39+PLKD!S39+MLPM!S39+KKD!S39+WYND!S39+KNR!S39+KSRGD!S39+SHS!S39</f>
        <v>0</v>
      </c>
      <c r="T39" s="6">
        <f t="shared" si="0"/>
        <v>115.21000000000001</v>
      </c>
      <c r="U39" s="9"/>
      <c r="V39" s="32"/>
      <c r="W39" s="1"/>
      <c r="X39" s="1"/>
      <c r="Y39" s="1"/>
      <c r="Z39" s="1"/>
    </row>
    <row r="40" spans="1:26" ht="39.75" customHeight="1">
      <c r="A40" s="171"/>
      <c r="B40" s="168" t="s">
        <v>81</v>
      </c>
      <c r="C40" s="168" t="s">
        <v>82</v>
      </c>
      <c r="D40" s="5">
        <v>35</v>
      </c>
      <c r="E40" s="5" t="s">
        <v>83</v>
      </c>
      <c r="F40" s="24">
        <f>TVM!F40+KLM!F40+PTA!F40+ALP!F40+KTYM!F40+IDK!F40+EKM!F40+TSR!F40+PLKD!F40+MLPM!F40+KKD!F40+WYND!F40+KNR!F40+KSRGD!F40+SHS!F40</f>
        <v>0</v>
      </c>
      <c r="G40" s="24">
        <f>TVM!G40+KLM!G40+PTA!G40+ALP!G40+KTYM!G40+IDK!G40+EKM!G40+TSR!G40+PLKD!G40+MLPM!G40+KKD!G40+WYND!G40+KNR!G40+KSRGD!G40+SHS!G40</f>
        <v>0</v>
      </c>
      <c r="H40" s="24">
        <f>TVM!H40+KLM!H40+PTA!H40+ALP!H40+KTYM!H40+IDK!H40+EKM!H40+TSR!H40+PLKD!H40+MLPM!H40+KKD!H40+WYND!H40+KNR!H40+KSRGD!H40+SHS!H40</f>
        <v>0</v>
      </c>
      <c r="I40" s="27">
        <f>TVM!I40+KLM!I40+PTA!I40+ALP!I40+KTYM!I40+IDK!I40+EKM!I40+TSR!I40+PLKD!I40+MLPM!I40+KKD!I40+WYND!I40+KNR!I40+KSRGD!I40+SHS!I40</f>
        <v>0</v>
      </c>
      <c r="J40" s="24">
        <f>TVM!J40+KLM!J40+PTA!J40+ALP!J40+KTYM!J40+IDK!J40+EKM!J40+TSR!J40+PLKD!J40+MLPM!J40+KKD!J40+WYND!J40+KNR!J40+KSRGD!J40+SHS!J40</f>
        <v>0</v>
      </c>
      <c r="K40" s="24">
        <f>TVM!K40+KLM!K40+PTA!K40+ALP!K40+KTYM!K40+IDK!K40+EKM!K40+TSR!K40+PLKD!K40+MLPM!K40+KKD!K40+WYND!K40+KNR!K40+KSRGD!K40+SHS!K40</f>
        <v>0</v>
      </c>
      <c r="L40" s="24">
        <f>TVM!L40+KLM!L40+PTA!L40+ALP!L40+KTYM!L40+IDK!L40+EKM!L40+TSR!L40+PLKD!L40+MLPM!L40+KKD!L40+WYND!L40+KNR!L40+KSRGD!L40+SHS!L40</f>
        <v>0</v>
      </c>
      <c r="M40" s="24">
        <f>TVM!M40+KLM!M40+PTA!M40+ALP!M40+KTYM!M40+IDK!M40+EKM!M40+TSR!M40+PLKD!M40+MLPM!M40+KKD!M40+WYND!M40+KNR!M40+KSRGD!M40+SHS!M40</f>
        <v>0</v>
      </c>
      <c r="N40" s="27">
        <f>TVM!N40+KLM!N40+PTA!N40+ALP!N40+KTYM!N40+IDK!N40+EKM!N40+TSR!N40+PLKD!N40+MLPM!N40+KKD!N40+WYND!N40+KNR!N40+KSRGD!N40+SHS!N40</f>
        <v>44.5</v>
      </c>
      <c r="O40" s="24">
        <f>TVM!O40+KLM!O40+PTA!O40+ALP!O40+KTYM!O40+IDK!O40+EKM!O40+TSR!O40+PLKD!O40+MLPM!O40+KKD!O40+WYND!O40+KNR!O40+KSRGD!O40+SHS!O40</f>
        <v>0</v>
      </c>
      <c r="P40" s="31">
        <f>TVM!P40+KLM!P40+PTA!P40+ALP!P40+KTYM!P40+IDK!P40+EKM!P40+TSR!P40+PLKD!P40+MLPM!P40+KKD!P40+WYND!P40+KNR!P40+KSRGD!P40+SHS!P40</f>
        <v>44.57</v>
      </c>
      <c r="Q40" s="31">
        <f>TVM!Q40+KLM!Q40+PTA!Q40+ALP!Q40+KTYM!Q40+IDK!Q40+EKM!Q40+TSR!Q40+PLKD!Q40+MLPM!Q40+KKD!Q40+WYND!Q40+KNR!Q40+KSRGD!Q40+SHS!Q40</f>
        <v>0</v>
      </c>
      <c r="R40" s="24">
        <f>TVM!R40+KLM!R40+PTA!R40+ALP!R40+KTYM!R40+IDK!R40+EKM!R40+TSR!R40+PLKD!R40+MLPM!R40+KKD!R40+WYND!R40+KNR!R40+KSRGD!R40+SHS!R40</f>
        <v>1.4000000000000001</v>
      </c>
      <c r="S40" s="24">
        <f>TVM!S40+KLM!S40+PTA!S40+ALP!S40+KTYM!S40+IDK!S40+EKM!S40+TSR!S40+PLKD!S40+MLPM!S40+KKD!S40+WYND!S40+KNR!S40+KSRGD!S40+SHS!S40</f>
        <v>0</v>
      </c>
      <c r="T40" s="6">
        <f t="shared" si="0"/>
        <v>90.47</v>
      </c>
      <c r="U40" s="9"/>
      <c r="V40" s="32"/>
      <c r="W40" s="1"/>
      <c r="X40" s="1"/>
      <c r="Y40" s="1"/>
      <c r="Z40" s="1"/>
    </row>
    <row r="41" spans="1:26" ht="39.75" customHeight="1">
      <c r="A41" s="171"/>
      <c r="B41" s="171"/>
      <c r="C41" s="171"/>
      <c r="D41" s="5">
        <v>36</v>
      </c>
      <c r="E41" s="5" t="s">
        <v>84</v>
      </c>
      <c r="F41" s="24">
        <f>TVM!F41+KLM!F41+PTA!F41+ALP!F41+KTYM!F41+IDK!F41+EKM!F41+TSR!F41+PLKD!F41+MLPM!F41+KKD!F41+WYND!F41+KNR!F41+KSRGD!F41+SHS!F41</f>
        <v>0</v>
      </c>
      <c r="G41" s="24">
        <f>TVM!G41+KLM!G41+PTA!G41+ALP!G41+KTYM!G41+IDK!G41+EKM!G41+TSR!G41+PLKD!G41+MLPM!G41+KKD!G41+WYND!G41+KNR!G41+KSRGD!G41+SHS!G41</f>
        <v>0</v>
      </c>
      <c r="H41" s="24">
        <f>TVM!H41+KLM!H41+PTA!H41+ALP!H41+KTYM!H41+IDK!H41+EKM!H41+TSR!H41+PLKD!H41+MLPM!H41+KKD!H41+WYND!H41+KNR!H41+KSRGD!H41+SHS!H41</f>
        <v>0</v>
      </c>
      <c r="I41" s="24">
        <f>TVM!I41+KLM!I41+PTA!I41+ALP!I41+KTYM!I41+IDK!I41+EKM!I41+TSR!I41+PLKD!I41+MLPM!I41+KKD!I41+WYND!I41+KNR!I41+KSRGD!I41+SHS!I41</f>
        <v>0</v>
      </c>
      <c r="J41" s="24">
        <f>TVM!J41+KLM!J41+PTA!J41+ALP!J41+KTYM!J41+IDK!J41+EKM!J41+TSR!J41+PLKD!J41+MLPM!J41+KKD!J41+WYND!J41+KNR!J41+KSRGD!J41+SHS!J41</f>
        <v>0</v>
      </c>
      <c r="K41" s="27">
        <f>TVM!K41+KLM!K41+PTA!K41+ALP!K41+KTYM!K41+IDK!K41+EKM!K41+TSR!K41+PLKD!K41+MLPM!K41+KKD!K41+WYND!K41+KNR!K41+KSRGD!K41+SHS!K41</f>
        <v>0</v>
      </c>
      <c r="L41" s="24">
        <f>TVM!L41+KLM!L41+PTA!L41+ALP!L41+KTYM!L41+IDK!L41+EKM!L41+TSR!L41+PLKD!L41+MLPM!L41+KKD!L41+WYND!L41+KNR!L41+KSRGD!L41+SHS!L41</f>
        <v>0</v>
      </c>
      <c r="M41" s="24">
        <f>TVM!M41+KLM!M41+PTA!M41+ALP!M41+KTYM!M41+IDK!M41+EKM!M41+TSR!M41+PLKD!M41+MLPM!M41+KKD!M41+WYND!M41+KNR!M41+KSRGD!M41+SHS!M41</f>
        <v>0</v>
      </c>
      <c r="N41" s="27">
        <f>TVM!N41+KLM!N41+PTA!N41+ALP!N41+KTYM!N41+IDK!N41+EKM!N41+TSR!N41+PLKD!N41+MLPM!N41+KKD!N41+WYND!N41+KNR!N41+KSRGD!N41+SHS!N41</f>
        <v>9.6000000000000014</v>
      </c>
      <c r="O41" s="24">
        <f>TVM!O41+KLM!O41+PTA!O41+ALP!O41+KTYM!O41+IDK!O41+EKM!O41+TSR!O41+PLKD!O41+MLPM!O41+KKD!O41+WYND!O41+KNR!O41+KSRGD!O41+SHS!O41</f>
        <v>0</v>
      </c>
      <c r="P41" s="24">
        <f>TVM!P41+KLM!P41+PTA!P41+ALP!P41+KTYM!P41+IDK!P41+EKM!P41+TSR!P41+PLKD!P41+MLPM!P41+KKD!P41+WYND!P41+KNR!P41+KSRGD!P41+SHS!P41</f>
        <v>0</v>
      </c>
      <c r="Q41" s="24">
        <f>TVM!Q41+KLM!Q41+PTA!Q41+ALP!Q41+KTYM!Q41+IDK!Q41+EKM!Q41+TSR!Q41+PLKD!Q41+MLPM!Q41+KKD!Q41+WYND!Q41+KNR!Q41+KSRGD!Q41+SHS!Q41</f>
        <v>0</v>
      </c>
      <c r="R41" s="24">
        <f>TVM!R41+KLM!R41+PTA!R41+ALP!R41+KTYM!R41+IDK!R41+EKM!R41+TSR!R41+PLKD!R41+MLPM!R41+KKD!R41+WYND!R41+KNR!R41+KSRGD!R41+SHS!R41</f>
        <v>0</v>
      </c>
      <c r="S41" s="24">
        <f>TVM!S41+KLM!S41+PTA!S41+ALP!S41+KTYM!S41+IDK!S41+EKM!S41+TSR!S41+PLKD!S41+MLPM!S41+KKD!S41+WYND!S41+KNR!S41+KSRGD!S41+SHS!S41</f>
        <v>0</v>
      </c>
      <c r="T41" s="6">
        <f t="shared" si="0"/>
        <v>9.6000000000000014</v>
      </c>
      <c r="U41" s="9"/>
      <c r="V41" s="32"/>
      <c r="W41" s="1"/>
      <c r="X41" s="1"/>
      <c r="Y41" s="1"/>
      <c r="Z41" s="1"/>
    </row>
    <row r="42" spans="1:26" ht="39.75" customHeight="1">
      <c r="A42" s="171"/>
      <c r="B42" s="171"/>
      <c r="C42" s="171"/>
      <c r="D42" s="5">
        <v>37</v>
      </c>
      <c r="E42" s="5" t="s">
        <v>86</v>
      </c>
      <c r="F42" s="24">
        <f>TVM!F42+KLM!F42+PTA!F42+ALP!F42+KTYM!F42+IDK!F42+EKM!F42+TSR!F42+PLKD!F42+MLPM!F42+KKD!F42+WYND!F42+KNR!F42+KSRGD!F42+SHS!F42</f>
        <v>0</v>
      </c>
      <c r="G42" s="24">
        <f>TVM!G42+KLM!G42+PTA!G42+ALP!G42+KTYM!G42+IDK!G42+EKM!G42+TSR!G42+PLKD!G42+MLPM!G42+KKD!G42+WYND!G42+KNR!G42+KSRGD!G42+SHS!G42</f>
        <v>0</v>
      </c>
      <c r="H42" s="24">
        <f>TVM!H42+KLM!H42+PTA!H42+ALP!H42+KTYM!H42+IDK!H42+EKM!H42+TSR!H42+PLKD!H42+MLPM!H42+KKD!H42+WYND!H42+KNR!H42+KSRGD!H42+SHS!H42</f>
        <v>0</v>
      </c>
      <c r="I42" s="24">
        <f>TVM!I42+KLM!I42+PTA!I42+ALP!I42+KTYM!I42+IDK!I42+EKM!I42+TSR!I42+PLKD!I42+MLPM!I42+KKD!I42+WYND!I42+KNR!I42+KSRGD!I42+SHS!I42</f>
        <v>0</v>
      </c>
      <c r="J42" s="24">
        <f>TVM!J42+KLM!J42+PTA!J42+ALP!J42+KTYM!J42+IDK!J42+EKM!J42+TSR!J42+PLKD!J42+MLPM!J42+KKD!J42+WYND!J42+KNR!J42+KSRGD!J42+SHS!J42</f>
        <v>0</v>
      </c>
      <c r="K42" s="27">
        <f>TVM!K42+KLM!K42+PTA!K42+ALP!K42+KTYM!K42+IDK!K42+EKM!K42+TSR!K42+PLKD!K42+MLPM!K42+KKD!K42+WYND!K42+KNR!K42+KSRGD!K42+SHS!K42</f>
        <v>119.7</v>
      </c>
      <c r="L42" s="24">
        <f>TVM!L42+KLM!L42+PTA!L42+ALP!L42+KTYM!L42+IDK!L42+EKM!L42+TSR!L42+PLKD!L42+MLPM!L42+KKD!L42+WYND!L42+KNR!L42+KSRGD!L42+SHS!L42</f>
        <v>0</v>
      </c>
      <c r="M42" s="24">
        <f>TVM!M42+KLM!M42+PTA!M42+ALP!M42+KTYM!M42+IDK!M42+EKM!M42+TSR!M42+PLKD!M42+MLPM!M42+KKD!M42+WYND!M42+KNR!M42+KSRGD!M42+SHS!M42</f>
        <v>0</v>
      </c>
      <c r="N42" s="24">
        <f>TVM!N42+KLM!N42+PTA!N42+ALP!N42+KTYM!N42+IDK!N42+EKM!N42+TSR!N42+PLKD!N42+MLPM!N42+KKD!N42+WYND!N42+KNR!N42+KSRGD!N42+SHS!N42</f>
        <v>0</v>
      </c>
      <c r="O42" s="24">
        <f>TVM!O42+KLM!O42+PTA!O42+ALP!O42+KTYM!O42+IDK!O42+EKM!O42+TSR!O42+PLKD!O42+MLPM!O42+KKD!O42+WYND!O42+KNR!O42+KSRGD!O42+SHS!O42</f>
        <v>0</v>
      </c>
      <c r="P42" s="24">
        <f>TVM!P42+KLM!P42+PTA!P42+ALP!P42+KTYM!P42+IDK!P42+EKM!P42+TSR!P42+PLKD!P42+MLPM!P42+KKD!P42+WYND!P42+KNR!P42+KSRGD!P42+SHS!P42</f>
        <v>0</v>
      </c>
      <c r="Q42" s="24">
        <f>TVM!Q42+KLM!Q42+PTA!Q42+ALP!Q42+KTYM!Q42+IDK!Q42+EKM!Q42+TSR!Q42+PLKD!Q42+MLPM!Q42+KKD!Q42+WYND!Q42+KNR!Q42+KSRGD!Q42+SHS!Q42</f>
        <v>0</v>
      </c>
      <c r="R42" s="24">
        <f>TVM!R42+KLM!R42+PTA!R42+ALP!R42+KTYM!R42+IDK!R42+EKM!R42+TSR!R42+PLKD!R42+MLPM!R42+KKD!R42+WYND!R42+KNR!R42+KSRGD!R42+SHS!R42</f>
        <v>0</v>
      </c>
      <c r="S42" s="24">
        <f>TVM!S42+KLM!S42+PTA!S42+ALP!S42+KTYM!S42+IDK!S42+EKM!S42+TSR!S42+PLKD!S42+MLPM!S42+KKD!S42+WYND!S42+KNR!S42+KSRGD!S42+SHS!S42</f>
        <v>0</v>
      </c>
      <c r="T42" s="6">
        <f t="shared" si="0"/>
        <v>119.7</v>
      </c>
      <c r="U42" s="9"/>
      <c r="V42" s="32"/>
      <c r="W42" s="1"/>
      <c r="X42" s="1"/>
      <c r="Y42" s="1"/>
      <c r="Z42" s="1"/>
    </row>
    <row r="43" spans="1:26" ht="39.75" customHeight="1">
      <c r="A43" s="171"/>
      <c r="B43" s="171"/>
      <c r="C43" s="171"/>
      <c r="D43" s="5">
        <v>38</v>
      </c>
      <c r="E43" s="5" t="s">
        <v>87</v>
      </c>
      <c r="F43" s="24">
        <f>TVM!F43+KLM!F43+PTA!F43+ALP!F43+KTYM!F43+IDK!F43+EKM!F43+TSR!F43+PLKD!F43+MLPM!F43+KKD!F43+WYND!F43+KNR!F43+KSRGD!F43+SHS!F43</f>
        <v>0</v>
      </c>
      <c r="G43" s="24">
        <f>TVM!G43+KLM!G43+PTA!G43+ALP!G43+KTYM!G43+IDK!G43+EKM!G43+TSR!G43+PLKD!G43+MLPM!G43+KKD!G43+WYND!G43+KNR!G43+KSRGD!G43+SHS!G43</f>
        <v>0</v>
      </c>
      <c r="H43" s="24">
        <f>TVM!H43+KLM!H43+PTA!H43+ALP!H43+KTYM!H43+IDK!H43+EKM!H43+TSR!H43+PLKD!H43+MLPM!H43+KKD!H43+WYND!H43+KNR!H43+KSRGD!H43+SHS!H43</f>
        <v>0</v>
      </c>
      <c r="I43" s="24">
        <f>TVM!I43+KLM!I43+PTA!I43+ALP!I43+KTYM!I43+IDK!I43+EKM!I43+TSR!I43+PLKD!I43+MLPM!I43+KKD!I43+WYND!I43+KNR!I43+KSRGD!I43+SHS!I43</f>
        <v>0</v>
      </c>
      <c r="J43" s="24">
        <f>TVM!J43+KLM!J43+PTA!J43+ALP!J43+KTYM!J43+IDK!J43+EKM!J43+TSR!J43+PLKD!J43+MLPM!J43+KKD!J43+WYND!J43+KNR!J43+KSRGD!J43+SHS!J43</f>
        <v>0</v>
      </c>
      <c r="K43" s="24">
        <f>TVM!K43+KLM!K43+PTA!K43+ALP!K43+KTYM!K43+IDK!K43+EKM!K43+TSR!K43+PLKD!K43+MLPM!K43+KKD!K43+WYND!K43+KNR!K43+KSRGD!K43+SHS!K43</f>
        <v>0</v>
      </c>
      <c r="L43" s="24">
        <f>TVM!L43+KLM!L43+PTA!L43+ALP!L43+KTYM!L43+IDK!L43+EKM!L43+TSR!L43+PLKD!L43+MLPM!L43+KKD!L43+WYND!L43+KNR!L43+KSRGD!L43+SHS!L43</f>
        <v>0</v>
      </c>
      <c r="M43" s="24">
        <f>TVM!M43+KLM!M43+PTA!M43+ALP!M43+KTYM!M43+IDK!M43+EKM!M43+TSR!M43+PLKD!M43+MLPM!M43+KKD!M43+WYND!M43+KNR!M43+KSRGD!M43+SHS!M43</f>
        <v>0</v>
      </c>
      <c r="N43" s="27">
        <f>TVM!N43+KLM!N43+PTA!N43+ALP!N43+KTYM!N43+IDK!N43+EKM!N43+TSR!N43+PLKD!N43+MLPM!N43+KKD!N43+WYND!N43+KNR!N43+KSRGD!N43+SHS!N43</f>
        <v>113.81999999999998</v>
      </c>
      <c r="O43" s="31">
        <f>TVM!O43+KLM!O43+PTA!O43+ALP!O43+KTYM!O43+IDK!O43+EKM!O43+TSR!O43+PLKD!O43+MLPM!O43+KKD!O43+WYND!O43+KNR!O43+KSRGD!O43+SHS!O43</f>
        <v>3.49</v>
      </c>
      <c r="P43" s="31">
        <f>TVM!P43+KLM!P43+PTA!P43+ALP!P43+KTYM!P43+IDK!P43+EKM!P43+TSR!P43+PLKD!P43+MLPM!P43+KKD!P43+WYND!P43+KNR!P43+KSRGD!P43+SHS!P43</f>
        <v>159.39999999999998</v>
      </c>
      <c r="Q43" s="31">
        <f>TVM!Q43+KLM!Q43+PTA!Q43+ALP!Q43+KTYM!Q43+IDK!Q43+EKM!Q43+TSR!Q43+PLKD!Q43+MLPM!Q43+KKD!Q43+WYND!Q43+KNR!Q43+KSRGD!Q43+SHS!Q43</f>
        <v>20.3</v>
      </c>
      <c r="R43" s="24">
        <f>TVM!R43+KLM!R43+PTA!R43+ALP!R43+KTYM!R43+IDK!R43+EKM!R43+TSR!R43+PLKD!R43+MLPM!R43+KKD!R43+WYND!R43+KNR!R43+KSRGD!R43+SHS!R43</f>
        <v>14</v>
      </c>
      <c r="S43" s="24">
        <f>TVM!S43+KLM!S43+PTA!S43+ALP!S43+KTYM!S43+IDK!S43+EKM!S43+TSR!S43+PLKD!S43+MLPM!S43+KKD!S43+WYND!S43+KNR!S43+KSRGD!S43+SHS!S43</f>
        <v>0</v>
      </c>
      <c r="T43" s="6">
        <f t="shared" si="0"/>
        <v>311.00999999999993</v>
      </c>
      <c r="U43" s="9"/>
      <c r="V43" s="32"/>
      <c r="W43" s="1"/>
      <c r="X43" s="1"/>
      <c r="Y43" s="1"/>
      <c r="Z43" s="1"/>
    </row>
    <row r="44" spans="1:26" ht="39.75" customHeight="1">
      <c r="A44" s="171"/>
      <c r="B44" s="171"/>
      <c r="C44" s="171"/>
      <c r="D44" s="5">
        <v>39</v>
      </c>
      <c r="E44" s="5" t="s">
        <v>88</v>
      </c>
      <c r="F44" s="24">
        <f>TVM!F44+KLM!F44+PTA!F44+ALP!F44+KTYM!F44+IDK!F44+EKM!F44+TSR!F44+PLKD!F44+MLPM!F44+KKD!F44+WYND!F44+KNR!F44+KSRGD!F44+SHS!F44</f>
        <v>0</v>
      </c>
      <c r="G44" s="24">
        <f>TVM!G44+KLM!G44+PTA!G44+ALP!G44+KTYM!G44+IDK!G44+EKM!G44+TSR!G44+PLKD!G44+MLPM!G44+KKD!G44+WYND!G44+KNR!G44+KSRGD!G44+SHS!G44</f>
        <v>0</v>
      </c>
      <c r="H44" s="24">
        <f>TVM!H44+KLM!H44+PTA!H44+ALP!H44+KTYM!H44+IDK!H44+EKM!H44+TSR!H44+PLKD!H44+MLPM!H44+KKD!H44+WYND!H44+KNR!H44+KSRGD!H44+SHS!H44</f>
        <v>0</v>
      </c>
      <c r="I44" s="24">
        <f>TVM!I44+KLM!I44+PTA!I44+ALP!I44+KTYM!I44+IDK!I44+EKM!I44+TSR!I44+PLKD!I44+MLPM!I44+KKD!I44+WYND!I44+KNR!I44+KSRGD!I44+SHS!I44</f>
        <v>0</v>
      </c>
      <c r="J44" s="24">
        <f>TVM!J44+KLM!J44+PTA!J44+ALP!J44+KTYM!J44+IDK!J44+EKM!J44+TSR!J44+PLKD!J44+MLPM!J44+KKD!J44+WYND!J44+KNR!J44+KSRGD!J44+SHS!J44</f>
        <v>0</v>
      </c>
      <c r="K44" s="24">
        <f>TVM!K44+KLM!K44+PTA!K44+ALP!K44+KTYM!K44+IDK!K44+EKM!K44+TSR!K44+PLKD!K44+MLPM!K44+KKD!K44+WYND!K44+KNR!K44+KSRGD!K44+SHS!K44</f>
        <v>0</v>
      </c>
      <c r="L44" s="24">
        <f>TVM!L44+KLM!L44+PTA!L44+ALP!L44+KTYM!L44+IDK!L44+EKM!L44+TSR!L44+PLKD!L44+MLPM!L44+KKD!L44+WYND!L44+KNR!L44+KSRGD!L44+SHS!L44</f>
        <v>0</v>
      </c>
      <c r="M44" s="24">
        <f>TVM!M44+KLM!M44+PTA!M44+ALP!M44+KTYM!M44+IDK!M44+EKM!M44+TSR!M44+PLKD!M44+MLPM!M44+KKD!M44+WYND!M44+KNR!M44+KSRGD!M44+SHS!M44</f>
        <v>0</v>
      </c>
      <c r="N44" s="24">
        <f>TVM!N44+KLM!N44+PTA!N44+ALP!N44+KTYM!N44+IDK!N44+EKM!N44+TSR!N44+PLKD!N44+MLPM!N44+KKD!N44+WYND!N44+KNR!N44+KSRGD!N44+SHS!N44</f>
        <v>0</v>
      </c>
      <c r="O44" s="24">
        <f>TVM!O44+KLM!O44+PTA!O44+ALP!O44+KTYM!O44+IDK!O44+EKM!O44+TSR!O44+PLKD!O44+MLPM!O44+KKD!O44+WYND!O44+KNR!O44+KSRGD!O44+SHS!O44</f>
        <v>0</v>
      </c>
      <c r="P44" s="31">
        <f>TVM!P44+KLM!P44+PTA!P44+ALP!P44+KTYM!P44+IDK!P44+EKM!P44+TSR!P44+PLKD!P44+MLPM!P44+KKD!P44+WYND!P44+KNR!P44+KSRGD!P44+SHS!P44</f>
        <v>17.569999999999997</v>
      </c>
      <c r="Q44" s="31">
        <f>TVM!Q44+KLM!Q44+PTA!Q44+ALP!Q44+KTYM!Q44+IDK!Q44+EKM!Q44+TSR!Q44+PLKD!Q44+MLPM!Q44+KKD!Q44+WYND!Q44+KNR!Q44+KSRGD!Q44+SHS!Q44</f>
        <v>217</v>
      </c>
      <c r="R44" s="24">
        <f>TVM!R44+KLM!R44+PTA!R44+ALP!R44+KTYM!R44+IDK!R44+EKM!R44+TSR!R44+PLKD!R44+MLPM!R44+KKD!R44+WYND!R44+KNR!R44+KSRGD!R44+SHS!R44</f>
        <v>0</v>
      </c>
      <c r="S44" s="24">
        <f>TVM!S44+KLM!S44+PTA!S44+ALP!S44+KTYM!S44+IDK!S44+EKM!S44+TSR!S44+PLKD!S44+MLPM!S44+KKD!S44+WYND!S44+KNR!S44+KSRGD!S44+SHS!S44</f>
        <v>0</v>
      </c>
      <c r="T44" s="6">
        <f t="shared" si="0"/>
        <v>234.57</v>
      </c>
      <c r="U44" s="9"/>
      <c r="V44" s="32"/>
      <c r="W44" s="1"/>
      <c r="X44" s="1"/>
      <c r="Y44" s="1"/>
      <c r="Z44" s="1"/>
    </row>
    <row r="45" spans="1:26" ht="39.75" customHeight="1">
      <c r="A45" s="171"/>
      <c r="B45" s="171"/>
      <c r="C45" s="171"/>
      <c r="D45" s="5">
        <v>40</v>
      </c>
      <c r="E45" s="5" t="s">
        <v>89</v>
      </c>
      <c r="F45" s="24">
        <f>TVM!F45+KLM!F45+PTA!F45+ALP!F45+KTYM!F45+IDK!F45+EKM!F45+TSR!F45+PLKD!F45+MLPM!F45+KKD!F45+WYND!F45+KNR!F45+KSRGD!F45+SHS!F45</f>
        <v>0</v>
      </c>
      <c r="G45" s="24">
        <f>TVM!G45+KLM!G45+PTA!G45+ALP!G45+KTYM!G45+IDK!G45+EKM!G45+TSR!G45+PLKD!G45+MLPM!G45+KKD!G45+WYND!G45+KNR!G45+KSRGD!G45+SHS!G45</f>
        <v>0</v>
      </c>
      <c r="H45" s="24">
        <f>TVM!H45+KLM!H45+PTA!H45+ALP!H45+KTYM!H45+IDK!H45+EKM!H45+TSR!H45+PLKD!H45+MLPM!H45+KKD!H45+WYND!H45+KNR!H45+KSRGD!H45+SHS!H45</f>
        <v>0</v>
      </c>
      <c r="I45" s="24">
        <f>TVM!I45+KLM!I45+PTA!I45+ALP!I45+KTYM!I45+IDK!I45+EKM!I45+TSR!I45+PLKD!I45+MLPM!I45+KKD!I45+WYND!I45+KNR!I45+KSRGD!I45+SHS!I45</f>
        <v>0</v>
      </c>
      <c r="J45" s="24">
        <f>TVM!J45+KLM!J45+PTA!J45+ALP!J45+KTYM!J45+IDK!J45+EKM!J45+TSR!J45+PLKD!J45+MLPM!J45+KKD!J45+WYND!J45+KNR!J45+KSRGD!J45+SHS!J45</f>
        <v>0</v>
      </c>
      <c r="K45" s="24">
        <f>TVM!K45+KLM!K45+PTA!K45+ALP!K45+KTYM!K45+IDK!K45+EKM!K45+TSR!K45+PLKD!K45+MLPM!K45+KKD!K45+WYND!K45+KNR!K45+KSRGD!K45+SHS!K45</f>
        <v>0</v>
      </c>
      <c r="L45" s="24">
        <f>TVM!L45+KLM!L45+PTA!L45+ALP!L45+KTYM!L45+IDK!L45+EKM!L45+TSR!L45+PLKD!L45+MLPM!L45+KKD!L45+WYND!L45+KNR!L45+KSRGD!L45+SHS!L45</f>
        <v>0</v>
      </c>
      <c r="M45" s="24">
        <f>TVM!M45+KLM!M45+PTA!M45+ALP!M45+KTYM!M45+IDK!M45+EKM!M45+TSR!M45+PLKD!M45+MLPM!M45+KKD!M45+WYND!M45+KNR!M45+KSRGD!M45+SHS!M45</f>
        <v>0</v>
      </c>
      <c r="N45" s="27">
        <f>TVM!N45+KLM!N45+PTA!N45+ALP!N45+KTYM!N45+IDK!N45+EKM!N45+TSR!N45+PLKD!N45+MLPM!N45+KKD!N45+WYND!N45+KNR!N45+KSRGD!N45+SHS!N45</f>
        <v>1.5287999999999997</v>
      </c>
      <c r="O45" s="24">
        <f>TVM!O45+KLM!O45+PTA!O45+ALP!O45+KTYM!O45+IDK!O45+EKM!O45+TSR!O45+PLKD!O45+MLPM!O45+KKD!O45+WYND!O45+KNR!O45+KSRGD!O45+SHS!O45</f>
        <v>0</v>
      </c>
      <c r="P45" s="31">
        <f>TVM!P45+KLM!P45+PTA!P45+ALP!P45+KTYM!P45+IDK!P45+EKM!P45+TSR!P45+PLKD!P45+MLPM!P45+KKD!P45+WYND!P45+KNR!P45+KSRGD!P45+SHS!P45</f>
        <v>3.0299999999999994</v>
      </c>
      <c r="Q45" s="27">
        <f>TVM!Q45+KLM!Q45+PTA!Q45+ALP!Q45+KTYM!Q45+IDK!Q45+EKM!Q45+TSR!Q45+PLKD!Q45+MLPM!Q45+KKD!Q45+WYND!Q45+KNR!Q45+KSRGD!Q45+SHS!Q45</f>
        <v>56.68</v>
      </c>
      <c r="R45" s="31">
        <f>TVM!R45+KLM!R45+PTA!R45+ALP!R45+KTYM!R45+IDK!R45+EKM!R45+TSR!R45+PLKD!R45+MLPM!R45+KKD!R45+WYND!R45+KNR!R45+KSRGD!R45+SHS!R45</f>
        <v>28</v>
      </c>
      <c r="S45" s="24">
        <f>TVM!S45+KLM!S45+PTA!S45+ALP!S45+KTYM!S45+IDK!S45+EKM!S45+TSR!S45+PLKD!S45+MLPM!S45+KKD!S45+WYND!S45+KNR!S45+KSRGD!S45+SHS!S45</f>
        <v>0</v>
      </c>
      <c r="T45" s="6">
        <f t="shared" si="0"/>
        <v>89.238799999999998</v>
      </c>
      <c r="U45" s="9"/>
      <c r="V45" s="32"/>
      <c r="W45" s="1"/>
      <c r="X45" s="1"/>
      <c r="Y45" s="1"/>
      <c r="Z45" s="1"/>
    </row>
    <row r="46" spans="1:26" ht="39.75" customHeight="1">
      <c r="A46" s="171"/>
      <c r="B46" s="169"/>
      <c r="C46" s="169"/>
      <c r="D46" s="5">
        <v>41</v>
      </c>
      <c r="E46" s="5" t="s">
        <v>54</v>
      </c>
      <c r="F46" s="24">
        <f>TVM!F46+KLM!F46+PTA!F46+ALP!F46+KTYM!F46+IDK!F46+EKM!F46+TSR!F46+PLKD!F46+MLPM!F46+KKD!F46+WYND!F46+KNR!F46+KSRGD!F46+SHS!F46</f>
        <v>0</v>
      </c>
      <c r="G46" s="24">
        <f>TVM!G46+KLM!G46+PTA!G46+ALP!G46+KTYM!G46+IDK!G46+EKM!G46+TSR!G46+PLKD!G46+MLPM!G46+KKD!G46+WYND!G46+KNR!G46+KSRGD!G46+SHS!G46</f>
        <v>0</v>
      </c>
      <c r="H46" s="24">
        <f>TVM!H46+KLM!H46+PTA!H46+ALP!H46+KTYM!H46+IDK!H46+EKM!H46+TSR!H46+PLKD!H46+MLPM!H46+KKD!H46+WYND!H46+KNR!H46+KSRGD!H46+SHS!H46</f>
        <v>0</v>
      </c>
      <c r="I46" s="24">
        <f>TVM!I46+KLM!I46+PTA!I46+ALP!I46+KTYM!I46+IDK!I46+EKM!I46+TSR!I46+PLKD!I46+MLPM!I46+KKD!I46+WYND!I46+KNR!I46+KSRGD!I46+SHS!I46</f>
        <v>0</v>
      </c>
      <c r="J46" s="24">
        <f>TVM!J46+KLM!J46+PTA!J46+ALP!J46+KTYM!J46+IDK!J46+EKM!J46+TSR!J46+PLKD!J46+MLPM!J46+KKD!J46+WYND!J46+KNR!J46+KSRGD!J46+SHS!J46</f>
        <v>0</v>
      </c>
      <c r="K46" s="24">
        <f>TVM!K46+KLM!K46+PTA!K46+ALP!K46+KTYM!K46+IDK!K46+EKM!K46+TSR!K46+PLKD!K46+MLPM!K46+KKD!K46+WYND!K46+KNR!K46+KSRGD!K46+SHS!K46</f>
        <v>0</v>
      </c>
      <c r="L46" s="24">
        <f>TVM!L46+KLM!L46+PTA!L46+ALP!L46+KTYM!L46+IDK!L46+EKM!L46+TSR!L46+PLKD!L46+MLPM!L46+KKD!L46+WYND!L46+KNR!L46+KSRGD!L46+SHS!L46</f>
        <v>0</v>
      </c>
      <c r="M46" s="24">
        <f>TVM!M46+KLM!M46+PTA!M46+ALP!M46+KTYM!M46+IDK!M46+EKM!M46+TSR!M46+PLKD!M46+MLPM!M46+KKD!M46+WYND!M46+KNR!M46+KSRGD!M46+SHS!M46</f>
        <v>0</v>
      </c>
      <c r="N46" s="24">
        <f>TVM!N46+KLM!N46+PTA!N46+ALP!N46+KTYM!N46+IDK!N46+EKM!N46+TSR!N46+PLKD!N46+MLPM!N46+KKD!N46+WYND!N46+KNR!N46+KSRGD!N46+SHS!N46</f>
        <v>0</v>
      </c>
      <c r="O46" s="24">
        <f>TVM!O46+KLM!O46+PTA!O46+ALP!O46+KTYM!O46+IDK!O46+EKM!O46+TSR!O46+PLKD!O46+MLPM!O46+KKD!O46+WYND!O46+KNR!O46+KSRGD!O46+SHS!O46</f>
        <v>0</v>
      </c>
      <c r="P46" s="24">
        <f>TVM!P46+KLM!P46+PTA!P46+ALP!P46+KTYM!P46+IDK!P46+EKM!P46+TSR!P46+PLKD!P46+MLPM!P46+KKD!P46+WYND!P46+KNR!P46+KSRGD!P46+SHS!P46</f>
        <v>0</v>
      </c>
      <c r="Q46" s="24">
        <f>TVM!Q46+KLM!Q46+PTA!Q46+ALP!Q46+KTYM!Q46+IDK!Q46+EKM!Q46+TSR!Q46+PLKD!Q46+MLPM!Q46+KKD!Q46+WYND!Q46+KNR!Q46+KSRGD!Q46+SHS!Q46</f>
        <v>0</v>
      </c>
      <c r="R46" s="24">
        <f>TVM!R46+KLM!R46+PTA!R46+ALP!R46+KTYM!R46+IDK!R46+EKM!R46+TSR!R46+PLKD!R46+MLPM!R46+KKD!R46+WYND!R46+KNR!R46+KSRGD!R46+SHS!R46</f>
        <v>0</v>
      </c>
      <c r="S46" s="24">
        <f>TVM!S46+KLM!S46+PTA!S46+ALP!S46+KTYM!S46+IDK!S46+EKM!S46+TSR!S46+PLKD!S46+MLPM!S46+KKD!S46+WYND!S46+KNR!S46+KSRGD!S46+SHS!S46</f>
        <v>0</v>
      </c>
      <c r="T46" s="6">
        <f t="shared" si="0"/>
        <v>0</v>
      </c>
      <c r="U46" s="9"/>
      <c r="V46" s="32"/>
      <c r="W46" s="1"/>
      <c r="X46" s="1"/>
      <c r="Y46" s="1"/>
      <c r="Z46" s="1"/>
    </row>
    <row r="47" spans="1:26" ht="39.75" customHeight="1">
      <c r="A47" s="171"/>
      <c r="B47" s="168" t="s">
        <v>90</v>
      </c>
      <c r="C47" s="168" t="s">
        <v>91</v>
      </c>
      <c r="D47" s="5">
        <v>42</v>
      </c>
      <c r="E47" s="5" t="s">
        <v>92</v>
      </c>
      <c r="F47" s="31">
        <f>TVM!F47+KLM!F47+PTA!F47+ALP!F47+KTYM!F47+IDK!F47+EKM!F47+TSR!F47+PLKD!F47+MLPM!F47+KKD!F47+WYND!F47+KNR!F47+KSRGD!F47+SHS!F47</f>
        <v>157.74</v>
      </c>
      <c r="G47" s="24">
        <f>TVM!G47+KLM!G47+PTA!G47+ALP!G47+KTYM!G47+IDK!G47+EKM!G47+TSR!G47+PLKD!G47+MLPM!G47+KKD!G47+WYND!G47+KNR!G47+KSRGD!G47+SHS!G47</f>
        <v>0</v>
      </c>
      <c r="H47" s="24">
        <f>TVM!H47+KLM!H47+PTA!H47+ALP!H47+KTYM!H47+IDK!H47+EKM!H47+TSR!H47+PLKD!H47+MLPM!H47+KKD!H47+WYND!H47+KNR!H47+KSRGD!H47+SHS!H47</f>
        <v>0</v>
      </c>
      <c r="I47" s="27">
        <f>TVM!I47+KLM!I47+PTA!I47+ALP!I47+KTYM!I47+IDK!I47+EKM!I47+TSR!I47+PLKD!I47+MLPM!I47+KKD!I47+WYND!I47+KNR!I47+KSRGD!I47+SHS!I47</f>
        <v>0</v>
      </c>
      <c r="J47" s="24">
        <f>TVM!J47+KLM!J47+PTA!J47+ALP!J47+KTYM!J47+IDK!J47+EKM!J47+TSR!J47+PLKD!J47+MLPM!J47+KKD!J47+WYND!J47+KNR!J47+KSRGD!J47+SHS!J47</f>
        <v>0</v>
      </c>
      <c r="K47" s="24">
        <f>TVM!K47+KLM!K47+PTA!K47+ALP!K47+KTYM!K47+IDK!K47+EKM!K47+TSR!K47+PLKD!K47+MLPM!K47+KKD!K47+WYND!K47+KNR!K47+KSRGD!K47+SHS!K47</f>
        <v>0</v>
      </c>
      <c r="L47" s="24">
        <f>TVM!L47+KLM!L47+PTA!L47+ALP!L47+KTYM!L47+IDK!L47+EKM!L47+TSR!L47+PLKD!L47+MLPM!L47+KKD!L47+WYND!L47+KNR!L47+KSRGD!L47+SHS!L47</f>
        <v>0</v>
      </c>
      <c r="M47" s="24">
        <f>TVM!M47+KLM!M47+PTA!M47+ALP!M47+KTYM!M47+IDK!M47+EKM!M47+TSR!M47+PLKD!M47+MLPM!M47+KKD!M47+WYND!M47+KNR!M47+KSRGD!M47+SHS!M47</f>
        <v>0</v>
      </c>
      <c r="N47" s="27">
        <f>TVM!N47+KLM!N47+PTA!N47+ALP!N47+KTYM!N47+IDK!N47+EKM!N47+TSR!N47+PLKD!N47+MLPM!N47+KKD!N47+WYND!N47+KNR!N47+KSRGD!N47+SHS!N47</f>
        <v>21.630000000000006</v>
      </c>
      <c r="O47" s="24">
        <f>TVM!O47+KLM!O47+PTA!O47+ALP!O47+KTYM!O47+IDK!O47+EKM!O47+TSR!O47+PLKD!O47+MLPM!O47+KKD!O47+WYND!O47+KNR!O47+KSRGD!O47+SHS!O47</f>
        <v>0</v>
      </c>
      <c r="P47" s="31">
        <f>TVM!P47+KLM!P47+PTA!P47+ALP!P47+KTYM!P47+IDK!P47+EKM!P47+TSR!P47+PLKD!P47+MLPM!P47+KKD!P47+WYND!P47+KNR!P47+KSRGD!P47+SHS!P47</f>
        <v>17.400000000000002</v>
      </c>
      <c r="Q47" s="24">
        <f>TVM!Q47+KLM!Q47+PTA!Q47+ALP!Q47+KTYM!Q47+IDK!Q47+EKM!Q47+TSR!Q47+PLKD!Q47+MLPM!Q47+KKD!Q47+WYND!Q47+KNR!Q47+KSRGD!Q47+SHS!Q47</f>
        <v>0</v>
      </c>
      <c r="R47" s="24">
        <f>TVM!R47+KLM!R47+PTA!R47+ALP!R47+KTYM!R47+IDK!R47+EKM!R47+TSR!R47+PLKD!R47+MLPM!R47+KKD!R47+WYND!R47+KNR!R47+KSRGD!R47+SHS!R47</f>
        <v>0</v>
      </c>
      <c r="S47" s="24">
        <f>TVM!S47+KLM!S47+PTA!S47+ALP!S47+KTYM!S47+IDK!S47+EKM!S47+TSR!S47+PLKD!S47+MLPM!S47+KKD!S47+WYND!S47+KNR!S47+KSRGD!S47+SHS!S47</f>
        <v>0</v>
      </c>
      <c r="T47" s="6">
        <f t="shared" si="0"/>
        <v>196.77</v>
      </c>
      <c r="U47" s="9"/>
      <c r="V47" s="32"/>
      <c r="W47" s="1"/>
      <c r="X47" s="1"/>
      <c r="Y47" s="1"/>
      <c r="Z47" s="1"/>
    </row>
    <row r="48" spans="1:26" ht="39.75" customHeight="1">
      <c r="A48" s="171"/>
      <c r="B48" s="171"/>
      <c r="C48" s="171"/>
      <c r="D48" s="5">
        <v>43</v>
      </c>
      <c r="E48" s="5" t="s">
        <v>93</v>
      </c>
      <c r="F48" s="31">
        <f>TVM!F48+KLM!F48+PTA!F48+ALP!F48+KTYM!F48+IDK!F48+EKM!F48+TSR!F48+PLKD!F48+MLPM!F48+KKD!F48+WYND!F48+KNR!F48+KSRGD!F48+SHS!F48</f>
        <v>15.59</v>
      </c>
      <c r="G48" s="24">
        <f>TVM!G48+KLM!G48+PTA!G48+ALP!G48+KTYM!G48+IDK!G48+EKM!G48+TSR!G48+PLKD!G48+MLPM!G48+KKD!G48+WYND!G48+KNR!G48+KSRGD!G48+SHS!G48</f>
        <v>0</v>
      </c>
      <c r="H48" s="24">
        <f>TVM!H48+KLM!H48+PTA!H48+ALP!H48+KTYM!H48+IDK!H48+EKM!H48+TSR!H48+PLKD!H48+MLPM!H48+KKD!H48+WYND!H48+KNR!H48+KSRGD!H48+SHS!H48</f>
        <v>0</v>
      </c>
      <c r="I48" s="27">
        <f>TVM!I48+KLM!I48+PTA!I48+ALP!I48+KTYM!I48+IDK!I48+EKM!I48+TSR!I48+PLKD!I48+MLPM!I48+KKD!I48+WYND!I48+KNR!I48+KSRGD!I48+SHS!I48</f>
        <v>0</v>
      </c>
      <c r="J48" s="24">
        <f>TVM!J48+KLM!J48+PTA!J48+ALP!J48+KTYM!J48+IDK!J48+EKM!J48+TSR!J48+PLKD!J48+MLPM!J48+KKD!J48+WYND!J48+KNR!J48+KSRGD!J48+SHS!J48</f>
        <v>0</v>
      </c>
      <c r="K48" s="24">
        <f>TVM!K48+KLM!K48+PTA!K48+ALP!K48+KTYM!K48+IDK!K48+EKM!K48+TSR!K48+PLKD!K48+MLPM!K48+KKD!K48+WYND!K48+KNR!K48+KSRGD!K48+SHS!K48</f>
        <v>0</v>
      </c>
      <c r="L48" s="24">
        <f>TVM!L48+KLM!L48+PTA!L48+ALP!L48+KTYM!L48+IDK!L48+EKM!L48+TSR!L48+PLKD!L48+MLPM!L48+KKD!L48+WYND!L48+KNR!L48+KSRGD!L48+SHS!L48</f>
        <v>0</v>
      </c>
      <c r="M48" s="24">
        <f>TVM!M48+KLM!M48+PTA!M48+ALP!M48+KTYM!M48+IDK!M48+EKM!M48+TSR!M48+PLKD!M48+MLPM!M48+KKD!M48+WYND!M48+KNR!M48+KSRGD!M48+SHS!M48</f>
        <v>0</v>
      </c>
      <c r="N48" s="27">
        <f>TVM!N48+KLM!N48+PTA!N48+ALP!N48+KTYM!N48+IDK!N48+EKM!N48+TSR!N48+PLKD!N48+MLPM!N48+KKD!N48+WYND!N48+KNR!N48+KSRGD!N48+SHS!N48</f>
        <v>8.134999999999998</v>
      </c>
      <c r="O48" s="24">
        <f>TVM!O48+KLM!O48+PTA!O48+ALP!O48+KTYM!O48+IDK!O48+EKM!O48+TSR!O48+PLKD!O48+MLPM!O48+KKD!O48+WYND!O48+KNR!O48+KSRGD!O48+SHS!O48</f>
        <v>0</v>
      </c>
      <c r="P48" s="31">
        <f>TVM!P48+KLM!P48+PTA!P48+ALP!P48+KTYM!P48+IDK!P48+EKM!P48+TSR!P48+PLKD!P48+MLPM!P48+KKD!P48+WYND!P48+KNR!P48+KSRGD!P48+SHS!P48</f>
        <v>14.000000000000002</v>
      </c>
      <c r="Q48" s="24">
        <f>TVM!Q48+KLM!Q48+PTA!Q48+ALP!Q48+KTYM!Q48+IDK!Q48+EKM!Q48+TSR!Q48+PLKD!Q48+MLPM!Q48+KKD!Q48+WYND!Q48+KNR!Q48+KSRGD!Q48+SHS!Q48</f>
        <v>0</v>
      </c>
      <c r="R48" s="24">
        <f>TVM!R48+KLM!R48+PTA!R48+ALP!R48+KTYM!R48+IDK!R48+EKM!R48+TSR!R48+PLKD!R48+MLPM!R48+KKD!R48+WYND!R48+KNR!R48+KSRGD!R48+SHS!R48</f>
        <v>0</v>
      </c>
      <c r="S48" s="24">
        <f>TVM!S48+KLM!S48+PTA!S48+ALP!S48+KTYM!S48+IDK!S48+EKM!S48+TSR!S48+PLKD!S48+MLPM!S48+KKD!S48+WYND!S48+KNR!S48+KSRGD!S48+SHS!S48</f>
        <v>0</v>
      </c>
      <c r="T48" s="6">
        <f t="shared" si="0"/>
        <v>37.725000000000001</v>
      </c>
      <c r="U48" s="9"/>
      <c r="V48" s="32"/>
      <c r="W48" s="1"/>
      <c r="X48" s="1"/>
      <c r="Y48" s="1"/>
      <c r="Z48" s="1"/>
    </row>
    <row r="49" spans="1:26" ht="39.75" customHeight="1">
      <c r="A49" s="171"/>
      <c r="B49" s="171"/>
      <c r="C49" s="171"/>
      <c r="D49" s="5">
        <v>44</v>
      </c>
      <c r="E49" s="5" t="s">
        <v>94</v>
      </c>
      <c r="F49" s="31">
        <f>TVM!F49+KLM!F49+PTA!F49+ALP!F49+KTYM!F49+IDK!F49+EKM!F49+TSR!F49+PLKD!F49+MLPM!F49+KKD!F49+WYND!F49+KNR!F49+KSRGD!F49+SHS!F49</f>
        <v>15.42</v>
      </c>
      <c r="G49" s="24">
        <f>TVM!G49+KLM!G49+PTA!G49+ALP!G49+KTYM!G49+IDK!G49+EKM!G49+TSR!G49+PLKD!G49+MLPM!G49+KKD!G49+WYND!G49+KNR!G49+KSRGD!G49+SHS!G49</f>
        <v>0</v>
      </c>
      <c r="H49" s="24">
        <f>TVM!H49+KLM!H49+PTA!H49+ALP!H49+KTYM!H49+IDK!H49+EKM!H49+TSR!H49+PLKD!H49+MLPM!H49+KKD!H49+WYND!H49+KNR!H49+KSRGD!H49+SHS!H49</f>
        <v>0</v>
      </c>
      <c r="I49" s="27">
        <f>TVM!I49+KLM!I49+PTA!I49+ALP!I49+KTYM!I49+IDK!I49+EKM!I49+TSR!I49+PLKD!I49+MLPM!I49+KKD!I49+WYND!I49+KNR!I49+KSRGD!I49+SHS!I49</f>
        <v>0</v>
      </c>
      <c r="J49" s="24">
        <f>TVM!J49+KLM!J49+PTA!J49+ALP!J49+KTYM!J49+IDK!J49+EKM!J49+TSR!J49+PLKD!J49+MLPM!J49+KKD!J49+WYND!J49+KNR!J49+KSRGD!J49+SHS!J49</f>
        <v>0</v>
      </c>
      <c r="K49" s="24">
        <f>TVM!K49+KLM!K49+PTA!K49+ALP!K49+KTYM!K49+IDK!K49+EKM!K49+TSR!K49+PLKD!K49+MLPM!K49+KKD!K49+WYND!K49+KNR!K49+KSRGD!K49+SHS!K49</f>
        <v>0</v>
      </c>
      <c r="L49" s="24">
        <f>TVM!L49+KLM!L49+PTA!L49+ALP!L49+KTYM!L49+IDK!L49+EKM!L49+TSR!L49+PLKD!L49+MLPM!L49+KKD!L49+WYND!L49+KNR!L49+KSRGD!L49+SHS!L49</f>
        <v>0</v>
      </c>
      <c r="M49" s="24">
        <f>TVM!M49+KLM!M49+PTA!M49+ALP!M49+KTYM!M49+IDK!M49+EKM!M49+TSR!M49+PLKD!M49+MLPM!M49+KKD!M49+WYND!M49+KNR!M49+KSRGD!M49+SHS!M49</f>
        <v>0</v>
      </c>
      <c r="N49" s="27">
        <f>TVM!N49+KLM!N49+PTA!N49+ALP!N49+KTYM!N49+IDK!N49+EKM!N49+TSR!N49+PLKD!N49+MLPM!N49+KKD!N49+WYND!N49+KNR!N49+KSRGD!N49+SHS!N49</f>
        <v>40.619999999999997</v>
      </c>
      <c r="O49" s="31">
        <f>TVM!O49+KLM!O49+PTA!O49+ALP!O49+KTYM!O49+IDK!O49+EKM!O49+TSR!O49+PLKD!O49+MLPM!O49+KKD!O49+WYND!O49+KNR!O49+KSRGD!O49+SHS!O49</f>
        <v>5.3199999999999994</v>
      </c>
      <c r="P49" s="31">
        <f>TVM!P49+KLM!P49+PTA!P49+ALP!P49+KTYM!P49+IDK!P49+EKM!P49+TSR!P49+PLKD!P49+MLPM!P49+KKD!P49+WYND!P49+KNR!P49+KSRGD!P49+SHS!P49</f>
        <v>5.39</v>
      </c>
      <c r="Q49" s="24">
        <f>TVM!Q49+KLM!Q49+PTA!Q49+ALP!Q49+KTYM!Q49+IDK!Q49+EKM!Q49+TSR!Q49+PLKD!Q49+MLPM!Q49+KKD!Q49+WYND!Q49+KNR!Q49+KSRGD!Q49+SHS!Q49</f>
        <v>0</v>
      </c>
      <c r="R49" s="24">
        <f>TVM!R49+KLM!R49+PTA!R49+ALP!R49+KTYM!R49+IDK!R49+EKM!R49+TSR!R49+PLKD!R49+MLPM!R49+KKD!R49+WYND!R49+KNR!R49+KSRGD!R49+SHS!R49</f>
        <v>0</v>
      </c>
      <c r="S49" s="24">
        <f>TVM!S49+KLM!S49+PTA!S49+ALP!S49+KTYM!S49+IDK!S49+EKM!S49+TSR!S49+PLKD!S49+MLPM!S49+KKD!S49+WYND!S49+KNR!S49+KSRGD!S49+SHS!S49</f>
        <v>0</v>
      </c>
      <c r="T49" s="6">
        <f t="shared" si="0"/>
        <v>66.75</v>
      </c>
      <c r="U49" s="9"/>
      <c r="V49" s="32"/>
      <c r="W49" s="1"/>
      <c r="X49" s="1"/>
      <c r="Y49" s="1"/>
      <c r="Z49" s="1"/>
    </row>
    <row r="50" spans="1:26" ht="39.75" customHeight="1">
      <c r="A50" s="171"/>
      <c r="B50" s="171"/>
      <c r="C50" s="171"/>
      <c r="D50" s="5">
        <v>45</v>
      </c>
      <c r="E50" s="5" t="s">
        <v>96</v>
      </c>
      <c r="F50" s="31">
        <f>TVM!F50+KLM!F50+PTA!F50+ALP!F50+KTYM!F50+IDK!F50+EKM!F50+TSR!F50+PLKD!F50+MLPM!F50+KKD!F50+WYND!F50+KNR!F50+KSRGD!F50+SHS!F50</f>
        <v>1.4000000000000004</v>
      </c>
      <c r="G50" s="24">
        <f>TVM!G50+KLM!G50+PTA!G50+ALP!G50+KTYM!G50+IDK!G50+EKM!G50+TSR!G50+PLKD!G50+MLPM!G50+KKD!G50+WYND!G50+KNR!G50+KSRGD!G50+SHS!G50</f>
        <v>0</v>
      </c>
      <c r="H50" s="24">
        <f>TVM!H50+KLM!H50+PTA!H50+ALP!H50+KTYM!H50+IDK!H50+EKM!H50+TSR!H50+PLKD!H50+MLPM!H50+KKD!H50+WYND!H50+KNR!H50+KSRGD!H50+SHS!H50</f>
        <v>0</v>
      </c>
      <c r="I50" s="24">
        <f>TVM!I50+KLM!I50+PTA!I50+ALP!I50+KTYM!I50+IDK!I50+EKM!I50+TSR!I50+PLKD!I50+MLPM!I50+KKD!I50+WYND!I50+KNR!I50+KSRGD!I50+SHS!I50</f>
        <v>0</v>
      </c>
      <c r="J50" s="24">
        <f>TVM!J50+KLM!J50+PTA!J50+ALP!J50+KTYM!J50+IDK!J50+EKM!J50+TSR!J50+PLKD!J50+MLPM!J50+KKD!J50+WYND!J50+KNR!J50+KSRGD!J50+SHS!J50</f>
        <v>0</v>
      </c>
      <c r="K50" s="24">
        <f>TVM!K50+KLM!K50+PTA!K50+ALP!K50+KTYM!K50+IDK!K50+EKM!K50+TSR!K50+PLKD!K50+MLPM!K50+KKD!K50+WYND!K50+KNR!K50+KSRGD!K50+SHS!K50</f>
        <v>0</v>
      </c>
      <c r="L50" s="24">
        <f>TVM!L50+KLM!L50+PTA!L50+ALP!L50+KTYM!L50+IDK!L50+EKM!L50+TSR!L50+PLKD!L50+MLPM!L50+KKD!L50+WYND!L50+KNR!L50+KSRGD!L50+SHS!L50</f>
        <v>0</v>
      </c>
      <c r="M50" s="24">
        <f>TVM!M50+KLM!M50+PTA!M50+ALP!M50+KTYM!M50+IDK!M50+EKM!M50+TSR!M50+PLKD!M50+MLPM!M50+KKD!M50+WYND!M50+KNR!M50+KSRGD!M50+SHS!M50</f>
        <v>0</v>
      </c>
      <c r="N50" s="27">
        <f>TVM!N50+KLM!N50+PTA!N50+ALP!N50+KTYM!N50+IDK!N50+EKM!N50+TSR!N50+PLKD!N50+MLPM!N50+KKD!N50+WYND!N50+KNR!N50+KSRGD!N50+SHS!N50</f>
        <v>15</v>
      </c>
      <c r="O50" s="31">
        <f>TVM!O50+KLM!O50+PTA!O50+ALP!O50+KTYM!O50+IDK!O50+EKM!O50+TSR!O50+PLKD!O50+MLPM!O50+KKD!O50+WYND!O50+KNR!O50+KSRGD!O50+SHS!O50</f>
        <v>1.4000000000000004</v>
      </c>
      <c r="P50" s="24">
        <f>TVM!P50+KLM!P50+PTA!P50+ALP!P50+KTYM!P50+IDK!P50+EKM!P50+TSR!P50+PLKD!P50+MLPM!P50+KKD!P50+WYND!P50+KNR!P50+KSRGD!P50+SHS!P50</f>
        <v>0</v>
      </c>
      <c r="Q50" s="24">
        <f>TVM!Q50+KLM!Q50+PTA!Q50+ALP!Q50+KTYM!Q50+IDK!Q50+EKM!Q50+TSR!Q50+PLKD!Q50+MLPM!Q50+KKD!Q50+WYND!Q50+KNR!Q50+KSRGD!Q50+SHS!Q50</f>
        <v>0</v>
      </c>
      <c r="R50" s="24">
        <f>TVM!R50+KLM!R50+PTA!R50+ALP!R50+KTYM!R50+IDK!R50+EKM!R50+TSR!R50+PLKD!R50+MLPM!R50+KKD!R50+WYND!R50+KNR!R50+KSRGD!R50+SHS!R50</f>
        <v>0</v>
      </c>
      <c r="S50" s="24">
        <f>TVM!S50+KLM!S50+PTA!S50+ALP!S50+KTYM!S50+IDK!S50+EKM!S50+TSR!S50+PLKD!S50+MLPM!S50+KKD!S50+WYND!S50+KNR!S50+KSRGD!S50+SHS!S50</f>
        <v>0</v>
      </c>
      <c r="T50" s="6">
        <f t="shared" si="0"/>
        <v>17.799999999999997</v>
      </c>
      <c r="U50" s="9"/>
      <c r="V50" s="32"/>
      <c r="W50" s="1"/>
      <c r="X50" s="1"/>
      <c r="Y50" s="1"/>
      <c r="Z50" s="1"/>
    </row>
    <row r="51" spans="1:26" ht="39.75" customHeight="1">
      <c r="A51" s="171"/>
      <c r="B51" s="171"/>
      <c r="C51" s="171"/>
      <c r="D51" s="5">
        <v>46</v>
      </c>
      <c r="E51" s="5" t="s">
        <v>97</v>
      </c>
      <c r="F51" s="24">
        <f>TVM!F51+KLM!F51+PTA!F51+ALP!F51+KTYM!F51+IDK!F51+EKM!F51+TSR!F51+PLKD!F51+MLPM!F51+KKD!F51+WYND!F51+KNR!F51+KSRGD!F51+SHS!F51</f>
        <v>0</v>
      </c>
      <c r="G51" s="24">
        <f>TVM!G51+KLM!G51+PTA!G51+ALP!G51+KTYM!G51+IDK!G51+EKM!G51+TSR!G51+PLKD!G51+MLPM!G51+KKD!G51+WYND!G51+KNR!G51+KSRGD!G51+SHS!G51</f>
        <v>0</v>
      </c>
      <c r="H51" s="24">
        <f>TVM!H51+KLM!H51+PTA!H51+ALP!H51+KTYM!H51+IDK!H51+EKM!H51+TSR!H51+PLKD!H51+MLPM!H51+KKD!H51+WYND!H51+KNR!H51+KSRGD!H51+SHS!H51</f>
        <v>0</v>
      </c>
      <c r="I51" s="24">
        <f>TVM!I51+KLM!I51+PTA!I51+ALP!I51+KTYM!I51+IDK!I51+EKM!I51+TSR!I51+PLKD!I51+MLPM!I51+KKD!I51+WYND!I51+KNR!I51+KSRGD!I51+SHS!I51</f>
        <v>0</v>
      </c>
      <c r="J51" s="24">
        <f>TVM!J51+KLM!J51+PTA!J51+ALP!J51+KTYM!J51+IDK!J51+EKM!J51+TSR!J51+PLKD!J51+MLPM!J51+KKD!J51+WYND!J51+KNR!J51+KSRGD!J51+SHS!J51</f>
        <v>0</v>
      </c>
      <c r="K51" s="24">
        <f>TVM!K51+KLM!K51+PTA!K51+ALP!K51+KTYM!K51+IDK!K51+EKM!K51+TSR!K51+PLKD!K51+MLPM!K51+KKD!K51+WYND!K51+KNR!K51+KSRGD!K51+SHS!K51</f>
        <v>0</v>
      </c>
      <c r="L51" s="24">
        <f>TVM!L51+KLM!L51+PTA!L51+ALP!L51+KTYM!L51+IDK!L51+EKM!L51+TSR!L51+PLKD!L51+MLPM!L51+KKD!L51+WYND!L51+KNR!L51+KSRGD!L51+SHS!L51</f>
        <v>0</v>
      </c>
      <c r="M51" s="24">
        <f>TVM!M51+KLM!M51+PTA!M51+ALP!M51+KTYM!M51+IDK!M51+EKM!M51+TSR!M51+PLKD!M51+MLPM!M51+KKD!M51+WYND!M51+KNR!M51+KSRGD!M51+SHS!M51</f>
        <v>0</v>
      </c>
      <c r="N51" s="24">
        <f>TVM!N51+KLM!N51+PTA!N51+ALP!N51+KTYM!N51+IDK!N51+EKM!N51+TSR!N51+PLKD!N51+MLPM!N51+KKD!N51+WYND!N51+KNR!N51+KSRGD!N51+SHS!N51</f>
        <v>0</v>
      </c>
      <c r="O51" s="24">
        <f>TVM!O51+KLM!O51+PTA!O51+ALP!O51+KTYM!O51+IDK!O51+EKM!O51+TSR!O51+PLKD!O51+MLPM!O51+KKD!O51+WYND!O51+KNR!O51+KSRGD!O51+SHS!O51</f>
        <v>0</v>
      </c>
      <c r="P51" s="24">
        <f>TVM!P51+KLM!P51+PTA!P51+ALP!P51+KTYM!P51+IDK!P51+EKM!P51+TSR!P51+PLKD!P51+MLPM!P51+KKD!P51+WYND!P51+KNR!P51+KSRGD!P51+SHS!P51</f>
        <v>0</v>
      </c>
      <c r="Q51" s="24">
        <f>TVM!Q51+KLM!Q51+PTA!Q51+ALP!Q51+KTYM!Q51+IDK!Q51+EKM!Q51+TSR!Q51+PLKD!Q51+MLPM!Q51+KKD!Q51+WYND!Q51+KNR!Q51+KSRGD!Q51+SHS!Q51</f>
        <v>0</v>
      </c>
      <c r="R51" s="24">
        <f>TVM!R51+KLM!R51+PTA!R51+ALP!R51+KTYM!R51+IDK!R51+EKM!R51+TSR!R51+PLKD!R51+MLPM!R51+KKD!R51+WYND!R51+KNR!R51+KSRGD!R51+SHS!R51</f>
        <v>0</v>
      </c>
      <c r="S51" s="24">
        <f>TVM!S51+KLM!S51+PTA!S51+ALP!S51+KTYM!S51+IDK!S51+EKM!S51+TSR!S51+PLKD!S51+MLPM!S51+KKD!S51+WYND!S51+KNR!S51+KSRGD!S51+SHS!S51</f>
        <v>0</v>
      </c>
      <c r="T51" s="6">
        <f t="shared" si="0"/>
        <v>0</v>
      </c>
      <c r="U51" s="9"/>
      <c r="V51" s="32"/>
      <c r="W51" s="1"/>
      <c r="X51" s="1"/>
      <c r="Y51" s="1"/>
      <c r="Z51" s="1"/>
    </row>
    <row r="52" spans="1:26" ht="39.75" customHeight="1">
      <c r="A52" s="171"/>
      <c r="B52" s="171"/>
      <c r="C52" s="171"/>
      <c r="D52" s="5">
        <v>47</v>
      </c>
      <c r="E52" s="5" t="s">
        <v>98</v>
      </c>
      <c r="F52" s="31">
        <f>TVM!F52+KLM!F52+PTA!F52+ALP!F52+KTYM!F52+IDK!F52+EKM!F52+TSR!F52+PLKD!F52+MLPM!F52+KKD!F52+WYND!F52+KNR!F52+KSRGD!F52+SHS!F52</f>
        <v>35</v>
      </c>
      <c r="G52" s="24">
        <f>TVM!G52+KLM!G52+PTA!G52+ALP!G52+KTYM!G52+IDK!G52+EKM!G52+TSR!G52+PLKD!G52+MLPM!G52+KKD!G52+WYND!G52+KNR!G52+KSRGD!G52+SHS!G52</f>
        <v>0</v>
      </c>
      <c r="H52" s="24">
        <f>TVM!H52+KLM!H52+PTA!H52+ALP!H52+KTYM!H52+IDK!H52+EKM!H52+TSR!H52+PLKD!H52+MLPM!H52+KKD!H52+WYND!H52+KNR!H52+KSRGD!H52+SHS!H52</f>
        <v>0</v>
      </c>
      <c r="I52" s="24">
        <f>TVM!I52+KLM!I52+PTA!I52+ALP!I52+KTYM!I52+IDK!I52+EKM!I52+TSR!I52+PLKD!I52+MLPM!I52+KKD!I52+WYND!I52+KNR!I52+KSRGD!I52+SHS!I52</f>
        <v>0</v>
      </c>
      <c r="J52" s="24">
        <f>TVM!J52+KLM!J52+PTA!J52+ALP!J52+KTYM!J52+IDK!J52+EKM!J52+TSR!J52+PLKD!J52+MLPM!J52+KKD!J52+WYND!J52+KNR!J52+KSRGD!J52+SHS!J52</f>
        <v>0</v>
      </c>
      <c r="K52" s="24">
        <f>TVM!K52+KLM!K52+PTA!K52+ALP!K52+KTYM!K52+IDK!K52+EKM!K52+TSR!K52+PLKD!K52+MLPM!K52+KKD!K52+WYND!K52+KNR!K52+KSRGD!K52+SHS!K52</f>
        <v>0</v>
      </c>
      <c r="L52" s="24">
        <f>TVM!L52+KLM!L52+PTA!L52+ALP!L52+KTYM!L52+IDK!L52+EKM!L52+TSR!L52+PLKD!L52+MLPM!L52+KKD!L52+WYND!L52+KNR!L52+KSRGD!L52+SHS!L52</f>
        <v>0</v>
      </c>
      <c r="M52" s="24">
        <f>TVM!M52+KLM!M52+PTA!M52+ALP!M52+KTYM!M52+IDK!M52+EKM!M52+TSR!M52+PLKD!M52+MLPM!M52+KKD!M52+WYND!M52+KNR!M52+KSRGD!M52+SHS!M52</f>
        <v>0</v>
      </c>
      <c r="N52" s="24">
        <f>TVM!N52+KLM!N52+PTA!N52+ALP!N52+KTYM!N52+IDK!N52+EKM!N52+TSR!N52+PLKD!N52+MLPM!N52+KKD!N52+WYND!N52+KNR!N52+KSRGD!N52+SHS!N52</f>
        <v>0</v>
      </c>
      <c r="O52" s="24">
        <f>TVM!O52+KLM!O52+PTA!O52+ALP!O52+KTYM!O52+IDK!O52+EKM!O52+TSR!O52+PLKD!O52+MLPM!O52+KKD!O52+WYND!O52+KNR!O52+KSRGD!O52+SHS!O52</f>
        <v>0</v>
      </c>
      <c r="P52" s="24">
        <f>TVM!P52+KLM!P52+PTA!P52+ALP!P52+KTYM!P52+IDK!P52+EKM!P52+TSR!P52+PLKD!P52+MLPM!P52+KKD!P52+WYND!P52+KNR!P52+KSRGD!P52+SHS!P52</f>
        <v>0</v>
      </c>
      <c r="Q52" s="24">
        <f>TVM!Q52+KLM!Q52+PTA!Q52+ALP!Q52+KTYM!Q52+IDK!Q52+EKM!Q52+TSR!Q52+PLKD!Q52+MLPM!Q52+KKD!Q52+WYND!Q52+KNR!Q52+KSRGD!Q52+SHS!Q52</f>
        <v>0</v>
      </c>
      <c r="R52" s="24">
        <f>TVM!R52+KLM!R52+PTA!R52+ALP!R52+KTYM!R52+IDK!R52+EKM!R52+TSR!R52+PLKD!R52+MLPM!R52+KKD!R52+WYND!R52+KNR!R52+KSRGD!R52+SHS!R52</f>
        <v>0</v>
      </c>
      <c r="S52" s="24">
        <f>TVM!S52+KLM!S52+PTA!S52+ALP!S52+KTYM!S52+IDK!S52+EKM!S52+TSR!S52+PLKD!S52+MLPM!S52+KKD!S52+WYND!S52+KNR!S52+KSRGD!S52+SHS!S52</f>
        <v>0</v>
      </c>
      <c r="T52" s="6">
        <f t="shared" si="0"/>
        <v>35</v>
      </c>
      <c r="U52" s="9"/>
      <c r="V52" s="32"/>
      <c r="W52" s="1"/>
      <c r="X52" s="1"/>
      <c r="Y52" s="1"/>
      <c r="Z52" s="1"/>
    </row>
    <row r="53" spans="1:26" ht="39.75" customHeight="1">
      <c r="A53" s="171"/>
      <c r="B53" s="171"/>
      <c r="C53" s="171"/>
      <c r="D53" s="5">
        <v>48</v>
      </c>
      <c r="E53" s="5" t="s">
        <v>99</v>
      </c>
      <c r="F53" s="24">
        <f>TVM!F53+KLM!F53+PTA!F53+ALP!F53+KTYM!F53+IDK!F53+EKM!F53+TSR!F53+PLKD!F53+MLPM!F53+KKD!F53+WYND!F53+KNR!F53+KSRGD!F53+SHS!F53</f>
        <v>0</v>
      </c>
      <c r="G53" s="24">
        <f>TVM!G53+KLM!G53+PTA!G53+ALP!G53+KTYM!G53+IDK!G53+EKM!G53+TSR!G53+PLKD!G53+MLPM!G53+KKD!G53+WYND!G53+KNR!G53+KSRGD!G53+SHS!G53</f>
        <v>0</v>
      </c>
      <c r="H53" s="24">
        <f>TVM!H53+KLM!H53+PTA!H53+ALP!H53+KTYM!H53+IDK!H53+EKM!H53+TSR!H53+PLKD!H53+MLPM!H53+KKD!H53+WYND!H53+KNR!H53+KSRGD!H53+SHS!H53</f>
        <v>0</v>
      </c>
      <c r="I53" s="24">
        <f>TVM!I53+KLM!I53+PTA!I53+ALP!I53+KTYM!I53+IDK!I53+EKM!I53+TSR!I53+PLKD!I53+MLPM!I53+KKD!I53+WYND!I53+KNR!I53+KSRGD!I53+SHS!I53</f>
        <v>0</v>
      </c>
      <c r="J53" s="24">
        <f>TVM!J53+KLM!J53+PTA!J53+ALP!J53+KTYM!J53+IDK!J53+EKM!J53+TSR!J53+PLKD!J53+MLPM!J53+KKD!J53+WYND!J53+KNR!J53+KSRGD!J53+SHS!J53</f>
        <v>0</v>
      </c>
      <c r="K53" s="24">
        <f>TVM!K53+KLM!K53+PTA!K53+ALP!K53+KTYM!K53+IDK!K53+EKM!K53+TSR!K53+PLKD!K53+MLPM!K53+KKD!K53+WYND!K53+KNR!K53+KSRGD!K53+SHS!K53</f>
        <v>0</v>
      </c>
      <c r="L53" s="24">
        <f>TVM!L53+KLM!L53+PTA!L53+ALP!L53+KTYM!L53+IDK!L53+EKM!L53+TSR!L53+PLKD!L53+MLPM!L53+KKD!L53+WYND!L53+KNR!L53+KSRGD!L53+SHS!L53</f>
        <v>0</v>
      </c>
      <c r="M53" s="24">
        <f>TVM!M53+KLM!M53+PTA!M53+ALP!M53+KTYM!M53+IDK!M53+EKM!M53+TSR!M53+PLKD!M53+MLPM!M53+KKD!M53+WYND!M53+KNR!M53+KSRGD!M53+SHS!M53</f>
        <v>0</v>
      </c>
      <c r="N53" s="27">
        <f>TVM!N53+KLM!N53+PTA!N53+ALP!N53+KTYM!N53+IDK!N53+EKM!N53+TSR!N53+PLKD!N53+MLPM!N53+KKD!N53+WYND!N53+KNR!N53+KSRGD!N53+SHS!N53</f>
        <v>2.0500000000000003</v>
      </c>
      <c r="O53" s="24">
        <f>TVM!O53+KLM!O53+PTA!O53+ALP!O53+KTYM!O53+IDK!O53+EKM!O53+TSR!O53+PLKD!O53+MLPM!O53+KKD!O53+WYND!O53+KNR!O53+KSRGD!O53+SHS!O53</f>
        <v>0</v>
      </c>
      <c r="P53" s="31">
        <f>TVM!P53+KLM!P53+PTA!P53+ALP!P53+KTYM!P53+IDK!P53+EKM!P53+TSR!P53+PLKD!P53+MLPM!P53+KKD!P53+WYND!P53+KNR!P53+KSRGD!P53+SHS!P53</f>
        <v>0</v>
      </c>
      <c r="Q53" s="24">
        <f>TVM!Q53+KLM!Q53+PTA!Q53+ALP!Q53+KTYM!Q53+IDK!Q53+EKM!Q53+TSR!Q53+PLKD!Q53+MLPM!Q53+KKD!Q53+WYND!Q53+KNR!Q53+KSRGD!Q53+SHS!Q53</f>
        <v>0</v>
      </c>
      <c r="R53" s="24">
        <f>TVM!R53+KLM!R53+PTA!R53+ALP!R53+KTYM!R53+IDK!R53+EKM!R53+TSR!R53+PLKD!R53+MLPM!R53+KKD!R53+WYND!R53+KNR!R53+KSRGD!R53+SHS!R53</f>
        <v>0</v>
      </c>
      <c r="S53" s="24">
        <f>TVM!S53+KLM!S53+PTA!S53+ALP!S53+KTYM!S53+IDK!S53+EKM!S53+TSR!S53+PLKD!S53+MLPM!S53+KKD!S53+WYND!S53+KNR!S53+KSRGD!S53+SHS!S53</f>
        <v>0</v>
      </c>
      <c r="T53" s="6">
        <f t="shared" si="0"/>
        <v>2.0500000000000003</v>
      </c>
      <c r="U53" s="9"/>
      <c r="V53" s="32"/>
      <c r="W53" s="1"/>
      <c r="X53" s="1"/>
      <c r="Y53" s="1"/>
      <c r="Z53" s="1"/>
    </row>
    <row r="54" spans="1:26" ht="39.75" customHeight="1">
      <c r="A54" s="171"/>
      <c r="B54" s="171"/>
      <c r="C54" s="171"/>
      <c r="D54" s="5">
        <v>49</v>
      </c>
      <c r="E54" s="5" t="s">
        <v>100</v>
      </c>
      <c r="F54" s="24">
        <f>TVM!F54+KLM!F54+PTA!F54+ALP!F54+KTYM!F54+IDK!F54+EKM!F54+TSR!F54+PLKD!F54+MLPM!F54+KKD!F54+WYND!F54+KNR!F54+KSRGD!F54+SHS!F54</f>
        <v>0</v>
      </c>
      <c r="G54" s="24">
        <f>TVM!G54+KLM!G54+PTA!G54+ALP!G54+KTYM!G54+IDK!G54+EKM!G54+TSR!G54+PLKD!G54+MLPM!G54+KKD!G54+WYND!G54+KNR!G54+KSRGD!G54+SHS!G54</f>
        <v>0</v>
      </c>
      <c r="H54" s="24">
        <f>TVM!H54+KLM!H54+PTA!H54+ALP!H54+KTYM!H54+IDK!H54+EKM!H54+TSR!H54+PLKD!H54+MLPM!H54+KKD!H54+WYND!H54+KNR!H54+KSRGD!H54+SHS!H54</f>
        <v>0</v>
      </c>
      <c r="I54" s="24">
        <f>TVM!I54+KLM!I54+PTA!I54+ALP!I54+KTYM!I54+IDK!I54+EKM!I54+TSR!I54+PLKD!I54+MLPM!I54+KKD!I54+WYND!I54+KNR!I54+KSRGD!I54+SHS!I54</f>
        <v>0</v>
      </c>
      <c r="J54" s="24">
        <f>TVM!J54+KLM!J54+PTA!J54+ALP!J54+KTYM!J54+IDK!J54+EKM!J54+TSR!J54+PLKD!J54+MLPM!J54+KKD!J54+WYND!J54+KNR!J54+KSRGD!J54+SHS!J54</f>
        <v>0</v>
      </c>
      <c r="K54" s="24">
        <f>TVM!K54+KLM!K54+PTA!K54+ALP!K54+KTYM!K54+IDK!K54+EKM!K54+TSR!K54+PLKD!K54+MLPM!K54+KKD!K54+WYND!K54+KNR!K54+KSRGD!K54+SHS!K54</f>
        <v>0</v>
      </c>
      <c r="L54" s="24">
        <f>TVM!L54+KLM!L54+PTA!L54+ALP!L54+KTYM!L54+IDK!L54+EKM!L54+TSR!L54+PLKD!L54+MLPM!L54+KKD!L54+WYND!L54+KNR!L54+KSRGD!L54+SHS!L54</f>
        <v>0</v>
      </c>
      <c r="M54" s="24">
        <f>TVM!M54+KLM!M54+PTA!M54+ALP!M54+KTYM!M54+IDK!M54+EKM!M54+TSR!M54+PLKD!M54+MLPM!M54+KKD!M54+WYND!M54+KNR!M54+KSRGD!M54+SHS!M54</f>
        <v>0</v>
      </c>
      <c r="N54" s="24">
        <f>TVM!N54+KLM!N54+PTA!N54+ALP!N54+KTYM!N54+IDK!N54+EKM!N54+TSR!N54+PLKD!N54+MLPM!N54+KKD!N54+WYND!N54+KNR!N54+KSRGD!N54+SHS!N54</f>
        <v>0</v>
      </c>
      <c r="O54" s="24">
        <f>TVM!O54+KLM!O54+PTA!O54+ALP!O54+KTYM!O54+IDK!O54+EKM!O54+TSR!O54+PLKD!O54+MLPM!O54+KKD!O54+WYND!O54+KNR!O54+KSRGD!O54+SHS!O54</f>
        <v>0</v>
      </c>
      <c r="P54" s="24">
        <f>TVM!P54+KLM!P54+PTA!P54+ALP!P54+KTYM!P54+IDK!P54+EKM!P54+TSR!P54+PLKD!P54+MLPM!P54+KKD!P54+WYND!P54+KNR!P54+KSRGD!P54+SHS!P54</f>
        <v>0</v>
      </c>
      <c r="Q54" s="27">
        <f>TVM!Q54+KLM!Q54+PTA!Q54+ALP!Q54+KTYM!Q54+IDK!Q54+EKM!Q54+TSR!Q54+PLKD!Q54+MLPM!Q54+KKD!Q54+WYND!Q54+KNR!Q54+KSRGD!Q54+SHS!Q54</f>
        <v>60.47</v>
      </c>
      <c r="R54" s="31">
        <f>TVM!R54+KLM!R54+PTA!R54+ALP!R54+KTYM!R54+IDK!R54+EKM!R54+TSR!R54+PLKD!R54+MLPM!R54+KKD!R54+WYND!R54+KNR!R54+KSRGD!R54+SHS!R54</f>
        <v>17.849999999999998</v>
      </c>
      <c r="S54" s="24">
        <f>TVM!S54+KLM!S54+PTA!S54+ALP!S54+KTYM!S54+IDK!S54+EKM!S54+TSR!S54+PLKD!S54+MLPM!S54+KKD!S54+WYND!S54+KNR!S54+KSRGD!S54+SHS!S54</f>
        <v>0</v>
      </c>
      <c r="T54" s="25">
        <f t="shared" si="0"/>
        <v>78.319999999999993</v>
      </c>
      <c r="U54" s="153"/>
      <c r="V54" s="32"/>
      <c r="W54" s="1"/>
      <c r="X54" s="1"/>
      <c r="Y54" s="1"/>
      <c r="Z54" s="1"/>
    </row>
    <row r="55" spans="1:26" ht="39.75" customHeight="1">
      <c r="A55" s="171"/>
      <c r="B55" s="171"/>
      <c r="C55" s="171"/>
      <c r="D55" s="5">
        <v>50</v>
      </c>
      <c r="E55" s="5" t="s">
        <v>102</v>
      </c>
      <c r="F55" s="24">
        <f>TVM!F55+KLM!F55+PTA!F55+ALP!F55+KTYM!F55+IDK!F55+EKM!F55+TSR!F55+PLKD!F55+MLPM!F55+KKD!F55+WYND!F55+KNR!F55+KSRGD!F55+SHS!F55</f>
        <v>0</v>
      </c>
      <c r="G55" s="24">
        <f>TVM!G55+KLM!G55+PTA!G55+ALP!G55+KTYM!G55+IDK!G55+EKM!G55+TSR!G55+PLKD!G55+MLPM!G55+KKD!G55+WYND!G55+KNR!G55+KSRGD!G55+SHS!G55</f>
        <v>0</v>
      </c>
      <c r="H55" s="24">
        <f>TVM!H55+KLM!H55+PTA!H55+ALP!H55+KTYM!H55+IDK!H55+EKM!H55+TSR!H55+PLKD!H55+MLPM!H55+KKD!H55+WYND!H55+KNR!H55+KSRGD!H55+SHS!H55</f>
        <v>0</v>
      </c>
      <c r="I55" s="27">
        <f>TVM!I55+KLM!I55+PTA!I55+ALP!I55+KTYM!I55+IDK!I55+EKM!I55+TSR!I55+PLKD!I55+MLPM!I55+KKD!I55+WYND!I55+KNR!I55+KSRGD!I55+SHS!I55</f>
        <v>1.08</v>
      </c>
      <c r="J55" s="24">
        <f>TVM!J55+KLM!J55+PTA!J55+ALP!J55+KTYM!J55+IDK!J55+EKM!J55+TSR!J55+PLKD!J55+MLPM!J55+KKD!J55+WYND!J55+KNR!J55+KSRGD!J55+SHS!J55</f>
        <v>0</v>
      </c>
      <c r="K55" s="24">
        <f>TVM!K55+KLM!K55+PTA!K55+ALP!K55+KTYM!K55+IDK!K55+EKM!K55+TSR!K55+PLKD!K55+MLPM!K55+KKD!K55+WYND!K55+KNR!K55+KSRGD!K55+SHS!K55</f>
        <v>0</v>
      </c>
      <c r="L55" s="24">
        <f>TVM!L55+KLM!L55+PTA!L55+ALP!L55+KTYM!L55+IDK!L55+EKM!L55+TSR!L55+PLKD!L55+MLPM!L55+KKD!L55+WYND!L55+KNR!L55+KSRGD!L55+SHS!L55</f>
        <v>0</v>
      </c>
      <c r="M55" s="24">
        <f>TVM!M55+KLM!M55+PTA!M55+ALP!M55+KTYM!M55+IDK!M55+EKM!M55+TSR!M55+PLKD!M55+MLPM!M55+KKD!M55+WYND!M55+KNR!M55+KSRGD!M55+SHS!M55</f>
        <v>0</v>
      </c>
      <c r="N55" s="27">
        <f>TVM!N55+KLM!N55+PTA!N55+ALP!N55+KTYM!N55+IDK!N55+EKM!N55+TSR!N55+PLKD!N55+MLPM!N55+KKD!N55+WYND!N55+KNR!N55+KSRGD!N55+SHS!N55</f>
        <v>15.4</v>
      </c>
      <c r="O55" s="24">
        <f>TVM!O55+KLM!O55+PTA!O55+ALP!O55+KTYM!O55+IDK!O55+EKM!O55+TSR!O55+PLKD!O55+MLPM!O55+KKD!O55+WYND!O55+KNR!O55+KSRGD!O55+SHS!O55</f>
        <v>0</v>
      </c>
      <c r="P55" s="31">
        <f>TVM!P55+KLM!P55+PTA!P55+ALP!P55+KTYM!P55+IDK!P55+EKM!P55+TSR!P55+PLKD!P55+MLPM!P55+KKD!P55+WYND!P55+KNR!P55+KSRGD!P55+SHS!P55</f>
        <v>9.2999999999999989</v>
      </c>
      <c r="Q55" s="27">
        <f>TVM!Q55+KLM!Q55+PTA!Q55+ALP!Q55+KTYM!Q55+IDK!Q55+EKM!Q55+TSR!Q55+PLKD!Q55+MLPM!Q55+KKD!Q55+WYND!Q55+KNR!Q55+KSRGD!Q55+SHS!Q55</f>
        <v>99.7</v>
      </c>
      <c r="R55" s="31">
        <f>TVM!R55+KLM!R55+PTA!R55+ALP!R55+KTYM!R55+IDK!R55+EKM!R55+TSR!R55+PLKD!R55+MLPM!R55+KKD!R55+WYND!R55+KNR!R55+KSRGD!R55+SHS!R55</f>
        <v>2.5190000000000001</v>
      </c>
      <c r="S55" s="24">
        <f>TVM!S55+KLM!S55+PTA!S55+ALP!S55+KTYM!S55+IDK!S55+EKM!S55+TSR!S55+PLKD!S55+MLPM!S55+KKD!S55+WYND!S55+KNR!S55+KSRGD!S55+SHS!S55</f>
        <v>0</v>
      </c>
      <c r="T55" s="25">
        <f t="shared" si="0"/>
        <v>127.99900000000001</v>
      </c>
      <c r="U55" s="153"/>
      <c r="V55" s="32"/>
      <c r="W55" s="1"/>
      <c r="X55" s="1"/>
      <c r="Y55" s="1"/>
      <c r="Z55" s="1"/>
    </row>
    <row r="56" spans="1:26" ht="39.75" customHeight="1">
      <c r="A56" s="171"/>
      <c r="B56" s="169"/>
      <c r="C56" s="169"/>
      <c r="D56" s="5">
        <v>51</v>
      </c>
      <c r="E56" s="5" t="s">
        <v>54</v>
      </c>
      <c r="F56" s="24">
        <f>TVM!F56+KLM!F56+PTA!F56+ALP!F56+KTYM!F56+IDK!F56+EKM!F56+TSR!F56+PLKD!F56+MLPM!F56+KKD!F56+WYND!F56+KNR!F56+KSRGD!F56+SHS!F56</f>
        <v>0</v>
      </c>
      <c r="G56" s="24">
        <f>TVM!G56+KLM!G56+PTA!G56+ALP!G56+KTYM!G56+IDK!G56+EKM!G56+TSR!G56+PLKD!G56+MLPM!G56+KKD!G56+WYND!G56+KNR!G56+KSRGD!G56+SHS!G56</f>
        <v>0</v>
      </c>
      <c r="H56" s="24">
        <f>TVM!H56+KLM!H56+PTA!H56+ALP!H56+KTYM!H56+IDK!H56+EKM!H56+TSR!H56+PLKD!H56+MLPM!H56+KKD!H56+WYND!H56+KNR!H56+KSRGD!H56+SHS!H56</f>
        <v>0</v>
      </c>
      <c r="I56" s="24">
        <f>TVM!I56+KLM!I56+PTA!I56+ALP!I56+KTYM!I56+IDK!I56+EKM!I56+TSR!I56+PLKD!I56+MLPM!I56+KKD!I56+WYND!I56+KNR!I56+KSRGD!I56+SHS!I56</f>
        <v>0</v>
      </c>
      <c r="J56" s="24">
        <f>TVM!J56+KLM!J56+PTA!J56+ALP!J56+KTYM!J56+IDK!J56+EKM!J56+TSR!J56+PLKD!J56+MLPM!J56+KKD!J56+WYND!J56+KNR!J56+KSRGD!J56+SHS!J56</f>
        <v>0</v>
      </c>
      <c r="K56" s="24">
        <f>TVM!K56+KLM!K56+PTA!K56+ALP!K56+KTYM!K56+IDK!K56+EKM!K56+TSR!K56+PLKD!K56+MLPM!K56+KKD!K56+WYND!K56+KNR!K56+KSRGD!K56+SHS!K56</f>
        <v>0</v>
      </c>
      <c r="L56" s="24">
        <f>TVM!L56+KLM!L56+PTA!L56+ALP!L56+KTYM!L56+IDK!L56+EKM!L56+TSR!L56+PLKD!L56+MLPM!L56+KKD!L56+WYND!L56+KNR!L56+KSRGD!L56+SHS!L56</f>
        <v>0</v>
      </c>
      <c r="M56" s="24">
        <f>TVM!M56+KLM!M56+PTA!M56+ALP!M56+KTYM!M56+IDK!M56+EKM!M56+TSR!M56+PLKD!M56+MLPM!M56+KKD!M56+WYND!M56+KNR!M56+KSRGD!M56+SHS!M56</f>
        <v>0</v>
      </c>
      <c r="N56" s="31">
        <f>TVM!N56+KLM!N56+PTA!N56+ALP!N56+KTYM!N56+IDK!N56+EKM!N56+TSR!N56+PLKD!N56+MLPM!N56+KKD!N56+WYND!N56+KNR!N56+KSRGD!N56+SHS!N56</f>
        <v>0</v>
      </c>
      <c r="O56" s="24">
        <f>TVM!O56+KLM!O56+PTA!O56+ALP!O56+KTYM!O56+IDK!O56+EKM!O56+TSR!O56+PLKD!O56+MLPM!O56+KKD!O56+WYND!O56+KNR!O56+KSRGD!O56+SHS!O56</f>
        <v>0</v>
      </c>
      <c r="P56" s="24">
        <f>TVM!P56+KLM!P56+PTA!P56+ALP!P56+KTYM!P56+IDK!P56+EKM!P56+TSR!P56+PLKD!P56+MLPM!P56+KKD!P56+WYND!P56+KNR!P56+KSRGD!P56+SHS!P56</f>
        <v>14</v>
      </c>
      <c r="Q56" s="24">
        <f>TVM!Q56+KLM!Q56+PTA!Q56+ALP!Q56+KTYM!Q56+IDK!Q56+EKM!Q56+TSR!Q56+PLKD!Q56+MLPM!Q56+KKD!Q56+WYND!Q56+KNR!Q56+KSRGD!Q56+SHS!Q56</f>
        <v>0</v>
      </c>
      <c r="R56" s="24">
        <f>TVM!R56+KLM!R56+PTA!R56+ALP!R56+KTYM!R56+IDK!R56+EKM!R56+TSR!R56+PLKD!R56+MLPM!R56+KKD!R56+WYND!R56+KNR!R56+KSRGD!R56+SHS!R56</f>
        <v>0</v>
      </c>
      <c r="S56" s="24">
        <f>TVM!S56+KLM!S56+PTA!S56+ALP!S56+KTYM!S56+IDK!S56+EKM!S56+TSR!S56+PLKD!S56+MLPM!S56+KKD!S56+WYND!S56+KNR!S56+KSRGD!S56+SHS!S56</f>
        <v>0</v>
      </c>
      <c r="T56" s="25">
        <f t="shared" si="0"/>
        <v>14</v>
      </c>
      <c r="U56" s="153"/>
      <c r="V56" s="32"/>
      <c r="W56" s="1"/>
      <c r="X56" s="1"/>
      <c r="Y56" s="1"/>
      <c r="Z56" s="1"/>
    </row>
    <row r="57" spans="1:26" ht="39.75" customHeight="1">
      <c r="A57" s="171"/>
      <c r="B57" s="168" t="s">
        <v>103</v>
      </c>
      <c r="C57" s="168" t="s">
        <v>104</v>
      </c>
      <c r="D57" s="5">
        <v>52</v>
      </c>
      <c r="E57" s="5" t="s">
        <v>105</v>
      </c>
      <c r="F57" s="24">
        <f>TVM!F57+KLM!F57+PTA!F57+ALP!F57+KTYM!F57+IDK!F57+EKM!F57+TSR!F57+PLKD!F57+MLPM!F57+KKD!F57+WYND!F57+KNR!F57+KSRGD!F57+SHS!F57</f>
        <v>0</v>
      </c>
      <c r="G57" s="24">
        <f>TVM!G57+KLM!G57+PTA!G57+ALP!G57+KTYM!G57+IDK!G57+EKM!G57+TSR!G57+PLKD!G57+MLPM!G57+KKD!G57+WYND!G57+KNR!G57+KSRGD!G57+SHS!G57</f>
        <v>0</v>
      </c>
      <c r="H57" s="24">
        <f>TVM!H57+KLM!H57+PTA!H57+ALP!H57+KTYM!H57+IDK!H57+EKM!H57+TSR!H57+PLKD!H57+MLPM!H57+KKD!H57+WYND!H57+KNR!H57+KSRGD!H57+SHS!H57</f>
        <v>0</v>
      </c>
      <c r="I57" s="27">
        <f>TVM!I57+KLM!I57+PTA!I57+ALP!I57+KTYM!I57+IDK!I57+EKM!I57+TSR!I57+PLKD!I57+MLPM!I57+KKD!I57+WYND!I57+KNR!I57+KSRGD!I57+SHS!I57</f>
        <v>196.453</v>
      </c>
      <c r="J57" s="24">
        <f>TVM!J57+KLM!J57+PTA!J57+ALP!J57+KTYM!J57+IDK!J57+EKM!J57+TSR!J57+PLKD!J57+MLPM!J57+KKD!J57+WYND!J57+KNR!J57+KSRGD!J57+SHS!J57</f>
        <v>0</v>
      </c>
      <c r="K57" s="27">
        <f>TVM!K57+KLM!K57+PTA!K57+ALP!K57+KTYM!K57+IDK!K57+EKM!K57+TSR!K57+PLKD!K57+MLPM!K57+KKD!K57+WYND!K57+KNR!K57+KSRGD!K57+SHS!K57</f>
        <v>1514.31</v>
      </c>
      <c r="L57" s="24">
        <f>TVM!L57+KLM!L57+PTA!L57+ALP!L57+KTYM!L57+IDK!L57+EKM!L57+TSR!L57+PLKD!L57+MLPM!L57+KKD!L57+WYND!L57+KNR!L57+KSRGD!L57+SHS!L57</f>
        <v>0</v>
      </c>
      <c r="M57" s="24">
        <f>TVM!M57+KLM!M57+PTA!M57+ALP!M57+KTYM!M57+IDK!M57+EKM!M57+TSR!M57+PLKD!M57+MLPM!M57+KKD!M57+WYND!M57+KNR!M57+KSRGD!M57+SHS!M57</f>
        <v>0</v>
      </c>
      <c r="N57" s="27">
        <f>TVM!N57+KLM!N57+PTA!N57+ALP!N57+KTYM!N57+IDK!N57+EKM!N57+TSR!N57+PLKD!N57+MLPM!N57+KKD!N57+WYND!N57+KNR!N57+KSRGD!N57+SHS!N57</f>
        <v>28</v>
      </c>
      <c r="O57" s="31">
        <f>TVM!O57+KLM!O57+PTA!O57+ALP!O57+KTYM!O57+IDK!O57+EKM!O57+TSR!O57+PLKD!O57+MLPM!O57+KKD!O57+WYND!O57+KNR!O57+KSRGD!O57+SHS!O57</f>
        <v>475.97200000000004</v>
      </c>
      <c r="P57" s="24">
        <f>TVM!P57+KLM!P57+PTA!P57+ALP!P57+KTYM!P57+IDK!P57+EKM!P57+TSR!P57+PLKD!P57+MLPM!P57+KKD!P57+WYND!P57+KNR!P57+KSRGD!P57+SHS!P57</f>
        <v>0</v>
      </c>
      <c r="Q57" s="24">
        <f>TVM!Q57+KLM!Q57+PTA!Q57+ALP!Q57+KTYM!Q57+IDK!Q57+EKM!Q57+TSR!Q57+PLKD!Q57+MLPM!Q57+KKD!Q57+WYND!Q57+KNR!Q57+KSRGD!Q57+SHS!Q57</f>
        <v>0</v>
      </c>
      <c r="R57" s="24">
        <f>TVM!R57+KLM!R57+PTA!R57+ALP!R57+KTYM!R57+IDK!R57+EKM!R57+TSR!R57+PLKD!R57+MLPM!R57+KKD!R57+WYND!R57+KNR!R57+KSRGD!R57+SHS!R57</f>
        <v>0</v>
      </c>
      <c r="S57" s="24">
        <f>TVM!S57+KLM!S57+PTA!S57+ALP!S57+KTYM!S57+IDK!S57+EKM!S57+TSR!S57+PLKD!S57+MLPM!S57+KKD!S57+WYND!S57+KNR!S57+KSRGD!S57+SHS!S57</f>
        <v>0</v>
      </c>
      <c r="T57" s="25">
        <f t="shared" si="0"/>
        <v>2214.7350000000001</v>
      </c>
      <c r="U57" s="153"/>
      <c r="V57" s="32"/>
      <c r="W57" s="1"/>
      <c r="X57" s="1"/>
      <c r="Y57" s="1"/>
      <c r="Z57" s="1"/>
    </row>
    <row r="58" spans="1:26" ht="39.75" customHeight="1">
      <c r="A58" s="171"/>
      <c r="B58" s="171"/>
      <c r="C58" s="171"/>
      <c r="D58" s="5">
        <v>53</v>
      </c>
      <c r="E58" s="5" t="s">
        <v>106</v>
      </c>
      <c r="F58" s="24">
        <f>TVM!F58+KLM!F58+PTA!F58+ALP!F58+KTYM!F58+IDK!F58+EKM!F58+TSR!F58+PLKD!F58+MLPM!F58+KKD!F58+WYND!F58+KNR!F58+KSRGD!F58+SHS!F58</f>
        <v>0</v>
      </c>
      <c r="G58" s="24">
        <f>TVM!G58+KLM!G58+PTA!G58+ALP!G58+KTYM!G58+IDK!G58+EKM!G58+TSR!G58+PLKD!G58+MLPM!G58+KKD!G58+WYND!G58+KNR!G58+KSRGD!G58+SHS!G58</f>
        <v>0</v>
      </c>
      <c r="H58" s="24">
        <f>TVM!H58+KLM!H58+PTA!H58+ALP!H58+KTYM!H58+IDK!H58+EKM!H58+TSR!H58+PLKD!H58+MLPM!H58+KKD!H58+WYND!H58+KNR!H58+KSRGD!H58+SHS!H58</f>
        <v>0</v>
      </c>
      <c r="I58" s="24">
        <f>TVM!I58+KLM!I58+PTA!I58+ALP!I58+KTYM!I58+IDK!I58+EKM!I58+TSR!I58+PLKD!I58+MLPM!I58+KKD!I58+WYND!I58+KNR!I58+KSRGD!I58+SHS!I58</f>
        <v>0</v>
      </c>
      <c r="J58" s="24">
        <f>TVM!J58+KLM!J58+PTA!J58+ALP!J58+KTYM!J58+IDK!J58+EKM!J58+TSR!J58+PLKD!J58+MLPM!J58+KKD!J58+WYND!J58+KNR!J58+KSRGD!J58+SHS!J58</f>
        <v>0</v>
      </c>
      <c r="K58" s="27">
        <f>TVM!K58+KLM!K58+PTA!K58+ALP!K58+KTYM!K58+IDK!K58+EKM!K58+TSR!K58+PLKD!K58+MLPM!K58+KKD!K58+WYND!K58+KNR!K58+KSRGD!K58+SHS!K58</f>
        <v>400.90999999999997</v>
      </c>
      <c r="L58" s="24">
        <f>TVM!L58+KLM!L58+PTA!L58+ALP!L58+KTYM!L58+IDK!L58+EKM!L58+TSR!L58+PLKD!L58+MLPM!L58+KKD!L58+WYND!L58+KNR!L58+KSRGD!L58+SHS!L58</f>
        <v>0</v>
      </c>
      <c r="M58" s="24">
        <f>TVM!M58+KLM!M58+PTA!M58+ALP!M58+KTYM!M58+IDK!M58+EKM!M58+TSR!M58+PLKD!M58+MLPM!M58+KKD!M58+WYND!M58+KNR!M58+KSRGD!M58+SHS!M58</f>
        <v>0</v>
      </c>
      <c r="N58" s="27">
        <f>TVM!N58+KLM!N58+PTA!N58+ALP!N58+KTYM!N58+IDK!N58+EKM!N58+TSR!N58+PLKD!N58+MLPM!N58+KKD!N58+WYND!N58+KNR!N58+KSRGD!N58+SHS!N58</f>
        <v>83.2</v>
      </c>
      <c r="O58" s="27">
        <f>TVM!O58+KLM!O58+PTA!O58+ALP!O58+KTYM!O58+IDK!O58+EKM!O58+TSR!O58+PLKD!O58+MLPM!O58+KKD!O58+WYND!O58+KNR!O58+KSRGD!O58+SHS!O58</f>
        <v>52.885000000000005</v>
      </c>
      <c r="P58" s="24">
        <f>TVM!P58+KLM!P58+PTA!P58+ALP!P58+KTYM!P58+IDK!P58+EKM!P58+TSR!P58+PLKD!P58+MLPM!P58+KKD!P58+WYND!P58+KNR!P58+KSRGD!P58+SHS!P58</f>
        <v>0</v>
      </c>
      <c r="Q58" s="31">
        <f>TVM!Q58+KLM!Q58+PTA!Q58+ALP!Q58+KTYM!Q58+IDK!Q58+EKM!Q58+TSR!Q58+PLKD!Q58+MLPM!Q58+KKD!Q58+WYND!Q58+KNR!Q58+KSRGD!Q58+SHS!Q58</f>
        <v>44</v>
      </c>
      <c r="R58" s="24">
        <f>TVM!R58+KLM!R58+PTA!R58+ALP!R58+KTYM!R58+IDK!R58+EKM!R58+TSR!R58+PLKD!R58+MLPM!R58+KKD!R58+WYND!R58+KNR!R58+KSRGD!R58+SHS!R58</f>
        <v>0</v>
      </c>
      <c r="S58" s="24">
        <f>TVM!S58+KLM!S58+PTA!S58+ALP!S58+KTYM!S58+IDK!S58+EKM!S58+TSR!S58+PLKD!S58+MLPM!S58+KKD!S58+WYND!S58+KNR!S58+KSRGD!S58+SHS!S58</f>
        <v>0</v>
      </c>
      <c r="T58" s="25">
        <f t="shared" si="0"/>
        <v>580.995</v>
      </c>
      <c r="U58" s="153"/>
      <c r="V58" s="32"/>
      <c r="W58" s="1"/>
      <c r="X58" s="1"/>
      <c r="Y58" s="1"/>
      <c r="Z58" s="1"/>
    </row>
    <row r="59" spans="1:26" ht="39.75" customHeight="1">
      <c r="A59" s="171"/>
      <c r="B59" s="171"/>
      <c r="C59" s="171"/>
      <c r="D59" s="5">
        <v>54</v>
      </c>
      <c r="E59" s="5" t="s">
        <v>107</v>
      </c>
      <c r="F59" s="24">
        <f>TVM!F59+KLM!F59+PTA!F59+ALP!F59+KTYM!F59+IDK!F59+EKM!F59+TSR!F59+PLKD!F59+MLPM!F59+KKD!F59+WYND!F59+KNR!F59+KSRGD!F59+SHS!F59</f>
        <v>0</v>
      </c>
      <c r="G59" s="24">
        <f>TVM!G59+KLM!G59+PTA!G59+ALP!G59+KTYM!G59+IDK!G59+EKM!G59+TSR!G59+PLKD!G59+MLPM!G59+KKD!G59+WYND!G59+KNR!G59+KSRGD!G59+SHS!G59</f>
        <v>0</v>
      </c>
      <c r="H59" s="31">
        <f>TVM!H59+KLM!H59+PTA!H59+ALP!H59+KTYM!H59+IDK!H59+EKM!H59+TSR!H59+PLKD!H59+MLPM!H59+KKD!H59+WYND!H59+KNR!H59+KSRGD!H59+SHS!H59</f>
        <v>0</v>
      </c>
      <c r="I59" s="24">
        <f>TVM!I59+KLM!I59+PTA!I59+ALP!I59+KTYM!I59+IDK!I59+EKM!I59+TSR!I59+PLKD!I59+MLPM!I59+KKD!I59+WYND!I59+KNR!I59+KSRGD!I59+SHS!I59</f>
        <v>0</v>
      </c>
      <c r="J59" s="24">
        <f>TVM!J59+KLM!J59+PTA!J59+ALP!J59+KTYM!J59+IDK!J59+EKM!J59+TSR!J59+PLKD!J59+MLPM!J59+KKD!J59+WYND!J59+KNR!J59+KSRGD!J59+SHS!J59</f>
        <v>0</v>
      </c>
      <c r="K59" s="24">
        <f>TVM!K59+KLM!K59+PTA!K59+ALP!K59+KTYM!K59+IDK!K59+EKM!K59+TSR!K59+PLKD!K59+MLPM!K59+KKD!K59+WYND!K59+KNR!K59+KSRGD!K59+SHS!K59</f>
        <v>0</v>
      </c>
      <c r="L59" s="24">
        <f>TVM!L59+KLM!L59+PTA!L59+ALP!L59+KTYM!L59+IDK!L59+EKM!L59+TSR!L59+PLKD!L59+MLPM!L59+KKD!L59+WYND!L59+KNR!L59+KSRGD!L59+SHS!L59</f>
        <v>0</v>
      </c>
      <c r="M59" s="24">
        <f>TVM!M59+KLM!M59+PTA!M59+ALP!M59+KTYM!M59+IDK!M59+EKM!M59+TSR!M59+PLKD!M59+MLPM!M59+KKD!M59+WYND!M59+KNR!M59+KSRGD!M59+SHS!M59</f>
        <v>0</v>
      </c>
      <c r="N59" s="24">
        <f>TVM!N59+KLM!N59+PTA!N59+ALP!N59+KTYM!N59+IDK!N59+EKM!N59+TSR!N59+PLKD!N59+MLPM!N59+KKD!N59+WYND!N59+KNR!N59+KSRGD!N59+SHS!N59</f>
        <v>0</v>
      </c>
      <c r="O59" s="27">
        <f>TVM!O59+KLM!O59+PTA!O59+ALP!O59+KTYM!O59+IDK!O59+EKM!O59+TSR!O59+PLKD!O59+MLPM!O59+KKD!O59+WYND!O59+KNR!O59+KSRGD!O59+SHS!O59</f>
        <v>0.40499999999999997</v>
      </c>
      <c r="P59" s="31">
        <f>TVM!P59+KLM!P59+PTA!P59+ALP!P59+KTYM!P59+IDK!P59+EKM!P59+TSR!P59+PLKD!P59+MLPM!P59+KKD!P59+WYND!P59+KNR!P59+KSRGD!P59+SHS!P59</f>
        <v>8</v>
      </c>
      <c r="Q59" s="24">
        <f>TVM!Q59+KLM!Q59+PTA!Q59+ALP!Q59+KTYM!Q59+IDK!Q59+EKM!Q59+TSR!Q59+PLKD!Q59+MLPM!Q59+KKD!Q59+WYND!Q59+KNR!Q59+KSRGD!Q59+SHS!Q59</f>
        <v>0</v>
      </c>
      <c r="R59" s="24">
        <f>TVM!R59+KLM!R59+PTA!R59+ALP!R59+KTYM!R59+IDK!R59+EKM!R59+TSR!R59+PLKD!R59+MLPM!R59+KKD!R59+WYND!R59+KNR!R59+KSRGD!R59+SHS!R59</f>
        <v>0</v>
      </c>
      <c r="S59" s="24">
        <f>TVM!S59+KLM!S59+PTA!S59+ALP!S59+KTYM!S59+IDK!S59+EKM!S59+TSR!S59+PLKD!S59+MLPM!S59+KKD!S59+WYND!S59+KNR!S59+KSRGD!S59+SHS!S59</f>
        <v>0</v>
      </c>
      <c r="T59" s="25">
        <f t="shared" si="0"/>
        <v>8.4049999999999994</v>
      </c>
      <c r="U59" s="153"/>
      <c r="V59" s="32"/>
      <c r="W59" s="1"/>
      <c r="X59" s="1"/>
      <c r="Y59" s="1"/>
      <c r="Z59" s="1"/>
    </row>
    <row r="60" spans="1:26" ht="39.75" customHeight="1">
      <c r="A60" s="171"/>
      <c r="B60" s="171"/>
      <c r="C60" s="171"/>
      <c r="D60" s="5">
        <v>55</v>
      </c>
      <c r="E60" s="5" t="s">
        <v>108</v>
      </c>
      <c r="F60" s="24">
        <f>TVM!F60+KLM!F60+PTA!F60+ALP!F60+KTYM!F60+IDK!F60+EKM!F60+TSR!F60+PLKD!F60+MLPM!F60+KKD!F60+WYND!F60+KNR!F60+KSRGD!F60+SHS!F60</f>
        <v>0</v>
      </c>
      <c r="G60" s="24">
        <f>TVM!G60+KLM!G60+PTA!G60+ALP!G60+KTYM!G60+IDK!G60+EKM!G60+TSR!G60+PLKD!G60+MLPM!G60+KKD!G60+WYND!G60+KNR!G60+KSRGD!G60+SHS!G60</f>
        <v>0</v>
      </c>
      <c r="H60" s="24">
        <f>TVM!H60+KLM!H60+PTA!H60+ALP!H60+KTYM!H60+IDK!H60+EKM!H60+TSR!H60+PLKD!H60+MLPM!H60+KKD!H60+WYND!H60+KNR!H60+KSRGD!H60+SHS!H60</f>
        <v>0</v>
      </c>
      <c r="I60" s="24">
        <f>TVM!I60+KLM!I60+PTA!I60+ALP!I60+KTYM!I60+IDK!I60+EKM!I60+TSR!I60+PLKD!I60+MLPM!I60+KKD!I60+WYND!I60+KNR!I60+KSRGD!I60+SHS!I60</f>
        <v>0</v>
      </c>
      <c r="J60" s="24">
        <f>TVM!J60+KLM!J60+PTA!J60+ALP!J60+KTYM!J60+IDK!J60+EKM!J60+TSR!J60+PLKD!J60+MLPM!J60+KKD!J60+WYND!J60+KNR!J60+KSRGD!J60+SHS!J60</f>
        <v>0</v>
      </c>
      <c r="K60" s="27">
        <f>TVM!K60+KLM!K60+PTA!K60+ALP!K60+KTYM!K60+IDK!K60+EKM!K60+TSR!K60+PLKD!K60+MLPM!K60+KKD!K60+WYND!K60+KNR!K60+KSRGD!K60+SHS!K60</f>
        <v>97.57</v>
      </c>
      <c r="L60" s="24">
        <f>TVM!L60+KLM!L60+PTA!L60+ALP!L60+KTYM!L60+IDK!L60+EKM!L60+TSR!L60+PLKD!L60+MLPM!L60+KKD!L60+WYND!L60+KNR!L60+KSRGD!L60+SHS!L60</f>
        <v>0</v>
      </c>
      <c r="M60" s="24">
        <f>TVM!M60+KLM!M60+PTA!M60+ALP!M60+KTYM!M60+IDK!M60+EKM!M60+TSR!M60+PLKD!M60+MLPM!M60+KKD!M60+WYND!M60+KNR!M60+KSRGD!M60+SHS!M60</f>
        <v>0</v>
      </c>
      <c r="N60" s="24">
        <f>TVM!N60+KLM!N60+PTA!N60+ALP!N60+KTYM!N60+IDK!N60+EKM!N60+TSR!N60+PLKD!N60+MLPM!N60+KKD!N60+WYND!N60+KNR!N60+KSRGD!N60+SHS!N60</f>
        <v>0</v>
      </c>
      <c r="O60" s="24">
        <f>TVM!O60+KLM!O60+PTA!O60+ALP!O60+KTYM!O60+IDK!O60+EKM!O60+TSR!O60+PLKD!O60+MLPM!O60+KKD!O60+WYND!O60+KNR!O60+KSRGD!O60+SHS!O60</f>
        <v>0</v>
      </c>
      <c r="P60" s="24">
        <f>TVM!P60+KLM!P60+PTA!P60+ALP!P60+KTYM!P60+IDK!P60+EKM!P60+TSR!P60+PLKD!P60+MLPM!P60+KKD!P60+WYND!P60+KNR!P60+KSRGD!P60+SHS!P60</f>
        <v>0</v>
      </c>
      <c r="Q60" s="24">
        <f>TVM!Q60+KLM!Q60+PTA!Q60+ALP!Q60+KTYM!Q60+IDK!Q60+EKM!Q60+TSR!Q60+PLKD!Q60+MLPM!Q60+KKD!Q60+WYND!Q60+KNR!Q60+KSRGD!Q60+SHS!Q60</f>
        <v>0</v>
      </c>
      <c r="R60" s="24">
        <f>TVM!R60+KLM!R60+PTA!R60+ALP!R60+KTYM!R60+IDK!R60+EKM!R60+TSR!R60+PLKD!R60+MLPM!R60+KKD!R60+WYND!R60+KNR!R60+KSRGD!R60+SHS!R60</f>
        <v>0</v>
      </c>
      <c r="S60" s="24">
        <f>TVM!S60+KLM!S60+PTA!S60+ALP!S60+KTYM!S60+IDK!S60+EKM!S60+TSR!S60+PLKD!S60+MLPM!S60+KKD!S60+WYND!S60+KNR!S60+KSRGD!S60+SHS!S60</f>
        <v>0</v>
      </c>
      <c r="T60" s="25">
        <f t="shared" si="0"/>
        <v>97.57</v>
      </c>
      <c r="U60" s="153"/>
      <c r="V60" s="32"/>
      <c r="W60" s="1"/>
      <c r="X60" s="1"/>
      <c r="Y60" s="1"/>
      <c r="Z60" s="1"/>
    </row>
    <row r="61" spans="1:26" ht="39.75" customHeight="1">
      <c r="A61" s="171"/>
      <c r="B61" s="171"/>
      <c r="C61" s="171"/>
      <c r="D61" s="5">
        <v>56</v>
      </c>
      <c r="E61" s="5" t="s">
        <v>109</v>
      </c>
      <c r="F61" s="24">
        <f>TVM!F61+KLM!F61+PTA!F61+ALP!F61+KTYM!F61+IDK!F61+EKM!F61+TSR!F61+PLKD!F61+MLPM!F61+KKD!F61+WYND!F61+KNR!F61+KSRGD!F61+SHS!F61</f>
        <v>0</v>
      </c>
      <c r="G61" s="24">
        <f>TVM!G61+KLM!G61+PTA!G61+ALP!G61+KTYM!G61+IDK!G61+EKM!G61+TSR!G61+PLKD!G61+MLPM!G61+KKD!G61+WYND!G61+KNR!G61+KSRGD!G61+SHS!G61</f>
        <v>0</v>
      </c>
      <c r="H61" s="24">
        <f>TVM!H61+KLM!H61+PTA!H61+ALP!H61+KTYM!H61+IDK!H61+EKM!H61+TSR!H61+PLKD!H61+MLPM!H61+KKD!H61+WYND!H61+KNR!H61+KSRGD!H61+SHS!H61</f>
        <v>0</v>
      </c>
      <c r="I61" s="24">
        <f>TVM!I61+KLM!I61+PTA!I61+ALP!I61+KTYM!I61+IDK!I61+EKM!I61+TSR!I61+PLKD!I61+MLPM!I61+KKD!I61+WYND!I61+KNR!I61+KSRGD!I61+SHS!I61</f>
        <v>0</v>
      </c>
      <c r="J61" s="24">
        <f>TVM!J61+KLM!J61+PTA!J61+ALP!J61+KTYM!J61+IDK!J61+EKM!J61+TSR!J61+PLKD!J61+MLPM!J61+KKD!J61+WYND!J61+KNR!J61+KSRGD!J61+SHS!J61</f>
        <v>0</v>
      </c>
      <c r="K61" s="24">
        <f>TVM!K61+KLM!K61+PTA!K61+ALP!K61+KTYM!K61+IDK!K61+EKM!K61+TSR!K61+PLKD!K61+MLPM!K61+KKD!K61+WYND!K61+KNR!K61+KSRGD!K61+SHS!K61</f>
        <v>0</v>
      </c>
      <c r="L61" s="24">
        <f>TVM!L61+KLM!L61+PTA!L61+ALP!L61+KTYM!L61+IDK!L61+EKM!L61+TSR!L61+PLKD!L61+MLPM!L61+KKD!L61+WYND!L61+KNR!L61+KSRGD!L61+SHS!L61</f>
        <v>0</v>
      </c>
      <c r="M61" s="24">
        <f>TVM!M61+KLM!M61+PTA!M61+ALP!M61+KTYM!M61+IDK!M61+EKM!M61+TSR!M61+PLKD!M61+MLPM!M61+KKD!M61+WYND!M61+KNR!M61+KSRGD!M61+SHS!M61</f>
        <v>0</v>
      </c>
      <c r="N61" s="24">
        <f>TVM!N61+KLM!N61+PTA!N61+ALP!N61+KTYM!N61+IDK!N61+EKM!N61+TSR!N61+PLKD!N61+MLPM!N61+KKD!N61+WYND!N61+KNR!N61+KSRGD!N61+SHS!N61</f>
        <v>0</v>
      </c>
      <c r="O61" s="31">
        <f>TVM!O61+KLM!O61+PTA!O61+ALP!O61+KTYM!O61+IDK!O61+EKM!O61+TSR!O61+PLKD!O61+MLPM!O61+KKD!O61+WYND!O61+KNR!O61+KSRGD!O61+SHS!O61</f>
        <v>105.77</v>
      </c>
      <c r="P61" s="24">
        <f>TVM!P61+KLM!P61+PTA!P61+ALP!P61+KTYM!P61+IDK!P61+EKM!P61+TSR!P61+PLKD!P61+MLPM!P61+KKD!P61+WYND!P61+KNR!P61+KSRGD!P61+SHS!P61</f>
        <v>0</v>
      </c>
      <c r="Q61" s="24">
        <f>TVM!Q61+KLM!Q61+PTA!Q61+ALP!Q61+KTYM!Q61+IDK!Q61+EKM!Q61+TSR!Q61+PLKD!Q61+MLPM!Q61+KKD!Q61+WYND!Q61+KNR!Q61+KSRGD!Q61+SHS!Q61</f>
        <v>0</v>
      </c>
      <c r="R61" s="24">
        <f>TVM!R61+KLM!R61+PTA!R61+ALP!R61+KTYM!R61+IDK!R61+EKM!R61+TSR!R61+PLKD!R61+MLPM!R61+KKD!R61+WYND!R61+KNR!R61+KSRGD!R61+SHS!R61</f>
        <v>0</v>
      </c>
      <c r="S61" s="24">
        <f>TVM!S61+KLM!S61+PTA!S61+ALP!S61+KTYM!S61+IDK!S61+EKM!S61+TSR!S61+PLKD!S61+MLPM!S61+KKD!S61+WYND!S61+KNR!S61+KSRGD!S61+SHS!S61</f>
        <v>0</v>
      </c>
      <c r="T61" s="25">
        <f t="shared" si="0"/>
        <v>105.77</v>
      </c>
      <c r="U61" s="153"/>
      <c r="V61" s="32"/>
      <c r="W61" s="1"/>
      <c r="X61" s="1"/>
      <c r="Y61" s="1"/>
      <c r="Z61" s="1"/>
    </row>
    <row r="62" spans="1:26" ht="39.75" customHeight="1">
      <c r="A62" s="171"/>
      <c r="B62" s="171"/>
      <c r="C62" s="171"/>
      <c r="D62" s="5">
        <v>57</v>
      </c>
      <c r="E62" s="5" t="s">
        <v>110</v>
      </c>
      <c r="F62" s="24">
        <f>TVM!F62+KLM!F62+PTA!F62+ALP!F62+KTYM!F62+IDK!F62+EKM!F62+TSR!F62+PLKD!F62+MLPM!F62+KKD!F62+WYND!F62+KNR!F62+KSRGD!F62+SHS!F62</f>
        <v>0</v>
      </c>
      <c r="G62" s="24">
        <f>TVM!G62+KLM!G62+PTA!G62+ALP!G62+KTYM!G62+IDK!G62+EKM!G62+TSR!G62+PLKD!G62+MLPM!G62+KKD!G62+WYND!G62+KNR!G62+KSRGD!G62+SHS!G62</f>
        <v>0</v>
      </c>
      <c r="H62" s="27">
        <f>TVM!H62+KLM!H62+PTA!H62+ALP!H62+KTYM!H62+IDK!H62+EKM!H62+TSR!H62+PLKD!H62+MLPM!H62+KKD!H62+WYND!H62+KNR!H62+KSRGD!H62+SHS!H62</f>
        <v>0</v>
      </c>
      <c r="I62" s="24">
        <f>TVM!I62+KLM!I62+PTA!I62+ALP!I62+KTYM!I62+IDK!I62+EKM!I62+TSR!I62+PLKD!I62+MLPM!I62+KKD!I62+WYND!I62+KNR!I62+KSRGD!I62+SHS!I62</f>
        <v>0</v>
      </c>
      <c r="J62" s="24">
        <f>TVM!J62+KLM!J62+PTA!J62+ALP!J62+KTYM!J62+IDK!J62+EKM!J62+TSR!J62+PLKD!J62+MLPM!J62+KKD!J62+WYND!J62+KNR!J62+KSRGD!J62+SHS!J62</f>
        <v>0</v>
      </c>
      <c r="K62" s="24">
        <f>TVM!K62+KLM!K62+PTA!K62+ALP!K62+KTYM!K62+IDK!K62+EKM!K62+TSR!K62+PLKD!K62+MLPM!K62+KKD!K62+WYND!K62+KNR!K62+KSRGD!K62+SHS!K62</f>
        <v>0</v>
      </c>
      <c r="L62" s="24">
        <f>TVM!L62+KLM!L62+PTA!L62+ALP!L62+KTYM!L62+IDK!L62+EKM!L62+TSR!L62+PLKD!L62+MLPM!L62+KKD!L62+WYND!L62+KNR!L62+KSRGD!L62+SHS!L62</f>
        <v>0</v>
      </c>
      <c r="M62" s="27">
        <f>TVM!M62+KLM!M62+PTA!M62+ALP!M62+KTYM!M62+IDK!M62+EKM!M62+TSR!M62+PLKD!M62+MLPM!M62+KKD!M62+WYND!M62+KNR!M62+KSRGD!M62+SHS!M62</f>
        <v>31.620000000000005</v>
      </c>
      <c r="N62" s="24">
        <f>TVM!N62+KLM!N62+PTA!N62+ALP!N62+KTYM!N62+IDK!N62+EKM!N62+TSR!N62+PLKD!N62+MLPM!N62+KKD!N62+WYND!N62+KNR!N62+KSRGD!N62+SHS!N62</f>
        <v>0</v>
      </c>
      <c r="O62" s="24">
        <f>TVM!O62+KLM!O62+PTA!O62+ALP!O62+KTYM!O62+IDK!O62+EKM!O62+TSR!O62+PLKD!O62+MLPM!O62+KKD!O62+WYND!O62+KNR!O62+KSRGD!O62+SHS!O62</f>
        <v>0</v>
      </c>
      <c r="P62" s="24">
        <f>TVM!P62+KLM!P62+PTA!P62+ALP!P62+KTYM!P62+IDK!P62+EKM!P62+TSR!P62+PLKD!P62+MLPM!P62+KKD!P62+WYND!P62+KNR!P62+KSRGD!P62+SHS!P62</f>
        <v>0</v>
      </c>
      <c r="Q62" s="24">
        <f>TVM!Q62+KLM!Q62+PTA!Q62+ALP!Q62+KTYM!Q62+IDK!Q62+EKM!Q62+TSR!Q62+PLKD!Q62+MLPM!Q62+KKD!Q62+WYND!Q62+KNR!Q62+KSRGD!Q62+SHS!Q62</f>
        <v>0</v>
      </c>
      <c r="R62" s="24">
        <f>TVM!R62+KLM!R62+PTA!R62+ALP!R62+KTYM!R62+IDK!R62+EKM!R62+TSR!R62+PLKD!R62+MLPM!R62+KKD!R62+WYND!R62+KNR!R62+KSRGD!R62+SHS!R62</f>
        <v>0</v>
      </c>
      <c r="S62" s="24">
        <f>TVM!S62+KLM!S62+PTA!S62+ALP!S62+KTYM!S62+IDK!S62+EKM!S62+TSR!S62+PLKD!S62+MLPM!S62+KKD!S62+WYND!S62+KNR!S62+KSRGD!S62+SHS!S62</f>
        <v>0</v>
      </c>
      <c r="T62" s="25">
        <f t="shared" si="0"/>
        <v>31.620000000000005</v>
      </c>
      <c r="U62" s="153"/>
      <c r="V62" s="32"/>
      <c r="W62" s="1"/>
      <c r="X62" s="1"/>
      <c r="Y62" s="1"/>
      <c r="Z62" s="1"/>
    </row>
    <row r="63" spans="1:26" ht="39.75" customHeight="1">
      <c r="A63" s="171"/>
      <c r="B63" s="171"/>
      <c r="C63" s="171"/>
      <c r="D63" s="5">
        <v>58</v>
      </c>
      <c r="E63" s="5" t="s">
        <v>111</v>
      </c>
      <c r="F63" s="24">
        <f>TVM!F63+KLM!F63+PTA!F63+ALP!F63+KTYM!F63+IDK!F63+EKM!F63+TSR!F63+PLKD!F63+MLPM!F63+KKD!F63+WYND!F63+KNR!F63+KSRGD!F63+SHS!F63</f>
        <v>0</v>
      </c>
      <c r="G63" s="24">
        <f>TVM!G63+KLM!G63+PTA!G63+ALP!G63+KTYM!G63+IDK!G63+EKM!G63+TSR!G63+PLKD!G63+MLPM!G63+KKD!G63+WYND!G63+KNR!G63+KSRGD!G63+SHS!G63</f>
        <v>0</v>
      </c>
      <c r="H63" s="24">
        <f>TVM!H63+KLM!H63+PTA!H63+ALP!H63+KTYM!H63+IDK!H63+EKM!H63+TSR!H63+PLKD!H63+MLPM!H63+KKD!H63+WYND!H63+KNR!H63+KSRGD!H63+SHS!H63</f>
        <v>0</v>
      </c>
      <c r="I63" s="24">
        <f>TVM!I63+KLM!I63+PTA!I63+ALP!I63+KTYM!I63+IDK!I63+EKM!I63+TSR!I63+PLKD!I63+MLPM!I63+KKD!I63+WYND!I63+KNR!I63+KSRGD!I63+SHS!I63</f>
        <v>0</v>
      </c>
      <c r="J63" s="24">
        <f>TVM!J63+KLM!J63+PTA!J63+ALP!J63+KTYM!J63+IDK!J63+EKM!J63+TSR!J63+PLKD!J63+MLPM!J63+KKD!J63+WYND!J63+KNR!J63+KSRGD!J63+SHS!J63</f>
        <v>0</v>
      </c>
      <c r="K63" s="27">
        <f>TVM!K63+KLM!K63+PTA!K63+ALP!K63+KTYM!K63+IDK!K63+EKM!K63+TSR!K63+PLKD!K63+MLPM!K63+KKD!K63+WYND!K63+KNR!K63+KSRGD!K63+SHS!K63</f>
        <v>83.21</v>
      </c>
      <c r="L63" s="24">
        <f>TVM!L63+KLM!L63+PTA!L63+ALP!L63+KTYM!L63+IDK!L63+EKM!L63+TSR!L63+PLKD!L63+MLPM!L63+KKD!L63+WYND!L63+KNR!L63+KSRGD!L63+SHS!L63</f>
        <v>0</v>
      </c>
      <c r="M63" s="24">
        <f>TVM!M63+KLM!M63+PTA!M63+ALP!M63+KTYM!M63+IDK!M63+EKM!M63+TSR!M63+PLKD!M63+MLPM!M63+KKD!M63+WYND!M63+KNR!M63+KSRGD!M63+SHS!M63</f>
        <v>0</v>
      </c>
      <c r="N63" s="24">
        <f>TVM!N63+KLM!N63+PTA!N63+ALP!N63+KTYM!N63+IDK!N63+EKM!N63+TSR!N63+PLKD!N63+MLPM!N63+KKD!N63+WYND!N63+KNR!N63+KSRGD!N63+SHS!N63</f>
        <v>0</v>
      </c>
      <c r="O63" s="27">
        <f>TVM!O63+KLM!O63+PTA!O63+ALP!O63+KTYM!O63+IDK!O63+EKM!O63+TSR!O63+PLKD!O63+MLPM!O63+KKD!O63+WYND!O63+KNR!O63+KSRGD!O63+SHS!O63</f>
        <v>26.444000000000003</v>
      </c>
      <c r="P63" s="24">
        <f>TVM!P63+KLM!P63+PTA!P63+ALP!P63+KTYM!P63+IDK!P63+EKM!P63+TSR!P63+PLKD!P63+MLPM!P63+KKD!P63+WYND!P63+KNR!P63+KSRGD!P63+SHS!P63</f>
        <v>0</v>
      </c>
      <c r="Q63" s="31">
        <f>TVM!Q63+KLM!Q63+PTA!Q63+ALP!Q63+KTYM!Q63+IDK!Q63+EKM!Q63+TSR!Q63+PLKD!Q63+MLPM!Q63+KKD!Q63+WYND!Q63+KNR!Q63+KSRGD!Q63+SHS!Q63</f>
        <v>10.5</v>
      </c>
      <c r="R63" s="24">
        <f>TVM!R63+KLM!R63+PTA!R63+ALP!R63+KTYM!R63+IDK!R63+EKM!R63+TSR!R63+PLKD!R63+MLPM!R63+KKD!R63+WYND!R63+KNR!R63+KSRGD!R63+SHS!R63</f>
        <v>0</v>
      </c>
      <c r="S63" s="24">
        <f>TVM!S63+KLM!S63+PTA!S63+ALP!S63+KTYM!S63+IDK!S63+EKM!S63+TSR!S63+PLKD!S63+MLPM!S63+KKD!S63+WYND!S63+KNR!S63+KSRGD!S63+SHS!S63</f>
        <v>0</v>
      </c>
      <c r="T63" s="157">
        <f t="shared" si="0"/>
        <v>120.154</v>
      </c>
      <c r="U63" s="9"/>
      <c r="V63" s="32"/>
      <c r="W63" s="1"/>
      <c r="X63" s="1"/>
      <c r="Y63" s="1"/>
      <c r="Z63" s="1"/>
    </row>
    <row r="64" spans="1:26" ht="39.75" customHeight="1">
      <c r="A64" s="171"/>
      <c r="B64" s="171"/>
      <c r="C64" s="171"/>
      <c r="D64" s="5">
        <v>59</v>
      </c>
      <c r="E64" s="5" t="s">
        <v>112</v>
      </c>
      <c r="F64" s="24">
        <f>TVM!F64+KLM!F64+PTA!F64+ALP!F64+KTYM!F64+IDK!F64+EKM!F64+TSR!F64+PLKD!F64+MLPM!F64+KKD!F64+WYND!F64+KNR!F64+KSRGD!F64+SHS!F64</f>
        <v>0</v>
      </c>
      <c r="G64" s="24">
        <f>TVM!G64+KLM!G64+PTA!G64+ALP!G64+KTYM!G64+IDK!G64+EKM!G64+TSR!G64+PLKD!G64+MLPM!G64+KKD!G64+WYND!G64+KNR!G64+KSRGD!G64+SHS!G64</f>
        <v>0</v>
      </c>
      <c r="H64" s="24">
        <f>TVM!H64+KLM!H64+PTA!H64+ALP!H64+KTYM!H64+IDK!H64+EKM!H64+TSR!H64+PLKD!H64+MLPM!H64+KKD!H64+WYND!H64+KNR!H64+KSRGD!H64+SHS!H64</f>
        <v>0</v>
      </c>
      <c r="I64" s="24">
        <f>TVM!I64+KLM!I64+PTA!I64+ALP!I64+KTYM!I64+IDK!I64+EKM!I64+TSR!I64+PLKD!I64+MLPM!I64+KKD!I64+WYND!I64+KNR!I64+KSRGD!I64+SHS!I64</f>
        <v>0</v>
      </c>
      <c r="J64" s="24">
        <f>TVM!J64+KLM!J64+PTA!J64+ALP!J64+KTYM!J64+IDK!J64+EKM!J64+TSR!J64+PLKD!J64+MLPM!J64+KKD!J64+WYND!J64+KNR!J64+KSRGD!J64+SHS!J64</f>
        <v>0</v>
      </c>
      <c r="K64" s="24">
        <f>TVM!K64+KLM!K64+PTA!K64+ALP!K64+KTYM!K64+IDK!K64+EKM!K64+TSR!K64+PLKD!K64+MLPM!K64+KKD!K64+WYND!K64+KNR!K64+KSRGD!K64+SHS!K64</f>
        <v>0</v>
      </c>
      <c r="L64" s="24">
        <f>TVM!L64+KLM!L64+PTA!L64+ALP!L64+KTYM!L64+IDK!L64+EKM!L64+TSR!L64+PLKD!L64+MLPM!L64+KKD!L64+WYND!L64+KNR!L64+KSRGD!L64+SHS!L64</f>
        <v>0</v>
      </c>
      <c r="M64" s="24">
        <f>TVM!M64+KLM!M64+PTA!M64+ALP!M64+KTYM!M64+IDK!M64+EKM!M64+TSR!M64+PLKD!M64+MLPM!M64+KKD!M64+WYND!M64+KNR!M64+KSRGD!M64+SHS!M64</f>
        <v>0</v>
      </c>
      <c r="N64" s="24">
        <f>TVM!N64+KLM!N64+PTA!N64+ALP!N64+KTYM!N64+IDK!N64+EKM!N64+TSR!N64+PLKD!N64+MLPM!N64+KKD!N64+WYND!N64+KNR!N64+KSRGD!N64+SHS!N64</f>
        <v>0</v>
      </c>
      <c r="O64" s="24">
        <f>TVM!O64+KLM!O64+PTA!O64+ALP!O64+KTYM!O64+IDK!O64+EKM!O64+TSR!O64+PLKD!O64+MLPM!O64+KKD!O64+WYND!O64+KNR!O64+KSRGD!O64+SHS!O64</f>
        <v>0</v>
      </c>
      <c r="P64" s="24">
        <f>TVM!P64+KLM!P64+PTA!P64+ALP!P64+KTYM!P64+IDK!P64+EKM!P64+TSR!P64+PLKD!P64+MLPM!P64+KKD!P64+WYND!P64+KNR!P64+KSRGD!P64+SHS!P64</f>
        <v>0</v>
      </c>
      <c r="Q64" s="24">
        <f>TVM!Q64+KLM!Q64+PTA!Q64+ALP!Q64+KTYM!Q64+IDK!Q64+EKM!Q64+TSR!Q64+PLKD!Q64+MLPM!Q64+KKD!Q64+WYND!Q64+KNR!Q64+KSRGD!Q64+SHS!Q64</f>
        <v>0</v>
      </c>
      <c r="R64" s="24">
        <f>TVM!R64+KLM!R64+PTA!R64+ALP!R64+KTYM!R64+IDK!R64+EKM!R64+TSR!R64+PLKD!R64+MLPM!R64+KKD!R64+WYND!R64+KNR!R64+KSRGD!R64+SHS!R64</f>
        <v>0</v>
      </c>
      <c r="S64" s="24">
        <f>TVM!S64+KLM!S64+PTA!S64+ALP!S64+KTYM!S64+IDK!S64+EKM!S64+TSR!S64+PLKD!S64+MLPM!S64+KKD!S64+WYND!S64+KNR!S64+KSRGD!S64+SHS!S64</f>
        <v>0</v>
      </c>
      <c r="T64" s="6">
        <f t="shared" si="0"/>
        <v>0</v>
      </c>
      <c r="U64" s="9"/>
      <c r="V64" s="32"/>
      <c r="W64" s="1"/>
      <c r="X64" s="1"/>
      <c r="Y64" s="1"/>
      <c r="Z64" s="1"/>
    </row>
    <row r="65" spans="1:26" ht="39.75" customHeight="1">
      <c r="A65" s="171"/>
      <c r="B65" s="171"/>
      <c r="C65" s="171"/>
      <c r="D65" s="5">
        <v>60</v>
      </c>
      <c r="E65" s="5" t="s">
        <v>113</v>
      </c>
      <c r="F65" s="24">
        <f>TVM!F65+KLM!F65+PTA!F65+ALP!F65+KTYM!F65+IDK!F65+EKM!F65+TSR!F65+PLKD!F65+MLPM!F65+KKD!F65+WYND!F65+KNR!F65+KSRGD!F65+SHS!F65</f>
        <v>0</v>
      </c>
      <c r="G65" s="24">
        <f>TVM!G65+KLM!G65+PTA!G65+ALP!G65+KTYM!G65+IDK!G65+EKM!G65+TSR!G65+PLKD!G65+MLPM!G65+KKD!G65+WYND!G65+KNR!G65+KSRGD!G65+SHS!G65</f>
        <v>0</v>
      </c>
      <c r="H65" s="24">
        <f>TVM!H65+KLM!H65+PTA!H65+ALP!H65+KTYM!H65+IDK!H65+EKM!H65+TSR!H65+PLKD!H65+MLPM!H65+KKD!H65+WYND!H65+KNR!H65+KSRGD!H65+SHS!H65</f>
        <v>0</v>
      </c>
      <c r="I65" s="24">
        <f>TVM!I65+KLM!I65+PTA!I65+ALP!I65+KTYM!I65+IDK!I65+EKM!I65+TSR!I65+PLKD!I65+MLPM!I65+KKD!I65+WYND!I65+KNR!I65+KSRGD!I65+SHS!I65</f>
        <v>0</v>
      </c>
      <c r="J65" s="24">
        <f>TVM!J65+KLM!J65+PTA!J65+ALP!J65+KTYM!J65+IDK!J65+EKM!J65+TSR!J65+PLKD!J65+MLPM!J65+KKD!J65+WYND!J65+KNR!J65+KSRGD!J65+SHS!J65</f>
        <v>0</v>
      </c>
      <c r="K65" s="24">
        <f>TVM!K65+KLM!K65+PTA!K65+ALP!K65+KTYM!K65+IDK!K65+EKM!K65+TSR!K65+PLKD!K65+MLPM!K65+KKD!K65+WYND!K65+KNR!K65+KSRGD!K65+SHS!K65</f>
        <v>0</v>
      </c>
      <c r="L65" s="24">
        <f>TVM!L65+KLM!L65+PTA!L65+ALP!L65+KTYM!L65+IDK!L65+EKM!L65+TSR!L65+PLKD!L65+MLPM!L65+KKD!L65+WYND!L65+KNR!L65+KSRGD!L65+SHS!L65</f>
        <v>0</v>
      </c>
      <c r="M65" s="24">
        <f>TVM!M65+KLM!M65+PTA!M65+ALP!M65+KTYM!M65+IDK!M65+EKM!M65+TSR!M65+PLKD!M65+MLPM!M65+KKD!M65+WYND!M65+KNR!M65+KSRGD!M65+SHS!M65</f>
        <v>0</v>
      </c>
      <c r="N65" s="24">
        <f>TVM!N65+KLM!N65+PTA!N65+ALP!N65+KTYM!N65+IDK!N65+EKM!N65+TSR!N65+PLKD!N65+MLPM!N65+KKD!N65+WYND!N65+KNR!N65+KSRGD!N65+SHS!N65</f>
        <v>0</v>
      </c>
      <c r="O65" s="24">
        <f>TVM!O65+KLM!O65+PTA!O65+ALP!O65+KTYM!O65+IDK!O65+EKM!O65+TSR!O65+PLKD!O65+MLPM!O65+KKD!O65+WYND!O65+KNR!O65+KSRGD!O65+SHS!O65</f>
        <v>0</v>
      </c>
      <c r="P65" s="24">
        <f>TVM!P65+KLM!P65+PTA!P65+ALP!P65+KTYM!P65+IDK!P65+EKM!P65+TSR!P65+PLKD!P65+MLPM!P65+KKD!P65+WYND!P65+KNR!P65+KSRGD!P65+SHS!P65</f>
        <v>0</v>
      </c>
      <c r="Q65" s="24">
        <f>TVM!Q65+KLM!Q65+PTA!Q65+ALP!Q65+KTYM!Q65+IDK!Q65+EKM!Q65+TSR!Q65+PLKD!Q65+MLPM!Q65+KKD!Q65+WYND!Q65+KNR!Q65+KSRGD!Q65+SHS!Q65</f>
        <v>0</v>
      </c>
      <c r="R65" s="24">
        <f>TVM!R65+KLM!R65+PTA!R65+ALP!R65+KTYM!R65+IDK!R65+EKM!R65+TSR!R65+PLKD!R65+MLPM!R65+KKD!R65+WYND!R65+KNR!R65+KSRGD!R65+SHS!R65</f>
        <v>0</v>
      </c>
      <c r="S65" s="24">
        <f>TVM!S65+KLM!S65+PTA!S65+ALP!S65+KTYM!S65+IDK!S65+EKM!S65+TSR!S65+PLKD!S65+MLPM!S65+KKD!S65+WYND!S65+KNR!S65+KSRGD!S65+SHS!S65</f>
        <v>0</v>
      </c>
      <c r="T65" s="6">
        <f t="shared" si="0"/>
        <v>0</v>
      </c>
      <c r="U65" s="9"/>
      <c r="V65" s="32"/>
      <c r="W65" s="1"/>
      <c r="X65" s="1"/>
      <c r="Y65" s="1"/>
      <c r="Z65" s="1"/>
    </row>
    <row r="66" spans="1:26" ht="39.75" customHeight="1">
      <c r="A66" s="171"/>
      <c r="B66" s="169"/>
      <c r="C66" s="169"/>
      <c r="D66" s="5">
        <v>61</v>
      </c>
      <c r="E66" s="5" t="s">
        <v>54</v>
      </c>
      <c r="F66" s="24">
        <f>TVM!F66+KLM!F66+PTA!F66+ALP!F66+KTYM!F66+IDK!F66+EKM!F66+TSR!F66+PLKD!F66+MLPM!F66+KKD!F66+WYND!F66+KNR!F66+KSRGD!F66+SHS!F66</f>
        <v>0</v>
      </c>
      <c r="G66" s="24">
        <f>TVM!G66+KLM!G66+PTA!G66+ALP!G66+KTYM!G66+IDK!G66+EKM!G66+TSR!G66+PLKD!G66+MLPM!G66+KKD!G66+WYND!G66+KNR!G66+KSRGD!G66+SHS!G66</f>
        <v>0</v>
      </c>
      <c r="H66" s="24">
        <f>TVM!H66+KLM!H66+PTA!H66+ALP!H66+KTYM!H66+IDK!H66+EKM!H66+TSR!H66+PLKD!H66+MLPM!H66+KKD!H66+WYND!H66+KNR!H66+KSRGD!H66+SHS!H66</f>
        <v>0</v>
      </c>
      <c r="I66" s="24">
        <f>TVM!I66+KLM!I66+PTA!I66+ALP!I66+KTYM!I66+IDK!I66+EKM!I66+TSR!I66+PLKD!I66+MLPM!I66+KKD!I66+WYND!I66+KNR!I66+KSRGD!I66+SHS!I66</f>
        <v>0</v>
      </c>
      <c r="J66" s="24">
        <f>TVM!J66+KLM!J66+PTA!J66+ALP!J66+KTYM!J66+IDK!J66+EKM!J66+TSR!J66+PLKD!J66+MLPM!J66+KKD!J66+WYND!J66+KNR!J66+KSRGD!J66+SHS!J66</f>
        <v>0</v>
      </c>
      <c r="K66" s="24">
        <f>TVM!K66+KLM!K66+PTA!K66+ALP!K66+KTYM!K66+IDK!K66+EKM!K66+TSR!K66+PLKD!K66+MLPM!K66+KKD!K66+WYND!K66+KNR!K66+KSRGD!K66+SHS!K66</f>
        <v>0</v>
      </c>
      <c r="L66" s="24">
        <f>TVM!L66+KLM!L66+PTA!L66+ALP!L66+KTYM!L66+IDK!L66+EKM!L66+TSR!L66+PLKD!L66+MLPM!L66+KKD!L66+WYND!L66+KNR!L66+KSRGD!L66+SHS!L66</f>
        <v>0</v>
      </c>
      <c r="M66" s="24">
        <f>TVM!M66+KLM!M66+PTA!M66+ALP!M66+KTYM!M66+IDK!M66+EKM!M66+TSR!M66+PLKD!M66+MLPM!M66+KKD!M66+WYND!M66+KNR!M66+KSRGD!M66+SHS!M66</f>
        <v>0</v>
      </c>
      <c r="N66" s="24">
        <f>TVM!N66+KLM!N66+PTA!N66+ALP!N66+KTYM!N66+IDK!N66+EKM!N66+TSR!N66+PLKD!N66+MLPM!N66+KKD!N66+WYND!N66+KNR!N66+KSRGD!N66+SHS!N66</f>
        <v>0</v>
      </c>
      <c r="O66" s="24">
        <f>TVM!O66+KLM!O66+PTA!O66+ALP!O66+KTYM!O66+IDK!O66+EKM!O66+TSR!O66+PLKD!O66+MLPM!O66+KKD!O66+WYND!O66+KNR!O66+KSRGD!O66+SHS!O66</f>
        <v>0</v>
      </c>
      <c r="P66" s="24">
        <f>TVM!P66+KLM!P66+PTA!P66+ALP!P66+KTYM!P66+IDK!P66+EKM!P66+TSR!P66+PLKD!P66+MLPM!P66+KKD!P66+WYND!P66+KNR!P66+KSRGD!P66+SHS!P66</f>
        <v>0</v>
      </c>
      <c r="Q66" s="24">
        <f>TVM!Q66+KLM!Q66+PTA!Q66+ALP!Q66+KTYM!Q66+IDK!Q66+EKM!Q66+TSR!Q66+PLKD!Q66+MLPM!Q66+KKD!Q66+WYND!Q66+KNR!Q66+KSRGD!Q66+SHS!Q66</f>
        <v>0</v>
      </c>
      <c r="R66" s="24">
        <f>TVM!R66+KLM!R66+PTA!R66+ALP!R66+KTYM!R66+IDK!R66+EKM!R66+TSR!R66+PLKD!R66+MLPM!R66+KKD!R66+WYND!R66+KNR!R66+KSRGD!R66+SHS!R66</f>
        <v>0</v>
      </c>
      <c r="S66" s="24">
        <f>TVM!S66+KLM!S66+PTA!S66+ALP!S66+KTYM!S66+IDK!S66+EKM!S66+TSR!S66+PLKD!S66+MLPM!S66+KKD!S66+WYND!S66+KNR!S66+KSRGD!S66+SHS!S66</f>
        <v>0</v>
      </c>
      <c r="T66" s="6">
        <f t="shared" si="0"/>
        <v>0</v>
      </c>
      <c r="U66" s="9"/>
      <c r="V66" s="32"/>
      <c r="W66" s="1"/>
      <c r="X66" s="1"/>
      <c r="Y66" s="1"/>
      <c r="Z66" s="1"/>
    </row>
    <row r="67" spans="1:26" ht="39.75" customHeight="1">
      <c r="A67" s="171"/>
      <c r="B67" s="5" t="s">
        <v>114</v>
      </c>
      <c r="C67" s="5" t="s">
        <v>115</v>
      </c>
      <c r="D67" s="5">
        <v>62</v>
      </c>
      <c r="E67" s="5" t="s">
        <v>116</v>
      </c>
      <c r="F67" s="24">
        <f>TVM!F67+KLM!F67+PTA!F67+ALP!F67+KTYM!F67+IDK!F67+EKM!F67+TSR!F67+PLKD!F67+MLPM!F67+KKD!F67+WYND!F67+KNR!F67+KSRGD!F67+SHS!F67</f>
        <v>0</v>
      </c>
      <c r="G67" s="24">
        <f>TVM!G67+KLM!G67+PTA!G67+ALP!G67+KTYM!G67+IDK!G67+EKM!G67+TSR!G67+PLKD!G67+MLPM!G67+KKD!G67+WYND!G67+KNR!G67+KSRGD!G67+SHS!G67</f>
        <v>0</v>
      </c>
      <c r="H67" s="24">
        <f>TVM!H67+KLM!H67+PTA!H67+ALP!H67+KTYM!H67+IDK!H67+EKM!H67+TSR!H67+PLKD!H67+MLPM!H67+KKD!H67+WYND!H67+KNR!H67+KSRGD!H67+SHS!H67</f>
        <v>0</v>
      </c>
      <c r="I67" s="24">
        <f>TVM!I67+KLM!I67+PTA!I67+ALP!I67+KTYM!I67+IDK!I67+EKM!I67+TSR!I67+PLKD!I67+MLPM!I67+KKD!I67+WYND!I67+KNR!I67+KSRGD!I67+SHS!I67</f>
        <v>0</v>
      </c>
      <c r="J67" s="24">
        <f>TVM!J67+KLM!J67+PTA!J67+ALP!J67+KTYM!J67+IDK!J67+EKM!J67+TSR!J67+PLKD!J67+MLPM!J67+KKD!J67+WYND!J67+KNR!J67+KSRGD!J67+SHS!J67</f>
        <v>0</v>
      </c>
      <c r="K67" s="24">
        <f>TVM!K67+KLM!K67+PTA!K67+ALP!K67+KTYM!K67+IDK!K67+EKM!K67+TSR!K67+PLKD!K67+MLPM!K67+KKD!K67+WYND!K67+KNR!K67+KSRGD!K67+SHS!K67</f>
        <v>0</v>
      </c>
      <c r="L67" s="24">
        <f>TVM!L67+KLM!L67+PTA!L67+ALP!L67+KTYM!L67+IDK!L67+EKM!L67+TSR!L67+PLKD!L67+MLPM!L67+KKD!L67+WYND!L67+KNR!L67+KSRGD!L67+SHS!L67</f>
        <v>0</v>
      </c>
      <c r="M67" s="27">
        <f>TVM!M67+KLM!M67+PTA!M67+ALP!M67+KTYM!M67+IDK!M67+EKM!M67+TSR!M67+PLKD!M67+MLPM!M67+KKD!M67+WYND!M67+KNR!M67+KSRGD!M67+SHS!M67</f>
        <v>12</v>
      </c>
      <c r="N67" s="24">
        <f>TVM!N67+KLM!N67+PTA!N67+ALP!N67+KTYM!N67+IDK!N67+EKM!N67+TSR!N67+PLKD!N67+MLPM!N67+KKD!N67+WYND!N67+KNR!N67+KSRGD!N67+SHS!N67</f>
        <v>0</v>
      </c>
      <c r="O67" s="31">
        <f>TVM!O67+KLM!O67+PTA!O67+ALP!O67+KTYM!O67+IDK!O67+EKM!O67+TSR!O67+PLKD!O67+MLPM!O67+KKD!O67+WYND!O67+KNR!O67+KSRGD!O67+SHS!O67</f>
        <v>12</v>
      </c>
      <c r="P67" s="31">
        <f>TVM!P67+KLM!P67+PTA!P67+ALP!P67+KTYM!P67+IDK!P67+EKM!P67+TSR!P67+PLKD!P67+MLPM!P67+KKD!P67+WYND!P67+KNR!P67+KSRGD!P67+SHS!P67</f>
        <v>0</v>
      </c>
      <c r="Q67" s="27">
        <f>TVM!Q67+KLM!Q67+PTA!Q67+ALP!Q67+KTYM!Q67+IDK!Q67+EKM!Q67+TSR!Q67+PLKD!Q67+MLPM!Q67+KKD!Q67+WYND!Q67+KNR!Q67+KSRGD!Q67+SHS!Q67</f>
        <v>6.7</v>
      </c>
      <c r="R67" s="24">
        <f>TVM!R67+KLM!R67+PTA!R67+ALP!R67+KTYM!R67+IDK!R67+EKM!R67+TSR!R67+PLKD!R67+MLPM!R67+KKD!R67+WYND!R67+KNR!R67+KSRGD!R67+SHS!R67</f>
        <v>0</v>
      </c>
      <c r="S67" s="31">
        <f>TVM!S67+KLM!S67+PTA!S67+ALP!S67+KTYM!S67+IDK!S67+EKM!S67+TSR!S67+PLKD!S67+MLPM!S67+KKD!S67+WYND!S67+KNR!S67+KSRGD!S67+SHS!S67</f>
        <v>2</v>
      </c>
      <c r="T67" s="6">
        <f t="shared" si="0"/>
        <v>32.700000000000003</v>
      </c>
      <c r="U67" s="9"/>
      <c r="V67" s="32"/>
      <c r="W67" s="1"/>
      <c r="X67" s="1"/>
      <c r="Y67" s="1"/>
      <c r="Z67" s="1"/>
    </row>
    <row r="68" spans="1:26" ht="39.75" customHeight="1">
      <c r="A68" s="169"/>
      <c r="B68" s="176" t="s">
        <v>117</v>
      </c>
      <c r="C68" s="177"/>
      <c r="D68" s="178"/>
      <c r="E68" s="51"/>
      <c r="F68" s="54">
        <f>TVM!F68+KLM!F68+PTA!F68+ALP!F68+KTYM!F68+IDK!F68+EKM!F68+TSR!F68+PLKD!F68+MLPM!F68+KKD!F68+WYND!F68+KNR!F68+KSRGD!F68+SHS!F68</f>
        <v>1028.5300000000002</v>
      </c>
      <c r="G68" s="54">
        <f>TVM!G68+KLM!G68+PTA!G68+ALP!G68+KTYM!G68+IDK!G68+EKM!G68+TSR!G68+PLKD!G68+MLPM!G68+KKD!G68+WYND!G68+KNR!G68+KSRGD!G68+SHS!G68</f>
        <v>848.95</v>
      </c>
      <c r="H68" s="55">
        <f>TVM!H68+KLM!H68+PTA!H68+ALP!H68+KTYM!H68+IDK!H68+EKM!H68+TSR!H68+PLKD!H68+MLPM!H68+KKD!H68+WYND!H68+KNR!H68+KSRGD!H68+SHS!H68</f>
        <v>168.45</v>
      </c>
      <c r="I68" s="54">
        <f>TVM!I68+KLM!I68+PTA!I68+ALP!I68+KTYM!I68+IDK!I68+EKM!I68+TSR!I68+PLKD!I68+MLPM!I68+KKD!I68+WYND!I68+KNR!I68+KSRGD!I68+SHS!I68</f>
        <v>1301.6160000000002</v>
      </c>
      <c r="J68" s="54">
        <f>TVM!J68+KLM!J68+PTA!J68+ALP!J68+KTYM!J68+IDK!J68+EKM!J68+TSR!J68+PLKD!J68+MLPM!J68+KKD!J68+WYND!J68+KNR!J68+KSRGD!J68+SHS!J68</f>
        <v>0</v>
      </c>
      <c r="K68" s="54">
        <f>TVM!K68+KLM!K68+PTA!K68+ALP!K68+KTYM!K68+IDK!K68+EKM!K68+TSR!K68+PLKD!K68+MLPM!K68+KKD!K68+WYND!K68+KNR!K68+KSRGD!K68+SHS!K68</f>
        <v>4407.0020000000004</v>
      </c>
      <c r="L68" s="54">
        <f>TVM!L68+KLM!L68+PTA!L68+ALP!L68+KTYM!L68+IDK!L68+EKM!L68+TSR!L68+PLKD!L68+MLPM!L68+KKD!L68+WYND!L68+KNR!L68+KSRGD!L68+SHS!L68</f>
        <v>0</v>
      </c>
      <c r="M68" s="54">
        <f>TVM!M68+KLM!M68+PTA!M68+ALP!M68+KTYM!M68+IDK!M68+EKM!M68+TSR!M68+PLKD!M68+MLPM!M68+KKD!M68+WYND!M68+KNR!M68+KSRGD!M68+SHS!M68</f>
        <v>1361.192</v>
      </c>
      <c r="N68" s="54">
        <f>TVM!N68+KLM!N68+PTA!N68+ALP!N68+KTYM!N68+IDK!N68+EKM!N68+TSR!N68+PLKD!N68+MLPM!N68+KKD!N68+WYND!N68+KNR!N68+KSRGD!N68+SHS!N68</f>
        <v>904.74619999999982</v>
      </c>
      <c r="O68" s="54">
        <f>TVM!O68+KLM!O68+PTA!O68+ALP!O68+KTYM!O68+IDK!O68+EKM!O68+TSR!O68+PLKD!O68+MLPM!O68+KKD!O68+WYND!O68+KNR!O68+KSRGD!O68+SHS!O68</f>
        <v>2859.0972499999998</v>
      </c>
      <c r="P68" s="54">
        <f>TVM!P68+KLM!P68+PTA!P68+ALP!P68+KTYM!P68+IDK!P68+EKM!P68+TSR!P68+PLKD!P68+MLPM!P68+KKD!P68+WYND!P68+KNR!P68+KSRGD!P68+SHS!P68</f>
        <v>5719.6109999999981</v>
      </c>
      <c r="Q68" s="54">
        <f>TVM!Q68+KLM!Q68+PTA!Q68+ALP!Q68+KTYM!Q68+IDK!Q68+EKM!Q68+TSR!Q68+PLKD!Q68+MLPM!Q68+KKD!Q68+WYND!Q68+KNR!Q68+KSRGD!Q68+SHS!Q68</f>
        <v>1141.9850000000001</v>
      </c>
      <c r="R68" s="54">
        <f>TVM!R68+KLM!R68+PTA!R68+ALP!R68+KTYM!R68+IDK!R68+EKM!R68+TSR!R68+PLKD!R68+MLPM!R68+KKD!R68+WYND!R68+KNR!R68+KSRGD!R68+SHS!R68</f>
        <v>247.928</v>
      </c>
      <c r="S68" s="54">
        <f>TVM!S68+KLM!S68+PTA!S68+ALP!S68+KTYM!S68+IDK!S68+EKM!S68+TSR!S68+PLKD!S68+MLPM!S68+KKD!S68+WYND!S68+KNR!S68+KSRGD!S68+SHS!S68</f>
        <v>9.01</v>
      </c>
      <c r="T68" s="156">
        <f>SUM(T6:T67)</f>
        <v>19998.117449999991</v>
      </c>
      <c r="U68" s="9"/>
      <c r="V68" s="32"/>
      <c r="W68" s="1"/>
      <c r="X68" s="1"/>
      <c r="Y68" s="1"/>
      <c r="Z68" s="1"/>
    </row>
    <row r="69" spans="1:26" ht="39.75" customHeight="1">
      <c r="A69" s="175" t="s">
        <v>118</v>
      </c>
      <c r="B69" s="5" t="s">
        <v>119</v>
      </c>
      <c r="C69" s="5" t="s">
        <v>120</v>
      </c>
      <c r="D69" s="5">
        <v>63</v>
      </c>
      <c r="E69" s="5" t="s">
        <v>121</v>
      </c>
      <c r="F69" s="24">
        <f>TVM!F69+KLM!F69+PTA!F69+ALP!F69+KTYM!F69+IDK!F69+EKM!F69+TSR!F69+PLKD!F69+MLPM!F69+KKD!F69+WYND!F69+KNR!F69+KSRGD!F69+SHS!F69</f>
        <v>0</v>
      </c>
      <c r="G69" s="24">
        <f>TVM!G69+KLM!G69+PTA!G69+ALP!G69+KTYM!G69+IDK!G69+EKM!G69+TSR!G69+PLKD!G69+MLPM!G69+KKD!G69+WYND!G69+KNR!G69+KSRGD!G69+SHS!G69</f>
        <v>0</v>
      </c>
      <c r="H69" s="24">
        <f>TVM!H69+KLM!H69+PTA!H69+ALP!H69+KTYM!H69+IDK!H69+EKM!H69+TSR!H69+PLKD!H69+MLPM!H69+KKD!H69+WYND!H69+KNR!H69+KSRGD!H69+SHS!H69</f>
        <v>0</v>
      </c>
      <c r="I69" s="24">
        <f>TVM!I69+KLM!I69+PTA!I69+ALP!I69+KTYM!I69+IDK!I69+EKM!I69+TSR!I69+PLKD!I69+MLPM!I69+KKD!I69+WYND!I69+KNR!I69+KSRGD!I69+SHS!I69</f>
        <v>0</v>
      </c>
      <c r="J69" s="24">
        <f>TVM!J69+KLM!J69+PTA!J69+ALP!J69+KTYM!J69+IDK!J69+EKM!J69+TSR!J69+PLKD!J69+MLPM!J69+KKD!J69+WYND!J69+KNR!J69+KSRGD!J69+SHS!J69</f>
        <v>0</v>
      </c>
      <c r="K69" s="24">
        <f>TVM!K69+KLM!K69+PTA!K69+ALP!K69+KTYM!K69+IDK!K69+EKM!K69+TSR!K69+PLKD!K69+MLPM!K69+KKD!K69+WYND!K69+KNR!K69+KSRGD!K69+SHS!K69</f>
        <v>0</v>
      </c>
      <c r="L69" s="24">
        <f>TVM!L69+KLM!L69+PTA!L69+ALP!L69+KTYM!L69+IDK!L69+EKM!L69+TSR!L69+PLKD!L69+MLPM!L69+KKD!L69+WYND!L69+KNR!L69+KSRGD!L69+SHS!L69</f>
        <v>0</v>
      </c>
      <c r="M69" s="31">
        <f>TVM!M69+KLM!M69+PTA!M69+ALP!M69+KTYM!M69+IDK!M69+EKM!M69+TSR!M69+PLKD!M69+MLPM!M69+KKD!M69+WYND!M69+KNR!M69+KSRGD!M69+SHS!M69</f>
        <v>0</v>
      </c>
      <c r="N69" s="27">
        <f>TVM!N69+KLM!N69+PTA!N69+ALP!N69+KTYM!N69+IDK!N69+EKM!N69+TSR!N69+PLKD!N69+MLPM!N69+KKD!N69+WYND!N69+KNR!N69+KSRGD!N69+SHS!N69</f>
        <v>116.45000000000002</v>
      </c>
      <c r="O69" s="24">
        <f>TVM!O69+KLM!O69+PTA!O69+ALP!O69+KTYM!O69+IDK!O69+EKM!O69+TSR!O69+PLKD!O69+MLPM!O69+KKD!O69+WYND!O69+KNR!O69+KSRGD!O69+SHS!O69</f>
        <v>0</v>
      </c>
      <c r="P69" s="27">
        <f>TVM!P69+KLM!P69+PTA!P69+ALP!P69+KTYM!P69+IDK!P69+EKM!P69+TSR!P69+PLKD!P69+MLPM!P69+KKD!P69+WYND!P69+KNR!P69+KSRGD!P69+SHS!P69</f>
        <v>0</v>
      </c>
      <c r="Q69" s="24">
        <f>TVM!Q69+KLM!Q69+PTA!Q69+ALP!Q69+KTYM!Q69+IDK!Q69+EKM!Q69+TSR!Q69+PLKD!Q69+MLPM!Q69+KKD!Q69+WYND!Q69+KNR!Q69+KSRGD!Q69+SHS!Q69</f>
        <v>0</v>
      </c>
      <c r="R69" s="31">
        <f>TVM!R69+KLM!R69+PTA!R69+ALP!R69+KTYM!R69+IDK!R69+EKM!R69+TSR!R69+PLKD!R69+MLPM!R69+KKD!R69+WYND!R69+KNR!R69+KSRGD!R69+SHS!R69</f>
        <v>85</v>
      </c>
      <c r="S69" s="31">
        <f>TVM!S69+KLM!S69+PTA!S69+ALP!S69+KTYM!S69+IDK!S69+EKM!S69+TSR!S69+PLKD!S69+MLPM!S69+KKD!S69+WYND!S69+KNR!S69+KSRGD!S69+SHS!S69</f>
        <v>26</v>
      </c>
      <c r="T69" s="25">
        <f t="shared" ref="T69:T92" si="1">SUM(F69:S69)</f>
        <v>227.45000000000002</v>
      </c>
      <c r="U69" s="158"/>
      <c r="V69" s="32"/>
      <c r="W69" s="1"/>
      <c r="X69" s="1"/>
      <c r="Y69" s="1"/>
      <c r="Z69" s="1"/>
    </row>
    <row r="70" spans="1:26" ht="39.75" customHeight="1">
      <c r="A70" s="171"/>
      <c r="B70" s="168" t="s">
        <v>122</v>
      </c>
      <c r="C70" s="168" t="s">
        <v>123</v>
      </c>
      <c r="D70" s="5">
        <v>64</v>
      </c>
      <c r="E70" s="5" t="s">
        <v>124</v>
      </c>
      <c r="F70" s="24">
        <f>TVM!F70+KLM!F70+PTA!F70+ALP!F70+KTYM!F70+IDK!F70+EKM!F70+TSR!F70+PLKD!F70+MLPM!F70+KKD!F70+WYND!F70+KNR!F70+KSRGD!F70+SHS!F70</f>
        <v>0</v>
      </c>
      <c r="G70" s="24">
        <f>TVM!G70+KLM!G70+PTA!G70+ALP!G70+KTYM!G70+IDK!G70+EKM!G70+TSR!G70+PLKD!G70+MLPM!G70+KKD!G70+WYND!G70+KNR!G70+KSRGD!G70+SHS!G70</f>
        <v>0</v>
      </c>
      <c r="H70" s="31">
        <f>TVM!H70+KLM!H70+PTA!H70+ALP!H70+KTYM!H70+IDK!H70+EKM!H70+TSR!H70+PLKD!H70+MLPM!H70+KKD!H70+WYND!H70+KNR!H70+KSRGD!H70+SHS!H70</f>
        <v>0</v>
      </c>
      <c r="I70" s="27">
        <f>TVM!I70+KLM!I70+PTA!I70+ALP!I70+KTYM!I70+IDK!I70+EKM!I70+TSR!I70+PLKD!I70+MLPM!I70+KKD!I70+WYND!I70+KNR!I70+KSRGD!I70+SHS!I70</f>
        <v>0</v>
      </c>
      <c r="J70" s="24">
        <f>TVM!J70+KLM!J70+PTA!J70+ALP!J70+KTYM!J70+IDK!J70+EKM!J70+TSR!J70+PLKD!J70+MLPM!J70+KKD!J70+WYND!J70+KNR!J70+KSRGD!J70+SHS!J70</f>
        <v>0.5</v>
      </c>
      <c r="K70" s="27">
        <f>TVM!K70+KLM!K70+PTA!K70+ALP!K70+KTYM!K70+IDK!K70+EKM!K70+TSR!K70+PLKD!K70+MLPM!K70+KKD!K70+WYND!K70+KNR!K70+KSRGD!K70+SHS!K70</f>
        <v>0.76</v>
      </c>
      <c r="L70" s="27">
        <f>TVM!L70+KLM!L70+PTA!L70+ALP!L70+KTYM!L70+IDK!L70+EKM!L70+TSR!L70+PLKD!L70+MLPM!L70+KKD!L70+WYND!L70+KNR!L70+KSRGD!L70+SHS!L70</f>
        <v>0</v>
      </c>
      <c r="M70" s="24">
        <f>TVM!M70+KLM!M70+PTA!M70+ALP!M70+KTYM!M70+IDK!M70+EKM!M70+TSR!M70+PLKD!M70+MLPM!M70+KKD!M70+WYND!M70+KNR!M70+KSRGD!M70+SHS!M70</f>
        <v>46.91</v>
      </c>
      <c r="N70" s="27">
        <f>TVM!N70+KLM!N70+PTA!N70+ALP!N70+KTYM!N70+IDK!N70+EKM!N70+TSR!N70+PLKD!N70+MLPM!N70+KKD!N70+WYND!N70+KNR!N70+KSRGD!N70+SHS!N70</f>
        <v>53.259999999999984</v>
      </c>
      <c r="O70" s="31">
        <f>TVM!O70+KLM!O70+PTA!O70+ALP!O70+KTYM!O70+IDK!O70+EKM!O70+TSR!O70+PLKD!O70+MLPM!O70+KKD!O70+WYND!O70+KNR!O70+KSRGD!O70+SHS!O70</f>
        <v>7.5187999999999997</v>
      </c>
      <c r="P70" s="27">
        <f>TVM!P70+KLM!P70+PTA!P70+ALP!P70+KTYM!P70+IDK!P70+EKM!P70+TSR!P70+PLKD!P70+MLPM!P70+KKD!P70+WYND!P70+KNR!P70+KSRGD!P70+SHS!P70</f>
        <v>549.34330000000011</v>
      </c>
      <c r="Q70" s="27">
        <f>TVM!Q70+KLM!Q70+PTA!Q70+ALP!Q70+KTYM!Q70+IDK!Q70+EKM!Q70+TSR!Q70+PLKD!Q70+MLPM!Q70+KKD!Q70+WYND!Q70+KNR!Q70+KSRGD!Q70+SHS!Q70</f>
        <v>12.3</v>
      </c>
      <c r="R70" s="31">
        <f>TVM!R70+KLM!R70+PTA!R70+ALP!R70+KTYM!R70+IDK!R70+EKM!R70+TSR!R70+PLKD!R70+MLPM!R70+KKD!R70+WYND!R70+KNR!R70+KSRGD!R70+SHS!R70</f>
        <v>38</v>
      </c>
      <c r="S70" s="31">
        <f>TVM!S70+KLM!S70+PTA!S70+ALP!S70+KTYM!S70+IDK!S70+EKM!S70+TSR!S70+PLKD!S70+MLPM!S70+KKD!S70+WYND!S70+KNR!S70+KSRGD!S70+SHS!S70</f>
        <v>25</v>
      </c>
      <c r="T70" s="25">
        <f t="shared" si="1"/>
        <v>733.59210000000007</v>
      </c>
      <c r="U70" s="153"/>
      <c r="V70" s="32"/>
      <c r="W70" s="1"/>
      <c r="X70" s="1"/>
      <c r="Y70" s="1"/>
      <c r="Z70" s="1"/>
    </row>
    <row r="71" spans="1:26" ht="39.75" customHeight="1">
      <c r="A71" s="171"/>
      <c r="B71" s="171"/>
      <c r="C71" s="171"/>
      <c r="D71" s="5">
        <v>65</v>
      </c>
      <c r="E71" s="5" t="s">
        <v>126</v>
      </c>
      <c r="F71" s="24">
        <f>TVM!F71+KLM!F71+PTA!F71+ALP!F71+KTYM!F71+IDK!F71+EKM!F71+TSR!F71+PLKD!F71+MLPM!F71+KKD!F71+WYND!F71+KNR!F71+KSRGD!F71+SHS!F71</f>
        <v>0</v>
      </c>
      <c r="G71" s="24">
        <f>TVM!G71+KLM!G71+PTA!G71+ALP!G71+KTYM!G71+IDK!G71+EKM!G71+TSR!G71+PLKD!G71+MLPM!G71+KKD!G71+WYND!G71+KNR!G71+KSRGD!G71+SHS!G71</f>
        <v>0</v>
      </c>
      <c r="H71" s="24">
        <f>TVM!H71+KLM!H71+PTA!H71+ALP!H71+KTYM!H71+IDK!H71+EKM!H71+TSR!H71+PLKD!H71+MLPM!H71+KKD!H71+WYND!H71+KNR!H71+KSRGD!H71+SHS!H71</f>
        <v>0</v>
      </c>
      <c r="I71" s="24">
        <f>TVM!I71+KLM!I71+PTA!I71+ALP!I71+KTYM!I71+IDK!I71+EKM!I71+TSR!I71+PLKD!I71+MLPM!I71+KKD!I71+WYND!I71+KNR!I71+KSRGD!I71+SHS!I71</f>
        <v>0</v>
      </c>
      <c r="J71" s="24">
        <f>TVM!J71+KLM!J71+PTA!J71+ALP!J71+KTYM!J71+IDK!J71+EKM!J71+TSR!J71+PLKD!J71+MLPM!J71+KKD!J71+WYND!J71+KNR!J71+KSRGD!J71+SHS!J71</f>
        <v>0</v>
      </c>
      <c r="K71" s="24">
        <f>TVM!K71+KLM!K71+PTA!K71+ALP!K71+KTYM!K71+IDK!K71+EKM!K71+TSR!K71+PLKD!K71+MLPM!K71+KKD!K71+WYND!K71+KNR!K71+KSRGD!K71+SHS!K71</f>
        <v>0</v>
      </c>
      <c r="L71" s="24">
        <f>TVM!L71+KLM!L71+PTA!L71+ALP!L71+KTYM!L71+IDK!L71+EKM!L71+TSR!L71+PLKD!L71+MLPM!L71+KKD!L71+WYND!L71+KNR!L71+KSRGD!L71+SHS!L71</f>
        <v>0</v>
      </c>
      <c r="M71" s="24">
        <f>TVM!M71+KLM!M71+PTA!M71+ALP!M71+KTYM!M71+IDK!M71+EKM!M71+TSR!M71+PLKD!M71+MLPM!M71+KKD!M71+WYND!M71+KNR!M71+KSRGD!M71+SHS!M71</f>
        <v>0</v>
      </c>
      <c r="N71" s="27">
        <f>TVM!N71+KLM!N71+PTA!N71+ALP!N71+KTYM!N71+IDK!N71+EKM!N71+TSR!N71+PLKD!N71+MLPM!N71+KKD!N71+WYND!N71+KNR!N71+KSRGD!N71+SHS!N71</f>
        <v>0</v>
      </c>
      <c r="O71" s="24">
        <f>TVM!O71+KLM!O71+PTA!O71+ALP!O71+KTYM!O71+IDK!O71+EKM!O71+TSR!O71+PLKD!O71+MLPM!O71+KKD!O71+WYND!O71+KNR!O71+KSRGD!O71+SHS!O71</f>
        <v>0</v>
      </c>
      <c r="P71" s="31">
        <f>TVM!P71+KLM!P71+PTA!P71+ALP!P71+KTYM!P71+IDK!P71+EKM!P71+TSR!P71+PLKD!P71+MLPM!P71+KKD!P71+WYND!P71+KNR!P71+KSRGD!P71+SHS!P71</f>
        <v>2.4499999999999993</v>
      </c>
      <c r="Q71" s="24">
        <f>TVM!Q71+KLM!Q71+PTA!Q71+ALP!Q71+KTYM!Q71+IDK!Q71+EKM!Q71+TSR!Q71+PLKD!Q71+MLPM!Q71+KKD!Q71+WYND!Q71+KNR!Q71+KSRGD!Q71+SHS!Q71</f>
        <v>0</v>
      </c>
      <c r="R71" s="24">
        <f>TVM!R71+KLM!R71+PTA!R71+ALP!R71+KTYM!R71+IDK!R71+EKM!R71+TSR!R71+PLKD!R71+MLPM!R71+KKD!R71+WYND!R71+KNR!R71+KSRGD!R71+SHS!R71</f>
        <v>0</v>
      </c>
      <c r="S71" s="31">
        <f>TVM!S71+KLM!S71+PTA!S71+ALP!S71+KTYM!S71+IDK!S71+EKM!S71+TSR!S71+PLKD!S71+MLPM!S71+KKD!S71+WYND!S71+KNR!S71+KSRGD!S71+SHS!S71</f>
        <v>0</v>
      </c>
      <c r="T71" s="25">
        <f t="shared" si="1"/>
        <v>2.4499999999999993</v>
      </c>
      <c r="U71" s="153"/>
      <c r="V71" s="32"/>
      <c r="W71" s="1"/>
      <c r="X71" s="1"/>
      <c r="Y71" s="1"/>
      <c r="Z71" s="1"/>
    </row>
    <row r="72" spans="1:26" ht="39.75" customHeight="1">
      <c r="A72" s="171"/>
      <c r="B72" s="171"/>
      <c r="C72" s="171"/>
      <c r="D72" s="5">
        <v>66</v>
      </c>
      <c r="E72" s="5" t="s">
        <v>128</v>
      </c>
      <c r="F72" s="24">
        <f>TVM!F72+KLM!F72+PTA!F72+ALP!F72+KTYM!F72+IDK!F72+EKM!F72+TSR!F72+PLKD!F72+MLPM!F72+KKD!F72+WYND!F72+KNR!F72+KSRGD!F72+SHS!F72</f>
        <v>0</v>
      </c>
      <c r="G72" s="24">
        <f>TVM!G72+KLM!G72+PTA!G72+ALP!G72+KTYM!G72+IDK!G72+EKM!G72+TSR!G72+PLKD!G72+MLPM!G72+KKD!G72+WYND!G72+KNR!G72+KSRGD!G72+SHS!G72</f>
        <v>0</v>
      </c>
      <c r="H72" s="24">
        <f>TVM!H72+KLM!H72+PTA!H72+ALP!H72+KTYM!H72+IDK!H72+EKM!H72+TSR!H72+PLKD!H72+MLPM!H72+KKD!H72+WYND!H72+KNR!H72+KSRGD!H72+SHS!H72</f>
        <v>0</v>
      </c>
      <c r="I72" s="24">
        <f>TVM!I72+KLM!I72+PTA!I72+ALP!I72+KTYM!I72+IDK!I72+EKM!I72+TSR!I72+PLKD!I72+MLPM!I72+KKD!I72+WYND!I72+KNR!I72+KSRGD!I72+SHS!I72</f>
        <v>0</v>
      </c>
      <c r="J72" s="24">
        <f>TVM!J72+KLM!J72+PTA!J72+ALP!J72+KTYM!J72+IDK!J72+EKM!J72+TSR!J72+PLKD!J72+MLPM!J72+KKD!J72+WYND!J72+KNR!J72+KSRGD!J72+SHS!J72</f>
        <v>1.44</v>
      </c>
      <c r="K72" s="27">
        <f>TVM!K72+KLM!K72+PTA!K72+ALP!K72+KTYM!K72+IDK!K72+EKM!K72+TSR!K72+PLKD!K72+MLPM!K72+KKD!K72+WYND!K72+KNR!K72+KSRGD!K72+SHS!K72</f>
        <v>4.9000000000000004</v>
      </c>
      <c r="L72" s="27">
        <f>TVM!L72+KLM!L72+PTA!L72+ALP!L72+KTYM!L72+IDK!L72+EKM!L72+TSR!L72+PLKD!L72+MLPM!L72+KKD!L72+WYND!L72+KNR!L72+KSRGD!L72+SHS!L72</f>
        <v>0</v>
      </c>
      <c r="M72" s="24">
        <f>TVM!M72+KLM!M72+PTA!M72+ALP!M72+KTYM!M72+IDK!M72+EKM!M72+TSR!M72+PLKD!M72+MLPM!M72+KKD!M72+WYND!M72+KNR!M72+KSRGD!M72+SHS!M72</f>
        <v>0</v>
      </c>
      <c r="N72" s="27">
        <f>TVM!N72+KLM!N72+PTA!N72+ALP!N72+KTYM!N72+IDK!N72+EKM!N72+TSR!N72+PLKD!N72+MLPM!N72+KKD!N72+WYND!N72+KNR!N72+KSRGD!N72+SHS!N72</f>
        <v>3.1</v>
      </c>
      <c r="O72" s="24">
        <f>TVM!O72+KLM!O72+PTA!O72+ALP!O72+KTYM!O72+IDK!O72+EKM!O72+TSR!O72+PLKD!O72+MLPM!O72+KKD!O72+WYND!O72+KNR!O72+KSRGD!O72+SHS!O72</f>
        <v>0</v>
      </c>
      <c r="P72" s="31">
        <f>TVM!P72+KLM!P72+PTA!P72+ALP!P72+KTYM!P72+IDK!P72+EKM!P72+TSR!P72+PLKD!P72+MLPM!P72+KKD!P72+WYND!P72+KNR!P72+KSRGD!P72+SHS!P72</f>
        <v>1</v>
      </c>
      <c r="Q72" s="27">
        <f>TVM!Q72+KLM!Q72+PTA!Q72+ALP!Q72+KTYM!Q72+IDK!Q72+EKM!Q72+TSR!Q72+PLKD!Q72+MLPM!Q72+KKD!Q72+WYND!Q72+KNR!Q72+KSRGD!Q72+SHS!Q72</f>
        <v>0.70000000000000007</v>
      </c>
      <c r="R72" s="42">
        <f>TVM!R72+KLM!R72+PTA!R72+ALP!R72+KTYM!R72+IDK!R72+EKM!R72+TSR!R72+PLKD!R72+MLPM!R72+KKD!R72+WYND!R72+KNR!R72+KSRGD!R72+SHS!R72</f>
        <v>2.4499999999999993</v>
      </c>
      <c r="S72" s="24">
        <f>TVM!S72+KLM!S72+PTA!S72+ALP!S72+KTYM!S72+IDK!S72+EKM!S72+TSR!S72+PLKD!S72+MLPM!S72+KKD!S72+WYND!S72+KNR!S72+KSRGD!S72+SHS!S72</f>
        <v>0</v>
      </c>
      <c r="T72" s="25">
        <f t="shared" si="1"/>
        <v>13.589999999999998</v>
      </c>
      <c r="U72" s="153"/>
      <c r="V72" s="32"/>
      <c r="W72" s="1"/>
      <c r="X72" s="1"/>
      <c r="Y72" s="1"/>
      <c r="Z72" s="1"/>
    </row>
    <row r="73" spans="1:26" ht="39.75" customHeight="1">
      <c r="A73" s="171"/>
      <c r="B73" s="171"/>
      <c r="C73" s="171"/>
      <c r="D73" s="5">
        <v>67</v>
      </c>
      <c r="E73" s="5" t="s">
        <v>131</v>
      </c>
      <c r="F73" s="24">
        <f>TVM!F73+KLM!F73+PTA!F73+ALP!F73+KTYM!F73+IDK!F73+EKM!F73+TSR!F73+PLKD!F73+MLPM!F73+KKD!F73+WYND!F73+KNR!F73+KSRGD!F73+SHS!F73</f>
        <v>0</v>
      </c>
      <c r="G73" s="24">
        <f>TVM!G73+KLM!G73+PTA!G73+ALP!G73+KTYM!G73+IDK!G73+EKM!G73+TSR!G73+PLKD!G73+MLPM!G73+KKD!G73+WYND!G73+KNR!G73+KSRGD!G73+SHS!G73</f>
        <v>0</v>
      </c>
      <c r="H73" s="24">
        <f>TVM!H73+KLM!H73+PTA!H73+ALP!H73+KTYM!H73+IDK!H73+EKM!H73+TSR!H73+PLKD!H73+MLPM!H73+KKD!H73+WYND!H73+KNR!H73+KSRGD!H73+SHS!H73</f>
        <v>0</v>
      </c>
      <c r="I73" s="24">
        <f>TVM!I73+KLM!I73+PTA!I73+ALP!I73+KTYM!I73+IDK!I73+EKM!I73+TSR!I73+PLKD!I73+MLPM!I73+KKD!I73+WYND!I73+KNR!I73+KSRGD!I73+SHS!I73</f>
        <v>16.169999999999998</v>
      </c>
      <c r="J73" s="24">
        <f>TVM!J73+KLM!J73+PTA!J73+ALP!J73+KTYM!J73+IDK!J73+EKM!J73+TSR!J73+PLKD!J73+MLPM!J73+KKD!J73+WYND!J73+KNR!J73+KSRGD!J73+SHS!J73</f>
        <v>72.48</v>
      </c>
      <c r="K73" s="27">
        <f>TVM!K73+KLM!K73+PTA!K73+ALP!K73+KTYM!K73+IDK!K73+EKM!K73+TSR!K73+PLKD!K73+MLPM!K73+KKD!K73+WYND!K73+KNR!K73+KSRGD!K73+SHS!K73</f>
        <v>25.200000000000003</v>
      </c>
      <c r="L73" s="27">
        <f>TVM!L73+KLM!L73+PTA!L73+ALP!L73+KTYM!L73+IDK!L73+EKM!L73+TSR!L73+PLKD!L73+MLPM!L73+KKD!L73+WYND!L73+KNR!L73+KSRGD!L73+SHS!L73</f>
        <v>0</v>
      </c>
      <c r="M73" s="24">
        <f>TVM!M73+KLM!M73+PTA!M73+ALP!M73+KTYM!M73+IDK!M73+EKM!M73+TSR!M73+PLKD!M73+MLPM!M73+KKD!M73+WYND!M73+KNR!M73+KSRGD!M73+SHS!M73</f>
        <v>0</v>
      </c>
      <c r="N73" s="27">
        <f>TVM!N73+KLM!N73+PTA!N73+ALP!N73+KTYM!N73+IDK!N73+EKM!N73+TSR!N73+PLKD!N73+MLPM!N73+KKD!N73+WYND!N73+KNR!N73+KSRGD!N73+SHS!N73</f>
        <v>7.75</v>
      </c>
      <c r="O73" s="24">
        <f>TVM!O73+KLM!O73+PTA!O73+ALP!O73+KTYM!O73+IDK!O73+EKM!O73+TSR!O73+PLKD!O73+MLPM!O73+KKD!O73+WYND!O73+KNR!O73+KSRGD!O73+SHS!O73</f>
        <v>18</v>
      </c>
      <c r="P73" s="31">
        <f>TVM!P73+KLM!P73+PTA!P73+ALP!P73+KTYM!P73+IDK!P73+EKM!P73+TSR!P73+PLKD!P73+MLPM!P73+KKD!P73+WYND!P73+KNR!P73+KSRGD!P73+SHS!P73</f>
        <v>28</v>
      </c>
      <c r="Q73" s="27">
        <f>TVM!Q73+KLM!Q73+PTA!Q73+ALP!Q73+KTYM!Q73+IDK!Q73+EKM!Q73+TSR!Q73+PLKD!Q73+MLPM!Q73+KKD!Q73+WYND!Q73+KNR!Q73+KSRGD!Q73+SHS!Q73</f>
        <v>17.029999999999998</v>
      </c>
      <c r="R73" s="31">
        <f>TVM!R73+KLM!R73+PTA!R73+ALP!R73+KTYM!R73+IDK!R73+EKM!R73+TSR!R73+PLKD!R73+MLPM!R73+KKD!R73+WYND!R73+KNR!R73+KSRGD!R73+SHS!R73</f>
        <v>49.75</v>
      </c>
      <c r="S73" s="31">
        <f>TVM!S73+KLM!S73+PTA!S73+ALP!S73+KTYM!S73+IDK!S73+EKM!S73+TSR!S73+PLKD!S73+MLPM!S73+KKD!S73+WYND!S73+KNR!S73+KSRGD!S73+SHS!S73</f>
        <v>41</v>
      </c>
      <c r="T73" s="25">
        <f t="shared" si="1"/>
        <v>275.38</v>
      </c>
      <c r="U73" s="153"/>
      <c r="V73" s="32"/>
      <c r="W73" s="1"/>
      <c r="X73" s="1"/>
      <c r="Y73" s="1"/>
      <c r="Z73" s="1"/>
    </row>
    <row r="74" spans="1:26" ht="39.75" customHeight="1">
      <c r="A74" s="171"/>
      <c r="B74" s="169"/>
      <c r="C74" s="169"/>
      <c r="D74" s="5">
        <v>68</v>
      </c>
      <c r="E74" s="5" t="s">
        <v>133</v>
      </c>
      <c r="F74" s="31">
        <f>TVM!F74+KLM!F74+PTA!F74+ALP!F74+KTYM!F74+IDK!F74+EKM!F74+TSR!F74+PLKD!F74+MLPM!F74+KKD!F74+WYND!F74+KNR!F74+KSRGD!F74+SHS!F74</f>
        <v>0</v>
      </c>
      <c r="G74" s="24">
        <f>TVM!G74+KLM!G74+PTA!G74+ALP!G74+KTYM!G74+IDK!G74+EKM!G74+TSR!G74+PLKD!G74+MLPM!G74+KKD!G74+WYND!G74+KNR!G74+KSRGD!G74+SHS!G74</f>
        <v>0</v>
      </c>
      <c r="H74" s="24">
        <f>TVM!H74+KLM!H74+PTA!H74+ALP!H74+KTYM!H74+IDK!H74+EKM!H74+TSR!H74+PLKD!H74+MLPM!H74+KKD!H74+WYND!H74+KNR!H74+KSRGD!H74+SHS!H74</f>
        <v>0</v>
      </c>
      <c r="I74" s="27">
        <f>TVM!I74+KLM!I74+PTA!I74+ALP!I74+KTYM!I74+IDK!I74+EKM!I74+TSR!I74+PLKD!I74+MLPM!I74+KKD!I74+WYND!I74+KNR!I74+KSRGD!I74+SHS!I74</f>
        <v>0</v>
      </c>
      <c r="J74" s="24">
        <f>TVM!J74+KLM!J74+PTA!J74+ALP!J74+KTYM!J74+IDK!J74+EKM!J74+TSR!J74+PLKD!J74+MLPM!J74+KKD!J74+WYND!J74+KNR!J74+KSRGD!J74+SHS!J74</f>
        <v>0.38</v>
      </c>
      <c r="K74" s="27">
        <f>TVM!K74+KLM!K74+PTA!K74+ALP!K74+KTYM!K74+IDK!K74+EKM!K74+TSR!K74+PLKD!K74+MLPM!K74+KKD!K74+WYND!K74+KNR!K74+KSRGD!K74+SHS!K74</f>
        <v>31</v>
      </c>
      <c r="L74" s="27">
        <f>TVM!L74+KLM!L74+PTA!L74+ALP!L74+KTYM!L74+IDK!L74+EKM!L74+TSR!L74+PLKD!L74+MLPM!L74+KKD!L74+WYND!L74+KNR!L74+KSRGD!L74+SHS!L74</f>
        <v>0</v>
      </c>
      <c r="M74" s="24">
        <f>TVM!M74+KLM!M74+PTA!M74+ALP!M74+KTYM!M74+IDK!M74+EKM!M74+TSR!M74+PLKD!M74+MLPM!M74+KKD!M74+WYND!M74+KNR!M74+KSRGD!M74+SHS!M74</f>
        <v>0</v>
      </c>
      <c r="N74" s="27">
        <f>TVM!N74+KLM!N74+PTA!N74+ALP!N74+KTYM!N74+IDK!N74+EKM!N74+TSR!N74+PLKD!N74+MLPM!N74+KKD!N74+WYND!N74+KNR!N74+KSRGD!N74+SHS!N74</f>
        <v>30.559999999999995</v>
      </c>
      <c r="O74" s="31">
        <f>TVM!O74+KLM!O74+PTA!O74+ALP!O74+KTYM!O74+IDK!O74+EKM!O74+TSR!O74+PLKD!O74+MLPM!O74+KKD!O74+WYND!O74+KNR!O74+KSRGD!O74+SHS!O74</f>
        <v>0</v>
      </c>
      <c r="P74" s="31">
        <f>TVM!P74+KLM!P74+PTA!P74+ALP!P74+KTYM!P74+IDK!P74+EKM!P74+TSR!P74+PLKD!P74+MLPM!P74+KKD!P74+WYND!P74+KNR!P74+KSRGD!P74+SHS!P74</f>
        <v>76.960000000000008</v>
      </c>
      <c r="Q74" s="27">
        <f>TVM!Q74+KLM!Q74+PTA!Q74+ALP!Q74+KTYM!Q74+IDK!Q74+EKM!Q74+TSR!Q74+PLKD!Q74+MLPM!Q74+KKD!Q74+WYND!Q74+KNR!Q74+KSRGD!Q74+SHS!Q74</f>
        <v>49.45</v>
      </c>
      <c r="R74" s="31">
        <f>TVM!R74+KLM!R74+PTA!R74+ALP!R74+KTYM!R74+IDK!R74+EKM!R74+TSR!R74+PLKD!R74+MLPM!R74+KKD!R74+WYND!R74+KNR!R74+KSRGD!R74+SHS!R74</f>
        <v>100.07400000000001</v>
      </c>
      <c r="S74" s="31">
        <f>TVM!S74+KLM!S74+PTA!S74+ALP!S74+KTYM!S74+IDK!S74+EKM!S74+TSR!S74+PLKD!S74+MLPM!S74+KKD!S74+WYND!S74+KNR!S74+KSRGD!S74+SHS!S74</f>
        <v>80.290000000000006</v>
      </c>
      <c r="T74" s="25">
        <f t="shared" si="1"/>
        <v>368.71400000000006</v>
      </c>
      <c r="U74" s="153"/>
      <c r="V74" s="32"/>
      <c r="W74" s="1"/>
      <c r="X74" s="1"/>
      <c r="Y74" s="1"/>
      <c r="Z74" s="1"/>
    </row>
    <row r="75" spans="1:26" ht="39.75" customHeight="1">
      <c r="A75" s="171"/>
      <c r="B75" s="168" t="s">
        <v>136</v>
      </c>
      <c r="C75" s="168" t="s">
        <v>137</v>
      </c>
      <c r="D75" s="5">
        <v>69</v>
      </c>
      <c r="E75" s="5" t="s">
        <v>138</v>
      </c>
      <c r="F75" s="24">
        <f>TVM!F75+KLM!F75+PTA!F75+ALP!F75+KTYM!F75+IDK!F75+EKM!F75+TSR!F75+PLKD!F75+MLPM!F75+KKD!F75+WYND!F75+KNR!F75+KSRGD!F75+SHS!F75</f>
        <v>0</v>
      </c>
      <c r="G75" s="24">
        <f>TVM!G75+KLM!G75+PTA!G75+ALP!G75+KTYM!G75+IDK!G75+EKM!G75+TSR!G75+PLKD!G75+MLPM!G75+KKD!G75+WYND!G75+KNR!G75+KSRGD!G75+SHS!G75</f>
        <v>0</v>
      </c>
      <c r="H75" s="24">
        <f>TVM!H75+KLM!H75+PTA!H75+ALP!H75+KTYM!H75+IDK!H75+EKM!H75+TSR!H75+PLKD!H75+MLPM!H75+KKD!H75+WYND!H75+KNR!H75+KSRGD!H75+SHS!H75</f>
        <v>0</v>
      </c>
      <c r="I75" s="27">
        <f>TVM!I75+KLM!I75+PTA!I75+ALP!I75+KTYM!I75+IDK!I75+EKM!I75+TSR!I75+PLKD!I75+MLPM!I75+KKD!I75+WYND!I75+KNR!I75+KSRGD!I75+SHS!I75</f>
        <v>0</v>
      </c>
      <c r="J75" s="24">
        <f>TVM!J75+KLM!J75+PTA!J75+ALP!J75+KTYM!J75+IDK!J75+EKM!J75+TSR!J75+PLKD!J75+MLPM!J75+KKD!J75+WYND!J75+KNR!J75+KSRGD!J75+SHS!J75</f>
        <v>0</v>
      </c>
      <c r="K75" s="24">
        <f>TVM!K75+KLM!K75+PTA!K75+ALP!K75+KTYM!K75+IDK!K75+EKM!K75+TSR!K75+PLKD!K75+MLPM!K75+KKD!K75+WYND!K75+KNR!K75+KSRGD!K75+SHS!K75</f>
        <v>0</v>
      </c>
      <c r="L75" s="24">
        <f>TVM!L75+KLM!L75+PTA!L75+ALP!L75+KTYM!L75+IDK!L75+EKM!L75+TSR!L75+PLKD!L75+MLPM!L75+KKD!L75+WYND!L75+KNR!L75+KSRGD!L75+SHS!L75</f>
        <v>0</v>
      </c>
      <c r="M75" s="27">
        <f>TVM!M75+KLM!M75+PTA!M75+ALP!M75+KTYM!M75+IDK!M75+EKM!M75+TSR!M75+PLKD!M75+MLPM!M75+KKD!M75+WYND!M75+KNR!M75+KSRGD!M75+SHS!M75</f>
        <v>9.5239999999999974</v>
      </c>
      <c r="N75" s="24">
        <f>TVM!N75+KLM!N75+PTA!N75+ALP!N75+KTYM!N75+IDK!N75+EKM!N75+TSR!N75+PLKD!N75+MLPM!N75+KKD!N75+WYND!N75+KNR!N75+KSRGD!N75+SHS!N75</f>
        <v>0</v>
      </c>
      <c r="O75" s="31">
        <f>TVM!O75+KLM!O75+PTA!O75+ALP!O75+KTYM!O75+IDK!O75+EKM!O75+TSR!O75+PLKD!O75+MLPM!O75+KKD!O75+WYND!O75+KNR!O75+KSRGD!O75+SHS!O75</f>
        <v>1161.0160000000001</v>
      </c>
      <c r="P75" s="31">
        <f>TVM!P75+KLM!P75+PTA!P75+ALP!P75+KTYM!P75+IDK!P75+EKM!P75+TSR!P75+PLKD!P75+MLPM!P75+KKD!P75+WYND!P75+KNR!P75+KSRGD!P75+SHS!P75</f>
        <v>12.750000000000002</v>
      </c>
      <c r="Q75" s="24">
        <f>TVM!Q75+KLM!Q75+PTA!Q75+ALP!Q75+KTYM!Q75+IDK!Q75+EKM!Q75+TSR!Q75+PLKD!Q75+MLPM!Q75+KKD!Q75+WYND!Q75+KNR!Q75+KSRGD!Q75+SHS!Q75</f>
        <v>0</v>
      </c>
      <c r="R75" s="24">
        <f>TVM!R75+KLM!R75+PTA!R75+ALP!R75+KTYM!R75+IDK!R75+EKM!R75+TSR!R75+PLKD!R75+MLPM!R75+KKD!R75+WYND!R75+KNR!R75+KSRGD!R75+SHS!R75</f>
        <v>0</v>
      </c>
      <c r="S75" s="24">
        <f>TVM!S75+KLM!S75+PTA!S75+ALP!S75+KTYM!S75+IDK!S75+EKM!S75+TSR!S75+PLKD!S75+MLPM!S75+KKD!S75+WYND!S75+KNR!S75+KSRGD!S75+SHS!S75</f>
        <v>0</v>
      </c>
      <c r="T75" s="25">
        <f t="shared" si="1"/>
        <v>1183.29</v>
      </c>
      <c r="U75" s="158"/>
      <c r="V75" s="32"/>
      <c r="W75" s="1"/>
      <c r="X75" s="1"/>
      <c r="Y75" s="1"/>
      <c r="Z75" s="1"/>
    </row>
    <row r="76" spans="1:26" ht="39.75" customHeight="1">
      <c r="A76" s="171"/>
      <c r="B76" s="171"/>
      <c r="C76" s="171"/>
      <c r="D76" s="5">
        <v>70</v>
      </c>
      <c r="E76" s="5" t="s">
        <v>140</v>
      </c>
      <c r="F76" s="31">
        <f>TVM!F76+KLM!F76+PTA!F76+ALP!F76+KTYM!F76+IDK!F76+EKM!F76+TSR!F76+PLKD!F76+MLPM!F76+KKD!F76+WYND!F76+KNR!F76+KSRGD!F76+SHS!F76</f>
        <v>2.4</v>
      </c>
      <c r="G76" s="24">
        <f>TVM!G76+KLM!G76+PTA!G76+ALP!G76+KTYM!G76+IDK!G76+EKM!G76+TSR!G76+PLKD!G76+MLPM!G76+KKD!G76+WYND!G76+KNR!G76+KSRGD!G76+SHS!G76</f>
        <v>0</v>
      </c>
      <c r="H76" s="24">
        <f>TVM!H76+KLM!H76+PTA!H76+ALP!H76+KTYM!H76+IDK!H76+EKM!H76+TSR!H76+PLKD!H76+MLPM!H76+KKD!H76+WYND!H76+KNR!H76+KSRGD!H76+SHS!H76</f>
        <v>0</v>
      </c>
      <c r="I76" s="43">
        <f>TVM!I76+KLM!I76+PTA!I76+ALP!I76+KTYM!I76+IDK!I76+EKM!I76+TSR!I76+PLKD!I76+MLPM!I76+KKD!I76+WYND!I76+KNR!I76+KSRGD!I76+SHS!I76</f>
        <v>4.3999999999999995</v>
      </c>
      <c r="J76" s="24">
        <f>TVM!J76+KLM!J76+PTA!J76+ALP!J76+KTYM!J76+IDK!J76+EKM!J76+TSR!J76+PLKD!J76+MLPM!J76+KKD!J76+WYND!J76+KNR!J76+KSRGD!J76+SHS!J76</f>
        <v>0</v>
      </c>
      <c r="K76" s="24">
        <f>TVM!K76+KLM!K76+PTA!K76+ALP!K76+KTYM!K76+IDK!K76+EKM!K76+TSR!K76+PLKD!K76+MLPM!K76+KKD!K76+WYND!K76+KNR!K76+KSRGD!K76+SHS!K76</f>
        <v>0</v>
      </c>
      <c r="L76" s="24">
        <f>TVM!L76+KLM!L76+PTA!L76+ALP!L76+KTYM!L76+IDK!L76+EKM!L76+TSR!L76+PLKD!L76+MLPM!L76+KKD!L76+WYND!L76+KNR!L76+KSRGD!L76+SHS!L76</f>
        <v>0</v>
      </c>
      <c r="M76" s="24">
        <f>TVM!M76+KLM!M76+PTA!M76+ALP!M76+KTYM!M76+IDK!M76+EKM!M76+TSR!M76+PLKD!M76+MLPM!M76+KKD!M76+WYND!M76+KNR!M76+KSRGD!M76+SHS!M76</f>
        <v>0</v>
      </c>
      <c r="N76" s="24">
        <f>TVM!N76+KLM!N76+PTA!N76+ALP!N76+KTYM!N76+IDK!N76+EKM!N76+TSR!N76+PLKD!N76+MLPM!N76+KKD!N76+WYND!N76+KNR!N76+KSRGD!N76+SHS!N76</f>
        <v>0</v>
      </c>
      <c r="O76" s="24">
        <f>TVM!O76+KLM!O76+PTA!O76+ALP!O76+KTYM!O76+IDK!O76+EKM!O76+TSR!O76+PLKD!O76+MLPM!O76+KKD!O76+WYND!O76+KNR!O76+KSRGD!O76+SHS!O76</f>
        <v>0</v>
      </c>
      <c r="P76" s="31">
        <f>TVM!P76+KLM!P76+PTA!P76+ALP!P76+KTYM!P76+IDK!P76+EKM!P76+TSR!P76+PLKD!P76+MLPM!P76+KKD!P76+WYND!P76+KNR!P76+KSRGD!P76+SHS!P76</f>
        <v>4.1999999999999993</v>
      </c>
      <c r="Q76" s="24">
        <f>TVM!Q76+KLM!Q76+PTA!Q76+ALP!Q76+KTYM!Q76+IDK!Q76+EKM!Q76+TSR!Q76+PLKD!Q76+MLPM!Q76+KKD!Q76+WYND!Q76+KNR!Q76+KSRGD!Q76+SHS!Q76</f>
        <v>0</v>
      </c>
      <c r="R76" s="24">
        <f>TVM!R76+KLM!R76+PTA!R76+ALP!R76+KTYM!R76+IDK!R76+EKM!R76+TSR!R76+PLKD!R76+MLPM!R76+KKD!R76+WYND!R76+KNR!R76+KSRGD!R76+SHS!R76</f>
        <v>0</v>
      </c>
      <c r="S76" s="24">
        <f>TVM!S76+KLM!S76+PTA!S76+ALP!S76+KTYM!S76+IDK!S76+EKM!S76+TSR!S76+PLKD!S76+MLPM!S76+KKD!S76+WYND!S76+KNR!S76+KSRGD!S76+SHS!S76</f>
        <v>0</v>
      </c>
      <c r="T76" s="25">
        <f t="shared" si="1"/>
        <v>10.999999999999998</v>
      </c>
      <c r="U76" s="159"/>
      <c r="V76" s="32"/>
      <c r="W76" s="1"/>
      <c r="X76" s="1"/>
      <c r="Y76" s="1"/>
      <c r="Z76" s="1"/>
    </row>
    <row r="77" spans="1:26" ht="39.75" customHeight="1">
      <c r="A77" s="171"/>
      <c r="B77" s="171"/>
      <c r="C77" s="171"/>
      <c r="D77" s="5">
        <v>71</v>
      </c>
      <c r="E77" s="5" t="s">
        <v>142</v>
      </c>
      <c r="F77" s="24">
        <f>TVM!F77+KLM!F77+PTA!F77+ALP!F77+KTYM!F77+IDK!F77+EKM!F77+TSR!F77+PLKD!F77+MLPM!F77+KKD!F77+WYND!F77+KNR!F77+KSRGD!F77+SHS!F77</f>
        <v>0</v>
      </c>
      <c r="G77" s="24">
        <f>TVM!G77+KLM!G77+PTA!G77+ALP!G77+KTYM!G77+IDK!G77+EKM!G77+TSR!G77+PLKD!G77+MLPM!G77+KKD!G77+WYND!G77+KNR!G77+KSRGD!G77+SHS!G77</f>
        <v>0</v>
      </c>
      <c r="H77" s="24">
        <f>TVM!H77+KLM!H77+PTA!H77+ALP!H77+KTYM!H77+IDK!H77+EKM!H77+TSR!H77+PLKD!H77+MLPM!H77+KKD!H77+WYND!H77+KNR!H77+KSRGD!H77+SHS!H77</f>
        <v>0</v>
      </c>
      <c r="I77" s="24">
        <f>TVM!I77+KLM!I77+PTA!I77+ALP!I77+KTYM!I77+IDK!I77+EKM!I77+TSR!I77+PLKD!I77+MLPM!I77+KKD!I77+WYND!I77+KNR!I77+KSRGD!I77+SHS!I77</f>
        <v>0</v>
      </c>
      <c r="J77" s="24">
        <f>TVM!J77+KLM!J77+PTA!J77+ALP!J77+KTYM!J77+IDK!J77+EKM!J77+TSR!J77+PLKD!J77+MLPM!J77+KKD!J77+WYND!J77+KNR!J77+KSRGD!J77+SHS!J77</f>
        <v>0</v>
      </c>
      <c r="K77" s="24">
        <f>TVM!K77+KLM!K77+PTA!K77+ALP!K77+KTYM!K77+IDK!K77+EKM!K77+TSR!K77+PLKD!K77+MLPM!K77+KKD!K77+WYND!K77+KNR!K77+KSRGD!K77+SHS!K77</f>
        <v>0</v>
      </c>
      <c r="L77" s="24">
        <f>TVM!L77+KLM!L77+PTA!L77+ALP!L77+KTYM!L77+IDK!L77+EKM!L77+TSR!L77+PLKD!L77+MLPM!L77+KKD!L77+WYND!L77+KNR!L77+KSRGD!L77+SHS!L77</f>
        <v>0</v>
      </c>
      <c r="M77" s="24">
        <f>TVM!M77+KLM!M77+PTA!M77+ALP!M77+KTYM!M77+IDK!M77+EKM!M77+TSR!M77+PLKD!M77+MLPM!M77+KKD!M77+WYND!M77+KNR!M77+KSRGD!M77+SHS!M77</f>
        <v>0</v>
      </c>
      <c r="N77" s="24">
        <f>TVM!N77+KLM!N77+PTA!N77+ALP!N77+KTYM!N77+IDK!N77+EKM!N77+TSR!N77+PLKD!N77+MLPM!N77+KKD!N77+WYND!N77+KNR!N77+KSRGD!N77+SHS!N77</f>
        <v>0</v>
      </c>
      <c r="O77" s="24">
        <f>TVM!O77+KLM!O77+PTA!O77+ALP!O77+KTYM!O77+IDK!O77+EKM!O77+TSR!O77+PLKD!O77+MLPM!O77+KKD!O77+WYND!O77+KNR!O77+KSRGD!O77+SHS!O77</f>
        <v>0</v>
      </c>
      <c r="P77" s="24">
        <f>TVM!P77+KLM!P77+PTA!P77+ALP!P77+KTYM!P77+IDK!P77+EKM!P77+TSR!P77+PLKD!P77+MLPM!P77+KKD!P77+WYND!P77+KNR!P77+KSRGD!P77+SHS!P77</f>
        <v>0</v>
      </c>
      <c r="Q77" s="24">
        <f>TVM!Q77+KLM!Q77+PTA!Q77+ALP!Q77+KTYM!Q77+IDK!Q77+EKM!Q77+TSR!Q77+PLKD!Q77+MLPM!Q77+KKD!Q77+WYND!Q77+KNR!Q77+KSRGD!Q77+SHS!Q77</f>
        <v>0</v>
      </c>
      <c r="R77" s="24">
        <f>TVM!R77+KLM!R77+PTA!R77+ALP!R77+KTYM!R77+IDK!R77+EKM!R77+TSR!R77+PLKD!R77+MLPM!R77+KKD!R77+WYND!R77+KNR!R77+KSRGD!R77+SHS!R77</f>
        <v>0</v>
      </c>
      <c r="S77" s="24">
        <f>TVM!S77+KLM!S77+PTA!S77+ALP!S77+KTYM!S77+IDK!S77+EKM!S77+TSR!S77+PLKD!S77+MLPM!S77+KKD!S77+WYND!S77+KNR!S77+KSRGD!S77+SHS!S77</f>
        <v>0</v>
      </c>
      <c r="T77" s="25">
        <f t="shared" si="1"/>
        <v>0</v>
      </c>
      <c r="U77" s="159"/>
      <c r="V77" s="32"/>
      <c r="W77" s="1"/>
      <c r="X77" s="1"/>
      <c r="Y77" s="1"/>
      <c r="Z77" s="1"/>
    </row>
    <row r="78" spans="1:26" ht="39.75" customHeight="1">
      <c r="A78" s="171"/>
      <c r="B78" s="169"/>
      <c r="C78" s="169"/>
      <c r="D78" s="5">
        <v>72</v>
      </c>
      <c r="E78" s="5" t="s">
        <v>143</v>
      </c>
      <c r="F78" s="24">
        <f>TVM!F78+KLM!F78+PTA!F78+ALP!F78+KTYM!F78+IDK!F78+EKM!F78+TSR!F78+PLKD!F78+MLPM!F78+KKD!F78+WYND!F78+KNR!F78+KSRGD!F78+SHS!F78</f>
        <v>0</v>
      </c>
      <c r="G78" s="24">
        <f>TVM!G78+KLM!G78+PTA!G78+ALP!G78+KTYM!G78+IDK!G78+EKM!G78+TSR!G78+PLKD!G78+MLPM!G78+KKD!G78+WYND!G78+KNR!G78+KSRGD!G78+SHS!G78</f>
        <v>0</v>
      </c>
      <c r="H78" s="24">
        <f>TVM!H78+KLM!H78+PTA!H78+ALP!H78+KTYM!H78+IDK!H78+EKM!H78+TSR!H78+PLKD!H78+MLPM!H78+KKD!H78+WYND!H78+KNR!H78+KSRGD!H78+SHS!H78</f>
        <v>0</v>
      </c>
      <c r="I78" s="24">
        <f>TVM!I78+KLM!I78+PTA!I78+ALP!I78+KTYM!I78+IDK!I78+EKM!I78+TSR!I78+PLKD!I78+MLPM!I78+KKD!I78+WYND!I78+KNR!I78+KSRGD!I78+SHS!I78</f>
        <v>0</v>
      </c>
      <c r="J78" s="24">
        <f>TVM!J78+KLM!J78+PTA!J78+ALP!J78+KTYM!J78+IDK!J78+EKM!J78+TSR!J78+PLKD!J78+MLPM!J78+KKD!J78+WYND!J78+KNR!J78+KSRGD!J78+SHS!J78</f>
        <v>0</v>
      </c>
      <c r="K78" s="24">
        <f>TVM!K78+KLM!K78+PTA!K78+ALP!K78+KTYM!K78+IDK!K78+EKM!K78+TSR!K78+PLKD!K78+MLPM!K78+KKD!K78+WYND!K78+KNR!K78+KSRGD!K78+SHS!K78</f>
        <v>0</v>
      </c>
      <c r="L78" s="24">
        <f>TVM!L78+KLM!L78+PTA!L78+ALP!L78+KTYM!L78+IDK!L78+EKM!L78+TSR!L78+PLKD!L78+MLPM!L78+KKD!L78+WYND!L78+KNR!L78+KSRGD!L78+SHS!L78</f>
        <v>0</v>
      </c>
      <c r="M78" s="24">
        <f>TVM!M78+KLM!M78+PTA!M78+ALP!M78+KTYM!M78+IDK!M78+EKM!M78+TSR!M78+PLKD!M78+MLPM!M78+KKD!M78+WYND!M78+KNR!M78+KSRGD!M78+SHS!M78</f>
        <v>0</v>
      </c>
      <c r="N78" s="24">
        <f>TVM!N78+KLM!N78+PTA!N78+ALP!N78+KTYM!N78+IDK!N78+EKM!N78+TSR!N78+PLKD!N78+MLPM!N78+KKD!N78+WYND!N78+KNR!N78+KSRGD!N78+SHS!N78</f>
        <v>75.233999999999995</v>
      </c>
      <c r="O78" s="24">
        <f>TVM!O78+KLM!O78+PTA!O78+ALP!O78+KTYM!O78+IDK!O78+EKM!O78+TSR!O78+PLKD!O78+MLPM!O78+KKD!O78+WYND!O78+KNR!O78+KSRGD!O78+SHS!O78</f>
        <v>0</v>
      </c>
      <c r="P78" s="24">
        <f>TVM!P78+KLM!P78+PTA!P78+ALP!P78+KTYM!P78+IDK!P78+EKM!P78+TSR!P78+PLKD!P78+MLPM!P78+KKD!P78+WYND!P78+KNR!P78+KSRGD!P78+SHS!P78</f>
        <v>7</v>
      </c>
      <c r="Q78" s="24">
        <f>TVM!Q78+KLM!Q78+PTA!Q78+ALP!Q78+KTYM!Q78+IDK!Q78+EKM!Q78+TSR!Q78+PLKD!Q78+MLPM!Q78+KKD!Q78+WYND!Q78+KNR!Q78+KSRGD!Q78+SHS!Q78</f>
        <v>73.378</v>
      </c>
      <c r="R78" s="43">
        <f>TVM!R78+KLM!R78+PTA!R78+ALP!R78+KTYM!R78+IDK!R78+EKM!R78+TSR!R78+PLKD!R78+MLPM!R78+KKD!R78+WYND!R78+KNR!R78+KSRGD!R78+SHS!R78</f>
        <v>47.635999999999996</v>
      </c>
      <c r="S78" s="24">
        <f>TVM!S78+KLM!S78+PTA!S78+ALP!S78+KTYM!S78+IDK!S78+EKM!S78+TSR!S78+PLKD!S78+MLPM!S78+KKD!S78+WYND!S78+KNR!S78+KSRGD!S78+SHS!S78</f>
        <v>0</v>
      </c>
      <c r="T78" s="25">
        <f t="shared" si="1"/>
        <v>203.24799999999999</v>
      </c>
      <c r="U78" s="159"/>
      <c r="V78" s="32"/>
      <c r="W78" s="1"/>
      <c r="X78" s="1"/>
      <c r="Y78" s="1"/>
      <c r="Z78" s="1"/>
    </row>
    <row r="79" spans="1:26" ht="39.75" customHeight="1">
      <c r="A79" s="171"/>
      <c r="B79" s="168" t="s">
        <v>145</v>
      </c>
      <c r="C79" s="168" t="s">
        <v>146</v>
      </c>
      <c r="D79" s="5">
        <v>73</v>
      </c>
      <c r="E79" s="5" t="s">
        <v>147</v>
      </c>
      <c r="F79" s="44">
        <f>TVM!F79+KLM!F79+PTA!F79+ALP!F79+KTYM!F79+IDK!F79+EKM!F79+TSR!F79+PLKD!F79+MLPM!F79+KKD!F79+WYND!F79+KNR!F79+KSRGD!F79+SHS!F79</f>
        <v>82</v>
      </c>
      <c r="G79" s="44">
        <f>TVM!G79+KLM!G79+PTA!G79+ALP!G79+KTYM!G79+IDK!G79+EKM!G79+TSR!G79+PLKD!G79+MLPM!G79+KKD!G79+WYND!G79+KNR!G79+KSRGD!G79+SHS!G79</f>
        <v>0</v>
      </c>
      <c r="H79" s="44">
        <f>TVM!H79+KLM!H79+PTA!H79+ALP!H79+KTYM!H79+IDK!H79+EKM!H79+TSR!H79+PLKD!H79+MLPM!H79+KKD!H79+WYND!H79+KNR!H79+KSRGD!H79+SHS!H79</f>
        <v>42</v>
      </c>
      <c r="I79" s="44">
        <f>TVM!I79+KLM!I79+PTA!I79+ALP!I79+KTYM!I79+IDK!I79+EKM!I79+TSR!I79+PLKD!I79+MLPM!I79+KKD!I79+WYND!I79+KNR!I79+KSRGD!I79+SHS!I79</f>
        <v>130.80000000000004</v>
      </c>
      <c r="J79" s="24">
        <f>TVM!J79+KLM!J79+PTA!J79+ALP!J79+KTYM!J79+IDK!J79+EKM!J79+TSR!J79+PLKD!J79+MLPM!J79+KKD!J79+WYND!J79+KNR!J79+KSRGD!J79+SHS!J79</f>
        <v>0</v>
      </c>
      <c r="K79" s="44">
        <f>TVM!K79+KLM!K79+PTA!K79+ALP!K79+KTYM!K79+IDK!K79+EKM!K79+TSR!K79+PLKD!K79+MLPM!K79+KKD!K79+WYND!K79+KNR!K79+KSRGD!K79+SHS!K79</f>
        <v>58.000000000000014</v>
      </c>
      <c r="L79" s="24">
        <f>TVM!L79+KLM!L79+PTA!L79+ALP!L79+KTYM!L79+IDK!L79+EKM!L79+TSR!L79+PLKD!L79+MLPM!L79+KKD!L79+WYND!L79+KNR!L79+KSRGD!L79+SHS!L79</f>
        <v>0</v>
      </c>
      <c r="M79" s="44">
        <f>TVM!M79+KLM!M79+PTA!M79+ALP!M79+KTYM!M79+IDK!M79+EKM!M79+TSR!M79+PLKD!M79+MLPM!M79+KKD!M79+WYND!M79+KNR!M79+KSRGD!M79+SHS!M79</f>
        <v>139</v>
      </c>
      <c r="N79" s="44">
        <f>TVM!N79+KLM!N79+PTA!N79+ALP!N79+KTYM!N79+IDK!N79+EKM!N79+TSR!N79+PLKD!N79+MLPM!N79+KKD!N79+WYND!N79+KNR!N79+KSRGD!N79+SHS!N79</f>
        <v>102.30000000000001</v>
      </c>
      <c r="O79" s="44">
        <f>TVM!O79+KLM!O79+PTA!O79+ALP!O79+KTYM!O79+IDK!O79+EKM!O79+TSR!O79+PLKD!O79+MLPM!O79+KKD!O79+WYND!O79+KNR!O79+KSRGD!O79+SHS!O79</f>
        <v>0</v>
      </c>
      <c r="P79" s="44">
        <f>TVM!P79+KLM!P79+PTA!P79+ALP!P79+KTYM!P79+IDK!P79+EKM!P79+TSR!P79+PLKD!P79+MLPM!P79+KKD!P79+WYND!P79+KNR!P79+KSRGD!P79+SHS!P79</f>
        <v>58.000000000000007</v>
      </c>
      <c r="Q79" s="24">
        <f>TVM!Q79+KLM!Q79+PTA!Q79+ALP!Q79+KTYM!Q79+IDK!Q79+EKM!Q79+TSR!Q79+PLKD!Q79+MLPM!Q79+KKD!Q79+WYND!Q79+KNR!Q79+KSRGD!Q79+SHS!Q79</f>
        <v>0</v>
      </c>
      <c r="R79" s="44">
        <f>TVM!R79+KLM!R79+PTA!R79+ALP!R79+KTYM!R79+IDK!R79+EKM!R79+TSR!R79+PLKD!R79+MLPM!R79+KKD!R79+WYND!R79+KNR!R79+KSRGD!R79+SHS!R79</f>
        <v>255.00000000000003</v>
      </c>
      <c r="S79" s="44">
        <f>TVM!S79+KLM!S79+PTA!S79+ALP!S79+KTYM!S79+IDK!S79+EKM!S79+TSR!S79+PLKD!S79+MLPM!S79+KKD!S79+WYND!S79+KNR!S79+KSRGD!S79+SHS!S79</f>
        <v>57.5</v>
      </c>
      <c r="T79" s="25">
        <f t="shared" si="1"/>
        <v>924.60000000000014</v>
      </c>
      <c r="U79" s="153"/>
      <c r="V79" s="32"/>
      <c r="W79" s="1"/>
      <c r="X79" s="1"/>
      <c r="Y79" s="1"/>
      <c r="Z79" s="1"/>
    </row>
    <row r="80" spans="1:26" ht="39.75" customHeight="1">
      <c r="A80" s="171"/>
      <c r="B80" s="171"/>
      <c r="C80" s="171"/>
      <c r="D80" s="5">
        <v>74</v>
      </c>
      <c r="E80" s="5" t="s">
        <v>148</v>
      </c>
      <c r="F80" s="44">
        <f>TVM!F80+KLM!F80+PTA!F80+ALP!F80+KTYM!F80+IDK!F80+EKM!F80+TSR!F80+PLKD!F80+MLPM!F80+KKD!F80+WYND!F80+KNR!F80+KSRGD!F80+SHS!F80</f>
        <v>761.99999999999989</v>
      </c>
      <c r="G80" s="44">
        <f>TVM!G80+KLM!G80+PTA!G80+ALP!G80+KTYM!G80+IDK!G80+EKM!G80+TSR!G80+PLKD!G80+MLPM!G80+KKD!G80+WYND!G80+KNR!G80+KSRGD!G80+SHS!G80</f>
        <v>0</v>
      </c>
      <c r="H80" s="24">
        <f>TVM!H80+KLM!H80+PTA!H80+ALP!H80+KTYM!H80+IDK!H80+EKM!H80+TSR!H80+PLKD!H80+MLPM!H80+KKD!H80+WYND!H80+KNR!H80+KSRGD!H80+SHS!H80</f>
        <v>0</v>
      </c>
      <c r="I80" s="24">
        <f>TVM!I80+KLM!I80+PTA!I80+ALP!I80+KTYM!I80+IDK!I80+EKM!I80+TSR!I80+PLKD!I80+MLPM!I80+KKD!I80+WYND!I80+KNR!I80+KSRGD!I80+SHS!I80</f>
        <v>0</v>
      </c>
      <c r="J80" s="24">
        <f>TVM!J80+KLM!J80+PTA!J80+ALP!J80+KTYM!J80+IDK!J80+EKM!J80+TSR!J80+PLKD!J80+MLPM!J80+KKD!J80+WYND!J80+KNR!J80+KSRGD!J80+SHS!J80</f>
        <v>0</v>
      </c>
      <c r="K80" s="24">
        <f>TVM!K80+KLM!K80+PTA!K80+ALP!K80+KTYM!K80+IDK!K80+EKM!K80+TSR!K80+PLKD!K80+MLPM!K80+KKD!K80+WYND!K80+KNR!K80+KSRGD!K80+SHS!K80</f>
        <v>0</v>
      </c>
      <c r="L80" s="24">
        <f>TVM!L80+KLM!L80+PTA!L80+ALP!L80+KTYM!L80+IDK!L80+EKM!L80+TSR!L80+PLKD!L80+MLPM!L80+KKD!L80+WYND!L80+KNR!L80+KSRGD!L80+SHS!L80</f>
        <v>0</v>
      </c>
      <c r="M80" s="24">
        <f>TVM!M80+KLM!M80+PTA!M80+ALP!M80+KTYM!M80+IDK!M80+EKM!M80+TSR!M80+PLKD!M80+MLPM!M80+KKD!M80+WYND!M80+KNR!M80+KSRGD!M80+SHS!M80</f>
        <v>0</v>
      </c>
      <c r="N80" s="24">
        <f>TVM!N80+KLM!N80+PTA!N80+ALP!N80+KTYM!N80+IDK!N80+EKM!N80+TSR!N80+PLKD!N80+MLPM!N80+KKD!N80+WYND!N80+KNR!N80+KSRGD!N80+SHS!N80</f>
        <v>0</v>
      </c>
      <c r="O80" s="24">
        <f>TVM!O80+KLM!O80+PTA!O80+ALP!O80+KTYM!O80+IDK!O80+EKM!O80+TSR!O80+PLKD!O80+MLPM!O80+KKD!O80+WYND!O80+KNR!O80+KSRGD!O80+SHS!O80</f>
        <v>0</v>
      </c>
      <c r="P80" s="24">
        <f>TVM!P80+KLM!P80+PTA!P80+ALP!P80+KTYM!P80+IDK!P80+EKM!P80+TSR!P80+PLKD!P80+MLPM!P80+KKD!P80+WYND!P80+KNR!P80+KSRGD!P80+SHS!P80</f>
        <v>0</v>
      </c>
      <c r="Q80" s="24">
        <f>TVM!Q80+KLM!Q80+PTA!Q80+ALP!Q80+KTYM!Q80+IDK!Q80+EKM!Q80+TSR!Q80+PLKD!Q80+MLPM!Q80+KKD!Q80+WYND!Q80+KNR!Q80+KSRGD!Q80+SHS!Q80</f>
        <v>0</v>
      </c>
      <c r="R80" s="24">
        <f>TVM!R80+KLM!R80+PTA!R80+ALP!R80+KTYM!R80+IDK!R80+EKM!R80+TSR!R80+PLKD!R80+MLPM!R80+KKD!R80+WYND!R80+KNR!R80+KSRGD!R80+SHS!R80</f>
        <v>0</v>
      </c>
      <c r="S80" s="24">
        <f>TVM!S80+KLM!S80+PTA!S80+ALP!S80+KTYM!S80+IDK!S80+EKM!S80+TSR!S80+PLKD!S80+MLPM!S80+KKD!S80+WYND!S80+KNR!S80+KSRGD!S80+SHS!S80</f>
        <v>0</v>
      </c>
      <c r="T80" s="25">
        <f t="shared" si="1"/>
        <v>761.99999999999989</v>
      </c>
      <c r="U80" s="153"/>
      <c r="V80" s="32"/>
      <c r="W80" s="1"/>
      <c r="X80" s="1"/>
      <c r="Y80" s="1"/>
      <c r="Z80" s="1"/>
    </row>
    <row r="81" spans="1:26" ht="39.75" customHeight="1">
      <c r="A81" s="171"/>
      <c r="B81" s="171"/>
      <c r="C81" s="171"/>
      <c r="D81" s="5">
        <v>75</v>
      </c>
      <c r="E81" s="5" t="s">
        <v>149</v>
      </c>
      <c r="F81" s="44">
        <f>TVM!F81+KLM!F81+PTA!F81+ALP!F81+KTYM!F81+IDK!F81+EKM!F81+TSR!F81+PLKD!F81+MLPM!F81+KKD!F81+WYND!F81+KNR!F81+KSRGD!F81+SHS!F81</f>
        <v>75.000000000000014</v>
      </c>
      <c r="G81" s="44">
        <f>TVM!G81+KLM!G81+PTA!G81+ALP!G81+KTYM!G81+IDK!G81+EKM!G81+TSR!G81+PLKD!G81+MLPM!G81+KKD!G81+WYND!G81+KNR!G81+KSRGD!G81+SHS!G81</f>
        <v>0</v>
      </c>
      <c r="H81" s="24">
        <f>TVM!H81+KLM!H81+PTA!H81+ALP!H81+KTYM!H81+IDK!H81+EKM!H81+TSR!H81+PLKD!H81+MLPM!H81+KKD!H81+WYND!H81+KNR!H81+KSRGD!H81+SHS!H81</f>
        <v>0</v>
      </c>
      <c r="I81" s="24">
        <f>TVM!I81+KLM!I81+PTA!I81+ALP!I81+KTYM!I81+IDK!I81+EKM!I81+TSR!I81+PLKD!I81+MLPM!I81+KKD!I81+WYND!I81+KNR!I81+KSRGD!I81+SHS!I81</f>
        <v>0</v>
      </c>
      <c r="J81" s="24">
        <f>TVM!J81+KLM!J81+PTA!J81+ALP!J81+KTYM!J81+IDK!J81+EKM!J81+TSR!J81+PLKD!J81+MLPM!J81+KKD!J81+WYND!J81+KNR!J81+KSRGD!J81+SHS!J81</f>
        <v>0</v>
      </c>
      <c r="K81" s="44">
        <f>TVM!K81+KLM!K81+PTA!K81+ALP!K81+KTYM!K81+IDK!K81+EKM!K81+TSR!K81+PLKD!K81+MLPM!K81+KKD!K81+WYND!K81+KNR!K81+KSRGD!K81+SHS!K81</f>
        <v>0</v>
      </c>
      <c r="L81" s="24">
        <f>TVM!L81+KLM!L81+PTA!L81+ALP!L81+KTYM!L81+IDK!L81+EKM!L81+TSR!L81+PLKD!L81+MLPM!L81+KKD!L81+WYND!L81+KNR!L81+KSRGD!L81+SHS!L81</f>
        <v>0</v>
      </c>
      <c r="M81" s="24">
        <f>TVM!M81+KLM!M81+PTA!M81+ALP!M81+KTYM!M81+IDK!M81+EKM!M81+TSR!M81+PLKD!M81+MLPM!M81+KKD!M81+WYND!M81+KNR!M81+KSRGD!M81+SHS!M81</f>
        <v>0</v>
      </c>
      <c r="N81" s="24">
        <f>TVM!N81+KLM!N81+PTA!N81+ALP!N81+KTYM!N81+IDK!N81+EKM!N81+TSR!N81+PLKD!N81+MLPM!N81+KKD!N81+WYND!N81+KNR!N81+KSRGD!N81+SHS!N81</f>
        <v>0</v>
      </c>
      <c r="O81" s="24">
        <f>TVM!O81+KLM!O81+PTA!O81+ALP!O81+KTYM!O81+IDK!O81+EKM!O81+TSR!O81+PLKD!O81+MLPM!O81+KKD!O81+WYND!O81+KNR!O81+KSRGD!O81+SHS!O81</f>
        <v>0</v>
      </c>
      <c r="P81" s="44">
        <f>TVM!P81+KLM!P81+PTA!P81+ALP!P81+KTYM!P81+IDK!P81+EKM!P81+TSR!P81+PLKD!P81+MLPM!P81+KKD!P81+WYND!P81+KNR!P81+KSRGD!P81+SHS!P81</f>
        <v>145.47999999999999</v>
      </c>
      <c r="Q81" s="24">
        <f>TVM!Q81+KLM!Q81+PTA!Q81+ALP!Q81+KTYM!Q81+IDK!Q81+EKM!Q81+TSR!Q81+PLKD!Q81+MLPM!Q81+KKD!Q81+WYND!Q81+KNR!Q81+KSRGD!Q81+SHS!Q81</f>
        <v>0</v>
      </c>
      <c r="R81" s="24">
        <f>TVM!R81+KLM!R81+PTA!R81+ALP!R81+KTYM!R81+IDK!R81+EKM!R81+TSR!R81+PLKD!R81+MLPM!R81+KKD!R81+WYND!R81+KNR!R81+KSRGD!R81+SHS!R81</f>
        <v>0</v>
      </c>
      <c r="S81" s="24">
        <f>TVM!S81+KLM!S81+PTA!S81+ALP!S81+KTYM!S81+IDK!S81+EKM!S81+TSR!S81+PLKD!S81+MLPM!S81+KKD!S81+WYND!S81+KNR!S81+KSRGD!S81+SHS!S81</f>
        <v>0</v>
      </c>
      <c r="T81" s="25">
        <f t="shared" si="1"/>
        <v>220.48000000000002</v>
      </c>
      <c r="U81" s="153"/>
      <c r="V81" s="32"/>
      <c r="W81" s="1"/>
      <c r="X81" s="1"/>
      <c r="Y81" s="1"/>
      <c r="Z81" s="1"/>
    </row>
    <row r="82" spans="1:26" ht="39.75" customHeight="1">
      <c r="A82" s="171"/>
      <c r="B82" s="171"/>
      <c r="C82" s="171"/>
      <c r="D82" s="5">
        <v>76</v>
      </c>
      <c r="E82" s="5" t="s">
        <v>150</v>
      </c>
      <c r="F82" s="24">
        <f>TVM!F82+KLM!F82+PTA!F82+ALP!F82+KTYM!F82+IDK!F82+EKM!F82+TSR!F82+PLKD!F82+MLPM!F82+KKD!F82+WYND!F82+KNR!F82+KSRGD!F82+SHS!F82</f>
        <v>0</v>
      </c>
      <c r="G82" s="24">
        <f>TVM!G82+KLM!G82+PTA!G82+ALP!G82+KTYM!G82+IDK!G82+EKM!G82+TSR!G82+PLKD!G82+MLPM!G82+KKD!G82+WYND!G82+KNR!G82+KSRGD!G82+SHS!G82</f>
        <v>0</v>
      </c>
      <c r="H82" s="24">
        <f>TVM!H82+KLM!H82+PTA!H82+ALP!H82+KTYM!H82+IDK!H82+EKM!H82+TSR!H82+PLKD!H82+MLPM!H82+KKD!H82+WYND!H82+KNR!H82+KSRGD!H82+SHS!H82</f>
        <v>0</v>
      </c>
      <c r="I82" s="24">
        <f>TVM!I82+KLM!I82+PTA!I82+ALP!I82+KTYM!I82+IDK!I82+EKM!I82+TSR!I82+PLKD!I82+MLPM!I82+KKD!I82+WYND!I82+KNR!I82+KSRGD!I82+SHS!I82</f>
        <v>0</v>
      </c>
      <c r="J82" s="24">
        <f>TVM!J82+KLM!J82+PTA!J82+ALP!J82+KTYM!J82+IDK!J82+EKM!J82+TSR!J82+PLKD!J82+MLPM!J82+KKD!J82+WYND!J82+KNR!J82+KSRGD!J82+SHS!J82</f>
        <v>0</v>
      </c>
      <c r="K82" s="44">
        <f>TVM!K82+KLM!K82+PTA!K82+ALP!K82+KTYM!K82+IDK!K82+EKM!K82+TSR!K82+PLKD!K82+MLPM!K82+KKD!K82+WYND!K82+KNR!K82+KSRGD!K82+SHS!K82</f>
        <v>225</v>
      </c>
      <c r="L82" s="24">
        <f>TVM!L82+KLM!L82+PTA!L82+ALP!L82+KTYM!L82+IDK!L82+EKM!L82+TSR!L82+PLKD!L82+MLPM!L82+KKD!L82+WYND!L82+KNR!L82+KSRGD!L82+SHS!L82</f>
        <v>0</v>
      </c>
      <c r="M82" s="44">
        <f>TVM!M82+KLM!M82+PTA!M82+ALP!M82+KTYM!M82+IDK!M82+EKM!M82+TSR!M82+PLKD!M82+MLPM!M82+KKD!M82+WYND!M82+KNR!M82+KSRGD!M82+SHS!M82</f>
        <v>749.5</v>
      </c>
      <c r="N82" s="24">
        <f>TVM!N82+KLM!N82+PTA!N82+ALP!N82+KTYM!N82+IDK!N82+EKM!N82+TSR!N82+PLKD!N82+MLPM!N82+KKD!N82+WYND!N82+KNR!N82+KSRGD!N82+SHS!N82</f>
        <v>0</v>
      </c>
      <c r="O82" s="24">
        <f>TVM!O82+KLM!O82+PTA!O82+ALP!O82+KTYM!O82+IDK!O82+EKM!O82+TSR!O82+PLKD!O82+MLPM!O82+KKD!O82+WYND!O82+KNR!O82+KSRGD!O82+SHS!O82</f>
        <v>0</v>
      </c>
      <c r="P82" s="24">
        <f>TVM!P82+KLM!P82+PTA!P82+ALP!P82+KTYM!P82+IDK!P82+EKM!P82+TSR!P82+PLKD!P82+MLPM!P82+KKD!P82+WYND!P82+KNR!P82+KSRGD!P82+SHS!P82</f>
        <v>0</v>
      </c>
      <c r="Q82" s="24">
        <f>TVM!Q82+KLM!Q82+PTA!Q82+ALP!Q82+KTYM!Q82+IDK!Q82+EKM!Q82+TSR!Q82+PLKD!Q82+MLPM!Q82+KKD!Q82+WYND!Q82+KNR!Q82+KSRGD!Q82+SHS!Q82</f>
        <v>0</v>
      </c>
      <c r="R82" s="24">
        <f>TVM!R82+KLM!R82+PTA!R82+ALP!R82+KTYM!R82+IDK!R82+EKM!R82+TSR!R82+PLKD!R82+MLPM!R82+KKD!R82+WYND!R82+KNR!R82+KSRGD!R82+SHS!R82</f>
        <v>0</v>
      </c>
      <c r="S82" s="24">
        <f>TVM!S82+KLM!S82+PTA!S82+ALP!S82+KTYM!S82+IDK!S82+EKM!S82+TSR!S82+PLKD!S82+MLPM!S82+KKD!S82+WYND!S82+KNR!S82+KSRGD!S82+SHS!S82</f>
        <v>0</v>
      </c>
      <c r="T82" s="25">
        <f t="shared" si="1"/>
        <v>974.5</v>
      </c>
      <c r="U82" s="153"/>
      <c r="V82" s="32"/>
      <c r="W82" s="1"/>
      <c r="X82" s="1"/>
      <c r="Y82" s="1"/>
      <c r="Z82" s="1"/>
    </row>
    <row r="83" spans="1:26" ht="39.75" customHeight="1">
      <c r="A83" s="171"/>
      <c r="B83" s="171"/>
      <c r="C83" s="171"/>
      <c r="D83" s="5">
        <v>77</v>
      </c>
      <c r="E83" s="5" t="s">
        <v>151</v>
      </c>
      <c r="F83" s="44">
        <f>TVM!F83+KLM!F83+PTA!F83+ALP!F83+KTYM!F83+IDK!F83+EKM!F83+TSR!F83+PLKD!F83+MLPM!F83+KKD!F83+WYND!F83+KNR!F83+KSRGD!F83+SHS!F83</f>
        <v>26.500000000000004</v>
      </c>
      <c r="G83" s="44">
        <f>TVM!G83+KLM!G83+PTA!G83+ALP!G83+KTYM!G83+IDK!G83+EKM!G83+TSR!G83+PLKD!G83+MLPM!G83+KKD!G83+WYND!G83+KNR!G83+KSRGD!G83+SHS!G83</f>
        <v>0</v>
      </c>
      <c r="H83" s="44">
        <f>TVM!H83+KLM!H83+PTA!H83+ALP!H83+KTYM!H83+IDK!H83+EKM!H83+TSR!H83+PLKD!H83+MLPM!H83+KKD!H83+WYND!H83+KNR!H83+KSRGD!H83+SHS!H83</f>
        <v>35.5</v>
      </c>
      <c r="I83" s="44">
        <f>TVM!I83+KLM!I83+PTA!I83+ALP!I83+KTYM!I83+IDK!I83+EKM!I83+TSR!I83+PLKD!I83+MLPM!I83+KKD!I83+WYND!I83+KNR!I83+KSRGD!I83+SHS!I83</f>
        <v>568.35</v>
      </c>
      <c r="J83" s="24">
        <f>TVM!J83+KLM!J83+PTA!J83+ALP!J83+KTYM!J83+IDK!J83+EKM!J83+TSR!J83+PLKD!J83+MLPM!J83+KKD!J83+WYND!J83+KNR!J83+KSRGD!J83+SHS!J83</f>
        <v>0</v>
      </c>
      <c r="K83" s="44">
        <f>TVM!K83+KLM!K83+PTA!K83+ALP!K83+KTYM!K83+IDK!K83+EKM!K83+TSR!K83+PLKD!K83+MLPM!K83+KKD!K83+WYND!K83+KNR!K83+KSRGD!K83+SHS!K83</f>
        <v>27.500000000000004</v>
      </c>
      <c r="L83" s="24">
        <f>TVM!L83+KLM!L83+PTA!L83+ALP!L83+KTYM!L83+IDK!L83+EKM!L83+TSR!L83+PLKD!L83+MLPM!L83+KKD!L83+WYND!L83+KNR!L83+KSRGD!L83+SHS!L83</f>
        <v>0</v>
      </c>
      <c r="M83" s="44">
        <f>TVM!M83+KLM!M83+PTA!M83+ALP!M83+KTYM!M83+IDK!M83+EKM!M83+TSR!M83+PLKD!M83+MLPM!M83+KKD!M83+WYND!M83+KNR!M83+KSRGD!M83+SHS!M83</f>
        <v>3227.67</v>
      </c>
      <c r="N83" s="44">
        <f>TVM!N83+KLM!N83+PTA!N83+ALP!N83+KTYM!N83+IDK!N83+EKM!N83+TSR!N83+PLKD!N83+MLPM!N83+KKD!N83+WYND!N83+KNR!N83+KSRGD!N83+SHS!N83</f>
        <v>5.6000000000000005</v>
      </c>
      <c r="O83" s="24">
        <f>TVM!O83+KLM!O83+PTA!O83+ALP!O83+KTYM!O83+IDK!O83+EKM!O83+TSR!O83+PLKD!O83+MLPM!O83+KKD!O83+WYND!O83+KNR!O83+KSRGD!O83+SHS!O83</f>
        <v>0</v>
      </c>
      <c r="P83" s="24">
        <f>TVM!P83+KLM!P83+PTA!P83+ALP!P83+KTYM!P83+IDK!P83+EKM!P83+TSR!P83+PLKD!P83+MLPM!P83+KKD!P83+WYND!P83+KNR!P83+KSRGD!P83+SHS!P83</f>
        <v>0</v>
      </c>
      <c r="Q83" s="24">
        <f>TVM!Q83+KLM!Q83+PTA!Q83+ALP!Q83+KTYM!Q83+IDK!Q83+EKM!Q83+TSR!Q83+PLKD!Q83+MLPM!Q83+KKD!Q83+WYND!Q83+KNR!Q83+KSRGD!Q83+SHS!Q83</f>
        <v>0</v>
      </c>
      <c r="R83" s="24">
        <f>TVM!R83+KLM!R83+PTA!R83+ALP!R83+KTYM!R83+IDK!R83+EKM!R83+TSR!R83+PLKD!R83+MLPM!R83+KKD!R83+WYND!R83+KNR!R83+KSRGD!R83+SHS!R83</f>
        <v>0</v>
      </c>
      <c r="S83" s="44">
        <f>TVM!S83+KLM!S83+PTA!S83+ALP!S83+KTYM!S83+IDK!S83+EKM!S83+TSR!S83+PLKD!S83+MLPM!S83+KKD!S83+WYND!S83+KNR!S83+KSRGD!S83+SHS!S83</f>
        <v>7</v>
      </c>
      <c r="T83" s="25">
        <f t="shared" si="1"/>
        <v>3898.12</v>
      </c>
      <c r="U83" s="153"/>
      <c r="V83" s="32"/>
      <c r="W83" s="1"/>
      <c r="X83" s="1"/>
      <c r="Y83" s="1"/>
      <c r="Z83" s="1"/>
    </row>
    <row r="84" spans="1:26" ht="39.75" customHeight="1">
      <c r="A84" s="171"/>
      <c r="B84" s="171"/>
      <c r="C84" s="171"/>
      <c r="D84" s="5">
        <v>78</v>
      </c>
      <c r="E84" s="5" t="s">
        <v>152</v>
      </c>
      <c r="F84" s="24">
        <f>TVM!F84+KLM!F84+PTA!F84+ALP!F84+KTYM!F84+IDK!F84+EKM!F84+TSR!F84+PLKD!F84+MLPM!F84+KKD!F84+WYND!F84+KNR!F84+KSRGD!F84+SHS!F84</f>
        <v>0</v>
      </c>
      <c r="G84" s="24">
        <f>TVM!G84+KLM!G84+PTA!G84+ALP!G84+KTYM!G84+IDK!G84+EKM!G84+TSR!G84+PLKD!G84+MLPM!G84+KKD!G84+WYND!G84+KNR!G84+KSRGD!G84+SHS!G84</f>
        <v>0</v>
      </c>
      <c r="H84" s="24">
        <f>TVM!H84+KLM!H84+PTA!H84+ALP!H84+KTYM!H84+IDK!H84+EKM!H84+TSR!H84+PLKD!H84+MLPM!H84+KKD!H84+WYND!H84+KNR!H84+KSRGD!H84+SHS!H84</f>
        <v>0</v>
      </c>
      <c r="I84" s="24">
        <f>TVM!I84+KLM!I84+PTA!I84+ALP!I84+KTYM!I84+IDK!I84+EKM!I84+TSR!I84+PLKD!I84+MLPM!I84+KKD!I84+WYND!I84+KNR!I84+KSRGD!I84+SHS!I84</f>
        <v>0</v>
      </c>
      <c r="J84" s="24">
        <f>TVM!J84+KLM!J84+PTA!J84+ALP!J84+KTYM!J84+IDK!J84+EKM!J84+TSR!J84+PLKD!J84+MLPM!J84+KKD!J84+WYND!J84+KNR!J84+KSRGD!J84+SHS!J84</f>
        <v>0</v>
      </c>
      <c r="K84" s="24">
        <f>TVM!K84+KLM!K84+PTA!K84+ALP!K84+KTYM!K84+IDK!K84+EKM!K84+TSR!K84+PLKD!K84+MLPM!K84+KKD!K84+WYND!K84+KNR!K84+KSRGD!K84+SHS!K84</f>
        <v>0</v>
      </c>
      <c r="L84" s="24">
        <f>TVM!L84+KLM!L84+PTA!L84+ALP!L84+KTYM!L84+IDK!L84+EKM!L84+TSR!L84+PLKD!L84+MLPM!L84+KKD!L84+WYND!L84+KNR!L84+KSRGD!L84+SHS!L84</f>
        <v>0</v>
      </c>
      <c r="M84" s="24">
        <f>TVM!M84+KLM!M84+PTA!M84+ALP!M84+KTYM!M84+IDK!M84+EKM!M84+TSR!M84+PLKD!M84+MLPM!M84+KKD!M84+WYND!M84+KNR!M84+KSRGD!M84+SHS!M84</f>
        <v>0</v>
      </c>
      <c r="N84" s="24">
        <f>TVM!N84+KLM!N84+PTA!N84+ALP!N84+KTYM!N84+IDK!N84+EKM!N84+TSR!N84+PLKD!N84+MLPM!N84+KKD!N84+WYND!N84+KNR!N84+KSRGD!N84+SHS!N84</f>
        <v>0</v>
      </c>
      <c r="O84" s="24">
        <f>TVM!O84+KLM!O84+PTA!O84+ALP!O84+KTYM!O84+IDK!O84+EKM!O84+TSR!O84+PLKD!O84+MLPM!O84+KKD!O84+WYND!O84+KNR!O84+KSRGD!O84+SHS!O84</f>
        <v>0</v>
      </c>
      <c r="P84" s="24">
        <f>TVM!P84+KLM!P84+PTA!P84+ALP!P84+KTYM!P84+IDK!P84+EKM!P84+TSR!P84+PLKD!P84+MLPM!P84+KKD!P84+WYND!P84+KNR!P84+KSRGD!P84+SHS!P84</f>
        <v>0</v>
      </c>
      <c r="Q84" s="44">
        <f>TVM!Q84+KLM!Q84+PTA!Q84+ALP!Q84+KTYM!Q84+IDK!Q84+EKM!Q84+TSR!Q84+PLKD!Q84+MLPM!Q84+KKD!Q84+WYND!Q84+KNR!Q84+KSRGD!Q84+SHS!Q84</f>
        <v>225</v>
      </c>
      <c r="R84" s="24">
        <f>TVM!R84+KLM!R84+PTA!R84+ALP!R84+KTYM!R84+IDK!R84+EKM!R84+TSR!R84+PLKD!R84+MLPM!R84+KKD!R84+WYND!R84+KNR!R84+KSRGD!R84+SHS!R84</f>
        <v>0</v>
      </c>
      <c r="S84" s="24">
        <f>TVM!S84+KLM!S84+PTA!S84+ALP!S84+KTYM!S84+IDK!S84+EKM!S84+TSR!S84+PLKD!S84+MLPM!S84+KKD!S84+WYND!S84+KNR!S84+KSRGD!S84+SHS!S84</f>
        <v>0</v>
      </c>
      <c r="T84" s="25">
        <f t="shared" si="1"/>
        <v>225</v>
      </c>
      <c r="U84" s="153"/>
      <c r="V84" s="32"/>
      <c r="W84" s="1"/>
      <c r="X84" s="1"/>
      <c r="Y84" s="1"/>
      <c r="Z84" s="1"/>
    </row>
    <row r="85" spans="1:26" ht="39.75" customHeight="1">
      <c r="A85" s="171"/>
      <c r="B85" s="169"/>
      <c r="C85" s="169"/>
      <c r="D85" s="5">
        <v>79</v>
      </c>
      <c r="E85" s="5" t="s">
        <v>54</v>
      </c>
      <c r="F85" s="24">
        <f>TVM!F85+KLM!F85+PTA!F85+ALP!F85+KTYM!F85+IDK!F85+EKM!F85+TSR!F85+PLKD!F85+MLPM!F85+KKD!F85+WYND!F85+KNR!F85+KSRGD!F85+SHS!F85</f>
        <v>0</v>
      </c>
      <c r="G85" s="24">
        <f>TVM!G85+KLM!G85+PTA!G85+ALP!G85+KTYM!G85+IDK!G85+EKM!G85+TSR!G85+PLKD!G85+MLPM!G85+KKD!G85+WYND!G85+KNR!G85+KSRGD!G85+SHS!G85</f>
        <v>0</v>
      </c>
      <c r="H85" s="24">
        <f>TVM!H85+KLM!H85+PTA!H85+ALP!H85+KTYM!H85+IDK!H85+EKM!H85+TSR!H85+PLKD!H85+MLPM!H85+KKD!H85+WYND!H85+KNR!H85+KSRGD!H85+SHS!H85</f>
        <v>0</v>
      </c>
      <c r="I85" s="24">
        <f>TVM!I85+KLM!I85+PTA!I85+ALP!I85+KTYM!I85+IDK!I85+EKM!I85+TSR!I85+PLKD!I85+MLPM!I85+KKD!I85+WYND!I85+KNR!I85+KSRGD!I85+SHS!I85</f>
        <v>0</v>
      </c>
      <c r="J85" s="24">
        <f>TVM!J85+KLM!J85+PTA!J85+ALP!J85+KTYM!J85+IDK!J85+EKM!J85+TSR!J85+PLKD!J85+MLPM!J85+KKD!J85+WYND!J85+KNR!J85+KSRGD!J85+SHS!J85</f>
        <v>0</v>
      </c>
      <c r="K85" s="24">
        <f>TVM!K85+KLM!K85+PTA!K85+ALP!K85+KTYM!K85+IDK!K85+EKM!K85+TSR!K85+PLKD!K85+MLPM!K85+KKD!K85+WYND!K85+KNR!K85+KSRGD!K85+SHS!K85</f>
        <v>0</v>
      </c>
      <c r="L85" s="24">
        <f>TVM!L85+KLM!L85+PTA!L85+ALP!L85+KTYM!L85+IDK!L85+EKM!L85+TSR!L85+PLKD!L85+MLPM!L85+KKD!L85+WYND!L85+KNR!L85+KSRGD!L85+SHS!L85</f>
        <v>0</v>
      </c>
      <c r="M85" s="24">
        <f>TVM!M85+KLM!M85+PTA!M85+ALP!M85+KTYM!M85+IDK!M85+EKM!M85+TSR!M85+PLKD!M85+MLPM!M85+KKD!M85+WYND!M85+KNR!M85+KSRGD!M85+SHS!M85</f>
        <v>0</v>
      </c>
      <c r="N85" s="24">
        <f>TVM!N85+KLM!N85+PTA!N85+ALP!N85+KTYM!N85+IDK!N85+EKM!N85+TSR!N85+PLKD!N85+MLPM!N85+KKD!N85+WYND!N85+KNR!N85+KSRGD!N85+SHS!N85</f>
        <v>0</v>
      </c>
      <c r="O85" s="24">
        <f>TVM!O85+KLM!O85+PTA!O85+ALP!O85+KTYM!O85+IDK!O85+EKM!O85+TSR!O85+PLKD!O85+MLPM!O85+KKD!O85+WYND!O85+KNR!O85+KSRGD!O85+SHS!O85</f>
        <v>0</v>
      </c>
      <c r="P85" s="24">
        <f>TVM!P85+KLM!P85+PTA!P85+ALP!P85+KTYM!P85+IDK!P85+EKM!P85+TSR!P85+PLKD!P85+MLPM!P85+KKD!P85+WYND!P85+KNR!P85+KSRGD!P85+SHS!P85</f>
        <v>0</v>
      </c>
      <c r="Q85" s="24">
        <f>TVM!Q85+KLM!Q85+PTA!Q85+ALP!Q85+KTYM!Q85+IDK!Q85+EKM!Q85+TSR!Q85+PLKD!Q85+MLPM!Q85+KKD!Q85+WYND!Q85+KNR!Q85+KSRGD!Q85+SHS!Q85</f>
        <v>0</v>
      </c>
      <c r="R85" s="24">
        <f>TVM!R85+KLM!R85+PTA!R85+ALP!R85+KTYM!R85+IDK!R85+EKM!R85+TSR!R85+PLKD!R85+MLPM!R85+KKD!R85+WYND!R85+KNR!R85+KSRGD!R85+SHS!R85</f>
        <v>0</v>
      </c>
      <c r="S85" s="44">
        <f>TVM!S85+KLM!S85+PTA!S85+ALP!S85+KTYM!S85+IDK!S85+EKM!S85+TSR!S85+PLKD!S85+MLPM!S85+KKD!S85+WYND!S85+KNR!S85+KSRGD!S85+SHS!S85</f>
        <v>0</v>
      </c>
      <c r="T85" s="25">
        <f t="shared" si="1"/>
        <v>0</v>
      </c>
      <c r="U85" s="153"/>
      <c r="V85" s="32"/>
      <c r="W85" s="1"/>
      <c r="X85" s="1"/>
      <c r="Y85" s="1"/>
      <c r="Z85" s="1"/>
    </row>
    <row r="86" spans="1:26" ht="39.75" customHeight="1">
      <c r="A86" s="171"/>
      <c r="B86" s="168" t="s">
        <v>153</v>
      </c>
      <c r="C86" s="168" t="s">
        <v>154</v>
      </c>
      <c r="D86" s="5">
        <v>80</v>
      </c>
      <c r="E86" s="5" t="s">
        <v>155</v>
      </c>
      <c r="F86" s="24">
        <f>TVM!F86+KLM!F86+PTA!F86+ALP!F86+KTYM!F86+IDK!F86+EKM!F86+TSR!F86+PLKD!F86+MLPM!F86+KKD!F86+WYND!F86+KNR!F86+KSRGD!F86+SHS!F86</f>
        <v>0</v>
      </c>
      <c r="G86" s="24">
        <f>TVM!G86+KLM!G86+PTA!G86+ALP!G86+KTYM!G86+IDK!G86+EKM!G86+TSR!G86+PLKD!G86+MLPM!G86+KKD!G86+WYND!G86+KNR!G86+KSRGD!G86+SHS!G86</f>
        <v>0</v>
      </c>
      <c r="H86" s="24">
        <f>TVM!H86+KLM!H86+PTA!H86+ALP!H86+KTYM!H86+IDK!H86+EKM!H86+TSR!H86+PLKD!H86+MLPM!H86+KKD!H86+WYND!H86+KNR!H86+KSRGD!H86+SHS!H86</f>
        <v>0</v>
      </c>
      <c r="I86" s="24">
        <f>TVM!I86+KLM!I86+PTA!I86+ALP!I86+KTYM!I86+IDK!I86+EKM!I86+TSR!I86+PLKD!I86+MLPM!I86+KKD!I86+WYND!I86+KNR!I86+KSRGD!I86+SHS!I86</f>
        <v>0</v>
      </c>
      <c r="J86" s="24">
        <f>TVM!J86+KLM!J86+PTA!J86+ALP!J86+KTYM!J86+IDK!J86+EKM!J86+TSR!J86+PLKD!J86+MLPM!J86+KKD!J86+WYND!J86+KNR!J86+KSRGD!J86+SHS!J86</f>
        <v>0</v>
      </c>
      <c r="K86" s="43">
        <f>TVM!K86+KLM!K86+PTA!K86+ALP!K86+KTYM!K86+IDK!K86+EKM!K86+TSR!K86+PLKD!K86+MLPM!K86+KKD!K86+WYND!K86+KNR!K86+KSRGD!K86+SHS!K86</f>
        <v>56</v>
      </c>
      <c r="L86" s="24">
        <f>TVM!L86+KLM!L86+PTA!L86+ALP!L86+KTYM!L86+IDK!L86+EKM!L86+TSR!L86+PLKD!L86+MLPM!L86+KKD!L86+WYND!L86+KNR!L86+KSRGD!L86+SHS!L86</f>
        <v>0</v>
      </c>
      <c r="M86" s="27">
        <f>TVM!M86+KLM!M86+PTA!M86+ALP!M86+KTYM!M86+IDK!M86+EKM!M86+TSR!M86+PLKD!M86+MLPM!M86+KKD!M86+WYND!M86+KNR!M86+KSRGD!M86+SHS!M86</f>
        <v>0</v>
      </c>
      <c r="N86" s="24">
        <f>TVM!N86+KLM!N86+PTA!N86+ALP!N86+KTYM!N86+IDK!N86+EKM!N86+TSR!N86+PLKD!N86+MLPM!N86+KKD!N86+WYND!N86+KNR!N86+KSRGD!N86+SHS!N86</f>
        <v>0</v>
      </c>
      <c r="O86" s="24">
        <f>TVM!O86+KLM!O86+PTA!O86+ALP!O86+KTYM!O86+IDK!O86+EKM!O86+TSR!O86+PLKD!O86+MLPM!O86+KKD!O86+WYND!O86+KNR!O86+KSRGD!O86+SHS!O86</f>
        <v>0</v>
      </c>
      <c r="P86" s="31">
        <f>TVM!P86+KLM!P86+PTA!P86+ALP!P86+KTYM!P86+IDK!P86+EKM!P86+TSR!P86+PLKD!P86+MLPM!P86+KKD!P86+WYND!P86+KNR!P86+KSRGD!P86+SHS!P86</f>
        <v>50.067999999999998</v>
      </c>
      <c r="Q86" s="27">
        <f>TVM!Q86+KLM!Q86+PTA!Q86+ALP!Q86+KTYM!Q86+IDK!Q86+EKM!Q86+TSR!Q86+PLKD!Q86+MLPM!Q86+KKD!Q86+WYND!Q86+KNR!Q86+KSRGD!Q86+SHS!Q86</f>
        <v>34</v>
      </c>
      <c r="R86" s="31">
        <f>TVM!R86+KLM!R86+PTA!R86+ALP!R86+KTYM!R86+IDK!R86+EKM!R86+TSR!R86+PLKD!R86+MLPM!R86+KKD!R86+WYND!R86+KNR!R86+KSRGD!R86+SHS!R86</f>
        <v>0</v>
      </c>
      <c r="S86" s="24">
        <f>TVM!S86+KLM!S86+PTA!S86+ALP!S86+KTYM!S86+IDK!S86+EKM!S86+TSR!S86+PLKD!S86+MLPM!S86+KKD!S86+WYND!S86+KNR!S86+KSRGD!S86+SHS!S86</f>
        <v>0</v>
      </c>
      <c r="T86" s="25">
        <f t="shared" si="1"/>
        <v>140.06799999999998</v>
      </c>
      <c r="U86" s="158"/>
      <c r="V86" s="32"/>
      <c r="W86" s="1"/>
      <c r="X86" s="1"/>
      <c r="Y86" s="1"/>
      <c r="Z86" s="1"/>
    </row>
    <row r="87" spans="1:26" ht="39.75" customHeight="1">
      <c r="A87" s="171"/>
      <c r="B87" s="171"/>
      <c r="C87" s="171"/>
      <c r="D87" s="5">
        <v>81</v>
      </c>
      <c r="E87" s="5" t="s">
        <v>156</v>
      </c>
      <c r="F87" s="24">
        <f>TVM!F87+KLM!F87+PTA!F87+ALP!F87+KTYM!F87+IDK!F87+EKM!F87+TSR!F87+PLKD!F87+MLPM!F87+KKD!F87+WYND!F87+KNR!F87+KSRGD!F87+SHS!F87</f>
        <v>0</v>
      </c>
      <c r="G87" s="24">
        <f>TVM!G87+KLM!G87+PTA!G87+ALP!G87+KTYM!G87+IDK!G87+EKM!G87+TSR!G87+PLKD!G87+MLPM!G87+KKD!G87+WYND!G87+KNR!G87+KSRGD!G87+SHS!G87</f>
        <v>0</v>
      </c>
      <c r="H87" s="24">
        <f>TVM!H87+KLM!H87+PTA!H87+ALP!H87+KTYM!H87+IDK!H87+EKM!H87+TSR!H87+PLKD!H87+MLPM!H87+KKD!H87+WYND!H87+KNR!H87+KSRGD!H87+SHS!H87</f>
        <v>0</v>
      </c>
      <c r="I87" s="24">
        <f>TVM!I87+KLM!I87+PTA!I87+ALP!I87+KTYM!I87+IDK!I87+EKM!I87+TSR!I87+PLKD!I87+MLPM!I87+KKD!I87+WYND!I87+KNR!I87+KSRGD!I87+SHS!I87</f>
        <v>0</v>
      </c>
      <c r="J87" s="24">
        <f>TVM!J87+KLM!J87+PTA!J87+ALP!J87+KTYM!J87+IDK!J87+EKM!J87+TSR!J87+PLKD!J87+MLPM!J87+KKD!J87+WYND!J87+KNR!J87+KSRGD!J87+SHS!J87</f>
        <v>0</v>
      </c>
      <c r="K87" s="24">
        <f>TVM!K87+KLM!K87+PTA!K87+ALP!K87+KTYM!K87+IDK!K87+EKM!K87+TSR!K87+PLKD!K87+MLPM!K87+KKD!K87+WYND!K87+KNR!K87+KSRGD!K87+SHS!K87</f>
        <v>0</v>
      </c>
      <c r="L87" s="24">
        <f>TVM!L87+KLM!L87+PTA!L87+ALP!L87+KTYM!L87+IDK!L87+EKM!L87+TSR!L87+PLKD!L87+MLPM!L87+KKD!L87+WYND!L87+KNR!L87+KSRGD!L87+SHS!L87</f>
        <v>0</v>
      </c>
      <c r="M87" s="27">
        <f>TVM!M87+KLM!M87+PTA!M87+ALP!M87+KTYM!M87+IDK!M87+EKM!M87+TSR!M87+PLKD!M87+MLPM!M87+KKD!M87+WYND!M87+KNR!M87+KSRGD!M87+SHS!M87</f>
        <v>143.51</v>
      </c>
      <c r="N87" s="27">
        <f>TVM!N87+KLM!N87+PTA!N87+ALP!N87+KTYM!N87+IDK!N87+EKM!N87+TSR!N87+PLKD!N87+MLPM!N87+KKD!N87+WYND!N87+KNR!N87+KSRGD!N87+SHS!N87</f>
        <v>5</v>
      </c>
      <c r="O87" s="24">
        <f>TVM!O87+KLM!O87+PTA!O87+ALP!O87+KTYM!O87+IDK!O87+EKM!O87+TSR!O87+PLKD!O87+MLPM!O87+KKD!O87+WYND!O87+KNR!O87+KSRGD!O87+SHS!O87</f>
        <v>0</v>
      </c>
      <c r="P87" s="31">
        <f>TVM!P87+KLM!P87+PTA!P87+ALP!P87+KTYM!P87+IDK!P87+EKM!P87+TSR!P87+PLKD!P87+MLPM!P87+KKD!P87+WYND!P87+KNR!P87+KSRGD!P87+SHS!P87</f>
        <v>1</v>
      </c>
      <c r="Q87" s="31">
        <f>TVM!Q87+KLM!Q87+PTA!Q87+ALP!Q87+KTYM!Q87+IDK!Q87+EKM!Q87+TSR!Q87+PLKD!Q87+MLPM!Q87+KKD!Q87+WYND!Q87+KNR!Q87+KSRGD!Q87+SHS!Q87</f>
        <v>1</v>
      </c>
      <c r="R87" s="24">
        <f>TVM!R87+KLM!R87+PTA!R87+ALP!R87+KTYM!R87+IDK!R87+EKM!R87+TSR!R87+PLKD!R87+MLPM!R87+KKD!R87+WYND!R87+KNR!R87+KSRGD!R87+SHS!R87</f>
        <v>0</v>
      </c>
      <c r="S87" s="24">
        <f>TVM!S87+KLM!S87+PTA!S87+ALP!S87+KTYM!S87+IDK!S87+EKM!S87+TSR!S87+PLKD!S87+MLPM!S87+KKD!S87+WYND!S87+KNR!S87+KSRGD!S87+SHS!S87</f>
        <v>0</v>
      </c>
      <c r="T87" s="25">
        <f t="shared" si="1"/>
        <v>150.51</v>
      </c>
      <c r="U87" s="159"/>
      <c r="V87" s="32"/>
      <c r="W87" s="1"/>
      <c r="X87" s="1"/>
      <c r="Y87" s="1"/>
      <c r="Z87" s="1"/>
    </row>
    <row r="88" spans="1:26" ht="39.75" customHeight="1">
      <c r="A88" s="171"/>
      <c r="B88" s="171"/>
      <c r="C88" s="171"/>
      <c r="D88" s="5">
        <v>82</v>
      </c>
      <c r="E88" s="5" t="s">
        <v>157</v>
      </c>
      <c r="F88" s="24">
        <f>TVM!F88+KLM!F88+PTA!F88+ALP!F88+KTYM!F88+IDK!F88+EKM!F88+TSR!F88+PLKD!F88+MLPM!F88+KKD!F88+WYND!F88+KNR!F88+KSRGD!F88+SHS!F88</f>
        <v>0</v>
      </c>
      <c r="G88" s="24">
        <f>TVM!G88+KLM!G88+PTA!G88+ALP!G88+KTYM!G88+IDK!G88+EKM!G88+TSR!G88+PLKD!G88+MLPM!G88+KKD!G88+WYND!G88+KNR!G88+KSRGD!G88+SHS!G88</f>
        <v>0</v>
      </c>
      <c r="H88" s="24">
        <f>TVM!H88+KLM!H88+PTA!H88+ALP!H88+KTYM!H88+IDK!H88+EKM!H88+TSR!H88+PLKD!H88+MLPM!H88+KKD!H88+WYND!H88+KNR!H88+KSRGD!H88+SHS!H88</f>
        <v>0</v>
      </c>
      <c r="I88" s="24">
        <f>TVM!I88+KLM!I88+PTA!I88+ALP!I88+KTYM!I88+IDK!I88+EKM!I88+TSR!I88+PLKD!I88+MLPM!I88+KKD!I88+WYND!I88+KNR!I88+KSRGD!I88+SHS!I88</f>
        <v>0</v>
      </c>
      <c r="J88" s="24">
        <f>TVM!J88+KLM!J88+PTA!J88+ALP!J88+KTYM!J88+IDK!J88+EKM!J88+TSR!J88+PLKD!J88+MLPM!J88+KKD!J88+WYND!J88+KNR!J88+KSRGD!J88+SHS!J88</f>
        <v>0</v>
      </c>
      <c r="K88" s="24">
        <f>TVM!K88+KLM!K88+PTA!K88+ALP!K88+KTYM!K88+IDK!K88+EKM!K88+TSR!K88+PLKD!K88+MLPM!K88+KKD!K88+WYND!K88+KNR!K88+KSRGD!K88+SHS!K88</f>
        <v>0</v>
      </c>
      <c r="L88" s="24">
        <f>TVM!L88+KLM!L88+PTA!L88+ALP!L88+KTYM!L88+IDK!L88+EKM!L88+TSR!L88+PLKD!L88+MLPM!L88+KKD!L88+WYND!L88+KNR!L88+KSRGD!L88+SHS!L88</f>
        <v>0</v>
      </c>
      <c r="M88" s="24">
        <f>TVM!M88+KLM!M88+PTA!M88+ALP!M88+KTYM!M88+IDK!M88+EKM!M88+TSR!M88+PLKD!M88+MLPM!M88+KKD!M88+WYND!M88+KNR!M88+KSRGD!M88+SHS!M88</f>
        <v>0</v>
      </c>
      <c r="N88" s="24">
        <f>TVM!N88+KLM!N88+PTA!N88+ALP!N88+KTYM!N88+IDK!N88+EKM!N88+TSR!N88+PLKD!N88+MLPM!N88+KKD!N88+WYND!N88+KNR!N88+KSRGD!N88+SHS!N88</f>
        <v>0</v>
      </c>
      <c r="O88" s="24">
        <f>TVM!O88+KLM!O88+PTA!O88+ALP!O88+KTYM!O88+IDK!O88+EKM!O88+TSR!O88+PLKD!O88+MLPM!O88+KKD!O88+WYND!O88+KNR!O88+KSRGD!O88+SHS!O88</f>
        <v>0</v>
      </c>
      <c r="P88" s="31">
        <f>TVM!P88+KLM!P88+PTA!P88+ALP!P88+KTYM!P88+IDK!P88+EKM!P88+TSR!P88+PLKD!P88+MLPM!P88+KKD!P88+WYND!P88+KNR!P88+KSRGD!P88+SHS!P88</f>
        <v>9</v>
      </c>
      <c r="Q88" s="24">
        <f>TVM!Q88+KLM!Q88+PTA!Q88+ALP!Q88+KTYM!Q88+IDK!Q88+EKM!Q88+TSR!Q88+PLKD!Q88+MLPM!Q88+KKD!Q88+WYND!Q88+KNR!Q88+KSRGD!Q88+SHS!Q88</f>
        <v>0</v>
      </c>
      <c r="R88" s="24">
        <f>TVM!R88+KLM!R88+PTA!R88+ALP!R88+KTYM!R88+IDK!R88+EKM!R88+TSR!R88+PLKD!R88+MLPM!R88+KKD!R88+WYND!R88+KNR!R88+KSRGD!R88+SHS!R88</f>
        <v>0</v>
      </c>
      <c r="S88" s="24">
        <f>TVM!S88+KLM!S88+PTA!S88+ALP!S88+KTYM!S88+IDK!S88+EKM!S88+TSR!S88+PLKD!S88+MLPM!S88+KKD!S88+WYND!S88+KNR!S88+KSRGD!S88+SHS!S88</f>
        <v>0</v>
      </c>
      <c r="T88" s="25">
        <f t="shared" si="1"/>
        <v>9</v>
      </c>
      <c r="U88" s="159"/>
      <c r="V88" s="32"/>
      <c r="W88" s="1"/>
      <c r="X88" s="1"/>
      <c r="Y88" s="1"/>
      <c r="Z88" s="1"/>
    </row>
    <row r="89" spans="1:26" ht="39.75" customHeight="1">
      <c r="A89" s="171"/>
      <c r="B89" s="169"/>
      <c r="C89" s="169"/>
      <c r="D89" s="5">
        <v>83</v>
      </c>
      <c r="E89" s="5" t="s">
        <v>158</v>
      </c>
      <c r="F89" s="24">
        <f>TVM!F89+KLM!F89+PTA!F89+ALP!F89+KTYM!F89+IDK!F89+EKM!F89+TSR!F89+PLKD!F89+MLPM!F89+KKD!F89+WYND!F89+KNR!F89+KSRGD!F89+SHS!F89</f>
        <v>0</v>
      </c>
      <c r="G89" s="24">
        <f>TVM!G89+KLM!G89+PTA!G89+ALP!G89+KTYM!G89+IDK!G89+EKM!G89+TSR!G89+PLKD!G89+MLPM!G89+KKD!G89+WYND!G89+KNR!G89+KSRGD!G89+SHS!G89</f>
        <v>0</v>
      </c>
      <c r="H89" s="24">
        <f>TVM!H89+KLM!H89+PTA!H89+ALP!H89+KTYM!H89+IDK!H89+EKM!H89+TSR!H89+PLKD!H89+MLPM!H89+KKD!H89+WYND!H89+KNR!H89+KSRGD!H89+SHS!H89</f>
        <v>0</v>
      </c>
      <c r="I89" s="24">
        <f>TVM!I89+KLM!I89+PTA!I89+ALP!I89+KTYM!I89+IDK!I89+EKM!I89+TSR!I89+PLKD!I89+MLPM!I89+KKD!I89+WYND!I89+KNR!I89+KSRGD!I89+SHS!I89</f>
        <v>0</v>
      </c>
      <c r="J89" s="24">
        <f>TVM!J89+KLM!J89+PTA!J89+ALP!J89+KTYM!J89+IDK!J89+EKM!J89+TSR!J89+PLKD!J89+MLPM!J89+KKD!J89+WYND!J89+KNR!J89+KSRGD!J89+SHS!J89</f>
        <v>0</v>
      </c>
      <c r="K89" s="27">
        <f>TVM!K89+KLM!K89+PTA!K89+ALP!K89+KTYM!K89+IDK!K89+EKM!K89+TSR!K89+PLKD!K89+MLPM!K89+KKD!K89+WYND!K89+KNR!K89+KSRGD!K89+SHS!K89</f>
        <v>87.75</v>
      </c>
      <c r="L89" s="24">
        <f>TVM!L89+KLM!L89+PTA!L89+ALP!L89+KTYM!L89+IDK!L89+EKM!L89+TSR!L89+PLKD!L89+MLPM!L89+KKD!L89+WYND!L89+KNR!L89+KSRGD!L89+SHS!L89</f>
        <v>0</v>
      </c>
      <c r="M89" s="31">
        <f>TVM!M89+KLM!M89+PTA!M89+ALP!M89+KTYM!M89+IDK!M89+EKM!M89+TSR!M89+PLKD!M89+MLPM!M89+KKD!M89+WYND!M89+KNR!M89+KSRGD!M89+SHS!M89</f>
        <v>0</v>
      </c>
      <c r="N89" s="27">
        <f>TVM!N89+KLM!N89+PTA!N89+ALP!N89+KTYM!N89+IDK!N89+EKM!N89+TSR!N89+PLKD!N89+MLPM!N89+KKD!N89+WYND!N89+KNR!N89+KSRGD!N89+SHS!N89</f>
        <v>6.5</v>
      </c>
      <c r="O89" s="24">
        <f>TVM!O89+KLM!O89+PTA!O89+ALP!O89+KTYM!O89+IDK!O89+EKM!O89+TSR!O89+PLKD!O89+MLPM!O89+KKD!O89+WYND!O89+KNR!O89+KSRGD!O89+SHS!O89</f>
        <v>0</v>
      </c>
      <c r="P89" s="31">
        <f>TVM!P89+KLM!P89+PTA!P89+ALP!P89+KTYM!P89+IDK!P89+EKM!P89+TSR!P89+PLKD!P89+MLPM!P89+KKD!P89+WYND!P89+KNR!P89+KSRGD!P89+SHS!P89</f>
        <v>21.499999999999993</v>
      </c>
      <c r="Q89" s="27">
        <f>TVM!Q89+KLM!Q89+PTA!Q89+ALP!Q89+KTYM!Q89+IDK!Q89+EKM!Q89+TSR!Q89+PLKD!Q89+MLPM!Q89+KKD!Q89+WYND!Q89+KNR!Q89+KSRGD!Q89+SHS!Q89</f>
        <v>0</v>
      </c>
      <c r="R89" s="31">
        <f>TVM!R89+KLM!R89+PTA!R89+ALP!R89+KTYM!R89+IDK!R89+EKM!R89+TSR!R89+PLKD!R89+MLPM!R89+KKD!R89+WYND!R89+KNR!R89+KSRGD!R89+SHS!R89</f>
        <v>0</v>
      </c>
      <c r="S89" s="24">
        <f>TVM!S89+KLM!S89+PTA!S89+ALP!S89+KTYM!S89+IDK!S89+EKM!S89+TSR!S89+PLKD!S89+MLPM!S89+KKD!S89+WYND!S89+KNR!S89+KSRGD!S89+SHS!S89</f>
        <v>0</v>
      </c>
      <c r="T89" s="25">
        <f t="shared" si="1"/>
        <v>115.75</v>
      </c>
      <c r="U89" s="159"/>
      <c r="V89" s="32"/>
      <c r="W89" s="1"/>
      <c r="X89" s="1"/>
      <c r="Y89" s="1"/>
      <c r="Z89" s="1"/>
    </row>
    <row r="90" spans="1:26" ht="39.75" customHeight="1">
      <c r="A90" s="171"/>
      <c r="B90" s="5" t="s">
        <v>159</v>
      </c>
      <c r="C90" s="5" t="s">
        <v>160</v>
      </c>
      <c r="D90" s="5">
        <v>84</v>
      </c>
      <c r="E90" s="5" t="s">
        <v>161</v>
      </c>
      <c r="F90" s="24">
        <f>TVM!F90+KLM!F90+PTA!F90+ALP!F90+KTYM!F90+IDK!F90+EKM!F90+TSR!F90+PLKD!F90+MLPM!F90+KKD!F90+WYND!F90+KNR!F90+KSRGD!F90+SHS!F90</f>
        <v>0</v>
      </c>
      <c r="G90" s="24">
        <f>TVM!G90+KLM!G90+PTA!G90+ALP!G90+KTYM!G90+IDK!G90+EKM!G90+TSR!G90+PLKD!G90+MLPM!G90+KKD!G90+WYND!G90+KNR!G90+KSRGD!G90+SHS!G90</f>
        <v>0</v>
      </c>
      <c r="H90" s="24">
        <f>TVM!H90+KLM!H90+PTA!H90+ALP!H90+KTYM!H90+IDK!H90+EKM!H90+TSR!H90+PLKD!H90+MLPM!H90+KKD!H90+WYND!H90+KNR!H90+KSRGD!H90+SHS!H90</f>
        <v>0</v>
      </c>
      <c r="I90" s="27">
        <f>TVM!I90+KLM!I90+PTA!I90+ALP!I90+KTYM!I90+IDK!I90+EKM!I90+TSR!I90+PLKD!I90+MLPM!I90+KKD!I90+WYND!I90+KNR!I90+KSRGD!I90+SHS!I90</f>
        <v>3.5</v>
      </c>
      <c r="J90" s="24">
        <f>TVM!J90+KLM!J90+PTA!J90+ALP!J90+KTYM!J90+IDK!J90+EKM!J90+TSR!J90+PLKD!J90+MLPM!J90+KKD!J90+WYND!J90+KNR!J90+KSRGD!J90+SHS!J90</f>
        <v>0</v>
      </c>
      <c r="K90" s="27">
        <f>TVM!K90+KLM!K90+PTA!K90+ALP!K90+KTYM!K90+IDK!K90+EKM!K90+TSR!K90+PLKD!K90+MLPM!K90+KKD!K90+WYND!K90+KNR!K90+KSRGD!K90+SHS!K90</f>
        <v>1940.672</v>
      </c>
      <c r="L90" s="24">
        <f>TVM!L90+KLM!L90+PTA!L90+ALP!L90+KTYM!L90+IDK!L90+EKM!L90+TSR!L90+PLKD!L90+MLPM!L90+KKD!L90+WYND!L90+KNR!L90+KSRGD!L90+SHS!L90</f>
        <v>0</v>
      </c>
      <c r="M90" s="24">
        <f>TVM!M90+KLM!M90+PTA!M90+ALP!M90+KTYM!M90+IDK!M90+EKM!M90+TSR!M90+PLKD!M90+MLPM!M90+KKD!M90+WYND!M90+KNR!M90+KSRGD!M90+SHS!M90</f>
        <v>0</v>
      </c>
      <c r="N90" s="27">
        <f>TVM!N90+KLM!N90+PTA!N90+ALP!N90+KTYM!N90+IDK!N90+EKM!N90+TSR!N90+PLKD!N90+MLPM!N90+KKD!N90+WYND!N90+KNR!N90+KSRGD!N90+SHS!N90</f>
        <v>32.72</v>
      </c>
      <c r="O90" s="24">
        <f>TVM!O90+KLM!O90+PTA!O90+ALP!O90+KTYM!O90+IDK!O90+EKM!O90+TSR!O90+PLKD!O90+MLPM!O90+KKD!O90+WYND!O90+KNR!O90+KSRGD!O90+SHS!O90</f>
        <v>0</v>
      </c>
      <c r="P90" s="24">
        <f>TVM!P90+KLM!P90+PTA!P90+ALP!P90+KTYM!P90+IDK!P90+EKM!P90+TSR!P90+PLKD!P90+MLPM!P90+KKD!P90+WYND!P90+KNR!P90+KSRGD!P90+SHS!P90</f>
        <v>0</v>
      </c>
      <c r="Q90" s="27">
        <f>TVM!Q90+KLM!Q90+PTA!Q90+ALP!Q90+KTYM!Q90+IDK!Q90+EKM!Q90+TSR!Q90+PLKD!Q90+MLPM!Q90+KKD!Q90+WYND!Q90+KNR!Q90+KSRGD!Q90+SHS!Q90</f>
        <v>47</v>
      </c>
      <c r="R90" s="31">
        <f>TVM!R90+KLM!R90+PTA!R90+ALP!R90+KTYM!R90+IDK!R90+EKM!R90+TSR!R90+PLKD!R90+MLPM!R90+KKD!R90+WYND!R90+KNR!R90+KSRGD!R90+SHS!R90</f>
        <v>3.8000000000000003</v>
      </c>
      <c r="S90" s="24">
        <f>TVM!S90+KLM!S90+PTA!S90+ALP!S90+KTYM!S90+IDK!S90+EKM!S90+TSR!S90+PLKD!S90+MLPM!S90+KKD!S90+WYND!S90+KNR!S90+KSRGD!S90+SHS!S90</f>
        <v>0</v>
      </c>
      <c r="T90" s="25">
        <f t="shared" si="1"/>
        <v>2027.692</v>
      </c>
      <c r="U90" s="160"/>
      <c r="V90" s="32"/>
      <c r="W90" s="1"/>
      <c r="X90" s="1"/>
      <c r="Y90" s="1"/>
      <c r="Z90" s="1"/>
    </row>
    <row r="91" spans="1:26" ht="39.75" customHeight="1">
      <c r="A91" s="171"/>
      <c r="B91" s="5" t="s">
        <v>162</v>
      </c>
      <c r="C91" s="5" t="s">
        <v>163</v>
      </c>
      <c r="D91" s="5">
        <v>85</v>
      </c>
      <c r="E91" s="5" t="s">
        <v>164</v>
      </c>
      <c r="F91" s="24">
        <f>TVM!F91+KLM!F91+PTA!F91+ALP!F91+KTYM!F91+IDK!F91+EKM!F91+TSR!F91+PLKD!F91+MLPM!F91+KKD!F91+WYND!F91+KNR!F91+KSRGD!F91+SHS!F91</f>
        <v>0</v>
      </c>
      <c r="G91" s="24">
        <f>TVM!G91+KLM!G91+PTA!G91+ALP!G91+KTYM!G91+IDK!G91+EKM!G91+TSR!G91+PLKD!G91+MLPM!G91+KKD!G91+WYND!G91+KNR!G91+KSRGD!G91+SHS!G91</f>
        <v>0</v>
      </c>
      <c r="H91" s="24">
        <f>TVM!H91+KLM!H91+PTA!H91+ALP!H91+KTYM!H91+IDK!H91+EKM!H91+TSR!H91+PLKD!H91+MLPM!H91+KKD!H91+WYND!H91+KNR!H91+KSRGD!H91+SHS!H91</f>
        <v>0</v>
      </c>
      <c r="I91" s="24">
        <f>TVM!I91+KLM!I91+PTA!I91+ALP!I91+KTYM!I91+IDK!I91+EKM!I91+TSR!I91+PLKD!I91+MLPM!I91+KKD!I91+WYND!I91+KNR!I91+KSRGD!I91+SHS!I91</f>
        <v>0</v>
      </c>
      <c r="J91" s="24">
        <f>TVM!J91+KLM!J91+PTA!J91+ALP!J91+KTYM!J91+IDK!J91+EKM!J91+TSR!J91+PLKD!J91+MLPM!J91+KKD!J91+WYND!J91+KNR!J91+KSRGD!J91+SHS!J91</f>
        <v>0</v>
      </c>
      <c r="K91" s="27">
        <f>TVM!K91+KLM!K91+PTA!K91+ALP!K91+KTYM!K91+IDK!K91+EKM!K91+TSR!K91+PLKD!K91+MLPM!K91+KKD!K91+WYND!K91+KNR!K91+KSRGD!K91+SHS!K91</f>
        <v>12.5</v>
      </c>
      <c r="L91" s="24">
        <f>TVM!L91+KLM!L91+PTA!L91+ALP!L91+KTYM!L91+IDK!L91+EKM!L91+TSR!L91+PLKD!L91+MLPM!L91+KKD!L91+WYND!L91+KNR!L91+KSRGD!L91+SHS!L91</f>
        <v>0</v>
      </c>
      <c r="M91" s="24">
        <f>TVM!M91+KLM!M91+PTA!M91+ALP!M91+KTYM!M91+IDK!M91+EKM!M91+TSR!M91+PLKD!M91+MLPM!M91+KKD!M91+WYND!M91+KNR!M91+KSRGD!M91+SHS!M91</f>
        <v>0</v>
      </c>
      <c r="N91" s="27">
        <f>TVM!N91+KLM!N91+PTA!N91+ALP!N91+KTYM!N91+IDK!N91+EKM!N91+TSR!N91+PLKD!N91+MLPM!N91+KKD!N91+WYND!N91+KNR!N91+KSRGD!N91+SHS!N91</f>
        <v>4.8000000000000007</v>
      </c>
      <c r="O91" s="24">
        <f>TVM!O91+KLM!O91+PTA!O91+ALP!O91+KTYM!O91+IDK!O91+EKM!O91+TSR!O91+PLKD!O91+MLPM!O91+KKD!O91+WYND!O91+KNR!O91+KSRGD!O91+SHS!O91</f>
        <v>0</v>
      </c>
      <c r="P91" s="24">
        <f>TVM!P91+KLM!P91+PTA!P91+ALP!P91+KTYM!P91+IDK!P91+EKM!P91+TSR!P91+PLKD!P91+MLPM!P91+KKD!P91+WYND!P91+KNR!P91+KSRGD!P91+SHS!P91</f>
        <v>0</v>
      </c>
      <c r="Q91" s="27">
        <f>TVM!Q91+KLM!Q91+PTA!Q91+ALP!Q91+KTYM!Q91+IDK!Q91+EKM!Q91+TSR!Q91+PLKD!Q91+MLPM!Q91+KKD!Q91+WYND!Q91+KNR!Q91+KSRGD!Q91+SHS!Q91</f>
        <v>19</v>
      </c>
      <c r="R91" s="31">
        <f>TVM!R91+KLM!R91+PTA!R91+ALP!R91+KTYM!R91+IDK!R91+EKM!R91+TSR!R91+PLKD!R91+MLPM!R91+KKD!R91+WYND!R91+KNR!R91+KSRGD!R91+SHS!R91</f>
        <v>1.5</v>
      </c>
      <c r="S91" s="24">
        <f>TVM!S91+KLM!S91+PTA!S91+ALP!S91+KTYM!S91+IDK!S91+EKM!S91+TSR!S91+PLKD!S91+MLPM!S91+KKD!S91+WYND!S91+KNR!S91+KSRGD!S91+SHS!S91</f>
        <v>0</v>
      </c>
      <c r="T91" s="25">
        <f t="shared" si="1"/>
        <v>37.799999999999997</v>
      </c>
      <c r="U91" s="153"/>
      <c r="V91" s="32"/>
      <c r="W91" s="1"/>
      <c r="X91" s="1"/>
      <c r="Y91" s="1"/>
      <c r="Z91" s="1"/>
    </row>
    <row r="92" spans="1:26" ht="39.75" customHeight="1">
      <c r="A92" s="171"/>
      <c r="B92" s="5" t="s">
        <v>166</v>
      </c>
      <c r="C92" s="5" t="s">
        <v>54</v>
      </c>
      <c r="D92" s="5">
        <v>86</v>
      </c>
      <c r="E92" s="5" t="s">
        <v>167</v>
      </c>
      <c r="F92" s="24">
        <f>TVM!F92+KLM!F92+PTA!F92+ALP!F92+KTYM!F92+IDK!F92+EKM!F92+TSR!F92+PLKD!F92+MLPM!F92+KKD!F92+WYND!F92+KNR!F92+KSRGD!F92+SHS!F92</f>
        <v>0</v>
      </c>
      <c r="G92" s="24">
        <f>TVM!G92+KLM!G92+PTA!G92+ALP!G92+KTYM!G92+IDK!G92+EKM!G92+TSR!G92+PLKD!G92+MLPM!G92+KKD!G92+WYND!G92+KNR!G92+KSRGD!G92+SHS!G92</f>
        <v>0</v>
      </c>
      <c r="H92" s="24">
        <f>TVM!H92+KLM!H92+PTA!H92+ALP!H92+KTYM!H92+IDK!H92+EKM!H92+TSR!H92+PLKD!H92+MLPM!H92+KKD!H92+WYND!H92+KNR!H92+KSRGD!H92+SHS!H92</f>
        <v>0</v>
      </c>
      <c r="I92" s="24">
        <f>TVM!I92+KLM!I92+PTA!I92+ALP!I92+KTYM!I92+IDK!I92+EKM!I92+TSR!I92+PLKD!I92+MLPM!I92+KKD!I92+WYND!I92+KNR!I92+KSRGD!I92+SHS!I92</f>
        <v>0</v>
      </c>
      <c r="J92" s="24">
        <f>TVM!J92+KLM!J92+PTA!J92+ALP!J92+KTYM!J92+IDK!J92+EKM!J92+TSR!J92+PLKD!J92+MLPM!J92+KKD!J92+WYND!J92+KNR!J92+KSRGD!J92+SHS!J92</f>
        <v>0</v>
      </c>
      <c r="K92" s="24">
        <f>TVM!K92+KLM!K92+PTA!K92+ALP!K92+KTYM!K92+IDK!K92+EKM!K92+TSR!K92+PLKD!K92+MLPM!K92+KKD!K92+WYND!K92+KNR!K92+KSRGD!K92+SHS!K92</f>
        <v>0</v>
      </c>
      <c r="L92" s="24">
        <f>TVM!L92+KLM!L92+PTA!L92+ALP!L92+KTYM!L92+IDK!L92+EKM!L92+TSR!L92+PLKD!L92+MLPM!L92+KKD!L92+WYND!L92+KNR!L92+KSRGD!L92+SHS!L92</f>
        <v>0</v>
      </c>
      <c r="M92" s="24">
        <f>TVM!M92+KLM!M92+PTA!M92+ALP!M92+KTYM!M92+IDK!M92+EKM!M92+TSR!M92+PLKD!M92+MLPM!M92+KKD!M92+WYND!M92+KNR!M92+KSRGD!M92+SHS!M92</f>
        <v>0</v>
      </c>
      <c r="N92" s="24">
        <f>TVM!N92+KLM!N92+PTA!N92+ALP!N92+KTYM!N92+IDK!N92+EKM!N92+TSR!N92+PLKD!N92+MLPM!N92+KKD!N92+WYND!N92+KNR!N92+KSRGD!N92+SHS!N92</f>
        <v>0</v>
      </c>
      <c r="O92" s="24">
        <f>TVM!O92+KLM!O92+PTA!O92+ALP!O92+KTYM!O92+IDK!O92+EKM!O92+TSR!O92+PLKD!O92+MLPM!O92+KKD!O92+WYND!O92+KNR!O92+KSRGD!O92+SHS!O92</f>
        <v>0</v>
      </c>
      <c r="P92" s="24">
        <f>TVM!P92+KLM!P92+PTA!P92+ALP!P92+KTYM!P92+IDK!P92+EKM!P92+TSR!P92+PLKD!P92+MLPM!P92+KKD!P92+WYND!P92+KNR!P92+KSRGD!P92+SHS!P92</f>
        <v>0</v>
      </c>
      <c r="Q92" s="24">
        <f>TVM!Q92+KLM!Q92+PTA!Q92+ALP!Q92+KTYM!Q92+IDK!Q92+EKM!Q92+TSR!Q92+PLKD!Q92+MLPM!Q92+KKD!Q92+WYND!Q92+KNR!Q92+KSRGD!Q92+SHS!Q92</f>
        <v>0</v>
      </c>
      <c r="R92" s="24">
        <f>TVM!R92+KLM!R92+PTA!R92+ALP!R92+KTYM!R92+IDK!R92+EKM!R92+TSR!R92+PLKD!R92+MLPM!R92+KKD!R92+WYND!R92+KNR!R92+KSRGD!R92+SHS!R92</f>
        <v>0</v>
      </c>
      <c r="S92" s="24">
        <f>TVM!S92+KLM!S92+PTA!S92+ALP!S92+KTYM!S92+IDK!S92+EKM!S92+TSR!S92+PLKD!S92+MLPM!S92+KKD!S92+WYND!S92+KNR!S92+KSRGD!S92+SHS!S92</f>
        <v>0</v>
      </c>
      <c r="T92" s="6">
        <f t="shared" si="1"/>
        <v>0</v>
      </c>
      <c r="U92" s="9"/>
      <c r="V92" s="32"/>
      <c r="W92" s="1"/>
      <c r="X92" s="1"/>
      <c r="Y92" s="1"/>
      <c r="Z92" s="1"/>
    </row>
    <row r="93" spans="1:26" ht="39.75" customHeight="1">
      <c r="A93" s="169"/>
      <c r="B93" s="176" t="s">
        <v>168</v>
      </c>
      <c r="C93" s="177"/>
      <c r="D93" s="178"/>
      <c r="E93" s="51"/>
      <c r="F93" s="54">
        <f>TVM!F93+KLM!F93+PTA!F93+ALP!F93+KTYM!F93+IDK!F93+EKM!F93+TSR!F93+PLKD!F93+MLPM!F93+KKD!F93+WYND!F93+KNR!F93+KSRGD!F93+SHS!F93</f>
        <v>947.89999999999986</v>
      </c>
      <c r="G93" s="54">
        <f>TVM!G93+KLM!G93+PTA!G93+ALP!G93+KTYM!G93+IDK!G93+EKM!G93+TSR!G93+PLKD!G93+MLPM!G93+KKD!G93+WYND!G93+KNR!G93+KSRGD!G93+SHS!G93</f>
        <v>0</v>
      </c>
      <c r="H93" s="54">
        <f>TVM!H93+KLM!H93+PTA!H93+ALP!H93+KTYM!H93+IDK!H93+EKM!H93+TSR!H93+PLKD!H93+MLPM!H93+KKD!H93+WYND!H93+KNR!H93+KSRGD!H93+SHS!H93</f>
        <v>77.5</v>
      </c>
      <c r="I93" s="54">
        <f>TVM!I93+KLM!I93+PTA!I93+ALP!I93+KTYM!I93+IDK!I93+EKM!I93+TSR!I93+PLKD!I93+MLPM!I93+KKD!I93+WYND!I93+KNR!I93+KSRGD!I93+SHS!I93</f>
        <v>723.22</v>
      </c>
      <c r="J93" s="54">
        <f>TVM!J93+KLM!J93+PTA!J93+ALP!J93+KTYM!J93+IDK!J93+EKM!J93+TSR!J93+PLKD!J93+MLPM!J93+KKD!J93+WYND!J93+KNR!J93+KSRGD!J93+SHS!J93</f>
        <v>74.8</v>
      </c>
      <c r="K93" s="54">
        <f>TVM!K93+KLM!K93+PTA!K93+ALP!K93+KTYM!K93+IDK!K93+EKM!K93+TSR!K93+PLKD!K93+MLPM!K93+KKD!K93+WYND!K93+KNR!K93+KSRGD!K93+SHS!K93</f>
        <v>2469.2819999999997</v>
      </c>
      <c r="L93" s="54">
        <f>TVM!L93+KLM!L93+PTA!L93+ALP!L93+KTYM!L93+IDK!L93+EKM!L93+TSR!L93+PLKD!L93+MLPM!L93+KKD!L93+WYND!L93+KNR!L93+KSRGD!L93+SHS!L93</f>
        <v>0</v>
      </c>
      <c r="M93" s="57">
        <f>TVM!M93+KLM!M93+PTA!M93+ALP!M93+KTYM!M93+IDK!M93+EKM!M93+TSR!M93+PLKD!M93+MLPM!M93+KKD!M93+WYND!M93+KNR!M93+KSRGD!M93+SHS!M93</f>
        <v>4316.1140000000005</v>
      </c>
      <c r="N93" s="55">
        <f>TVM!N93+KLM!N93+PTA!N93+ALP!N93+KTYM!N93+IDK!N93+EKM!N93+TSR!N93+PLKD!N93+MLPM!N93+KKD!N93+WYND!N93+KNR!N93+KSRGD!N93+SHS!N93</f>
        <v>443.27400000000006</v>
      </c>
      <c r="O93" s="54">
        <f>TVM!O93+KLM!O93+PTA!O93+ALP!O93+KTYM!O93+IDK!O93+EKM!O93+TSR!O93+PLKD!O93+MLPM!O93+KKD!O93+WYND!O93+KNR!O93+KSRGD!O93+SHS!O93</f>
        <v>1186.5348000000001</v>
      </c>
      <c r="P93" s="55">
        <f>TVM!P93+KLM!P93+PTA!P93+ALP!P93+KTYM!P93+IDK!P93+EKM!P93+TSR!P93+PLKD!P93+MLPM!P93+KKD!P93+WYND!P93+KNR!P93+KSRGD!P93+SHS!P93</f>
        <v>966.75130000000013</v>
      </c>
      <c r="Q93" s="54">
        <f>TVM!Q93+KLM!Q93+PTA!Q93+ALP!Q93+KTYM!Q93+IDK!Q93+EKM!Q93+TSR!Q93+PLKD!Q93+MLPM!Q93+KKD!Q93+WYND!Q93+KNR!Q93+KSRGD!Q93+SHS!Q93</f>
        <v>478.85799999999995</v>
      </c>
      <c r="R93" s="57">
        <f>TVM!R93+KLM!R93+PTA!R93+ALP!R93+KTYM!R93+IDK!R93+EKM!R93+TSR!R93+PLKD!R93+MLPM!R93+KKD!R93+WYND!R93+KNR!R93+KSRGD!R93+SHS!R93</f>
        <v>583.20999999999992</v>
      </c>
      <c r="S93" s="57">
        <f>TVM!S93+KLM!S93+PTA!S93+ALP!S93+KTYM!S93+IDK!S93+EKM!S93+TSR!S93+PLKD!S93+MLPM!S93+KKD!S93+WYND!S93+KNR!S93+KSRGD!S93+SHS!S93</f>
        <v>236.79000000000002</v>
      </c>
      <c r="T93" s="152">
        <f>SUM(T69:T92)</f>
        <v>12504.234100000001</v>
      </c>
      <c r="U93" s="9"/>
      <c r="V93" s="32"/>
      <c r="W93" s="1"/>
      <c r="X93" s="1"/>
      <c r="Y93" s="1"/>
      <c r="Z93" s="1"/>
    </row>
    <row r="94" spans="1:26" ht="39.75" customHeight="1">
      <c r="A94" s="175" t="s">
        <v>169</v>
      </c>
      <c r="B94" s="168" t="s">
        <v>170</v>
      </c>
      <c r="C94" s="168" t="s">
        <v>171</v>
      </c>
      <c r="D94" s="5">
        <v>87</v>
      </c>
      <c r="E94" s="5" t="s">
        <v>172</v>
      </c>
      <c r="F94" s="24">
        <f>TVM!F94+KLM!F94+PTA!F94+ALP!F94+KTYM!F94+IDK!F94+EKM!F94+TSR!F94+PLKD!F94+MLPM!F94+KKD!F94+WYND!F94+KNR!F94+KSRGD!F94+SHS!F94</f>
        <v>0</v>
      </c>
      <c r="G94" s="24">
        <f>TVM!G94+KLM!G94+PTA!G94+ALP!G94+KTYM!G94+IDK!G94+EKM!G94+TSR!G94+PLKD!G94+MLPM!G94+KKD!G94+WYND!G94+KNR!G94+KSRGD!G94+SHS!G94</f>
        <v>0</v>
      </c>
      <c r="H94" s="24">
        <f>TVM!H94+KLM!H94+PTA!H94+ALP!H94+KTYM!H94+IDK!H94+EKM!H94+TSR!H94+PLKD!H94+MLPM!H94+KKD!H94+WYND!H94+KNR!H94+KSRGD!H94+SHS!H94</f>
        <v>0</v>
      </c>
      <c r="I94" s="24">
        <f>TVM!I94+KLM!I94+PTA!I94+ALP!I94+KTYM!I94+IDK!I94+EKM!I94+TSR!I94+PLKD!I94+MLPM!I94+KKD!I94+WYND!I94+KNR!I94+KSRGD!I94+SHS!I94</f>
        <v>0</v>
      </c>
      <c r="J94" s="24">
        <f>TVM!J94+KLM!J94+PTA!J94+ALP!J94+KTYM!J94+IDK!J94+EKM!J94+TSR!J94+PLKD!J94+MLPM!J94+KKD!J94+WYND!J94+KNR!J94+KSRGD!J94+SHS!J94</f>
        <v>0</v>
      </c>
      <c r="K94" s="27">
        <f>TVM!K94+KLM!K94+PTA!K94+ALP!K94+KTYM!K94+IDK!K94+EKM!K94+TSR!K94+PLKD!K94+MLPM!K94+KKD!K94+WYND!K94+KNR!K94+KSRGD!K94+SHS!K94</f>
        <v>148</v>
      </c>
      <c r="L94" s="24">
        <f>TVM!L94+KLM!L94+PTA!L94+ALP!L94+KTYM!L94+IDK!L94+EKM!L94+TSR!L94+PLKD!L94+MLPM!L94+KKD!L94+WYND!L94+KNR!L94+KSRGD!L94+SHS!L94</f>
        <v>0</v>
      </c>
      <c r="M94" s="24">
        <f>TVM!M94+KLM!M94+PTA!M94+ALP!M94+KTYM!M94+IDK!M94+EKM!M94+TSR!M94+PLKD!M94+MLPM!M94+KKD!M94+WYND!M94+KNR!M94+KSRGD!M94+SHS!M94</f>
        <v>0</v>
      </c>
      <c r="N94" s="24">
        <f>TVM!N94+KLM!N94+PTA!N94+ALP!N94+KTYM!N94+IDK!N94+EKM!N94+TSR!N94+PLKD!N94+MLPM!N94+KKD!N94+WYND!N94+KNR!N94+KSRGD!N94+SHS!N94</f>
        <v>0</v>
      </c>
      <c r="O94" s="24">
        <f>TVM!O94+KLM!O94+PTA!O94+ALP!O94+KTYM!O94+IDK!O94+EKM!O94+TSR!O94+PLKD!O94+MLPM!O94+KKD!O94+WYND!O94+KNR!O94+KSRGD!O94+SHS!O94</f>
        <v>0</v>
      </c>
      <c r="P94" s="24">
        <f>TVM!P94+KLM!P94+PTA!P94+ALP!P94+KTYM!P94+IDK!P94+EKM!P94+TSR!P94+PLKD!P94+MLPM!P94+KKD!P94+WYND!P94+KNR!P94+KSRGD!P94+SHS!P94</f>
        <v>0</v>
      </c>
      <c r="Q94" s="24">
        <f>TVM!Q94+KLM!Q94+PTA!Q94+ALP!Q94+KTYM!Q94+IDK!Q94+EKM!Q94+TSR!Q94+PLKD!Q94+MLPM!Q94+KKD!Q94+WYND!Q94+KNR!Q94+KSRGD!Q94+SHS!Q94</f>
        <v>0</v>
      </c>
      <c r="R94" s="24">
        <f>TVM!R94+KLM!R94+PTA!R94+ALP!R94+KTYM!R94+IDK!R94+EKM!R94+TSR!R94+PLKD!R94+MLPM!R94+KKD!R94+WYND!R94+KNR!R94+KSRGD!R94+SHS!R94</f>
        <v>0</v>
      </c>
      <c r="S94" s="24">
        <f>TVM!S94+KLM!S94+PTA!S94+ALP!S94+KTYM!S94+IDK!S94+EKM!S94+TSR!S94+PLKD!S94+MLPM!S94+KKD!S94+WYND!S94+KNR!S94+KSRGD!S94+SHS!S94</f>
        <v>0</v>
      </c>
      <c r="T94" s="6">
        <f t="shared" ref="T94:T133" si="2">SUM(F94:S94)</f>
        <v>148</v>
      </c>
      <c r="U94" s="45"/>
      <c r="V94" s="32"/>
      <c r="W94" s="1"/>
      <c r="X94" s="1"/>
      <c r="Y94" s="1"/>
      <c r="Z94" s="1"/>
    </row>
    <row r="95" spans="1:26" ht="39.75" customHeight="1">
      <c r="A95" s="171"/>
      <c r="B95" s="171"/>
      <c r="C95" s="171"/>
      <c r="D95" s="5">
        <v>88</v>
      </c>
      <c r="E95" s="5" t="s">
        <v>173</v>
      </c>
      <c r="F95" s="24">
        <f>TVM!F95+KLM!F95+PTA!F95+ALP!F95+KTYM!F95+IDK!F95+EKM!F95+TSR!F95+PLKD!F95+MLPM!F95+KKD!F95+WYND!F95+KNR!F95+KSRGD!F95+SHS!F95</f>
        <v>0</v>
      </c>
      <c r="G95" s="24">
        <f>TVM!G95+KLM!G95+PTA!G95+ALP!G95+KTYM!G95+IDK!G95+EKM!G95+TSR!G95+PLKD!G95+MLPM!G95+KKD!G95+WYND!G95+KNR!G95+KSRGD!G95+SHS!G95</f>
        <v>0</v>
      </c>
      <c r="H95" s="24">
        <f>TVM!H95+KLM!H95+PTA!H95+ALP!H95+KTYM!H95+IDK!H95+EKM!H95+TSR!H95+PLKD!H95+MLPM!H95+KKD!H95+WYND!H95+KNR!H95+KSRGD!H95+SHS!H95</f>
        <v>0</v>
      </c>
      <c r="I95" s="24">
        <f>TVM!I95+KLM!I95+PTA!I95+ALP!I95+KTYM!I95+IDK!I95+EKM!I95+TSR!I95+PLKD!I95+MLPM!I95+KKD!I95+WYND!I95+KNR!I95+KSRGD!I95+SHS!I95</f>
        <v>0</v>
      </c>
      <c r="J95" s="24">
        <f>TVM!J95+KLM!J95+PTA!J95+ALP!J95+KTYM!J95+IDK!J95+EKM!J95+TSR!J95+PLKD!J95+MLPM!J95+KKD!J95+WYND!J95+KNR!J95+KSRGD!J95+SHS!J95</f>
        <v>0</v>
      </c>
      <c r="K95" s="24">
        <f>TVM!K95+KLM!K95+PTA!K95+ALP!K95+KTYM!K95+IDK!K95+EKM!K95+TSR!K95+PLKD!K95+MLPM!K95+KKD!K95+WYND!K95+KNR!K95+KSRGD!K95+SHS!K95</f>
        <v>0</v>
      </c>
      <c r="L95" s="24">
        <f>TVM!L95+KLM!L95+PTA!L95+ALP!L95+KTYM!L95+IDK!L95+EKM!L95+TSR!L95+PLKD!L95+MLPM!L95+KKD!L95+WYND!L95+KNR!L95+KSRGD!L95+SHS!L95</f>
        <v>0</v>
      </c>
      <c r="M95" s="24">
        <f>TVM!M95+KLM!M95+PTA!M95+ALP!M95+KTYM!M95+IDK!M95+EKM!M95+TSR!M95+PLKD!M95+MLPM!M95+KKD!M95+WYND!M95+KNR!M95+KSRGD!M95+SHS!M95</f>
        <v>0</v>
      </c>
      <c r="N95" s="24">
        <f>TVM!N95+KLM!N95+PTA!N95+ALP!N95+KTYM!N95+IDK!N95+EKM!N95+TSR!N95+PLKD!N95+MLPM!N95+KKD!N95+WYND!N95+KNR!N95+KSRGD!N95+SHS!N95</f>
        <v>0</v>
      </c>
      <c r="O95" s="24">
        <f>TVM!O95+KLM!O95+PTA!O95+ALP!O95+KTYM!O95+IDK!O95+EKM!O95+TSR!O95+PLKD!O95+MLPM!O95+KKD!O95+WYND!O95+KNR!O95+KSRGD!O95+SHS!O95</f>
        <v>0</v>
      </c>
      <c r="P95" s="31">
        <f>TVM!P95+KLM!P95+PTA!P95+ALP!P95+KTYM!P95+IDK!P95+EKM!P95+TSR!P95+PLKD!P95+MLPM!P95+KKD!P95+WYND!P95+KNR!P95+KSRGD!P95+SHS!P95</f>
        <v>140</v>
      </c>
      <c r="Q95" s="24">
        <f>TVM!Q95+KLM!Q95+PTA!Q95+ALP!Q95+KTYM!Q95+IDK!Q95+EKM!Q95+TSR!Q95+PLKD!Q95+MLPM!Q95+KKD!Q95+WYND!Q95+KNR!Q95+KSRGD!Q95+SHS!Q95</f>
        <v>0</v>
      </c>
      <c r="R95" s="24">
        <f>TVM!R95+KLM!R95+PTA!R95+ALP!R95+KTYM!R95+IDK!R95+EKM!R95+TSR!R95+PLKD!R95+MLPM!R95+KKD!R95+WYND!R95+KNR!R95+KSRGD!R95+SHS!R95</f>
        <v>0</v>
      </c>
      <c r="S95" s="24">
        <f>TVM!S95+KLM!S95+PTA!S95+ALP!S95+KTYM!S95+IDK!S95+EKM!S95+TSR!S95+PLKD!S95+MLPM!S95+KKD!S95+WYND!S95+KNR!S95+KSRGD!S95+SHS!S95</f>
        <v>0</v>
      </c>
      <c r="T95" s="6">
        <f t="shared" si="2"/>
        <v>140</v>
      </c>
      <c r="U95" s="36"/>
      <c r="V95" s="32"/>
      <c r="W95" s="1"/>
      <c r="X95" s="1"/>
      <c r="Y95" s="1"/>
      <c r="Z95" s="1"/>
    </row>
    <row r="96" spans="1:26" ht="39.75" customHeight="1">
      <c r="A96" s="171"/>
      <c r="B96" s="171"/>
      <c r="C96" s="171"/>
      <c r="D96" s="5">
        <v>89</v>
      </c>
      <c r="E96" s="5" t="s">
        <v>174</v>
      </c>
      <c r="F96" s="24">
        <f>TVM!F96+KLM!F96+PTA!F96+ALP!F96+KTYM!F96+IDK!F96+EKM!F96+TSR!F96+PLKD!F96+MLPM!F96+KKD!F96+WYND!F96+KNR!F96+KSRGD!F96+SHS!F96</f>
        <v>0</v>
      </c>
      <c r="G96" s="24">
        <f>TVM!G96+KLM!G96+PTA!G96+ALP!G96+KTYM!G96+IDK!G96+EKM!G96+TSR!G96+PLKD!G96+MLPM!G96+KKD!G96+WYND!G96+KNR!G96+KSRGD!G96+SHS!G96</f>
        <v>0</v>
      </c>
      <c r="H96" s="24">
        <f>TVM!H96+KLM!H96+PTA!H96+ALP!H96+KTYM!H96+IDK!H96+EKM!H96+TSR!H96+PLKD!H96+MLPM!H96+KKD!H96+WYND!H96+KNR!H96+KSRGD!H96+SHS!H96</f>
        <v>0</v>
      </c>
      <c r="I96" s="24">
        <f>TVM!I96+KLM!I96+PTA!I96+ALP!I96+KTYM!I96+IDK!I96+EKM!I96+TSR!I96+PLKD!I96+MLPM!I96+KKD!I96+WYND!I96+KNR!I96+KSRGD!I96+SHS!I96</f>
        <v>0</v>
      </c>
      <c r="J96" s="24">
        <f>TVM!J96+KLM!J96+PTA!J96+ALP!J96+KTYM!J96+IDK!J96+EKM!J96+TSR!J96+PLKD!J96+MLPM!J96+KKD!J96+WYND!J96+KNR!J96+KSRGD!J96+SHS!J96</f>
        <v>0</v>
      </c>
      <c r="K96" s="24">
        <f>TVM!K96+KLM!K96+PTA!K96+ALP!K96+KTYM!K96+IDK!K96+EKM!K96+TSR!K96+PLKD!K96+MLPM!K96+KKD!K96+WYND!K96+KNR!K96+KSRGD!K96+SHS!K96</f>
        <v>0</v>
      </c>
      <c r="L96" s="24">
        <f>TVM!L96+KLM!L96+PTA!L96+ALP!L96+KTYM!L96+IDK!L96+EKM!L96+TSR!L96+PLKD!L96+MLPM!L96+KKD!L96+WYND!L96+KNR!L96+KSRGD!L96+SHS!L96</f>
        <v>0</v>
      </c>
      <c r="M96" s="24">
        <f>TVM!M96+KLM!M96+PTA!M96+ALP!M96+KTYM!M96+IDK!M96+EKM!M96+TSR!M96+PLKD!M96+MLPM!M96+KKD!M96+WYND!M96+KNR!M96+KSRGD!M96+SHS!M96</f>
        <v>0</v>
      </c>
      <c r="N96" s="24">
        <f>TVM!N96+KLM!N96+PTA!N96+ALP!N96+KTYM!N96+IDK!N96+EKM!N96+TSR!N96+PLKD!N96+MLPM!N96+KKD!N96+WYND!N96+KNR!N96+KSRGD!N96+SHS!N96</f>
        <v>0</v>
      </c>
      <c r="O96" s="24">
        <f>TVM!O96+KLM!O96+PTA!O96+ALP!O96+KTYM!O96+IDK!O96+EKM!O96+TSR!O96+PLKD!O96+MLPM!O96+KKD!O96+WYND!O96+KNR!O96+KSRGD!O96+SHS!O96</f>
        <v>0</v>
      </c>
      <c r="P96" s="24">
        <f>TVM!P96+KLM!P96+PTA!P96+ALP!P96+KTYM!P96+IDK!P96+EKM!P96+TSR!P96+PLKD!P96+MLPM!P96+KKD!P96+WYND!P96+KNR!P96+KSRGD!P96+SHS!P96</f>
        <v>0</v>
      </c>
      <c r="Q96" s="24">
        <f>TVM!Q96+KLM!Q96+PTA!Q96+ALP!Q96+KTYM!Q96+IDK!Q96+EKM!Q96+TSR!Q96+PLKD!Q96+MLPM!Q96+KKD!Q96+WYND!Q96+KNR!Q96+KSRGD!Q96+SHS!Q96</f>
        <v>0</v>
      </c>
      <c r="R96" s="24">
        <f>TVM!R96+KLM!R96+PTA!R96+ALP!R96+KTYM!R96+IDK!R96+EKM!R96+TSR!R96+PLKD!R96+MLPM!R96+KKD!R96+WYND!R96+KNR!R96+KSRGD!R96+SHS!R96</f>
        <v>0</v>
      </c>
      <c r="S96" s="24">
        <f>TVM!S96+KLM!S96+PTA!S96+ALP!S96+KTYM!S96+IDK!S96+EKM!S96+TSR!S96+PLKD!S96+MLPM!S96+KKD!S96+WYND!S96+KNR!S96+KSRGD!S96+SHS!S96</f>
        <v>0</v>
      </c>
      <c r="T96" s="6">
        <f t="shared" si="2"/>
        <v>0</v>
      </c>
      <c r="U96" s="36"/>
      <c r="V96" s="32"/>
      <c r="W96" s="1"/>
      <c r="X96" s="1"/>
      <c r="Y96" s="1"/>
      <c r="Z96" s="1"/>
    </row>
    <row r="97" spans="1:26" ht="39.75" customHeight="1">
      <c r="A97" s="171"/>
      <c r="B97" s="171"/>
      <c r="C97" s="171"/>
      <c r="D97" s="5">
        <v>90</v>
      </c>
      <c r="E97" s="5" t="s">
        <v>175</v>
      </c>
      <c r="F97" s="24">
        <f>TVM!F97+KLM!F97+PTA!F97+ALP!F97+KTYM!F97+IDK!F97+EKM!F97+TSR!F97+PLKD!F97+MLPM!F97+KKD!F97+WYND!F97+KNR!F97+KSRGD!F97+SHS!F97</f>
        <v>0</v>
      </c>
      <c r="G97" s="24">
        <f>TVM!G97+KLM!G97+PTA!G97+ALP!G97+KTYM!G97+IDK!G97+EKM!G97+TSR!G97+PLKD!G97+MLPM!G97+KKD!G97+WYND!G97+KNR!G97+KSRGD!G97+SHS!G97</f>
        <v>0</v>
      </c>
      <c r="H97" s="24">
        <f>TVM!H97+KLM!H97+PTA!H97+ALP!H97+KTYM!H97+IDK!H97+EKM!H97+TSR!H97+PLKD!H97+MLPM!H97+KKD!H97+WYND!H97+KNR!H97+KSRGD!H97+SHS!H97</f>
        <v>0</v>
      </c>
      <c r="I97" s="24">
        <f>TVM!I97+KLM!I97+PTA!I97+ALP!I97+KTYM!I97+IDK!I97+EKM!I97+TSR!I97+PLKD!I97+MLPM!I97+KKD!I97+WYND!I97+KNR!I97+KSRGD!I97+SHS!I97</f>
        <v>0</v>
      </c>
      <c r="J97" s="24">
        <f>TVM!J97+KLM!J97+PTA!J97+ALP!J97+KTYM!J97+IDK!J97+EKM!J97+TSR!J97+PLKD!J97+MLPM!J97+KKD!J97+WYND!J97+KNR!J97+KSRGD!J97+SHS!J97</f>
        <v>0</v>
      </c>
      <c r="K97" s="24">
        <f>TVM!K97+KLM!K97+PTA!K97+ALP!K97+KTYM!K97+IDK!K97+EKM!K97+TSR!K97+PLKD!K97+MLPM!K97+KKD!K97+WYND!K97+KNR!K97+KSRGD!K97+SHS!K97</f>
        <v>0</v>
      </c>
      <c r="L97" s="24">
        <f>TVM!L97+KLM!L97+PTA!L97+ALP!L97+KTYM!L97+IDK!L97+EKM!L97+TSR!L97+PLKD!L97+MLPM!L97+KKD!L97+WYND!L97+KNR!L97+KSRGD!L97+SHS!L97</f>
        <v>0</v>
      </c>
      <c r="M97" s="24">
        <f>TVM!M97+KLM!M97+PTA!M97+ALP!M97+KTYM!M97+IDK!M97+EKM!M97+TSR!M97+PLKD!M97+MLPM!M97+KKD!M97+WYND!M97+KNR!M97+KSRGD!M97+SHS!M97</f>
        <v>0</v>
      </c>
      <c r="N97" s="24">
        <f>TVM!N97+KLM!N97+PTA!N97+ALP!N97+KTYM!N97+IDK!N97+EKM!N97+TSR!N97+PLKD!N97+MLPM!N97+KKD!N97+WYND!N97+KNR!N97+KSRGD!N97+SHS!N97</f>
        <v>0</v>
      </c>
      <c r="O97" s="24">
        <f>TVM!O97+KLM!O97+PTA!O97+ALP!O97+KTYM!O97+IDK!O97+EKM!O97+TSR!O97+PLKD!O97+MLPM!O97+KKD!O97+WYND!O97+KNR!O97+KSRGD!O97+SHS!O97</f>
        <v>0</v>
      </c>
      <c r="P97" s="31">
        <f>TVM!P97+KLM!P97+PTA!P97+ALP!P97+KTYM!P97+IDK!P97+EKM!P97+TSR!P97+PLKD!P97+MLPM!P97+KKD!P97+WYND!P97+KNR!P97+KSRGD!P97+SHS!P97</f>
        <v>1.38</v>
      </c>
      <c r="Q97" s="24">
        <f>TVM!Q97+KLM!Q97+PTA!Q97+ALP!Q97+KTYM!Q97+IDK!Q97+EKM!Q97+TSR!Q97+PLKD!Q97+MLPM!Q97+KKD!Q97+WYND!Q97+KNR!Q97+KSRGD!Q97+SHS!Q97</f>
        <v>0</v>
      </c>
      <c r="R97" s="24">
        <f>TVM!R97+KLM!R97+PTA!R97+ALP!R97+KTYM!R97+IDK!R97+EKM!R97+TSR!R97+PLKD!R97+MLPM!R97+KKD!R97+WYND!R97+KNR!R97+KSRGD!R97+SHS!R97</f>
        <v>0</v>
      </c>
      <c r="S97" s="24">
        <f>TVM!S97+KLM!S97+PTA!S97+ALP!S97+KTYM!S97+IDK!S97+EKM!S97+TSR!S97+PLKD!S97+MLPM!S97+KKD!S97+WYND!S97+KNR!S97+KSRGD!S97+SHS!S97</f>
        <v>0</v>
      </c>
      <c r="T97" s="6">
        <f t="shared" si="2"/>
        <v>1.38</v>
      </c>
      <c r="U97" s="36"/>
      <c r="V97" s="32"/>
      <c r="W97" s="1"/>
      <c r="X97" s="1"/>
      <c r="Y97" s="1"/>
      <c r="Z97" s="1"/>
    </row>
    <row r="98" spans="1:26" ht="39.75" customHeight="1">
      <c r="A98" s="171"/>
      <c r="B98" s="171"/>
      <c r="C98" s="171"/>
      <c r="D98" s="5">
        <v>91</v>
      </c>
      <c r="E98" s="5" t="s">
        <v>176</v>
      </c>
      <c r="F98" s="24">
        <f>TVM!F98+KLM!F98+PTA!F98+ALP!F98+KTYM!F98+IDK!F98+EKM!F98+TSR!F98+PLKD!F98+MLPM!F98+KKD!F98+WYND!F98+KNR!F98+KSRGD!F98+SHS!F98</f>
        <v>0</v>
      </c>
      <c r="G98" s="24">
        <f>TVM!G98+KLM!G98+PTA!G98+ALP!G98+KTYM!G98+IDK!G98+EKM!G98+TSR!G98+PLKD!G98+MLPM!G98+KKD!G98+WYND!G98+KNR!G98+KSRGD!G98+SHS!G98</f>
        <v>0</v>
      </c>
      <c r="H98" s="24">
        <f>TVM!H98+KLM!H98+PTA!H98+ALP!H98+KTYM!H98+IDK!H98+EKM!H98+TSR!H98+PLKD!H98+MLPM!H98+KKD!H98+WYND!H98+KNR!H98+KSRGD!H98+SHS!H98</f>
        <v>0</v>
      </c>
      <c r="I98" s="24">
        <f>TVM!I98+KLM!I98+PTA!I98+ALP!I98+KTYM!I98+IDK!I98+EKM!I98+TSR!I98+PLKD!I98+MLPM!I98+KKD!I98+WYND!I98+KNR!I98+KSRGD!I98+SHS!I98</f>
        <v>0</v>
      </c>
      <c r="J98" s="24">
        <f>TVM!J98+KLM!J98+PTA!J98+ALP!J98+KTYM!J98+IDK!J98+EKM!J98+TSR!J98+PLKD!J98+MLPM!J98+KKD!J98+WYND!J98+KNR!J98+KSRGD!J98+SHS!J98</f>
        <v>0</v>
      </c>
      <c r="K98" s="27">
        <f>TVM!K98+KLM!K98+PTA!K98+ALP!K98+KTYM!K98+IDK!K98+EKM!K98+TSR!K98+PLKD!K98+MLPM!K98+KKD!K98+WYND!K98+KNR!K98+KSRGD!K98+SHS!K98</f>
        <v>0</v>
      </c>
      <c r="L98" s="24">
        <f>TVM!L98+KLM!L98+PTA!L98+ALP!L98+KTYM!L98+IDK!L98+EKM!L98+TSR!L98+PLKD!L98+MLPM!L98+KKD!L98+WYND!L98+KNR!L98+KSRGD!L98+SHS!L98</f>
        <v>0</v>
      </c>
      <c r="M98" s="24">
        <f>TVM!M98+KLM!M98+PTA!M98+ALP!M98+KTYM!M98+IDK!M98+EKM!M98+TSR!M98+PLKD!M98+MLPM!M98+KKD!M98+WYND!M98+KNR!M98+KSRGD!M98+SHS!M98</f>
        <v>0</v>
      </c>
      <c r="N98" s="24">
        <f>TVM!N98+KLM!N98+PTA!N98+ALP!N98+KTYM!N98+IDK!N98+EKM!N98+TSR!N98+PLKD!N98+MLPM!N98+KKD!N98+WYND!N98+KNR!N98+KSRGD!N98+SHS!N98</f>
        <v>0</v>
      </c>
      <c r="O98" s="24">
        <f>TVM!O98+KLM!O98+PTA!O98+ALP!O98+KTYM!O98+IDK!O98+EKM!O98+TSR!O98+PLKD!O98+MLPM!O98+KKD!O98+WYND!O98+KNR!O98+KSRGD!O98+SHS!O98</f>
        <v>0</v>
      </c>
      <c r="P98" s="31">
        <f>TVM!P98+KLM!P98+PTA!P98+ALP!P98+KTYM!P98+IDK!P98+EKM!P98+TSR!P98+PLKD!P98+MLPM!P98+KKD!P98+WYND!P98+KNR!P98+KSRGD!P98+SHS!P98</f>
        <v>30</v>
      </c>
      <c r="Q98" s="24">
        <f>TVM!Q98+KLM!Q98+PTA!Q98+ALP!Q98+KTYM!Q98+IDK!Q98+EKM!Q98+TSR!Q98+PLKD!Q98+MLPM!Q98+KKD!Q98+WYND!Q98+KNR!Q98+KSRGD!Q98+SHS!Q98</f>
        <v>0</v>
      </c>
      <c r="R98" s="24">
        <f>TVM!R98+KLM!R98+PTA!R98+ALP!R98+KTYM!R98+IDK!R98+EKM!R98+TSR!R98+PLKD!R98+MLPM!R98+KKD!R98+WYND!R98+KNR!R98+KSRGD!R98+SHS!R98</f>
        <v>0</v>
      </c>
      <c r="S98" s="24">
        <f>TVM!S98+KLM!S98+PTA!S98+ALP!S98+KTYM!S98+IDK!S98+EKM!S98+TSR!S98+PLKD!S98+MLPM!S98+KKD!S98+WYND!S98+KNR!S98+KSRGD!S98+SHS!S98</f>
        <v>0</v>
      </c>
      <c r="T98" s="6">
        <f t="shared" si="2"/>
        <v>30</v>
      </c>
      <c r="U98" s="36"/>
      <c r="V98" s="32"/>
      <c r="W98" s="1"/>
      <c r="X98" s="1"/>
      <c r="Y98" s="1"/>
      <c r="Z98" s="1"/>
    </row>
    <row r="99" spans="1:26" ht="39.75" customHeight="1">
      <c r="A99" s="171"/>
      <c r="B99" s="171"/>
      <c r="C99" s="171"/>
      <c r="D99" s="5">
        <v>92</v>
      </c>
      <c r="E99" s="5" t="s">
        <v>178</v>
      </c>
      <c r="F99" s="24">
        <f>TVM!F99+KLM!F99+PTA!F99+ALP!F99+KTYM!F99+IDK!F99+EKM!F99+TSR!F99+PLKD!F99+MLPM!F99+KKD!F99+WYND!F99+KNR!F99+KSRGD!F99+SHS!F99</f>
        <v>0</v>
      </c>
      <c r="G99" s="24">
        <f>TVM!G99+KLM!G99+PTA!G99+ALP!G99+KTYM!G99+IDK!G99+EKM!G99+TSR!G99+PLKD!G99+MLPM!G99+KKD!G99+WYND!G99+KNR!G99+KSRGD!G99+SHS!G99</f>
        <v>0</v>
      </c>
      <c r="H99" s="24">
        <f>TVM!H99+KLM!H99+PTA!H99+ALP!H99+KTYM!H99+IDK!H99+EKM!H99+TSR!H99+PLKD!H99+MLPM!H99+KKD!H99+WYND!H99+KNR!H99+KSRGD!H99+SHS!H99</f>
        <v>0</v>
      </c>
      <c r="I99" s="24">
        <f>TVM!I99+KLM!I99+PTA!I99+ALP!I99+KTYM!I99+IDK!I99+EKM!I99+TSR!I99+PLKD!I99+MLPM!I99+KKD!I99+WYND!I99+KNR!I99+KSRGD!I99+SHS!I99</f>
        <v>0</v>
      </c>
      <c r="J99" s="24">
        <f>TVM!J99+KLM!J99+PTA!J99+ALP!J99+KTYM!J99+IDK!J99+EKM!J99+TSR!J99+PLKD!J99+MLPM!J99+KKD!J99+WYND!J99+KNR!J99+KSRGD!J99+SHS!J99</f>
        <v>0</v>
      </c>
      <c r="K99" s="24">
        <f>TVM!K99+KLM!K99+PTA!K99+ALP!K99+KTYM!K99+IDK!K99+EKM!K99+TSR!K99+PLKD!K99+MLPM!K99+KKD!K99+WYND!K99+KNR!K99+KSRGD!K99+SHS!K99</f>
        <v>0</v>
      </c>
      <c r="L99" s="24">
        <f>TVM!L99+KLM!L99+PTA!L99+ALP!L99+KTYM!L99+IDK!L99+EKM!L99+TSR!L99+PLKD!L99+MLPM!L99+KKD!L99+WYND!L99+KNR!L99+KSRGD!L99+SHS!L99</f>
        <v>0</v>
      </c>
      <c r="M99" s="24">
        <f>TVM!M99+KLM!M99+PTA!M99+ALP!M99+KTYM!M99+IDK!M99+EKM!M99+TSR!M99+PLKD!M99+MLPM!M99+KKD!M99+WYND!M99+KNR!M99+KSRGD!M99+SHS!M99</f>
        <v>0</v>
      </c>
      <c r="N99" s="24">
        <f>TVM!N99+KLM!N99+PTA!N99+ALP!N99+KTYM!N99+IDK!N99+EKM!N99+TSR!N99+PLKD!N99+MLPM!N99+KKD!N99+WYND!N99+KNR!N99+KSRGD!N99+SHS!N99</f>
        <v>0</v>
      </c>
      <c r="O99" s="24">
        <f>TVM!O99+KLM!O99+PTA!O99+ALP!O99+KTYM!O99+IDK!O99+EKM!O99+TSR!O99+PLKD!O99+MLPM!O99+KKD!O99+WYND!O99+KNR!O99+KSRGD!O99+SHS!O99</f>
        <v>0</v>
      </c>
      <c r="P99" s="31">
        <f>TVM!P99+KLM!P99+PTA!P99+ALP!P99+KTYM!P99+IDK!P99+EKM!P99+TSR!P99+PLKD!P99+MLPM!P99+KKD!P99+WYND!P99+KNR!P99+KSRGD!P99+SHS!P99</f>
        <v>51</v>
      </c>
      <c r="Q99" s="24">
        <f>TVM!Q99+KLM!Q99+PTA!Q99+ALP!Q99+KTYM!Q99+IDK!Q99+EKM!Q99+TSR!Q99+PLKD!Q99+MLPM!Q99+KKD!Q99+WYND!Q99+KNR!Q99+KSRGD!Q99+SHS!Q99</f>
        <v>0</v>
      </c>
      <c r="R99" s="24">
        <f>TVM!R99+KLM!R99+PTA!R99+ALP!R99+KTYM!R99+IDK!R99+EKM!R99+TSR!R99+PLKD!R99+MLPM!R99+KKD!R99+WYND!R99+KNR!R99+KSRGD!R99+SHS!R99</f>
        <v>0</v>
      </c>
      <c r="S99" s="24">
        <f>TVM!S99+KLM!S99+PTA!S99+ALP!S99+KTYM!S99+IDK!S99+EKM!S99+TSR!S99+PLKD!S99+MLPM!S99+KKD!S99+WYND!S99+KNR!S99+KSRGD!S99+SHS!S99</f>
        <v>0</v>
      </c>
      <c r="T99" s="6">
        <f t="shared" si="2"/>
        <v>51</v>
      </c>
      <c r="U99" s="90"/>
      <c r="V99" s="32"/>
      <c r="W99" s="1"/>
      <c r="X99" s="1"/>
      <c r="Y99" s="1"/>
      <c r="Z99" s="1"/>
    </row>
    <row r="100" spans="1:26" ht="39.75" customHeight="1">
      <c r="A100" s="171"/>
      <c r="B100" s="171"/>
      <c r="C100" s="171"/>
      <c r="D100" s="5">
        <v>93</v>
      </c>
      <c r="E100" s="5" t="s">
        <v>180</v>
      </c>
      <c r="F100" s="24">
        <f>TVM!F100+KLM!F100+PTA!F100+ALP!F100+KTYM!F100+IDK!F100+EKM!F100+TSR!F100+PLKD!F100+MLPM!F100+KKD!F100+WYND!F100+KNR!F100+KSRGD!F100+SHS!F100</f>
        <v>0</v>
      </c>
      <c r="G100" s="24">
        <f>TVM!G100+KLM!G100+PTA!G100+ALP!G100+KTYM!G100+IDK!G100+EKM!G100+TSR!G100+PLKD!G100+MLPM!G100+KKD!G100+WYND!G100+KNR!G100+KSRGD!G100+SHS!G100</f>
        <v>0</v>
      </c>
      <c r="H100" s="24">
        <f>TVM!H100+KLM!H100+PTA!H100+ALP!H100+KTYM!H100+IDK!H100+EKM!H100+TSR!H100+PLKD!H100+MLPM!H100+KKD!H100+WYND!H100+KNR!H100+KSRGD!H100+SHS!H100</f>
        <v>0</v>
      </c>
      <c r="I100" s="31">
        <f>TVM!I100+KLM!I100+PTA!I100+ALP!I100+KTYM!I100+IDK!I100+EKM!I100+TSR!I100+PLKD!I100+MLPM!I100+KKD!I100+WYND!I100+KNR!I100+KSRGD!I100+SHS!I100</f>
        <v>87.5</v>
      </c>
      <c r="J100" s="24">
        <f>TVM!J100+KLM!J100+PTA!J100+ALP!J100+KTYM!J100+IDK!J100+EKM!J100+TSR!J100+PLKD!J100+MLPM!J100+KKD!J100+WYND!J100+KNR!J100+KSRGD!J100+SHS!J100</f>
        <v>0</v>
      </c>
      <c r="K100" s="24">
        <f>TVM!K100+KLM!K100+PTA!K100+ALP!K100+KTYM!K100+IDK!K100+EKM!K100+TSR!K100+PLKD!K100+MLPM!K100+KKD!K100+WYND!K100+KNR!K100+KSRGD!K100+SHS!K100</f>
        <v>0</v>
      </c>
      <c r="L100" s="24">
        <f>TVM!L100+KLM!L100+PTA!L100+ALP!L100+KTYM!L100+IDK!L100+EKM!L100+TSR!L100+PLKD!L100+MLPM!L100+KKD!L100+WYND!L100+KNR!L100+KSRGD!L100+SHS!L100</f>
        <v>0</v>
      </c>
      <c r="M100" s="24">
        <f>TVM!M100+KLM!M100+PTA!M100+ALP!M100+KTYM!M100+IDK!M100+EKM!M100+TSR!M100+PLKD!M100+MLPM!M100+KKD!M100+WYND!M100+KNR!M100+KSRGD!M100+SHS!M100</f>
        <v>0</v>
      </c>
      <c r="N100" s="24">
        <f>TVM!N100+KLM!N100+PTA!N100+ALP!N100+KTYM!N100+IDK!N100+EKM!N100+TSR!N100+PLKD!N100+MLPM!N100+KKD!N100+WYND!N100+KNR!N100+KSRGD!N100+SHS!N100</f>
        <v>0</v>
      </c>
      <c r="O100" s="24">
        <f>TVM!O100+KLM!O100+PTA!O100+ALP!O100+KTYM!O100+IDK!O100+EKM!O100+TSR!O100+PLKD!O100+MLPM!O100+KKD!O100+WYND!O100+KNR!O100+KSRGD!O100+SHS!O100</f>
        <v>0</v>
      </c>
      <c r="P100" s="24">
        <f>TVM!P100+KLM!P100+PTA!P100+ALP!P100+KTYM!P100+IDK!P100+EKM!P100+TSR!P100+PLKD!P100+MLPM!P100+KKD!P100+WYND!P100+KNR!P100+KSRGD!P100+SHS!P100</f>
        <v>0</v>
      </c>
      <c r="Q100" s="24">
        <f>TVM!Q100+KLM!Q100+PTA!Q100+ALP!Q100+KTYM!Q100+IDK!Q100+EKM!Q100+TSR!Q100+PLKD!Q100+MLPM!Q100+KKD!Q100+WYND!Q100+KNR!Q100+KSRGD!Q100+SHS!Q100</f>
        <v>0</v>
      </c>
      <c r="R100" s="24">
        <f>TVM!R100+KLM!R100+PTA!R100+ALP!R100+KTYM!R100+IDK!R100+EKM!R100+TSR!R100+PLKD!R100+MLPM!R100+KKD!R100+WYND!R100+KNR!R100+KSRGD!R100+SHS!R100</f>
        <v>0</v>
      </c>
      <c r="S100" s="24">
        <f>TVM!S100+KLM!S100+PTA!S100+ALP!S100+KTYM!S100+IDK!S100+EKM!S100+TSR!S100+PLKD!S100+MLPM!S100+KKD!S100+WYND!S100+KNR!S100+KSRGD!S100+SHS!S100</f>
        <v>0</v>
      </c>
      <c r="T100" s="6">
        <f t="shared" si="2"/>
        <v>87.5</v>
      </c>
      <c r="U100" s="90"/>
      <c r="V100" s="32"/>
      <c r="W100" s="1"/>
      <c r="X100" s="1"/>
      <c r="Y100" s="1"/>
      <c r="Z100" s="1"/>
    </row>
    <row r="101" spans="1:26" ht="39.75" customHeight="1">
      <c r="A101" s="171"/>
      <c r="B101" s="171"/>
      <c r="C101" s="171"/>
      <c r="D101" s="5">
        <v>94</v>
      </c>
      <c r="E101" s="5" t="s">
        <v>181</v>
      </c>
      <c r="F101" s="24">
        <f>TVM!F101+KLM!F101+PTA!F101+ALP!F101+KTYM!F101+IDK!F101+EKM!F101+TSR!F101+PLKD!F101+MLPM!F101+KKD!F101+WYND!F101+KNR!F101+KSRGD!F101+SHS!F101</f>
        <v>0</v>
      </c>
      <c r="G101" s="24">
        <f>TVM!G101+KLM!G101+PTA!G101+ALP!G101+KTYM!G101+IDK!G101+EKM!G101+TSR!G101+PLKD!G101+MLPM!G101+KKD!G101+WYND!G101+KNR!G101+KSRGD!G101+SHS!G101</f>
        <v>0</v>
      </c>
      <c r="H101" s="24">
        <f>TVM!H101+KLM!H101+PTA!H101+ALP!H101+KTYM!H101+IDK!H101+EKM!H101+TSR!H101+PLKD!H101+MLPM!H101+KKD!H101+WYND!H101+KNR!H101+KSRGD!H101+SHS!H101</f>
        <v>0</v>
      </c>
      <c r="I101" s="31">
        <f>TVM!I101+KLM!I101+PTA!I101+ALP!I101+KTYM!I101+IDK!I101+EKM!I101+TSR!I101+PLKD!I101+MLPM!I101+KKD!I101+WYND!I101+KNR!I101+KSRGD!I101+SHS!I101</f>
        <v>87.5</v>
      </c>
      <c r="J101" s="24">
        <f>TVM!J101+KLM!J101+PTA!J101+ALP!J101+KTYM!J101+IDK!J101+EKM!J101+TSR!J101+PLKD!J101+MLPM!J101+KKD!J101+WYND!J101+KNR!J101+KSRGD!J101+SHS!J101</f>
        <v>0</v>
      </c>
      <c r="K101" s="24">
        <f>TVM!K101+KLM!K101+PTA!K101+ALP!K101+KTYM!K101+IDK!K101+EKM!K101+TSR!K101+PLKD!K101+MLPM!K101+KKD!K101+WYND!K101+KNR!K101+KSRGD!K101+SHS!K101</f>
        <v>0</v>
      </c>
      <c r="L101" s="24">
        <f>TVM!L101+KLM!L101+PTA!L101+ALP!L101+KTYM!L101+IDK!L101+EKM!L101+TSR!L101+PLKD!L101+MLPM!L101+KKD!L101+WYND!L101+KNR!L101+KSRGD!L101+SHS!L101</f>
        <v>0</v>
      </c>
      <c r="M101" s="24">
        <f>TVM!M101+KLM!M101+PTA!M101+ALP!M101+KTYM!M101+IDK!M101+EKM!M101+TSR!M101+PLKD!M101+MLPM!M101+KKD!M101+WYND!M101+KNR!M101+KSRGD!M101+SHS!M101</f>
        <v>0</v>
      </c>
      <c r="N101" s="24">
        <f>TVM!N101+KLM!N101+PTA!N101+ALP!N101+KTYM!N101+IDK!N101+EKM!N101+TSR!N101+PLKD!N101+MLPM!N101+KKD!N101+WYND!N101+KNR!N101+KSRGD!N101+SHS!N101</f>
        <v>0</v>
      </c>
      <c r="O101" s="24">
        <f>TVM!O101+KLM!O101+PTA!O101+ALP!O101+KTYM!O101+IDK!O101+EKM!O101+TSR!O101+PLKD!O101+MLPM!O101+KKD!O101+WYND!O101+KNR!O101+KSRGD!O101+SHS!O101</f>
        <v>0</v>
      </c>
      <c r="P101" s="24">
        <f>TVM!P101+KLM!P101+PTA!P101+ALP!P101+KTYM!P101+IDK!P101+EKM!P101+TSR!P101+PLKD!P101+MLPM!P101+KKD!P101+WYND!P101+KNR!P101+KSRGD!P101+SHS!P101</f>
        <v>0</v>
      </c>
      <c r="Q101" s="24">
        <f>TVM!Q101+KLM!Q101+PTA!Q101+ALP!Q101+KTYM!Q101+IDK!Q101+EKM!Q101+TSR!Q101+PLKD!Q101+MLPM!Q101+KKD!Q101+WYND!Q101+KNR!Q101+KSRGD!Q101+SHS!Q101</f>
        <v>0</v>
      </c>
      <c r="R101" s="24">
        <f>TVM!R101+KLM!R101+PTA!R101+ALP!R101+KTYM!R101+IDK!R101+EKM!R101+TSR!R101+PLKD!R101+MLPM!R101+KKD!R101+WYND!R101+KNR!R101+KSRGD!R101+SHS!R101</f>
        <v>0</v>
      </c>
      <c r="S101" s="24">
        <f>TVM!S101+KLM!S101+PTA!S101+ALP!S101+KTYM!S101+IDK!S101+EKM!S101+TSR!S101+PLKD!S101+MLPM!S101+KKD!S101+WYND!S101+KNR!S101+KSRGD!S101+SHS!S101</f>
        <v>0</v>
      </c>
      <c r="T101" s="6">
        <f t="shared" si="2"/>
        <v>87.5</v>
      </c>
      <c r="U101" s="90"/>
      <c r="V101" s="32"/>
      <c r="W101" s="1"/>
      <c r="X101" s="1"/>
      <c r="Y101" s="1"/>
      <c r="Z101" s="1"/>
    </row>
    <row r="102" spans="1:26" ht="39.75" customHeight="1">
      <c r="A102" s="171"/>
      <c r="B102" s="171"/>
      <c r="C102" s="171"/>
      <c r="D102" s="5">
        <v>95</v>
      </c>
      <c r="E102" s="5" t="s">
        <v>182</v>
      </c>
      <c r="F102" s="24">
        <f>TVM!F102+KLM!F102+PTA!F102+ALP!F102+KTYM!F102+IDK!F102+EKM!F102+TSR!F102+PLKD!F102+MLPM!F102+KKD!F102+WYND!F102+KNR!F102+KSRGD!F102+SHS!F102</f>
        <v>0</v>
      </c>
      <c r="G102" s="24">
        <f>TVM!G102+KLM!G102+PTA!G102+ALP!G102+KTYM!G102+IDK!G102+EKM!G102+TSR!G102+PLKD!G102+MLPM!G102+KKD!G102+WYND!G102+KNR!G102+KSRGD!G102+SHS!G102</f>
        <v>423.46</v>
      </c>
      <c r="H102" s="31">
        <f>TVM!H102+KLM!H102+PTA!H102+ALP!H102+KTYM!H102+IDK!H102+EKM!H102+TSR!H102+PLKD!H102+MLPM!H102+KKD!H102+WYND!H102+KNR!H102+KSRGD!H102+SHS!H102</f>
        <v>0</v>
      </c>
      <c r="I102" s="27">
        <f>TVM!I102+KLM!I102+PTA!I102+ALP!I102+KTYM!I102+IDK!I102+EKM!I102+TSR!I102+PLKD!I102+MLPM!I102+KKD!I102+WYND!I102+KNR!I102+KSRGD!I102+SHS!I102</f>
        <v>695</v>
      </c>
      <c r="J102" s="24">
        <f>TVM!J102+KLM!J102+PTA!J102+ALP!J102+KTYM!J102+IDK!J102+EKM!J102+TSR!J102+PLKD!J102+MLPM!J102+KKD!J102+WYND!J102+KNR!J102+KSRGD!J102+SHS!J102</f>
        <v>0</v>
      </c>
      <c r="K102" s="24">
        <f>TVM!K102+KLM!K102+PTA!K102+ALP!K102+KTYM!K102+IDK!K102+EKM!K102+TSR!K102+PLKD!K102+MLPM!K102+KKD!K102+WYND!K102+KNR!K102+KSRGD!K102+SHS!K102</f>
        <v>0</v>
      </c>
      <c r="L102" s="24">
        <f>TVM!L102+KLM!L102+PTA!L102+ALP!L102+KTYM!L102+IDK!L102+EKM!L102+TSR!L102+PLKD!L102+MLPM!L102+KKD!L102+WYND!L102+KNR!L102+KSRGD!L102+SHS!L102</f>
        <v>0</v>
      </c>
      <c r="M102" s="24">
        <f>TVM!M102+KLM!M102+PTA!M102+ALP!M102+KTYM!M102+IDK!M102+EKM!M102+TSR!M102+PLKD!M102+MLPM!M102+KKD!M102+WYND!M102+KNR!M102+KSRGD!M102+SHS!M102</f>
        <v>0</v>
      </c>
      <c r="N102" s="24">
        <f>TVM!N102+KLM!N102+PTA!N102+ALP!N102+KTYM!N102+IDK!N102+EKM!N102+TSR!N102+PLKD!N102+MLPM!N102+KKD!N102+WYND!N102+KNR!N102+KSRGD!N102+SHS!N102</f>
        <v>0</v>
      </c>
      <c r="O102" s="24">
        <f>TVM!O102+KLM!O102+PTA!O102+ALP!O102+KTYM!O102+IDK!O102+EKM!O102+TSR!O102+PLKD!O102+MLPM!O102+KKD!O102+WYND!O102+KNR!O102+KSRGD!O102+SHS!O102</f>
        <v>0</v>
      </c>
      <c r="P102" s="24">
        <f>TVM!P102+KLM!P102+PTA!P102+ALP!P102+KTYM!P102+IDK!P102+EKM!P102+TSR!P102+PLKD!P102+MLPM!P102+KKD!P102+WYND!P102+KNR!P102+KSRGD!P102+SHS!P102</f>
        <v>0</v>
      </c>
      <c r="Q102" s="24">
        <f>TVM!Q102+KLM!Q102+PTA!Q102+ALP!Q102+KTYM!Q102+IDK!Q102+EKM!Q102+TSR!Q102+PLKD!Q102+MLPM!Q102+KKD!Q102+WYND!Q102+KNR!Q102+KSRGD!Q102+SHS!Q102</f>
        <v>0</v>
      </c>
      <c r="R102" s="24">
        <f>TVM!R102+KLM!R102+PTA!R102+ALP!R102+KTYM!R102+IDK!R102+EKM!R102+TSR!R102+PLKD!R102+MLPM!R102+KKD!R102+WYND!R102+KNR!R102+KSRGD!R102+SHS!R102</f>
        <v>0</v>
      </c>
      <c r="S102" s="24">
        <f>TVM!S102+KLM!S102+PTA!S102+ALP!S102+KTYM!S102+IDK!S102+EKM!S102+TSR!S102+PLKD!S102+MLPM!S102+KKD!S102+WYND!S102+KNR!S102+KSRGD!S102+SHS!S102</f>
        <v>0</v>
      </c>
      <c r="T102" s="6">
        <f t="shared" si="2"/>
        <v>1118.46</v>
      </c>
      <c r="U102" s="36"/>
      <c r="V102" s="32"/>
      <c r="W102" s="1"/>
      <c r="X102" s="1"/>
      <c r="Y102" s="1"/>
      <c r="Z102" s="1"/>
    </row>
    <row r="103" spans="1:26" ht="39.75" customHeight="1">
      <c r="A103" s="171"/>
      <c r="B103" s="169"/>
      <c r="C103" s="169"/>
      <c r="D103" s="5">
        <v>96</v>
      </c>
      <c r="E103" s="5" t="s">
        <v>183</v>
      </c>
      <c r="F103" s="24">
        <f>TVM!F103+KLM!F103+PTA!F103+ALP!F103+KTYM!F103+IDK!F103+EKM!F103+TSR!F103+PLKD!F103+MLPM!F103+KKD!F103+WYND!F103+KNR!F103+KSRGD!F103+SHS!F103</f>
        <v>0</v>
      </c>
      <c r="G103" s="24">
        <f>TVM!G103+KLM!G103+PTA!G103+ALP!G103+KTYM!G103+IDK!G103+EKM!G103+TSR!G103+PLKD!G103+MLPM!G103+KKD!G103+WYND!G103+KNR!G103+KSRGD!G103+SHS!G103</f>
        <v>0</v>
      </c>
      <c r="H103" s="24">
        <f>TVM!H103+KLM!H103+PTA!H103+ALP!H103+KTYM!H103+IDK!H103+EKM!H103+TSR!H103+PLKD!H103+MLPM!H103+KKD!H103+WYND!H103+KNR!H103+KSRGD!H103+SHS!H103</f>
        <v>0</v>
      </c>
      <c r="I103" s="24">
        <f>TVM!I103+KLM!I103+PTA!I103+ALP!I103+KTYM!I103+IDK!I103+EKM!I103+TSR!I103+PLKD!I103+MLPM!I103+KKD!I103+WYND!I103+KNR!I103+KSRGD!I103+SHS!I103</f>
        <v>0</v>
      </c>
      <c r="J103" s="24">
        <f>TVM!J103+KLM!J103+PTA!J103+ALP!J103+KTYM!J103+IDK!J103+EKM!J103+TSR!J103+PLKD!J103+MLPM!J103+KKD!J103+WYND!J103+KNR!J103+KSRGD!J103+SHS!J103</f>
        <v>0</v>
      </c>
      <c r="K103" s="24">
        <f>TVM!K103+KLM!K103+PTA!K103+ALP!K103+KTYM!K103+IDK!K103+EKM!K103+TSR!K103+PLKD!K103+MLPM!K103+KKD!K103+WYND!K103+KNR!K103+KSRGD!K103+SHS!K103</f>
        <v>0</v>
      </c>
      <c r="L103" s="24">
        <f>TVM!L103+KLM!L103+PTA!L103+ALP!L103+KTYM!L103+IDK!L103+EKM!L103+TSR!L103+PLKD!L103+MLPM!L103+KKD!L103+WYND!L103+KNR!L103+KSRGD!L103+SHS!L103</f>
        <v>0</v>
      </c>
      <c r="M103" s="24">
        <f>TVM!M103+KLM!M103+PTA!M103+ALP!M103+KTYM!M103+IDK!M103+EKM!M103+TSR!M103+PLKD!M103+MLPM!M103+KKD!M103+WYND!M103+KNR!M103+KSRGD!M103+SHS!M103</f>
        <v>0</v>
      </c>
      <c r="N103" s="27">
        <f>TVM!N103+KLM!N103+PTA!N103+ALP!N103+KTYM!N103+IDK!N103+EKM!N103+TSR!N103+PLKD!N103+MLPM!N103+KKD!N103+WYND!N103+KNR!N103+KSRGD!N103+SHS!N103</f>
        <v>2</v>
      </c>
      <c r="O103" s="24">
        <f>TVM!O103+KLM!O103+PTA!O103+ALP!O103+KTYM!O103+IDK!O103+EKM!O103+TSR!O103+PLKD!O103+MLPM!O103+KKD!O103+WYND!O103+KNR!O103+KSRGD!O103+SHS!O103</f>
        <v>0</v>
      </c>
      <c r="P103" s="24">
        <f>TVM!P103+KLM!P103+PTA!P103+ALP!P103+KTYM!P103+IDK!P103+EKM!P103+TSR!P103+PLKD!P103+MLPM!P103+KKD!P103+WYND!P103+KNR!P103+KSRGD!P103+SHS!P103</f>
        <v>0</v>
      </c>
      <c r="Q103" s="27">
        <f>TVM!Q103+KLM!Q103+PTA!Q103+ALP!Q103+KTYM!Q103+IDK!Q103+EKM!Q103+TSR!Q103+PLKD!Q103+MLPM!Q103+KKD!Q103+WYND!Q103+KNR!Q103+KSRGD!Q103+SHS!Q103</f>
        <v>20</v>
      </c>
      <c r="R103" s="31">
        <f>TVM!R103+KLM!R103+PTA!R103+ALP!R103+KTYM!R103+IDK!R103+EKM!R103+TSR!R103+PLKD!R103+MLPM!R103+KKD!R103+WYND!R103+KNR!R103+KSRGD!R103+SHS!R103</f>
        <v>20</v>
      </c>
      <c r="S103" s="24">
        <f>TVM!S103+KLM!S103+PTA!S103+ALP!S103+KTYM!S103+IDK!S103+EKM!S103+TSR!S103+PLKD!S103+MLPM!S103+KKD!S103+WYND!S103+KNR!S103+KSRGD!S103+SHS!S103</f>
        <v>0</v>
      </c>
      <c r="T103" s="6">
        <f t="shared" si="2"/>
        <v>42</v>
      </c>
      <c r="U103" s="36"/>
      <c r="V103" s="32"/>
      <c r="W103" s="1"/>
      <c r="X103" s="1"/>
      <c r="Y103" s="1"/>
      <c r="Z103" s="1"/>
    </row>
    <row r="104" spans="1:26" ht="39.75" customHeight="1">
      <c r="A104" s="171"/>
      <c r="B104" s="168" t="s">
        <v>184</v>
      </c>
      <c r="C104" s="168" t="s">
        <v>185</v>
      </c>
      <c r="D104" s="5">
        <v>97</v>
      </c>
      <c r="E104" s="5" t="s">
        <v>186</v>
      </c>
      <c r="F104" s="24">
        <f>TVM!F104+KLM!F104+PTA!F104+ALP!F104+KTYM!F104+IDK!F104+EKM!F104+TSR!F104+PLKD!F104+MLPM!F104+KKD!F104+WYND!F104+KNR!F104+KSRGD!F104+SHS!F104</f>
        <v>0</v>
      </c>
      <c r="G104" s="24">
        <f>TVM!G104+KLM!G104+PTA!G104+ALP!G104+KTYM!G104+IDK!G104+EKM!G104+TSR!G104+PLKD!G104+MLPM!G104+KKD!G104+WYND!G104+KNR!G104+KSRGD!G104+SHS!G104</f>
        <v>0</v>
      </c>
      <c r="H104" s="31">
        <f>TVM!H104+KLM!H104+PTA!H104+ALP!H104+KTYM!H104+IDK!H104+EKM!H104+TSR!H104+PLKD!H104+MLPM!H104+KKD!H104+WYND!H104+KNR!H104+KSRGD!H104+SHS!H104</f>
        <v>0</v>
      </c>
      <c r="I104" s="27">
        <f>TVM!I104+KLM!I104+PTA!I104+ALP!I104+KTYM!I104+IDK!I104+EKM!I104+TSR!I104+PLKD!I104+MLPM!I104+KKD!I104+WYND!I104+KNR!I104+KSRGD!I104+SHS!I104</f>
        <v>0</v>
      </c>
      <c r="J104" s="24">
        <f>TVM!J104+KLM!J104+PTA!J104+ALP!J104+KTYM!J104+IDK!J104+EKM!J104+TSR!J104+PLKD!J104+MLPM!J104+KKD!J104+WYND!J104+KNR!J104+KSRGD!J104+SHS!J104</f>
        <v>0</v>
      </c>
      <c r="K104" s="27">
        <f>TVM!K104+KLM!K104+PTA!K104+ALP!K104+KTYM!K104+IDK!K104+EKM!K104+TSR!K104+PLKD!K104+MLPM!K104+KKD!K104+WYND!K104+KNR!K104+KSRGD!K104+SHS!K104</f>
        <v>140</v>
      </c>
      <c r="L104" s="24">
        <f>TVM!L104+KLM!L104+PTA!L104+ALP!L104+KTYM!L104+IDK!L104+EKM!L104+TSR!L104+PLKD!L104+MLPM!L104+KKD!L104+WYND!L104+KNR!L104+KSRGD!L104+SHS!L104</f>
        <v>0</v>
      </c>
      <c r="M104" s="27">
        <f>TVM!M104+KLM!M104+PTA!M104+ALP!M104+KTYM!M104+IDK!M104+EKM!M104+TSR!M104+PLKD!M104+MLPM!M104+KKD!M104+WYND!M104+KNR!M104+KSRGD!M104+SHS!M104</f>
        <v>20</v>
      </c>
      <c r="N104" s="27">
        <f>TVM!N104+KLM!N104+PTA!N104+ALP!N104+KTYM!N104+IDK!N104+EKM!N104+TSR!N104+PLKD!N104+MLPM!N104+KKD!N104+WYND!N104+KNR!N104+KSRGD!N104+SHS!N104</f>
        <v>83</v>
      </c>
      <c r="O104" s="24">
        <f>TVM!O104+KLM!O104+PTA!O104+ALP!O104+KTYM!O104+IDK!O104+EKM!O104+TSR!O104+PLKD!O104+MLPM!O104+KKD!O104+WYND!O104+KNR!O104+KSRGD!O104+SHS!O104</f>
        <v>0</v>
      </c>
      <c r="P104" s="31">
        <f>TVM!P104+KLM!P104+PTA!P104+ALP!P104+KTYM!P104+IDK!P104+EKM!P104+TSR!P104+PLKD!P104+MLPM!P104+KKD!P104+WYND!P104+KNR!P104+KSRGD!P104+SHS!P104</f>
        <v>284</v>
      </c>
      <c r="Q104" s="27">
        <f>TVM!Q104+KLM!Q104+PTA!Q104+ALP!Q104+KTYM!Q104+IDK!Q104+EKM!Q104+TSR!Q104+PLKD!Q104+MLPM!Q104+KKD!Q104+WYND!Q104+KNR!Q104+KSRGD!Q104+SHS!Q104</f>
        <v>56</v>
      </c>
      <c r="R104" s="31">
        <f>TVM!R104+KLM!R104+PTA!R104+ALP!R104+KTYM!R104+IDK!R104+EKM!R104+TSR!R104+PLKD!R104+MLPM!R104+KKD!R104+WYND!R104+KNR!R104+KSRGD!R104+SHS!R104</f>
        <v>264.40000000000003</v>
      </c>
      <c r="S104" s="24">
        <f>TVM!S104+KLM!S104+PTA!S104+ALP!S104+KTYM!S104+IDK!S104+EKM!S104+TSR!S104+PLKD!S104+MLPM!S104+KKD!S104+WYND!S104+KNR!S104+KSRGD!S104+SHS!S104</f>
        <v>0</v>
      </c>
      <c r="T104" s="6">
        <f t="shared" si="2"/>
        <v>847.40000000000009</v>
      </c>
      <c r="U104" s="9"/>
      <c r="V104" s="32"/>
      <c r="W104" s="1"/>
      <c r="X104" s="1"/>
      <c r="Y104" s="1"/>
      <c r="Z104" s="1"/>
    </row>
    <row r="105" spans="1:26" ht="39.75" customHeight="1">
      <c r="A105" s="171"/>
      <c r="B105" s="169"/>
      <c r="C105" s="169"/>
      <c r="D105" s="5">
        <v>98</v>
      </c>
      <c r="E105" s="5" t="s">
        <v>54</v>
      </c>
      <c r="F105" s="24">
        <f>TVM!F105+KLM!F105+PTA!F105+ALP!F105+KTYM!F105+IDK!F105+EKM!F105+TSR!F105+PLKD!F105+MLPM!F105+KKD!F105+WYND!F105+KNR!F105+KSRGD!F105+SHS!F105</f>
        <v>0</v>
      </c>
      <c r="G105" s="24">
        <f>TVM!G105+KLM!G105+PTA!G105+ALP!G105+KTYM!G105+IDK!G105+EKM!G105+TSR!G105+PLKD!G105+MLPM!G105+KKD!G105+WYND!G105+KNR!G105+KSRGD!G105+SHS!G105</f>
        <v>0</v>
      </c>
      <c r="H105" s="24">
        <f>TVM!H105+KLM!H105+PTA!H105+ALP!H105+KTYM!H105+IDK!H105+EKM!H105+TSR!H105+PLKD!H105+MLPM!H105+KKD!H105+WYND!H105+KNR!H105+KSRGD!H105+SHS!H105</f>
        <v>0</v>
      </c>
      <c r="I105" s="24">
        <f>TVM!I105+KLM!I105+PTA!I105+ALP!I105+KTYM!I105+IDK!I105+EKM!I105+TSR!I105+PLKD!I105+MLPM!I105+KKD!I105+WYND!I105+KNR!I105+KSRGD!I105+SHS!I105</f>
        <v>0</v>
      </c>
      <c r="J105" s="24">
        <f>TVM!J105+KLM!J105+PTA!J105+ALP!J105+KTYM!J105+IDK!J105+EKM!J105+TSR!J105+PLKD!J105+MLPM!J105+KKD!J105+WYND!J105+KNR!J105+KSRGD!J105+SHS!J105</f>
        <v>0</v>
      </c>
      <c r="K105" s="24">
        <f>TVM!K105+KLM!K105+PTA!K105+ALP!K105+KTYM!K105+IDK!K105+EKM!K105+TSR!K105+PLKD!K105+MLPM!K105+KKD!K105+WYND!K105+KNR!K105+KSRGD!K105+SHS!K105</f>
        <v>0</v>
      </c>
      <c r="L105" s="24">
        <f>TVM!L105+KLM!L105+PTA!L105+ALP!L105+KTYM!L105+IDK!L105+EKM!L105+TSR!L105+PLKD!L105+MLPM!L105+KKD!L105+WYND!L105+KNR!L105+KSRGD!L105+SHS!L105</f>
        <v>0</v>
      </c>
      <c r="M105" s="24">
        <f>TVM!M105+KLM!M105+PTA!M105+ALP!M105+KTYM!M105+IDK!M105+EKM!M105+TSR!M105+PLKD!M105+MLPM!M105+KKD!M105+WYND!M105+KNR!M105+KSRGD!M105+SHS!M105</f>
        <v>0</v>
      </c>
      <c r="N105" s="27">
        <f>TVM!N105+KLM!N105+PTA!N105+ALP!N105+KTYM!N105+IDK!N105+EKM!N105+TSR!N105+PLKD!N105+MLPM!N105+KKD!N105+WYND!N105+KNR!N105+KSRGD!N105+SHS!N105</f>
        <v>0</v>
      </c>
      <c r="O105" s="24">
        <f>TVM!O105+KLM!O105+PTA!O105+ALP!O105+KTYM!O105+IDK!O105+EKM!O105+TSR!O105+PLKD!O105+MLPM!O105+KKD!O105+WYND!O105+KNR!O105+KSRGD!O105+SHS!O105</f>
        <v>0</v>
      </c>
      <c r="P105" s="24">
        <f>TVM!P105+KLM!P105+PTA!P105+ALP!P105+KTYM!P105+IDK!P105+EKM!P105+TSR!P105+PLKD!P105+MLPM!P105+KKD!P105+WYND!P105+KNR!P105+KSRGD!P105+SHS!P105</f>
        <v>0</v>
      </c>
      <c r="Q105" s="27">
        <f>TVM!Q105+KLM!Q105+PTA!Q105+ALP!Q105+KTYM!Q105+IDK!Q105+EKM!Q105+TSR!Q105+PLKD!Q105+MLPM!Q105+KKD!Q105+WYND!Q105+KNR!Q105+KSRGD!Q105+SHS!Q105</f>
        <v>0</v>
      </c>
      <c r="R105" s="24">
        <f>TVM!R105+KLM!R105+PTA!R105+ALP!R105+KTYM!R105+IDK!R105+EKM!R105+TSR!R105+PLKD!R105+MLPM!R105+KKD!R105+WYND!R105+KNR!R105+KSRGD!R105+SHS!R105</f>
        <v>0</v>
      </c>
      <c r="S105" s="24">
        <f>TVM!S105+KLM!S105+PTA!S105+ALP!S105+KTYM!S105+IDK!S105+EKM!S105+TSR!S105+PLKD!S105+MLPM!S105+KKD!S105+WYND!S105+KNR!S105+KSRGD!S105+SHS!S105</f>
        <v>0</v>
      </c>
      <c r="T105" s="6">
        <f t="shared" si="2"/>
        <v>0</v>
      </c>
      <c r="U105" s="9"/>
      <c r="V105" s="32"/>
      <c r="W105" s="1"/>
      <c r="X105" s="1"/>
      <c r="Y105" s="1"/>
      <c r="Z105" s="1"/>
    </row>
    <row r="106" spans="1:26" ht="39.75" customHeight="1">
      <c r="A106" s="171"/>
      <c r="B106" s="168" t="s">
        <v>188</v>
      </c>
      <c r="C106" s="168" t="s">
        <v>189</v>
      </c>
      <c r="D106" s="5">
        <v>99</v>
      </c>
      <c r="E106" s="5" t="s">
        <v>190</v>
      </c>
      <c r="F106" s="24">
        <f>TVM!F106+KLM!F106+PTA!F106+ALP!F106+KTYM!F106+IDK!F106+EKM!F106+TSR!F106+PLKD!F106+MLPM!F106+KKD!F106+WYND!F106+KNR!F106+KSRGD!F106+SHS!F106</f>
        <v>0</v>
      </c>
      <c r="G106" s="24">
        <f>TVM!G106+KLM!G106+PTA!G106+ALP!G106+KTYM!G106+IDK!G106+EKM!G106+TSR!G106+PLKD!G106+MLPM!G106+KKD!G106+WYND!G106+KNR!G106+KSRGD!G106+SHS!G106</f>
        <v>0</v>
      </c>
      <c r="H106" s="31">
        <f>TVM!H106+KLM!H106+PTA!H106+ALP!H106+KTYM!H106+IDK!H106+EKM!H106+TSR!H106+PLKD!H106+MLPM!H106+KKD!H106+WYND!H106+KNR!H106+KSRGD!H106+SHS!H106</f>
        <v>40</v>
      </c>
      <c r="I106" s="27">
        <f>TVM!I106+KLM!I106+PTA!I106+ALP!I106+KTYM!I106+IDK!I106+EKM!I106+TSR!I106+PLKD!I106+MLPM!I106+KKD!I106+WYND!I106+KNR!I106+KSRGD!I106+SHS!I106</f>
        <v>28</v>
      </c>
      <c r="J106" s="24">
        <f>TVM!J106+KLM!J106+PTA!J106+ALP!J106+KTYM!J106+IDK!J106+EKM!J106+TSR!J106+PLKD!J106+MLPM!J106+KKD!J106+WYND!J106+KNR!J106+KSRGD!J106+SHS!J106</f>
        <v>0</v>
      </c>
      <c r="K106" s="27">
        <f>TVM!K106+KLM!K106+PTA!K106+ALP!K106+KTYM!K106+IDK!K106+EKM!K106+TSR!K106+PLKD!K106+MLPM!K106+KKD!K106+WYND!K106+KNR!K106+KSRGD!K106+SHS!K106</f>
        <v>140</v>
      </c>
      <c r="L106" s="24">
        <f>TVM!L106+KLM!L106+PTA!L106+ALP!L106+KTYM!L106+IDK!L106+EKM!L106+TSR!L106+PLKD!L106+MLPM!L106+KKD!L106+WYND!L106+KNR!L106+KSRGD!L106+SHS!L106</f>
        <v>0</v>
      </c>
      <c r="M106" s="24">
        <f>TVM!M106+KLM!M106+PTA!M106+ALP!M106+KTYM!M106+IDK!M106+EKM!M106+TSR!M106+PLKD!M106+MLPM!M106+KKD!M106+WYND!M106+KNR!M106+KSRGD!M106+SHS!M106</f>
        <v>0</v>
      </c>
      <c r="N106" s="27">
        <f>TVM!N106+KLM!N106+PTA!N106+ALP!N106+KTYM!N106+IDK!N106+EKM!N106+TSR!N106+PLKD!N106+MLPM!N106+KKD!N106+WYND!N106+KNR!N106+KSRGD!N106+SHS!N106</f>
        <v>12.4</v>
      </c>
      <c r="O106" s="24">
        <f>TVM!O106+KLM!O106+PTA!O106+ALP!O106+KTYM!O106+IDK!O106+EKM!O106+TSR!O106+PLKD!O106+MLPM!O106+KKD!O106+WYND!O106+KNR!O106+KSRGD!O106+SHS!O106</f>
        <v>0</v>
      </c>
      <c r="P106" s="24">
        <f>TVM!P106+KLM!P106+PTA!P106+ALP!P106+KTYM!P106+IDK!P106+EKM!P106+TSR!P106+PLKD!P106+MLPM!P106+KKD!P106+WYND!P106+KNR!P106+KSRGD!P106+SHS!P106</f>
        <v>0</v>
      </c>
      <c r="Q106" s="27">
        <f>TVM!Q106+KLM!Q106+PTA!Q106+ALP!Q106+KTYM!Q106+IDK!Q106+EKM!Q106+TSR!Q106+PLKD!Q106+MLPM!Q106+KKD!Q106+WYND!Q106+KNR!Q106+KSRGD!Q106+SHS!Q106</f>
        <v>30</v>
      </c>
      <c r="R106" s="24">
        <f>TVM!R106+KLM!R106+PTA!R106+ALP!R106+KTYM!R106+IDK!R106+EKM!R106+TSR!R106+PLKD!R106+MLPM!R106+KKD!R106+WYND!R106+KNR!R106+KSRGD!R106+SHS!R106</f>
        <v>0</v>
      </c>
      <c r="S106" s="24">
        <f>TVM!S106+KLM!S106+PTA!S106+ALP!S106+KTYM!S106+IDK!S106+EKM!S106+TSR!S106+PLKD!S106+MLPM!S106+KKD!S106+WYND!S106+KNR!S106+KSRGD!S106+SHS!S106</f>
        <v>0</v>
      </c>
      <c r="T106" s="6">
        <f t="shared" si="2"/>
        <v>250.4</v>
      </c>
      <c r="U106" s="9"/>
      <c r="V106" s="32"/>
      <c r="W106" s="1"/>
      <c r="X106" s="1"/>
      <c r="Y106" s="1"/>
      <c r="Z106" s="1"/>
    </row>
    <row r="107" spans="1:26" ht="39.75" customHeight="1">
      <c r="A107" s="171"/>
      <c r="B107" s="171"/>
      <c r="C107" s="171"/>
      <c r="D107" s="5">
        <v>100</v>
      </c>
      <c r="E107" s="5" t="s">
        <v>192</v>
      </c>
      <c r="F107" s="24">
        <f>TVM!F107+KLM!F107+PTA!F107+ALP!F107+KTYM!F107+IDK!F107+EKM!F107+TSR!F107+PLKD!F107+MLPM!F107+KKD!F107+WYND!F107+KNR!F107+KSRGD!F107+SHS!F107</f>
        <v>0</v>
      </c>
      <c r="G107" s="24">
        <f>TVM!G107+KLM!G107+PTA!G107+ALP!G107+KTYM!G107+IDK!G107+EKM!G107+TSR!G107+PLKD!G107+MLPM!G107+KKD!G107+WYND!G107+KNR!G107+KSRGD!G107+SHS!G107</f>
        <v>0</v>
      </c>
      <c r="H107" s="24">
        <f>TVM!H107+KLM!H107+PTA!H107+ALP!H107+KTYM!H107+IDK!H107+EKM!H107+TSR!H107+PLKD!H107+MLPM!H107+KKD!H107+WYND!H107+KNR!H107+KSRGD!H107+SHS!H107</f>
        <v>0</v>
      </c>
      <c r="I107" s="27">
        <f>TVM!I107+KLM!I107+PTA!I107+ALP!I107+KTYM!I107+IDK!I107+EKM!I107+TSR!I107+PLKD!I107+MLPM!I107+KKD!I107+WYND!I107+KNR!I107+KSRGD!I107+SHS!I107</f>
        <v>11.400000000000002</v>
      </c>
      <c r="J107" s="24">
        <f>TVM!J107+KLM!J107+PTA!J107+ALP!J107+KTYM!J107+IDK!J107+EKM!J107+TSR!J107+PLKD!J107+MLPM!J107+KKD!J107+WYND!J107+KNR!J107+KSRGD!J107+SHS!J107</f>
        <v>0</v>
      </c>
      <c r="K107" s="27">
        <f>TVM!K107+KLM!K107+PTA!K107+ALP!K107+KTYM!K107+IDK!K107+EKM!K107+TSR!K107+PLKD!K107+MLPM!K107+KKD!K107+WYND!K107+KNR!K107+KSRGD!K107+SHS!K107</f>
        <v>0</v>
      </c>
      <c r="L107" s="24">
        <f>TVM!L107+KLM!L107+PTA!L107+ALP!L107+KTYM!L107+IDK!L107+EKM!L107+TSR!L107+PLKD!L107+MLPM!L107+KKD!L107+WYND!L107+KNR!L107+KSRGD!L107+SHS!L107</f>
        <v>0</v>
      </c>
      <c r="M107" s="24">
        <f>TVM!M107+KLM!M107+PTA!M107+ALP!M107+KTYM!M107+IDK!M107+EKM!M107+TSR!M107+PLKD!M107+MLPM!M107+KKD!M107+WYND!M107+KNR!M107+KSRGD!M107+SHS!M107</f>
        <v>0</v>
      </c>
      <c r="N107" s="24">
        <f>TVM!N107+KLM!N107+PTA!N107+ALP!N107+KTYM!N107+IDK!N107+EKM!N107+TSR!N107+PLKD!N107+MLPM!N107+KKD!N107+WYND!N107+KNR!N107+KSRGD!N107+SHS!N107</f>
        <v>0</v>
      </c>
      <c r="O107" s="24">
        <f>TVM!O107+KLM!O107+PTA!O107+ALP!O107+KTYM!O107+IDK!O107+EKM!O107+TSR!O107+PLKD!O107+MLPM!O107+KKD!O107+WYND!O107+KNR!O107+KSRGD!O107+SHS!O107</f>
        <v>0</v>
      </c>
      <c r="P107" s="24">
        <f>TVM!P107+KLM!P107+PTA!P107+ALP!P107+KTYM!P107+IDK!P107+EKM!P107+TSR!P107+PLKD!P107+MLPM!P107+KKD!P107+WYND!P107+KNR!P107+KSRGD!P107+SHS!P107</f>
        <v>0</v>
      </c>
      <c r="Q107" s="24">
        <f>TVM!Q107+KLM!Q107+PTA!Q107+ALP!Q107+KTYM!Q107+IDK!Q107+EKM!Q107+TSR!Q107+PLKD!Q107+MLPM!Q107+KKD!Q107+WYND!Q107+KNR!Q107+KSRGD!Q107+SHS!Q107</f>
        <v>0</v>
      </c>
      <c r="R107" s="24">
        <f>TVM!R107+KLM!R107+PTA!R107+ALP!R107+KTYM!R107+IDK!R107+EKM!R107+TSR!R107+PLKD!R107+MLPM!R107+KKD!R107+WYND!R107+KNR!R107+KSRGD!R107+SHS!R107</f>
        <v>0</v>
      </c>
      <c r="S107" s="24">
        <f>TVM!S107+KLM!S107+PTA!S107+ALP!S107+KTYM!S107+IDK!S107+EKM!S107+TSR!S107+PLKD!S107+MLPM!S107+KKD!S107+WYND!S107+KNR!S107+KSRGD!S107+SHS!S107</f>
        <v>0</v>
      </c>
      <c r="T107" s="6">
        <f t="shared" si="2"/>
        <v>11.400000000000002</v>
      </c>
      <c r="U107" s="9"/>
      <c r="V107" s="32"/>
      <c r="W107" s="1"/>
      <c r="X107" s="1"/>
      <c r="Y107" s="1"/>
      <c r="Z107" s="1"/>
    </row>
    <row r="108" spans="1:26" ht="39.75" customHeight="1">
      <c r="A108" s="171"/>
      <c r="B108" s="171"/>
      <c r="C108" s="171"/>
      <c r="D108" s="5">
        <v>101</v>
      </c>
      <c r="E108" s="5" t="s">
        <v>194</v>
      </c>
      <c r="F108" s="24">
        <f>TVM!F108+KLM!F108+PTA!F108+ALP!F108+KTYM!F108+IDK!F108+EKM!F108+TSR!F108+PLKD!F108+MLPM!F108+KKD!F108+WYND!F108+KNR!F108+KSRGD!F108+SHS!F108</f>
        <v>0</v>
      </c>
      <c r="G108" s="24">
        <f>TVM!G108+KLM!G108+PTA!G108+ALP!G108+KTYM!G108+IDK!G108+EKM!G108+TSR!G108+PLKD!G108+MLPM!G108+KKD!G108+WYND!G108+KNR!G108+KSRGD!G108+SHS!G108</f>
        <v>0</v>
      </c>
      <c r="H108" s="24">
        <f>TVM!H108+KLM!H108+PTA!H108+ALP!H108+KTYM!H108+IDK!H108+EKM!H108+TSR!H108+PLKD!H108+MLPM!H108+KKD!H108+WYND!H108+KNR!H108+KSRGD!H108+SHS!H108</f>
        <v>0</v>
      </c>
      <c r="I108" s="24">
        <f>TVM!I108+KLM!I108+PTA!I108+ALP!I108+KTYM!I108+IDK!I108+EKM!I108+TSR!I108+PLKD!I108+MLPM!I108+KKD!I108+WYND!I108+KNR!I108+KSRGD!I108+SHS!I108</f>
        <v>0</v>
      </c>
      <c r="J108" s="24">
        <f>TVM!J108+KLM!J108+PTA!J108+ALP!J108+KTYM!J108+IDK!J108+EKM!J108+TSR!J108+PLKD!J108+MLPM!J108+KKD!J108+WYND!J108+KNR!J108+KSRGD!J108+SHS!J108</f>
        <v>0</v>
      </c>
      <c r="K108" s="24">
        <f>TVM!K108+KLM!K108+PTA!K108+ALP!K108+KTYM!K108+IDK!K108+EKM!K108+TSR!K108+PLKD!K108+MLPM!K108+KKD!K108+WYND!K108+KNR!K108+KSRGD!K108+SHS!K108</f>
        <v>0</v>
      </c>
      <c r="L108" s="24">
        <f>TVM!L108+KLM!L108+PTA!L108+ALP!L108+KTYM!L108+IDK!L108+EKM!L108+TSR!L108+PLKD!L108+MLPM!L108+KKD!L108+WYND!L108+KNR!L108+KSRGD!L108+SHS!L108</f>
        <v>0</v>
      </c>
      <c r="M108" s="24">
        <f>TVM!M108+KLM!M108+PTA!M108+ALP!M108+KTYM!M108+IDK!M108+EKM!M108+TSR!M108+PLKD!M108+MLPM!M108+KKD!M108+WYND!M108+KNR!M108+KSRGD!M108+SHS!M108</f>
        <v>0</v>
      </c>
      <c r="N108" s="24">
        <f>TVM!N108+KLM!N108+PTA!N108+ALP!N108+KTYM!N108+IDK!N108+EKM!N108+TSR!N108+PLKD!N108+MLPM!N108+KKD!N108+WYND!N108+KNR!N108+KSRGD!N108+SHS!N108</f>
        <v>0</v>
      </c>
      <c r="O108" s="24">
        <f>TVM!O108+KLM!O108+PTA!O108+ALP!O108+KTYM!O108+IDK!O108+EKM!O108+TSR!O108+PLKD!O108+MLPM!O108+KKD!O108+WYND!O108+KNR!O108+KSRGD!O108+SHS!O108</f>
        <v>0</v>
      </c>
      <c r="P108" s="24">
        <f>TVM!P108+KLM!P108+PTA!P108+ALP!P108+KTYM!P108+IDK!P108+EKM!P108+TSR!P108+PLKD!P108+MLPM!P108+KKD!P108+WYND!P108+KNR!P108+KSRGD!P108+SHS!P108</f>
        <v>0</v>
      </c>
      <c r="Q108" s="24">
        <f>TVM!Q108+KLM!Q108+PTA!Q108+ALP!Q108+KTYM!Q108+IDK!Q108+EKM!Q108+TSR!Q108+PLKD!Q108+MLPM!Q108+KKD!Q108+WYND!Q108+KNR!Q108+KSRGD!Q108+SHS!Q108</f>
        <v>0</v>
      </c>
      <c r="R108" s="24">
        <f>TVM!R108+KLM!R108+PTA!R108+ALP!R108+KTYM!R108+IDK!R108+EKM!R108+TSR!R108+PLKD!R108+MLPM!R108+KKD!R108+WYND!R108+KNR!R108+KSRGD!R108+SHS!R108</f>
        <v>0</v>
      </c>
      <c r="S108" s="24">
        <f>TVM!S108+KLM!S108+PTA!S108+ALP!S108+KTYM!S108+IDK!S108+EKM!S108+TSR!S108+PLKD!S108+MLPM!S108+KKD!S108+WYND!S108+KNR!S108+KSRGD!S108+SHS!S108</f>
        <v>0</v>
      </c>
      <c r="T108" s="6">
        <f t="shared" si="2"/>
        <v>0</v>
      </c>
      <c r="U108" s="9"/>
      <c r="V108" s="32"/>
      <c r="W108" s="1"/>
      <c r="X108" s="1"/>
      <c r="Y108" s="1"/>
      <c r="Z108" s="1"/>
    </row>
    <row r="109" spans="1:26" ht="39.75" customHeight="1">
      <c r="A109" s="171"/>
      <c r="B109" s="171"/>
      <c r="C109" s="171"/>
      <c r="D109" s="5">
        <v>102</v>
      </c>
      <c r="E109" s="5" t="s">
        <v>195</v>
      </c>
      <c r="F109" s="24">
        <f>TVM!F109+KLM!F109+PTA!F109+ALP!F109+KTYM!F109+IDK!F109+EKM!F109+TSR!F109+PLKD!F109+MLPM!F109+KKD!F109+WYND!F109+KNR!F109+KSRGD!F109+SHS!F109</f>
        <v>0</v>
      </c>
      <c r="G109" s="24">
        <f>TVM!G109+KLM!G109+PTA!G109+ALP!G109+KTYM!G109+IDK!G109+EKM!G109+TSR!G109+PLKD!G109+MLPM!G109+KKD!G109+WYND!G109+KNR!G109+KSRGD!G109+SHS!G109</f>
        <v>0</v>
      </c>
      <c r="H109" s="24">
        <f>TVM!H109+KLM!H109+PTA!H109+ALP!H109+KTYM!H109+IDK!H109+EKM!H109+TSR!H109+PLKD!H109+MLPM!H109+KKD!H109+WYND!H109+KNR!H109+KSRGD!H109+SHS!H109</f>
        <v>0</v>
      </c>
      <c r="I109" s="24">
        <f>TVM!I109+KLM!I109+PTA!I109+ALP!I109+KTYM!I109+IDK!I109+EKM!I109+TSR!I109+PLKD!I109+MLPM!I109+KKD!I109+WYND!I109+KNR!I109+KSRGD!I109+SHS!I109</f>
        <v>0</v>
      </c>
      <c r="J109" s="24">
        <f>TVM!J109+KLM!J109+PTA!J109+ALP!J109+KTYM!J109+IDK!J109+EKM!J109+TSR!J109+PLKD!J109+MLPM!J109+KKD!J109+WYND!J109+KNR!J109+KSRGD!J109+SHS!J109</f>
        <v>0</v>
      </c>
      <c r="K109" s="24">
        <f>TVM!K109+KLM!K109+PTA!K109+ALP!K109+KTYM!K109+IDK!K109+EKM!K109+TSR!K109+PLKD!K109+MLPM!K109+KKD!K109+WYND!K109+KNR!K109+KSRGD!K109+SHS!K109</f>
        <v>0</v>
      </c>
      <c r="L109" s="24">
        <f>TVM!L109+KLM!L109+PTA!L109+ALP!L109+KTYM!L109+IDK!L109+EKM!L109+TSR!L109+PLKD!L109+MLPM!L109+KKD!L109+WYND!L109+KNR!L109+KSRGD!L109+SHS!L109</f>
        <v>0</v>
      </c>
      <c r="M109" s="24">
        <f>TVM!M109+KLM!M109+PTA!M109+ALP!M109+KTYM!M109+IDK!M109+EKM!M109+TSR!M109+PLKD!M109+MLPM!M109+KKD!M109+WYND!M109+KNR!M109+KSRGD!M109+SHS!M109</f>
        <v>0</v>
      </c>
      <c r="N109" s="24">
        <f>TVM!N109+KLM!N109+PTA!N109+ALP!N109+KTYM!N109+IDK!N109+EKM!N109+TSR!N109+PLKD!N109+MLPM!N109+KKD!N109+WYND!N109+KNR!N109+KSRGD!N109+SHS!N109</f>
        <v>0</v>
      </c>
      <c r="O109" s="24">
        <f>TVM!O109+KLM!O109+PTA!O109+ALP!O109+KTYM!O109+IDK!O109+EKM!O109+TSR!O109+PLKD!O109+MLPM!O109+KKD!O109+WYND!O109+KNR!O109+KSRGD!O109+SHS!O109</f>
        <v>0</v>
      </c>
      <c r="P109" s="24">
        <f>TVM!P109+KLM!P109+PTA!P109+ALP!P109+KTYM!P109+IDK!P109+EKM!P109+TSR!P109+PLKD!P109+MLPM!P109+KKD!P109+WYND!P109+KNR!P109+KSRGD!P109+SHS!P109</f>
        <v>0</v>
      </c>
      <c r="Q109" s="27">
        <f>TVM!Q109+KLM!Q109+PTA!Q109+ALP!Q109+KTYM!Q109+IDK!Q109+EKM!Q109+TSR!Q109+PLKD!Q109+MLPM!Q109+KKD!Q109+WYND!Q109+KNR!Q109+KSRGD!Q109+SHS!Q109</f>
        <v>0</v>
      </c>
      <c r="R109" s="24">
        <f>TVM!R109+KLM!R109+PTA!R109+ALP!R109+KTYM!R109+IDK!R109+EKM!R109+TSR!R109+PLKD!R109+MLPM!R109+KKD!R109+WYND!R109+KNR!R109+KSRGD!R109+SHS!R109</f>
        <v>0</v>
      </c>
      <c r="S109" s="24">
        <f>TVM!S109+KLM!S109+PTA!S109+ALP!S109+KTYM!S109+IDK!S109+EKM!S109+TSR!S109+PLKD!S109+MLPM!S109+KKD!S109+WYND!S109+KNR!S109+KSRGD!S109+SHS!S109</f>
        <v>0</v>
      </c>
      <c r="T109" s="6">
        <f t="shared" si="2"/>
        <v>0</v>
      </c>
      <c r="U109" s="9"/>
      <c r="V109" s="32"/>
      <c r="W109" s="1"/>
      <c r="X109" s="1"/>
      <c r="Y109" s="1"/>
      <c r="Z109" s="1"/>
    </row>
    <row r="110" spans="1:26" ht="39.75" customHeight="1">
      <c r="A110" s="171"/>
      <c r="B110" s="169"/>
      <c r="C110" s="169"/>
      <c r="D110" s="5">
        <v>103</v>
      </c>
      <c r="E110" s="5" t="s">
        <v>54</v>
      </c>
      <c r="F110" s="24">
        <f>TVM!F110+KLM!F110+PTA!F110+ALP!F110+KTYM!F110+IDK!F110+EKM!F110+TSR!F110+PLKD!F110+MLPM!F110+KKD!F110+WYND!F110+KNR!F110+KSRGD!F110+SHS!F110</f>
        <v>0</v>
      </c>
      <c r="G110" s="24">
        <f>TVM!G110+KLM!G110+PTA!G110+ALP!G110+KTYM!G110+IDK!G110+EKM!G110+TSR!G110+PLKD!G110+MLPM!G110+KKD!G110+WYND!G110+KNR!G110+KSRGD!G110+SHS!G110</f>
        <v>0</v>
      </c>
      <c r="H110" s="24">
        <f>TVM!H110+KLM!H110+PTA!H110+ALP!H110+KTYM!H110+IDK!H110+EKM!H110+TSR!H110+PLKD!H110+MLPM!H110+KKD!H110+WYND!H110+KNR!H110+KSRGD!H110+SHS!H110</f>
        <v>0</v>
      </c>
      <c r="I110" s="24">
        <f>TVM!I110+KLM!I110+PTA!I110+ALP!I110+KTYM!I110+IDK!I110+EKM!I110+TSR!I110+PLKD!I110+MLPM!I110+KKD!I110+WYND!I110+KNR!I110+KSRGD!I110+SHS!I110</f>
        <v>0</v>
      </c>
      <c r="J110" s="24">
        <f>TVM!J110+KLM!J110+PTA!J110+ALP!J110+KTYM!J110+IDK!J110+EKM!J110+TSR!J110+PLKD!J110+MLPM!J110+KKD!J110+WYND!J110+KNR!J110+KSRGD!J110+SHS!J110</f>
        <v>0</v>
      </c>
      <c r="K110" s="24">
        <f>TVM!K110+KLM!K110+PTA!K110+ALP!K110+KTYM!K110+IDK!K110+EKM!K110+TSR!K110+PLKD!K110+MLPM!K110+KKD!K110+WYND!K110+KNR!K110+KSRGD!K110+SHS!K110</f>
        <v>0</v>
      </c>
      <c r="L110" s="24">
        <f>TVM!L110+KLM!L110+PTA!L110+ALP!L110+KTYM!L110+IDK!L110+EKM!L110+TSR!L110+PLKD!L110+MLPM!L110+KKD!L110+WYND!L110+KNR!L110+KSRGD!L110+SHS!L110</f>
        <v>0</v>
      </c>
      <c r="M110" s="24">
        <f>TVM!M110+KLM!M110+PTA!M110+ALP!M110+KTYM!M110+IDK!M110+EKM!M110+TSR!M110+PLKD!M110+MLPM!M110+KKD!M110+WYND!M110+KNR!M110+KSRGD!M110+SHS!M110</f>
        <v>0</v>
      </c>
      <c r="N110" s="24">
        <f>TVM!N110+KLM!N110+PTA!N110+ALP!N110+KTYM!N110+IDK!N110+EKM!N110+TSR!N110+PLKD!N110+MLPM!N110+KKD!N110+WYND!N110+KNR!N110+KSRGD!N110+SHS!N110</f>
        <v>0</v>
      </c>
      <c r="O110" s="24">
        <f>TVM!O110+KLM!O110+PTA!O110+ALP!O110+KTYM!O110+IDK!O110+EKM!O110+TSR!O110+PLKD!O110+MLPM!O110+KKD!O110+WYND!O110+KNR!O110+KSRGD!O110+SHS!O110</f>
        <v>0</v>
      </c>
      <c r="P110" s="31">
        <f>TVM!P110+KLM!P110+PTA!P110+ALP!P110+KTYM!P110+IDK!P110+EKM!P110+TSR!P110+PLKD!P110+MLPM!P110+KKD!P110+WYND!P110+KNR!P110+KSRGD!P110+SHS!P110</f>
        <v>71.500000000000014</v>
      </c>
      <c r="Q110" s="24">
        <f>TVM!Q110+KLM!Q110+PTA!Q110+ALP!Q110+KTYM!Q110+IDK!Q110+EKM!Q110+TSR!Q110+PLKD!Q110+MLPM!Q110+KKD!Q110+WYND!Q110+KNR!Q110+KSRGD!Q110+SHS!Q110</f>
        <v>0</v>
      </c>
      <c r="R110" s="31">
        <f>TVM!R110+KLM!R110+PTA!R110+ALP!R110+KTYM!R110+IDK!R110+EKM!R110+TSR!R110+PLKD!R110+MLPM!R110+KKD!R110+WYND!R110+KNR!R110+KSRGD!R110+SHS!R110</f>
        <v>0</v>
      </c>
      <c r="S110" s="31">
        <f>TVM!S110+KLM!S110+PTA!S110+ALP!S110+KTYM!S110+IDK!S110+EKM!S110+TSR!S110+PLKD!S110+MLPM!S110+KKD!S110+WYND!S110+KNR!S110+KSRGD!S110+SHS!S110</f>
        <v>10</v>
      </c>
      <c r="T110" s="6">
        <f t="shared" si="2"/>
        <v>81.500000000000014</v>
      </c>
      <c r="U110" s="9"/>
      <c r="V110" s="32"/>
      <c r="W110" s="1"/>
      <c r="X110" s="1"/>
      <c r="Y110" s="1"/>
      <c r="Z110" s="1"/>
    </row>
    <row r="111" spans="1:26" ht="39.75" customHeight="1">
      <c r="A111" s="171"/>
      <c r="B111" s="168" t="s">
        <v>197</v>
      </c>
      <c r="C111" s="168" t="s">
        <v>198</v>
      </c>
      <c r="D111" s="5">
        <v>104</v>
      </c>
      <c r="E111" s="5" t="s">
        <v>199</v>
      </c>
      <c r="F111" s="24">
        <f>TVM!F111+KLM!F111+PTA!F111+ALP!F111+KTYM!F111+IDK!F111+EKM!F111+TSR!F111+PLKD!F111+MLPM!F111+KKD!F111+WYND!F111+KNR!F111+KSRGD!F111+SHS!F111</f>
        <v>0</v>
      </c>
      <c r="G111" s="24">
        <f>TVM!G111+KLM!G111+PTA!G111+ALP!G111+KTYM!G111+IDK!G111+EKM!G111+TSR!G111+PLKD!G111+MLPM!G111+KKD!G111+WYND!G111+KNR!G111+KSRGD!G111+SHS!G111</f>
        <v>0</v>
      </c>
      <c r="H111" s="24">
        <f>TVM!H111+KLM!H111+PTA!H111+ALP!H111+KTYM!H111+IDK!H111+EKM!H111+TSR!H111+PLKD!H111+MLPM!H111+KKD!H111+WYND!H111+KNR!H111+KSRGD!H111+SHS!H111</f>
        <v>0</v>
      </c>
      <c r="I111" s="24">
        <f>TVM!I111+KLM!I111+PTA!I111+ALP!I111+KTYM!I111+IDK!I111+EKM!I111+TSR!I111+PLKD!I111+MLPM!I111+KKD!I111+WYND!I111+KNR!I111+KSRGD!I111+SHS!I111</f>
        <v>0</v>
      </c>
      <c r="J111" s="24">
        <f>TVM!J111+KLM!J111+PTA!J111+ALP!J111+KTYM!J111+IDK!J111+EKM!J111+TSR!J111+PLKD!J111+MLPM!J111+KKD!J111+WYND!J111+KNR!J111+KSRGD!J111+SHS!J111</f>
        <v>0</v>
      </c>
      <c r="K111" s="24">
        <f>TVM!K111+KLM!K111+PTA!K111+ALP!K111+KTYM!K111+IDK!K111+EKM!K111+TSR!K111+PLKD!K111+MLPM!K111+KKD!K111+WYND!K111+KNR!K111+KSRGD!K111+SHS!K111</f>
        <v>0</v>
      </c>
      <c r="L111" s="24">
        <f>TVM!L111+KLM!L111+PTA!L111+ALP!L111+KTYM!L111+IDK!L111+EKM!L111+TSR!L111+PLKD!L111+MLPM!L111+KKD!L111+WYND!L111+KNR!L111+KSRGD!L111+SHS!L111</f>
        <v>0</v>
      </c>
      <c r="M111" s="24">
        <f>TVM!M111+KLM!M111+PTA!M111+ALP!M111+KTYM!M111+IDK!M111+EKM!M111+TSR!M111+PLKD!M111+MLPM!M111+KKD!M111+WYND!M111+KNR!M111+KSRGD!M111+SHS!M111</f>
        <v>0</v>
      </c>
      <c r="N111" s="31">
        <f>TVM!N111+KLM!N111+PTA!N111+ALP!N111+KTYM!N111+IDK!N111+EKM!N111+TSR!N111+PLKD!N111+MLPM!N111+KKD!N111+WYND!N111+KNR!N111+KSRGD!N111+SHS!N111</f>
        <v>30</v>
      </c>
      <c r="O111" s="24">
        <f>TVM!O111+KLM!O111+PTA!O111+ALP!O111+KTYM!O111+IDK!O111+EKM!O111+TSR!O111+PLKD!O111+MLPM!O111+KKD!O111+WYND!O111+KNR!O111+KSRGD!O111+SHS!O111</f>
        <v>0</v>
      </c>
      <c r="P111" s="31">
        <f>TVM!P111+KLM!P111+PTA!P111+ALP!P111+KTYM!P111+IDK!P111+EKM!P111+TSR!P111+PLKD!P111+MLPM!P111+KKD!P111+WYND!P111+KNR!P111+KSRGD!P111+SHS!P111</f>
        <v>98</v>
      </c>
      <c r="Q111" s="31">
        <f>TVM!Q111+KLM!Q111+PTA!Q111+ALP!Q111+KTYM!Q111+IDK!Q111+EKM!Q111+TSR!Q111+PLKD!Q111+MLPM!Q111+KKD!Q111+WYND!Q111+KNR!Q111+KSRGD!Q111+SHS!Q111</f>
        <v>14</v>
      </c>
      <c r="R111" s="31">
        <f>TVM!R111+KLM!R111+PTA!R111+ALP!R111+KTYM!R111+IDK!R111+EKM!R111+TSR!R111+PLKD!R111+MLPM!R111+KKD!R111+WYND!R111+KNR!R111+KSRGD!R111+SHS!R111</f>
        <v>0</v>
      </c>
      <c r="S111" s="31">
        <f>TVM!S111+KLM!S111+PTA!S111+ALP!S111+KTYM!S111+IDK!S111+EKM!S111+TSR!S111+PLKD!S111+MLPM!S111+KKD!S111+WYND!S111+KNR!S111+KSRGD!S111+SHS!S111</f>
        <v>10</v>
      </c>
      <c r="T111" s="6">
        <f t="shared" si="2"/>
        <v>152</v>
      </c>
      <c r="U111" s="9"/>
      <c r="V111" s="32"/>
      <c r="W111" s="1"/>
      <c r="X111" s="1"/>
      <c r="Y111" s="1"/>
      <c r="Z111" s="1"/>
    </row>
    <row r="112" spans="1:26" ht="39.75" customHeight="1">
      <c r="A112" s="171"/>
      <c r="B112" s="171"/>
      <c r="C112" s="171"/>
      <c r="D112" s="5">
        <v>105</v>
      </c>
      <c r="E112" s="5" t="s">
        <v>200</v>
      </c>
      <c r="F112" s="24">
        <f>TVM!F112+KLM!F112+PTA!F112+ALP!F112+KTYM!F112+IDK!F112+EKM!F112+TSR!F112+PLKD!F112+MLPM!F112+KKD!F112+WYND!F112+KNR!F112+KSRGD!F112+SHS!F112</f>
        <v>0</v>
      </c>
      <c r="G112" s="24">
        <f>TVM!G112+KLM!G112+PTA!G112+ALP!G112+KTYM!G112+IDK!G112+EKM!G112+TSR!G112+PLKD!G112+MLPM!G112+KKD!G112+WYND!G112+KNR!G112+KSRGD!G112+SHS!G112</f>
        <v>0</v>
      </c>
      <c r="H112" s="24">
        <f>TVM!H112+KLM!H112+PTA!H112+ALP!H112+KTYM!H112+IDK!H112+EKM!H112+TSR!H112+PLKD!H112+MLPM!H112+KKD!H112+WYND!H112+KNR!H112+KSRGD!H112+SHS!H112</f>
        <v>0</v>
      </c>
      <c r="I112" s="24">
        <f>TVM!I112+KLM!I112+PTA!I112+ALP!I112+KTYM!I112+IDK!I112+EKM!I112+TSR!I112+PLKD!I112+MLPM!I112+KKD!I112+WYND!I112+KNR!I112+KSRGD!I112+SHS!I112</f>
        <v>0</v>
      </c>
      <c r="J112" s="24">
        <f>TVM!J112+KLM!J112+PTA!J112+ALP!J112+KTYM!J112+IDK!J112+EKM!J112+TSR!J112+PLKD!J112+MLPM!J112+KKD!J112+WYND!J112+KNR!J112+KSRGD!J112+SHS!J112</f>
        <v>0</v>
      </c>
      <c r="K112" s="24">
        <f>TVM!K112+KLM!K112+PTA!K112+ALP!K112+KTYM!K112+IDK!K112+EKM!K112+TSR!K112+PLKD!K112+MLPM!K112+KKD!K112+WYND!K112+KNR!K112+KSRGD!K112+SHS!K112</f>
        <v>0</v>
      </c>
      <c r="L112" s="24">
        <f>TVM!L112+KLM!L112+PTA!L112+ALP!L112+KTYM!L112+IDK!L112+EKM!L112+TSR!L112+PLKD!L112+MLPM!L112+KKD!L112+WYND!L112+KNR!L112+KSRGD!L112+SHS!L112</f>
        <v>0</v>
      </c>
      <c r="M112" s="24">
        <f>TVM!M112+KLM!M112+PTA!M112+ALP!M112+KTYM!M112+IDK!M112+EKM!M112+TSR!M112+PLKD!M112+MLPM!M112+KKD!M112+WYND!M112+KNR!M112+KSRGD!M112+SHS!M112</f>
        <v>0</v>
      </c>
      <c r="N112" s="24">
        <f>TVM!N112+KLM!N112+PTA!N112+ALP!N112+KTYM!N112+IDK!N112+EKM!N112+TSR!N112+PLKD!N112+MLPM!N112+KKD!N112+WYND!N112+KNR!N112+KSRGD!N112+SHS!N112</f>
        <v>0</v>
      </c>
      <c r="O112" s="24">
        <f>TVM!O112+KLM!O112+PTA!O112+ALP!O112+KTYM!O112+IDK!O112+EKM!O112+TSR!O112+PLKD!O112+MLPM!O112+KKD!O112+WYND!O112+KNR!O112+KSRGD!O112+SHS!O112</f>
        <v>0</v>
      </c>
      <c r="P112" s="24">
        <f>TVM!P112+KLM!P112+PTA!P112+ALP!P112+KTYM!P112+IDK!P112+EKM!P112+TSR!P112+PLKD!P112+MLPM!P112+KKD!P112+WYND!P112+KNR!P112+KSRGD!P112+SHS!P112</f>
        <v>0</v>
      </c>
      <c r="Q112" s="24">
        <f>TVM!Q112+KLM!Q112+PTA!Q112+ALP!Q112+KTYM!Q112+IDK!Q112+EKM!Q112+TSR!Q112+PLKD!Q112+MLPM!Q112+KKD!Q112+WYND!Q112+KNR!Q112+KSRGD!Q112+SHS!Q112</f>
        <v>0</v>
      </c>
      <c r="R112" s="24">
        <f>TVM!R112+KLM!R112+PTA!R112+ALP!R112+KTYM!R112+IDK!R112+EKM!R112+TSR!R112+PLKD!R112+MLPM!R112+KKD!R112+WYND!R112+KNR!R112+KSRGD!R112+SHS!R112</f>
        <v>0</v>
      </c>
      <c r="S112" s="24">
        <f>TVM!S112+KLM!S112+PTA!S112+ALP!S112+KTYM!S112+IDK!S112+EKM!S112+TSR!S112+PLKD!S112+MLPM!S112+KKD!S112+WYND!S112+KNR!S112+KSRGD!S112+SHS!S112</f>
        <v>0</v>
      </c>
      <c r="T112" s="6">
        <f t="shared" si="2"/>
        <v>0</v>
      </c>
      <c r="U112" s="9"/>
      <c r="V112" s="32"/>
      <c r="W112" s="1"/>
      <c r="X112" s="1"/>
      <c r="Y112" s="1"/>
      <c r="Z112" s="1"/>
    </row>
    <row r="113" spans="1:26" ht="39.75" customHeight="1">
      <c r="A113" s="171"/>
      <c r="B113" s="169"/>
      <c r="C113" s="169"/>
      <c r="D113" s="5">
        <v>106</v>
      </c>
      <c r="E113" s="5" t="s">
        <v>201</v>
      </c>
      <c r="F113" s="24">
        <f>TVM!F113+KLM!F113+PTA!F113+ALP!F113+KTYM!F113+IDK!F113+EKM!F113+TSR!F113+PLKD!F113+MLPM!F113+KKD!F113+WYND!F113+KNR!F113+KSRGD!F113+SHS!F113</f>
        <v>0</v>
      </c>
      <c r="G113" s="24">
        <f>TVM!G113+KLM!G113+PTA!G113+ALP!G113+KTYM!G113+IDK!G113+EKM!G113+TSR!G113+PLKD!G113+MLPM!G113+KKD!G113+WYND!G113+KNR!G113+KSRGD!G113+SHS!G113</f>
        <v>0</v>
      </c>
      <c r="H113" s="24">
        <f>TVM!H113+KLM!H113+PTA!H113+ALP!H113+KTYM!H113+IDK!H113+EKM!H113+TSR!H113+PLKD!H113+MLPM!H113+KKD!H113+WYND!H113+KNR!H113+KSRGD!H113+SHS!H113</f>
        <v>0</v>
      </c>
      <c r="I113" s="27">
        <f>TVM!I113+KLM!I113+PTA!I113+ALP!I113+KTYM!I113+IDK!I113+EKM!I113+TSR!I113+PLKD!I113+MLPM!I113+KKD!I113+WYND!I113+KNR!I113+KSRGD!I113+SHS!I113</f>
        <v>24</v>
      </c>
      <c r="J113" s="24">
        <f>TVM!J113+KLM!J113+PTA!J113+ALP!J113+KTYM!J113+IDK!J113+EKM!J113+TSR!J113+PLKD!J113+MLPM!J113+KKD!J113+WYND!J113+KNR!J113+KSRGD!J113+SHS!J113</f>
        <v>0</v>
      </c>
      <c r="K113" s="27">
        <f>TVM!K113+KLM!K113+PTA!K113+ALP!K113+KTYM!K113+IDK!K113+EKM!K113+TSR!K113+PLKD!K113+MLPM!K113+KKD!K113+WYND!K113+KNR!K113+KSRGD!K113+SHS!K113</f>
        <v>72</v>
      </c>
      <c r="L113" s="24">
        <f>TVM!L113+KLM!L113+PTA!L113+ALP!L113+KTYM!L113+IDK!L113+EKM!L113+TSR!L113+PLKD!L113+MLPM!L113+KKD!L113+WYND!L113+KNR!L113+KSRGD!L113+SHS!L113</f>
        <v>0</v>
      </c>
      <c r="M113" s="24">
        <f>TVM!M113+KLM!M113+PTA!M113+ALP!M113+KTYM!M113+IDK!M113+EKM!M113+TSR!M113+PLKD!M113+MLPM!M113+KKD!M113+WYND!M113+KNR!M113+KSRGD!M113+SHS!M113</f>
        <v>0</v>
      </c>
      <c r="N113" s="27">
        <f>TVM!N113+KLM!N113+PTA!N113+ALP!N113+KTYM!N113+IDK!N113+EKM!N113+TSR!N113+PLKD!N113+MLPM!N113+KKD!N113+WYND!N113+KNR!N113+KSRGD!N113+SHS!N113</f>
        <v>0</v>
      </c>
      <c r="O113" s="24">
        <f>TVM!O113+KLM!O113+PTA!O113+ALP!O113+KTYM!O113+IDK!O113+EKM!O113+TSR!O113+PLKD!O113+MLPM!O113+KKD!O113+WYND!O113+KNR!O113+KSRGD!O113+SHS!O113</f>
        <v>0</v>
      </c>
      <c r="P113" s="31">
        <f>TVM!P113+KLM!P113+PTA!P113+ALP!P113+KTYM!P113+IDK!P113+EKM!P113+TSR!P113+PLKD!P113+MLPM!P113+KKD!P113+WYND!P113+KNR!P113+KSRGD!P113+SHS!P113</f>
        <v>0</v>
      </c>
      <c r="Q113" s="27">
        <f>TVM!Q113+KLM!Q113+PTA!Q113+ALP!Q113+KTYM!Q113+IDK!Q113+EKM!Q113+TSR!Q113+PLKD!Q113+MLPM!Q113+KKD!Q113+WYND!Q113+KNR!Q113+KSRGD!Q113+SHS!Q113</f>
        <v>30</v>
      </c>
      <c r="R113" s="31">
        <f>TVM!R113+KLM!R113+PTA!R113+ALP!R113+KTYM!R113+IDK!R113+EKM!R113+TSR!R113+PLKD!R113+MLPM!R113+KKD!R113+WYND!R113+KNR!R113+KSRGD!R113+SHS!R113</f>
        <v>48</v>
      </c>
      <c r="S113" s="31">
        <f>TVM!S113+KLM!S113+PTA!S113+ALP!S113+KTYM!S113+IDK!S113+EKM!S113+TSR!S113+PLKD!S113+MLPM!S113+KKD!S113+WYND!S113+KNR!S113+KSRGD!S113+SHS!S113</f>
        <v>0</v>
      </c>
      <c r="T113" s="6">
        <f t="shared" si="2"/>
        <v>174</v>
      </c>
      <c r="U113" s="9"/>
      <c r="V113" s="32"/>
      <c r="W113" s="1"/>
      <c r="X113" s="1"/>
      <c r="Y113" s="1"/>
      <c r="Z113" s="1"/>
    </row>
    <row r="114" spans="1:26" ht="39.75" customHeight="1">
      <c r="A114" s="171"/>
      <c r="B114" s="168" t="s">
        <v>202</v>
      </c>
      <c r="C114" s="168" t="s">
        <v>203</v>
      </c>
      <c r="D114" s="5">
        <v>107</v>
      </c>
      <c r="E114" s="5" t="s">
        <v>204</v>
      </c>
      <c r="F114" s="24">
        <f>TVM!F114+KLM!F114+PTA!F114+ALP!F114+KTYM!F114+IDK!F114+EKM!F114+TSR!F114+PLKD!F114+MLPM!F114+KKD!F114+WYND!F114+KNR!F114+KSRGD!F114+SHS!F114</f>
        <v>0</v>
      </c>
      <c r="G114" s="24">
        <f>TVM!G114+KLM!G114+PTA!G114+ALP!G114+KTYM!G114+IDK!G114+EKM!G114+TSR!G114+PLKD!G114+MLPM!G114+KKD!G114+WYND!G114+KNR!G114+KSRGD!G114+SHS!G114</f>
        <v>0</v>
      </c>
      <c r="H114" s="24">
        <f>TVM!H114+KLM!H114+PTA!H114+ALP!H114+KTYM!H114+IDK!H114+EKM!H114+TSR!H114+PLKD!H114+MLPM!H114+KKD!H114+WYND!H114+KNR!H114+KSRGD!H114+SHS!H114</f>
        <v>0</v>
      </c>
      <c r="I114" s="27">
        <f>TVM!I114+KLM!I114+PTA!I114+ALP!I114+KTYM!I114+IDK!I114+EKM!I114+TSR!I114+PLKD!I114+MLPM!I114+KKD!I114+WYND!I114+KNR!I114+KSRGD!I114+SHS!I114</f>
        <v>36</v>
      </c>
      <c r="J114" s="24">
        <f>TVM!J114+KLM!J114+PTA!J114+ALP!J114+KTYM!J114+IDK!J114+EKM!J114+TSR!J114+PLKD!J114+MLPM!J114+KKD!J114+WYND!J114+KNR!J114+KSRGD!J114+SHS!J114</f>
        <v>0</v>
      </c>
      <c r="K114" s="27">
        <f>TVM!K114+KLM!K114+PTA!K114+ALP!K114+KTYM!K114+IDK!K114+EKM!K114+TSR!K114+PLKD!K114+MLPM!K114+KKD!K114+WYND!K114+KNR!K114+KSRGD!K114+SHS!K114</f>
        <v>432</v>
      </c>
      <c r="L114" s="24">
        <f>TVM!L114+KLM!L114+PTA!L114+ALP!L114+KTYM!L114+IDK!L114+EKM!L114+TSR!L114+PLKD!L114+MLPM!L114+KKD!L114+WYND!L114+KNR!L114+KSRGD!L114+SHS!L114</f>
        <v>0</v>
      </c>
      <c r="M114" s="24">
        <f>TVM!M114+KLM!M114+PTA!M114+ALP!M114+KTYM!M114+IDK!M114+EKM!M114+TSR!M114+PLKD!M114+MLPM!M114+KKD!M114+WYND!M114+KNR!M114+KSRGD!M114+SHS!M114</f>
        <v>0</v>
      </c>
      <c r="N114" s="27">
        <f>TVM!N114+KLM!N114+PTA!N114+ALP!N114+KTYM!N114+IDK!N114+EKM!N114+TSR!N114+PLKD!N114+MLPM!N114+KKD!N114+WYND!N114+KNR!N114+KSRGD!N114+SHS!N114</f>
        <v>0</v>
      </c>
      <c r="O114" s="24">
        <f>TVM!O114+KLM!O114+PTA!O114+ALP!O114+KTYM!O114+IDK!O114+EKM!O114+TSR!O114+PLKD!O114+MLPM!O114+KKD!O114+WYND!O114+KNR!O114+KSRGD!O114+SHS!O114</f>
        <v>0</v>
      </c>
      <c r="P114" s="31">
        <f>TVM!P114+KLM!P114+PTA!P114+ALP!P114+KTYM!P114+IDK!P114+EKM!P114+TSR!P114+PLKD!P114+MLPM!P114+KKD!P114+WYND!P114+KNR!P114+KSRGD!P114+SHS!P114</f>
        <v>49</v>
      </c>
      <c r="Q114" s="24">
        <f>TVM!Q114+KLM!Q114+PTA!Q114+ALP!Q114+KTYM!Q114+IDK!Q114+EKM!Q114+TSR!Q114+PLKD!Q114+MLPM!Q114+KKD!Q114+WYND!Q114+KNR!Q114+KSRGD!Q114+SHS!Q114</f>
        <v>0</v>
      </c>
      <c r="R114" s="31">
        <f>TVM!R114+KLM!R114+PTA!R114+ALP!R114+KTYM!R114+IDK!R114+EKM!R114+TSR!R114+PLKD!R114+MLPM!R114+KKD!R114+WYND!R114+KNR!R114+KSRGD!R114+SHS!R114</f>
        <v>0</v>
      </c>
      <c r="S114" s="24">
        <f>TVM!S114+KLM!S114+PTA!S114+ALP!S114+KTYM!S114+IDK!S114+EKM!S114+TSR!S114+PLKD!S114+MLPM!S114+KKD!S114+WYND!S114+KNR!S114+KSRGD!S114+SHS!S114</f>
        <v>0</v>
      </c>
      <c r="T114" s="6">
        <f t="shared" si="2"/>
        <v>517</v>
      </c>
      <c r="U114" s="9"/>
      <c r="V114" s="32"/>
      <c r="W114" s="1"/>
      <c r="X114" s="1"/>
      <c r="Y114" s="1"/>
      <c r="Z114" s="1"/>
    </row>
    <row r="115" spans="1:26" ht="39.75" customHeight="1">
      <c r="A115" s="171"/>
      <c r="B115" s="171"/>
      <c r="C115" s="171"/>
      <c r="D115" s="5">
        <v>108</v>
      </c>
      <c r="E115" s="5" t="s">
        <v>206</v>
      </c>
      <c r="F115" s="24">
        <f>TVM!F115+KLM!F115+PTA!F115+ALP!F115+KTYM!F115+IDK!F115+EKM!F115+TSR!F115+PLKD!F115+MLPM!F115+KKD!F115+WYND!F115+KNR!F115+KSRGD!F115+SHS!F115</f>
        <v>0</v>
      </c>
      <c r="G115" s="24">
        <f>TVM!G115+KLM!G115+PTA!G115+ALP!G115+KTYM!G115+IDK!G115+EKM!G115+TSR!G115+PLKD!G115+MLPM!G115+KKD!G115+WYND!G115+KNR!G115+KSRGD!G115+SHS!G115</f>
        <v>0</v>
      </c>
      <c r="H115" s="24">
        <f>TVM!H115+KLM!H115+PTA!H115+ALP!H115+KTYM!H115+IDK!H115+EKM!H115+TSR!H115+PLKD!H115+MLPM!H115+KKD!H115+WYND!H115+KNR!H115+KSRGD!H115+SHS!H115</f>
        <v>0</v>
      </c>
      <c r="I115" s="27">
        <f>TVM!I115+KLM!I115+PTA!I115+ALP!I115+KTYM!I115+IDK!I115+EKM!I115+TSR!I115+PLKD!I115+MLPM!I115+KKD!I115+WYND!I115+KNR!I115+KSRGD!I115+SHS!I115</f>
        <v>114</v>
      </c>
      <c r="J115" s="24">
        <f>TVM!J115+KLM!J115+PTA!J115+ALP!J115+KTYM!J115+IDK!J115+EKM!J115+TSR!J115+PLKD!J115+MLPM!J115+KKD!J115+WYND!J115+KNR!J115+KSRGD!J115+SHS!J115</f>
        <v>0</v>
      </c>
      <c r="K115" s="27">
        <f>TVM!K115+KLM!K115+PTA!K115+ALP!K115+KTYM!K115+IDK!K115+EKM!K115+TSR!K115+PLKD!K115+MLPM!K115+KKD!K115+WYND!K115+KNR!K115+KSRGD!K115+SHS!K115</f>
        <v>456</v>
      </c>
      <c r="L115" s="24">
        <f>TVM!L115+KLM!L115+PTA!L115+ALP!L115+KTYM!L115+IDK!L115+EKM!L115+TSR!L115+PLKD!L115+MLPM!L115+KKD!L115+WYND!L115+KNR!L115+KSRGD!L115+SHS!L115</f>
        <v>0</v>
      </c>
      <c r="M115" s="24">
        <f>TVM!M115+KLM!M115+PTA!M115+ALP!M115+KTYM!M115+IDK!M115+EKM!M115+TSR!M115+PLKD!M115+MLPM!M115+KKD!M115+WYND!M115+KNR!M115+KSRGD!M115+SHS!M115</f>
        <v>0</v>
      </c>
      <c r="N115" s="24">
        <f>TVM!N115+KLM!N115+PTA!N115+ALP!N115+KTYM!N115+IDK!N115+EKM!N115+TSR!N115+PLKD!N115+MLPM!N115+KKD!N115+WYND!N115+KNR!N115+KSRGD!N115+SHS!N115</f>
        <v>0</v>
      </c>
      <c r="O115" s="24">
        <f>TVM!O115+KLM!O115+PTA!O115+ALP!O115+KTYM!O115+IDK!O115+EKM!O115+TSR!O115+PLKD!O115+MLPM!O115+KKD!O115+WYND!O115+KNR!O115+KSRGD!O115+SHS!O115</f>
        <v>0</v>
      </c>
      <c r="P115" s="31">
        <f>TVM!P115+KLM!P115+PTA!P115+ALP!P115+KTYM!P115+IDK!P115+EKM!P115+TSR!P115+PLKD!P115+MLPM!P115+KKD!P115+WYND!P115+KNR!P115+KSRGD!P115+SHS!P115</f>
        <v>182.40000000000003</v>
      </c>
      <c r="Q115" s="24">
        <f>TVM!Q115+KLM!Q115+PTA!Q115+ALP!Q115+KTYM!Q115+IDK!Q115+EKM!Q115+TSR!Q115+PLKD!Q115+MLPM!Q115+KKD!Q115+WYND!Q115+KNR!Q115+KSRGD!Q115+SHS!Q115</f>
        <v>0</v>
      </c>
      <c r="R115" s="24">
        <f>TVM!R115+KLM!R115+PTA!R115+ALP!R115+KTYM!R115+IDK!R115+EKM!R115+TSR!R115+PLKD!R115+MLPM!R115+KKD!R115+WYND!R115+KNR!R115+KSRGD!R115+SHS!R115</f>
        <v>0</v>
      </c>
      <c r="S115" s="24">
        <f>TVM!S115+KLM!S115+PTA!S115+ALP!S115+KTYM!S115+IDK!S115+EKM!S115+TSR!S115+PLKD!S115+MLPM!S115+KKD!S115+WYND!S115+KNR!S115+KSRGD!S115+SHS!S115</f>
        <v>0</v>
      </c>
      <c r="T115" s="6">
        <f t="shared" si="2"/>
        <v>752.40000000000009</v>
      </c>
      <c r="U115" s="9"/>
      <c r="V115" s="32"/>
      <c r="W115" s="1"/>
      <c r="X115" s="1"/>
      <c r="Y115" s="1"/>
      <c r="Z115" s="1"/>
    </row>
    <row r="116" spans="1:26" ht="39.75" customHeight="1">
      <c r="A116" s="171"/>
      <c r="B116" s="171"/>
      <c r="C116" s="171"/>
      <c r="D116" s="5">
        <v>109</v>
      </c>
      <c r="E116" s="5" t="s">
        <v>208</v>
      </c>
      <c r="F116" s="24">
        <f>TVM!F116+KLM!F116+PTA!F116+ALP!F116+KTYM!F116+IDK!F116+EKM!F116+TSR!F116+PLKD!F116+MLPM!F116+KKD!F116+WYND!F116+KNR!F116+KSRGD!F116+SHS!F116</f>
        <v>0</v>
      </c>
      <c r="G116" s="24">
        <f>TVM!G116+KLM!G116+PTA!G116+ALP!G116+KTYM!G116+IDK!G116+EKM!G116+TSR!G116+PLKD!G116+MLPM!G116+KKD!G116+WYND!G116+KNR!G116+KSRGD!G116+SHS!G116</f>
        <v>0</v>
      </c>
      <c r="H116" s="31">
        <f>TVM!H116+KLM!H116+PTA!H116+ALP!H116+KTYM!H116+IDK!H116+EKM!H116+TSR!H116+PLKD!H116+MLPM!H116+KKD!H116+WYND!H116+KNR!H116+KSRGD!H116+SHS!H116</f>
        <v>0</v>
      </c>
      <c r="I116" s="27">
        <f>TVM!I116+KLM!I116+PTA!I116+ALP!I116+KTYM!I116+IDK!I116+EKM!I116+TSR!I116+PLKD!I116+MLPM!I116+KKD!I116+WYND!I116+KNR!I116+KSRGD!I116+SHS!I116</f>
        <v>100</v>
      </c>
      <c r="J116" s="24">
        <f>TVM!J116+KLM!J116+PTA!J116+ALP!J116+KTYM!J116+IDK!J116+EKM!J116+TSR!J116+PLKD!J116+MLPM!J116+KKD!J116+WYND!J116+KNR!J116+KSRGD!J116+SHS!J116</f>
        <v>0</v>
      </c>
      <c r="K116" s="27">
        <f>TVM!K116+KLM!K116+PTA!K116+ALP!K116+KTYM!K116+IDK!K116+EKM!K116+TSR!K116+PLKD!K116+MLPM!K116+KKD!K116+WYND!K116+KNR!K116+KSRGD!K116+SHS!K116</f>
        <v>180</v>
      </c>
      <c r="L116" s="24">
        <f>TVM!L116+KLM!L116+PTA!L116+ALP!L116+KTYM!L116+IDK!L116+EKM!L116+TSR!L116+PLKD!L116+MLPM!L116+KKD!L116+WYND!L116+KNR!L116+KSRGD!L116+SHS!L116</f>
        <v>0</v>
      </c>
      <c r="M116" s="24">
        <f>TVM!M116+KLM!M116+PTA!M116+ALP!M116+KTYM!M116+IDK!M116+EKM!M116+TSR!M116+PLKD!M116+MLPM!M116+KKD!M116+WYND!M116+KNR!M116+KSRGD!M116+SHS!M116</f>
        <v>0</v>
      </c>
      <c r="N116" s="24">
        <f>TVM!N116+KLM!N116+PTA!N116+ALP!N116+KTYM!N116+IDK!N116+EKM!N116+TSR!N116+PLKD!N116+MLPM!N116+KKD!N116+WYND!N116+KNR!N116+KSRGD!N116+SHS!N116</f>
        <v>0</v>
      </c>
      <c r="O116" s="24">
        <f>TVM!O116+KLM!O116+PTA!O116+ALP!O116+KTYM!O116+IDK!O116+EKM!O116+TSR!O116+PLKD!O116+MLPM!O116+KKD!O116+WYND!O116+KNR!O116+KSRGD!O116+SHS!O116</f>
        <v>0</v>
      </c>
      <c r="P116" s="24">
        <f>TVM!P116+KLM!P116+PTA!P116+ALP!P116+KTYM!P116+IDK!P116+EKM!P116+TSR!P116+PLKD!P116+MLPM!P116+KKD!P116+WYND!P116+KNR!P116+KSRGD!P116+SHS!P116</f>
        <v>0</v>
      </c>
      <c r="Q116" s="24">
        <f>TVM!Q116+KLM!Q116+PTA!Q116+ALP!Q116+KTYM!Q116+IDK!Q116+EKM!Q116+TSR!Q116+PLKD!Q116+MLPM!Q116+KKD!Q116+WYND!Q116+KNR!Q116+KSRGD!Q116+SHS!Q116</f>
        <v>0</v>
      </c>
      <c r="R116" s="24">
        <f>TVM!R116+KLM!R116+PTA!R116+ALP!R116+KTYM!R116+IDK!R116+EKM!R116+TSR!R116+PLKD!R116+MLPM!R116+KKD!R116+WYND!R116+KNR!R116+KSRGD!R116+SHS!R116</f>
        <v>0</v>
      </c>
      <c r="S116" s="24">
        <f>TVM!S116+KLM!S116+PTA!S116+ALP!S116+KTYM!S116+IDK!S116+EKM!S116+TSR!S116+PLKD!S116+MLPM!S116+KKD!S116+WYND!S116+KNR!S116+KSRGD!S116+SHS!S116</f>
        <v>0</v>
      </c>
      <c r="T116" s="6">
        <f t="shared" si="2"/>
        <v>280</v>
      </c>
      <c r="U116" s="9"/>
      <c r="V116" s="32"/>
      <c r="W116" s="1"/>
      <c r="X116" s="1"/>
      <c r="Y116" s="1"/>
      <c r="Z116" s="1"/>
    </row>
    <row r="117" spans="1:26" ht="39.75" customHeight="1">
      <c r="A117" s="171"/>
      <c r="B117" s="171"/>
      <c r="C117" s="171"/>
      <c r="D117" s="5">
        <v>110</v>
      </c>
      <c r="E117" s="5" t="s">
        <v>209</v>
      </c>
      <c r="F117" s="24">
        <f>TVM!F117+KLM!F117+PTA!F117+ALP!F117+KTYM!F117+IDK!F117+EKM!F117+TSR!F117+PLKD!F117+MLPM!F117+KKD!F117+WYND!F117+KNR!F117+KSRGD!F117+SHS!F117</f>
        <v>0</v>
      </c>
      <c r="G117" s="24">
        <f>TVM!G117+KLM!G117+PTA!G117+ALP!G117+KTYM!G117+IDK!G117+EKM!G117+TSR!G117+PLKD!G117+MLPM!G117+KKD!G117+WYND!G117+KNR!G117+KSRGD!G117+SHS!G117</f>
        <v>0</v>
      </c>
      <c r="H117" s="24">
        <f>TVM!H117+KLM!H117+PTA!H117+ALP!H117+KTYM!H117+IDK!H117+EKM!H117+TSR!H117+PLKD!H117+MLPM!H117+KKD!H117+WYND!H117+KNR!H117+KSRGD!H117+SHS!H117</f>
        <v>0</v>
      </c>
      <c r="I117" s="27">
        <f>TVM!I117+KLM!I117+PTA!I117+ALP!I117+KTYM!I117+IDK!I117+EKM!I117+TSR!I117+PLKD!I117+MLPM!I117+KKD!I117+WYND!I117+KNR!I117+KSRGD!I117+SHS!I117</f>
        <v>70</v>
      </c>
      <c r="J117" s="24">
        <f>TVM!J117+KLM!J117+PTA!J117+ALP!J117+KTYM!J117+IDK!J117+EKM!J117+TSR!J117+PLKD!J117+MLPM!J117+KKD!J117+WYND!J117+KNR!J117+KSRGD!J117+SHS!J117</f>
        <v>0</v>
      </c>
      <c r="K117" s="27">
        <f>TVM!K117+KLM!K117+PTA!K117+ALP!K117+KTYM!K117+IDK!K117+EKM!K117+TSR!K117+PLKD!K117+MLPM!K117+KKD!K117+WYND!K117+KNR!K117+KSRGD!K117+SHS!K117</f>
        <v>1152</v>
      </c>
      <c r="L117" s="24">
        <f>TVM!L117+KLM!L117+PTA!L117+ALP!L117+KTYM!L117+IDK!L117+EKM!L117+TSR!L117+PLKD!L117+MLPM!L117+KKD!L117+WYND!L117+KNR!L117+KSRGD!L117+SHS!L117</f>
        <v>0</v>
      </c>
      <c r="M117" s="31">
        <f>TVM!M117+KLM!M117+PTA!M117+ALP!M117+KTYM!M117+IDK!M117+EKM!M117+TSR!M117+PLKD!M117+MLPM!M117+KKD!M117+WYND!M117+KNR!M117+KSRGD!M117+SHS!M117</f>
        <v>1661</v>
      </c>
      <c r="N117" s="27">
        <f>TVM!N117+KLM!N117+PTA!N117+ALP!N117+KTYM!N117+IDK!N117+EKM!N117+TSR!N117+PLKD!N117+MLPM!N117+KKD!N117+WYND!N117+KNR!N117+KSRGD!N117+SHS!N117</f>
        <v>52</v>
      </c>
      <c r="O117" s="31">
        <f>TVM!O117+KLM!O117+PTA!O117+ALP!O117+KTYM!O117+IDK!O117+EKM!O117+TSR!O117+PLKD!O117+MLPM!O117+KKD!O117+WYND!O117+KNR!O117+KSRGD!O117+SHS!O117</f>
        <v>158.65799999999999</v>
      </c>
      <c r="P117" s="27">
        <f>TVM!P117+KLM!P117+PTA!P117+ALP!P117+KTYM!P117+IDK!P117+EKM!P117+TSR!P117+PLKD!P117+MLPM!P117+KKD!P117+WYND!P117+KNR!P117+KSRGD!P117+SHS!P117</f>
        <v>0</v>
      </c>
      <c r="Q117" s="31">
        <f>TVM!Q117+KLM!Q117+PTA!Q117+ALP!Q117+KTYM!Q117+IDK!Q117+EKM!Q117+TSR!Q117+PLKD!Q117+MLPM!Q117+KKD!Q117+WYND!Q117+KNR!Q117+KSRGD!Q117+SHS!Q117</f>
        <v>161.11999999999998</v>
      </c>
      <c r="R117" s="31">
        <f>TVM!R117+KLM!R117+PTA!R117+ALP!R117+KTYM!R117+IDK!R117+EKM!R117+TSR!R117+PLKD!R117+MLPM!R117+KKD!R117+WYND!R117+KNR!R117+KSRGD!R117+SHS!R117</f>
        <v>129.60000000000002</v>
      </c>
      <c r="S117" s="24">
        <f>TVM!S117+KLM!S117+PTA!S117+ALP!S117+KTYM!S117+IDK!S117+EKM!S117+TSR!S117+PLKD!S117+MLPM!S117+KKD!S117+WYND!S117+KNR!S117+KSRGD!S117+SHS!S117</f>
        <v>0</v>
      </c>
      <c r="T117" s="6">
        <f t="shared" si="2"/>
        <v>3384.3779999999997</v>
      </c>
      <c r="U117" s="9"/>
      <c r="V117" s="32"/>
      <c r="W117" s="1"/>
      <c r="X117" s="1"/>
      <c r="Y117" s="1"/>
      <c r="Z117" s="1"/>
    </row>
    <row r="118" spans="1:26" ht="39.75" customHeight="1">
      <c r="A118" s="171"/>
      <c r="B118" s="169"/>
      <c r="C118" s="169"/>
      <c r="D118" s="5">
        <v>111</v>
      </c>
      <c r="E118" s="5" t="s">
        <v>54</v>
      </c>
      <c r="F118" s="24">
        <f>TVM!F118+KLM!F118+PTA!F118+ALP!F118+KTYM!F118+IDK!F118+EKM!F118+TSR!F118+PLKD!F118+MLPM!F118+KKD!F118+WYND!F118+KNR!F118+KSRGD!F118+SHS!F118</f>
        <v>0</v>
      </c>
      <c r="G118" s="24">
        <f>TVM!G118+KLM!G118+PTA!G118+ALP!G118+KTYM!G118+IDK!G118+EKM!G118+TSR!G118+PLKD!G118+MLPM!G118+KKD!G118+WYND!G118+KNR!G118+KSRGD!G118+SHS!G118</f>
        <v>0</v>
      </c>
      <c r="H118" s="24">
        <f>TVM!H118+KLM!H118+PTA!H118+ALP!H118+KTYM!H118+IDK!H118+EKM!H118+TSR!H118+PLKD!H118+MLPM!H118+KKD!H118+WYND!H118+KNR!H118+KSRGD!H118+SHS!H118</f>
        <v>0</v>
      </c>
      <c r="I118" s="31">
        <f>TVM!I118+KLM!I118+PTA!I118+ALP!I118+KTYM!I118+IDK!I118+EKM!I118+TSR!I118+PLKD!I118+MLPM!I118+KKD!I118+WYND!I118+KNR!I118+KSRGD!I118+SHS!I118</f>
        <v>0</v>
      </c>
      <c r="J118" s="24">
        <f>TVM!J118+KLM!J118+PTA!J118+ALP!J118+KTYM!J118+IDK!J118+EKM!J118+TSR!J118+PLKD!J118+MLPM!J118+KKD!J118+WYND!J118+KNR!J118+KSRGD!J118+SHS!J118</f>
        <v>0</v>
      </c>
      <c r="K118" s="31">
        <f>TVM!K118+KLM!K118+PTA!K118+ALP!K118+KTYM!K118+IDK!K118+EKM!K118+TSR!K118+PLKD!K118+MLPM!K118+KKD!K118+WYND!K118+KNR!K118+KSRGD!K118+SHS!K118</f>
        <v>42</v>
      </c>
      <c r="L118" s="24">
        <f>TVM!L118+KLM!L118+PTA!L118+ALP!L118+KTYM!L118+IDK!L118+EKM!L118+TSR!L118+PLKD!L118+MLPM!L118+KKD!L118+WYND!L118+KNR!L118+KSRGD!L118+SHS!L118</f>
        <v>0</v>
      </c>
      <c r="M118" s="24">
        <f>TVM!M118+KLM!M118+PTA!M118+ALP!M118+KTYM!M118+IDK!M118+EKM!M118+TSR!M118+PLKD!M118+MLPM!M118+KKD!M118+WYND!M118+KNR!M118+KSRGD!M118+SHS!M118</f>
        <v>94</v>
      </c>
      <c r="N118" s="24">
        <f>TVM!N118+KLM!N118+PTA!N118+ALP!N118+KTYM!N118+IDK!N118+EKM!N118+TSR!N118+PLKD!N118+MLPM!N118+KKD!N118+WYND!N118+KNR!N118+KSRGD!N118+SHS!N118</f>
        <v>0</v>
      </c>
      <c r="O118" s="24">
        <f>TVM!O118+KLM!O118+PTA!O118+ALP!O118+KTYM!O118+IDK!O118+EKM!O118+TSR!O118+PLKD!O118+MLPM!O118+KKD!O118+WYND!O118+KNR!O118+KSRGD!O118+SHS!O118</f>
        <v>0</v>
      </c>
      <c r="P118" s="31">
        <f>TVM!P118+KLM!P118+PTA!P118+ALP!P118+KTYM!P118+IDK!P118+EKM!P118+TSR!P118+PLKD!P118+MLPM!P118+KKD!P118+WYND!P118+KNR!P118+KSRGD!P118+SHS!P118</f>
        <v>0</v>
      </c>
      <c r="Q118" s="27">
        <f>TVM!Q118+KLM!Q118+PTA!Q118+ALP!Q118+KTYM!Q118+IDK!Q118+EKM!Q118+TSR!Q118+PLKD!Q118+MLPM!Q118+KKD!Q118+WYND!Q118+KNR!Q118+KSRGD!Q118+SHS!Q118</f>
        <v>0</v>
      </c>
      <c r="R118" s="24">
        <f>TVM!R118+KLM!R118+PTA!R118+ALP!R118+KTYM!R118+IDK!R118+EKM!R118+TSR!R118+PLKD!R118+MLPM!R118+KKD!R118+WYND!R118+KNR!R118+KSRGD!R118+SHS!R118</f>
        <v>0</v>
      </c>
      <c r="S118" s="31">
        <f>TVM!S118+KLM!S118+PTA!S118+ALP!S118+KTYM!S118+IDK!S118+EKM!S118+TSR!S118+PLKD!S118+MLPM!S118+KKD!S118+WYND!S118+KNR!S118+KSRGD!S118+SHS!S118</f>
        <v>25</v>
      </c>
      <c r="T118" s="6">
        <f t="shared" si="2"/>
        <v>161</v>
      </c>
      <c r="U118" s="9"/>
      <c r="V118" s="32"/>
      <c r="W118" s="1"/>
      <c r="X118" s="1"/>
      <c r="Y118" s="1"/>
      <c r="Z118" s="1"/>
    </row>
    <row r="119" spans="1:26" ht="39.75" customHeight="1">
      <c r="A119" s="171"/>
      <c r="B119" s="168" t="s">
        <v>211</v>
      </c>
      <c r="C119" s="168" t="s">
        <v>212</v>
      </c>
      <c r="D119" s="5">
        <v>112</v>
      </c>
      <c r="E119" s="5" t="s">
        <v>213</v>
      </c>
      <c r="F119" s="24">
        <f>TVM!F119+KLM!F119+PTA!F119+ALP!F119+KTYM!F119+IDK!F119+EKM!F119+TSR!F119+PLKD!F119+MLPM!F119+KKD!F119+WYND!F119+KNR!F119+KSRGD!F119+SHS!F119</f>
        <v>0</v>
      </c>
      <c r="G119" s="24">
        <f>TVM!G119+KLM!G119+PTA!G119+ALP!G119+KTYM!G119+IDK!G119+EKM!G119+TSR!G119+PLKD!G119+MLPM!G119+KKD!G119+WYND!G119+KNR!G119+KSRGD!G119+SHS!G119</f>
        <v>0</v>
      </c>
      <c r="H119" s="24">
        <f>TVM!H119+KLM!H119+PTA!H119+ALP!H119+KTYM!H119+IDK!H119+EKM!H119+TSR!H119+PLKD!H119+MLPM!H119+KKD!H119+WYND!H119+KNR!H119+KSRGD!H119+SHS!H119</f>
        <v>0</v>
      </c>
      <c r="I119" s="27">
        <f>TVM!I119+KLM!I119+PTA!I119+ALP!I119+KTYM!I119+IDK!I119+EKM!I119+TSR!I119+PLKD!I119+MLPM!I119+KKD!I119+WYND!I119+KNR!I119+KSRGD!I119+SHS!I119</f>
        <v>56.84</v>
      </c>
      <c r="J119" s="24">
        <f>TVM!J119+KLM!J119+PTA!J119+ALP!J119+KTYM!J119+IDK!J119+EKM!J119+TSR!J119+PLKD!J119+MLPM!J119+KKD!J119+WYND!J119+KNR!J119+KSRGD!J119+SHS!J119</f>
        <v>0</v>
      </c>
      <c r="K119" s="27">
        <f>TVM!K119+KLM!K119+PTA!K119+ALP!K119+KTYM!K119+IDK!K119+EKM!K119+TSR!K119+PLKD!K119+MLPM!K119+KKD!K119+WYND!K119+KNR!K119+KSRGD!K119+SHS!K119</f>
        <v>50</v>
      </c>
      <c r="L119" s="24">
        <f>TVM!L119+KLM!L119+PTA!L119+ALP!L119+KTYM!L119+IDK!L119+EKM!L119+TSR!L119+PLKD!L119+MLPM!L119+KKD!L119+WYND!L119+KNR!L119+KSRGD!L119+SHS!L119</f>
        <v>0</v>
      </c>
      <c r="M119" s="24">
        <f>TVM!M119+KLM!M119+PTA!M119+ALP!M119+KTYM!M119+IDK!M119+EKM!M119+TSR!M119+PLKD!M119+MLPM!M119+KKD!M119+WYND!M119+KNR!M119+KSRGD!M119+SHS!M119</f>
        <v>0</v>
      </c>
      <c r="N119" s="24">
        <f>TVM!N119+KLM!N119+PTA!N119+ALP!N119+KTYM!N119+IDK!N119+EKM!N119+TSR!N119+PLKD!N119+MLPM!N119+KKD!N119+WYND!N119+KNR!N119+KSRGD!N119+SHS!N119</f>
        <v>0</v>
      </c>
      <c r="O119" s="24">
        <f>TVM!O119+KLM!O119+PTA!O119+ALP!O119+KTYM!O119+IDK!O119+EKM!O119+TSR!O119+PLKD!O119+MLPM!O119+KKD!O119+WYND!O119+KNR!O119+KSRGD!O119+SHS!O119</f>
        <v>0</v>
      </c>
      <c r="P119" s="24">
        <f>TVM!P119+KLM!P119+PTA!P119+ALP!P119+KTYM!P119+IDK!P119+EKM!P119+TSR!P119+PLKD!P119+MLPM!P119+KKD!P119+WYND!P119+KNR!P119+KSRGD!P119+SHS!P119</f>
        <v>0</v>
      </c>
      <c r="Q119" s="27">
        <f>TVM!Q119+KLM!Q119+PTA!Q119+ALP!Q119+KTYM!Q119+IDK!Q119+EKM!Q119+TSR!Q119+PLKD!Q119+MLPM!Q119+KKD!Q119+WYND!Q119+KNR!Q119+KSRGD!Q119+SHS!Q119</f>
        <v>0</v>
      </c>
      <c r="R119" s="24">
        <f>TVM!R119+KLM!R119+PTA!R119+ALP!R119+KTYM!R119+IDK!R119+EKM!R119+TSR!R119+PLKD!R119+MLPM!R119+KKD!R119+WYND!R119+KNR!R119+KSRGD!R119+SHS!R119</f>
        <v>0</v>
      </c>
      <c r="S119" s="24">
        <f>TVM!S119+KLM!S119+PTA!S119+ALP!S119+KTYM!S119+IDK!S119+EKM!S119+TSR!S119+PLKD!S119+MLPM!S119+KKD!S119+WYND!S119+KNR!S119+KSRGD!S119+SHS!S119</f>
        <v>0</v>
      </c>
      <c r="T119" s="6">
        <f t="shared" si="2"/>
        <v>106.84</v>
      </c>
      <c r="U119" s="9"/>
      <c r="V119" s="32"/>
      <c r="W119" s="1"/>
      <c r="X119" s="1"/>
      <c r="Y119" s="1"/>
      <c r="Z119" s="1"/>
    </row>
    <row r="120" spans="1:26" ht="39.75" customHeight="1">
      <c r="A120" s="171"/>
      <c r="B120" s="169"/>
      <c r="C120" s="169"/>
      <c r="D120" s="5">
        <v>113</v>
      </c>
      <c r="E120" s="5" t="s">
        <v>214</v>
      </c>
      <c r="F120" s="24">
        <f>TVM!F120+KLM!F120+PTA!F120+ALP!F120+KTYM!F120+IDK!F120+EKM!F120+TSR!F120+PLKD!F120+MLPM!F120+KKD!F120+WYND!F120+KNR!F120+KSRGD!F120+SHS!F120</f>
        <v>0</v>
      </c>
      <c r="G120" s="24">
        <f>TVM!G120+KLM!G120+PTA!G120+ALP!G120+KTYM!G120+IDK!G120+EKM!G120+TSR!G120+PLKD!G120+MLPM!G120+KKD!G120+WYND!G120+KNR!G120+KSRGD!G120+SHS!G120</f>
        <v>0</v>
      </c>
      <c r="H120" s="24">
        <f>TVM!H120+KLM!H120+PTA!H120+ALP!H120+KTYM!H120+IDK!H120+EKM!H120+TSR!H120+PLKD!H120+MLPM!H120+KKD!H120+WYND!H120+KNR!H120+KSRGD!H120+SHS!H120</f>
        <v>0</v>
      </c>
      <c r="I120" s="27">
        <f>TVM!I120+KLM!I120+PTA!I120+ALP!I120+KTYM!I120+IDK!I120+EKM!I120+TSR!I120+PLKD!I120+MLPM!I120+KKD!I120+WYND!I120+KNR!I120+KSRGD!I120+SHS!I120</f>
        <v>0</v>
      </c>
      <c r="J120" s="24">
        <f>TVM!J120+KLM!J120+PTA!J120+ALP!J120+KTYM!J120+IDK!J120+EKM!J120+TSR!J120+PLKD!J120+MLPM!J120+KKD!J120+WYND!J120+KNR!J120+KSRGD!J120+SHS!J120</f>
        <v>0</v>
      </c>
      <c r="K120" s="27">
        <f>TVM!K120+KLM!K120+PTA!K120+ALP!K120+KTYM!K120+IDK!K120+EKM!K120+TSR!K120+PLKD!K120+MLPM!K120+KKD!K120+WYND!K120+KNR!K120+KSRGD!K120+SHS!K120</f>
        <v>0</v>
      </c>
      <c r="L120" s="24">
        <f>TVM!L120+KLM!L120+PTA!L120+ALP!L120+KTYM!L120+IDK!L120+EKM!L120+TSR!L120+PLKD!L120+MLPM!L120+KKD!L120+WYND!L120+KNR!L120+KSRGD!L120+SHS!L120</f>
        <v>0</v>
      </c>
      <c r="M120" s="27">
        <f>TVM!M120+KLM!M120+PTA!M120+ALP!M120+KTYM!M120+IDK!M120+EKM!M120+TSR!M120+PLKD!M120+MLPM!M120+KKD!M120+WYND!M120+KNR!M120+KSRGD!M120+SHS!M120</f>
        <v>700</v>
      </c>
      <c r="N120" s="27">
        <f>TVM!N120+KLM!N120+PTA!N120+ALP!N120+KTYM!N120+IDK!N120+EKM!N120+TSR!N120+PLKD!N120+MLPM!N120+KKD!N120+WYND!N120+KNR!N120+KSRGD!N120+SHS!N120</f>
        <v>8</v>
      </c>
      <c r="O120" s="24">
        <f>TVM!O120+KLM!O120+PTA!O120+ALP!O120+KTYM!O120+IDK!O120+EKM!O120+TSR!O120+PLKD!O120+MLPM!O120+KKD!O120+WYND!O120+KNR!O120+KSRGD!O120+SHS!O120</f>
        <v>0</v>
      </c>
      <c r="P120" s="24">
        <f>TVM!P120+KLM!P120+PTA!P120+ALP!P120+KTYM!P120+IDK!P120+EKM!P120+TSR!P120+PLKD!P120+MLPM!P120+KKD!P120+WYND!P120+KNR!P120+KSRGD!P120+SHS!P120</f>
        <v>0</v>
      </c>
      <c r="Q120" s="27">
        <f>TVM!Q120+KLM!Q120+PTA!Q120+ALP!Q120+KTYM!Q120+IDK!Q120+EKM!Q120+TSR!Q120+PLKD!Q120+MLPM!Q120+KKD!Q120+WYND!Q120+KNR!Q120+KSRGD!Q120+SHS!Q120</f>
        <v>7</v>
      </c>
      <c r="R120" s="24">
        <f>TVM!R120+KLM!R120+PTA!R120+ALP!R120+KTYM!R120+IDK!R120+EKM!R120+TSR!R120+PLKD!R120+MLPM!R120+KKD!R120+WYND!R120+KNR!R120+KSRGD!R120+SHS!R120</f>
        <v>0</v>
      </c>
      <c r="S120" s="24">
        <f>TVM!S120+KLM!S120+PTA!S120+ALP!S120+KTYM!S120+IDK!S120+EKM!S120+TSR!S120+PLKD!S120+MLPM!S120+KKD!S120+WYND!S120+KNR!S120+KSRGD!S120+SHS!S120</f>
        <v>0</v>
      </c>
      <c r="T120" s="6">
        <f t="shared" si="2"/>
        <v>715</v>
      </c>
      <c r="U120" s="9"/>
      <c r="V120" s="32"/>
      <c r="W120" s="1"/>
      <c r="X120" s="1"/>
      <c r="Y120" s="1"/>
      <c r="Z120" s="1"/>
    </row>
    <row r="121" spans="1:26" ht="39.75" customHeight="1">
      <c r="A121" s="171"/>
      <c r="B121" s="5" t="s">
        <v>216</v>
      </c>
      <c r="C121" s="5" t="s">
        <v>217</v>
      </c>
      <c r="D121" s="5">
        <v>114</v>
      </c>
      <c r="E121" s="5" t="s">
        <v>218</v>
      </c>
      <c r="F121" s="24">
        <f>TVM!F121+KLM!F121+PTA!F121+ALP!F121+KTYM!F121+IDK!F121+EKM!F121+TSR!F121+PLKD!F121+MLPM!F121+KKD!F121+WYND!F121+KNR!F121+KSRGD!F121+SHS!F121</f>
        <v>0</v>
      </c>
      <c r="G121" s="24">
        <f>TVM!G121+KLM!G121+PTA!G121+ALP!G121+KTYM!G121+IDK!G121+EKM!G121+TSR!G121+PLKD!G121+MLPM!G121+KKD!G121+WYND!G121+KNR!G121+KSRGD!G121+SHS!G121</f>
        <v>0</v>
      </c>
      <c r="H121" s="31">
        <f>TVM!H121+KLM!H121+PTA!H121+ALP!H121+KTYM!H121+IDK!H121+EKM!H121+TSR!H121+PLKD!H121+MLPM!H121+KKD!H121+WYND!H121+KNR!H121+KSRGD!H121+SHS!H121</f>
        <v>0</v>
      </c>
      <c r="I121" s="24">
        <f>TVM!I121+KLM!I121+PTA!I121+ALP!I121+KTYM!I121+IDK!I121+EKM!I121+TSR!I121+PLKD!I121+MLPM!I121+KKD!I121+WYND!I121+KNR!I121+KSRGD!I121+SHS!I121</f>
        <v>0</v>
      </c>
      <c r="J121" s="24">
        <f>TVM!J121+KLM!J121+PTA!J121+ALP!J121+KTYM!J121+IDK!J121+EKM!J121+TSR!J121+PLKD!J121+MLPM!J121+KKD!J121+WYND!J121+KNR!J121+KSRGD!J121+SHS!J121</f>
        <v>0</v>
      </c>
      <c r="K121" s="24">
        <f>TVM!K121+KLM!K121+PTA!K121+ALP!K121+KTYM!K121+IDK!K121+EKM!K121+TSR!K121+PLKD!K121+MLPM!K121+KKD!K121+WYND!K121+KNR!K121+KSRGD!K121+SHS!K121</f>
        <v>0</v>
      </c>
      <c r="L121" s="24">
        <f>TVM!L121+KLM!L121+PTA!L121+ALP!L121+KTYM!L121+IDK!L121+EKM!L121+TSR!L121+PLKD!L121+MLPM!L121+KKD!L121+WYND!L121+KNR!L121+KSRGD!L121+SHS!L121</f>
        <v>0</v>
      </c>
      <c r="M121" s="24">
        <f>TVM!M121+KLM!M121+PTA!M121+ALP!M121+KTYM!M121+IDK!M121+EKM!M121+TSR!M121+PLKD!M121+MLPM!M121+KKD!M121+WYND!M121+KNR!M121+KSRGD!M121+SHS!M121</f>
        <v>0</v>
      </c>
      <c r="N121" s="31">
        <f>TVM!N121+KLM!N121+PTA!N121+ALP!N121+KTYM!N121+IDK!N121+EKM!N121+TSR!N121+PLKD!N121+MLPM!N121+KKD!N121+WYND!N121+KNR!N121+KSRGD!N121+SHS!N121</f>
        <v>23</v>
      </c>
      <c r="O121" s="24">
        <f>TVM!O121+KLM!O121+PTA!O121+ALP!O121+KTYM!O121+IDK!O121+EKM!O121+TSR!O121+PLKD!O121+MLPM!O121+KKD!O121+WYND!O121+KNR!O121+KSRGD!O121+SHS!O121</f>
        <v>0</v>
      </c>
      <c r="P121" s="31">
        <f>TVM!P121+KLM!P121+PTA!P121+ALP!P121+KTYM!P121+IDK!P121+EKM!P121+TSR!P121+PLKD!P121+MLPM!P121+KKD!P121+WYND!P121+KNR!P121+KSRGD!P121+SHS!P121</f>
        <v>100</v>
      </c>
      <c r="Q121" s="27">
        <f>TVM!Q121+KLM!Q121+PTA!Q121+ALP!Q121+KTYM!Q121+IDK!Q121+EKM!Q121+TSR!Q121+PLKD!Q121+MLPM!Q121+KKD!Q121+WYND!Q121+KNR!Q121+KSRGD!Q121+SHS!Q121</f>
        <v>58</v>
      </c>
      <c r="R121" s="31">
        <f>TVM!R121+KLM!R121+PTA!R121+ALP!R121+KTYM!R121+IDK!R121+EKM!R121+TSR!R121+PLKD!R121+MLPM!R121+KKD!R121+WYND!R121+KNR!R121+KSRGD!R121+SHS!R121</f>
        <v>16</v>
      </c>
      <c r="S121" s="31">
        <f>TVM!S121+KLM!S121+PTA!S121+ALP!S121+KTYM!S121+IDK!S121+EKM!S121+TSR!S121+PLKD!S121+MLPM!S121+KKD!S121+WYND!S121+KNR!S121+KSRGD!S121+SHS!S121</f>
        <v>5.3</v>
      </c>
      <c r="T121" s="6">
        <f t="shared" si="2"/>
        <v>202.3</v>
      </c>
      <c r="U121" s="9"/>
      <c r="V121" s="32"/>
      <c r="W121" s="1"/>
      <c r="X121" s="1"/>
      <c r="Y121" s="1"/>
      <c r="Z121" s="1"/>
    </row>
    <row r="122" spans="1:26" ht="39.75" customHeight="1">
      <c r="A122" s="171"/>
      <c r="B122" s="168" t="s">
        <v>219</v>
      </c>
      <c r="C122" s="168" t="s">
        <v>220</v>
      </c>
      <c r="D122" s="5">
        <v>115</v>
      </c>
      <c r="E122" s="5" t="s">
        <v>221</v>
      </c>
      <c r="F122" s="24">
        <f>TVM!F122+KLM!F122+PTA!F122+ALP!F122+KTYM!F122+IDK!F122+EKM!F122+TSR!F122+PLKD!F122+MLPM!F122+KKD!F122+WYND!F122+KNR!F122+KSRGD!F122+SHS!F122</f>
        <v>0</v>
      </c>
      <c r="G122" s="24">
        <f>TVM!G122+KLM!G122+PTA!G122+ALP!G122+KTYM!G122+IDK!G122+EKM!G122+TSR!G122+PLKD!G122+MLPM!G122+KKD!G122+WYND!G122+KNR!G122+KSRGD!G122+SHS!G122</f>
        <v>0</v>
      </c>
      <c r="H122" s="24">
        <f>TVM!H122+KLM!H122+PTA!H122+ALP!H122+KTYM!H122+IDK!H122+EKM!H122+TSR!H122+PLKD!H122+MLPM!H122+KKD!H122+WYND!H122+KNR!H122+KSRGD!H122+SHS!H122</f>
        <v>0</v>
      </c>
      <c r="I122" s="24">
        <f>TVM!I122+KLM!I122+PTA!I122+ALP!I122+KTYM!I122+IDK!I122+EKM!I122+TSR!I122+PLKD!I122+MLPM!I122+KKD!I122+WYND!I122+KNR!I122+KSRGD!I122+SHS!I122</f>
        <v>0</v>
      </c>
      <c r="J122" s="24">
        <f>TVM!J122+KLM!J122+PTA!J122+ALP!J122+KTYM!J122+IDK!J122+EKM!J122+TSR!J122+PLKD!J122+MLPM!J122+KKD!J122+WYND!J122+KNR!J122+KSRGD!J122+SHS!J122</f>
        <v>0</v>
      </c>
      <c r="K122" s="24">
        <f>TVM!K122+KLM!K122+PTA!K122+ALP!K122+KTYM!K122+IDK!K122+EKM!K122+TSR!K122+PLKD!K122+MLPM!K122+KKD!K122+WYND!K122+KNR!K122+KSRGD!K122+SHS!K122</f>
        <v>0</v>
      </c>
      <c r="L122" s="24">
        <f>TVM!L122+KLM!L122+PTA!L122+ALP!L122+KTYM!L122+IDK!L122+EKM!L122+TSR!L122+PLKD!L122+MLPM!L122+KKD!L122+WYND!L122+KNR!L122+KSRGD!L122+SHS!L122</f>
        <v>0</v>
      </c>
      <c r="M122" s="27">
        <f>TVM!M122+KLM!M122+PTA!M122+ALP!M122+KTYM!M122+IDK!M122+EKM!M122+TSR!M122+PLKD!M122+MLPM!M122+KKD!M122+WYND!M122+KNR!M122+KSRGD!M122+SHS!M122</f>
        <v>0</v>
      </c>
      <c r="N122" s="24">
        <f>TVM!N122+KLM!N122+PTA!N122+ALP!N122+KTYM!N122+IDK!N122+EKM!N122+TSR!N122+PLKD!N122+MLPM!N122+KKD!N122+WYND!N122+KNR!N122+KSRGD!N122+SHS!N122</f>
        <v>0</v>
      </c>
      <c r="O122" s="24">
        <f>TVM!O122+KLM!O122+PTA!O122+ALP!O122+KTYM!O122+IDK!O122+EKM!O122+TSR!O122+PLKD!O122+MLPM!O122+KKD!O122+WYND!O122+KNR!O122+KSRGD!O122+SHS!O122</f>
        <v>0</v>
      </c>
      <c r="P122" s="24">
        <f>TVM!P122+KLM!P122+PTA!P122+ALP!P122+KTYM!P122+IDK!P122+EKM!P122+TSR!P122+PLKD!P122+MLPM!P122+KKD!P122+WYND!P122+KNR!P122+KSRGD!P122+SHS!P122</f>
        <v>0</v>
      </c>
      <c r="Q122" s="24">
        <f>TVM!Q122+KLM!Q122+PTA!Q122+ALP!Q122+KTYM!Q122+IDK!Q122+EKM!Q122+TSR!Q122+PLKD!Q122+MLPM!Q122+KKD!Q122+WYND!Q122+KNR!Q122+KSRGD!Q122+SHS!Q122</f>
        <v>0</v>
      </c>
      <c r="R122" s="24">
        <f>TVM!R122+KLM!R122+PTA!R122+ALP!R122+KTYM!R122+IDK!R122+EKM!R122+TSR!R122+PLKD!R122+MLPM!R122+KKD!R122+WYND!R122+KNR!R122+KSRGD!R122+SHS!R122</f>
        <v>0</v>
      </c>
      <c r="S122" s="24">
        <f>TVM!S122+KLM!S122+PTA!S122+ALP!S122+KTYM!S122+IDK!S122+EKM!S122+TSR!S122+PLKD!S122+MLPM!S122+KKD!S122+WYND!S122+KNR!S122+KSRGD!S122+SHS!S122</f>
        <v>0</v>
      </c>
      <c r="T122" s="6">
        <f t="shared" si="2"/>
        <v>0</v>
      </c>
      <c r="U122" s="9"/>
      <c r="V122" s="32"/>
      <c r="W122" s="1"/>
      <c r="X122" s="1"/>
      <c r="Y122" s="1"/>
      <c r="Z122" s="1"/>
    </row>
    <row r="123" spans="1:26" ht="39.75" customHeight="1">
      <c r="A123" s="171"/>
      <c r="B123" s="171"/>
      <c r="C123" s="171"/>
      <c r="D123" s="5">
        <v>116</v>
      </c>
      <c r="E123" s="5" t="s">
        <v>222</v>
      </c>
      <c r="F123" s="24">
        <f>TVM!F123+KLM!F123+PTA!F123+ALP!F123+KTYM!F123+IDK!F123+EKM!F123+TSR!F123+PLKD!F123+MLPM!F123+KKD!F123+WYND!F123+KNR!F123+KSRGD!F123+SHS!F123</f>
        <v>0</v>
      </c>
      <c r="G123" s="24">
        <f>TVM!G123+KLM!G123+PTA!G123+ALP!G123+KTYM!G123+IDK!G123+EKM!G123+TSR!G123+PLKD!G123+MLPM!G123+KKD!G123+WYND!G123+KNR!G123+KSRGD!G123+SHS!G123</f>
        <v>0</v>
      </c>
      <c r="H123" s="24">
        <f>TVM!H123+KLM!H123+PTA!H123+ALP!H123+KTYM!H123+IDK!H123+EKM!H123+TSR!H123+PLKD!H123+MLPM!H123+KKD!H123+WYND!H123+KNR!H123+KSRGD!H123+SHS!H123</f>
        <v>0</v>
      </c>
      <c r="I123" s="24">
        <f>TVM!I123+KLM!I123+PTA!I123+ALP!I123+KTYM!I123+IDK!I123+EKM!I123+TSR!I123+PLKD!I123+MLPM!I123+KKD!I123+WYND!I123+KNR!I123+KSRGD!I123+SHS!I123</f>
        <v>0</v>
      </c>
      <c r="J123" s="24">
        <f>TVM!J123+KLM!J123+PTA!J123+ALP!J123+KTYM!J123+IDK!J123+EKM!J123+TSR!J123+PLKD!J123+MLPM!J123+KKD!J123+WYND!J123+KNR!J123+KSRGD!J123+SHS!J123</f>
        <v>0</v>
      </c>
      <c r="K123" s="24">
        <f>TVM!K123+KLM!K123+PTA!K123+ALP!K123+KTYM!K123+IDK!K123+EKM!K123+TSR!K123+PLKD!K123+MLPM!K123+KKD!K123+WYND!K123+KNR!K123+KSRGD!K123+SHS!K123</f>
        <v>0</v>
      </c>
      <c r="L123" s="24">
        <f>TVM!L123+KLM!L123+PTA!L123+ALP!L123+KTYM!L123+IDK!L123+EKM!L123+TSR!L123+PLKD!L123+MLPM!L123+KKD!L123+WYND!L123+KNR!L123+KSRGD!L123+SHS!L123</f>
        <v>0</v>
      </c>
      <c r="M123" s="27">
        <f>TVM!M123+KLM!M123+PTA!M123+ALP!M123+KTYM!M123+IDK!M123+EKM!M123+TSR!M123+PLKD!M123+MLPM!M123+KKD!M123+WYND!M123+KNR!M123+KSRGD!M123+SHS!M123</f>
        <v>175.00000000000003</v>
      </c>
      <c r="N123" s="24">
        <f>TVM!N123+KLM!N123+PTA!N123+ALP!N123+KTYM!N123+IDK!N123+EKM!N123+TSR!N123+PLKD!N123+MLPM!N123+KKD!N123+WYND!N123+KNR!N123+KSRGD!N123+SHS!N123</f>
        <v>0</v>
      </c>
      <c r="O123" s="24">
        <f>TVM!O123+KLM!O123+PTA!O123+ALP!O123+KTYM!O123+IDK!O123+EKM!O123+TSR!O123+PLKD!O123+MLPM!O123+KKD!O123+WYND!O123+KNR!O123+KSRGD!O123+SHS!O123</f>
        <v>0</v>
      </c>
      <c r="P123" s="24">
        <f>TVM!P123+KLM!P123+PTA!P123+ALP!P123+KTYM!P123+IDK!P123+EKM!P123+TSR!P123+PLKD!P123+MLPM!P123+KKD!P123+WYND!P123+KNR!P123+KSRGD!P123+SHS!P123</f>
        <v>0</v>
      </c>
      <c r="Q123" s="27">
        <f>TVM!Q123+KLM!Q123+PTA!Q123+ALP!Q123+KTYM!Q123+IDK!Q123+EKM!Q123+TSR!Q123+PLKD!Q123+MLPM!Q123+KKD!Q123+WYND!Q123+KNR!Q123+KSRGD!Q123+SHS!Q123</f>
        <v>100.00000000000001</v>
      </c>
      <c r="R123" s="24">
        <f>TVM!R123+KLM!R123+PTA!R123+ALP!R123+KTYM!R123+IDK!R123+EKM!R123+TSR!R123+PLKD!R123+MLPM!R123+KKD!R123+WYND!R123+KNR!R123+KSRGD!R123+SHS!R123</f>
        <v>0</v>
      </c>
      <c r="S123" s="24">
        <f>TVM!S123+KLM!S123+PTA!S123+ALP!S123+KTYM!S123+IDK!S123+EKM!S123+TSR!S123+PLKD!S123+MLPM!S123+KKD!S123+WYND!S123+KNR!S123+KSRGD!S123+SHS!S123</f>
        <v>0</v>
      </c>
      <c r="T123" s="6">
        <f t="shared" si="2"/>
        <v>275.00000000000006</v>
      </c>
      <c r="U123" s="9"/>
      <c r="V123" s="32"/>
      <c r="W123" s="1"/>
      <c r="X123" s="1"/>
      <c r="Y123" s="1"/>
      <c r="Z123" s="1"/>
    </row>
    <row r="124" spans="1:26" ht="39.75" customHeight="1">
      <c r="A124" s="171"/>
      <c r="B124" s="171"/>
      <c r="C124" s="171"/>
      <c r="D124" s="5">
        <v>117</v>
      </c>
      <c r="E124" s="5" t="s">
        <v>224</v>
      </c>
      <c r="F124" s="24">
        <f>TVM!F124+KLM!F124+PTA!F124+ALP!F124+KTYM!F124+IDK!F124+EKM!F124+TSR!F124+PLKD!F124+MLPM!F124+KKD!F124+WYND!F124+KNR!F124+KSRGD!F124+SHS!F124</f>
        <v>0</v>
      </c>
      <c r="G124" s="24">
        <f>TVM!G124+KLM!G124+PTA!G124+ALP!G124+KTYM!G124+IDK!G124+EKM!G124+TSR!G124+PLKD!G124+MLPM!G124+KKD!G124+WYND!G124+KNR!G124+KSRGD!G124+SHS!G124</f>
        <v>0</v>
      </c>
      <c r="H124" s="24">
        <f>TVM!H124+KLM!H124+PTA!H124+ALP!H124+KTYM!H124+IDK!H124+EKM!H124+TSR!H124+PLKD!H124+MLPM!H124+KKD!H124+WYND!H124+KNR!H124+KSRGD!H124+SHS!H124</f>
        <v>0</v>
      </c>
      <c r="I124" s="24">
        <f>TVM!I124+KLM!I124+PTA!I124+ALP!I124+KTYM!I124+IDK!I124+EKM!I124+TSR!I124+PLKD!I124+MLPM!I124+KKD!I124+WYND!I124+KNR!I124+KSRGD!I124+SHS!I124</f>
        <v>0</v>
      </c>
      <c r="J124" s="24">
        <f>TVM!J124+KLM!J124+PTA!J124+ALP!J124+KTYM!J124+IDK!J124+EKM!J124+TSR!J124+PLKD!J124+MLPM!J124+KKD!J124+WYND!J124+KNR!J124+KSRGD!J124+SHS!J124</f>
        <v>0</v>
      </c>
      <c r="K124" s="24">
        <f>TVM!K124+KLM!K124+PTA!K124+ALP!K124+KTYM!K124+IDK!K124+EKM!K124+TSR!K124+PLKD!K124+MLPM!K124+KKD!K124+WYND!K124+KNR!K124+KSRGD!K124+SHS!K124</f>
        <v>0</v>
      </c>
      <c r="L124" s="24">
        <f>TVM!L124+KLM!L124+PTA!L124+ALP!L124+KTYM!L124+IDK!L124+EKM!L124+TSR!L124+PLKD!L124+MLPM!L124+KKD!L124+WYND!L124+KNR!L124+KSRGD!L124+SHS!L124</f>
        <v>0</v>
      </c>
      <c r="M124" s="24">
        <f>TVM!M124+KLM!M124+PTA!M124+ALP!M124+KTYM!M124+IDK!M124+EKM!M124+TSR!M124+PLKD!M124+MLPM!M124+KKD!M124+WYND!M124+KNR!M124+KSRGD!M124+SHS!M124</f>
        <v>0</v>
      </c>
      <c r="N124" s="24">
        <f>TVM!N124+KLM!N124+PTA!N124+ALP!N124+KTYM!N124+IDK!N124+EKM!N124+TSR!N124+PLKD!N124+MLPM!N124+KKD!N124+WYND!N124+KNR!N124+KSRGD!N124+SHS!N124</f>
        <v>0</v>
      </c>
      <c r="O124" s="24">
        <f>TVM!O124+KLM!O124+PTA!O124+ALP!O124+KTYM!O124+IDK!O124+EKM!O124+TSR!O124+PLKD!O124+MLPM!O124+KKD!O124+WYND!O124+KNR!O124+KSRGD!O124+SHS!O124</f>
        <v>0</v>
      </c>
      <c r="P124" s="24">
        <f>TVM!P124+KLM!P124+PTA!P124+ALP!P124+KTYM!P124+IDK!P124+EKM!P124+TSR!P124+PLKD!P124+MLPM!P124+KKD!P124+WYND!P124+KNR!P124+KSRGD!P124+SHS!P124</f>
        <v>0</v>
      </c>
      <c r="Q124" s="24">
        <f>TVM!Q124+KLM!Q124+PTA!Q124+ALP!Q124+KTYM!Q124+IDK!Q124+EKM!Q124+TSR!Q124+PLKD!Q124+MLPM!Q124+KKD!Q124+WYND!Q124+KNR!Q124+KSRGD!Q124+SHS!Q124</f>
        <v>0</v>
      </c>
      <c r="R124" s="24">
        <f>TVM!R124+KLM!R124+PTA!R124+ALP!R124+KTYM!R124+IDK!R124+EKM!R124+TSR!R124+PLKD!R124+MLPM!R124+KKD!R124+WYND!R124+KNR!R124+KSRGD!R124+SHS!R124</f>
        <v>0</v>
      </c>
      <c r="S124" s="24">
        <f>TVM!S124+KLM!S124+PTA!S124+ALP!S124+KTYM!S124+IDK!S124+EKM!S124+TSR!S124+PLKD!S124+MLPM!S124+KKD!S124+WYND!S124+KNR!S124+KSRGD!S124+SHS!S124</f>
        <v>0</v>
      </c>
      <c r="T124" s="6">
        <f t="shared" si="2"/>
        <v>0</v>
      </c>
      <c r="U124" s="9"/>
      <c r="V124" s="32"/>
      <c r="W124" s="1"/>
      <c r="X124" s="1"/>
      <c r="Y124" s="1"/>
      <c r="Z124" s="1"/>
    </row>
    <row r="125" spans="1:26" ht="39.75" customHeight="1">
      <c r="A125" s="171"/>
      <c r="B125" s="169"/>
      <c r="C125" s="169"/>
      <c r="D125" s="5">
        <v>118</v>
      </c>
      <c r="E125" s="5" t="s">
        <v>54</v>
      </c>
      <c r="F125" s="24">
        <f>TVM!F125+KLM!F125+PTA!F125+ALP!F125+KTYM!F125+IDK!F125+EKM!F125+TSR!F125+PLKD!F125+MLPM!F125+KKD!F125+WYND!F125+KNR!F125+KSRGD!F125+SHS!F125</f>
        <v>0</v>
      </c>
      <c r="G125" s="24">
        <f>TVM!G125+KLM!G125+PTA!G125+ALP!G125+KTYM!G125+IDK!G125+EKM!G125+TSR!G125+PLKD!G125+MLPM!G125+KKD!G125+WYND!G125+KNR!G125+KSRGD!G125+SHS!G125</f>
        <v>0</v>
      </c>
      <c r="H125" s="24">
        <f>TVM!H125+KLM!H125+PTA!H125+ALP!H125+KTYM!H125+IDK!H125+EKM!H125+TSR!H125+PLKD!H125+MLPM!H125+KKD!H125+WYND!H125+KNR!H125+KSRGD!H125+SHS!H125</f>
        <v>0</v>
      </c>
      <c r="I125" s="24">
        <f>TVM!I125+KLM!I125+PTA!I125+ALP!I125+KTYM!I125+IDK!I125+EKM!I125+TSR!I125+PLKD!I125+MLPM!I125+KKD!I125+WYND!I125+KNR!I125+KSRGD!I125+SHS!I125</f>
        <v>0</v>
      </c>
      <c r="J125" s="24">
        <f>TVM!J125+KLM!J125+PTA!J125+ALP!J125+KTYM!J125+IDK!J125+EKM!J125+TSR!J125+PLKD!J125+MLPM!J125+KKD!J125+WYND!J125+KNR!J125+KSRGD!J125+SHS!J125</f>
        <v>0</v>
      </c>
      <c r="K125" s="24">
        <f>TVM!K125+KLM!K125+PTA!K125+ALP!K125+KTYM!K125+IDK!K125+EKM!K125+TSR!K125+PLKD!K125+MLPM!K125+KKD!K125+WYND!K125+KNR!K125+KSRGD!K125+SHS!K125</f>
        <v>0</v>
      </c>
      <c r="L125" s="24">
        <f>TVM!L125+KLM!L125+PTA!L125+ALP!L125+KTYM!L125+IDK!L125+EKM!L125+TSR!L125+PLKD!L125+MLPM!L125+KKD!L125+WYND!L125+KNR!L125+KSRGD!L125+SHS!L125</f>
        <v>0</v>
      </c>
      <c r="M125" s="24">
        <f>TVM!M125+KLM!M125+PTA!M125+ALP!M125+KTYM!M125+IDK!M125+EKM!M125+TSR!M125+PLKD!M125+MLPM!M125+KKD!M125+WYND!M125+KNR!M125+KSRGD!M125+SHS!M125</f>
        <v>0</v>
      </c>
      <c r="N125" s="24">
        <f>TVM!N125+KLM!N125+PTA!N125+ALP!N125+KTYM!N125+IDK!N125+EKM!N125+TSR!N125+PLKD!N125+MLPM!N125+KKD!N125+WYND!N125+KNR!N125+KSRGD!N125+SHS!N125</f>
        <v>0</v>
      </c>
      <c r="O125" s="24">
        <f>TVM!O125+KLM!O125+PTA!O125+ALP!O125+KTYM!O125+IDK!O125+EKM!O125+TSR!O125+PLKD!O125+MLPM!O125+KKD!O125+WYND!O125+KNR!O125+KSRGD!O125+SHS!O125</f>
        <v>0</v>
      </c>
      <c r="P125" s="24">
        <f>TVM!P125+KLM!P125+PTA!P125+ALP!P125+KTYM!P125+IDK!P125+EKM!P125+TSR!P125+PLKD!P125+MLPM!P125+KKD!P125+WYND!P125+KNR!P125+KSRGD!P125+SHS!P125</f>
        <v>0</v>
      </c>
      <c r="Q125" s="27">
        <f>TVM!Q125+KLM!Q125+PTA!Q125+ALP!Q125+KTYM!Q125+IDK!Q125+EKM!Q125+TSR!Q125+PLKD!Q125+MLPM!Q125+KKD!Q125+WYND!Q125+KNR!Q125+KSRGD!Q125+SHS!Q125</f>
        <v>0</v>
      </c>
      <c r="R125" s="24">
        <f>TVM!R125+KLM!R125+PTA!R125+ALP!R125+KTYM!R125+IDK!R125+EKM!R125+TSR!R125+PLKD!R125+MLPM!R125+KKD!R125+WYND!R125+KNR!R125+KSRGD!R125+SHS!R125</f>
        <v>0</v>
      </c>
      <c r="S125" s="24">
        <f>TVM!S125+KLM!S125+PTA!S125+ALP!S125+KTYM!S125+IDK!S125+EKM!S125+TSR!S125+PLKD!S125+MLPM!S125+KKD!S125+WYND!S125+KNR!S125+KSRGD!S125+SHS!S125</f>
        <v>0</v>
      </c>
      <c r="T125" s="6">
        <f t="shared" si="2"/>
        <v>0</v>
      </c>
      <c r="U125" s="9"/>
      <c r="V125" s="32"/>
      <c r="W125" s="1"/>
      <c r="X125" s="1"/>
      <c r="Y125" s="1"/>
      <c r="Z125" s="1"/>
    </row>
    <row r="126" spans="1:26" ht="39.75" customHeight="1">
      <c r="A126" s="171"/>
      <c r="B126" s="5" t="s">
        <v>225</v>
      </c>
      <c r="C126" s="5" t="s">
        <v>226</v>
      </c>
      <c r="D126" s="5">
        <v>119</v>
      </c>
      <c r="E126" s="5" t="s">
        <v>227</v>
      </c>
      <c r="F126" s="24">
        <f>TVM!F126+KLM!F126+PTA!F126+ALP!F126+KTYM!F126+IDK!F126+EKM!F126+TSR!F126+PLKD!F126+MLPM!F126+KKD!F126+WYND!F126+KNR!F126+KSRGD!F126+SHS!F126</f>
        <v>0</v>
      </c>
      <c r="G126" s="24">
        <f>TVM!G126+KLM!G126+PTA!G126+ALP!G126+KTYM!G126+IDK!G126+EKM!G126+TSR!G126+PLKD!G126+MLPM!G126+KKD!G126+WYND!G126+KNR!G126+KSRGD!G126+SHS!G126</f>
        <v>0</v>
      </c>
      <c r="H126" s="31">
        <f>TVM!H126+KLM!H126+PTA!H126+ALP!H126+KTYM!H126+IDK!H126+EKM!H126+TSR!H126+PLKD!H126+MLPM!H126+KKD!H126+WYND!H126+KNR!H126+KSRGD!H126+SHS!H126</f>
        <v>42</v>
      </c>
      <c r="I126" s="27">
        <f>TVM!I126+KLM!I126+PTA!I126+ALP!I126+KTYM!I126+IDK!I126+EKM!I126+TSR!I126+PLKD!I126+MLPM!I126+KKD!I126+WYND!I126+KNR!I126+KSRGD!I126+SHS!I126</f>
        <v>14</v>
      </c>
      <c r="J126" s="24">
        <f>TVM!J126+KLM!J126+PTA!J126+ALP!J126+KTYM!J126+IDK!J126+EKM!J126+TSR!J126+PLKD!J126+MLPM!J126+KKD!J126+WYND!J126+KNR!J126+KSRGD!J126+SHS!J126</f>
        <v>0</v>
      </c>
      <c r="K126" s="24">
        <f>TVM!K126+KLM!K126+PTA!K126+ALP!K126+KTYM!K126+IDK!K126+EKM!K126+TSR!K126+PLKD!K126+MLPM!K126+KKD!K126+WYND!K126+KNR!K126+KSRGD!K126+SHS!K126</f>
        <v>0</v>
      </c>
      <c r="L126" s="24">
        <f>TVM!L126+KLM!L126+PTA!L126+ALP!L126+KTYM!L126+IDK!L126+EKM!L126+TSR!L126+PLKD!L126+MLPM!L126+KKD!L126+WYND!L126+KNR!L126+KSRGD!L126+SHS!L126</f>
        <v>0</v>
      </c>
      <c r="M126" s="24">
        <f>TVM!M126+KLM!M126+PTA!M126+ALP!M126+KTYM!M126+IDK!M126+EKM!M126+TSR!M126+PLKD!M126+MLPM!M126+KKD!M126+WYND!M126+KNR!M126+KSRGD!M126+SHS!M126</f>
        <v>0</v>
      </c>
      <c r="N126" s="27">
        <f>TVM!N126+KLM!N126+PTA!N126+ALP!N126+KTYM!N126+IDK!N126+EKM!N126+TSR!N126+PLKD!N126+MLPM!N126+KKD!N126+WYND!N126+KNR!N126+KSRGD!N126+SHS!N126</f>
        <v>14</v>
      </c>
      <c r="O126" s="24">
        <f>TVM!O126+KLM!O126+PTA!O126+ALP!O126+KTYM!O126+IDK!O126+EKM!O126+TSR!O126+PLKD!O126+MLPM!O126+KKD!O126+WYND!O126+KNR!O126+KSRGD!O126+SHS!O126</f>
        <v>0</v>
      </c>
      <c r="P126" s="31">
        <f>TVM!P126+KLM!P126+PTA!P126+ALP!P126+KTYM!P126+IDK!P126+EKM!P126+TSR!P126+PLKD!P126+MLPM!P126+KKD!P126+WYND!P126+KNR!P126+KSRGD!P126+SHS!P126</f>
        <v>112</v>
      </c>
      <c r="Q126" s="27">
        <f>TVM!Q126+KLM!Q126+PTA!Q126+ALP!Q126+KTYM!Q126+IDK!Q126+EKM!Q126+TSR!Q126+PLKD!Q126+MLPM!Q126+KKD!Q126+WYND!Q126+KNR!Q126+KSRGD!Q126+SHS!Q126</f>
        <v>38</v>
      </c>
      <c r="R126" s="24">
        <f>TVM!R126+KLM!R126+PTA!R126+ALP!R126+KTYM!R126+IDK!R126+EKM!R126+TSR!R126+PLKD!R126+MLPM!R126+KKD!R126+WYND!R126+KNR!R126+KSRGD!R126+SHS!R126</f>
        <v>0</v>
      </c>
      <c r="S126" s="24">
        <f>TVM!S126+KLM!S126+PTA!S126+ALP!S126+KTYM!S126+IDK!S126+EKM!S126+TSR!S126+PLKD!S126+MLPM!S126+KKD!S126+WYND!S126+KNR!S126+KSRGD!S126+SHS!S126</f>
        <v>0</v>
      </c>
      <c r="T126" s="6">
        <f t="shared" si="2"/>
        <v>220</v>
      </c>
      <c r="U126" s="9"/>
      <c r="V126" s="32"/>
      <c r="W126" s="1"/>
      <c r="X126" s="1"/>
      <c r="Y126" s="1"/>
      <c r="Z126" s="1"/>
    </row>
    <row r="127" spans="1:26" ht="39.75" customHeight="1">
      <c r="A127" s="171"/>
      <c r="B127" s="5" t="s">
        <v>228</v>
      </c>
      <c r="C127" s="5" t="s">
        <v>229</v>
      </c>
      <c r="D127" s="5">
        <v>120</v>
      </c>
      <c r="E127" s="5" t="s">
        <v>230</v>
      </c>
      <c r="F127" s="24">
        <f>TVM!F127+KLM!F127+PTA!F127+ALP!F127+KTYM!F127+IDK!F127+EKM!F127+TSR!F127+PLKD!F127+MLPM!F127+KKD!F127+WYND!F127+KNR!F127+KSRGD!F127+SHS!F127</f>
        <v>0</v>
      </c>
      <c r="G127" s="24">
        <f>TVM!G127+KLM!G127+PTA!G127+ALP!G127+KTYM!G127+IDK!G127+EKM!G127+TSR!G127+PLKD!G127+MLPM!G127+KKD!G127+WYND!G127+KNR!G127+KSRGD!G127+SHS!G127</f>
        <v>0</v>
      </c>
      <c r="H127" s="24">
        <f>TVM!H127+KLM!H127+PTA!H127+ALP!H127+KTYM!H127+IDK!H127+EKM!H127+TSR!H127+PLKD!H127+MLPM!H127+KKD!H127+WYND!H127+KNR!H127+KSRGD!H127+SHS!H127</f>
        <v>0</v>
      </c>
      <c r="I127" s="24">
        <f>TVM!I127+KLM!I127+PTA!I127+ALP!I127+KTYM!I127+IDK!I127+EKM!I127+TSR!I127+PLKD!I127+MLPM!I127+KKD!I127+WYND!I127+KNR!I127+KSRGD!I127+SHS!I127</f>
        <v>0</v>
      </c>
      <c r="J127" s="24">
        <f>TVM!J127+KLM!J127+PTA!J127+ALP!J127+KTYM!J127+IDK!J127+EKM!J127+TSR!J127+PLKD!J127+MLPM!J127+KKD!J127+WYND!J127+KNR!J127+KSRGD!J127+SHS!J127</f>
        <v>0</v>
      </c>
      <c r="K127" s="31">
        <f>TVM!K127+KLM!K127+PTA!K127+ALP!K127+KTYM!K127+IDK!K127+EKM!K127+TSR!K127+PLKD!K127+MLPM!K127+KKD!K127+WYND!K127+KNR!K127+KSRGD!K127+SHS!K127</f>
        <v>2</v>
      </c>
      <c r="L127" s="24">
        <f>TVM!L127+KLM!L127+PTA!L127+ALP!L127+KTYM!L127+IDK!L127+EKM!L127+TSR!L127+PLKD!L127+MLPM!L127+KKD!L127+WYND!L127+KNR!L127+KSRGD!L127+SHS!L127</f>
        <v>0</v>
      </c>
      <c r="M127" s="31">
        <f>TVM!M127+KLM!M127+PTA!M127+ALP!M127+KTYM!M127+IDK!M127+EKM!M127+TSR!M127+PLKD!M127+MLPM!M127+KKD!M127+WYND!M127+KNR!M127+KSRGD!M127+SHS!M127</f>
        <v>3.36</v>
      </c>
      <c r="N127" s="27">
        <f>TVM!N127+KLM!N127+PTA!N127+ALP!N127+KTYM!N127+IDK!N127+EKM!N127+TSR!N127+PLKD!N127+MLPM!N127+KKD!N127+WYND!N127+KNR!N127+KSRGD!N127+SHS!N127</f>
        <v>0</v>
      </c>
      <c r="O127" s="24">
        <f>TVM!O127+KLM!O127+PTA!O127+ALP!O127+KTYM!O127+IDK!O127+EKM!O127+TSR!O127+PLKD!O127+MLPM!O127+KKD!O127+WYND!O127+KNR!O127+KSRGD!O127+SHS!O127</f>
        <v>0</v>
      </c>
      <c r="P127" s="31">
        <f>TVM!P127+KLM!P127+PTA!P127+ALP!P127+KTYM!P127+IDK!P127+EKM!P127+TSR!P127+PLKD!P127+MLPM!P127+KKD!P127+WYND!P127+KNR!P127+KSRGD!P127+SHS!P127</f>
        <v>0</v>
      </c>
      <c r="Q127" s="27">
        <f>TVM!Q127+KLM!Q127+PTA!Q127+ALP!Q127+KTYM!Q127+IDK!Q127+EKM!Q127+TSR!Q127+PLKD!Q127+MLPM!Q127+KKD!Q127+WYND!Q127+KNR!Q127+KSRGD!Q127+SHS!Q127</f>
        <v>6</v>
      </c>
      <c r="R127" s="31">
        <f>TVM!R127+KLM!R127+PTA!R127+ALP!R127+KTYM!R127+IDK!R127+EKM!R127+TSR!R127+PLKD!R127+MLPM!R127+KKD!R127+WYND!R127+KNR!R127+KSRGD!R127+SHS!R127</f>
        <v>3.2</v>
      </c>
      <c r="S127" s="24">
        <f>TVM!S127+KLM!S127+PTA!S127+ALP!S127+KTYM!S127+IDK!S127+EKM!S127+TSR!S127+PLKD!S127+MLPM!S127+KKD!S127+WYND!S127+KNR!S127+KSRGD!S127+SHS!S127</f>
        <v>0</v>
      </c>
      <c r="T127" s="6">
        <f t="shared" si="2"/>
        <v>14.559999999999999</v>
      </c>
      <c r="U127" s="9"/>
      <c r="V127" s="32"/>
      <c r="W127" s="1"/>
      <c r="X127" s="1"/>
      <c r="Y127" s="1"/>
      <c r="Z127" s="1"/>
    </row>
    <row r="128" spans="1:26" ht="39.75" customHeight="1">
      <c r="A128" s="171"/>
      <c r="B128" s="168" t="s">
        <v>231</v>
      </c>
      <c r="C128" s="168" t="s">
        <v>232</v>
      </c>
      <c r="D128" s="5">
        <v>121</v>
      </c>
      <c r="E128" s="5" t="s">
        <v>233</v>
      </c>
      <c r="F128" s="24">
        <f>TVM!F128+KLM!F128+PTA!F128+ALP!F128+KTYM!F128+IDK!F128+EKM!F128+TSR!F128+PLKD!F128+MLPM!F128+KKD!F128+WYND!F128+KNR!F128+KSRGD!F128+SHS!F128</f>
        <v>0</v>
      </c>
      <c r="G128" s="24">
        <f>TVM!G128+KLM!G128+PTA!G128+ALP!G128+KTYM!G128+IDK!G128+EKM!G128+TSR!G128+PLKD!G128+MLPM!G128+KKD!G128+WYND!G128+KNR!G128+KSRGD!G128+SHS!G128</f>
        <v>0</v>
      </c>
      <c r="H128" s="24">
        <f>TVM!H128+KLM!H128+PTA!H128+ALP!H128+KTYM!H128+IDK!H128+EKM!H128+TSR!H128+PLKD!H128+MLPM!H128+KKD!H128+WYND!H128+KNR!H128+KSRGD!H128+SHS!H128</f>
        <v>0</v>
      </c>
      <c r="I128" s="27">
        <f>TVM!I128+KLM!I128+PTA!I128+ALP!I128+KTYM!I128+IDK!I128+EKM!I128+TSR!I128+PLKD!I128+MLPM!I128+KKD!I128+WYND!I128+KNR!I128+KSRGD!I128+SHS!I128</f>
        <v>148</v>
      </c>
      <c r="J128" s="24">
        <f>TVM!J128+KLM!J128+PTA!J128+ALP!J128+KTYM!J128+IDK!J128+EKM!J128+TSR!J128+PLKD!J128+MLPM!J128+KKD!J128+WYND!J128+KNR!J128+KSRGD!J128+SHS!J128</f>
        <v>0</v>
      </c>
      <c r="K128" s="24">
        <f>TVM!K128+KLM!K128+PTA!K128+ALP!K128+KTYM!K128+IDK!K128+EKM!K128+TSR!K128+PLKD!K128+MLPM!K128+KKD!K128+WYND!K128+KNR!K128+KSRGD!K128+SHS!K128</f>
        <v>0</v>
      </c>
      <c r="L128" s="24">
        <f>TVM!L128+KLM!L128+PTA!L128+ALP!L128+KTYM!L128+IDK!L128+EKM!L128+TSR!L128+PLKD!L128+MLPM!L128+KKD!L128+WYND!L128+KNR!L128+KSRGD!L128+SHS!L128</f>
        <v>0</v>
      </c>
      <c r="M128" s="24">
        <f>TVM!M128+KLM!M128+PTA!M128+ALP!M128+KTYM!M128+IDK!M128+EKM!M128+TSR!M128+PLKD!M128+MLPM!M128+KKD!M128+WYND!M128+KNR!M128+KSRGD!M128+SHS!M128</f>
        <v>0</v>
      </c>
      <c r="N128" s="24">
        <f>TVM!N128+KLM!N128+PTA!N128+ALP!N128+KTYM!N128+IDK!N128+EKM!N128+TSR!N128+PLKD!N128+MLPM!N128+KKD!N128+WYND!N128+KNR!N128+KSRGD!N128+SHS!N128</f>
        <v>0</v>
      </c>
      <c r="O128" s="24">
        <f>TVM!O128+KLM!O128+PTA!O128+ALP!O128+KTYM!O128+IDK!O128+EKM!O128+TSR!O128+PLKD!O128+MLPM!O128+KKD!O128+WYND!O128+KNR!O128+KSRGD!O128+SHS!O128</f>
        <v>0</v>
      </c>
      <c r="P128" s="24">
        <f>TVM!P128+KLM!P128+PTA!P128+ALP!P128+KTYM!P128+IDK!P128+EKM!P128+TSR!P128+PLKD!P128+MLPM!P128+KKD!P128+WYND!P128+KNR!P128+KSRGD!P128+SHS!P128</f>
        <v>0</v>
      </c>
      <c r="Q128" s="24">
        <f>TVM!Q128+KLM!Q128+PTA!Q128+ALP!Q128+KTYM!Q128+IDK!Q128+EKM!Q128+TSR!Q128+PLKD!Q128+MLPM!Q128+KKD!Q128+WYND!Q128+KNR!Q128+KSRGD!Q128+SHS!Q128</f>
        <v>0</v>
      </c>
      <c r="R128" s="24">
        <f>TVM!R128+KLM!R128+PTA!R128+ALP!R128+KTYM!R128+IDK!R128+EKM!R128+TSR!R128+PLKD!R128+MLPM!R128+KKD!R128+WYND!R128+KNR!R128+KSRGD!R128+SHS!R128</f>
        <v>0</v>
      </c>
      <c r="S128" s="24">
        <f>TVM!S128+KLM!S128+PTA!S128+ALP!S128+KTYM!S128+IDK!S128+EKM!S128+TSR!S128+PLKD!S128+MLPM!S128+KKD!S128+WYND!S128+KNR!S128+KSRGD!S128+SHS!S128</f>
        <v>0</v>
      </c>
      <c r="T128" s="6">
        <f t="shared" si="2"/>
        <v>148</v>
      </c>
      <c r="U128" s="10"/>
      <c r="V128" s="32"/>
      <c r="W128" s="1"/>
      <c r="X128" s="1"/>
      <c r="Y128" s="1"/>
      <c r="Z128" s="1"/>
    </row>
    <row r="129" spans="1:26" ht="39.75" customHeight="1">
      <c r="A129" s="171"/>
      <c r="B129" s="171"/>
      <c r="C129" s="171"/>
      <c r="D129" s="5">
        <v>122</v>
      </c>
      <c r="E129" s="5" t="s">
        <v>234</v>
      </c>
      <c r="F129" s="24">
        <f>TVM!F129+KLM!F129+PTA!F129+ALP!F129+KTYM!F129+IDK!F129+EKM!F129+TSR!F129+PLKD!F129+MLPM!F129+KKD!F129+WYND!F129+KNR!F129+KSRGD!F129+SHS!F129</f>
        <v>0</v>
      </c>
      <c r="G129" s="24">
        <f>TVM!G129+KLM!G129+PTA!G129+ALP!G129+KTYM!G129+IDK!G129+EKM!G129+TSR!G129+PLKD!G129+MLPM!G129+KKD!G129+WYND!G129+KNR!G129+KSRGD!G129+SHS!G129</f>
        <v>0</v>
      </c>
      <c r="H129" s="24">
        <f>TVM!H129+KLM!H129+PTA!H129+ALP!H129+KTYM!H129+IDK!H129+EKM!H129+TSR!H129+PLKD!H129+MLPM!H129+KKD!H129+WYND!H129+KNR!H129+KSRGD!H129+SHS!H129</f>
        <v>0</v>
      </c>
      <c r="I129" s="24">
        <f>TVM!I129+KLM!I129+PTA!I129+ALP!I129+KTYM!I129+IDK!I129+EKM!I129+TSR!I129+PLKD!I129+MLPM!I129+KKD!I129+WYND!I129+KNR!I129+KSRGD!I129+SHS!I129</f>
        <v>0</v>
      </c>
      <c r="J129" s="24">
        <f>TVM!J129+KLM!J129+PTA!J129+ALP!J129+KTYM!J129+IDK!J129+EKM!J129+TSR!J129+PLKD!J129+MLPM!J129+KKD!J129+WYND!J129+KNR!J129+KSRGD!J129+SHS!J129</f>
        <v>0</v>
      </c>
      <c r="K129" s="24">
        <f>TVM!K129+KLM!K129+PTA!K129+ALP!K129+KTYM!K129+IDK!K129+EKM!K129+TSR!K129+PLKD!K129+MLPM!K129+KKD!K129+WYND!K129+KNR!K129+KSRGD!K129+SHS!K129</f>
        <v>0</v>
      </c>
      <c r="L129" s="24">
        <f>TVM!L129+KLM!L129+PTA!L129+ALP!L129+KTYM!L129+IDK!L129+EKM!L129+TSR!L129+PLKD!L129+MLPM!L129+KKD!L129+WYND!L129+KNR!L129+KSRGD!L129+SHS!L129</f>
        <v>0</v>
      </c>
      <c r="M129" s="24">
        <f>TVM!M129+KLM!M129+PTA!M129+ALP!M129+KTYM!M129+IDK!M129+EKM!M129+TSR!M129+PLKD!M129+MLPM!M129+KKD!M129+WYND!M129+KNR!M129+KSRGD!M129+SHS!M129</f>
        <v>0</v>
      </c>
      <c r="N129" s="24">
        <f>TVM!N129+KLM!N129+PTA!N129+ALP!N129+KTYM!N129+IDK!N129+EKM!N129+TSR!N129+PLKD!N129+MLPM!N129+KKD!N129+WYND!N129+KNR!N129+KSRGD!N129+SHS!N129</f>
        <v>0</v>
      </c>
      <c r="O129" s="24">
        <f>TVM!O129+KLM!O129+PTA!O129+ALP!O129+KTYM!O129+IDK!O129+EKM!O129+TSR!O129+PLKD!O129+MLPM!O129+KKD!O129+WYND!O129+KNR!O129+KSRGD!O129+SHS!O129</f>
        <v>0</v>
      </c>
      <c r="P129" s="24">
        <f>TVM!P129+KLM!P129+PTA!P129+ALP!P129+KTYM!P129+IDK!P129+EKM!P129+TSR!P129+PLKD!P129+MLPM!P129+KKD!P129+WYND!P129+KNR!P129+KSRGD!P129+SHS!P129</f>
        <v>0</v>
      </c>
      <c r="Q129" s="24">
        <f>TVM!Q129+KLM!Q129+PTA!Q129+ALP!Q129+KTYM!Q129+IDK!Q129+EKM!Q129+TSR!Q129+PLKD!Q129+MLPM!Q129+KKD!Q129+WYND!Q129+KNR!Q129+KSRGD!Q129+SHS!Q129</f>
        <v>0</v>
      </c>
      <c r="R129" s="24">
        <f>TVM!R129+KLM!R129+PTA!R129+ALP!R129+KTYM!R129+IDK!R129+EKM!R129+TSR!R129+PLKD!R129+MLPM!R129+KKD!R129+WYND!R129+KNR!R129+KSRGD!R129+SHS!R129</f>
        <v>0</v>
      </c>
      <c r="S129" s="24">
        <f>TVM!S129+KLM!S129+PTA!S129+ALP!S129+KTYM!S129+IDK!S129+EKM!S129+TSR!S129+PLKD!S129+MLPM!S129+KKD!S129+WYND!S129+KNR!S129+KSRGD!S129+SHS!S129</f>
        <v>0</v>
      </c>
      <c r="T129" s="6">
        <f t="shared" si="2"/>
        <v>0</v>
      </c>
      <c r="U129" s="10"/>
      <c r="V129" s="32"/>
      <c r="W129" s="1"/>
      <c r="X129" s="1"/>
      <c r="Y129" s="1"/>
      <c r="Z129" s="1"/>
    </row>
    <row r="130" spans="1:26" ht="39.75" customHeight="1">
      <c r="A130" s="171"/>
      <c r="B130" s="169"/>
      <c r="C130" s="169"/>
      <c r="D130" s="5">
        <v>123</v>
      </c>
      <c r="E130" s="5" t="s">
        <v>235</v>
      </c>
      <c r="F130" s="24">
        <f>TVM!F130+KLM!F130+PTA!F130+ALP!F130+KTYM!F130+IDK!F130+EKM!F130+TSR!F130+PLKD!F130+MLPM!F130+KKD!F130+WYND!F130+KNR!F130+KSRGD!F130+SHS!F130</f>
        <v>0</v>
      </c>
      <c r="G130" s="24">
        <f>TVM!G130+KLM!G130+PTA!G130+ALP!G130+KTYM!G130+IDK!G130+EKM!G130+TSR!G130+PLKD!G130+MLPM!G130+KKD!G130+WYND!G130+KNR!G130+KSRGD!G130+SHS!G130</f>
        <v>0</v>
      </c>
      <c r="H130" s="24">
        <f>TVM!H130+KLM!H130+PTA!H130+ALP!H130+KTYM!H130+IDK!H130+EKM!H130+TSR!H130+PLKD!H130+MLPM!H130+KKD!H130+WYND!H130+KNR!H130+KSRGD!H130+SHS!H130</f>
        <v>0</v>
      </c>
      <c r="I130" s="24">
        <f>TVM!I130+KLM!I130+PTA!I130+ALP!I130+KTYM!I130+IDK!I130+EKM!I130+TSR!I130+PLKD!I130+MLPM!I130+KKD!I130+WYND!I130+KNR!I130+KSRGD!I130+SHS!I130</f>
        <v>0</v>
      </c>
      <c r="J130" s="24">
        <f>TVM!J130+KLM!J130+PTA!J130+ALP!J130+KTYM!J130+IDK!J130+EKM!J130+TSR!J130+PLKD!J130+MLPM!J130+KKD!J130+WYND!J130+KNR!J130+KSRGD!J130+SHS!J130</f>
        <v>0</v>
      </c>
      <c r="K130" s="24">
        <f>TVM!K130+KLM!K130+PTA!K130+ALP!K130+KTYM!K130+IDK!K130+EKM!K130+TSR!K130+PLKD!K130+MLPM!K130+KKD!K130+WYND!K130+KNR!K130+KSRGD!K130+SHS!K130</f>
        <v>0</v>
      </c>
      <c r="L130" s="24">
        <f>TVM!L130+KLM!L130+PTA!L130+ALP!L130+KTYM!L130+IDK!L130+EKM!L130+TSR!L130+PLKD!L130+MLPM!L130+KKD!L130+WYND!L130+KNR!L130+KSRGD!L130+SHS!L130</f>
        <v>0</v>
      </c>
      <c r="M130" s="24">
        <f>TVM!M130+KLM!M130+PTA!M130+ALP!M130+KTYM!M130+IDK!M130+EKM!M130+TSR!M130+PLKD!M130+MLPM!M130+KKD!M130+WYND!M130+KNR!M130+KSRGD!M130+SHS!M130</f>
        <v>0</v>
      </c>
      <c r="N130" s="24">
        <f>TVM!N130+KLM!N130+PTA!N130+ALP!N130+KTYM!N130+IDK!N130+EKM!N130+TSR!N130+PLKD!N130+MLPM!N130+KKD!N130+WYND!N130+KNR!N130+KSRGD!N130+SHS!N130</f>
        <v>0</v>
      </c>
      <c r="O130" s="24">
        <f>TVM!O130+KLM!O130+PTA!O130+ALP!O130+KTYM!O130+IDK!O130+EKM!O130+TSR!O130+PLKD!O130+MLPM!O130+KKD!O130+WYND!O130+KNR!O130+KSRGD!O130+SHS!O130</f>
        <v>0</v>
      </c>
      <c r="P130" s="31">
        <f>TVM!P130+KLM!P130+PTA!P130+ALP!P130+KTYM!P130+IDK!P130+EKM!P130+TSR!P130+PLKD!P130+MLPM!P130+KKD!P130+WYND!P130+KNR!P130+KSRGD!P130+SHS!P130</f>
        <v>0</v>
      </c>
      <c r="Q130" s="27">
        <f>TVM!Q130+KLM!Q130+PTA!Q130+ALP!Q130+KTYM!Q130+IDK!Q130+EKM!Q130+TSR!Q130+PLKD!Q130+MLPM!Q130+KKD!Q130+WYND!Q130+KNR!Q130+KSRGD!Q130+SHS!Q130</f>
        <v>48</v>
      </c>
      <c r="R130" s="24">
        <f>TVM!R130+KLM!R130+PTA!R130+ALP!R130+KTYM!R130+IDK!R130+EKM!R130+TSR!R130+PLKD!R130+MLPM!R130+KKD!R130+WYND!R130+KNR!R130+KSRGD!R130+SHS!R130</f>
        <v>0</v>
      </c>
      <c r="S130" s="24">
        <f>TVM!S130+KLM!S130+PTA!S130+ALP!S130+KTYM!S130+IDK!S130+EKM!S130+TSR!S130+PLKD!S130+MLPM!S130+KKD!S130+WYND!S130+KNR!S130+KSRGD!S130+SHS!S130</f>
        <v>0</v>
      </c>
      <c r="T130" s="6">
        <f t="shared" si="2"/>
        <v>48</v>
      </c>
      <c r="U130" s="10"/>
      <c r="V130" s="32"/>
      <c r="W130" s="1"/>
      <c r="X130" s="1"/>
      <c r="Y130" s="1"/>
      <c r="Z130" s="1"/>
    </row>
    <row r="131" spans="1:26" ht="39.75" customHeight="1">
      <c r="A131" s="171"/>
      <c r="B131" s="168" t="s">
        <v>237</v>
      </c>
      <c r="C131" s="168" t="s">
        <v>238</v>
      </c>
      <c r="D131" s="5">
        <v>124</v>
      </c>
      <c r="E131" s="5" t="s">
        <v>239</v>
      </c>
      <c r="F131" s="24">
        <f>TVM!F131+KLM!F131+PTA!F131+ALP!F131+KTYM!F131+IDK!F131+EKM!F131+TSR!F131+PLKD!F131+MLPM!F131+KKD!F131+WYND!F131+KNR!F131+KSRGD!F131+SHS!F131</f>
        <v>0</v>
      </c>
      <c r="G131" s="24">
        <f>TVM!G131+KLM!G131+PTA!G131+ALP!G131+KTYM!G131+IDK!G131+EKM!G131+TSR!G131+PLKD!G131+MLPM!G131+KKD!G131+WYND!G131+KNR!G131+KSRGD!G131+SHS!G131</f>
        <v>79.95</v>
      </c>
      <c r="H131" s="31">
        <f>TVM!H131+KLM!H131+PTA!H131+ALP!H131+KTYM!H131+IDK!H131+EKM!H131+TSR!H131+PLKD!H131+MLPM!H131+KKD!H131+WYND!H131+KNR!H131+KSRGD!H131+SHS!H131</f>
        <v>60</v>
      </c>
      <c r="I131" s="24">
        <f>TVM!I131+KLM!I131+PTA!I131+ALP!I131+KTYM!I131+IDK!I131+EKM!I131+TSR!I131+PLKD!I131+MLPM!I131+KKD!I131+WYND!I131+KNR!I131+KSRGD!I131+SHS!I131</f>
        <v>0</v>
      </c>
      <c r="J131" s="24">
        <f>TVM!J131+KLM!J131+PTA!J131+ALP!J131+KTYM!J131+IDK!J131+EKM!J131+TSR!J131+PLKD!J131+MLPM!J131+KKD!J131+WYND!J131+KNR!J131+KSRGD!J131+SHS!J131</f>
        <v>0</v>
      </c>
      <c r="K131" s="24">
        <f>TVM!K131+KLM!K131+PTA!K131+ALP!K131+KTYM!K131+IDK!K131+EKM!K131+TSR!K131+PLKD!K131+MLPM!K131+KKD!K131+WYND!K131+KNR!K131+KSRGD!K131+SHS!K131</f>
        <v>0</v>
      </c>
      <c r="L131" s="24">
        <f>TVM!L131+KLM!L131+PTA!L131+ALP!L131+KTYM!L131+IDK!L131+EKM!L131+TSR!L131+PLKD!L131+MLPM!L131+KKD!L131+WYND!L131+KNR!L131+KSRGD!L131+SHS!L131</f>
        <v>0</v>
      </c>
      <c r="M131" s="24">
        <f>TVM!M131+KLM!M131+PTA!M131+ALP!M131+KTYM!M131+IDK!M131+EKM!M131+TSR!M131+PLKD!M131+MLPM!M131+KKD!M131+WYND!M131+KNR!M131+KSRGD!M131+SHS!M131</f>
        <v>0</v>
      </c>
      <c r="N131" s="24">
        <f>TVM!N131+KLM!N131+PTA!N131+ALP!N131+KTYM!N131+IDK!N131+EKM!N131+TSR!N131+PLKD!N131+MLPM!N131+KKD!N131+WYND!N131+KNR!N131+KSRGD!N131+SHS!N131</f>
        <v>0</v>
      </c>
      <c r="O131" s="24">
        <f>TVM!O131+KLM!O131+PTA!O131+ALP!O131+KTYM!O131+IDK!O131+EKM!O131+TSR!O131+PLKD!O131+MLPM!O131+KKD!O131+WYND!O131+KNR!O131+KSRGD!O131+SHS!O131</f>
        <v>0</v>
      </c>
      <c r="P131" s="24">
        <f>TVM!P131+KLM!P131+PTA!P131+ALP!P131+KTYM!P131+IDK!P131+EKM!P131+TSR!P131+PLKD!P131+MLPM!P131+KKD!P131+WYND!P131+KNR!P131+KSRGD!P131+SHS!P131</f>
        <v>0</v>
      </c>
      <c r="Q131" s="31">
        <f>TVM!Q131+KLM!Q131+PTA!Q131+ALP!Q131+KTYM!Q131+IDK!Q131+EKM!Q131+TSR!Q131+PLKD!Q131+MLPM!Q131+KKD!Q131+WYND!Q131+KNR!Q131+KSRGD!Q131+SHS!Q131</f>
        <v>28</v>
      </c>
      <c r="R131" s="24">
        <f>TVM!R131+KLM!R131+PTA!R131+ALP!R131+KTYM!R131+IDK!R131+EKM!R131+TSR!R131+PLKD!R131+MLPM!R131+KKD!R131+WYND!R131+KNR!R131+KSRGD!R131+SHS!R131</f>
        <v>0</v>
      </c>
      <c r="S131" s="24">
        <f>TVM!S131+KLM!S131+PTA!S131+ALP!S131+KTYM!S131+IDK!S131+EKM!S131+TSR!S131+PLKD!S131+MLPM!S131+KKD!S131+WYND!S131+KNR!S131+KSRGD!S131+SHS!S131</f>
        <v>0</v>
      </c>
      <c r="T131" s="6">
        <f t="shared" si="2"/>
        <v>167.95</v>
      </c>
      <c r="U131" s="9"/>
      <c r="V131" s="32"/>
      <c r="W131" s="1"/>
      <c r="X131" s="1"/>
      <c r="Y131" s="1"/>
      <c r="Z131" s="1"/>
    </row>
    <row r="132" spans="1:26" ht="39.75" customHeight="1">
      <c r="A132" s="171"/>
      <c r="B132" s="169"/>
      <c r="C132" s="169"/>
      <c r="D132" s="5">
        <v>125</v>
      </c>
      <c r="E132" s="5" t="s">
        <v>241</v>
      </c>
      <c r="F132" s="24">
        <f>TVM!F132+KLM!F132+PTA!F132+ALP!F132+KTYM!F132+IDK!F132+EKM!F132+TSR!F132+PLKD!F132+MLPM!F132+KKD!F132+WYND!F132+KNR!F132+KSRGD!F132+SHS!F132</f>
        <v>0</v>
      </c>
      <c r="G132" s="24">
        <f>TVM!G132+KLM!G132+PTA!G132+ALP!G132+KTYM!G132+IDK!G132+EKM!G132+TSR!G132+PLKD!G132+MLPM!G132+KKD!G132+WYND!G132+KNR!G132+KSRGD!G132+SHS!G132</f>
        <v>265</v>
      </c>
      <c r="H132" s="31">
        <f>TVM!H132+KLM!H132+PTA!H132+ALP!H132+KTYM!H132+IDK!H132+EKM!H132+TSR!H132+PLKD!H132+MLPM!H132+KKD!H132+WYND!H132+KNR!H132+KSRGD!H132+SHS!H132</f>
        <v>0</v>
      </c>
      <c r="I132" s="24">
        <f>TVM!I132+KLM!I132+PTA!I132+ALP!I132+KTYM!I132+IDK!I132+EKM!I132+TSR!I132+PLKD!I132+MLPM!I132+KKD!I132+WYND!I132+KNR!I132+KSRGD!I132+SHS!I132</f>
        <v>0</v>
      </c>
      <c r="J132" s="24">
        <f>TVM!J132+KLM!J132+PTA!J132+ALP!J132+KTYM!J132+IDK!J132+EKM!J132+TSR!J132+PLKD!J132+MLPM!J132+KKD!J132+WYND!J132+KNR!J132+KSRGD!J132+SHS!J132</f>
        <v>0</v>
      </c>
      <c r="K132" s="24">
        <f>TVM!K132+KLM!K132+PTA!K132+ALP!K132+KTYM!K132+IDK!K132+EKM!K132+TSR!K132+PLKD!K132+MLPM!K132+KKD!K132+WYND!K132+KNR!K132+KSRGD!K132+SHS!K132</f>
        <v>0</v>
      </c>
      <c r="L132" s="24">
        <f>TVM!L132+KLM!L132+PTA!L132+ALP!L132+KTYM!L132+IDK!L132+EKM!L132+TSR!L132+PLKD!L132+MLPM!L132+KKD!L132+WYND!L132+KNR!L132+KSRGD!L132+SHS!L132</f>
        <v>0</v>
      </c>
      <c r="M132" s="24">
        <f>TVM!M132+KLM!M132+PTA!M132+ALP!M132+KTYM!M132+IDK!M132+EKM!M132+TSR!M132+PLKD!M132+MLPM!M132+KKD!M132+WYND!M132+KNR!M132+KSRGD!M132+SHS!M132</f>
        <v>0</v>
      </c>
      <c r="N132" s="24">
        <f>TVM!N132+KLM!N132+PTA!N132+ALP!N132+KTYM!N132+IDK!N132+EKM!N132+TSR!N132+PLKD!N132+MLPM!N132+KKD!N132+WYND!N132+KNR!N132+KSRGD!N132+SHS!N132</f>
        <v>0</v>
      </c>
      <c r="O132" s="24">
        <f>TVM!O132+KLM!O132+PTA!O132+ALP!O132+KTYM!O132+IDK!O132+EKM!O132+TSR!O132+PLKD!O132+MLPM!O132+KKD!O132+WYND!O132+KNR!O132+KSRGD!O132+SHS!O132</f>
        <v>0</v>
      </c>
      <c r="P132" s="24">
        <f>TVM!P132+KLM!P132+PTA!P132+ALP!P132+KTYM!P132+IDK!P132+EKM!P132+TSR!P132+PLKD!P132+MLPM!P132+KKD!P132+WYND!P132+KNR!P132+KSRGD!P132+SHS!P132</f>
        <v>0</v>
      </c>
      <c r="Q132" s="31">
        <f>TVM!Q132+KLM!Q132+PTA!Q132+ALP!Q132+KTYM!Q132+IDK!Q132+EKM!Q132+TSR!Q132+PLKD!Q132+MLPM!Q132+KKD!Q132+WYND!Q132+KNR!Q132+KSRGD!Q132+SHS!Q132</f>
        <v>0</v>
      </c>
      <c r="R132" s="24">
        <f>TVM!R132+KLM!R132+PTA!R132+ALP!R132+KTYM!R132+IDK!R132+EKM!R132+TSR!R132+PLKD!R132+MLPM!R132+KKD!R132+WYND!R132+KNR!R132+KSRGD!R132+SHS!R132</f>
        <v>0</v>
      </c>
      <c r="S132" s="24">
        <f>TVM!S132+KLM!S132+PTA!S132+ALP!S132+KTYM!S132+IDK!S132+EKM!S132+TSR!S132+PLKD!S132+MLPM!S132+KKD!S132+WYND!S132+KNR!S132+KSRGD!S132+SHS!S132</f>
        <v>0</v>
      </c>
      <c r="T132" s="6">
        <f t="shared" si="2"/>
        <v>265</v>
      </c>
      <c r="U132" s="9"/>
      <c r="V132" s="32"/>
      <c r="W132" s="1"/>
      <c r="X132" s="1"/>
      <c r="Y132" s="1"/>
      <c r="Z132" s="1"/>
    </row>
    <row r="133" spans="1:26" ht="39.75" customHeight="1">
      <c r="A133" s="171"/>
      <c r="B133" s="5" t="s">
        <v>242</v>
      </c>
      <c r="C133" s="5" t="s">
        <v>243</v>
      </c>
      <c r="D133" s="5">
        <v>126</v>
      </c>
      <c r="E133" s="5" t="s">
        <v>167</v>
      </c>
      <c r="F133" s="24">
        <f>TVM!F133+KLM!F133+PTA!F133+ALP!F133+KTYM!F133+IDK!F133+EKM!F133+TSR!F133+PLKD!F133+MLPM!F133+KKD!F133+WYND!F133+KNR!F133+KSRGD!F133+SHS!F133</f>
        <v>0</v>
      </c>
      <c r="G133" s="24">
        <f>TVM!G133+KLM!G133+PTA!G133+ALP!G133+KTYM!G133+IDK!G133+EKM!G133+TSR!G133+PLKD!G133+MLPM!G133+KKD!G133+WYND!G133+KNR!G133+KSRGD!G133+SHS!G133</f>
        <v>0</v>
      </c>
      <c r="H133" s="24">
        <f>TVM!H133+KLM!H133+PTA!H133+ALP!H133+KTYM!H133+IDK!H133+EKM!H133+TSR!H133+PLKD!H133+MLPM!H133+KKD!H133+WYND!H133+KNR!H133+KSRGD!H133+SHS!H133</f>
        <v>0</v>
      </c>
      <c r="I133" s="24">
        <f>TVM!I133+KLM!I133+PTA!I133+ALP!I133+KTYM!I133+IDK!I133+EKM!I133+TSR!I133+PLKD!I133+MLPM!I133+KKD!I133+WYND!I133+KNR!I133+KSRGD!I133+SHS!I133</f>
        <v>0</v>
      </c>
      <c r="J133" s="24">
        <f>TVM!J133+KLM!J133+PTA!J133+ALP!J133+KTYM!J133+IDK!J133+EKM!J133+TSR!J133+PLKD!J133+MLPM!J133+KKD!J133+WYND!J133+KNR!J133+KSRGD!J133+SHS!J133</f>
        <v>0</v>
      </c>
      <c r="K133" s="24">
        <f>TVM!K133+KLM!K133+PTA!K133+ALP!K133+KTYM!K133+IDK!K133+EKM!K133+TSR!K133+PLKD!K133+MLPM!K133+KKD!K133+WYND!K133+KNR!K133+KSRGD!K133+SHS!K133</f>
        <v>0</v>
      </c>
      <c r="L133" s="24">
        <f>TVM!L133+KLM!L133+PTA!L133+ALP!L133+KTYM!L133+IDK!L133+EKM!L133+TSR!L133+PLKD!L133+MLPM!L133+KKD!L133+WYND!L133+KNR!L133+KSRGD!L133+SHS!L133</f>
        <v>0</v>
      </c>
      <c r="M133" s="24">
        <f>TVM!M133+KLM!M133+PTA!M133+ALP!M133+KTYM!M133+IDK!M133+EKM!M133+TSR!M133+PLKD!M133+MLPM!M133+KKD!M133+WYND!M133+KNR!M133+KSRGD!M133+SHS!M133</f>
        <v>0</v>
      </c>
      <c r="N133" s="24">
        <f>TVM!N133+KLM!N133+PTA!N133+ALP!N133+KTYM!N133+IDK!N133+EKM!N133+TSR!N133+PLKD!N133+MLPM!N133+KKD!N133+WYND!N133+KNR!N133+KSRGD!N133+SHS!N133</f>
        <v>0</v>
      </c>
      <c r="O133" s="24">
        <f>TVM!O133+KLM!O133+PTA!O133+ALP!O133+KTYM!O133+IDK!O133+EKM!O133+TSR!O133+PLKD!O133+MLPM!O133+KKD!O133+WYND!O133+KNR!O133+KSRGD!O133+SHS!O133</f>
        <v>0</v>
      </c>
      <c r="P133" s="24">
        <f>TVM!P133+KLM!P133+PTA!P133+ALP!P133+KTYM!P133+IDK!P133+EKM!P133+TSR!P133+PLKD!P133+MLPM!P133+KKD!P133+WYND!P133+KNR!P133+KSRGD!P133+SHS!P133</f>
        <v>0</v>
      </c>
      <c r="Q133" s="24">
        <f>TVM!Q133+KLM!Q133+PTA!Q133+ALP!Q133+KTYM!Q133+IDK!Q133+EKM!Q133+TSR!Q133+PLKD!Q133+MLPM!Q133+KKD!Q133+WYND!Q133+KNR!Q133+KSRGD!Q133+SHS!Q133</f>
        <v>0</v>
      </c>
      <c r="R133" s="24">
        <f>TVM!R133+KLM!R133+PTA!R133+ALP!R133+KTYM!R133+IDK!R133+EKM!R133+TSR!R133+PLKD!R133+MLPM!R133+KKD!R133+WYND!R133+KNR!R133+KSRGD!R133+SHS!R133</f>
        <v>0</v>
      </c>
      <c r="S133" s="24">
        <f>TVM!S133+KLM!S133+PTA!S133+ALP!S133+KTYM!S133+IDK!S133+EKM!S133+TSR!S133+PLKD!S133+MLPM!S133+KKD!S133+WYND!S133+KNR!S133+KSRGD!S133+SHS!S133</f>
        <v>0</v>
      </c>
      <c r="T133" s="6">
        <f t="shared" si="2"/>
        <v>0</v>
      </c>
      <c r="U133" s="9"/>
      <c r="V133" s="32"/>
      <c r="W133" s="1"/>
      <c r="X133" s="1"/>
      <c r="Y133" s="1"/>
      <c r="Z133" s="1"/>
    </row>
    <row r="134" spans="1:26" ht="39.75" customHeight="1">
      <c r="A134" s="169"/>
      <c r="B134" s="176" t="s">
        <v>244</v>
      </c>
      <c r="C134" s="177"/>
      <c r="D134" s="178"/>
      <c r="E134" s="51"/>
      <c r="F134" s="54">
        <f>TVM!F134+KLM!F134+PTA!F134+ALP!F134+KTYM!F134+IDK!F134+EKM!F134+TSR!F134+PLKD!F134+MLPM!F134+KKD!F134+WYND!F134+KNR!F134+KSRGD!F134+SHS!F134</f>
        <v>0</v>
      </c>
      <c r="G134" s="54">
        <f>TVM!G134+KLM!G134+PTA!G134+ALP!G134+KTYM!G134+IDK!G134+EKM!G134+TSR!G134+PLKD!G134+MLPM!G134+KKD!G134+WYND!G134+KNR!G134+KSRGD!G134+SHS!G134</f>
        <v>768.41</v>
      </c>
      <c r="H134" s="54">
        <f>TVM!H134+KLM!H134+PTA!H134+ALP!H134+KTYM!H134+IDK!H134+EKM!H134+TSR!H134+PLKD!H134+MLPM!H134+KKD!H134+WYND!H134+KNR!H134+KSRGD!H134+SHS!H134</f>
        <v>142</v>
      </c>
      <c r="I134" s="54">
        <f>TVM!I134+KLM!I134+PTA!I134+ALP!I134+KTYM!I134+IDK!I134+EKM!I134+TSR!I134+PLKD!I134+MLPM!I134+KKD!I134+WYND!I134+KNR!I134+KSRGD!I134+SHS!I134</f>
        <v>1472.24</v>
      </c>
      <c r="J134" s="54">
        <f>TVM!J134+KLM!J134+PTA!J134+ALP!J134+KTYM!J134+IDK!J134+EKM!J134+TSR!J134+PLKD!J134+MLPM!J134+KKD!J134+WYND!J134+KNR!J134+KSRGD!J134+SHS!J134</f>
        <v>0</v>
      </c>
      <c r="K134" s="55">
        <f>TVM!K134+KLM!K134+PTA!K134+ALP!K134+KTYM!K134+IDK!K134+EKM!K134+TSR!K134+PLKD!K134+MLPM!K134+KKD!K134+WYND!K134+KNR!K134+KSRGD!K134+SHS!K134</f>
        <v>2814</v>
      </c>
      <c r="L134" s="54">
        <f>TVM!L134+KLM!L134+PTA!L134+ALP!L134+KTYM!L134+IDK!L134+EKM!L134+TSR!L134+PLKD!L134+MLPM!L134+KKD!L134+WYND!L134+KNR!L134+KSRGD!L134+SHS!L134</f>
        <v>0</v>
      </c>
      <c r="M134" s="54">
        <f>TVM!M134+KLM!M134+PTA!M134+ALP!M134+KTYM!M134+IDK!M134+EKM!M134+TSR!M134+PLKD!M134+MLPM!M134+KKD!M134+WYND!M134+KNR!M134+KSRGD!M134+SHS!M134</f>
        <v>2653.36</v>
      </c>
      <c r="N134" s="54">
        <f>TVM!N134+KLM!N134+PTA!N134+ALP!N134+KTYM!N134+IDK!N134+EKM!N134+TSR!N134+PLKD!N134+MLPM!N134+KKD!N134+WYND!N134+KNR!N134+KSRGD!N134+SHS!N134</f>
        <v>224.40000000000003</v>
      </c>
      <c r="O134" s="54">
        <f>TVM!O134+KLM!O134+PTA!O134+ALP!O134+KTYM!O134+IDK!O134+EKM!O134+TSR!O134+PLKD!O134+MLPM!O134+KKD!O134+WYND!O134+KNR!O134+KSRGD!O134+SHS!O134</f>
        <v>158.65799999999999</v>
      </c>
      <c r="P134" s="54">
        <f>TVM!P134+KLM!P134+PTA!P134+ALP!P134+KTYM!P134+IDK!P134+EKM!P134+TSR!P134+PLKD!P134+MLPM!P134+KKD!P134+WYND!P134+KNR!P134+KSRGD!P134+SHS!P134</f>
        <v>1119.28</v>
      </c>
      <c r="Q134" s="54">
        <f>TVM!Q134+KLM!Q134+PTA!Q134+ALP!Q134+KTYM!Q134+IDK!Q134+EKM!Q134+TSR!Q134+PLKD!Q134+MLPM!Q134+KKD!Q134+WYND!Q134+KNR!Q134+KSRGD!Q134+SHS!Q134</f>
        <v>596.12</v>
      </c>
      <c r="R134" s="54">
        <f>TVM!R134+KLM!R134+PTA!R134+ALP!R134+KTYM!R134+IDK!R134+EKM!R134+TSR!R134+PLKD!R134+MLPM!R134+KKD!R134+WYND!R134+KNR!R134+KSRGD!R134+SHS!R134</f>
        <v>481.20000000000005</v>
      </c>
      <c r="S134" s="54">
        <f>TVM!S134+KLM!S134+PTA!S134+ALP!S134+KTYM!S134+IDK!S134+EKM!S134+TSR!S134+PLKD!S134+MLPM!S134+KKD!S134+WYND!S134+KNR!S134+KSRGD!S134+SHS!S134</f>
        <v>50.3</v>
      </c>
      <c r="T134" s="52">
        <f>SUM(T94:T133)</f>
        <v>10479.967999999999</v>
      </c>
      <c r="U134" s="9"/>
      <c r="V134" s="32"/>
      <c r="W134" s="1"/>
      <c r="X134" s="1"/>
      <c r="Y134" s="1"/>
      <c r="Z134" s="1"/>
    </row>
    <row r="135" spans="1:26" ht="39.75" customHeight="1">
      <c r="A135" s="175" t="s">
        <v>245</v>
      </c>
      <c r="B135" s="168" t="s">
        <v>246</v>
      </c>
      <c r="C135" s="168" t="s">
        <v>247</v>
      </c>
      <c r="D135" s="5">
        <v>127</v>
      </c>
      <c r="E135" s="5" t="s">
        <v>248</v>
      </c>
      <c r="F135" s="24">
        <f>TVM!F135+KLM!F135+PTA!F135+ALP!F135+KTYM!F135+IDK!F135+EKM!F135+TSR!F135+PLKD!F135+MLPM!F135+KKD!F135+WYND!F135+KNR!F135+KSRGD!F135+SHS!F135</f>
        <v>0</v>
      </c>
      <c r="G135" s="24">
        <f>TVM!G135+KLM!G135+PTA!G135+ALP!G135+KTYM!G135+IDK!G135+EKM!G135+TSR!G135+PLKD!G135+MLPM!G135+KKD!G135+WYND!G135+KNR!G135+KSRGD!G135+SHS!G135</f>
        <v>0</v>
      </c>
      <c r="H135" s="24">
        <f>TVM!H135+KLM!H135+PTA!H135+ALP!H135+KTYM!H135+IDK!H135+EKM!H135+TSR!H135+PLKD!H135+MLPM!H135+KKD!H135+WYND!H135+KNR!H135+KSRGD!H135+SHS!H135</f>
        <v>0</v>
      </c>
      <c r="I135" s="24">
        <f>TVM!I135+KLM!I135+PTA!I135+ALP!I135+KTYM!I135+IDK!I135+EKM!I135+TSR!I135+PLKD!I135+MLPM!I135+KKD!I135+WYND!I135+KNR!I135+KSRGD!I135+SHS!I135</f>
        <v>0</v>
      </c>
      <c r="J135" s="24">
        <f>TVM!J135+KLM!J135+PTA!J135+ALP!J135+KTYM!J135+IDK!J135+EKM!J135+TSR!J135+PLKD!J135+MLPM!J135+KKD!J135+WYND!J135+KNR!J135+KSRGD!J135+SHS!J135</f>
        <v>0</v>
      </c>
      <c r="K135" s="24">
        <f>TVM!K135+KLM!K135+PTA!K135+ALP!K135+KTYM!K135+IDK!K135+EKM!K135+TSR!K135+PLKD!K135+MLPM!K135+KKD!K135+WYND!K135+KNR!K135+KSRGD!K135+SHS!K135</f>
        <v>0</v>
      </c>
      <c r="L135" s="24">
        <f>TVM!L135+KLM!L135+PTA!L135+ALP!L135+KTYM!L135+IDK!L135+EKM!L135+TSR!L135+PLKD!L135+MLPM!L135+KKD!L135+WYND!L135+KNR!L135+KSRGD!L135+SHS!L135</f>
        <v>0</v>
      </c>
      <c r="M135" s="24">
        <f>TVM!M135+KLM!M135+PTA!M135+ALP!M135+KTYM!M135+IDK!M135+EKM!M135+TSR!M135+PLKD!M135+MLPM!M135+KKD!M135+WYND!M135+KNR!M135+KSRGD!M135+SHS!M135</f>
        <v>0</v>
      </c>
      <c r="N135" s="24">
        <f>TVM!N135+KLM!N135+PTA!N135+ALP!N135+KTYM!N135+IDK!N135+EKM!N135+TSR!N135+PLKD!N135+MLPM!N135+KKD!N135+WYND!N135+KNR!N135+KSRGD!N135+SHS!N135</f>
        <v>0</v>
      </c>
      <c r="O135" s="24">
        <f>TVM!O135+KLM!O135+PTA!O135+ALP!O135+KTYM!O135+IDK!O135+EKM!O135+TSR!O135+PLKD!O135+MLPM!O135+KKD!O135+WYND!O135+KNR!O135+KSRGD!O135+SHS!O135</f>
        <v>0</v>
      </c>
      <c r="P135" s="24">
        <f>TVM!P135+KLM!P135+PTA!P135+ALP!P135+KTYM!P135+IDK!P135+EKM!P135+TSR!P135+PLKD!P135+MLPM!P135+KKD!P135+WYND!P135+KNR!P135+KSRGD!P135+SHS!P135</f>
        <v>0</v>
      </c>
      <c r="Q135" s="24">
        <f>TVM!Q135+KLM!Q135+PTA!Q135+ALP!Q135+KTYM!Q135+IDK!Q135+EKM!Q135+TSR!Q135+PLKD!Q135+MLPM!Q135+KKD!Q135+WYND!Q135+KNR!Q135+KSRGD!Q135+SHS!Q135</f>
        <v>0</v>
      </c>
      <c r="R135" s="24">
        <f>TVM!R135+KLM!R135+PTA!R135+ALP!R135+KTYM!R135+IDK!R135+EKM!R135+TSR!R135+PLKD!R135+MLPM!R135+KKD!R135+WYND!R135+KNR!R135+KSRGD!R135+SHS!R135</f>
        <v>0</v>
      </c>
      <c r="S135" s="24">
        <f>TVM!S135+KLM!S135+PTA!S135+ALP!S135+KTYM!S135+IDK!S135+EKM!S135+TSR!S135+PLKD!S135+MLPM!S135+KKD!S135+WYND!S135+KNR!S135+KSRGD!S135+SHS!S135</f>
        <v>0</v>
      </c>
      <c r="T135" s="6">
        <f t="shared" ref="T135:T157" si="3">SUM(F135:S135)</f>
        <v>0</v>
      </c>
      <c r="U135" s="9"/>
      <c r="V135" s="32"/>
      <c r="W135" s="1"/>
      <c r="X135" s="1"/>
      <c r="Y135" s="1"/>
      <c r="Z135" s="1"/>
    </row>
    <row r="136" spans="1:26" ht="39.75" customHeight="1">
      <c r="A136" s="171"/>
      <c r="B136" s="169"/>
      <c r="C136" s="169"/>
      <c r="D136" s="5">
        <v>128</v>
      </c>
      <c r="E136" s="5" t="s">
        <v>249</v>
      </c>
      <c r="F136" s="24">
        <f>TVM!F136+KLM!F136+PTA!F136+ALP!F136+KTYM!F136+IDK!F136+EKM!F136+TSR!F136+PLKD!F136+MLPM!F136+KKD!F136+WYND!F136+KNR!F136+KSRGD!F136+SHS!F136</f>
        <v>0</v>
      </c>
      <c r="G136" s="24">
        <f>TVM!G136+KLM!G136+PTA!G136+ALP!G136+KTYM!G136+IDK!G136+EKM!G136+TSR!G136+PLKD!G136+MLPM!G136+KKD!G136+WYND!G136+KNR!G136+KSRGD!G136+SHS!G136</f>
        <v>0</v>
      </c>
      <c r="H136" s="24">
        <f>TVM!H136+KLM!H136+PTA!H136+ALP!H136+KTYM!H136+IDK!H136+EKM!H136+TSR!H136+PLKD!H136+MLPM!H136+KKD!H136+WYND!H136+KNR!H136+KSRGD!H136+SHS!H136</f>
        <v>0</v>
      </c>
      <c r="I136" s="24">
        <f>TVM!I136+KLM!I136+PTA!I136+ALP!I136+KTYM!I136+IDK!I136+EKM!I136+TSR!I136+PLKD!I136+MLPM!I136+KKD!I136+WYND!I136+KNR!I136+KSRGD!I136+SHS!I136</f>
        <v>0</v>
      </c>
      <c r="J136" s="24">
        <f>TVM!J136+KLM!J136+PTA!J136+ALP!J136+KTYM!J136+IDK!J136+EKM!J136+TSR!J136+PLKD!J136+MLPM!J136+KKD!J136+WYND!J136+KNR!J136+KSRGD!J136+SHS!J136</f>
        <v>0</v>
      </c>
      <c r="K136" s="27">
        <f>TVM!K136+KLM!K136+PTA!K136+ALP!K136+KTYM!K136+IDK!K136+EKM!K136+TSR!K136+PLKD!K136+MLPM!K136+KKD!K136+WYND!K136+KNR!K136+KSRGD!K136+SHS!K136</f>
        <v>1560</v>
      </c>
      <c r="L136" s="24">
        <f>TVM!L136+KLM!L136+PTA!L136+ALP!L136+KTYM!L136+IDK!L136+EKM!L136+TSR!L136+PLKD!L136+MLPM!L136+KKD!L136+WYND!L136+KNR!L136+KSRGD!L136+SHS!L136</f>
        <v>0</v>
      </c>
      <c r="M136" s="24">
        <f>TVM!M136+KLM!M136+PTA!M136+ALP!M136+KTYM!M136+IDK!M136+EKM!M136+TSR!M136+PLKD!M136+MLPM!M136+KKD!M136+WYND!M136+KNR!M136+KSRGD!M136+SHS!M136</f>
        <v>0</v>
      </c>
      <c r="N136" s="27">
        <f>TVM!N136+KLM!N136+PTA!N136+ALP!N136+KTYM!N136+IDK!N136+EKM!N136+TSR!N136+PLKD!N136+MLPM!N136+KKD!N136+WYND!N136+KNR!N136+KSRGD!N136+SHS!N136</f>
        <v>21</v>
      </c>
      <c r="O136" s="24">
        <f>TVM!O136+KLM!O136+PTA!O136+ALP!O136+KTYM!O136+IDK!O136+EKM!O136+TSR!O136+PLKD!O136+MLPM!O136+KKD!O136+WYND!O136+KNR!O136+KSRGD!O136+SHS!O136</f>
        <v>0</v>
      </c>
      <c r="P136" s="27">
        <f>TVM!P136+KLM!P136+PTA!P136+ALP!P136+KTYM!P136+IDK!P136+EKM!P136+TSR!P136+PLKD!P136+MLPM!P136+KKD!P136+WYND!P136+KNR!P136+KSRGD!P136+SHS!P136</f>
        <v>0</v>
      </c>
      <c r="Q136" s="27">
        <f>TVM!Q136+KLM!Q136+PTA!Q136+ALP!Q136+KTYM!Q136+IDK!Q136+EKM!Q136+TSR!Q136+PLKD!Q136+MLPM!Q136+KKD!Q136+WYND!Q136+KNR!Q136+KSRGD!Q136+SHS!Q136</f>
        <v>88.4</v>
      </c>
      <c r="R136" s="24">
        <f>TVM!R136+KLM!R136+PTA!R136+ALP!R136+KTYM!R136+IDK!R136+EKM!R136+TSR!R136+PLKD!R136+MLPM!R136+KKD!R136+WYND!R136+KNR!R136+KSRGD!R136+SHS!R136</f>
        <v>0</v>
      </c>
      <c r="S136" s="24">
        <f>TVM!S136+KLM!S136+PTA!S136+ALP!S136+KTYM!S136+IDK!S136+EKM!S136+TSR!S136+PLKD!S136+MLPM!S136+KKD!S136+WYND!S136+KNR!S136+KSRGD!S136+SHS!S136</f>
        <v>0</v>
      </c>
      <c r="T136" s="6">
        <f t="shared" si="3"/>
        <v>1669.4</v>
      </c>
      <c r="U136" s="20"/>
      <c r="V136" s="32"/>
      <c r="W136" s="1"/>
      <c r="X136" s="1"/>
      <c r="Y136" s="1"/>
      <c r="Z136" s="1"/>
    </row>
    <row r="137" spans="1:26" ht="39.75" customHeight="1">
      <c r="A137" s="171"/>
      <c r="B137" s="28"/>
      <c r="C137" s="28"/>
      <c r="D137" s="5">
        <v>129</v>
      </c>
      <c r="E137" s="5" t="s">
        <v>250</v>
      </c>
      <c r="F137" s="24">
        <f>TVM!F137+KLM!F137+PTA!F137+ALP!F137+KTYM!F137+IDK!F137+EKM!F137+TSR!F137+PLKD!F137+MLPM!F137+KKD!F137+WYND!F137+KNR!F137+KSRGD!F137+SHS!F137</f>
        <v>0</v>
      </c>
      <c r="G137" s="24">
        <f>TVM!G137+KLM!G137+PTA!G137+ALP!G137+KTYM!G137+IDK!G137+EKM!G137+TSR!G137+PLKD!G137+MLPM!G137+KKD!G137+WYND!G137+KNR!G137+KSRGD!G137+SHS!G137</f>
        <v>0</v>
      </c>
      <c r="H137" s="24">
        <f>TVM!H137+KLM!H137+PTA!H137+ALP!H137+KTYM!H137+IDK!H137+EKM!H137+TSR!H137+PLKD!H137+MLPM!H137+KKD!H137+WYND!H137+KNR!H137+KSRGD!H137+SHS!H137</f>
        <v>0</v>
      </c>
      <c r="I137" s="24">
        <f>TVM!I137+KLM!I137+PTA!I137+ALP!I137+KTYM!I137+IDK!I137+EKM!I137+TSR!I137+PLKD!I137+MLPM!I137+KKD!I137+WYND!I137+KNR!I137+KSRGD!I137+SHS!I137</f>
        <v>0</v>
      </c>
      <c r="J137" s="24">
        <f>TVM!J137+KLM!J137+PTA!J137+ALP!J137+KTYM!J137+IDK!J137+EKM!J137+TSR!J137+PLKD!J137+MLPM!J137+KKD!J137+WYND!J137+KNR!J137+KSRGD!J137+SHS!J137</f>
        <v>0</v>
      </c>
      <c r="K137" s="24">
        <f>TVM!K137+KLM!K137+PTA!K137+ALP!K137+KTYM!K137+IDK!K137+EKM!K137+TSR!K137+PLKD!K137+MLPM!K137+KKD!K137+WYND!K137+KNR!K137+KSRGD!K137+SHS!K137</f>
        <v>0</v>
      </c>
      <c r="L137" s="24">
        <f>TVM!L137+KLM!L137+PTA!L137+ALP!L137+KTYM!L137+IDK!L137+EKM!L137+TSR!L137+PLKD!L137+MLPM!L137+KKD!L137+WYND!L137+KNR!L137+KSRGD!L137+SHS!L137</f>
        <v>0</v>
      </c>
      <c r="M137" s="24">
        <f>TVM!M137+KLM!M137+PTA!M137+ALP!M137+KTYM!M137+IDK!M137+EKM!M137+TSR!M137+PLKD!M137+MLPM!M137+KKD!M137+WYND!M137+KNR!M137+KSRGD!M137+SHS!M137</f>
        <v>0</v>
      </c>
      <c r="N137" s="24">
        <f>TVM!N137+KLM!N137+PTA!N137+ALP!N137+KTYM!N137+IDK!N137+EKM!N137+TSR!N137+PLKD!N137+MLPM!N137+KKD!N137+WYND!N137+KNR!N137+KSRGD!N137+SHS!N137</f>
        <v>0</v>
      </c>
      <c r="O137" s="24">
        <f>TVM!O137+KLM!O137+PTA!O137+ALP!O137+KTYM!O137+IDK!O137+EKM!O137+TSR!O137+PLKD!O137+MLPM!O137+KKD!O137+WYND!O137+KNR!O137+KSRGD!O137+SHS!O137</f>
        <v>0</v>
      </c>
      <c r="P137" s="24">
        <f>TVM!P137+KLM!P137+PTA!P137+ALP!P137+KTYM!P137+IDK!P137+EKM!P137+TSR!P137+PLKD!P137+MLPM!P137+KKD!P137+WYND!P137+KNR!P137+KSRGD!P137+SHS!P137</f>
        <v>0</v>
      </c>
      <c r="Q137" s="24">
        <f>TVM!Q137+KLM!Q137+PTA!Q137+ALP!Q137+KTYM!Q137+IDK!Q137+EKM!Q137+TSR!Q137+PLKD!Q137+MLPM!Q137+KKD!Q137+WYND!Q137+KNR!Q137+KSRGD!Q137+SHS!Q137</f>
        <v>0</v>
      </c>
      <c r="R137" s="24">
        <f>TVM!R137+KLM!R137+PTA!R137+ALP!R137+KTYM!R137+IDK!R137+EKM!R137+TSR!R137+PLKD!R137+MLPM!R137+KKD!R137+WYND!R137+KNR!R137+KSRGD!R137+SHS!R137</f>
        <v>0</v>
      </c>
      <c r="S137" s="24">
        <f>TVM!S137+KLM!S137+PTA!S137+ALP!S137+KTYM!S137+IDK!S137+EKM!S137+TSR!S137+PLKD!S137+MLPM!S137+KKD!S137+WYND!S137+KNR!S137+KSRGD!S137+SHS!S137</f>
        <v>0</v>
      </c>
      <c r="T137" s="6">
        <f t="shared" si="3"/>
        <v>0</v>
      </c>
      <c r="U137" s="9"/>
      <c r="V137" s="32"/>
      <c r="W137" s="1"/>
      <c r="X137" s="1"/>
      <c r="Y137" s="1"/>
      <c r="Z137" s="1"/>
    </row>
    <row r="138" spans="1:26" ht="39.75" customHeight="1">
      <c r="A138" s="171"/>
      <c r="B138" s="168" t="s">
        <v>251</v>
      </c>
      <c r="C138" s="168" t="s">
        <v>252</v>
      </c>
      <c r="D138" s="5">
        <v>130</v>
      </c>
      <c r="E138" s="5" t="s">
        <v>253</v>
      </c>
      <c r="F138" s="24">
        <f>TVM!F138+KLM!F138+PTA!F138+ALP!F138+KTYM!F138+IDK!F138+EKM!F138+TSR!F138+PLKD!F138+MLPM!F138+KKD!F138+WYND!F138+KNR!F138+KSRGD!F138+SHS!F138</f>
        <v>0</v>
      </c>
      <c r="G138" s="24">
        <f>TVM!G138+KLM!G138+PTA!G138+ALP!G138+KTYM!G138+IDK!G138+EKM!G138+TSR!G138+PLKD!G138+MLPM!G138+KKD!G138+WYND!G138+KNR!G138+KSRGD!G138+SHS!G138</f>
        <v>0</v>
      </c>
      <c r="H138" s="24">
        <f>TVM!H138+KLM!H138+PTA!H138+ALP!H138+KTYM!H138+IDK!H138+EKM!H138+TSR!H138+PLKD!H138+MLPM!H138+KKD!H138+WYND!H138+KNR!H138+KSRGD!H138+SHS!H138</f>
        <v>0</v>
      </c>
      <c r="I138" s="24">
        <f>TVM!I138+KLM!I138+PTA!I138+ALP!I138+KTYM!I138+IDK!I138+EKM!I138+TSR!I138+PLKD!I138+MLPM!I138+KKD!I138+WYND!I138+KNR!I138+KSRGD!I138+SHS!I138</f>
        <v>0</v>
      </c>
      <c r="J138" s="24">
        <f>TVM!J138+KLM!J138+PTA!J138+ALP!J138+KTYM!J138+IDK!J138+EKM!J138+TSR!J138+PLKD!J138+MLPM!J138+KKD!J138+WYND!J138+KNR!J138+KSRGD!J138+SHS!J138</f>
        <v>0</v>
      </c>
      <c r="K138" s="24">
        <f>TVM!K138+KLM!K138+PTA!K138+ALP!K138+KTYM!K138+IDK!K138+EKM!K138+TSR!K138+PLKD!K138+MLPM!K138+KKD!K138+WYND!K138+KNR!K138+KSRGD!K138+SHS!K138</f>
        <v>0</v>
      </c>
      <c r="L138" s="24">
        <f>TVM!L138+KLM!L138+PTA!L138+ALP!L138+KTYM!L138+IDK!L138+EKM!L138+TSR!L138+PLKD!L138+MLPM!L138+KKD!L138+WYND!L138+KNR!L138+KSRGD!L138+SHS!L138</f>
        <v>0</v>
      </c>
      <c r="M138" s="24">
        <f>TVM!M138+KLM!M138+PTA!M138+ALP!M138+KTYM!M138+IDK!M138+EKM!M138+TSR!M138+PLKD!M138+MLPM!M138+KKD!M138+WYND!M138+KNR!M138+KSRGD!M138+SHS!M138</f>
        <v>0</v>
      </c>
      <c r="N138" s="24">
        <f>TVM!N138+KLM!N138+PTA!N138+ALP!N138+KTYM!N138+IDK!N138+EKM!N138+TSR!N138+PLKD!N138+MLPM!N138+KKD!N138+WYND!N138+KNR!N138+KSRGD!N138+SHS!N138</f>
        <v>0</v>
      </c>
      <c r="O138" s="24">
        <f>TVM!O138+KLM!O138+PTA!O138+ALP!O138+KTYM!O138+IDK!O138+EKM!O138+TSR!O138+PLKD!O138+MLPM!O138+KKD!O138+WYND!O138+KNR!O138+KSRGD!O138+SHS!O138</f>
        <v>0</v>
      </c>
      <c r="P138" s="24">
        <f>TVM!P138+KLM!P138+PTA!P138+ALP!P138+KTYM!P138+IDK!P138+EKM!P138+TSR!P138+PLKD!P138+MLPM!P138+KKD!P138+WYND!P138+KNR!P138+KSRGD!P138+SHS!P138</f>
        <v>0</v>
      </c>
      <c r="Q138" s="24">
        <f>TVM!Q138+KLM!Q138+PTA!Q138+ALP!Q138+KTYM!Q138+IDK!Q138+EKM!Q138+TSR!Q138+PLKD!Q138+MLPM!Q138+KKD!Q138+WYND!Q138+KNR!Q138+KSRGD!Q138+SHS!Q138</f>
        <v>0</v>
      </c>
      <c r="R138" s="24">
        <f>TVM!R138+KLM!R138+PTA!R138+ALP!R138+KTYM!R138+IDK!R138+EKM!R138+TSR!R138+PLKD!R138+MLPM!R138+KKD!R138+WYND!R138+KNR!R138+KSRGD!R138+SHS!R138</f>
        <v>0</v>
      </c>
      <c r="S138" s="24">
        <f>TVM!S138+KLM!S138+PTA!S138+ALP!S138+KTYM!S138+IDK!S138+EKM!S138+TSR!S138+PLKD!S138+MLPM!S138+KKD!S138+WYND!S138+KNR!S138+KSRGD!S138+SHS!S138</f>
        <v>0</v>
      </c>
      <c r="T138" s="6">
        <f t="shared" si="3"/>
        <v>0</v>
      </c>
      <c r="U138" s="9"/>
      <c r="V138" s="32"/>
      <c r="W138" s="1"/>
      <c r="X138" s="1"/>
      <c r="Y138" s="1"/>
      <c r="Z138" s="1"/>
    </row>
    <row r="139" spans="1:26" ht="39.75" customHeight="1">
      <c r="A139" s="171"/>
      <c r="B139" s="171"/>
      <c r="C139" s="171"/>
      <c r="D139" s="5">
        <v>131</v>
      </c>
      <c r="E139" s="5" t="s">
        <v>254</v>
      </c>
      <c r="F139" s="24">
        <f>TVM!F139+KLM!F139+PTA!F139+ALP!F139+KTYM!F139+IDK!F139+EKM!F139+TSR!F139+PLKD!F139+MLPM!F139+KKD!F139+WYND!F139+KNR!F139+KSRGD!F139+SHS!F139</f>
        <v>0</v>
      </c>
      <c r="G139" s="24">
        <f>TVM!G139+KLM!G139+PTA!G139+ALP!G139+KTYM!G139+IDK!G139+EKM!G139+TSR!G139+PLKD!G139+MLPM!G139+KKD!G139+WYND!G139+KNR!G139+KSRGD!G139+SHS!G139</f>
        <v>0</v>
      </c>
      <c r="H139" s="24">
        <f>TVM!H139+KLM!H139+PTA!H139+ALP!H139+KTYM!H139+IDK!H139+EKM!H139+TSR!H139+PLKD!H139+MLPM!H139+KKD!H139+WYND!H139+KNR!H139+KSRGD!H139+SHS!H139</f>
        <v>0</v>
      </c>
      <c r="I139" s="24">
        <f>TVM!I139+KLM!I139+PTA!I139+ALP!I139+KTYM!I139+IDK!I139+EKM!I139+TSR!I139+PLKD!I139+MLPM!I139+KKD!I139+WYND!I139+KNR!I139+KSRGD!I139+SHS!I139</f>
        <v>0</v>
      </c>
      <c r="J139" s="24">
        <f>TVM!J139+KLM!J139+PTA!J139+ALP!J139+KTYM!J139+IDK!J139+EKM!J139+TSR!J139+PLKD!J139+MLPM!J139+KKD!J139+WYND!J139+KNR!J139+KSRGD!J139+SHS!J139</f>
        <v>0</v>
      </c>
      <c r="K139" s="24">
        <f>TVM!K139+KLM!K139+PTA!K139+ALP!K139+KTYM!K139+IDK!K139+EKM!K139+TSR!K139+PLKD!K139+MLPM!K139+KKD!K139+WYND!K139+KNR!K139+KSRGD!K139+SHS!K139</f>
        <v>0</v>
      </c>
      <c r="L139" s="24">
        <f>TVM!L139+KLM!L139+PTA!L139+ALP!L139+KTYM!L139+IDK!L139+EKM!L139+TSR!L139+PLKD!L139+MLPM!L139+KKD!L139+WYND!L139+KNR!L139+KSRGD!L139+SHS!L139</f>
        <v>0</v>
      </c>
      <c r="M139" s="24">
        <f>TVM!M139+KLM!M139+PTA!M139+ALP!M139+KTYM!M139+IDK!M139+EKM!M139+TSR!M139+PLKD!M139+MLPM!M139+KKD!M139+WYND!M139+KNR!M139+KSRGD!M139+SHS!M139</f>
        <v>0</v>
      </c>
      <c r="N139" s="27">
        <f>TVM!N139+KLM!N139+PTA!N139+ALP!N139+KTYM!N139+IDK!N139+EKM!N139+TSR!N139+PLKD!N139+MLPM!N139+KKD!N139+WYND!N139+KNR!N139+KSRGD!N139+SHS!N139</f>
        <v>23.729999999999997</v>
      </c>
      <c r="O139" s="24">
        <f>TVM!O139+KLM!O139+PTA!O139+ALP!O139+KTYM!O139+IDK!O139+EKM!O139+TSR!O139+PLKD!O139+MLPM!O139+KKD!O139+WYND!O139+KNR!O139+KSRGD!O139+SHS!O139</f>
        <v>0</v>
      </c>
      <c r="P139" s="24">
        <f>TVM!P139+KLM!P139+PTA!P139+ALP!P139+KTYM!P139+IDK!P139+EKM!P139+TSR!P139+PLKD!P139+MLPM!P139+KKD!P139+WYND!P139+KNR!P139+KSRGD!P139+SHS!P139</f>
        <v>0</v>
      </c>
      <c r="Q139" s="24">
        <f>TVM!Q139+KLM!Q139+PTA!Q139+ALP!Q139+KTYM!Q139+IDK!Q139+EKM!Q139+TSR!Q139+PLKD!Q139+MLPM!Q139+KKD!Q139+WYND!Q139+KNR!Q139+KSRGD!Q139+SHS!Q139</f>
        <v>0</v>
      </c>
      <c r="R139" s="24">
        <f>TVM!R139+KLM!R139+PTA!R139+ALP!R139+KTYM!R139+IDK!R139+EKM!R139+TSR!R139+PLKD!R139+MLPM!R139+KKD!R139+WYND!R139+KNR!R139+KSRGD!R139+SHS!R139</f>
        <v>0</v>
      </c>
      <c r="S139" s="24">
        <f>TVM!S139+KLM!S139+PTA!S139+ALP!S139+KTYM!S139+IDK!S139+EKM!S139+TSR!S139+PLKD!S139+MLPM!S139+KKD!S139+WYND!S139+KNR!S139+KSRGD!S139+SHS!S139</f>
        <v>0</v>
      </c>
      <c r="T139" s="6">
        <f t="shared" si="3"/>
        <v>23.729999999999997</v>
      </c>
      <c r="U139" s="20"/>
      <c r="V139" s="32"/>
      <c r="W139" s="1"/>
      <c r="X139" s="1"/>
      <c r="Y139" s="1"/>
      <c r="Z139" s="1"/>
    </row>
    <row r="140" spans="1:26" ht="39.75" customHeight="1">
      <c r="A140" s="171"/>
      <c r="B140" s="171"/>
      <c r="C140" s="171"/>
      <c r="D140" s="5">
        <v>132</v>
      </c>
      <c r="E140" s="5" t="s">
        <v>255</v>
      </c>
      <c r="F140" s="24">
        <f>TVM!F140+KLM!F140+PTA!F140+ALP!F140+KTYM!F140+IDK!F140+EKM!F140+TSR!F140+PLKD!F140+MLPM!F140+KKD!F140+WYND!F140+KNR!F140+KSRGD!F140+SHS!F140</f>
        <v>0</v>
      </c>
      <c r="G140" s="24">
        <f>TVM!G140+KLM!G140+PTA!G140+ALP!G140+KTYM!G140+IDK!G140+EKM!G140+TSR!G140+PLKD!G140+MLPM!G140+KKD!G140+WYND!G140+KNR!G140+KSRGD!G140+SHS!G140</f>
        <v>0</v>
      </c>
      <c r="H140" s="24">
        <f>TVM!H140+KLM!H140+PTA!H140+ALP!H140+KTYM!H140+IDK!H140+EKM!H140+TSR!H140+PLKD!H140+MLPM!H140+KKD!H140+WYND!H140+KNR!H140+KSRGD!H140+SHS!H140</f>
        <v>0</v>
      </c>
      <c r="I140" s="24">
        <f>TVM!I140+KLM!I140+PTA!I140+ALP!I140+KTYM!I140+IDK!I140+EKM!I140+TSR!I140+PLKD!I140+MLPM!I140+KKD!I140+WYND!I140+KNR!I140+KSRGD!I140+SHS!I140</f>
        <v>0</v>
      </c>
      <c r="J140" s="24">
        <f>TVM!J140+KLM!J140+PTA!J140+ALP!J140+KTYM!J140+IDK!J140+EKM!J140+TSR!J140+PLKD!J140+MLPM!J140+KKD!J140+WYND!J140+KNR!J140+KSRGD!J140+SHS!J140</f>
        <v>0</v>
      </c>
      <c r="K140" s="24">
        <f>TVM!K140+KLM!K140+PTA!K140+ALP!K140+KTYM!K140+IDK!K140+EKM!K140+TSR!K140+PLKD!K140+MLPM!K140+KKD!K140+WYND!K140+KNR!K140+KSRGD!K140+SHS!K140</f>
        <v>0</v>
      </c>
      <c r="L140" s="24">
        <f>TVM!L140+KLM!L140+PTA!L140+ALP!L140+KTYM!L140+IDK!L140+EKM!L140+TSR!L140+PLKD!L140+MLPM!L140+KKD!L140+WYND!L140+KNR!L140+KSRGD!L140+SHS!L140</f>
        <v>0</v>
      </c>
      <c r="M140" s="24">
        <f>TVM!M140+KLM!M140+PTA!M140+ALP!M140+KTYM!M140+IDK!M140+EKM!M140+TSR!M140+PLKD!M140+MLPM!M140+KKD!M140+WYND!M140+KNR!M140+KSRGD!M140+SHS!M140</f>
        <v>0</v>
      </c>
      <c r="N140" s="24">
        <f>TVM!N140+KLM!N140+PTA!N140+ALP!N140+KTYM!N140+IDK!N140+EKM!N140+TSR!N140+PLKD!N140+MLPM!N140+KKD!N140+WYND!N140+KNR!N140+KSRGD!N140+SHS!N140</f>
        <v>0</v>
      </c>
      <c r="O140" s="24">
        <f>TVM!O140+KLM!O140+PTA!O140+ALP!O140+KTYM!O140+IDK!O140+EKM!O140+TSR!O140+PLKD!O140+MLPM!O140+KKD!O140+WYND!O140+KNR!O140+KSRGD!O140+SHS!O140</f>
        <v>0</v>
      </c>
      <c r="P140" s="24">
        <f>TVM!P140+KLM!P140+PTA!P140+ALP!P140+KTYM!P140+IDK!P140+EKM!P140+TSR!P140+PLKD!P140+MLPM!P140+KKD!P140+WYND!P140+KNR!P140+KSRGD!P140+SHS!P140</f>
        <v>0</v>
      </c>
      <c r="Q140" s="24">
        <f>TVM!Q140+KLM!Q140+PTA!Q140+ALP!Q140+KTYM!Q140+IDK!Q140+EKM!Q140+TSR!Q140+PLKD!Q140+MLPM!Q140+KKD!Q140+WYND!Q140+KNR!Q140+KSRGD!Q140+SHS!Q140</f>
        <v>0</v>
      </c>
      <c r="R140" s="24">
        <f>TVM!R140+KLM!R140+PTA!R140+ALP!R140+KTYM!R140+IDK!R140+EKM!R140+TSR!R140+PLKD!R140+MLPM!R140+KKD!R140+WYND!R140+KNR!R140+KSRGD!R140+SHS!R140</f>
        <v>0</v>
      </c>
      <c r="S140" s="24">
        <f>TVM!S140+KLM!S140+PTA!S140+ALP!S140+KTYM!S140+IDK!S140+EKM!S140+TSR!S140+PLKD!S140+MLPM!S140+KKD!S140+WYND!S140+KNR!S140+KSRGD!S140+SHS!S140</f>
        <v>0</v>
      </c>
      <c r="T140" s="6">
        <f t="shared" si="3"/>
        <v>0</v>
      </c>
      <c r="U140" s="9"/>
      <c r="V140" s="32"/>
      <c r="W140" s="1"/>
      <c r="X140" s="1"/>
      <c r="Y140" s="1"/>
      <c r="Z140" s="1"/>
    </row>
    <row r="141" spans="1:26" ht="39.75" customHeight="1">
      <c r="A141" s="171"/>
      <c r="B141" s="171"/>
      <c r="C141" s="171"/>
      <c r="D141" s="5">
        <v>133</v>
      </c>
      <c r="E141" s="5" t="s">
        <v>256</v>
      </c>
      <c r="F141" s="24">
        <f>TVM!F141+KLM!F141+PTA!F141+ALP!F141+KTYM!F141+IDK!F141+EKM!F141+TSR!F141+PLKD!F141+MLPM!F141+KKD!F141+WYND!F141+KNR!F141+KSRGD!F141+SHS!F141</f>
        <v>0</v>
      </c>
      <c r="G141" s="24">
        <f>TVM!G141+KLM!G141+PTA!G141+ALP!G141+KTYM!G141+IDK!G141+EKM!G141+TSR!G141+PLKD!G141+MLPM!G141+KKD!G141+WYND!G141+KNR!G141+KSRGD!G141+SHS!G141</f>
        <v>0</v>
      </c>
      <c r="H141" s="24">
        <f>TVM!H141+KLM!H141+PTA!H141+ALP!H141+KTYM!H141+IDK!H141+EKM!H141+TSR!H141+PLKD!H141+MLPM!H141+KKD!H141+WYND!H141+KNR!H141+KSRGD!H141+SHS!H141</f>
        <v>0</v>
      </c>
      <c r="I141" s="24">
        <f>TVM!I141+KLM!I141+PTA!I141+ALP!I141+KTYM!I141+IDK!I141+EKM!I141+TSR!I141+PLKD!I141+MLPM!I141+KKD!I141+WYND!I141+KNR!I141+KSRGD!I141+SHS!I141</f>
        <v>0</v>
      </c>
      <c r="J141" s="24">
        <f>TVM!J141+KLM!J141+PTA!J141+ALP!J141+KTYM!J141+IDK!J141+EKM!J141+TSR!J141+PLKD!J141+MLPM!J141+KKD!J141+WYND!J141+KNR!J141+KSRGD!J141+SHS!J141</f>
        <v>0</v>
      </c>
      <c r="K141" s="24">
        <f>TVM!K141+KLM!K141+PTA!K141+ALP!K141+KTYM!K141+IDK!K141+EKM!K141+TSR!K141+PLKD!K141+MLPM!K141+KKD!K141+WYND!K141+KNR!K141+KSRGD!K141+SHS!K141</f>
        <v>0</v>
      </c>
      <c r="L141" s="24">
        <f>TVM!L141+KLM!L141+PTA!L141+ALP!L141+KTYM!L141+IDK!L141+EKM!L141+TSR!L141+PLKD!L141+MLPM!L141+KKD!L141+WYND!L141+KNR!L141+KSRGD!L141+SHS!L141</f>
        <v>0</v>
      </c>
      <c r="M141" s="24">
        <f>TVM!M141+KLM!M141+PTA!M141+ALP!M141+KTYM!M141+IDK!M141+EKM!M141+TSR!M141+PLKD!M141+MLPM!M141+KKD!M141+WYND!M141+KNR!M141+KSRGD!M141+SHS!M141</f>
        <v>0</v>
      </c>
      <c r="N141" s="24">
        <f>TVM!N141+KLM!N141+PTA!N141+ALP!N141+KTYM!N141+IDK!N141+EKM!N141+TSR!N141+PLKD!N141+MLPM!N141+KKD!N141+WYND!N141+KNR!N141+KSRGD!N141+SHS!N141</f>
        <v>0</v>
      </c>
      <c r="O141" s="24">
        <f>TVM!O141+KLM!O141+PTA!O141+ALP!O141+KTYM!O141+IDK!O141+EKM!O141+TSR!O141+PLKD!O141+MLPM!O141+KKD!O141+WYND!O141+KNR!O141+KSRGD!O141+SHS!O141</f>
        <v>0</v>
      </c>
      <c r="P141" s="24">
        <f>TVM!P141+KLM!P141+PTA!P141+ALP!P141+KTYM!P141+IDK!P141+EKM!P141+TSR!P141+PLKD!P141+MLPM!P141+KKD!P141+WYND!P141+KNR!P141+KSRGD!P141+SHS!P141</f>
        <v>0</v>
      </c>
      <c r="Q141" s="24">
        <f>TVM!Q141+KLM!Q141+PTA!Q141+ALP!Q141+KTYM!Q141+IDK!Q141+EKM!Q141+TSR!Q141+PLKD!Q141+MLPM!Q141+KKD!Q141+WYND!Q141+KNR!Q141+KSRGD!Q141+SHS!Q141</f>
        <v>0</v>
      </c>
      <c r="R141" s="24">
        <f>TVM!R141+KLM!R141+PTA!R141+ALP!R141+KTYM!R141+IDK!R141+EKM!R141+TSR!R141+PLKD!R141+MLPM!R141+KKD!R141+WYND!R141+KNR!R141+KSRGD!R141+SHS!R141</f>
        <v>0</v>
      </c>
      <c r="S141" s="24">
        <f>TVM!S141+KLM!S141+PTA!S141+ALP!S141+KTYM!S141+IDK!S141+EKM!S141+TSR!S141+PLKD!S141+MLPM!S141+KKD!S141+WYND!S141+KNR!S141+KSRGD!S141+SHS!S141</f>
        <v>0</v>
      </c>
      <c r="T141" s="6">
        <f t="shared" si="3"/>
        <v>0</v>
      </c>
      <c r="U141" s="9"/>
      <c r="V141" s="32"/>
      <c r="W141" s="1"/>
      <c r="X141" s="1"/>
      <c r="Y141" s="1"/>
      <c r="Z141" s="1"/>
    </row>
    <row r="142" spans="1:26" ht="39.75" customHeight="1">
      <c r="A142" s="171"/>
      <c r="B142" s="171"/>
      <c r="C142" s="171"/>
      <c r="D142" s="5">
        <v>134</v>
      </c>
      <c r="E142" s="5" t="s">
        <v>257</v>
      </c>
      <c r="F142" s="24">
        <f>TVM!F142+KLM!F142+PTA!F142+ALP!F142+KTYM!F142+IDK!F142+EKM!F142+TSR!F142+PLKD!F142+MLPM!F142+KKD!F142+WYND!F142+KNR!F142+KSRGD!F142+SHS!F142</f>
        <v>0</v>
      </c>
      <c r="G142" s="24">
        <f>TVM!G142+KLM!G142+PTA!G142+ALP!G142+KTYM!G142+IDK!G142+EKM!G142+TSR!G142+PLKD!G142+MLPM!G142+KKD!G142+WYND!G142+KNR!G142+KSRGD!G142+SHS!G142</f>
        <v>0</v>
      </c>
      <c r="H142" s="24">
        <f>TVM!H142+KLM!H142+PTA!H142+ALP!H142+KTYM!H142+IDK!H142+EKM!H142+TSR!H142+PLKD!H142+MLPM!H142+KKD!H142+WYND!H142+KNR!H142+KSRGD!H142+SHS!H142</f>
        <v>0</v>
      </c>
      <c r="I142" s="24">
        <f>TVM!I142+KLM!I142+PTA!I142+ALP!I142+KTYM!I142+IDK!I142+EKM!I142+TSR!I142+PLKD!I142+MLPM!I142+KKD!I142+WYND!I142+KNR!I142+KSRGD!I142+SHS!I142</f>
        <v>0</v>
      </c>
      <c r="J142" s="24">
        <f>TVM!J142+KLM!J142+PTA!J142+ALP!J142+KTYM!J142+IDK!J142+EKM!J142+TSR!J142+PLKD!J142+MLPM!J142+KKD!J142+WYND!J142+KNR!J142+KSRGD!J142+SHS!J142</f>
        <v>0</v>
      </c>
      <c r="K142" s="24">
        <f>TVM!K142+KLM!K142+PTA!K142+ALP!K142+KTYM!K142+IDK!K142+EKM!K142+TSR!K142+PLKD!K142+MLPM!K142+KKD!K142+WYND!K142+KNR!K142+KSRGD!K142+SHS!K142</f>
        <v>0</v>
      </c>
      <c r="L142" s="24">
        <f>TVM!L142+KLM!L142+PTA!L142+ALP!L142+KTYM!L142+IDK!L142+EKM!L142+TSR!L142+PLKD!L142+MLPM!L142+KKD!L142+WYND!L142+KNR!L142+KSRGD!L142+SHS!L142</f>
        <v>0</v>
      </c>
      <c r="M142" s="24">
        <f>TVM!M142+KLM!M142+PTA!M142+ALP!M142+KTYM!M142+IDK!M142+EKM!M142+TSR!M142+PLKD!M142+MLPM!M142+KKD!M142+WYND!M142+KNR!M142+KSRGD!M142+SHS!M142</f>
        <v>0</v>
      </c>
      <c r="N142" s="24">
        <f>TVM!N142+KLM!N142+PTA!N142+ALP!N142+KTYM!N142+IDK!N142+EKM!N142+TSR!N142+PLKD!N142+MLPM!N142+KKD!N142+WYND!N142+KNR!N142+KSRGD!N142+SHS!N142</f>
        <v>0</v>
      </c>
      <c r="O142" s="24">
        <f>TVM!O142+KLM!O142+PTA!O142+ALP!O142+KTYM!O142+IDK!O142+EKM!O142+TSR!O142+PLKD!O142+MLPM!O142+KKD!O142+WYND!O142+KNR!O142+KSRGD!O142+SHS!O142</f>
        <v>0</v>
      </c>
      <c r="P142" s="27">
        <f>TVM!P142+KLM!P142+PTA!P142+ALP!P142+KTYM!P142+IDK!P142+EKM!P142+TSR!P142+PLKD!P142+MLPM!P142+KKD!P142+WYND!P142+KNR!P142+KSRGD!P142+SHS!P142</f>
        <v>86.15</v>
      </c>
      <c r="Q142" s="24">
        <f>TVM!Q142+KLM!Q142+PTA!Q142+ALP!Q142+KTYM!Q142+IDK!Q142+EKM!Q142+TSR!Q142+PLKD!Q142+MLPM!Q142+KKD!Q142+WYND!Q142+KNR!Q142+KSRGD!Q142+SHS!Q142</f>
        <v>0</v>
      </c>
      <c r="R142" s="24">
        <f>TVM!R142+KLM!R142+PTA!R142+ALP!R142+KTYM!R142+IDK!R142+EKM!R142+TSR!R142+PLKD!R142+MLPM!R142+KKD!R142+WYND!R142+KNR!R142+KSRGD!R142+SHS!R142</f>
        <v>0</v>
      </c>
      <c r="S142" s="24">
        <f>TVM!S142+KLM!S142+PTA!S142+ALP!S142+KTYM!S142+IDK!S142+EKM!S142+TSR!S142+PLKD!S142+MLPM!S142+KKD!S142+WYND!S142+KNR!S142+KSRGD!S142+SHS!S142</f>
        <v>0</v>
      </c>
      <c r="T142" s="6">
        <f t="shared" si="3"/>
        <v>86.15</v>
      </c>
      <c r="U142" s="20"/>
      <c r="V142" s="32"/>
      <c r="W142" s="1"/>
      <c r="X142" s="1"/>
      <c r="Y142" s="1"/>
      <c r="Z142" s="1"/>
    </row>
    <row r="143" spans="1:26" ht="39.75" customHeight="1">
      <c r="A143" s="171"/>
      <c r="B143" s="171"/>
      <c r="C143" s="171"/>
      <c r="D143" s="5">
        <v>135</v>
      </c>
      <c r="E143" s="5" t="s">
        <v>259</v>
      </c>
      <c r="F143" s="24">
        <f>TVM!F143+KLM!F143+PTA!F143+ALP!F143+KTYM!F143+IDK!F143+EKM!F143+TSR!F143+PLKD!F143+MLPM!F143+KKD!F143+WYND!F143+KNR!F143+KSRGD!F143+SHS!F143</f>
        <v>0</v>
      </c>
      <c r="G143" s="24">
        <f>TVM!G143+KLM!G143+PTA!G143+ALP!G143+KTYM!G143+IDK!G143+EKM!G143+TSR!G143+PLKD!G143+MLPM!G143+KKD!G143+WYND!G143+KNR!G143+KSRGD!G143+SHS!G143</f>
        <v>0</v>
      </c>
      <c r="H143" s="24">
        <f>TVM!H143+KLM!H143+PTA!H143+ALP!H143+KTYM!H143+IDK!H143+EKM!H143+TSR!H143+PLKD!H143+MLPM!H143+KKD!H143+WYND!H143+KNR!H143+KSRGD!H143+SHS!H143</f>
        <v>0</v>
      </c>
      <c r="I143" s="24">
        <f>TVM!I143+KLM!I143+PTA!I143+ALP!I143+KTYM!I143+IDK!I143+EKM!I143+TSR!I143+PLKD!I143+MLPM!I143+KKD!I143+WYND!I143+KNR!I143+KSRGD!I143+SHS!I143</f>
        <v>0</v>
      </c>
      <c r="J143" s="24">
        <f>TVM!J143+KLM!J143+PTA!J143+ALP!J143+KTYM!J143+IDK!J143+EKM!J143+TSR!J143+PLKD!J143+MLPM!J143+KKD!J143+WYND!J143+KNR!J143+KSRGD!J143+SHS!J143</f>
        <v>0</v>
      </c>
      <c r="K143" s="24">
        <f>TVM!K143+KLM!K143+PTA!K143+ALP!K143+KTYM!K143+IDK!K143+EKM!K143+TSR!K143+PLKD!K143+MLPM!K143+KKD!K143+WYND!K143+KNR!K143+KSRGD!K143+SHS!K143</f>
        <v>0</v>
      </c>
      <c r="L143" s="24">
        <f>TVM!L143+KLM!L143+PTA!L143+ALP!L143+KTYM!L143+IDK!L143+EKM!L143+TSR!L143+PLKD!L143+MLPM!L143+KKD!L143+WYND!L143+KNR!L143+KSRGD!L143+SHS!L143</f>
        <v>0</v>
      </c>
      <c r="M143" s="24">
        <f>TVM!M143+KLM!M143+PTA!M143+ALP!M143+KTYM!M143+IDK!M143+EKM!M143+TSR!M143+PLKD!M143+MLPM!M143+KKD!M143+WYND!M143+KNR!M143+KSRGD!M143+SHS!M143</f>
        <v>0</v>
      </c>
      <c r="N143" s="24">
        <f>TVM!N143+KLM!N143+PTA!N143+ALP!N143+KTYM!N143+IDK!N143+EKM!N143+TSR!N143+PLKD!N143+MLPM!N143+KKD!N143+WYND!N143+KNR!N143+KSRGD!N143+SHS!N143</f>
        <v>0</v>
      </c>
      <c r="O143" s="24">
        <f>TVM!O143+KLM!O143+PTA!O143+ALP!O143+KTYM!O143+IDK!O143+EKM!O143+TSR!O143+PLKD!O143+MLPM!O143+KKD!O143+WYND!O143+KNR!O143+KSRGD!O143+SHS!O143</f>
        <v>0</v>
      </c>
      <c r="P143" s="24">
        <f>TVM!P143+KLM!P143+PTA!P143+ALP!P143+KTYM!P143+IDK!P143+EKM!P143+TSR!P143+PLKD!P143+MLPM!P143+KKD!P143+WYND!P143+KNR!P143+KSRGD!P143+SHS!P143</f>
        <v>0</v>
      </c>
      <c r="Q143" s="24">
        <f>TVM!Q143+KLM!Q143+PTA!Q143+ALP!Q143+KTYM!Q143+IDK!Q143+EKM!Q143+TSR!Q143+PLKD!Q143+MLPM!Q143+KKD!Q143+WYND!Q143+KNR!Q143+KSRGD!Q143+SHS!Q143</f>
        <v>0</v>
      </c>
      <c r="R143" s="24">
        <f>TVM!R143+KLM!R143+PTA!R143+ALP!R143+KTYM!R143+IDK!R143+EKM!R143+TSR!R143+PLKD!R143+MLPM!R143+KKD!R143+WYND!R143+KNR!R143+KSRGD!R143+SHS!R143</f>
        <v>0</v>
      </c>
      <c r="S143" s="24">
        <f>TVM!S143+KLM!S143+PTA!S143+ALP!S143+KTYM!S143+IDK!S143+EKM!S143+TSR!S143+PLKD!S143+MLPM!S143+KKD!S143+WYND!S143+KNR!S143+KSRGD!S143+SHS!S143</f>
        <v>0</v>
      </c>
      <c r="T143" s="6">
        <f t="shared" si="3"/>
        <v>0</v>
      </c>
      <c r="U143" s="9"/>
      <c r="V143" s="32"/>
      <c r="W143" s="1"/>
      <c r="X143" s="1"/>
      <c r="Y143" s="1"/>
      <c r="Z143" s="1"/>
    </row>
    <row r="144" spans="1:26" ht="39.75" customHeight="1">
      <c r="A144" s="171"/>
      <c r="B144" s="169"/>
      <c r="C144" s="169"/>
      <c r="D144" s="5">
        <v>136</v>
      </c>
      <c r="E144" s="5" t="s">
        <v>260</v>
      </c>
      <c r="F144" s="24">
        <f>TVM!F144+KLM!F144+PTA!F144+ALP!F144+KTYM!F144+IDK!F144+EKM!F144+TSR!F144+PLKD!F144+MLPM!F144+KKD!F144+WYND!F144+KNR!F144+KSRGD!F144+SHS!F144</f>
        <v>0</v>
      </c>
      <c r="G144" s="24">
        <f>TVM!G144+KLM!G144+PTA!G144+ALP!G144+KTYM!G144+IDK!G144+EKM!G144+TSR!G144+PLKD!G144+MLPM!G144+KKD!G144+WYND!G144+KNR!G144+KSRGD!G144+SHS!G144</f>
        <v>0</v>
      </c>
      <c r="H144" s="24">
        <f>TVM!H144+KLM!H144+PTA!H144+ALP!H144+KTYM!H144+IDK!H144+EKM!H144+TSR!H144+PLKD!H144+MLPM!H144+KKD!H144+WYND!H144+KNR!H144+KSRGD!H144+SHS!H144</f>
        <v>0</v>
      </c>
      <c r="I144" s="24">
        <f>TVM!I144+KLM!I144+PTA!I144+ALP!I144+KTYM!I144+IDK!I144+EKM!I144+TSR!I144+PLKD!I144+MLPM!I144+KKD!I144+WYND!I144+KNR!I144+KSRGD!I144+SHS!I144</f>
        <v>0</v>
      </c>
      <c r="J144" s="24">
        <f>TVM!J144+KLM!J144+PTA!J144+ALP!J144+KTYM!J144+IDK!J144+EKM!J144+TSR!J144+PLKD!J144+MLPM!J144+KKD!J144+WYND!J144+KNR!J144+KSRGD!J144+SHS!J144</f>
        <v>0</v>
      </c>
      <c r="K144" s="24">
        <f>TVM!K144+KLM!K144+PTA!K144+ALP!K144+KTYM!K144+IDK!K144+EKM!K144+TSR!K144+PLKD!K144+MLPM!K144+KKD!K144+WYND!K144+KNR!K144+KSRGD!K144+SHS!K144</f>
        <v>0</v>
      </c>
      <c r="L144" s="24">
        <f>TVM!L144+KLM!L144+PTA!L144+ALP!L144+KTYM!L144+IDK!L144+EKM!L144+TSR!L144+PLKD!L144+MLPM!L144+KKD!L144+WYND!L144+KNR!L144+KSRGD!L144+SHS!L144</f>
        <v>0</v>
      </c>
      <c r="M144" s="24">
        <f>TVM!M144+KLM!M144+PTA!M144+ALP!M144+KTYM!M144+IDK!M144+EKM!M144+TSR!M144+PLKD!M144+MLPM!M144+KKD!M144+WYND!M144+KNR!M144+KSRGD!M144+SHS!M144</f>
        <v>0</v>
      </c>
      <c r="N144" s="24">
        <f>TVM!N144+KLM!N144+PTA!N144+ALP!N144+KTYM!N144+IDK!N144+EKM!N144+TSR!N144+PLKD!N144+MLPM!N144+KKD!N144+WYND!N144+KNR!N144+KSRGD!N144+SHS!N144</f>
        <v>0</v>
      </c>
      <c r="O144" s="24">
        <f>TVM!O144+KLM!O144+PTA!O144+ALP!O144+KTYM!O144+IDK!O144+EKM!O144+TSR!O144+PLKD!O144+MLPM!O144+KKD!O144+WYND!O144+KNR!O144+KSRGD!O144+SHS!O144</f>
        <v>0</v>
      </c>
      <c r="P144" s="27">
        <f>TVM!P144+KLM!P144+PTA!P144+ALP!P144+KTYM!P144+IDK!P144+EKM!P144+TSR!P144+PLKD!P144+MLPM!P144+KKD!P144+WYND!P144+KNR!P144+KSRGD!P144+SHS!P144</f>
        <v>30</v>
      </c>
      <c r="Q144" s="24">
        <f>TVM!Q144+KLM!Q144+PTA!Q144+ALP!Q144+KTYM!Q144+IDK!Q144+EKM!Q144+TSR!Q144+PLKD!Q144+MLPM!Q144+KKD!Q144+WYND!Q144+KNR!Q144+KSRGD!Q144+SHS!Q144</f>
        <v>0</v>
      </c>
      <c r="R144" s="24">
        <f>TVM!R144+KLM!R144+PTA!R144+ALP!R144+KTYM!R144+IDK!R144+EKM!R144+TSR!R144+PLKD!R144+MLPM!R144+KKD!R144+WYND!R144+KNR!R144+KSRGD!R144+SHS!R144</f>
        <v>0</v>
      </c>
      <c r="S144" s="24">
        <f>TVM!S144+KLM!S144+PTA!S144+ALP!S144+KTYM!S144+IDK!S144+EKM!S144+TSR!S144+PLKD!S144+MLPM!S144+KKD!S144+WYND!S144+KNR!S144+KSRGD!S144+SHS!S144</f>
        <v>0</v>
      </c>
      <c r="T144" s="6">
        <f t="shared" si="3"/>
        <v>30</v>
      </c>
      <c r="U144" s="20"/>
      <c r="V144" s="32"/>
      <c r="W144" s="1"/>
      <c r="X144" s="1"/>
      <c r="Y144" s="1"/>
      <c r="Z144" s="1"/>
    </row>
    <row r="145" spans="1:26" ht="39.75" customHeight="1">
      <c r="A145" s="171"/>
      <c r="B145" s="168" t="s">
        <v>261</v>
      </c>
      <c r="C145" s="168" t="s">
        <v>262</v>
      </c>
      <c r="D145" s="5">
        <v>137</v>
      </c>
      <c r="E145" s="5" t="s">
        <v>263</v>
      </c>
      <c r="F145" s="24">
        <f>TVM!F145+KLM!F145+PTA!F145+ALP!F145+KTYM!F145+IDK!F145+EKM!F145+TSR!F145+PLKD!F145+MLPM!F145+KKD!F145+WYND!F145+KNR!F145+KSRGD!F145+SHS!F145</f>
        <v>0</v>
      </c>
      <c r="G145" s="24">
        <f>TVM!G145+KLM!G145+PTA!G145+ALP!G145+KTYM!G145+IDK!G145+EKM!G145+TSR!G145+PLKD!G145+MLPM!G145+KKD!G145+WYND!G145+KNR!G145+KSRGD!G145+SHS!G145</f>
        <v>0</v>
      </c>
      <c r="H145" s="24">
        <f>TVM!H145+KLM!H145+PTA!H145+ALP!H145+KTYM!H145+IDK!H145+EKM!H145+TSR!H145+PLKD!H145+MLPM!H145+KKD!H145+WYND!H145+KNR!H145+KSRGD!H145+SHS!H145</f>
        <v>0</v>
      </c>
      <c r="I145" s="24">
        <f>TVM!I145+KLM!I145+PTA!I145+ALP!I145+KTYM!I145+IDK!I145+EKM!I145+TSR!I145+PLKD!I145+MLPM!I145+KKD!I145+WYND!I145+KNR!I145+KSRGD!I145+SHS!I145</f>
        <v>0</v>
      </c>
      <c r="J145" s="24">
        <f>TVM!J145+KLM!J145+PTA!J145+ALP!J145+KTYM!J145+IDK!J145+EKM!J145+TSR!J145+PLKD!J145+MLPM!J145+KKD!J145+WYND!J145+KNR!J145+KSRGD!J145+SHS!J145</f>
        <v>0</v>
      </c>
      <c r="K145" s="24">
        <f>TVM!K145+KLM!K145+PTA!K145+ALP!K145+KTYM!K145+IDK!K145+EKM!K145+TSR!K145+PLKD!K145+MLPM!K145+KKD!K145+WYND!K145+KNR!K145+KSRGD!K145+SHS!K145</f>
        <v>0</v>
      </c>
      <c r="L145" s="24">
        <f>TVM!L145+KLM!L145+PTA!L145+ALP!L145+KTYM!L145+IDK!L145+EKM!L145+TSR!L145+PLKD!L145+MLPM!L145+KKD!L145+WYND!L145+KNR!L145+KSRGD!L145+SHS!L145</f>
        <v>0</v>
      </c>
      <c r="M145" s="27">
        <f>TVM!M145+KLM!M145+PTA!M145+ALP!M145+KTYM!M145+IDK!M145+EKM!M145+TSR!M145+PLKD!M145+MLPM!M145+KKD!M145+WYND!M145+KNR!M145+KSRGD!M145+SHS!M145</f>
        <v>0</v>
      </c>
      <c r="N145" s="24">
        <f>TVM!N145+KLM!N145+PTA!N145+ALP!N145+KTYM!N145+IDK!N145+EKM!N145+TSR!N145+PLKD!N145+MLPM!N145+KKD!N145+WYND!N145+KNR!N145+KSRGD!N145+SHS!N145</f>
        <v>0</v>
      </c>
      <c r="O145" s="24">
        <f>TVM!O145+KLM!O145+PTA!O145+ALP!O145+KTYM!O145+IDK!O145+EKM!O145+TSR!O145+PLKD!O145+MLPM!O145+KKD!O145+WYND!O145+KNR!O145+KSRGD!O145+SHS!O145</f>
        <v>0</v>
      </c>
      <c r="P145" s="27">
        <f>TVM!P145+KLM!P145+PTA!P145+ALP!P145+KTYM!P145+IDK!P145+EKM!P145+TSR!P145+PLKD!P145+MLPM!P145+KKD!P145+WYND!P145+KNR!P145+KSRGD!P145+SHS!P145</f>
        <v>25.239999999999995</v>
      </c>
      <c r="Q145" s="24">
        <f>TVM!Q145+KLM!Q145+PTA!Q145+ALP!Q145+KTYM!Q145+IDK!Q145+EKM!Q145+TSR!Q145+PLKD!Q145+MLPM!Q145+KKD!Q145+WYND!Q145+KNR!Q145+KSRGD!Q145+SHS!Q145</f>
        <v>0</v>
      </c>
      <c r="R145" s="24">
        <f>TVM!R145+KLM!R145+PTA!R145+ALP!R145+KTYM!R145+IDK!R145+EKM!R145+TSR!R145+PLKD!R145+MLPM!R145+KKD!R145+WYND!R145+KNR!R145+KSRGD!R145+SHS!R145</f>
        <v>0</v>
      </c>
      <c r="S145" s="24">
        <f>TVM!S145+KLM!S145+PTA!S145+ALP!S145+KTYM!S145+IDK!S145+EKM!S145+TSR!S145+PLKD!S145+MLPM!S145+KKD!S145+WYND!S145+KNR!S145+KSRGD!S145+SHS!S145</f>
        <v>0</v>
      </c>
      <c r="T145" s="6">
        <f t="shared" si="3"/>
        <v>25.239999999999995</v>
      </c>
      <c r="U145" s="20"/>
      <c r="V145" s="32"/>
      <c r="W145" s="1"/>
      <c r="X145" s="1"/>
      <c r="Y145" s="1"/>
      <c r="Z145" s="1"/>
    </row>
    <row r="146" spans="1:26" ht="39.75" customHeight="1">
      <c r="A146" s="171"/>
      <c r="B146" s="169"/>
      <c r="C146" s="169"/>
      <c r="D146" s="5">
        <v>138</v>
      </c>
      <c r="E146" s="5" t="s">
        <v>265</v>
      </c>
      <c r="F146" s="24">
        <f>TVM!F146+KLM!F146+PTA!F146+ALP!F146+KTYM!F146+IDK!F146+EKM!F146+TSR!F146+PLKD!F146+MLPM!F146+KKD!F146+WYND!F146+KNR!F146+KSRGD!F146+SHS!F146</f>
        <v>0</v>
      </c>
      <c r="G146" s="24">
        <f>TVM!G146+KLM!G146+PTA!G146+ALP!G146+KTYM!G146+IDK!G146+EKM!G146+TSR!G146+PLKD!G146+MLPM!G146+KKD!G146+WYND!G146+KNR!G146+KSRGD!G146+SHS!G146</f>
        <v>0</v>
      </c>
      <c r="H146" s="27">
        <f>TVM!H146+KLM!H146+PTA!H146+ALP!H146+KTYM!H146+IDK!H146+EKM!H146+TSR!H146+PLKD!H146+MLPM!H146+KKD!H146+WYND!H146+KNR!H146+KSRGD!H146+SHS!H146</f>
        <v>0</v>
      </c>
      <c r="I146" s="27">
        <f>TVM!I146+KLM!I146+PTA!I146+ALP!I146+KTYM!I146+IDK!I146+EKM!I146+TSR!I146+PLKD!I146+MLPM!I146+KKD!I146+WYND!I146+KNR!I146+KSRGD!I146+SHS!I146</f>
        <v>5</v>
      </c>
      <c r="J146" s="24">
        <f>TVM!J146+KLM!J146+PTA!J146+ALP!J146+KTYM!J146+IDK!J146+EKM!J146+TSR!J146+PLKD!J146+MLPM!J146+KKD!J146+WYND!J146+KNR!J146+KSRGD!J146+SHS!J146</f>
        <v>0</v>
      </c>
      <c r="K146" s="27">
        <f>TVM!K146+KLM!K146+PTA!K146+ALP!K146+KTYM!K146+IDK!K146+EKM!K146+TSR!K146+PLKD!K146+MLPM!K146+KKD!K146+WYND!K146+KNR!K146+KSRGD!K146+SHS!K146</f>
        <v>30</v>
      </c>
      <c r="L146" s="24">
        <f>TVM!L146+KLM!L146+PTA!L146+ALP!L146+KTYM!L146+IDK!L146+EKM!L146+TSR!L146+PLKD!L146+MLPM!L146+KKD!L146+WYND!L146+KNR!L146+KSRGD!L146+SHS!L146</f>
        <v>0</v>
      </c>
      <c r="M146" s="27">
        <f>TVM!M146+KLM!M146+PTA!M146+ALP!M146+KTYM!M146+IDK!M146+EKM!M146+TSR!M146+PLKD!M146+MLPM!M146+KKD!M146+WYND!M146+KNR!M146+KSRGD!M146+SHS!M146</f>
        <v>1</v>
      </c>
      <c r="N146" s="24">
        <f>TVM!N146+KLM!N146+PTA!N146+ALP!N146+KTYM!N146+IDK!N146+EKM!N146+TSR!N146+PLKD!N146+MLPM!N146+KKD!N146+WYND!N146+KNR!N146+KSRGD!N146+SHS!N146</f>
        <v>0</v>
      </c>
      <c r="O146" s="24">
        <f>TVM!O146+KLM!O146+PTA!O146+ALP!O146+KTYM!O146+IDK!O146+EKM!O146+TSR!O146+PLKD!O146+MLPM!O146+KKD!O146+WYND!O146+KNR!O146+KSRGD!O146+SHS!O146</f>
        <v>0</v>
      </c>
      <c r="P146" s="27">
        <f>TVM!P146+KLM!P146+PTA!P146+ALP!P146+KTYM!P146+IDK!P146+EKM!P146+TSR!P146+PLKD!P146+MLPM!P146+KKD!P146+WYND!P146+KNR!P146+KSRGD!P146+SHS!P146</f>
        <v>0.48</v>
      </c>
      <c r="Q146" s="24">
        <f>TVM!Q146+KLM!Q146+PTA!Q146+ALP!Q146+KTYM!Q146+IDK!Q146+EKM!Q146+TSR!Q146+PLKD!Q146+MLPM!Q146+KKD!Q146+WYND!Q146+KNR!Q146+KSRGD!Q146+SHS!Q146</f>
        <v>0</v>
      </c>
      <c r="R146" s="24">
        <f>TVM!R146+KLM!R146+PTA!R146+ALP!R146+KTYM!R146+IDK!R146+EKM!R146+TSR!R146+PLKD!R146+MLPM!R146+KKD!R146+WYND!R146+KNR!R146+KSRGD!R146+SHS!R146</f>
        <v>0</v>
      </c>
      <c r="S146" s="24">
        <f>TVM!S146+KLM!S146+PTA!S146+ALP!S146+KTYM!S146+IDK!S146+EKM!S146+TSR!S146+PLKD!S146+MLPM!S146+KKD!S146+WYND!S146+KNR!S146+KSRGD!S146+SHS!S146</f>
        <v>0</v>
      </c>
      <c r="T146" s="6">
        <f t="shared" si="3"/>
        <v>36.479999999999997</v>
      </c>
      <c r="U146" s="20"/>
      <c r="V146" s="32"/>
      <c r="W146" s="1"/>
      <c r="X146" s="1"/>
      <c r="Y146" s="1"/>
      <c r="Z146" s="1"/>
    </row>
    <row r="147" spans="1:26" ht="39.75" customHeight="1">
      <c r="A147" s="171"/>
      <c r="B147" s="168" t="s">
        <v>266</v>
      </c>
      <c r="C147" s="168" t="s">
        <v>267</v>
      </c>
      <c r="D147" s="5">
        <v>139</v>
      </c>
      <c r="E147" s="5" t="s">
        <v>268</v>
      </c>
      <c r="F147" s="24">
        <f>TVM!F147+KLM!F147+PTA!F147+ALP!F147+KTYM!F147+IDK!F147+EKM!F147+TSR!F147+PLKD!F147+MLPM!F147+KKD!F147+WYND!F147+KNR!F147+KSRGD!F147+SHS!F147</f>
        <v>0</v>
      </c>
      <c r="G147" s="24">
        <f>TVM!G147+KLM!G147+PTA!G147+ALP!G147+KTYM!G147+IDK!G147+EKM!G147+TSR!G147+PLKD!G147+MLPM!G147+KKD!G147+WYND!G147+KNR!G147+KSRGD!G147+SHS!G147</f>
        <v>0</v>
      </c>
      <c r="H147" s="24">
        <f>TVM!H147+KLM!H147+PTA!H147+ALP!H147+KTYM!H147+IDK!H147+EKM!H147+TSR!H147+PLKD!H147+MLPM!H147+KKD!H147+WYND!H147+KNR!H147+KSRGD!H147+SHS!H147</f>
        <v>0</v>
      </c>
      <c r="I147" s="24">
        <f>TVM!I147+KLM!I147+PTA!I147+ALP!I147+KTYM!I147+IDK!I147+EKM!I147+TSR!I147+PLKD!I147+MLPM!I147+KKD!I147+WYND!I147+KNR!I147+KSRGD!I147+SHS!I147</f>
        <v>0</v>
      </c>
      <c r="J147" s="24">
        <f>TVM!J147+KLM!J147+PTA!J147+ALP!J147+KTYM!J147+IDK!J147+EKM!J147+TSR!J147+PLKD!J147+MLPM!J147+KKD!J147+WYND!J147+KNR!J147+KSRGD!J147+SHS!J147</f>
        <v>0</v>
      </c>
      <c r="K147" s="24">
        <f>TVM!K147+KLM!K147+PTA!K147+ALP!K147+KTYM!K147+IDK!K147+EKM!K147+TSR!K147+PLKD!K147+MLPM!K147+KKD!K147+WYND!K147+KNR!K147+KSRGD!K147+SHS!K147</f>
        <v>0</v>
      </c>
      <c r="L147" s="24">
        <f>TVM!L147+KLM!L147+PTA!L147+ALP!L147+KTYM!L147+IDK!L147+EKM!L147+TSR!L147+PLKD!L147+MLPM!L147+KKD!L147+WYND!L147+KNR!L147+KSRGD!L147+SHS!L147</f>
        <v>0</v>
      </c>
      <c r="M147" s="24">
        <f>TVM!M147+KLM!M147+PTA!M147+ALP!M147+KTYM!M147+IDK!M147+EKM!M147+TSR!M147+PLKD!M147+MLPM!M147+KKD!M147+WYND!M147+KNR!M147+KSRGD!M147+SHS!M147</f>
        <v>0</v>
      </c>
      <c r="N147" s="27">
        <f>TVM!N147+KLM!N147+PTA!N147+ALP!N147+KTYM!N147+IDK!N147+EKM!N147+TSR!N147+PLKD!N147+MLPM!N147+KKD!N147+WYND!N147+KNR!N147+KSRGD!N147+SHS!N147</f>
        <v>2.6</v>
      </c>
      <c r="O147" s="24">
        <f>TVM!O147+KLM!O147+PTA!O147+ALP!O147+KTYM!O147+IDK!O147+EKM!O147+TSR!O147+PLKD!O147+MLPM!O147+KKD!O147+WYND!O147+KNR!O147+KSRGD!O147+SHS!O147</f>
        <v>0</v>
      </c>
      <c r="P147" s="27">
        <f>TVM!P147+KLM!P147+PTA!P147+ALP!P147+KTYM!P147+IDK!P147+EKM!P147+TSR!P147+PLKD!P147+MLPM!P147+KKD!P147+WYND!P147+KNR!P147+KSRGD!P147+SHS!P147</f>
        <v>104</v>
      </c>
      <c r="Q147" s="24">
        <f>TVM!Q147+KLM!Q147+PTA!Q147+ALP!Q147+KTYM!Q147+IDK!Q147+EKM!Q147+TSR!Q147+PLKD!Q147+MLPM!Q147+KKD!Q147+WYND!Q147+KNR!Q147+KSRGD!Q147+SHS!Q147</f>
        <v>0</v>
      </c>
      <c r="R147" s="27">
        <f>TVM!R147+KLM!R147+PTA!R147+ALP!R147+KTYM!R147+IDK!R147+EKM!R147+TSR!R147+PLKD!R147+MLPM!R147+KKD!R147+WYND!R147+KNR!R147+KSRGD!R147+SHS!R147</f>
        <v>4.8</v>
      </c>
      <c r="S147" s="24">
        <f>TVM!S147+KLM!S147+PTA!S147+ALP!S147+KTYM!S147+IDK!S147+EKM!S147+TSR!S147+PLKD!S147+MLPM!S147+KKD!S147+WYND!S147+KNR!S147+KSRGD!S147+SHS!S147</f>
        <v>0</v>
      </c>
      <c r="T147" s="6">
        <f t="shared" si="3"/>
        <v>111.39999999999999</v>
      </c>
      <c r="U147" s="20"/>
      <c r="V147" s="32"/>
      <c r="W147" s="1"/>
      <c r="X147" s="1"/>
      <c r="Y147" s="1"/>
      <c r="Z147" s="1"/>
    </row>
    <row r="148" spans="1:26" ht="39.75" customHeight="1">
      <c r="A148" s="171"/>
      <c r="B148" s="171"/>
      <c r="C148" s="171"/>
      <c r="D148" s="5">
        <v>140</v>
      </c>
      <c r="E148" s="5" t="s">
        <v>269</v>
      </c>
      <c r="F148" s="24">
        <f>TVM!F148+KLM!F148+PTA!F148+ALP!F148+KTYM!F148+IDK!F148+EKM!F148+TSR!F148+PLKD!F148+MLPM!F148+KKD!F148+WYND!F148+KNR!F148+KSRGD!F148+SHS!F148</f>
        <v>0</v>
      </c>
      <c r="G148" s="24">
        <f>TVM!G148+KLM!G148+PTA!G148+ALP!G148+KTYM!G148+IDK!G148+EKM!G148+TSR!G148+PLKD!G148+MLPM!G148+KKD!G148+WYND!G148+KNR!G148+KSRGD!G148+SHS!G148</f>
        <v>0</v>
      </c>
      <c r="H148" s="24">
        <f>TVM!H148+KLM!H148+PTA!H148+ALP!H148+KTYM!H148+IDK!H148+EKM!H148+TSR!H148+PLKD!H148+MLPM!H148+KKD!H148+WYND!H148+KNR!H148+KSRGD!H148+SHS!H148</f>
        <v>0</v>
      </c>
      <c r="I148" s="24">
        <f>TVM!I148+KLM!I148+PTA!I148+ALP!I148+KTYM!I148+IDK!I148+EKM!I148+TSR!I148+PLKD!I148+MLPM!I148+KKD!I148+WYND!I148+KNR!I148+KSRGD!I148+SHS!I148</f>
        <v>0</v>
      </c>
      <c r="J148" s="24">
        <f>TVM!J148+KLM!J148+PTA!J148+ALP!J148+KTYM!J148+IDK!J148+EKM!J148+TSR!J148+PLKD!J148+MLPM!J148+KKD!J148+WYND!J148+KNR!J148+KSRGD!J148+SHS!J148</f>
        <v>0</v>
      </c>
      <c r="K148" s="24">
        <f>TVM!K148+KLM!K148+PTA!K148+ALP!K148+KTYM!K148+IDK!K148+EKM!K148+TSR!K148+PLKD!K148+MLPM!K148+KKD!K148+WYND!K148+KNR!K148+KSRGD!K148+SHS!K148</f>
        <v>0</v>
      </c>
      <c r="L148" s="24">
        <f>TVM!L148+KLM!L148+PTA!L148+ALP!L148+KTYM!L148+IDK!L148+EKM!L148+TSR!L148+PLKD!L148+MLPM!L148+KKD!L148+WYND!L148+KNR!L148+KSRGD!L148+SHS!L148</f>
        <v>0</v>
      </c>
      <c r="M148" s="24">
        <f>TVM!M148+KLM!M148+PTA!M148+ALP!M148+KTYM!M148+IDK!M148+EKM!M148+TSR!M148+PLKD!M148+MLPM!M148+KKD!M148+WYND!M148+KNR!M148+KSRGD!M148+SHS!M148</f>
        <v>0</v>
      </c>
      <c r="N148" s="24">
        <f>TVM!N148+KLM!N148+PTA!N148+ALP!N148+KTYM!N148+IDK!N148+EKM!N148+TSR!N148+PLKD!N148+MLPM!N148+KKD!N148+WYND!N148+KNR!N148+KSRGD!N148+SHS!N148</f>
        <v>0</v>
      </c>
      <c r="O148" s="24">
        <f>TVM!O148+KLM!O148+PTA!O148+ALP!O148+KTYM!O148+IDK!O148+EKM!O148+TSR!O148+PLKD!O148+MLPM!O148+KKD!O148+WYND!O148+KNR!O148+KSRGD!O148+SHS!O148</f>
        <v>0</v>
      </c>
      <c r="P148" s="27">
        <f>TVM!P148+KLM!P148+PTA!P148+ALP!P148+KTYM!P148+IDK!P148+EKM!P148+TSR!P148+PLKD!P148+MLPM!P148+KKD!P148+WYND!P148+KNR!P148+KSRGD!P148+SHS!P148</f>
        <v>133.595</v>
      </c>
      <c r="Q148" s="24">
        <f>TVM!Q148+KLM!Q148+PTA!Q148+ALP!Q148+KTYM!Q148+IDK!Q148+EKM!Q148+TSR!Q148+PLKD!Q148+MLPM!Q148+KKD!Q148+WYND!Q148+KNR!Q148+KSRGD!Q148+SHS!Q148</f>
        <v>0</v>
      </c>
      <c r="R148" s="24">
        <f>TVM!R148+KLM!R148+PTA!R148+ALP!R148+KTYM!R148+IDK!R148+EKM!R148+TSR!R148+PLKD!R148+MLPM!R148+KKD!R148+WYND!R148+KNR!R148+KSRGD!R148+SHS!R148</f>
        <v>0</v>
      </c>
      <c r="S148" s="24">
        <f>TVM!S148+KLM!S148+PTA!S148+ALP!S148+KTYM!S148+IDK!S148+EKM!S148+TSR!S148+PLKD!S148+MLPM!S148+KKD!S148+WYND!S148+KNR!S148+KSRGD!S148+SHS!S148</f>
        <v>0</v>
      </c>
      <c r="T148" s="6">
        <f t="shared" si="3"/>
        <v>133.595</v>
      </c>
      <c r="U148" s="20"/>
      <c r="V148" s="32"/>
      <c r="W148" s="1"/>
      <c r="X148" s="1"/>
      <c r="Y148" s="1"/>
      <c r="Z148" s="1"/>
    </row>
    <row r="149" spans="1:26" ht="39.75" customHeight="1">
      <c r="A149" s="171"/>
      <c r="B149" s="169"/>
      <c r="C149" s="169"/>
      <c r="D149" s="5">
        <v>141</v>
      </c>
      <c r="E149" s="5" t="s">
        <v>270</v>
      </c>
      <c r="F149" s="24">
        <f>TVM!F149+KLM!F149+PTA!F149+ALP!F149+KTYM!F149+IDK!F149+EKM!F149+TSR!F149+PLKD!F149+MLPM!F149+KKD!F149+WYND!F149+KNR!F149+KSRGD!F149+SHS!F149</f>
        <v>0</v>
      </c>
      <c r="G149" s="24">
        <f>TVM!G149+KLM!G149+PTA!G149+ALP!G149+KTYM!G149+IDK!G149+EKM!G149+TSR!G149+PLKD!G149+MLPM!G149+KKD!G149+WYND!G149+KNR!G149+KSRGD!G149+SHS!G149</f>
        <v>0</v>
      </c>
      <c r="H149" s="24">
        <f>TVM!H149+KLM!H149+PTA!H149+ALP!H149+KTYM!H149+IDK!H149+EKM!H149+TSR!H149+PLKD!H149+MLPM!H149+KKD!H149+WYND!H149+KNR!H149+KSRGD!H149+SHS!H149</f>
        <v>0</v>
      </c>
      <c r="I149" s="24">
        <f>TVM!I149+KLM!I149+PTA!I149+ALP!I149+KTYM!I149+IDK!I149+EKM!I149+TSR!I149+PLKD!I149+MLPM!I149+KKD!I149+WYND!I149+KNR!I149+KSRGD!I149+SHS!I149</f>
        <v>0</v>
      </c>
      <c r="J149" s="24">
        <f>TVM!J149+KLM!J149+PTA!J149+ALP!J149+KTYM!J149+IDK!J149+EKM!J149+TSR!J149+PLKD!J149+MLPM!J149+KKD!J149+WYND!J149+KNR!J149+KSRGD!J149+SHS!J149</f>
        <v>0</v>
      </c>
      <c r="K149" s="24">
        <f>TVM!K149+KLM!K149+PTA!K149+ALP!K149+KTYM!K149+IDK!K149+EKM!K149+TSR!K149+PLKD!K149+MLPM!K149+KKD!K149+WYND!K149+KNR!K149+KSRGD!K149+SHS!K149</f>
        <v>0</v>
      </c>
      <c r="L149" s="24">
        <f>TVM!L149+KLM!L149+PTA!L149+ALP!L149+KTYM!L149+IDK!L149+EKM!L149+TSR!L149+PLKD!L149+MLPM!L149+KKD!L149+WYND!L149+KNR!L149+KSRGD!L149+SHS!L149</f>
        <v>0</v>
      </c>
      <c r="M149" s="24">
        <f>TVM!M149+KLM!M149+PTA!M149+ALP!M149+KTYM!M149+IDK!M149+EKM!M149+TSR!M149+PLKD!M149+MLPM!M149+KKD!M149+WYND!M149+KNR!M149+KSRGD!M149+SHS!M149</f>
        <v>0</v>
      </c>
      <c r="N149" s="24">
        <f>TVM!N149+KLM!N149+PTA!N149+ALP!N149+KTYM!N149+IDK!N149+EKM!N149+TSR!N149+PLKD!N149+MLPM!N149+KKD!N149+WYND!N149+KNR!N149+KSRGD!N149+SHS!N149</f>
        <v>0</v>
      </c>
      <c r="O149" s="24">
        <f>TVM!O149+KLM!O149+PTA!O149+ALP!O149+KTYM!O149+IDK!O149+EKM!O149+TSR!O149+PLKD!O149+MLPM!O149+KKD!O149+WYND!O149+KNR!O149+KSRGD!O149+SHS!O149</f>
        <v>0</v>
      </c>
      <c r="P149" s="24">
        <f>TVM!P149+KLM!P149+PTA!P149+ALP!P149+KTYM!P149+IDK!P149+EKM!P149+TSR!P149+PLKD!P149+MLPM!P149+KKD!P149+WYND!P149+KNR!P149+KSRGD!P149+SHS!P149</f>
        <v>0</v>
      </c>
      <c r="Q149" s="24">
        <f>TVM!Q149+KLM!Q149+PTA!Q149+ALP!Q149+KTYM!Q149+IDK!Q149+EKM!Q149+TSR!Q149+PLKD!Q149+MLPM!Q149+KKD!Q149+WYND!Q149+KNR!Q149+KSRGD!Q149+SHS!Q149</f>
        <v>0</v>
      </c>
      <c r="R149" s="24">
        <f>TVM!R149+KLM!R149+PTA!R149+ALP!R149+KTYM!R149+IDK!R149+EKM!R149+TSR!R149+PLKD!R149+MLPM!R149+KKD!R149+WYND!R149+KNR!R149+KSRGD!R149+SHS!R149</f>
        <v>0</v>
      </c>
      <c r="S149" s="24">
        <f>TVM!S149+KLM!S149+PTA!S149+ALP!S149+KTYM!S149+IDK!S149+EKM!S149+TSR!S149+PLKD!S149+MLPM!S149+KKD!S149+WYND!S149+KNR!S149+KSRGD!S149+SHS!S149</f>
        <v>0</v>
      </c>
      <c r="T149" s="6">
        <f t="shared" si="3"/>
        <v>0</v>
      </c>
      <c r="U149" s="9"/>
      <c r="V149" s="32"/>
      <c r="W149" s="1"/>
      <c r="X149" s="1"/>
      <c r="Y149" s="1"/>
      <c r="Z149" s="1"/>
    </row>
    <row r="150" spans="1:26" ht="39.75" customHeight="1">
      <c r="A150" s="171"/>
      <c r="B150" s="168" t="s">
        <v>271</v>
      </c>
      <c r="C150" s="168" t="s">
        <v>272</v>
      </c>
      <c r="D150" s="5">
        <v>142</v>
      </c>
      <c r="E150" s="5" t="s">
        <v>273</v>
      </c>
      <c r="F150" s="24">
        <f>TVM!F150+KLM!F150+PTA!F150+ALP!F150+KTYM!F150+IDK!F150+EKM!F150+TSR!F150+PLKD!F150+MLPM!F150+KKD!F150+WYND!F150+KNR!F150+KSRGD!F150+SHS!F150</f>
        <v>0</v>
      </c>
      <c r="G150" s="24">
        <f>TVM!G150+KLM!G150+PTA!G150+ALP!G150+KTYM!G150+IDK!G150+EKM!G150+TSR!G150+PLKD!G150+MLPM!G150+KKD!G150+WYND!G150+KNR!G150+KSRGD!G150+SHS!G150</f>
        <v>0</v>
      </c>
      <c r="H150" s="24">
        <f>TVM!H150+KLM!H150+PTA!H150+ALP!H150+KTYM!H150+IDK!H150+EKM!H150+TSR!H150+PLKD!H150+MLPM!H150+KKD!H150+WYND!H150+KNR!H150+KSRGD!H150+SHS!H150</f>
        <v>0</v>
      </c>
      <c r="I150" s="24">
        <f>TVM!I150+KLM!I150+PTA!I150+ALP!I150+KTYM!I150+IDK!I150+EKM!I150+TSR!I150+PLKD!I150+MLPM!I150+KKD!I150+WYND!I150+KNR!I150+KSRGD!I150+SHS!I150</f>
        <v>0</v>
      </c>
      <c r="J150" s="24">
        <f>TVM!J150+KLM!J150+PTA!J150+ALP!J150+KTYM!J150+IDK!J150+EKM!J150+TSR!J150+PLKD!J150+MLPM!J150+KKD!J150+WYND!J150+KNR!J150+KSRGD!J150+SHS!J150</f>
        <v>0</v>
      </c>
      <c r="K150" s="24">
        <f>TVM!K150+KLM!K150+PTA!K150+ALP!K150+KTYM!K150+IDK!K150+EKM!K150+TSR!K150+PLKD!K150+MLPM!K150+KKD!K150+WYND!K150+KNR!K150+KSRGD!K150+SHS!K150</f>
        <v>0</v>
      </c>
      <c r="L150" s="24">
        <f>TVM!L150+KLM!L150+PTA!L150+ALP!L150+KTYM!L150+IDK!L150+EKM!L150+TSR!L150+PLKD!L150+MLPM!L150+KKD!L150+WYND!L150+KNR!L150+KSRGD!L150+SHS!L150</f>
        <v>0</v>
      </c>
      <c r="M150" s="24">
        <f>TVM!M150+KLM!M150+PTA!M150+ALP!M150+KTYM!M150+IDK!M150+EKM!M150+TSR!M150+PLKD!M150+MLPM!M150+KKD!M150+WYND!M150+KNR!M150+KSRGD!M150+SHS!M150</f>
        <v>0</v>
      </c>
      <c r="N150" s="24">
        <f>TVM!N150+KLM!N150+PTA!N150+ALP!N150+KTYM!N150+IDK!N150+EKM!N150+TSR!N150+PLKD!N150+MLPM!N150+KKD!N150+WYND!N150+KNR!N150+KSRGD!N150+SHS!N150</f>
        <v>0</v>
      </c>
      <c r="O150" s="24">
        <f>TVM!O150+KLM!O150+PTA!O150+ALP!O150+KTYM!O150+IDK!O150+EKM!O150+TSR!O150+PLKD!O150+MLPM!O150+KKD!O150+WYND!O150+KNR!O150+KSRGD!O150+SHS!O150</f>
        <v>0</v>
      </c>
      <c r="P150" s="24">
        <f>TVM!P150+KLM!P150+PTA!P150+ALP!P150+KTYM!P150+IDK!P150+EKM!P150+TSR!P150+PLKD!P150+MLPM!P150+KKD!P150+WYND!P150+KNR!P150+KSRGD!P150+SHS!P150</f>
        <v>0</v>
      </c>
      <c r="Q150" s="24">
        <f>TVM!Q150+KLM!Q150+PTA!Q150+ALP!Q150+KTYM!Q150+IDK!Q150+EKM!Q150+TSR!Q150+PLKD!Q150+MLPM!Q150+KKD!Q150+WYND!Q150+KNR!Q150+KSRGD!Q150+SHS!Q150</f>
        <v>0</v>
      </c>
      <c r="R150" s="27">
        <f>TVM!R150+KLM!R150+PTA!R150+ALP!R150+KTYM!R150+IDK!R150+EKM!R150+TSR!R150+PLKD!R150+MLPM!R150+KKD!R150+WYND!R150+KNR!R150+KSRGD!R150+SHS!R150</f>
        <v>4834.262156920001</v>
      </c>
      <c r="S150" s="24">
        <f>TVM!S150+KLM!S150+PTA!S150+ALP!S150+KTYM!S150+IDK!S150+EKM!S150+TSR!S150+PLKD!S150+MLPM!S150+KKD!S150+WYND!S150+KNR!S150+KSRGD!S150+SHS!S150</f>
        <v>0</v>
      </c>
      <c r="T150" s="6">
        <f t="shared" si="3"/>
        <v>4834.262156920001</v>
      </c>
      <c r="U150" s="9"/>
      <c r="V150" s="32"/>
      <c r="W150" s="1"/>
      <c r="X150" s="1"/>
      <c r="Y150" s="1"/>
      <c r="Z150" s="1"/>
    </row>
    <row r="151" spans="1:26" ht="39.75" customHeight="1">
      <c r="A151" s="171"/>
      <c r="B151" s="171"/>
      <c r="C151" s="171"/>
      <c r="D151" s="5">
        <v>143</v>
      </c>
      <c r="E151" s="5" t="s">
        <v>274</v>
      </c>
      <c r="F151" s="24">
        <f>TVM!F151+KLM!F151+PTA!F151+ALP!F151+KTYM!F151+IDK!F151+EKM!F151+TSR!F151+PLKD!F151+MLPM!F151+KKD!F151+WYND!F151+KNR!F151+KSRGD!F151+SHS!F151</f>
        <v>0</v>
      </c>
      <c r="G151" s="24">
        <f>TVM!G151+KLM!G151+PTA!G151+ALP!G151+KTYM!G151+IDK!G151+EKM!G151+TSR!G151+PLKD!G151+MLPM!G151+KKD!G151+WYND!G151+KNR!G151+KSRGD!G151+SHS!G151</f>
        <v>0</v>
      </c>
      <c r="H151" s="24">
        <f>TVM!H151+KLM!H151+PTA!H151+ALP!H151+KTYM!H151+IDK!H151+EKM!H151+TSR!H151+PLKD!H151+MLPM!H151+KKD!H151+WYND!H151+KNR!H151+KSRGD!H151+SHS!H151</f>
        <v>0</v>
      </c>
      <c r="I151" s="24">
        <f>TVM!I151+KLM!I151+PTA!I151+ALP!I151+KTYM!I151+IDK!I151+EKM!I151+TSR!I151+PLKD!I151+MLPM!I151+KKD!I151+WYND!I151+KNR!I151+KSRGD!I151+SHS!I151</f>
        <v>0</v>
      </c>
      <c r="J151" s="24">
        <f>TVM!J151+KLM!J151+PTA!J151+ALP!J151+KTYM!J151+IDK!J151+EKM!J151+TSR!J151+PLKD!J151+MLPM!J151+KKD!J151+WYND!J151+KNR!J151+KSRGD!J151+SHS!J151</f>
        <v>0</v>
      </c>
      <c r="K151" s="24">
        <f>TVM!K151+KLM!K151+PTA!K151+ALP!K151+KTYM!K151+IDK!K151+EKM!K151+TSR!K151+PLKD!K151+MLPM!K151+KKD!K151+WYND!K151+KNR!K151+KSRGD!K151+SHS!K151</f>
        <v>0</v>
      </c>
      <c r="L151" s="24">
        <f>TVM!L151+KLM!L151+PTA!L151+ALP!L151+KTYM!L151+IDK!L151+EKM!L151+TSR!L151+PLKD!L151+MLPM!L151+KKD!L151+WYND!L151+KNR!L151+KSRGD!L151+SHS!L151</f>
        <v>0</v>
      </c>
      <c r="M151" s="24">
        <f>TVM!M151+KLM!M151+PTA!M151+ALP!M151+KTYM!M151+IDK!M151+EKM!M151+TSR!M151+PLKD!M151+MLPM!M151+KKD!M151+WYND!M151+KNR!M151+KSRGD!M151+SHS!M151</f>
        <v>0</v>
      </c>
      <c r="N151" s="24">
        <f>TVM!N151+KLM!N151+PTA!N151+ALP!N151+KTYM!N151+IDK!N151+EKM!N151+TSR!N151+PLKD!N151+MLPM!N151+KKD!N151+WYND!N151+KNR!N151+KSRGD!N151+SHS!N151</f>
        <v>0</v>
      </c>
      <c r="O151" s="24">
        <f>TVM!O151+KLM!O151+PTA!O151+ALP!O151+KTYM!O151+IDK!O151+EKM!O151+TSR!O151+PLKD!O151+MLPM!O151+KKD!O151+WYND!O151+KNR!O151+KSRGD!O151+SHS!O151</f>
        <v>0</v>
      </c>
      <c r="P151" s="24">
        <f>TVM!P151+KLM!P151+PTA!P151+ALP!P151+KTYM!P151+IDK!P151+EKM!P151+TSR!P151+PLKD!P151+MLPM!P151+KKD!P151+WYND!P151+KNR!P151+KSRGD!P151+SHS!P151</f>
        <v>0</v>
      </c>
      <c r="Q151" s="24">
        <f>TVM!Q151+KLM!Q151+PTA!Q151+ALP!Q151+KTYM!Q151+IDK!Q151+EKM!Q151+TSR!Q151+PLKD!Q151+MLPM!Q151+KKD!Q151+WYND!Q151+KNR!Q151+KSRGD!Q151+SHS!Q151</f>
        <v>0</v>
      </c>
      <c r="R151" s="24">
        <f>TVM!R151+KLM!R151+PTA!R151+ALP!R151+KTYM!R151+IDK!R151+EKM!R151+TSR!R151+PLKD!R151+MLPM!R151+KKD!R151+WYND!R151+KNR!R151+KSRGD!R151+SHS!R151</f>
        <v>0</v>
      </c>
      <c r="S151" s="24">
        <f>TVM!S151+KLM!S151+PTA!S151+ALP!S151+KTYM!S151+IDK!S151+EKM!S151+TSR!S151+PLKD!S151+MLPM!S151+KKD!S151+WYND!S151+KNR!S151+KSRGD!S151+SHS!S151</f>
        <v>0</v>
      </c>
      <c r="T151" s="6">
        <f t="shared" si="3"/>
        <v>0</v>
      </c>
      <c r="U151" s="9"/>
      <c r="V151" s="32"/>
      <c r="W151" s="1"/>
      <c r="X151" s="1"/>
      <c r="Y151" s="1"/>
      <c r="Z151" s="1"/>
    </row>
    <row r="152" spans="1:26" ht="39.75" customHeight="1">
      <c r="A152" s="171"/>
      <c r="B152" s="171"/>
      <c r="C152" s="171"/>
      <c r="D152" s="5">
        <v>144</v>
      </c>
      <c r="E152" s="5" t="s">
        <v>275</v>
      </c>
      <c r="F152" s="24">
        <f>TVM!F152+KLM!F152+PTA!F152+ALP!F152+KTYM!F152+IDK!F152+EKM!F152+TSR!F152+PLKD!F152+MLPM!F152+KKD!F152+WYND!F152+KNR!F152+KSRGD!F152+SHS!F152</f>
        <v>0</v>
      </c>
      <c r="G152" s="24">
        <f>TVM!G152+KLM!G152+PTA!G152+ALP!G152+KTYM!G152+IDK!G152+EKM!G152+TSR!G152+PLKD!G152+MLPM!G152+KKD!G152+WYND!G152+KNR!G152+KSRGD!G152+SHS!G152</f>
        <v>0</v>
      </c>
      <c r="H152" s="24">
        <f>TVM!H152+KLM!H152+PTA!H152+ALP!H152+KTYM!H152+IDK!H152+EKM!H152+TSR!H152+PLKD!H152+MLPM!H152+KKD!H152+WYND!H152+KNR!H152+KSRGD!H152+SHS!H152</f>
        <v>0</v>
      </c>
      <c r="I152" s="24">
        <f>TVM!I152+KLM!I152+PTA!I152+ALP!I152+KTYM!I152+IDK!I152+EKM!I152+TSR!I152+PLKD!I152+MLPM!I152+KKD!I152+WYND!I152+KNR!I152+KSRGD!I152+SHS!I152</f>
        <v>0</v>
      </c>
      <c r="J152" s="24">
        <f>TVM!J152+KLM!J152+PTA!J152+ALP!J152+KTYM!J152+IDK!J152+EKM!J152+TSR!J152+PLKD!J152+MLPM!J152+KKD!J152+WYND!J152+KNR!J152+KSRGD!J152+SHS!J152</f>
        <v>0</v>
      </c>
      <c r="K152" s="24">
        <f>TVM!K152+KLM!K152+PTA!K152+ALP!K152+KTYM!K152+IDK!K152+EKM!K152+TSR!K152+PLKD!K152+MLPM!K152+KKD!K152+WYND!K152+KNR!K152+KSRGD!K152+SHS!K152</f>
        <v>0</v>
      </c>
      <c r="L152" s="24">
        <f>TVM!L152+KLM!L152+PTA!L152+ALP!L152+KTYM!L152+IDK!L152+EKM!L152+TSR!L152+PLKD!L152+MLPM!L152+KKD!L152+WYND!L152+KNR!L152+KSRGD!L152+SHS!L152</f>
        <v>0</v>
      </c>
      <c r="M152" s="24">
        <f>TVM!M152+KLM!M152+PTA!M152+ALP!M152+KTYM!M152+IDK!M152+EKM!M152+TSR!M152+PLKD!M152+MLPM!M152+KKD!M152+WYND!M152+KNR!M152+KSRGD!M152+SHS!M152</f>
        <v>0</v>
      </c>
      <c r="N152" s="24">
        <f>TVM!N152+KLM!N152+PTA!N152+ALP!N152+KTYM!N152+IDK!N152+EKM!N152+TSR!N152+PLKD!N152+MLPM!N152+KKD!N152+WYND!N152+KNR!N152+KSRGD!N152+SHS!N152</f>
        <v>0</v>
      </c>
      <c r="O152" s="24">
        <f>TVM!O152+KLM!O152+PTA!O152+ALP!O152+KTYM!O152+IDK!O152+EKM!O152+TSR!O152+PLKD!O152+MLPM!O152+KKD!O152+WYND!O152+KNR!O152+KSRGD!O152+SHS!O152</f>
        <v>0</v>
      </c>
      <c r="P152" s="24">
        <f>TVM!P152+KLM!P152+PTA!P152+ALP!P152+KTYM!P152+IDK!P152+EKM!P152+TSR!P152+PLKD!P152+MLPM!P152+KKD!P152+WYND!P152+KNR!P152+KSRGD!P152+SHS!P152</f>
        <v>0</v>
      </c>
      <c r="Q152" s="24">
        <f>TVM!Q152+KLM!Q152+PTA!Q152+ALP!Q152+KTYM!Q152+IDK!Q152+EKM!Q152+TSR!Q152+PLKD!Q152+MLPM!Q152+KKD!Q152+WYND!Q152+KNR!Q152+KSRGD!Q152+SHS!Q152</f>
        <v>0</v>
      </c>
      <c r="R152" s="24">
        <f>TVM!R152+KLM!R152+PTA!R152+ALP!R152+KTYM!R152+IDK!R152+EKM!R152+TSR!R152+PLKD!R152+MLPM!R152+KKD!R152+WYND!R152+KNR!R152+KSRGD!R152+SHS!R152</f>
        <v>0</v>
      </c>
      <c r="S152" s="24">
        <f>TVM!S152+KLM!S152+PTA!S152+ALP!S152+KTYM!S152+IDK!S152+EKM!S152+TSR!S152+PLKD!S152+MLPM!S152+KKD!S152+WYND!S152+KNR!S152+KSRGD!S152+SHS!S152</f>
        <v>0</v>
      </c>
      <c r="T152" s="6">
        <f t="shared" si="3"/>
        <v>0</v>
      </c>
      <c r="U152" s="9"/>
      <c r="V152" s="32"/>
      <c r="W152" s="1"/>
      <c r="X152" s="1"/>
      <c r="Y152" s="1"/>
      <c r="Z152" s="1"/>
    </row>
    <row r="153" spans="1:26" ht="39.75" customHeight="1">
      <c r="A153" s="171"/>
      <c r="B153" s="169"/>
      <c r="C153" s="169"/>
      <c r="D153" s="5">
        <v>145</v>
      </c>
      <c r="E153" s="5" t="s">
        <v>276</v>
      </c>
      <c r="F153" s="24">
        <f>TVM!F153+KLM!F153+PTA!F153+ALP!F153+KTYM!F153+IDK!F153+EKM!F153+TSR!F153+PLKD!F153+MLPM!F153+KKD!F153+WYND!F153+KNR!F153+KSRGD!F153+SHS!F153</f>
        <v>0</v>
      </c>
      <c r="G153" s="24">
        <f>TVM!G153+KLM!G153+PTA!G153+ALP!G153+KTYM!G153+IDK!G153+EKM!G153+TSR!G153+PLKD!G153+MLPM!G153+KKD!G153+WYND!G153+KNR!G153+KSRGD!G153+SHS!G153</f>
        <v>0</v>
      </c>
      <c r="H153" s="24">
        <f>TVM!H153+KLM!H153+PTA!H153+ALP!H153+KTYM!H153+IDK!H153+EKM!H153+TSR!H153+PLKD!H153+MLPM!H153+KKD!H153+WYND!H153+KNR!H153+KSRGD!H153+SHS!H153</f>
        <v>0</v>
      </c>
      <c r="I153" s="24">
        <f>TVM!I153+KLM!I153+PTA!I153+ALP!I153+KTYM!I153+IDK!I153+EKM!I153+TSR!I153+PLKD!I153+MLPM!I153+KKD!I153+WYND!I153+KNR!I153+KSRGD!I153+SHS!I153</f>
        <v>0</v>
      </c>
      <c r="J153" s="24">
        <f>TVM!J153+KLM!J153+PTA!J153+ALP!J153+KTYM!J153+IDK!J153+EKM!J153+TSR!J153+PLKD!J153+MLPM!J153+KKD!J153+WYND!J153+KNR!J153+KSRGD!J153+SHS!J153</f>
        <v>0</v>
      </c>
      <c r="K153" s="24">
        <f>TVM!K153+KLM!K153+PTA!K153+ALP!K153+KTYM!K153+IDK!K153+EKM!K153+TSR!K153+PLKD!K153+MLPM!K153+KKD!K153+WYND!K153+KNR!K153+KSRGD!K153+SHS!K153</f>
        <v>0</v>
      </c>
      <c r="L153" s="24">
        <f>TVM!L153+KLM!L153+PTA!L153+ALP!L153+KTYM!L153+IDK!L153+EKM!L153+TSR!L153+PLKD!L153+MLPM!L153+KKD!L153+WYND!L153+KNR!L153+KSRGD!L153+SHS!L153</f>
        <v>0</v>
      </c>
      <c r="M153" s="24">
        <f>TVM!M153+KLM!M153+PTA!M153+ALP!M153+KTYM!M153+IDK!M153+EKM!M153+TSR!M153+PLKD!M153+MLPM!M153+KKD!M153+WYND!M153+KNR!M153+KSRGD!M153+SHS!M153</f>
        <v>0</v>
      </c>
      <c r="N153" s="24">
        <f>TVM!N153+KLM!N153+PTA!N153+ALP!N153+KTYM!N153+IDK!N153+EKM!N153+TSR!N153+PLKD!N153+MLPM!N153+KKD!N153+WYND!N153+KNR!N153+KSRGD!N153+SHS!N153</f>
        <v>0</v>
      </c>
      <c r="O153" s="24">
        <f>TVM!O153+KLM!O153+PTA!O153+ALP!O153+KTYM!O153+IDK!O153+EKM!O153+TSR!O153+PLKD!O153+MLPM!O153+KKD!O153+WYND!O153+KNR!O153+KSRGD!O153+SHS!O153</f>
        <v>0</v>
      </c>
      <c r="P153" s="24">
        <f>TVM!P153+KLM!P153+PTA!P153+ALP!P153+KTYM!P153+IDK!P153+EKM!P153+TSR!P153+PLKD!P153+MLPM!P153+KKD!P153+WYND!P153+KNR!P153+KSRGD!P153+SHS!P153</f>
        <v>0</v>
      </c>
      <c r="Q153" s="24">
        <f>TVM!Q153+KLM!Q153+PTA!Q153+ALP!Q153+KTYM!Q153+IDK!Q153+EKM!Q153+TSR!Q153+PLKD!Q153+MLPM!Q153+KKD!Q153+WYND!Q153+KNR!Q153+KSRGD!Q153+SHS!Q153</f>
        <v>0</v>
      </c>
      <c r="R153" s="24">
        <f>TVM!R153+KLM!R153+PTA!R153+ALP!R153+KTYM!R153+IDK!R153+EKM!R153+TSR!R153+PLKD!R153+MLPM!R153+KKD!R153+WYND!R153+KNR!R153+KSRGD!R153+SHS!R153</f>
        <v>0</v>
      </c>
      <c r="S153" s="24">
        <f>TVM!S153+KLM!S153+PTA!S153+ALP!S153+KTYM!S153+IDK!S153+EKM!S153+TSR!S153+PLKD!S153+MLPM!S153+KKD!S153+WYND!S153+KNR!S153+KSRGD!S153+SHS!S153</f>
        <v>0</v>
      </c>
      <c r="T153" s="6">
        <f t="shared" si="3"/>
        <v>0</v>
      </c>
      <c r="U153" s="9"/>
      <c r="V153" s="32"/>
      <c r="W153" s="1"/>
      <c r="X153" s="1"/>
      <c r="Y153" s="1"/>
      <c r="Z153" s="1"/>
    </row>
    <row r="154" spans="1:26" ht="39.75" customHeight="1">
      <c r="A154" s="171"/>
      <c r="B154" s="5" t="s">
        <v>277</v>
      </c>
      <c r="C154" s="5" t="s">
        <v>278</v>
      </c>
      <c r="D154" s="5">
        <v>146</v>
      </c>
      <c r="E154" s="5" t="s">
        <v>279</v>
      </c>
      <c r="F154" s="24">
        <f>TVM!F154+KLM!F154+PTA!F154+ALP!F154+KTYM!F154+IDK!F154+EKM!F154+TSR!F154+PLKD!F154+MLPM!F154+KKD!F154+WYND!F154+KNR!F154+KSRGD!F154+SHS!F154</f>
        <v>0</v>
      </c>
      <c r="G154" s="24">
        <f>TVM!G154+KLM!G154+PTA!G154+ALP!G154+KTYM!G154+IDK!G154+EKM!G154+TSR!G154+PLKD!G154+MLPM!G154+KKD!G154+WYND!G154+KNR!G154+KSRGD!G154+SHS!G154</f>
        <v>0</v>
      </c>
      <c r="H154" s="24">
        <f>TVM!H154+KLM!H154+PTA!H154+ALP!H154+KTYM!H154+IDK!H154+EKM!H154+TSR!H154+PLKD!H154+MLPM!H154+KKD!H154+WYND!H154+KNR!H154+KSRGD!H154+SHS!H154</f>
        <v>0</v>
      </c>
      <c r="I154" s="24">
        <f>TVM!I154+KLM!I154+PTA!I154+ALP!I154+KTYM!I154+IDK!I154+EKM!I154+TSR!I154+PLKD!I154+MLPM!I154+KKD!I154+WYND!I154+KNR!I154+KSRGD!I154+SHS!I154</f>
        <v>0</v>
      </c>
      <c r="J154" s="24">
        <f>TVM!J154+KLM!J154+PTA!J154+ALP!J154+KTYM!J154+IDK!J154+EKM!J154+TSR!J154+PLKD!J154+MLPM!J154+KKD!J154+WYND!J154+KNR!J154+KSRGD!J154+SHS!J154</f>
        <v>0</v>
      </c>
      <c r="K154" s="24">
        <f>TVM!K154+KLM!K154+PTA!K154+ALP!K154+KTYM!K154+IDK!K154+EKM!K154+TSR!K154+PLKD!K154+MLPM!K154+KKD!K154+WYND!K154+KNR!K154+KSRGD!K154+SHS!K154</f>
        <v>0</v>
      </c>
      <c r="L154" s="24">
        <f>TVM!L154+KLM!L154+PTA!L154+ALP!L154+KTYM!L154+IDK!L154+EKM!L154+TSR!L154+PLKD!L154+MLPM!L154+KKD!L154+WYND!L154+KNR!L154+KSRGD!L154+SHS!L154</f>
        <v>0</v>
      </c>
      <c r="M154" s="24">
        <f>TVM!M154+KLM!M154+PTA!M154+ALP!M154+KTYM!M154+IDK!M154+EKM!M154+TSR!M154+PLKD!M154+MLPM!M154+KKD!M154+WYND!M154+KNR!M154+KSRGD!M154+SHS!M154</f>
        <v>0</v>
      </c>
      <c r="N154" s="24">
        <f>TVM!N154+KLM!N154+PTA!N154+ALP!N154+KTYM!N154+IDK!N154+EKM!N154+TSR!N154+PLKD!N154+MLPM!N154+KKD!N154+WYND!N154+KNR!N154+KSRGD!N154+SHS!N154</f>
        <v>0</v>
      </c>
      <c r="O154" s="24">
        <f>TVM!O154+KLM!O154+PTA!O154+ALP!O154+KTYM!O154+IDK!O154+EKM!O154+TSR!O154+PLKD!O154+MLPM!O154+KKD!O154+WYND!O154+KNR!O154+KSRGD!O154+SHS!O154</f>
        <v>0</v>
      </c>
      <c r="P154" s="24">
        <f>TVM!P154+KLM!P154+PTA!P154+ALP!P154+KTYM!P154+IDK!P154+EKM!P154+TSR!P154+PLKD!P154+MLPM!P154+KKD!P154+WYND!P154+KNR!P154+KSRGD!P154+SHS!P154</f>
        <v>0</v>
      </c>
      <c r="Q154" s="24">
        <f>TVM!Q154+KLM!Q154+PTA!Q154+ALP!Q154+KTYM!Q154+IDK!Q154+EKM!Q154+TSR!Q154+PLKD!Q154+MLPM!Q154+KKD!Q154+WYND!Q154+KNR!Q154+KSRGD!Q154+SHS!Q154</f>
        <v>0</v>
      </c>
      <c r="R154" s="27">
        <f>TVM!R154+KLM!R154+PTA!R154+ALP!R154+KTYM!R154+IDK!R154+EKM!R154+TSR!R154+PLKD!R154+MLPM!R154+KKD!R154+WYND!R154+KNR!R154+KSRGD!R154+SHS!R154</f>
        <v>84.600000000000009</v>
      </c>
      <c r="S154" s="24">
        <f>TVM!S154+KLM!S154+PTA!S154+ALP!S154+KTYM!S154+IDK!S154+EKM!S154+TSR!S154+PLKD!S154+MLPM!S154+KKD!S154+WYND!S154+KNR!S154+KSRGD!S154+SHS!S154</f>
        <v>0</v>
      </c>
      <c r="T154" s="6">
        <f t="shared" si="3"/>
        <v>84.600000000000009</v>
      </c>
      <c r="U154" s="20"/>
      <c r="V154" s="32"/>
      <c r="W154" s="1"/>
      <c r="X154" s="1"/>
      <c r="Y154" s="1"/>
      <c r="Z154" s="1"/>
    </row>
    <row r="155" spans="1:26" ht="39.75" customHeight="1">
      <c r="A155" s="171"/>
      <c r="B155" s="5" t="s">
        <v>281</v>
      </c>
      <c r="C155" s="5" t="s">
        <v>282</v>
      </c>
      <c r="D155" s="5">
        <v>147</v>
      </c>
      <c r="E155" s="5" t="s">
        <v>149</v>
      </c>
      <c r="F155" s="24">
        <f>TVM!F155+KLM!F155+PTA!F155+ALP!F155+KTYM!F155+IDK!F155+EKM!F155+TSR!F155+PLKD!F155+MLPM!F155+KKD!F155+WYND!F155+KNR!F155+KSRGD!F155+SHS!F155</f>
        <v>0</v>
      </c>
      <c r="G155" s="24">
        <f>TVM!G155+KLM!G155+PTA!G155+ALP!G155+KTYM!G155+IDK!G155+EKM!G155+TSR!G155+PLKD!G155+MLPM!G155+KKD!G155+WYND!G155+KNR!G155+KSRGD!G155+SHS!G155</f>
        <v>0</v>
      </c>
      <c r="H155" s="24">
        <f>TVM!H155+KLM!H155+PTA!H155+ALP!H155+KTYM!H155+IDK!H155+EKM!H155+TSR!H155+PLKD!H155+MLPM!H155+KKD!H155+WYND!H155+KNR!H155+KSRGD!H155+SHS!H155</f>
        <v>0</v>
      </c>
      <c r="I155" s="24">
        <f>TVM!I155+KLM!I155+PTA!I155+ALP!I155+KTYM!I155+IDK!I155+EKM!I155+TSR!I155+PLKD!I155+MLPM!I155+KKD!I155+WYND!I155+KNR!I155+KSRGD!I155+SHS!I155</f>
        <v>0</v>
      </c>
      <c r="J155" s="24">
        <f>TVM!J155+KLM!J155+PTA!J155+ALP!J155+KTYM!J155+IDK!J155+EKM!J155+TSR!J155+PLKD!J155+MLPM!J155+KKD!J155+WYND!J155+KNR!J155+KSRGD!J155+SHS!J155</f>
        <v>0</v>
      </c>
      <c r="K155" s="24">
        <f>TVM!K155+KLM!K155+PTA!K155+ALP!K155+KTYM!K155+IDK!K155+EKM!K155+TSR!K155+PLKD!K155+MLPM!K155+KKD!K155+WYND!K155+KNR!K155+KSRGD!K155+SHS!K155</f>
        <v>0</v>
      </c>
      <c r="L155" s="24">
        <f>TVM!L155+KLM!L155+PTA!L155+ALP!L155+KTYM!L155+IDK!L155+EKM!L155+TSR!L155+PLKD!L155+MLPM!L155+KKD!L155+WYND!L155+KNR!L155+KSRGD!L155+SHS!L155</f>
        <v>0</v>
      </c>
      <c r="M155" s="24">
        <f>TVM!M155+KLM!M155+PTA!M155+ALP!M155+KTYM!M155+IDK!M155+EKM!M155+TSR!M155+PLKD!M155+MLPM!M155+KKD!M155+WYND!M155+KNR!M155+KSRGD!M155+SHS!M155</f>
        <v>0</v>
      </c>
      <c r="N155" s="24">
        <f>TVM!N155+KLM!N155+PTA!N155+ALP!N155+KTYM!N155+IDK!N155+EKM!N155+TSR!N155+PLKD!N155+MLPM!N155+KKD!N155+WYND!N155+KNR!N155+KSRGD!N155+SHS!N155</f>
        <v>0</v>
      </c>
      <c r="O155" s="24">
        <f>TVM!O155+KLM!O155+PTA!O155+ALP!O155+KTYM!O155+IDK!O155+EKM!O155+TSR!O155+PLKD!O155+MLPM!O155+KKD!O155+WYND!O155+KNR!O155+KSRGD!O155+SHS!O155</f>
        <v>0</v>
      </c>
      <c r="P155" s="24">
        <f>TVM!P155+KLM!P155+PTA!P155+ALP!P155+KTYM!P155+IDK!P155+EKM!P155+TSR!P155+PLKD!P155+MLPM!P155+KKD!P155+WYND!P155+KNR!P155+KSRGD!P155+SHS!P155</f>
        <v>0</v>
      </c>
      <c r="Q155" s="24">
        <f>TVM!Q155+KLM!Q155+PTA!Q155+ALP!Q155+KTYM!Q155+IDK!Q155+EKM!Q155+TSR!Q155+PLKD!Q155+MLPM!Q155+KKD!Q155+WYND!Q155+KNR!Q155+KSRGD!Q155+SHS!Q155</f>
        <v>0</v>
      </c>
      <c r="R155" s="24">
        <f>TVM!R155+KLM!R155+PTA!R155+ALP!R155+KTYM!R155+IDK!R155+EKM!R155+TSR!R155+PLKD!R155+MLPM!R155+KKD!R155+WYND!R155+KNR!R155+KSRGD!R155+SHS!R155</f>
        <v>0</v>
      </c>
      <c r="S155" s="24">
        <f>TVM!S155+KLM!S155+PTA!S155+ALP!S155+KTYM!S155+IDK!S155+EKM!S155+TSR!S155+PLKD!S155+MLPM!S155+KKD!S155+WYND!S155+KNR!S155+KSRGD!S155+SHS!S155</f>
        <v>0</v>
      </c>
      <c r="T155" s="6">
        <f t="shared" si="3"/>
        <v>0</v>
      </c>
      <c r="U155" s="9"/>
      <c r="V155" s="32"/>
      <c r="W155" s="1"/>
      <c r="X155" s="1"/>
      <c r="Y155" s="1"/>
      <c r="Z155" s="1"/>
    </row>
    <row r="156" spans="1:26" ht="39.75" customHeight="1">
      <c r="A156" s="171"/>
      <c r="B156" s="5" t="s">
        <v>283</v>
      </c>
      <c r="C156" s="5" t="s">
        <v>284</v>
      </c>
      <c r="D156" s="5">
        <v>148</v>
      </c>
      <c r="E156" s="5" t="s">
        <v>285</v>
      </c>
      <c r="F156" s="24">
        <f>TVM!F156+KLM!F156+PTA!F156+ALP!F156+KTYM!F156+IDK!F156+EKM!F156+TSR!F156+PLKD!F156+MLPM!F156+KKD!F156+WYND!F156+KNR!F156+KSRGD!F156+SHS!F156</f>
        <v>0</v>
      </c>
      <c r="G156" s="24">
        <f>TVM!G156+KLM!G156+PTA!G156+ALP!G156+KTYM!G156+IDK!G156+EKM!G156+TSR!G156+PLKD!G156+MLPM!G156+KKD!G156+WYND!G156+KNR!G156+KSRGD!G156+SHS!G156</f>
        <v>0</v>
      </c>
      <c r="H156" s="24">
        <f>TVM!H156+KLM!H156+PTA!H156+ALP!H156+KTYM!H156+IDK!H156+EKM!H156+TSR!H156+PLKD!H156+MLPM!H156+KKD!H156+WYND!H156+KNR!H156+KSRGD!H156+SHS!H156</f>
        <v>0</v>
      </c>
      <c r="I156" s="24">
        <f>TVM!I156+KLM!I156+PTA!I156+ALP!I156+KTYM!I156+IDK!I156+EKM!I156+TSR!I156+PLKD!I156+MLPM!I156+KKD!I156+WYND!I156+KNR!I156+KSRGD!I156+SHS!I156</f>
        <v>0</v>
      </c>
      <c r="J156" s="24">
        <f>TVM!J156+KLM!J156+PTA!J156+ALP!J156+KTYM!J156+IDK!J156+EKM!J156+TSR!J156+PLKD!J156+MLPM!J156+KKD!J156+WYND!J156+KNR!J156+KSRGD!J156+SHS!J156</f>
        <v>0</v>
      </c>
      <c r="K156" s="24">
        <f>TVM!K156+KLM!K156+PTA!K156+ALP!K156+KTYM!K156+IDK!K156+EKM!K156+TSR!K156+PLKD!K156+MLPM!K156+KKD!K156+WYND!K156+KNR!K156+KSRGD!K156+SHS!K156</f>
        <v>0</v>
      </c>
      <c r="L156" s="24">
        <f>TVM!L156+KLM!L156+PTA!L156+ALP!L156+KTYM!L156+IDK!L156+EKM!L156+TSR!L156+PLKD!L156+MLPM!L156+KKD!L156+WYND!L156+KNR!L156+KSRGD!L156+SHS!L156</f>
        <v>0</v>
      </c>
      <c r="M156" s="24">
        <f>TVM!M156+KLM!M156+PTA!M156+ALP!M156+KTYM!M156+IDK!M156+EKM!M156+TSR!M156+PLKD!M156+MLPM!M156+KKD!M156+WYND!M156+KNR!M156+KSRGD!M156+SHS!M156</f>
        <v>0</v>
      </c>
      <c r="N156" s="27">
        <f>TVM!N156+KLM!N156+PTA!N156+ALP!N156+KTYM!N156+IDK!N156+EKM!N156+TSR!N156+PLKD!N156+MLPM!N156+KKD!N156+WYND!N156+KNR!N156+KSRGD!N156+SHS!N156</f>
        <v>0</v>
      </c>
      <c r="O156" s="24">
        <f>TVM!O156+KLM!O156+PTA!O156+ALP!O156+KTYM!O156+IDK!O156+EKM!O156+TSR!O156+PLKD!O156+MLPM!O156+KKD!O156+WYND!O156+KNR!O156+KSRGD!O156+SHS!O156</f>
        <v>0</v>
      </c>
      <c r="P156" s="27">
        <f>TVM!P156+KLM!P156+PTA!P156+ALP!P156+KTYM!P156+IDK!P156+EKM!P156+TSR!P156+PLKD!P156+MLPM!P156+KKD!P156+WYND!P156+KNR!P156+KSRGD!P156+SHS!P156</f>
        <v>0</v>
      </c>
      <c r="Q156" s="24">
        <f>TVM!Q156+KLM!Q156+PTA!Q156+ALP!Q156+KTYM!Q156+IDK!Q156+EKM!Q156+TSR!Q156+PLKD!Q156+MLPM!Q156+KKD!Q156+WYND!Q156+KNR!Q156+KSRGD!Q156+SHS!Q156</f>
        <v>0</v>
      </c>
      <c r="R156" s="24">
        <f>TVM!R156+KLM!R156+PTA!R156+ALP!R156+KTYM!R156+IDK!R156+EKM!R156+TSR!R156+PLKD!R156+MLPM!R156+KKD!R156+WYND!R156+KNR!R156+KSRGD!R156+SHS!R156</f>
        <v>0</v>
      </c>
      <c r="S156" s="24">
        <f>TVM!S156+KLM!S156+PTA!S156+ALP!S156+KTYM!S156+IDK!S156+EKM!S156+TSR!S156+PLKD!S156+MLPM!S156+KKD!S156+WYND!S156+KNR!S156+KSRGD!S156+SHS!S156</f>
        <v>0</v>
      </c>
      <c r="T156" s="6">
        <f t="shared" si="3"/>
        <v>0</v>
      </c>
      <c r="U156" s="20"/>
      <c r="V156" s="32"/>
      <c r="W156" s="1"/>
      <c r="X156" s="1"/>
      <c r="Y156" s="1"/>
      <c r="Z156" s="1"/>
    </row>
    <row r="157" spans="1:26" ht="39.75" customHeight="1">
      <c r="A157" s="171"/>
      <c r="B157" s="5" t="s">
        <v>286</v>
      </c>
      <c r="C157" s="5" t="s">
        <v>287</v>
      </c>
      <c r="D157" s="5">
        <v>149</v>
      </c>
      <c r="E157" s="5" t="s">
        <v>288</v>
      </c>
      <c r="F157" s="24">
        <f>TVM!F157+KLM!F157+PTA!F157+ALP!F157+KTYM!F157+IDK!F157+EKM!F157+TSR!F157+PLKD!F157+MLPM!F157+KKD!F157+WYND!F157+KNR!F157+KSRGD!F157+SHS!F157</f>
        <v>0</v>
      </c>
      <c r="G157" s="24">
        <f>TVM!G157+KLM!G157+PTA!G157+ALP!G157+KTYM!G157+IDK!G157+EKM!G157+TSR!G157+PLKD!G157+MLPM!G157+KKD!G157+WYND!G157+KNR!G157+KSRGD!G157+SHS!G157</f>
        <v>0</v>
      </c>
      <c r="H157" s="24">
        <f>TVM!H157+KLM!H157+PTA!H157+ALP!H157+KTYM!H157+IDK!H157+EKM!H157+TSR!H157+PLKD!H157+MLPM!H157+KKD!H157+WYND!H157+KNR!H157+KSRGD!H157+SHS!H157</f>
        <v>0</v>
      </c>
      <c r="I157" s="24">
        <f>TVM!I157+KLM!I157+PTA!I157+ALP!I157+KTYM!I157+IDK!I157+EKM!I157+TSR!I157+PLKD!I157+MLPM!I157+KKD!I157+WYND!I157+KNR!I157+KSRGD!I157+SHS!I157</f>
        <v>0</v>
      </c>
      <c r="J157" s="24">
        <f>TVM!J157+KLM!J157+PTA!J157+ALP!J157+KTYM!J157+IDK!J157+EKM!J157+TSR!J157+PLKD!J157+MLPM!J157+KKD!J157+WYND!J157+KNR!J157+KSRGD!J157+SHS!J157</f>
        <v>0</v>
      </c>
      <c r="K157" s="24">
        <f>TVM!K157+KLM!K157+PTA!K157+ALP!K157+KTYM!K157+IDK!K157+EKM!K157+TSR!K157+PLKD!K157+MLPM!K157+KKD!K157+WYND!K157+KNR!K157+KSRGD!K157+SHS!K157</f>
        <v>0</v>
      </c>
      <c r="L157" s="24">
        <f>TVM!L157+KLM!L157+PTA!L157+ALP!L157+KTYM!L157+IDK!L157+EKM!L157+TSR!L157+PLKD!L157+MLPM!L157+KKD!L157+WYND!L157+KNR!L157+KSRGD!L157+SHS!L157</f>
        <v>0</v>
      </c>
      <c r="M157" s="24">
        <f>TVM!M157+KLM!M157+PTA!M157+ALP!M157+KTYM!M157+IDK!M157+EKM!M157+TSR!M157+PLKD!M157+MLPM!M157+KKD!M157+WYND!M157+KNR!M157+KSRGD!M157+SHS!M157</f>
        <v>0</v>
      </c>
      <c r="N157" s="24">
        <f>TVM!N157+KLM!N157+PTA!N157+ALP!N157+KTYM!N157+IDK!N157+EKM!N157+TSR!N157+PLKD!N157+MLPM!N157+KKD!N157+WYND!N157+KNR!N157+KSRGD!N157+SHS!N157</f>
        <v>0</v>
      </c>
      <c r="O157" s="24">
        <f>TVM!O157+KLM!O157+PTA!O157+ALP!O157+KTYM!O157+IDK!O157+EKM!O157+TSR!O157+PLKD!O157+MLPM!O157+KKD!O157+WYND!O157+KNR!O157+KSRGD!O157+SHS!O157</f>
        <v>0</v>
      </c>
      <c r="P157" s="27">
        <f>TVM!P157+KLM!P157+PTA!P157+ALP!P157+KTYM!P157+IDK!P157+EKM!P157+TSR!P157+PLKD!P157+MLPM!P157+KKD!P157+WYND!P157+KNR!P157+KSRGD!P157+SHS!P157</f>
        <v>297.39999999999998</v>
      </c>
      <c r="Q157" s="24">
        <f>TVM!Q157+KLM!Q157+PTA!Q157+ALP!Q157+KTYM!Q157+IDK!Q157+EKM!Q157+TSR!Q157+PLKD!Q157+MLPM!Q157+KKD!Q157+WYND!Q157+KNR!Q157+KSRGD!Q157+SHS!Q157</f>
        <v>0</v>
      </c>
      <c r="R157" s="24">
        <f>TVM!R157+KLM!R157+PTA!R157+ALP!R157+KTYM!R157+IDK!R157+EKM!R157+TSR!R157+PLKD!R157+MLPM!R157+KKD!R157+WYND!R157+KNR!R157+KSRGD!R157+SHS!R157</f>
        <v>0</v>
      </c>
      <c r="S157" s="24">
        <f>TVM!S157+KLM!S157+PTA!S157+ALP!S157+KTYM!S157+IDK!S157+EKM!S157+TSR!S157+PLKD!S157+MLPM!S157+KKD!S157+WYND!S157+KNR!S157+KSRGD!S157+SHS!S157</f>
        <v>0</v>
      </c>
      <c r="T157" s="6">
        <f t="shared" si="3"/>
        <v>297.39999999999998</v>
      </c>
      <c r="U157" s="20"/>
      <c r="V157" s="32"/>
      <c r="W157" s="1"/>
      <c r="X157" s="1"/>
      <c r="Y157" s="1"/>
      <c r="Z157" s="1"/>
    </row>
    <row r="158" spans="1:26" ht="39.75" customHeight="1">
      <c r="A158" s="169"/>
      <c r="B158" s="176" t="s">
        <v>289</v>
      </c>
      <c r="C158" s="177"/>
      <c r="D158" s="178"/>
      <c r="E158" s="51"/>
      <c r="F158" s="54">
        <f>TVM!F158+KLM!F158+PTA!F158+ALP!F158+KTYM!F158+IDK!F158+EKM!F158+TSR!F158+PLKD!F158+MLPM!F158+KKD!F158+WYND!F158+KNR!F158+KSRGD!F158+SHS!F158</f>
        <v>0</v>
      </c>
      <c r="G158" s="54">
        <f>TVM!G158+KLM!G158+PTA!G158+ALP!G158+KTYM!G158+IDK!G158+EKM!G158+TSR!G158+PLKD!G158+MLPM!G158+KKD!G158+WYND!G158+KNR!G158+KSRGD!G158+SHS!G158</f>
        <v>0</v>
      </c>
      <c r="H158" s="54">
        <f>TVM!H158+KLM!H158+PTA!H158+ALP!H158+KTYM!H158+IDK!H158+EKM!H158+TSR!H158+PLKD!H158+MLPM!H158+KKD!H158+WYND!H158+KNR!H158+KSRGD!H158+SHS!H158</f>
        <v>0</v>
      </c>
      <c r="I158" s="54">
        <f>TVM!I158+KLM!I158+PTA!I158+ALP!I158+KTYM!I158+IDK!I158+EKM!I158+TSR!I158+PLKD!I158+MLPM!I158+KKD!I158+WYND!I158+KNR!I158+KSRGD!I158+SHS!I158</f>
        <v>5</v>
      </c>
      <c r="J158" s="54">
        <f>TVM!J158+KLM!J158+PTA!J158+ALP!J158+KTYM!J158+IDK!J158+EKM!J158+TSR!J158+PLKD!J158+MLPM!J158+KKD!J158+WYND!J158+KNR!J158+KSRGD!J158+SHS!J158</f>
        <v>0</v>
      </c>
      <c r="K158" s="54">
        <f>TVM!K158+KLM!K158+PTA!K158+ALP!K158+KTYM!K158+IDK!K158+EKM!K158+TSR!K158+PLKD!K158+MLPM!K158+KKD!K158+WYND!K158+KNR!K158+KSRGD!K158+SHS!K158</f>
        <v>1590</v>
      </c>
      <c r="L158" s="54">
        <f>TVM!L158+KLM!L158+PTA!L158+ALP!L158+KTYM!L158+IDK!L158+EKM!L158+TSR!L158+PLKD!L158+MLPM!L158+KKD!L158+WYND!L158+KNR!L158+KSRGD!L158+SHS!L158</f>
        <v>0</v>
      </c>
      <c r="M158" s="54">
        <f>TVM!M158+KLM!M158+PTA!M158+ALP!M158+KTYM!M158+IDK!M158+EKM!M158+TSR!M158+PLKD!M158+MLPM!M158+KKD!M158+WYND!M158+KNR!M158+KSRGD!M158+SHS!M158</f>
        <v>1</v>
      </c>
      <c r="N158" s="54">
        <f>TVM!N158+KLM!N158+PTA!N158+ALP!N158+KTYM!N158+IDK!N158+EKM!N158+TSR!N158+PLKD!N158+MLPM!N158+KKD!N158+WYND!N158+KNR!N158+KSRGD!N158+SHS!N158</f>
        <v>47.33</v>
      </c>
      <c r="O158" s="54">
        <f>TVM!O158+KLM!O158+PTA!O158+ALP!O158+KTYM!O158+IDK!O158+EKM!O158+TSR!O158+PLKD!O158+MLPM!O158+KKD!O158+WYND!O158+KNR!O158+KSRGD!O158+SHS!O158</f>
        <v>0</v>
      </c>
      <c r="P158" s="54">
        <f>TVM!P158+KLM!P158+PTA!P158+ALP!P158+KTYM!P158+IDK!P158+EKM!P158+TSR!P158+PLKD!P158+MLPM!P158+KKD!P158+WYND!P158+KNR!P158+KSRGD!P158+SHS!P158</f>
        <v>676.86500000000001</v>
      </c>
      <c r="Q158" s="54">
        <f>TVM!Q158+KLM!Q158+PTA!Q158+ALP!Q158+KTYM!Q158+IDK!Q158+EKM!Q158+TSR!Q158+PLKD!Q158+MLPM!Q158+KKD!Q158+WYND!Q158+KNR!Q158+KSRGD!Q158+SHS!Q158</f>
        <v>88.4</v>
      </c>
      <c r="R158" s="54">
        <f>TVM!R158+KLM!R158+PTA!R158+ALP!R158+KTYM!R158+IDK!R158+EKM!R158+TSR!R158+PLKD!R158+MLPM!R158+KKD!R158+WYND!R158+KNR!R158+KSRGD!R158+SHS!R158</f>
        <v>4923.6621569199997</v>
      </c>
      <c r="S158" s="54">
        <f>TVM!S158+KLM!S158+PTA!S158+ALP!S158+KTYM!S158+IDK!S158+EKM!S158+TSR!S158+PLKD!S158+MLPM!S158+KKD!S158+WYND!S158+KNR!S158+KSRGD!S158+SHS!S158</f>
        <v>0</v>
      </c>
      <c r="T158" s="52">
        <f>SUM(T135:T157)</f>
        <v>7332.2571569200009</v>
      </c>
      <c r="U158" s="9"/>
      <c r="V158" s="32"/>
      <c r="W158" s="29"/>
      <c r="X158" s="29"/>
      <c r="Y158" s="29"/>
      <c r="Z158" s="29"/>
    </row>
    <row r="159" spans="1:26" ht="39.75" customHeight="1">
      <c r="A159" s="175" t="s">
        <v>290</v>
      </c>
      <c r="B159" s="168" t="s">
        <v>291</v>
      </c>
      <c r="C159" s="168" t="s">
        <v>247</v>
      </c>
      <c r="D159" s="5">
        <v>150</v>
      </c>
      <c r="E159" s="5" t="s">
        <v>292</v>
      </c>
      <c r="F159" s="24">
        <f>TVM!F159+KLM!F159+PTA!F159+ALP!F159+KTYM!F159+IDK!F159+EKM!F159+TSR!F159+PLKD!F159+MLPM!F159+KKD!F159+WYND!F159+KNR!F159+KSRGD!F159+SHS!F159</f>
        <v>0</v>
      </c>
      <c r="G159" s="31">
        <f>TVM!G159+KLM!G159+PTA!G159+ALP!G159+KTYM!G159+IDK!G159+EKM!G159+TSR!G159+PLKD!G159+MLPM!G159+KKD!G159+WYND!G159+KNR!G159+KSRGD!G159+SHS!G159</f>
        <v>6027</v>
      </c>
      <c r="H159" s="31">
        <f>TVM!H159+KLM!H159+PTA!H159+ALP!H159+KTYM!H159+IDK!H159+EKM!H159+TSR!H159+PLKD!H159+MLPM!H159+KKD!H159+WYND!H159+KNR!H159+KSRGD!H159+SHS!H159</f>
        <v>8036</v>
      </c>
      <c r="I159" s="27">
        <f>TVM!I159+KLM!I159+PTA!I159+ALP!I159+KTYM!I159+IDK!I159+EKM!I159+TSR!I159+PLKD!I159+MLPM!I159+KKD!I159+WYND!I159+KNR!I159+KSRGD!I159+SHS!I159</f>
        <v>0</v>
      </c>
      <c r="J159" s="24">
        <f>TVM!J159+KLM!J159+PTA!J159+ALP!J159+KTYM!J159+IDK!J159+EKM!J159+TSR!J159+PLKD!J159+MLPM!J159+KKD!J159+WYND!J159+KNR!J159+KSRGD!J159+SHS!J159</f>
        <v>0</v>
      </c>
      <c r="K159" s="24">
        <f>TVM!K159+KLM!K159+PTA!K159+ALP!K159+KTYM!K159+IDK!K159+EKM!K159+TSR!K159+PLKD!K159+MLPM!K159+KKD!K159+WYND!K159+KNR!K159+KSRGD!K159+SHS!K159</f>
        <v>0</v>
      </c>
      <c r="L159" s="24">
        <f>TVM!L159+KLM!L159+PTA!L159+ALP!L159+KTYM!L159+IDK!L159+EKM!L159+TSR!L159+PLKD!L159+MLPM!L159+KKD!L159+WYND!L159+KNR!L159+KSRGD!L159+SHS!L159</f>
        <v>0</v>
      </c>
      <c r="M159" s="24">
        <f>TVM!M159+KLM!M159+PTA!M159+ALP!M159+KTYM!M159+IDK!M159+EKM!M159+TSR!M159+PLKD!M159+MLPM!M159+KKD!M159+WYND!M159+KNR!M159+KSRGD!M159+SHS!M159</f>
        <v>0</v>
      </c>
      <c r="N159" s="27">
        <f>TVM!N159+KLM!N159+PTA!N159+ALP!N159+KTYM!N159+IDK!N159+EKM!N159+TSR!N159+PLKD!N159+MLPM!N159+KKD!N159+WYND!N159+KNR!N159+KSRGD!N159+SHS!N159</f>
        <v>40</v>
      </c>
      <c r="O159" s="31">
        <f>TVM!O159+KLM!O159+PTA!O159+ALP!O159+KTYM!O159+IDK!O159+EKM!O159+TSR!O159+PLKD!O159+MLPM!O159+KKD!O159+WYND!O159+KNR!O159+KSRGD!O159+SHS!O159</f>
        <v>0</v>
      </c>
      <c r="P159" s="31">
        <f>TVM!P159+KLM!P159+PTA!P159+ALP!P159+KTYM!P159+IDK!P159+EKM!P159+TSR!P159+PLKD!P159+MLPM!P159+KKD!P159+WYND!P159+KNR!P159+KSRGD!P159+SHS!P159</f>
        <v>10109.4</v>
      </c>
      <c r="Q159" s="24">
        <f>TVM!Q159+KLM!Q159+PTA!Q159+ALP!Q159+KTYM!Q159+IDK!Q159+EKM!Q159+TSR!Q159+PLKD!Q159+MLPM!Q159+KKD!Q159+WYND!Q159+KNR!Q159+KSRGD!Q159+SHS!Q159</f>
        <v>0</v>
      </c>
      <c r="R159" s="24">
        <f>TVM!R159+KLM!R159+PTA!R159+ALP!R159+KTYM!R159+IDK!R159+EKM!R159+TSR!R159+PLKD!R159+MLPM!R159+KKD!R159+WYND!R159+KNR!R159+KSRGD!R159+SHS!R159</f>
        <v>0</v>
      </c>
      <c r="S159" s="24">
        <f>TVM!S159+KLM!S159+PTA!S159+ALP!S159+KTYM!S159+IDK!S159+EKM!S159+TSR!S159+PLKD!S159+MLPM!S159+KKD!S159+WYND!S159+KNR!S159+KSRGD!S159+SHS!S159</f>
        <v>0</v>
      </c>
      <c r="T159" s="6">
        <f t="shared" ref="T159:T208" si="4">SUM(F159:S159)</f>
        <v>24212.400000000001</v>
      </c>
      <c r="U159" s="161"/>
      <c r="V159" s="32"/>
      <c r="W159" s="1"/>
      <c r="X159" s="1"/>
      <c r="Y159" s="1"/>
      <c r="Z159" s="1"/>
    </row>
    <row r="160" spans="1:26" ht="39.75" customHeight="1">
      <c r="A160" s="171"/>
      <c r="B160" s="171"/>
      <c r="C160" s="171"/>
      <c r="D160" s="5">
        <v>151</v>
      </c>
      <c r="E160" s="5" t="s">
        <v>294</v>
      </c>
      <c r="F160" s="24">
        <f>TVM!F160+KLM!F160+PTA!F160+ALP!F160+KTYM!F160+IDK!F160+EKM!F160+TSR!F160+PLKD!F160+MLPM!F160+KKD!F160+WYND!F160+KNR!F160+KSRGD!F160+SHS!F160</f>
        <v>0</v>
      </c>
      <c r="G160" s="31">
        <f>TVM!G160+KLM!G160+PTA!G160+ALP!G160+KTYM!G160+IDK!G160+EKM!G160+TSR!G160+PLKD!G160+MLPM!G160+KKD!G160+WYND!G160+KNR!G160+KSRGD!G160+SHS!G160</f>
        <v>0</v>
      </c>
      <c r="H160" s="31">
        <f>TVM!H160+KLM!H160+PTA!H160+ALP!H160+KTYM!H160+IDK!H160+EKM!H160+TSR!H160+PLKD!H160+MLPM!H160+KKD!H160+WYND!H160+KNR!H160+KSRGD!H160+SHS!H160</f>
        <v>0</v>
      </c>
      <c r="I160" s="27">
        <f>TVM!I160+KLM!I160+PTA!I160+ALP!I160+KTYM!I160+IDK!I160+EKM!I160+TSR!I160+PLKD!I160+MLPM!I160+KKD!I160+WYND!I160+KNR!I160+KSRGD!I160+SHS!I160</f>
        <v>0</v>
      </c>
      <c r="J160" s="24">
        <f>TVM!J160+KLM!J160+PTA!J160+ALP!J160+KTYM!J160+IDK!J160+EKM!J160+TSR!J160+PLKD!J160+MLPM!J160+KKD!J160+WYND!J160+KNR!J160+KSRGD!J160+SHS!J160</f>
        <v>0</v>
      </c>
      <c r="K160" s="24">
        <f>TVM!K160+KLM!K160+PTA!K160+ALP!K160+KTYM!K160+IDK!K160+EKM!K160+TSR!K160+PLKD!K160+MLPM!K160+KKD!K160+WYND!K160+KNR!K160+KSRGD!K160+SHS!K160</f>
        <v>0</v>
      </c>
      <c r="L160" s="24">
        <f>TVM!L160+KLM!L160+PTA!L160+ALP!L160+KTYM!L160+IDK!L160+EKM!L160+TSR!L160+PLKD!L160+MLPM!L160+KKD!L160+WYND!L160+KNR!L160+KSRGD!L160+SHS!L160</f>
        <v>0</v>
      </c>
      <c r="M160" s="24">
        <f>TVM!M160+KLM!M160+PTA!M160+ALP!M160+KTYM!M160+IDK!M160+EKM!M160+TSR!M160+PLKD!M160+MLPM!M160+KKD!M160+WYND!M160+KNR!M160+KSRGD!M160+SHS!M160</f>
        <v>0</v>
      </c>
      <c r="N160" s="27">
        <f>TVM!N160+KLM!N160+PTA!N160+ALP!N160+KTYM!N160+IDK!N160+EKM!N160+TSR!N160+PLKD!N160+MLPM!N160+KKD!N160+WYND!N160+KNR!N160+KSRGD!N160+SHS!N160</f>
        <v>0</v>
      </c>
      <c r="O160" s="31">
        <f>TVM!O160+KLM!O160+PTA!O160+ALP!O160+KTYM!O160+IDK!O160+EKM!O160+TSR!O160+PLKD!O160+MLPM!O160+KKD!O160+WYND!O160+KNR!O160+KSRGD!O160+SHS!O160</f>
        <v>0</v>
      </c>
      <c r="P160" s="31">
        <f>TVM!P160+KLM!P160+PTA!P160+ALP!P160+KTYM!P160+IDK!P160+EKM!P160+TSR!P160+PLKD!P160+MLPM!P160+KKD!P160+WYND!P160+KNR!P160+KSRGD!P160+SHS!P160</f>
        <v>0</v>
      </c>
      <c r="Q160" s="27">
        <f>TVM!Q160+KLM!Q160+PTA!Q160+ALP!Q160+KTYM!Q160+IDK!Q160+EKM!Q160+TSR!Q160+PLKD!Q160+MLPM!Q160+KKD!Q160+WYND!Q160+KNR!Q160+KSRGD!Q160+SHS!Q160</f>
        <v>0</v>
      </c>
      <c r="R160" s="31">
        <f>TVM!R160+KLM!R160+PTA!R160+ALP!R160+KTYM!R160+IDK!R160+EKM!R160+TSR!R160+PLKD!R160+MLPM!R160+KKD!R160+WYND!R160+KNR!R160+KSRGD!R160+SHS!R160</f>
        <v>90</v>
      </c>
      <c r="S160" s="24">
        <f>TVM!S160+KLM!S160+PTA!S160+ALP!S160+KTYM!S160+IDK!S160+EKM!S160+TSR!S160+PLKD!S160+MLPM!S160+KKD!S160+WYND!S160+KNR!S160+KSRGD!S160+SHS!S160</f>
        <v>0</v>
      </c>
      <c r="T160" s="6">
        <f t="shared" si="4"/>
        <v>90</v>
      </c>
      <c r="U160" s="9"/>
      <c r="V160" s="32"/>
      <c r="W160" s="1"/>
      <c r="X160" s="1"/>
      <c r="Y160" s="1"/>
      <c r="Z160" s="1"/>
    </row>
    <row r="161" spans="1:26" ht="39.75" customHeight="1">
      <c r="A161" s="171"/>
      <c r="B161" s="171"/>
      <c r="C161" s="171"/>
      <c r="D161" s="5">
        <v>152</v>
      </c>
      <c r="E161" s="5" t="s">
        <v>295</v>
      </c>
      <c r="F161" s="24">
        <f>TVM!F161+KLM!F161+PTA!F161+ALP!F161+KTYM!F161+IDK!F161+EKM!F161+TSR!F161+PLKD!F161+MLPM!F161+KKD!F161+WYND!F161+KNR!F161+KSRGD!F161+SHS!F161</f>
        <v>0</v>
      </c>
      <c r="G161" s="24">
        <f>TVM!G161+KLM!G161+PTA!G161+ALP!G161+KTYM!G161+IDK!G161+EKM!G161+TSR!G161+PLKD!G161+MLPM!G161+KKD!G161+WYND!G161+KNR!G161+KSRGD!G161+SHS!G161</f>
        <v>0</v>
      </c>
      <c r="H161" s="24">
        <f>TVM!H161+KLM!H161+PTA!H161+ALP!H161+KTYM!H161+IDK!H161+EKM!H161+TSR!H161+PLKD!H161+MLPM!H161+KKD!H161+WYND!H161+KNR!H161+KSRGD!H161+SHS!H161</f>
        <v>0</v>
      </c>
      <c r="I161" s="24">
        <f>TVM!I161+KLM!I161+PTA!I161+ALP!I161+KTYM!I161+IDK!I161+EKM!I161+TSR!I161+PLKD!I161+MLPM!I161+KKD!I161+WYND!I161+KNR!I161+KSRGD!I161+SHS!I161</f>
        <v>0</v>
      </c>
      <c r="J161" s="24">
        <f>TVM!J161+KLM!J161+PTA!J161+ALP!J161+KTYM!J161+IDK!J161+EKM!J161+TSR!J161+PLKD!J161+MLPM!J161+KKD!J161+WYND!J161+KNR!J161+KSRGD!J161+SHS!J161</f>
        <v>0</v>
      </c>
      <c r="K161" s="24">
        <f>TVM!K161+KLM!K161+PTA!K161+ALP!K161+KTYM!K161+IDK!K161+EKM!K161+TSR!K161+PLKD!K161+MLPM!K161+KKD!K161+WYND!K161+KNR!K161+KSRGD!K161+SHS!K161</f>
        <v>0</v>
      </c>
      <c r="L161" s="24">
        <f>TVM!L161+KLM!L161+PTA!L161+ALP!L161+KTYM!L161+IDK!L161+EKM!L161+TSR!L161+PLKD!L161+MLPM!L161+KKD!L161+WYND!L161+KNR!L161+KSRGD!L161+SHS!L161</f>
        <v>0</v>
      </c>
      <c r="M161" s="24">
        <f>TVM!M161+KLM!M161+PTA!M161+ALP!M161+KTYM!M161+IDK!M161+EKM!M161+TSR!M161+PLKD!M161+MLPM!M161+KKD!M161+WYND!M161+KNR!M161+KSRGD!M161+SHS!M161</f>
        <v>0</v>
      </c>
      <c r="N161" s="24">
        <f>TVM!N161+KLM!N161+PTA!N161+ALP!N161+KTYM!N161+IDK!N161+EKM!N161+TSR!N161+PLKD!N161+MLPM!N161+KKD!N161+WYND!N161+KNR!N161+KSRGD!N161+SHS!N161</f>
        <v>0</v>
      </c>
      <c r="O161" s="24">
        <f>TVM!O161+KLM!O161+PTA!O161+ALP!O161+KTYM!O161+IDK!O161+EKM!O161+TSR!O161+PLKD!O161+MLPM!O161+KKD!O161+WYND!O161+KNR!O161+KSRGD!O161+SHS!O161</f>
        <v>0</v>
      </c>
      <c r="P161" s="31">
        <f>TVM!P161+KLM!P161+PTA!P161+ALP!P161+KTYM!P161+IDK!P161+EKM!P161+TSR!P161+PLKD!P161+MLPM!P161+KKD!P161+WYND!P161+KNR!P161+KSRGD!P161+SHS!P161</f>
        <v>576.6</v>
      </c>
      <c r="Q161" s="24">
        <f>TVM!Q161+KLM!Q161+PTA!Q161+ALP!Q161+KTYM!Q161+IDK!Q161+EKM!Q161+TSR!Q161+PLKD!Q161+MLPM!Q161+KKD!Q161+WYND!Q161+KNR!Q161+KSRGD!Q161+SHS!Q161</f>
        <v>0</v>
      </c>
      <c r="R161" s="24">
        <f>TVM!R161+KLM!R161+PTA!R161+ALP!R161+KTYM!R161+IDK!R161+EKM!R161+TSR!R161+PLKD!R161+MLPM!R161+KKD!R161+WYND!R161+KNR!R161+KSRGD!R161+SHS!R161</f>
        <v>0</v>
      </c>
      <c r="S161" s="24">
        <f>TVM!S161+KLM!S161+PTA!S161+ALP!S161+KTYM!S161+IDK!S161+EKM!S161+TSR!S161+PLKD!S161+MLPM!S161+KKD!S161+WYND!S161+KNR!S161+KSRGD!S161+SHS!S161</f>
        <v>0</v>
      </c>
      <c r="T161" s="6">
        <f t="shared" si="4"/>
        <v>576.6</v>
      </c>
      <c r="U161" s="9"/>
      <c r="V161" s="32"/>
      <c r="W161" s="1"/>
      <c r="X161" s="1"/>
      <c r="Y161" s="1"/>
      <c r="Z161" s="1"/>
    </row>
    <row r="162" spans="1:26" ht="63" customHeight="1">
      <c r="A162" s="171"/>
      <c r="B162" s="179"/>
      <c r="C162" s="179"/>
      <c r="D162" s="5">
        <v>153</v>
      </c>
      <c r="E162" s="5" t="s">
        <v>297</v>
      </c>
      <c r="F162" s="24">
        <f>TVM!F162+KLM!F162+PTA!F162+ALP!F162+KTYM!F162+IDK!F162+EKM!F162+TSR!F162+PLKD!F162+MLPM!F162+KKD!F162+WYND!F162+KNR!F162+KSRGD!F162+SHS!F162</f>
        <v>0</v>
      </c>
      <c r="G162" s="24">
        <f>TVM!G162+KLM!G162+PTA!G162+ALP!G162+KTYM!G162+IDK!G162+EKM!G162+TSR!G162+PLKD!G162+MLPM!G162+KKD!G162+WYND!G162+KNR!G162+KSRGD!G162+SHS!G162</f>
        <v>0</v>
      </c>
      <c r="H162" s="24">
        <f>TVM!H162+KLM!H162+PTA!H162+ALP!H162+KTYM!H162+IDK!H162+EKM!H162+TSR!H162+PLKD!H162+MLPM!H162+KKD!H162+WYND!H162+KNR!H162+KSRGD!H162+SHS!H162</f>
        <v>0</v>
      </c>
      <c r="I162" s="24">
        <f>TVM!I162+KLM!I162+PTA!I162+ALP!I162+KTYM!I162+IDK!I162+EKM!I162+TSR!I162+PLKD!I162+MLPM!I162+KKD!I162+WYND!I162+KNR!I162+KSRGD!I162+SHS!I162</f>
        <v>0</v>
      </c>
      <c r="J162" s="24">
        <f>TVM!J162+KLM!J162+PTA!J162+ALP!J162+KTYM!J162+IDK!J162+EKM!J162+TSR!J162+PLKD!J162+MLPM!J162+KKD!J162+WYND!J162+KNR!J162+KSRGD!J162+SHS!J162</f>
        <v>0</v>
      </c>
      <c r="K162" s="24">
        <f>TVM!K162+KLM!K162+PTA!K162+ALP!K162+KTYM!K162+IDK!K162+EKM!K162+TSR!K162+PLKD!K162+MLPM!K162+KKD!K162+WYND!K162+KNR!K162+KSRGD!K162+SHS!K162</f>
        <v>0</v>
      </c>
      <c r="L162" s="24">
        <f>TVM!L162+KLM!L162+PTA!L162+ALP!L162+KTYM!L162+IDK!L162+EKM!L162+TSR!L162+PLKD!L162+MLPM!L162+KKD!L162+WYND!L162+KNR!L162+KSRGD!L162+SHS!L162</f>
        <v>0</v>
      </c>
      <c r="M162" s="24">
        <f>TVM!M162+KLM!M162+PTA!M162+ALP!M162+KTYM!M162+IDK!M162+EKM!M162+TSR!M162+PLKD!M162+MLPM!M162+KKD!M162+WYND!M162+KNR!M162+KSRGD!M162+SHS!M162</f>
        <v>0</v>
      </c>
      <c r="N162" s="27">
        <f>TVM!N162+KLM!N162+PTA!N162+ALP!N162+KTYM!N162+IDK!N162+EKM!N162+TSR!N162+PLKD!N162+MLPM!N162+KKD!N162+WYND!N162+KNR!N162+KSRGD!N162+SHS!N162</f>
        <v>64.91</v>
      </c>
      <c r="O162" s="24">
        <f>TVM!O162+KLM!O162+PTA!O162+ALP!O162+KTYM!O162+IDK!O162+EKM!O162+TSR!O162+PLKD!O162+MLPM!O162+KKD!O162+WYND!O162+KNR!O162+KSRGD!O162+SHS!O162</f>
        <v>0</v>
      </c>
      <c r="P162" s="24">
        <f>TVM!P162+KLM!P162+PTA!P162+ALP!P162+KTYM!P162+IDK!P162+EKM!P162+TSR!P162+PLKD!P162+MLPM!P162+KKD!P162+WYND!P162+KNR!P162+KSRGD!P162+SHS!P162</f>
        <v>0</v>
      </c>
      <c r="Q162" s="24">
        <f>TVM!Q162+KLM!Q162+PTA!Q162+ALP!Q162+KTYM!Q162+IDK!Q162+EKM!Q162+TSR!Q162+PLKD!Q162+MLPM!Q162+KKD!Q162+WYND!Q162+KNR!Q162+KSRGD!Q162+SHS!Q162</f>
        <v>0</v>
      </c>
      <c r="R162" s="24">
        <f>TVM!R162+KLM!R162+PTA!R162+ALP!R162+KTYM!R162+IDK!R162+EKM!R162+TSR!R162+PLKD!R162+MLPM!R162+KKD!R162+WYND!R162+KNR!R162+KSRGD!R162+SHS!R162</f>
        <v>0</v>
      </c>
      <c r="S162" s="24">
        <f>TVM!S162+KLM!S162+PTA!S162+ALP!S162+KTYM!S162+IDK!S162+EKM!S162+TSR!S162+PLKD!S162+MLPM!S162+KKD!S162+WYND!S162+KNR!S162+KSRGD!S162+SHS!S162</f>
        <v>0</v>
      </c>
      <c r="T162" s="6">
        <f t="shared" si="4"/>
        <v>64.91</v>
      </c>
      <c r="U162" s="9"/>
      <c r="V162" s="32"/>
      <c r="W162" s="1"/>
      <c r="X162" s="1"/>
      <c r="Y162" s="1"/>
      <c r="Z162" s="1"/>
    </row>
    <row r="163" spans="1:26" ht="39.75" customHeight="1">
      <c r="A163" s="171"/>
      <c r="B163" s="168" t="s">
        <v>299</v>
      </c>
      <c r="C163" s="168" t="s">
        <v>300</v>
      </c>
      <c r="D163" s="5">
        <v>154</v>
      </c>
      <c r="E163" s="5" t="s">
        <v>301</v>
      </c>
      <c r="F163" s="24">
        <f>TVM!F163+KLM!F163+PTA!F163+ALP!F163+KTYM!F163+IDK!F163+EKM!F163+TSR!F163+PLKD!F163+MLPM!F163+KKD!F163+WYND!F163+KNR!F163+KSRGD!F163+SHS!F163</f>
        <v>0</v>
      </c>
      <c r="G163" s="24">
        <f>TVM!G163+KLM!G163+PTA!G163+ALP!G163+KTYM!G163+IDK!G163+EKM!G163+TSR!G163+PLKD!G163+MLPM!G163+KKD!G163+WYND!G163+KNR!G163+KSRGD!G163+SHS!G163</f>
        <v>0</v>
      </c>
      <c r="H163" s="24">
        <f>TVM!H163+KLM!H163+PTA!H163+ALP!H163+KTYM!H163+IDK!H163+EKM!H163+TSR!H163+PLKD!H163+MLPM!H163+KKD!H163+WYND!H163+KNR!H163+KSRGD!H163+SHS!H163</f>
        <v>0</v>
      </c>
      <c r="I163" s="24">
        <f>TVM!I163+KLM!I163+PTA!I163+ALP!I163+KTYM!I163+IDK!I163+EKM!I163+TSR!I163+PLKD!I163+MLPM!I163+KKD!I163+WYND!I163+KNR!I163+KSRGD!I163+SHS!I163</f>
        <v>0</v>
      </c>
      <c r="J163" s="24">
        <f>TVM!J163+KLM!J163+PTA!J163+ALP!J163+KTYM!J163+IDK!J163+EKM!J163+TSR!J163+PLKD!J163+MLPM!J163+KKD!J163+WYND!J163+KNR!J163+KSRGD!J163+SHS!J163</f>
        <v>0</v>
      </c>
      <c r="K163" s="27">
        <f>TVM!K163+KLM!K163+PTA!K163+ALP!K163+KTYM!K163+IDK!K163+EKM!K163+TSR!K163+PLKD!K163+MLPM!K163+KKD!K163+WYND!K163+KNR!K163+KSRGD!K163+SHS!K163</f>
        <v>3831.4</v>
      </c>
      <c r="L163" s="24">
        <f>TVM!L163+KLM!L163+PTA!L163+ALP!L163+KTYM!L163+IDK!L163+EKM!L163+TSR!L163+PLKD!L163+MLPM!L163+KKD!L163+WYND!L163+KNR!L163+KSRGD!L163+SHS!L163</f>
        <v>0</v>
      </c>
      <c r="M163" s="27">
        <f>TVM!M163+KLM!M163+PTA!M163+ALP!M163+KTYM!M163+IDK!M163+EKM!M163+TSR!M163+PLKD!M163+MLPM!M163+KKD!M163+WYND!M163+KNR!M163+KSRGD!M163+SHS!M163</f>
        <v>15</v>
      </c>
      <c r="N163" s="24">
        <f>TVM!N163+KLM!N163+PTA!N163+ALP!N163+KTYM!N163+IDK!N163+EKM!N163+TSR!N163+PLKD!N163+MLPM!N163+KKD!N163+WYND!N163+KNR!N163+KSRGD!N163+SHS!N163</f>
        <v>0</v>
      </c>
      <c r="O163" s="24">
        <f>TVM!O163+KLM!O163+PTA!O163+ALP!O163+KTYM!O163+IDK!O163+EKM!O163+TSR!O163+PLKD!O163+MLPM!O163+KKD!O163+WYND!O163+KNR!O163+KSRGD!O163+SHS!O163</f>
        <v>0</v>
      </c>
      <c r="P163" s="24">
        <f>TVM!P163+KLM!P163+PTA!P163+ALP!P163+KTYM!P163+IDK!P163+EKM!P163+TSR!P163+PLKD!P163+MLPM!P163+KKD!P163+WYND!P163+KNR!P163+KSRGD!P163+SHS!P163</f>
        <v>0</v>
      </c>
      <c r="Q163" s="31">
        <f>TVM!Q163+KLM!Q163+PTA!Q163+ALP!Q163+KTYM!Q163+IDK!Q163+EKM!Q163+TSR!Q163+PLKD!Q163+MLPM!Q163+KKD!Q163+WYND!Q163+KNR!Q163+KSRGD!Q163+SHS!Q163</f>
        <v>2</v>
      </c>
      <c r="R163" s="24">
        <f>TVM!R163+KLM!R163+PTA!R163+ALP!R163+KTYM!R163+IDK!R163+EKM!R163+TSR!R163+PLKD!R163+MLPM!R163+KKD!R163+WYND!R163+KNR!R163+KSRGD!R163+SHS!R163</f>
        <v>0</v>
      </c>
      <c r="S163" s="24">
        <f>TVM!S163+KLM!S163+PTA!S163+ALP!S163+KTYM!S163+IDK!S163+EKM!S163+TSR!S163+PLKD!S163+MLPM!S163+KKD!S163+WYND!S163+KNR!S163+KSRGD!S163+SHS!S163</f>
        <v>0</v>
      </c>
      <c r="T163" s="6">
        <f t="shared" si="4"/>
        <v>3848.4</v>
      </c>
      <c r="U163" s="9"/>
      <c r="V163" s="32"/>
      <c r="W163" s="1"/>
      <c r="X163" s="1"/>
      <c r="Y163" s="1"/>
      <c r="Z163" s="1"/>
    </row>
    <row r="164" spans="1:26" ht="39.75" customHeight="1">
      <c r="A164" s="171"/>
      <c r="B164" s="171"/>
      <c r="C164" s="171"/>
      <c r="D164" s="5">
        <v>155</v>
      </c>
      <c r="E164" s="5" t="s">
        <v>302</v>
      </c>
      <c r="F164" s="24">
        <f>TVM!F164+KLM!F164+PTA!F164+ALP!F164+KTYM!F164+IDK!F164+EKM!F164+TSR!F164+PLKD!F164+MLPM!F164+KKD!F164+WYND!F164+KNR!F164+KSRGD!F164+SHS!F164</f>
        <v>0</v>
      </c>
      <c r="G164" s="24">
        <f>TVM!G164+KLM!G164+PTA!G164+ALP!G164+KTYM!G164+IDK!G164+EKM!G164+TSR!G164+PLKD!G164+MLPM!G164+KKD!G164+WYND!G164+KNR!G164+KSRGD!G164+SHS!G164</f>
        <v>0</v>
      </c>
      <c r="H164" s="24">
        <f>TVM!H164+KLM!H164+PTA!H164+ALP!H164+KTYM!H164+IDK!H164+EKM!H164+TSR!H164+PLKD!H164+MLPM!H164+KKD!H164+WYND!H164+KNR!H164+KSRGD!H164+SHS!H164</f>
        <v>0</v>
      </c>
      <c r="I164" s="24">
        <f>TVM!I164+KLM!I164+PTA!I164+ALP!I164+KTYM!I164+IDK!I164+EKM!I164+TSR!I164+PLKD!I164+MLPM!I164+KKD!I164+WYND!I164+KNR!I164+KSRGD!I164+SHS!I164</f>
        <v>0</v>
      </c>
      <c r="J164" s="24">
        <f>TVM!J164+KLM!J164+PTA!J164+ALP!J164+KTYM!J164+IDK!J164+EKM!J164+TSR!J164+PLKD!J164+MLPM!J164+KKD!J164+WYND!J164+KNR!J164+KSRGD!J164+SHS!J164</f>
        <v>0</v>
      </c>
      <c r="K164" s="24">
        <f>TVM!K164+KLM!K164+PTA!K164+ALP!K164+KTYM!K164+IDK!K164+EKM!K164+TSR!K164+PLKD!K164+MLPM!K164+KKD!K164+WYND!K164+KNR!K164+KSRGD!K164+SHS!K164</f>
        <v>0</v>
      </c>
      <c r="L164" s="24">
        <f>TVM!L164+KLM!L164+PTA!L164+ALP!L164+KTYM!L164+IDK!L164+EKM!L164+TSR!L164+PLKD!L164+MLPM!L164+KKD!L164+WYND!L164+KNR!L164+KSRGD!L164+SHS!L164</f>
        <v>0</v>
      </c>
      <c r="M164" s="24">
        <f>TVM!M164+KLM!M164+PTA!M164+ALP!M164+KTYM!M164+IDK!M164+EKM!M164+TSR!M164+PLKD!M164+MLPM!M164+KKD!M164+WYND!M164+KNR!M164+KSRGD!M164+SHS!M164</f>
        <v>0</v>
      </c>
      <c r="N164" s="24">
        <f>TVM!N164+KLM!N164+PTA!N164+ALP!N164+KTYM!N164+IDK!N164+EKM!N164+TSR!N164+PLKD!N164+MLPM!N164+KKD!N164+WYND!N164+KNR!N164+KSRGD!N164+SHS!N164</f>
        <v>0</v>
      </c>
      <c r="O164" s="24">
        <f>TVM!O164+KLM!O164+PTA!O164+ALP!O164+KTYM!O164+IDK!O164+EKM!O164+TSR!O164+PLKD!O164+MLPM!O164+KKD!O164+WYND!O164+KNR!O164+KSRGD!O164+SHS!O164</f>
        <v>0</v>
      </c>
      <c r="P164" s="31">
        <f>TVM!P164+KLM!P164+PTA!P164+ALP!P164+KTYM!P164+IDK!P164+EKM!P164+TSR!P164+PLKD!P164+MLPM!P164+KKD!P164+WYND!P164+KNR!P164+KSRGD!P164+SHS!P164</f>
        <v>63.39</v>
      </c>
      <c r="Q164" s="24">
        <f>TVM!Q164+KLM!Q164+PTA!Q164+ALP!Q164+KTYM!Q164+IDK!Q164+EKM!Q164+TSR!Q164+PLKD!Q164+MLPM!Q164+KKD!Q164+WYND!Q164+KNR!Q164+KSRGD!Q164+SHS!Q164</f>
        <v>0</v>
      </c>
      <c r="R164" s="24">
        <f>TVM!R164+KLM!R164+PTA!R164+ALP!R164+KTYM!R164+IDK!R164+EKM!R164+TSR!R164+PLKD!R164+MLPM!R164+KKD!R164+WYND!R164+KNR!R164+KSRGD!R164+SHS!R164</f>
        <v>0</v>
      </c>
      <c r="S164" s="24">
        <f>TVM!S164+KLM!S164+PTA!S164+ALP!S164+KTYM!S164+IDK!S164+EKM!S164+TSR!S164+PLKD!S164+MLPM!S164+KKD!S164+WYND!S164+KNR!S164+KSRGD!S164+SHS!S164</f>
        <v>0</v>
      </c>
      <c r="T164" s="6">
        <f t="shared" si="4"/>
        <v>63.39</v>
      </c>
      <c r="U164" s="9"/>
      <c r="V164" s="32"/>
      <c r="W164" s="1"/>
      <c r="X164" s="1"/>
      <c r="Y164" s="1"/>
      <c r="Z164" s="1"/>
    </row>
    <row r="165" spans="1:26" ht="39.75" customHeight="1">
      <c r="A165" s="171"/>
      <c r="B165" s="171"/>
      <c r="C165" s="171"/>
      <c r="D165" s="5">
        <v>156</v>
      </c>
      <c r="E165" s="5" t="s">
        <v>303</v>
      </c>
      <c r="F165" s="24">
        <f>TVM!F165+KLM!F165+PTA!F165+ALP!F165+KTYM!F165+IDK!F165+EKM!F165+TSR!F165+PLKD!F165+MLPM!F165+KKD!F165+WYND!F165+KNR!F165+KSRGD!F165+SHS!F165</f>
        <v>0</v>
      </c>
      <c r="G165" s="24">
        <f>TVM!G165+KLM!G165+PTA!G165+ALP!G165+KTYM!G165+IDK!G165+EKM!G165+TSR!G165+PLKD!G165+MLPM!G165+KKD!G165+WYND!G165+KNR!G165+KSRGD!G165+SHS!G165</f>
        <v>0</v>
      </c>
      <c r="H165" s="31">
        <f>TVM!H165+KLM!H165+PTA!H165+ALP!H165+KTYM!H165+IDK!H165+EKM!H165+TSR!H165+PLKD!H165+MLPM!H165+KKD!H165+WYND!H165+KNR!H165+KSRGD!H165+SHS!H165</f>
        <v>0</v>
      </c>
      <c r="I165" s="27">
        <f>TVM!I165+KLM!I165+PTA!I165+ALP!I165+KTYM!I165+IDK!I165+EKM!I165+TSR!I165+PLKD!I165+MLPM!I165+KKD!I165+WYND!I165+KNR!I165+KSRGD!I165+SHS!I165</f>
        <v>106.76</v>
      </c>
      <c r="J165" s="24">
        <f>TVM!J165+KLM!J165+PTA!J165+ALP!J165+KTYM!J165+IDK!J165+EKM!J165+TSR!J165+PLKD!J165+MLPM!J165+KKD!J165+WYND!J165+KNR!J165+KSRGD!J165+SHS!J165</f>
        <v>0</v>
      </c>
      <c r="K165" s="24">
        <f>TVM!K165+KLM!K165+PTA!K165+ALP!K165+KTYM!K165+IDK!K165+EKM!K165+TSR!K165+PLKD!K165+MLPM!K165+KKD!K165+WYND!K165+KNR!K165+KSRGD!K165+SHS!K165</f>
        <v>0</v>
      </c>
      <c r="L165" s="24">
        <f>TVM!L165+KLM!L165+PTA!L165+ALP!L165+KTYM!L165+IDK!L165+EKM!L165+TSR!L165+PLKD!L165+MLPM!L165+KKD!L165+WYND!L165+KNR!L165+KSRGD!L165+SHS!L165</f>
        <v>0</v>
      </c>
      <c r="M165" s="24">
        <f>TVM!M165+KLM!M165+PTA!M165+ALP!M165+KTYM!M165+IDK!M165+EKM!M165+TSR!M165+PLKD!M165+MLPM!M165+KKD!M165+WYND!M165+KNR!M165+KSRGD!M165+SHS!M165</f>
        <v>0</v>
      </c>
      <c r="N165" s="24">
        <f>TVM!N165+KLM!N165+PTA!N165+ALP!N165+KTYM!N165+IDK!N165+EKM!N165+TSR!N165+PLKD!N165+MLPM!N165+KKD!N165+WYND!N165+KNR!N165+KSRGD!N165+SHS!N165</f>
        <v>0</v>
      </c>
      <c r="O165" s="24">
        <f>TVM!O165+KLM!O165+PTA!O165+ALP!O165+KTYM!O165+IDK!O165+EKM!O165+TSR!O165+PLKD!O165+MLPM!O165+KKD!O165+WYND!O165+KNR!O165+KSRGD!O165+SHS!O165</f>
        <v>0</v>
      </c>
      <c r="P165" s="31">
        <f>TVM!P165+KLM!P165+PTA!P165+ALP!P165+KTYM!P165+IDK!P165+EKM!P165+TSR!P165+PLKD!P165+MLPM!P165+KKD!P165+WYND!P165+KNR!P165+KSRGD!P165+SHS!P165</f>
        <v>26.600000000000005</v>
      </c>
      <c r="Q165" s="24">
        <f>TVM!Q165+KLM!Q165+PTA!Q165+ALP!Q165+KTYM!Q165+IDK!Q165+EKM!Q165+TSR!Q165+PLKD!Q165+MLPM!Q165+KKD!Q165+WYND!Q165+KNR!Q165+KSRGD!Q165+SHS!Q165</f>
        <v>0</v>
      </c>
      <c r="R165" s="24">
        <f>TVM!R165+KLM!R165+PTA!R165+ALP!R165+KTYM!R165+IDK!R165+EKM!R165+TSR!R165+PLKD!R165+MLPM!R165+KKD!R165+WYND!R165+KNR!R165+KSRGD!R165+SHS!R165</f>
        <v>0</v>
      </c>
      <c r="S165" s="24">
        <f>TVM!S165+KLM!S165+PTA!S165+ALP!S165+KTYM!S165+IDK!S165+EKM!S165+TSR!S165+PLKD!S165+MLPM!S165+KKD!S165+WYND!S165+KNR!S165+KSRGD!S165+SHS!S165</f>
        <v>0</v>
      </c>
      <c r="T165" s="6">
        <f t="shared" si="4"/>
        <v>133.36000000000001</v>
      </c>
      <c r="U165" s="9"/>
      <c r="V165" s="32"/>
      <c r="W165" s="1"/>
      <c r="X165" s="1"/>
      <c r="Y165" s="1"/>
      <c r="Z165" s="1"/>
    </row>
    <row r="166" spans="1:26" ht="39.75" customHeight="1">
      <c r="A166" s="171"/>
      <c r="B166" s="171"/>
      <c r="C166" s="171"/>
      <c r="D166" s="5">
        <v>157</v>
      </c>
      <c r="E166" s="5" t="s">
        <v>304</v>
      </c>
      <c r="F166" s="24">
        <f>TVM!F166+KLM!F166+PTA!F166+ALP!F166+KTYM!F166+IDK!F166+EKM!F166+TSR!F166+PLKD!F166+MLPM!F166+KKD!F166+WYND!F166+KNR!F166+KSRGD!F166+SHS!F166</f>
        <v>0</v>
      </c>
      <c r="G166" s="24">
        <f>TVM!G166+KLM!G166+PTA!G166+ALP!G166+KTYM!G166+IDK!G166+EKM!G166+TSR!G166+PLKD!G166+MLPM!G166+KKD!G166+WYND!G166+KNR!G166+KSRGD!G166+SHS!G166</f>
        <v>0</v>
      </c>
      <c r="H166" s="24">
        <f>TVM!H166+KLM!H166+PTA!H166+ALP!H166+KTYM!H166+IDK!H166+EKM!H166+TSR!H166+PLKD!H166+MLPM!H166+KKD!H166+WYND!H166+KNR!H166+KSRGD!H166+SHS!H166</f>
        <v>0</v>
      </c>
      <c r="I166" s="24">
        <f>TVM!I166+KLM!I166+PTA!I166+ALP!I166+KTYM!I166+IDK!I166+EKM!I166+TSR!I166+PLKD!I166+MLPM!I166+KKD!I166+WYND!I166+KNR!I166+KSRGD!I166+SHS!I166</f>
        <v>0</v>
      </c>
      <c r="J166" s="24">
        <f>TVM!J166+KLM!J166+PTA!J166+ALP!J166+KTYM!J166+IDK!J166+EKM!J166+TSR!J166+PLKD!J166+MLPM!J166+KKD!J166+WYND!J166+KNR!J166+KSRGD!J166+SHS!J166</f>
        <v>0</v>
      </c>
      <c r="K166" s="24">
        <f>TVM!K166+KLM!K166+PTA!K166+ALP!K166+KTYM!K166+IDK!K166+EKM!K166+TSR!K166+PLKD!K166+MLPM!K166+KKD!K166+WYND!K166+KNR!K166+KSRGD!K166+SHS!K166</f>
        <v>0</v>
      </c>
      <c r="L166" s="24">
        <f>TVM!L166+KLM!L166+PTA!L166+ALP!L166+KTYM!L166+IDK!L166+EKM!L166+TSR!L166+PLKD!L166+MLPM!L166+KKD!L166+WYND!L166+KNR!L166+KSRGD!L166+SHS!L166</f>
        <v>0</v>
      </c>
      <c r="M166" s="24">
        <f>TVM!M166+KLM!M166+PTA!M166+ALP!M166+KTYM!M166+IDK!M166+EKM!M166+TSR!M166+PLKD!M166+MLPM!M166+KKD!M166+WYND!M166+KNR!M166+KSRGD!M166+SHS!M166</f>
        <v>0</v>
      </c>
      <c r="N166" s="24">
        <f>TVM!N166+KLM!N166+PTA!N166+ALP!N166+KTYM!N166+IDK!N166+EKM!N166+TSR!N166+PLKD!N166+MLPM!N166+KKD!N166+WYND!N166+KNR!N166+KSRGD!N166+SHS!N166</f>
        <v>0</v>
      </c>
      <c r="O166" s="24">
        <f>TVM!O166+KLM!O166+PTA!O166+ALP!O166+KTYM!O166+IDK!O166+EKM!O166+TSR!O166+PLKD!O166+MLPM!O166+KKD!O166+WYND!O166+KNR!O166+KSRGD!O166+SHS!O166</f>
        <v>0</v>
      </c>
      <c r="P166" s="24">
        <f>TVM!P166+KLM!P166+PTA!P166+ALP!P166+KTYM!P166+IDK!P166+EKM!P166+TSR!P166+PLKD!P166+MLPM!P166+KKD!P166+WYND!P166+KNR!P166+KSRGD!P166+SHS!P166</f>
        <v>0</v>
      </c>
      <c r="Q166" s="24">
        <f>TVM!Q166+KLM!Q166+PTA!Q166+ALP!Q166+KTYM!Q166+IDK!Q166+EKM!Q166+TSR!Q166+PLKD!Q166+MLPM!Q166+KKD!Q166+WYND!Q166+KNR!Q166+KSRGD!Q166+SHS!Q166</f>
        <v>0</v>
      </c>
      <c r="R166" s="24">
        <f>TVM!R166+KLM!R166+PTA!R166+ALP!R166+KTYM!R166+IDK!R166+EKM!R166+TSR!R166+PLKD!R166+MLPM!R166+KKD!R166+WYND!R166+KNR!R166+KSRGD!R166+SHS!R166</f>
        <v>0</v>
      </c>
      <c r="S166" s="24">
        <f>TVM!S166+KLM!S166+PTA!S166+ALP!S166+KTYM!S166+IDK!S166+EKM!S166+TSR!S166+PLKD!S166+MLPM!S166+KKD!S166+WYND!S166+KNR!S166+KSRGD!S166+SHS!S166</f>
        <v>0</v>
      </c>
      <c r="T166" s="6">
        <f t="shared" si="4"/>
        <v>0</v>
      </c>
      <c r="U166" s="9"/>
      <c r="V166" s="32"/>
      <c r="W166" s="1"/>
      <c r="X166" s="1"/>
      <c r="Y166" s="1"/>
      <c r="Z166" s="1"/>
    </row>
    <row r="167" spans="1:26" ht="39.75" customHeight="1">
      <c r="A167" s="171"/>
      <c r="B167" s="169"/>
      <c r="C167" s="169"/>
      <c r="D167" s="5">
        <v>158</v>
      </c>
      <c r="E167" s="5" t="s">
        <v>305</v>
      </c>
      <c r="F167" s="24">
        <f>TVM!F167+KLM!F167+PTA!F167+ALP!F167+KTYM!F167+IDK!F167+EKM!F167+TSR!F167+PLKD!F167+MLPM!F167+KKD!F167+WYND!F167+KNR!F167+KSRGD!F167+SHS!F167</f>
        <v>0</v>
      </c>
      <c r="G167" s="24">
        <f>TVM!G167+KLM!G167+PTA!G167+ALP!G167+KTYM!G167+IDK!G167+EKM!G167+TSR!G167+PLKD!G167+MLPM!G167+KKD!G167+WYND!G167+KNR!G167+KSRGD!G167+SHS!G167</f>
        <v>0</v>
      </c>
      <c r="H167" s="24">
        <f>TVM!H167+KLM!H167+PTA!H167+ALP!H167+KTYM!H167+IDK!H167+EKM!H167+TSR!H167+PLKD!H167+MLPM!H167+KKD!H167+WYND!H167+KNR!H167+KSRGD!H167+SHS!H167</f>
        <v>0</v>
      </c>
      <c r="I167" s="24">
        <f>TVM!I167+KLM!I167+PTA!I167+ALP!I167+KTYM!I167+IDK!I167+EKM!I167+TSR!I167+PLKD!I167+MLPM!I167+KKD!I167+WYND!I167+KNR!I167+KSRGD!I167+SHS!I167</f>
        <v>0</v>
      </c>
      <c r="J167" s="24">
        <f>TVM!J167+KLM!J167+PTA!J167+ALP!J167+KTYM!J167+IDK!J167+EKM!J167+TSR!J167+PLKD!J167+MLPM!J167+KKD!J167+WYND!J167+KNR!J167+KSRGD!J167+SHS!J167</f>
        <v>0</v>
      </c>
      <c r="K167" s="24">
        <f>TVM!K167+KLM!K167+PTA!K167+ALP!K167+KTYM!K167+IDK!K167+EKM!K167+TSR!K167+PLKD!K167+MLPM!K167+KKD!K167+WYND!K167+KNR!K167+KSRGD!K167+SHS!K167</f>
        <v>0</v>
      </c>
      <c r="L167" s="24">
        <f>TVM!L167+KLM!L167+PTA!L167+ALP!L167+KTYM!L167+IDK!L167+EKM!L167+TSR!L167+PLKD!L167+MLPM!L167+KKD!L167+WYND!L167+KNR!L167+KSRGD!L167+SHS!L167</f>
        <v>0</v>
      </c>
      <c r="M167" s="24">
        <f>TVM!M167+KLM!M167+PTA!M167+ALP!M167+KTYM!M167+IDK!M167+EKM!M167+TSR!M167+PLKD!M167+MLPM!M167+KKD!M167+WYND!M167+KNR!M167+KSRGD!M167+SHS!M167</f>
        <v>0</v>
      </c>
      <c r="N167" s="24">
        <f>TVM!N167+KLM!N167+PTA!N167+ALP!N167+KTYM!N167+IDK!N167+EKM!N167+TSR!N167+PLKD!N167+MLPM!N167+KKD!N167+WYND!N167+KNR!N167+KSRGD!N167+SHS!N167</f>
        <v>0</v>
      </c>
      <c r="O167" s="24">
        <f>TVM!O167+KLM!O167+PTA!O167+ALP!O167+KTYM!O167+IDK!O167+EKM!O167+TSR!O167+PLKD!O167+MLPM!O167+KKD!O167+WYND!O167+KNR!O167+KSRGD!O167+SHS!O167</f>
        <v>0</v>
      </c>
      <c r="P167" s="24">
        <f>TVM!P167+KLM!P167+PTA!P167+ALP!P167+KTYM!P167+IDK!P167+EKM!P167+TSR!P167+PLKD!P167+MLPM!P167+KKD!P167+WYND!P167+KNR!P167+KSRGD!P167+SHS!P167</f>
        <v>0</v>
      </c>
      <c r="Q167" s="27">
        <f>TVM!Q167+KLM!Q167+PTA!Q167+ALP!Q167+KTYM!Q167+IDK!Q167+EKM!Q167+TSR!Q167+PLKD!Q167+MLPM!Q167+KKD!Q167+WYND!Q167+KNR!Q167+KSRGD!Q167+SHS!Q167</f>
        <v>4.8</v>
      </c>
      <c r="R167" s="24">
        <f>TVM!R167+KLM!R167+PTA!R167+ALP!R167+KTYM!R167+IDK!R167+EKM!R167+TSR!R167+PLKD!R167+MLPM!R167+KKD!R167+WYND!R167+KNR!R167+KSRGD!R167+SHS!R167</f>
        <v>0</v>
      </c>
      <c r="S167" s="24">
        <f>TVM!S167+KLM!S167+PTA!S167+ALP!S167+KTYM!S167+IDK!S167+EKM!S167+TSR!S167+PLKD!S167+MLPM!S167+KKD!S167+WYND!S167+KNR!S167+KSRGD!S167+SHS!S167</f>
        <v>0</v>
      </c>
      <c r="T167" s="6">
        <f t="shared" si="4"/>
        <v>4.8</v>
      </c>
      <c r="U167" s="9"/>
      <c r="V167" s="32"/>
      <c r="W167" s="1"/>
      <c r="X167" s="1"/>
      <c r="Y167" s="1"/>
      <c r="Z167" s="1"/>
    </row>
    <row r="168" spans="1:26" ht="39.75" customHeight="1">
      <c r="A168" s="171"/>
      <c r="B168" s="168" t="s">
        <v>306</v>
      </c>
      <c r="C168" s="168" t="s">
        <v>252</v>
      </c>
      <c r="D168" s="5">
        <v>159</v>
      </c>
      <c r="E168" s="5" t="s">
        <v>253</v>
      </c>
      <c r="F168" s="24">
        <f>TVM!F168+KLM!F168+PTA!F168+ALP!F168+KTYM!F168+IDK!F168+EKM!F168+TSR!F168+PLKD!F168+MLPM!F168+KKD!F168+WYND!F168+KNR!F168+KSRGD!F168+SHS!F168</f>
        <v>0</v>
      </c>
      <c r="G168" s="24">
        <f>TVM!G168+KLM!G168+PTA!G168+ALP!G168+KTYM!G168+IDK!G168+EKM!G168+TSR!G168+PLKD!G168+MLPM!G168+KKD!G168+WYND!G168+KNR!G168+KSRGD!G168+SHS!G168</f>
        <v>0</v>
      </c>
      <c r="H168" s="24">
        <f>TVM!H168+KLM!H168+PTA!H168+ALP!H168+KTYM!H168+IDK!H168+EKM!H168+TSR!H168+PLKD!H168+MLPM!H168+KKD!H168+WYND!H168+KNR!H168+KSRGD!H168+SHS!H168</f>
        <v>0</v>
      </c>
      <c r="I168" s="24">
        <f>TVM!I168+KLM!I168+PTA!I168+ALP!I168+KTYM!I168+IDK!I168+EKM!I168+TSR!I168+PLKD!I168+MLPM!I168+KKD!I168+WYND!I168+KNR!I168+KSRGD!I168+SHS!I168</f>
        <v>0</v>
      </c>
      <c r="J168" s="24">
        <f>TVM!J168+KLM!J168+PTA!J168+ALP!J168+KTYM!J168+IDK!J168+EKM!J168+TSR!J168+PLKD!J168+MLPM!J168+KKD!J168+WYND!J168+KNR!J168+KSRGD!J168+SHS!J168</f>
        <v>0</v>
      </c>
      <c r="K168" s="27">
        <f>TVM!K168+KLM!K168+PTA!K168+ALP!K168+KTYM!K168+IDK!K168+EKM!K168+TSR!K168+PLKD!K168+MLPM!K168+KKD!K168+WYND!K168+KNR!K168+KSRGD!K168+SHS!K168</f>
        <v>264.43</v>
      </c>
      <c r="L168" s="24">
        <f>TVM!L168+KLM!L168+PTA!L168+ALP!L168+KTYM!L168+IDK!L168+EKM!L168+TSR!L168+PLKD!L168+MLPM!L168+KKD!L168+WYND!L168+KNR!L168+KSRGD!L168+SHS!L168</f>
        <v>0</v>
      </c>
      <c r="M168" s="24">
        <f>TVM!M168+KLM!M168+PTA!M168+ALP!M168+KTYM!M168+IDK!M168+EKM!M168+TSR!M168+PLKD!M168+MLPM!M168+KKD!M168+WYND!M168+KNR!M168+KSRGD!M168+SHS!M168</f>
        <v>0</v>
      </c>
      <c r="N168" s="31">
        <f>TVM!N168+KLM!N168+PTA!N168+ALP!N168+KTYM!N168+IDK!N168+EKM!N168+TSR!N168+PLKD!N168+MLPM!N168+KKD!N168+WYND!N168+KNR!N168+KSRGD!N168+SHS!N168</f>
        <v>442.27</v>
      </c>
      <c r="O168" s="31">
        <f>TVM!O168+KLM!O168+PTA!O168+ALP!O168+KTYM!O168+IDK!O168+EKM!O168+TSR!O168+PLKD!O168+MLPM!O168+KKD!O168+WYND!O168+KNR!O168+KSRGD!O168+SHS!O168</f>
        <v>7064.42</v>
      </c>
      <c r="P168" s="31">
        <f>TVM!P168+KLM!P168+PTA!P168+ALP!P168+KTYM!P168+IDK!P168+EKM!P168+TSR!P168+PLKD!P168+MLPM!P168+KKD!P168+WYND!P168+KNR!P168+KSRGD!P168+SHS!P168</f>
        <v>756.8</v>
      </c>
      <c r="Q168" s="27">
        <f>TVM!Q168+KLM!Q168+PTA!Q168+ALP!Q168+KTYM!Q168+IDK!Q168+EKM!Q168+TSR!Q168+PLKD!Q168+MLPM!Q168+KKD!Q168+WYND!Q168+KNR!Q168+KSRGD!Q168+SHS!Q168</f>
        <v>252.15</v>
      </c>
      <c r="R168" s="24">
        <f>TVM!R168+KLM!R168+PTA!R168+ALP!R168+KTYM!R168+IDK!R168+EKM!R168+TSR!R168+PLKD!R168+MLPM!R168+KKD!R168+WYND!R168+KNR!R168+KSRGD!R168+SHS!R168</f>
        <v>0</v>
      </c>
      <c r="S168" s="24">
        <f>TVM!S168+KLM!S168+PTA!S168+ALP!S168+KTYM!S168+IDK!S168+EKM!S168+TSR!S168+PLKD!S168+MLPM!S168+KKD!S168+WYND!S168+KNR!S168+KSRGD!S168+SHS!S168</f>
        <v>0</v>
      </c>
      <c r="T168" s="6">
        <f t="shared" si="4"/>
        <v>8780.07</v>
      </c>
      <c r="U168" s="9"/>
      <c r="V168" s="32"/>
      <c r="W168" s="1"/>
      <c r="X168" s="1"/>
      <c r="Y168" s="1"/>
      <c r="Z168" s="1"/>
    </row>
    <row r="169" spans="1:26" ht="39.75" customHeight="1">
      <c r="A169" s="171"/>
      <c r="B169" s="171"/>
      <c r="C169" s="171"/>
      <c r="D169" s="5">
        <v>160</v>
      </c>
      <c r="E169" s="5" t="s">
        <v>308</v>
      </c>
      <c r="F169" s="24">
        <f>TVM!F169+KLM!F169+PTA!F169+ALP!F169+KTYM!F169+IDK!F169+EKM!F169+TSR!F169+PLKD!F169+MLPM!F169+KKD!F169+WYND!F169+KNR!F169+KSRGD!F169+SHS!F169</f>
        <v>0</v>
      </c>
      <c r="G169" s="24">
        <f>TVM!G169+KLM!G169+PTA!G169+ALP!G169+KTYM!G169+IDK!G169+EKM!G169+TSR!G169+PLKD!G169+MLPM!G169+KKD!G169+WYND!G169+KNR!G169+KSRGD!G169+SHS!G169</f>
        <v>0</v>
      </c>
      <c r="H169" s="24">
        <f>TVM!H169+KLM!H169+PTA!H169+ALP!H169+KTYM!H169+IDK!H169+EKM!H169+TSR!H169+PLKD!H169+MLPM!H169+KKD!H169+WYND!H169+KNR!H169+KSRGD!H169+SHS!H169</f>
        <v>0</v>
      </c>
      <c r="I169" s="24">
        <f>TVM!I169+KLM!I169+PTA!I169+ALP!I169+KTYM!I169+IDK!I169+EKM!I169+TSR!I169+PLKD!I169+MLPM!I169+KKD!I169+WYND!I169+KNR!I169+KSRGD!I169+SHS!I169</f>
        <v>0</v>
      </c>
      <c r="J169" s="24">
        <f>TVM!J169+KLM!J169+PTA!J169+ALP!J169+KTYM!J169+IDK!J169+EKM!J169+TSR!J169+PLKD!J169+MLPM!J169+KKD!J169+WYND!J169+KNR!J169+KSRGD!J169+SHS!J169</f>
        <v>0</v>
      </c>
      <c r="K169" s="24">
        <f>TVM!K169+KLM!K169+PTA!K169+ALP!K169+KTYM!K169+IDK!K169+EKM!K169+TSR!K169+PLKD!K169+MLPM!K169+KKD!K169+WYND!K169+KNR!K169+KSRGD!K169+SHS!K169</f>
        <v>0</v>
      </c>
      <c r="L169" s="24">
        <f>TVM!L169+KLM!L169+PTA!L169+ALP!L169+KTYM!L169+IDK!L169+EKM!L169+TSR!L169+PLKD!L169+MLPM!L169+KKD!L169+WYND!L169+KNR!L169+KSRGD!L169+SHS!L169</f>
        <v>0</v>
      </c>
      <c r="M169" s="24">
        <f>TVM!M169+KLM!M169+PTA!M169+ALP!M169+KTYM!M169+IDK!M169+EKM!M169+TSR!M169+PLKD!M169+MLPM!M169+KKD!M169+WYND!M169+KNR!M169+KSRGD!M169+SHS!M169</f>
        <v>0</v>
      </c>
      <c r="N169" s="24">
        <f>TVM!N169+KLM!N169+PTA!N169+ALP!N169+KTYM!N169+IDK!N169+EKM!N169+TSR!N169+PLKD!N169+MLPM!N169+KKD!N169+WYND!N169+KNR!N169+KSRGD!N169+SHS!N169</f>
        <v>0</v>
      </c>
      <c r="O169" s="24">
        <f>TVM!O169+KLM!O169+PTA!O169+ALP!O169+KTYM!O169+IDK!O169+EKM!O169+TSR!O169+PLKD!O169+MLPM!O169+KKD!O169+WYND!O169+KNR!O169+KSRGD!O169+SHS!O169</f>
        <v>0</v>
      </c>
      <c r="P169" s="24">
        <f>TVM!P169+KLM!P169+PTA!P169+ALP!P169+KTYM!P169+IDK!P169+EKM!P169+TSR!P169+PLKD!P169+MLPM!P169+KKD!P169+WYND!P169+KNR!P169+KSRGD!P169+SHS!P169</f>
        <v>0</v>
      </c>
      <c r="Q169" s="24">
        <f>TVM!Q169+KLM!Q169+PTA!Q169+ALP!Q169+KTYM!Q169+IDK!Q169+EKM!Q169+TSR!Q169+PLKD!Q169+MLPM!Q169+KKD!Q169+WYND!Q169+KNR!Q169+KSRGD!Q169+SHS!Q169</f>
        <v>0</v>
      </c>
      <c r="R169" s="24">
        <f>TVM!R169+KLM!R169+PTA!R169+ALP!R169+KTYM!R169+IDK!R169+EKM!R169+TSR!R169+PLKD!R169+MLPM!R169+KKD!R169+WYND!R169+KNR!R169+KSRGD!R169+SHS!R169</f>
        <v>0</v>
      </c>
      <c r="S169" s="24">
        <f>TVM!S169+KLM!S169+PTA!S169+ALP!S169+KTYM!S169+IDK!S169+EKM!S169+TSR!S169+PLKD!S169+MLPM!S169+KKD!S169+WYND!S169+KNR!S169+KSRGD!S169+SHS!S169</f>
        <v>0</v>
      </c>
      <c r="T169" s="6">
        <f t="shared" si="4"/>
        <v>0</v>
      </c>
      <c r="U169" s="9"/>
      <c r="V169" s="32"/>
      <c r="W169" s="1"/>
      <c r="X169" s="1"/>
      <c r="Y169" s="1"/>
      <c r="Z169" s="1"/>
    </row>
    <row r="170" spans="1:26" ht="39.75" customHeight="1">
      <c r="A170" s="171"/>
      <c r="B170" s="171"/>
      <c r="C170" s="171"/>
      <c r="D170" s="5">
        <v>161</v>
      </c>
      <c r="E170" s="5" t="s">
        <v>255</v>
      </c>
      <c r="F170" s="24">
        <f>TVM!F170+KLM!F170+PTA!F170+ALP!F170+KTYM!F170+IDK!F170+EKM!F170+TSR!F170+PLKD!F170+MLPM!F170+KKD!F170+WYND!F170+KNR!F170+KSRGD!F170+SHS!F170</f>
        <v>0</v>
      </c>
      <c r="G170" s="24">
        <f>TVM!G170+KLM!G170+PTA!G170+ALP!G170+KTYM!G170+IDK!G170+EKM!G170+TSR!G170+PLKD!G170+MLPM!G170+KKD!G170+WYND!G170+KNR!G170+KSRGD!G170+SHS!G170</f>
        <v>0</v>
      </c>
      <c r="H170" s="24">
        <f>TVM!H170+KLM!H170+PTA!H170+ALP!H170+KTYM!H170+IDK!H170+EKM!H170+TSR!H170+PLKD!H170+MLPM!H170+KKD!H170+WYND!H170+KNR!H170+KSRGD!H170+SHS!H170</f>
        <v>0</v>
      </c>
      <c r="I170" s="24">
        <f>TVM!I170+KLM!I170+PTA!I170+ALP!I170+KTYM!I170+IDK!I170+EKM!I170+TSR!I170+PLKD!I170+MLPM!I170+KKD!I170+WYND!I170+KNR!I170+KSRGD!I170+SHS!I170</f>
        <v>0</v>
      </c>
      <c r="J170" s="24">
        <f>TVM!J170+KLM!J170+PTA!J170+ALP!J170+KTYM!J170+IDK!J170+EKM!J170+TSR!J170+PLKD!J170+MLPM!J170+KKD!J170+WYND!J170+KNR!J170+KSRGD!J170+SHS!J170</f>
        <v>0</v>
      </c>
      <c r="K170" s="24">
        <f>TVM!K170+KLM!K170+PTA!K170+ALP!K170+KTYM!K170+IDK!K170+EKM!K170+TSR!K170+PLKD!K170+MLPM!K170+KKD!K170+WYND!K170+KNR!K170+KSRGD!K170+SHS!K170</f>
        <v>0</v>
      </c>
      <c r="L170" s="24">
        <f>TVM!L170+KLM!L170+PTA!L170+ALP!L170+KTYM!L170+IDK!L170+EKM!L170+TSR!L170+PLKD!L170+MLPM!L170+KKD!L170+WYND!L170+KNR!L170+KSRGD!L170+SHS!L170</f>
        <v>0</v>
      </c>
      <c r="M170" s="24">
        <f>TVM!M170+KLM!M170+PTA!M170+ALP!M170+KTYM!M170+IDK!M170+EKM!M170+TSR!M170+PLKD!M170+MLPM!M170+KKD!M170+WYND!M170+KNR!M170+KSRGD!M170+SHS!M170</f>
        <v>0</v>
      </c>
      <c r="N170" s="24">
        <f>TVM!N170+KLM!N170+PTA!N170+ALP!N170+KTYM!N170+IDK!N170+EKM!N170+TSR!N170+PLKD!N170+MLPM!N170+KKD!N170+WYND!N170+KNR!N170+KSRGD!N170+SHS!N170</f>
        <v>0</v>
      </c>
      <c r="O170" s="24">
        <f>TVM!O170+KLM!O170+PTA!O170+ALP!O170+KTYM!O170+IDK!O170+EKM!O170+TSR!O170+PLKD!O170+MLPM!O170+KKD!O170+WYND!O170+KNR!O170+KSRGD!O170+SHS!O170</f>
        <v>0</v>
      </c>
      <c r="P170" s="24">
        <f>TVM!P170+KLM!P170+PTA!P170+ALP!P170+KTYM!P170+IDK!P170+EKM!P170+TSR!P170+PLKD!P170+MLPM!P170+KKD!P170+WYND!P170+KNR!P170+KSRGD!P170+SHS!P170</f>
        <v>0</v>
      </c>
      <c r="Q170" s="24">
        <f>TVM!Q170+KLM!Q170+PTA!Q170+ALP!Q170+KTYM!Q170+IDK!Q170+EKM!Q170+TSR!Q170+PLKD!Q170+MLPM!Q170+KKD!Q170+WYND!Q170+KNR!Q170+KSRGD!Q170+SHS!Q170</f>
        <v>0</v>
      </c>
      <c r="R170" s="24">
        <f>TVM!R170+KLM!R170+PTA!R170+ALP!R170+KTYM!R170+IDK!R170+EKM!R170+TSR!R170+PLKD!R170+MLPM!R170+KKD!R170+WYND!R170+KNR!R170+KSRGD!R170+SHS!R170</f>
        <v>0</v>
      </c>
      <c r="S170" s="24">
        <f>TVM!S170+KLM!S170+PTA!S170+ALP!S170+KTYM!S170+IDK!S170+EKM!S170+TSR!S170+PLKD!S170+MLPM!S170+KKD!S170+WYND!S170+KNR!S170+KSRGD!S170+SHS!S170</f>
        <v>0</v>
      </c>
      <c r="T170" s="6">
        <f t="shared" si="4"/>
        <v>0</v>
      </c>
      <c r="U170" s="9"/>
      <c r="V170" s="32"/>
      <c r="W170" s="1"/>
      <c r="X170" s="1"/>
      <c r="Y170" s="1"/>
      <c r="Z170" s="1"/>
    </row>
    <row r="171" spans="1:26" ht="39.75" customHeight="1">
      <c r="A171" s="171"/>
      <c r="B171" s="171"/>
      <c r="C171" s="171"/>
      <c r="D171" s="5">
        <v>162</v>
      </c>
      <c r="E171" s="5" t="s">
        <v>256</v>
      </c>
      <c r="F171" s="24">
        <f>TVM!F171+KLM!F171+PTA!F171+ALP!F171+KTYM!F171+IDK!F171+EKM!F171+TSR!F171+PLKD!F171+MLPM!F171+KKD!F171+WYND!F171+KNR!F171+KSRGD!F171+SHS!F171</f>
        <v>0</v>
      </c>
      <c r="G171" s="24">
        <f>TVM!G171+KLM!G171+PTA!G171+ALP!G171+KTYM!G171+IDK!G171+EKM!G171+TSR!G171+PLKD!G171+MLPM!G171+KKD!G171+WYND!G171+KNR!G171+KSRGD!G171+SHS!G171</f>
        <v>0</v>
      </c>
      <c r="H171" s="24">
        <f>TVM!H171+KLM!H171+PTA!H171+ALP!H171+KTYM!H171+IDK!H171+EKM!H171+TSR!H171+PLKD!H171+MLPM!H171+KKD!H171+WYND!H171+KNR!H171+KSRGD!H171+SHS!H171</f>
        <v>0</v>
      </c>
      <c r="I171" s="24">
        <f>TVM!I171+KLM!I171+PTA!I171+ALP!I171+KTYM!I171+IDK!I171+EKM!I171+TSR!I171+PLKD!I171+MLPM!I171+KKD!I171+WYND!I171+KNR!I171+KSRGD!I171+SHS!I171</f>
        <v>0</v>
      </c>
      <c r="J171" s="24">
        <f>TVM!J171+KLM!J171+PTA!J171+ALP!J171+KTYM!J171+IDK!J171+EKM!J171+TSR!J171+PLKD!J171+MLPM!J171+KKD!J171+WYND!J171+KNR!J171+KSRGD!J171+SHS!J171</f>
        <v>0</v>
      </c>
      <c r="K171" s="24">
        <f>TVM!K171+KLM!K171+PTA!K171+ALP!K171+KTYM!K171+IDK!K171+EKM!K171+TSR!K171+PLKD!K171+MLPM!K171+KKD!K171+WYND!K171+KNR!K171+KSRGD!K171+SHS!K171</f>
        <v>0</v>
      </c>
      <c r="L171" s="24">
        <f>TVM!L171+KLM!L171+PTA!L171+ALP!L171+KTYM!L171+IDK!L171+EKM!L171+TSR!L171+PLKD!L171+MLPM!L171+KKD!L171+WYND!L171+KNR!L171+KSRGD!L171+SHS!L171</f>
        <v>0</v>
      </c>
      <c r="M171" s="24">
        <f>TVM!M171+KLM!M171+PTA!M171+ALP!M171+KTYM!M171+IDK!M171+EKM!M171+TSR!M171+PLKD!M171+MLPM!M171+KKD!M171+WYND!M171+KNR!M171+KSRGD!M171+SHS!M171</f>
        <v>0</v>
      </c>
      <c r="N171" s="24">
        <f>TVM!N171+KLM!N171+PTA!N171+ALP!N171+KTYM!N171+IDK!N171+EKM!N171+TSR!N171+PLKD!N171+MLPM!N171+KKD!N171+WYND!N171+KNR!N171+KSRGD!N171+SHS!N171</f>
        <v>0</v>
      </c>
      <c r="O171" s="24">
        <f>TVM!O171+KLM!O171+PTA!O171+ALP!O171+KTYM!O171+IDK!O171+EKM!O171+TSR!O171+PLKD!O171+MLPM!O171+KKD!O171+WYND!O171+KNR!O171+KSRGD!O171+SHS!O171</f>
        <v>0</v>
      </c>
      <c r="P171" s="24">
        <f>TVM!P171+KLM!P171+PTA!P171+ALP!P171+KTYM!P171+IDK!P171+EKM!P171+TSR!P171+PLKD!P171+MLPM!P171+KKD!P171+WYND!P171+KNR!P171+KSRGD!P171+SHS!P171</f>
        <v>0</v>
      </c>
      <c r="Q171" s="24">
        <f>TVM!Q171+KLM!Q171+PTA!Q171+ALP!Q171+KTYM!Q171+IDK!Q171+EKM!Q171+TSR!Q171+PLKD!Q171+MLPM!Q171+KKD!Q171+WYND!Q171+KNR!Q171+KSRGD!Q171+SHS!Q171</f>
        <v>0</v>
      </c>
      <c r="R171" s="24">
        <f>TVM!R171+KLM!R171+PTA!R171+ALP!R171+KTYM!R171+IDK!R171+EKM!R171+TSR!R171+PLKD!R171+MLPM!R171+KKD!R171+WYND!R171+KNR!R171+KSRGD!R171+SHS!R171</f>
        <v>0</v>
      </c>
      <c r="S171" s="24">
        <f>TVM!S171+KLM!S171+PTA!S171+ALP!S171+KTYM!S171+IDK!S171+EKM!S171+TSR!S171+PLKD!S171+MLPM!S171+KKD!S171+WYND!S171+KNR!S171+KSRGD!S171+SHS!S171</f>
        <v>0</v>
      </c>
      <c r="T171" s="6">
        <f t="shared" si="4"/>
        <v>0</v>
      </c>
      <c r="U171" s="9"/>
      <c r="V171" s="32"/>
      <c r="W171" s="1"/>
      <c r="X171" s="1"/>
      <c r="Y171" s="1"/>
      <c r="Z171" s="1"/>
    </row>
    <row r="172" spans="1:26" ht="39.75" customHeight="1">
      <c r="A172" s="171"/>
      <c r="B172" s="169"/>
      <c r="C172" s="169"/>
      <c r="D172" s="5">
        <v>163</v>
      </c>
      <c r="E172" s="5" t="s">
        <v>309</v>
      </c>
      <c r="F172" s="24">
        <f>TVM!F172+KLM!F172+PTA!F172+ALP!F172+KTYM!F172+IDK!F172+EKM!F172+TSR!F172+PLKD!F172+MLPM!F172+KKD!F172+WYND!F172+KNR!F172+KSRGD!F172+SHS!F172</f>
        <v>0</v>
      </c>
      <c r="G172" s="24">
        <f>TVM!G172+KLM!G172+PTA!G172+ALP!G172+KTYM!G172+IDK!G172+EKM!G172+TSR!G172+PLKD!G172+MLPM!G172+KKD!G172+WYND!G172+KNR!G172+KSRGD!G172+SHS!G172</f>
        <v>0</v>
      </c>
      <c r="H172" s="24">
        <f>TVM!H172+KLM!H172+PTA!H172+ALP!H172+KTYM!H172+IDK!H172+EKM!H172+TSR!H172+PLKD!H172+MLPM!H172+KKD!H172+WYND!H172+KNR!H172+KSRGD!H172+SHS!H172</f>
        <v>0</v>
      </c>
      <c r="I172" s="24">
        <f>TVM!I172+KLM!I172+PTA!I172+ALP!I172+KTYM!I172+IDK!I172+EKM!I172+TSR!I172+PLKD!I172+MLPM!I172+KKD!I172+WYND!I172+KNR!I172+KSRGD!I172+SHS!I172</f>
        <v>0</v>
      </c>
      <c r="J172" s="24">
        <f>TVM!J172+KLM!J172+PTA!J172+ALP!J172+KTYM!J172+IDK!J172+EKM!J172+TSR!J172+PLKD!J172+MLPM!J172+KKD!J172+WYND!J172+KNR!J172+KSRGD!J172+SHS!J172</f>
        <v>0</v>
      </c>
      <c r="K172" s="24">
        <f>TVM!K172+KLM!K172+PTA!K172+ALP!K172+KTYM!K172+IDK!K172+EKM!K172+TSR!K172+PLKD!K172+MLPM!K172+KKD!K172+WYND!K172+KNR!K172+KSRGD!K172+SHS!K172</f>
        <v>0</v>
      </c>
      <c r="L172" s="24">
        <f>TVM!L172+KLM!L172+PTA!L172+ALP!L172+KTYM!L172+IDK!L172+EKM!L172+TSR!L172+PLKD!L172+MLPM!L172+KKD!L172+WYND!L172+KNR!L172+KSRGD!L172+SHS!L172</f>
        <v>0</v>
      </c>
      <c r="M172" s="24">
        <f>TVM!M172+KLM!M172+PTA!M172+ALP!M172+KTYM!M172+IDK!M172+EKM!M172+TSR!M172+PLKD!M172+MLPM!M172+KKD!M172+WYND!M172+KNR!M172+KSRGD!M172+SHS!M172</f>
        <v>0</v>
      </c>
      <c r="N172" s="24">
        <f>TVM!N172+KLM!N172+PTA!N172+ALP!N172+KTYM!N172+IDK!N172+EKM!N172+TSR!N172+PLKD!N172+MLPM!N172+KKD!N172+WYND!N172+KNR!N172+KSRGD!N172+SHS!N172</f>
        <v>0</v>
      </c>
      <c r="O172" s="31">
        <f>TVM!O172+KLM!O172+PTA!O172+ALP!O172+KTYM!O172+IDK!O172+EKM!O172+TSR!O172+PLKD!O172+MLPM!O172+KKD!O172+WYND!O172+KNR!O172+KSRGD!O172+SHS!O172</f>
        <v>4.2</v>
      </c>
      <c r="P172" s="31">
        <f>TVM!P172+KLM!P172+PTA!P172+ALP!P172+KTYM!P172+IDK!P172+EKM!P172+TSR!P172+PLKD!P172+MLPM!P172+KKD!P172+WYND!P172+KNR!P172+KSRGD!P172+SHS!P172</f>
        <v>315.52</v>
      </c>
      <c r="Q172" s="27">
        <f>TVM!Q172+KLM!Q172+PTA!Q172+ALP!Q172+KTYM!Q172+IDK!Q172+EKM!Q172+TSR!Q172+PLKD!Q172+MLPM!Q172+KKD!Q172+WYND!Q172+KNR!Q172+KSRGD!Q172+SHS!Q172</f>
        <v>263.25</v>
      </c>
      <c r="R172" s="24">
        <f>TVM!R172+KLM!R172+PTA!R172+ALP!R172+KTYM!R172+IDK!R172+EKM!R172+TSR!R172+PLKD!R172+MLPM!R172+KKD!R172+WYND!R172+KNR!R172+KSRGD!R172+SHS!R172</f>
        <v>0</v>
      </c>
      <c r="S172" s="24">
        <f>TVM!S172+KLM!S172+PTA!S172+ALP!S172+KTYM!S172+IDK!S172+EKM!S172+TSR!S172+PLKD!S172+MLPM!S172+KKD!S172+WYND!S172+KNR!S172+KSRGD!S172+SHS!S172</f>
        <v>0</v>
      </c>
      <c r="T172" s="6">
        <f t="shared" si="4"/>
        <v>582.97</v>
      </c>
      <c r="U172" s="45"/>
      <c r="V172" s="32"/>
      <c r="W172" s="1"/>
      <c r="X172" s="1"/>
      <c r="Y172" s="1"/>
      <c r="Z172" s="1"/>
    </row>
    <row r="173" spans="1:26" ht="39.75" customHeight="1">
      <c r="A173" s="171"/>
      <c r="B173" s="168" t="s">
        <v>311</v>
      </c>
      <c r="C173" s="168" t="s">
        <v>312</v>
      </c>
      <c r="D173" s="5">
        <v>164</v>
      </c>
      <c r="E173" s="5" t="s">
        <v>313</v>
      </c>
      <c r="F173" s="24">
        <f>TVM!F173+KLM!F173+PTA!F173+ALP!F173+KTYM!F173+IDK!F173+EKM!F173+TSR!F173+PLKD!F173+MLPM!F173+KKD!F173+WYND!F173+KNR!F173+KSRGD!F173+SHS!F173</f>
        <v>0</v>
      </c>
      <c r="G173" s="31">
        <f>TVM!G173+KLM!G173+PTA!G173+ALP!G173+KTYM!G173+IDK!G173+EKM!G173+TSR!G173+PLKD!G173+MLPM!G173+KKD!G173+WYND!G173+KNR!G173+KSRGD!G173+SHS!G173</f>
        <v>3579.9939999999997</v>
      </c>
      <c r="H173" s="31">
        <f>TVM!H173+KLM!H173+PTA!H173+ALP!H173+KTYM!H173+IDK!H173+EKM!H173+TSR!H173+PLKD!H173+MLPM!H173+KKD!H173+WYND!H173+KNR!H173+KSRGD!H173+SHS!H173</f>
        <v>229.82</v>
      </c>
      <c r="I173" s="24">
        <f>TVM!I173+KLM!I173+PTA!I173+ALP!I173+KTYM!I173+IDK!I173+EKM!I173+TSR!I173+PLKD!I173+MLPM!I173+KKD!I173+WYND!I173+KNR!I173+KSRGD!I173+SHS!I173</f>
        <v>0</v>
      </c>
      <c r="J173" s="24">
        <f>TVM!J173+KLM!J173+PTA!J173+ALP!J173+KTYM!J173+IDK!J173+EKM!J173+TSR!J173+PLKD!J173+MLPM!J173+KKD!J173+WYND!J173+KNR!J173+KSRGD!J173+SHS!J173</f>
        <v>0</v>
      </c>
      <c r="K173" s="24">
        <f>TVM!K173+KLM!K173+PTA!K173+ALP!K173+KTYM!K173+IDK!K173+EKM!K173+TSR!K173+PLKD!K173+MLPM!K173+KKD!K173+WYND!K173+KNR!K173+KSRGD!K173+SHS!K173</f>
        <v>0</v>
      </c>
      <c r="L173" s="24">
        <f>TVM!L173+KLM!L173+PTA!L173+ALP!L173+KTYM!L173+IDK!L173+EKM!L173+TSR!L173+PLKD!L173+MLPM!L173+KKD!L173+WYND!L173+KNR!L173+KSRGD!L173+SHS!L173</f>
        <v>0</v>
      </c>
      <c r="M173" s="24">
        <f>TVM!M173+KLM!M173+PTA!M173+ALP!M173+KTYM!M173+IDK!M173+EKM!M173+TSR!M173+PLKD!M173+MLPM!M173+KKD!M173+WYND!M173+KNR!M173+KSRGD!M173+SHS!M173</f>
        <v>0</v>
      </c>
      <c r="N173" s="24">
        <f>TVM!N173+KLM!N173+PTA!N173+ALP!N173+KTYM!N173+IDK!N173+EKM!N173+TSR!N173+PLKD!N173+MLPM!N173+KKD!N173+WYND!N173+KNR!N173+KSRGD!N173+SHS!N173</f>
        <v>0</v>
      </c>
      <c r="O173" s="24">
        <f>TVM!O173+KLM!O173+PTA!O173+ALP!O173+KTYM!O173+IDK!O173+EKM!O173+TSR!O173+PLKD!O173+MLPM!O173+KKD!O173+WYND!O173+KNR!O173+KSRGD!O173+SHS!O173</f>
        <v>0</v>
      </c>
      <c r="P173" s="24">
        <f>TVM!P173+KLM!P173+PTA!P173+ALP!P173+KTYM!P173+IDK!P173+EKM!P173+TSR!P173+PLKD!P173+MLPM!P173+KKD!P173+WYND!P173+KNR!P173+KSRGD!P173+SHS!P173</f>
        <v>0</v>
      </c>
      <c r="Q173" s="24">
        <f>TVM!Q173+KLM!Q173+PTA!Q173+ALP!Q173+KTYM!Q173+IDK!Q173+EKM!Q173+TSR!Q173+PLKD!Q173+MLPM!Q173+KKD!Q173+WYND!Q173+KNR!Q173+KSRGD!Q173+SHS!Q173</f>
        <v>0</v>
      </c>
      <c r="R173" s="24">
        <f>TVM!R173+KLM!R173+PTA!R173+ALP!R173+KTYM!R173+IDK!R173+EKM!R173+TSR!R173+PLKD!R173+MLPM!R173+KKD!R173+WYND!R173+KNR!R173+KSRGD!R173+SHS!R173</f>
        <v>0</v>
      </c>
      <c r="S173" s="24">
        <f>TVM!S173+KLM!S173+PTA!S173+ALP!S173+KTYM!S173+IDK!S173+EKM!S173+TSR!S173+PLKD!S173+MLPM!S173+KKD!S173+WYND!S173+KNR!S173+KSRGD!S173+SHS!S173</f>
        <v>0</v>
      </c>
      <c r="T173" s="6">
        <f t="shared" si="4"/>
        <v>3809.8139999999999</v>
      </c>
      <c r="U173" s="9"/>
      <c r="V173" s="32"/>
      <c r="W173" s="1"/>
      <c r="X173" s="1"/>
      <c r="Y173" s="1"/>
      <c r="Z173" s="1"/>
    </row>
    <row r="174" spans="1:26" ht="39.75" customHeight="1">
      <c r="A174" s="171"/>
      <c r="B174" s="171"/>
      <c r="C174" s="171"/>
      <c r="D174" s="5">
        <v>165</v>
      </c>
      <c r="E174" s="5" t="s">
        <v>314</v>
      </c>
      <c r="F174" s="24">
        <f>TVM!F174+KLM!F174+PTA!F174+ALP!F174+KTYM!F174+IDK!F174+EKM!F174+TSR!F174+PLKD!F174+MLPM!F174+KKD!F174+WYND!F174+KNR!F174+KSRGD!F174+SHS!F174</f>
        <v>0</v>
      </c>
      <c r="G174" s="31">
        <f>TVM!G174+KLM!G174+PTA!G174+ALP!G174+KTYM!G174+IDK!G174+EKM!G174+TSR!G174+PLKD!G174+MLPM!G174+KKD!G174+WYND!G174+KNR!G174+KSRGD!G174+SHS!G174</f>
        <v>2192.0659999999998</v>
      </c>
      <c r="H174" s="31">
        <f>TVM!H174+KLM!H174+PTA!H174+ALP!H174+KTYM!H174+IDK!H174+EKM!H174+TSR!H174+PLKD!H174+MLPM!H174+KKD!H174+WYND!H174+KNR!H174+KSRGD!H174+SHS!H174</f>
        <v>180</v>
      </c>
      <c r="I174" s="24">
        <f>TVM!I174+KLM!I174+PTA!I174+ALP!I174+KTYM!I174+IDK!I174+EKM!I174+TSR!I174+PLKD!I174+MLPM!I174+KKD!I174+WYND!I174+KNR!I174+KSRGD!I174+SHS!I174</f>
        <v>0</v>
      </c>
      <c r="J174" s="24">
        <f>TVM!J174+KLM!J174+PTA!J174+ALP!J174+KTYM!J174+IDK!J174+EKM!J174+TSR!J174+PLKD!J174+MLPM!J174+KKD!J174+WYND!J174+KNR!J174+KSRGD!J174+SHS!J174</f>
        <v>0</v>
      </c>
      <c r="K174" s="24">
        <f>TVM!K174+KLM!K174+PTA!K174+ALP!K174+KTYM!K174+IDK!K174+EKM!K174+TSR!K174+PLKD!K174+MLPM!K174+KKD!K174+WYND!K174+KNR!K174+KSRGD!K174+SHS!K174</f>
        <v>0</v>
      </c>
      <c r="L174" s="24">
        <f>TVM!L174+KLM!L174+PTA!L174+ALP!L174+KTYM!L174+IDK!L174+EKM!L174+TSR!L174+PLKD!L174+MLPM!L174+KKD!L174+WYND!L174+KNR!L174+KSRGD!L174+SHS!L174</f>
        <v>0</v>
      </c>
      <c r="M174" s="24">
        <f>TVM!M174+KLM!M174+PTA!M174+ALP!M174+KTYM!M174+IDK!M174+EKM!M174+TSR!M174+PLKD!M174+MLPM!M174+KKD!M174+WYND!M174+KNR!M174+KSRGD!M174+SHS!M174</f>
        <v>0</v>
      </c>
      <c r="N174" s="24">
        <f>TVM!N174+KLM!N174+PTA!N174+ALP!N174+KTYM!N174+IDK!N174+EKM!N174+TSR!N174+PLKD!N174+MLPM!N174+KKD!N174+WYND!N174+KNR!N174+KSRGD!N174+SHS!N174</f>
        <v>0</v>
      </c>
      <c r="O174" s="24">
        <f>TVM!O174+KLM!O174+PTA!O174+ALP!O174+KTYM!O174+IDK!O174+EKM!O174+TSR!O174+PLKD!O174+MLPM!O174+KKD!O174+WYND!O174+KNR!O174+KSRGD!O174+SHS!O174</f>
        <v>0</v>
      </c>
      <c r="P174" s="24">
        <f>TVM!P174+KLM!P174+PTA!P174+ALP!P174+KTYM!P174+IDK!P174+EKM!P174+TSR!P174+PLKD!P174+MLPM!P174+KKD!P174+WYND!P174+KNR!P174+KSRGD!P174+SHS!P174</f>
        <v>0</v>
      </c>
      <c r="Q174" s="24">
        <f>TVM!Q174+KLM!Q174+PTA!Q174+ALP!Q174+KTYM!Q174+IDK!Q174+EKM!Q174+TSR!Q174+PLKD!Q174+MLPM!Q174+KKD!Q174+WYND!Q174+KNR!Q174+KSRGD!Q174+SHS!Q174</f>
        <v>0</v>
      </c>
      <c r="R174" s="24">
        <f>TVM!R174+KLM!R174+PTA!R174+ALP!R174+KTYM!R174+IDK!R174+EKM!R174+TSR!R174+PLKD!R174+MLPM!R174+KKD!R174+WYND!R174+KNR!R174+KSRGD!R174+SHS!R174</f>
        <v>0</v>
      </c>
      <c r="S174" s="24">
        <f>TVM!S174+KLM!S174+PTA!S174+ALP!S174+KTYM!S174+IDK!S174+EKM!S174+TSR!S174+PLKD!S174+MLPM!S174+KKD!S174+WYND!S174+KNR!S174+KSRGD!S174+SHS!S174</f>
        <v>0</v>
      </c>
      <c r="T174" s="6">
        <f t="shared" si="4"/>
        <v>2372.0659999999998</v>
      </c>
      <c r="U174" s="9"/>
      <c r="V174" s="32"/>
      <c r="W174" s="1"/>
      <c r="X174" s="1"/>
      <c r="Y174" s="1"/>
      <c r="Z174" s="1"/>
    </row>
    <row r="175" spans="1:26" ht="39.75" customHeight="1">
      <c r="A175" s="171"/>
      <c r="B175" s="171"/>
      <c r="C175" s="171"/>
      <c r="D175" s="5">
        <v>166</v>
      </c>
      <c r="E175" s="5" t="s">
        <v>315</v>
      </c>
      <c r="F175" s="24">
        <f>TVM!F175+KLM!F175+PTA!F175+ALP!F175+KTYM!F175+IDK!F175+EKM!F175+TSR!F175+PLKD!F175+MLPM!F175+KKD!F175+WYND!F175+KNR!F175+KSRGD!F175+SHS!F175</f>
        <v>0</v>
      </c>
      <c r="G175" s="31">
        <f>TVM!G175+KLM!G175+PTA!G175+ALP!G175+KTYM!G175+IDK!G175+EKM!G175+TSR!G175+PLKD!G175+MLPM!G175+KKD!G175+WYND!G175+KNR!G175+KSRGD!G175+SHS!G175</f>
        <v>1751.5230000000001</v>
      </c>
      <c r="H175" s="31">
        <f>TVM!H175+KLM!H175+PTA!H175+ALP!H175+KTYM!H175+IDK!H175+EKM!H175+TSR!H175+PLKD!H175+MLPM!H175+KKD!H175+WYND!H175+KNR!H175+KSRGD!H175+SHS!H175</f>
        <v>488.7</v>
      </c>
      <c r="I175" s="24">
        <f>TVM!I175+KLM!I175+PTA!I175+ALP!I175+KTYM!I175+IDK!I175+EKM!I175+TSR!I175+PLKD!I175+MLPM!I175+KKD!I175+WYND!I175+KNR!I175+KSRGD!I175+SHS!I175</f>
        <v>0</v>
      </c>
      <c r="J175" s="24">
        <f>TVM!J175+KLM!J175+PTA!J175+ALP!J175+KTYM!J175+IDK!J175+EKM!J175+TSR!J175+PLKD!J175+MLPM!J175+KKD!J175+WYND!J175+KNR!J175+KSRGD!J175+SHS!J175</f>
        <v>0</v>
      </c>
      <c r="K175" s="24">
        <f>TVM!K175+KLM!K175+PTA!K175+ALP!K175+KTYM!K175+IDK!K175+EKM!K175+TSR!K175+PLKD!K175+MLPM!K175+KKD!K175+WYND!K175+KNR!K175+KSRGD!K175+SHS!K175</f>
        <v>0</v>
      </c>
      <c r="L175" s="24">
        <f>TVM!L175+KLM!L175+PTA!L175+ALP!L175+KTYM!L175+IDK!L175+EKM!L175+TSR!L175+PLKD!L175+MLPM!L175+KKD!L175+WYND!L175+KNR!L175+KSRGD!L175+SHS!L175</f>
        <v>0</v>
      </c>
      <c r="M175" s="24">
        <f>TVM!M175+KLM!M175+PTA!M175+ALP!M175+KTYM!M175+IDK!M175+EKM!M175+TSR!M175+PLKD!M175+MLPM!M175+KKD!M175+WYND!M175+KNR!M175+KSRGD!M175+SHS!M175</f>
        <v>0</v>
      </c>
      <c r="N175" s="24">
        <f>TVM!N175+KLM!N175+PTA!N175+ALP!N175+KTYM!N175+IDK!N175+EKM!N175+TSR!N175+PLKD!N175+MLPM!N175+KKD!N175+WYND!N175+KNR!N175+KSRGD!N175+SHS!N175</f>
        <v>0</v>
      </c>
      <c r="O175" s="24">
        <f>TVM!O175+KLM!O175+PTA!O175+ALP!O175+KTYM!O175+IDK!O175+EKM!O175+TSR!O175+PLKD!O175+MLPM!O175+KKD!O175+WYND!O175+KNR!O175+KSRGD!O175+SHS!O175</f>
        <v>0</v>
      </c>
      <c r="P175" s="24">
        <f>TVM!P175+KLM!P175+PTA!P175+ALP!P175+KTYM!P175+IDK!P175+EKM!P175+TSR!P175+PLKD!P175+MLPM!P175+KKD!P175+WYND!P175+KNR!P175+KSRGD!P175+SHS!P175</f>
        <v>0</v>
      </c>
      <c r="Q175" s="24">
        <f>TVM!Q175+KLM!Q175+PTA!Q175+ALP!Q175+KTYM!Q175+IDK!Q175+EKM!Q175+TSR!Q175+PLKD!Q175+MLPM!Q175+KKD!Q175+WYND!Q175+KNR!Q175+KSRGD!Q175+SHS!Q175</f>
        <v>0</v>
      </c>
      <c r="R175" s="24">
        <f>TVM!R175+KLM!R175+PTA!R175+ALP!R175+KTYM!R175+IDK!R175+EKM!R175+TSR!R175+PLKD!R175+MLPM!R175+KKD!R175+WYND!R175+KNR!R175+KSRGD!R175+SHS!R175</f>
        <v>0</v>
      </c>
      <c r="S175" s="24">
        <f>TVM!S175+KLM!S175+PTA!S175+ALP!S175+KTYM!S175+IDK!S175+EKM!S175+TSR!S175+PLKD!S175+MLPM!S175+KKD!S175+WYND!S175+KNR!S175+KSRGD!S175+SHS!S175</f>
        <v>0</v>
      </c>
      <c r="T175" s="6">
        <f t="shared" si="4"/>
        <v>2240.223</v>
      </c>
      <c r="U175" s="9"/>
      <c r="V175" s="32"/>
      <c r="W175" s="1"/>
      <c r="X175" s="1"/>
      <c r="Y175" s="1"/>
      <c r="Z175" s="1"/>
    </row>
    <row r="176" spans="1:26" ht="39.75" customHeight="1">
      <c r="A176" s="171"/>
      <c r="B176" s="171"/>
      <c r="C176" s="171"/>
      <c r="D176" s="5">
        <v>167</v>
      </c>
      <c r="E176" s="5" t="s">
        <v>316</v>
      </c>
      <c r="F176" s="24">
        <f>TVM!F176+KLM!F176+PTA!F176+ALP!F176+KTYM!F176+IDK!F176+EKM!F176+TSR!F176+PLKD!F176+MLPM!F176+KKD!F176+WYND!F176+KNR!F176+KSRGD!F176+SHS!F176</f>
        <v>0</v>
      </c>
      <c r="G176" s="31">
        <f>TVM!G176+KLM!G176+PTA!G176+ALP!G176+KTYM!G176+IDK!G176+EKM!G176+TSR!G176+PLKD!G176+MLPM!G176+KKD!G176+WYND!G176+KNR!G176+KSRGD!G176+SHS!G176</f>
        <v>4362.9380000000001</v>
      </c>
      <c r="H176" s="31">
        <f>TVM!H176+KLM!H176+PTA!H176+ALP!H176+KTYM!H176+IDK!H176+EKM!H176+TSR!H176+PLKD!H176+MLPM!H176+KKD!H176+WYND!H176+KNR!H176+KSRGD!H176+SHS!H176</f>
        <v>962.2</v>
      </c>
      <c r="I176" s="24">
        <f>TVM!I176+KLM!I176+PTA!I176+ALP!I176+KTYM!I176+IDK!I176+EKM!I176+TSR!I176+PLKD!I176+MLPM!I176+KKD!I176+WYND!I176+KNR!I176+KSRGD!I176+SHS!I176</f>
        <v>0</v>
      </c>
      <c r="J176" s="24">
        <f>TVM!J176+KLM!J176+PTA!J176+ALP!J176+KTYM!J176+IDK!J176+EKM!J176+TSR!J176+PLKD!J176+MLPM!J176+KKD!J176+WYND!J176+KNR!J176+KSRGD!J176+SHS!J176</f>
        <v>0</v>
      </c>
      <c r="K176" s="24">
        <f>TVM!K176+KLM!K176+PTA!K176+ALP!K176+KTYM!K176+IDK!K176+EKM!K176+TSR!K176+PLKD!K176+MLPM!K176+KKD!K176+WYND!K176+KNR!K176+KSRGD!K176+SHS!K176</f>
        <v>0</v>
      </c>
      <c r="L176" s="24">
        <f>TVM!L176+KLM!L176+PTA!L176+ALP!L176+KTYM!L176+IDK!L176+EKM!L176+TSR!L176+PLKD!L176+MLPM!L176+KKD!L176+WYND!L176+KNR!L176+KSRGD!L176+SHS!L176</f>
        <v>0</v>
      </c>
      <c r="M176" s="24">
        <f>TVM!M176+KLM!M176+PTA!M176+ALP!M176+KTYM!M176+IDK!M176+EKM!M176+TSR!M176+PLKD!M176+MLPM!M176+KKD!M176+WYND!M176+KNR!M176+KSRGD!M176+SHS!M176</f>
        <v>0</v>
      </c>
      <c r="N176" s="24">
        <f>TVM!N176+KLM!N176+PTA!N176+ALP!N176+KTYM!N176+IDK!N176+EKM!N176+TSR!N176+PLKD!N176+MLPM!N176+KKD!N176+WYND!N176+KNR!N176+KSRGD!N176+SHS!N176</f>
        <v>0</v>
      </c>
      <c r="O176" s="24">
        <f>TVM!O176+KLM!O176+PTA!O176+ALP!O176+KTYM!O176+IDK!O176+EKM!O176+TSR!O176+PLKD!O176+MLPM!O176+KKD!O176+WYND!O176+KNR!O176+KSRGD!O176+SHS!O176</f>
        <v>0</v>
      </c>
      <c r="P176" s="24">
        <f>TVM!P176+KLM!P176+PTA!P176+ALP!P176+KTYM!P176+IDK!P176+EKM!P176+TSR!P176+PLKD!P176+MLPM!P176+KKD!P176+WYND!P176+KNR!P176+KSRGD!P176+SHS!P176</f>
        <v>0</v>
      </c>
      <c r="Q176" s="24">
        <f>TVM!Q176+KLM!Q176+PTA!Q176+ALP!Q176+KTYM!Q176+IDK!Q176+EKM!Q176+TSR!Q176+PLKD!Q176+MLPM!Q176+KKD!Q176+WYND!Q176+KNR!Q176+KSRGD!Q176+SHS!Q176</f>
        <v>0</v>
      </c>
      <c r="R176" s="24">
        <f>TVM!R176+KLM!R176+PTA!R176+ALP!R176+KTYM!R176+IDK!R176+EKM!R176+TSR!R176+PLKD!R176+MLPM!R176+KKD!R176+WYND!R176+KNR!R176+KSRGD!R176+SHS!R176</f>
        <v>0</v>
      </c>
      <c r="S176" s="24">
        <f>TVM!S176+KLM!S176+PTA!S176+ALP!S176+KTYM!S176+IDK!S176+EKM!S176+TSR!S176+PLKD!S176+MLPM!S176+KKD!S176+WYND!S176+KNR!S176+KSRGD!S176+SHS!S176</f>
        <v>0</v>
      </c>
      <c r="T176" s="6">
        <f t="shared" si="4"/>
        <v>5325.1379999999999</v>
      </c>
      <c r="U176" s="9"/>
      <c r="V176" s="32"/>
      <c r="W176" s="1"/>
      <c r="X176" s="1"/>
      <c r="Y176" s="1"/>
      <c r="Z176" s="1"/>
    </row>
    <row r="177" spans="1:26" ht="39.75" customHeight="1">
      <c r="A177" s="171"/>
      <c r="B177" s="171"/>
      <c r="C177" s="171"/>
      <c r="D177" s="5">
        <v>168</v>
      </c>
      <c r="E177" s="5" t="s">
        <v>317</v>
      </c>
      <c r="F177" s="24">
        <f>TVM!F177+KLM!F177+PTA!F177+ALP!F177+KTYM!F177+IDK!F177+EKM!F177+TSR!F177+PLKD!F177+MLPM!F177+KKD!F177+WYND!F177+KNR!F177+KSRGD!F177+SHS!F177</f>
        <v>0</v>
      </c>
      <c r="G177" s="31">
        <f>TVM!G177+KLM!G177+PTA!G177+ALP!G177+KTYM!G177+IDK!G177+EKM!G177+TSR!G177+PLKD!G177+MLPM!G177+KKD!G177+WYND!G177+KNR!G177+KSRGD!G177+SHS!G177</f>
        <v>537.39</v>
      </c>
      <c r="H177" s="31">
        <f>TVM!H177+KLM!H177+PTA!H177+ALP!H177+KTYM!H177+IDK!H177+EKM!H177+TSR!H177+PLKD!H177+MLPM!H177+KKD!H177+WYND!H177+KNR!H177+KSRGD!H177+SHS!H177</f>
        <v>1276.5</v>
      </c>
      <c r="I177" s="24">
        <f>TVM!I177+KLM!I177+PTA!I177+ALP!I177+KTYM!I177+IDK!I177+EKM!I177+TSR!I177+PLKD!I177+MLPM!I177+KKD!I177+WYND!I177+KNR!I177+KSRGD!I177+SHS!I177</f>
        <v>0</v>
      </c>
      <c r="J177" s="24">
        <f>TVM!J177+KLM!J177+PTA!J177+ALP!J177+KTYM!J177+IDK!J177+EKM!J177+TSR!J177+PLKD!J177+MLPM!J177+KKD!J177+WYND!J177+KNR!J177+KSRGD!J177+SHS!J177</f>
        <v>0</v>
      </c>
      <c r="K177" s="24">
        <f>TVM!K177+KLM!K177+PTA!K177+ALP!K177+KTYM!K177+IDK!K177+EKM!K177+TSR!K177+PLKD!K177+MLPM!K177+KKD!K177+WYND!K177+KNR!K177+KSRGD!K177+SHS!K177</f>
        <v>0</v>
      </c>
      <c r="L177" s="24">
        <f>TVM!L177+KLM!L177+PTA!L177+ALP!L177+KTYM!L177+IDK!L177+EKM!L177+TSR!L177+PLKD!L177+MLPM!L177+KKD!L177+WYND!L177+KNR!L177+KSRGD!L177+SHS!L177</f>
        <v>0</v>
      </c>
      <c r="M177" s="24">
        <f>TVM!M177+KLM!M177+PTA!M177+ALP!M177+KTYM!M177+IDK!M177+EKM!M177+TSR!M177+PLKD!M177+MLPM!M177+KKD!M177+WYND!M177+KNR!M177+KSRGD!M177+SHS!M177</f>
        <v>0</v>
      </c>
      <c r="N177" s="24">
        <f>TVM!N177+KLM!N177+PTA!N177+ALP!N177+KTYM!N177+IDK!N177+EKM!N177+TSR!N177+PLKD!N177+MLPM!N177+KKD!N177+WYND!N177+KNR!N177+KSRGD!N177+SHS!N177</f>
        <v>0</v>
      </c>
      <c r="O177" s="24">
        <f>TVM!O177+KLM!O177+PTA!O177+ALP!O177+KTYM!O177+IDK!O177+EKM!O177+TSR!O177+PLKD!O177+MLPM!O177+KKD!O177+WYND!O177+KNR!O177+KSRGD!O177+SHS!O177</f>
        <v>0</v>
      </c>
      <c r="P177" s="24">
        <f>TVM!P177+KLM!P177+PTA!P177+ALP!P177+KTYM!P177+IDK!P177+EKM!P177+TSR!P177+PLKD!P177+MLPM!P177+KKD!P177+WYND!P177+KNR!P177+KSRGD!P177+SHS!P177</f>
        <v>0</v>
      </c>
      <c r="Q177" s="24">
        <f>TVM!Q177+KLM!Q177+PTA!Q177+ALP!Q177+KTYM!Q177+IDK!Q177+EKM!Q177+TSR!Q177+PLKD!Q177+MLPM!Q177+KKD!Q177+WYND!Q177+KNR!Q177+KSRGD!Q177+SHS!Q177</f>
        <v>0</v>
      </c>
      <c r="R177" s="24">
        <f>TVM!R177+KLM!R177+PTA!R177+ALP!R177+KTYM!R177+IDK!R177+EKM!R177+TSR!R177+PLKD!R177+MLPM!R177+KKD!R177+WYND!R177+KNR!R177+KSRGD!R177+SHS!R177</f>
        <v>0</v>
      </c>
      <c r="S177" s="24">
        <f>TVM!S177+KLM!S177+PTA!S177+ALP!S177+KTYM!S177+IDK!S177+EKM!S177+TSR!S177+PLKD!S177+MLPM!S177+KKD!S177+WYND!S177+KNR!S177+KSRGD!S177+SHS!S177</f>
        <v>0</v>
      </c>
      <c r="T177" s="6">
        <f t="shared" si="4"/>
        <v>1813.8899999999999</v>
      </c>
      <c r="U177" s="9"/>
      <c r="V177" s="32"/>
      <c r="W177" s="1"/>
      <c r="X177" s="1"/>
      <c r="Y177" s="1"/>
      <c r="Z177" s="1"/>
    </row>
    <row r="178" spans="1:26" ht="39.75" customHeight="1">
      <c r="A178" s="171"/>
      <c r="B178" s="171"/>
      <c r="C178" s="171"/>
      <c r="D178" s="5">
        <v>169</v>
      </c>
      <c r="E178" s="5" t="s">
        <v>318</v>
      </c>
      <c r="F178" s="24">
        <f>TVM!F178+KLM!F178+PTA!F178+ALP!F178+KTYM!F178+IDK!F178+EKM!F178+TSR!F178+PLKD!F178+MLPM!F178+KKD!F178+WYND!F178+KNR!F178+KSRGD!F178+SHS!F178</f>
        <v>0</v>
      </c>
      <c r="G178" s="31">
        <f>TVM!G178+KLM!G178+PTA!G178+ALP!G178+KTYM!G178+IDK!G178+EKM!G178+TSR!G178+PLKD!G178+MLPM!G178+KKD!G178+WYND!G178+KNR!G178+KSRGD!G178+SHS!G178</f>
        <v>1878.0719999999999</v>
      </c>
      <c r="H178" s="31">
        <f>TVM!H178+KLM!H178+PTA!H178+ALP!H178+KTYM!H178+IDK!H178+EKM!H178+TSR!H178+PLKD!H178+MLPM!H178+KKD!H178+WYND!H178+KNR!H178+KSRGD!H178+SHS!H178</f>
        <v>153</v>
      </c>
      <c r="I178" s="27">
        <f>TVM!I178+KLM!I178+PTA!I178+ALP!I178+KTYM!I178+IDK!I178+EKM!I178+TSR!I178+PLKD!I178+MLPM!I178+KKD!I178+WYND!I178+KNR!I178+KSRGD!I178+SHS!I178</f>
        <v>351.4</v>
      </c>
      <c r="J178" s="24">
        <f>TVM!J178+KLM!J178+PTA!J178+ALP!J178+KTYM!J178+IDK!J178+EKM!J178+TSR!J178+PLKD!J178+MLPM!J178+KKD!J178+WYND!J178+KNR!J178+KSRGD!J178+SHS!J178</f>
        <v>0</v>
      </c>
      <c r="K178" s="24">
        <f>TVM!K178+KLM!K178+PTA!K178+ALP!K178+KTYM!K178+IDK!K178+EKM!K178+TSR!K178+PLKD!K178+MLPM!K178+KKD!K178+WYND!K178+KNR!K178+KSRGD!K178+SHS!K178</f>
        <v>0</v>
      </c>
      <c r="L178" s="24">
        <f>TVM!L178+KLM!L178+PTA!L178+ALP!L178+KTYM!L178+IDK!L178+EKM!L178+TSR!L178+PLKD!L178+MLPM!L178+KKD!L178+WYND!L178+KNR!L178+KSRGD!L178+SHS!L178</f>
        <v>0</v>
      </c>
      <c r="M178" s="24">
        <f>TVM!M178+KLM!M178+PTA!M178+ALP!M178+KTYM!M178+IDK!M178+EKM!M178+TSR!M178+PLKD!M178+MLPM!M178+KKD!M178+WYND!M178+KNR!M178+KSRGD!M178+SHS!M178</f>
        <v>0</v>
      </c>
      <c r="N178" s="24">
        <f>TVM!N178+KLM!N178+PTA!N178+ALP!N178+KTYM!N178+IDK!N178+EKM!N178+TSR!N178+PLKD!N178+MLPM!N178+KKD!N178+WYND!N178+KNR!N178+KSRGD!N178+SHS!N178</f>
        <v>0</v>
      </c>
      <c r="O178" s="24">
        <f>TVM!O178+KLM!O178+PTA!O178+ALP!O178+KTYM!O178+IDK!O178+EKM!O178+TSR!O178+PLKD!O178+MLPM!O178+KKD!O178+WYND!O178+KNR!O178+KSRGD!O178+SHS!O178</f>
        <v>0</v>
      </c>
      <c r="P178" s="24">
        <f>TVM!P178+KLM!P178+PTA!P178+ALP!P178+KTYM!P178+IDK!P178+EKM!P178+TSR!P178+PLKD!P178+MLPM!P178+KKD!P178+WYND!P178+KNR!P178+KSRGD!P178+SHS!P178</f>
        <v>0</v>
      </c>
      <c r="Q178" s="24">
        <f>TVM!Q178+KLM!Q178+PTA!Q178+ALP!Q178+KTYM!Q178+IDK!Q178+EKM!Q178+TSR!Q178+PLKD!Q178+MLPM!Q178+KKD!Q178+WYND!Q178+KNR!Q178+KSRGD!Q178+SHS!Q178</f>
        <v>0</v>
      </c>
      <c r="R178" s="24">
        <f>TVM!R178+KLM!R178+PTA!R178+ALP!R178+KTYM!R178+IDK!R178+EKM!R178+TSR!R178+PLKD!R178+MLPM!R178+KKD!R178+WYND!R178+KNR!R178+KSRGD!R178+SHS!R178</f>
        <v>0</v>
      </c>
      <c r="S178" s="24">
        <f>TVM!S178+KLM!S178+PTA!S178+ALP!S178+KTYM!S178+IDK!S178+EKM!S178+TSR!S178+PLKD!S178+MLPM!S178+KKD!S178+WYND!S178+KNR!S178+KSRGD!S178+SHS!S178</f>
        <v>0</v>
      </c>
      <c r="T178" s="6">
        <f t="shared" si="4"/>
        <v>2382.4719999999998</v>
      </c>
      <c r="U178" s="9"/>
      <c r="V178" s="32"/>
      <c r="W178" s="1"/>
      <c r="X178" s="1"/>
      <c r="Y178" s="1"/>
      <c r="Z178" s="1"/>
    </row>
    <row r="179" spans="1:26" ht="39.75" customHeight="1">
      <c r="A179" s="171"/>
      <c r="B179" s="169"/>
      <c r="C179" s="169"/>
      <c r="D179" s="5">
        <v>170</v>
      </c>
      <c r="E179" s="5" t="s">
        <v>319</v>
      </c>
      <c r="F179" s="24">
        <f>TVM!F179+KLM!F179+PTA!F179+ALP!F179+KTYM!F179+IDK!F179+EKM!F179+TSR!F179+PLKD!F179+MLPM!F179+KKD!F179+WYND!F179+KNR!F179+KSRGD!F179+SHS!F179</f>
        <v>0</v>
      </c>
      <c r="G179" s="24">
        <f>TVM!G179+KLM!G179+PTA!G179+ALP!G179+KTYM!G179+IDK!G179+EKM!G179+TSR!G179+PLKD!G179+MLPM!G179+KKD!G179+WYND!G179+KNR!G179+KSRGD!G179+SHS!G179</f>
        <v>0</v>
      </c>
      <c r="H179" s="24">
        <f>TVM!H179+KLM!H179+PTA!H179+ALP!H179+KTYM!H179+IDK!H179+EKM!H179+TSR!H179+PLKD!H179+MLPM!H179+KKD!H179+WYND!H179+KNR!H179+KSRGD!H179+SHS!H179</f>
        <v>0</v>
      </c>
      <c r="I179" s="24">
        <f>TVM!I179+KLM!I179+PTA!I179+ALP!I179+KTYM!I179+IDK!I179+EKM!I179+TSR!I179+PLKD!I179+MLPM!I179+KKD!I179+WYND!I179+KNR!I179+KSRGD!I179+SHS!I179</f>
        <v>0</v>
      </c>
      <c r="J179" s="24">
        <f>TVM!J179+KLM!J179+PTA!J179+ALP!J179+KTYM!J179+IDK!J179+EKM!J179+TSR!J179+PLKD!J179+MLPM!J179+KKD!J179+WYND!J179+KNR!J179+KSRGD!J179+SHS!J179</f>
        <v>0</v>
      </c>
      <c r="K179" s="24">
        <f>TVM!K179+KLM!K179+PTA!K179+ALP!K179+KTYM!K179+IDK!K179+EKM!K179+TSR!K179+PLKD!K179+MLPM!K179+KKD!K179+WYND!K179+KNR!K179+KSRGD!K179+SHS!K179</f>
        <v>0</v>
      </c>
      <c r="L179" s="24">
        <f>TVM!L179+KLM!L179+PTA!L179+ALP!L179+KTYM!L179+IDK!L179+EKM!L179+TSR!L179+PLKD!L179+MLPM!L179+KKD!L179+WYND!L179+KNR!L179+KSRGD!L179+SHS!L179</f>
        <v>0</v>
      </c>
      <c r="M179" s="24">
        <f>TVM!M179+KLM!M179+PTA!M179+ALP!M179+KTYM!M179+IDK!M179+EKM!M179+TSR!M179+PLKD!M179+MLPM!M179+KKD!M179+WYND!M179+KNR!M179+KSRGD!M179+SHS!M179</f>
        <v>0</v>
      </c>
      <c r="N179" s="24">
        <f>TVM!N179+KLM!N179+PTA!N179+ALP!N179+KTYM!N179+IDK!N179+EKM!N179+TSR!N179+PLKD!N179+MLPM!N179+KKD!N179+WYND!N179+KNR!N179+KSRGD!N179+SHS!N179</f>
        <v>0</v>
      </c>
      <c r="O179" s="24">
        <f>TVM!O179+KLM!O179+PTA!O179+ALP!O179+KTYM!O179+IDK!O179+EKM!O179+TSR!O179+PLKD!O179+MLPM!O179+KKD!O179+WYND!O179+KNR!O179+KSRGD!O179+SHS!O179</f>
        <v>0</v>
      </c>
      <c r="P179" s="24">
        <f>TVM!P179+KLM!P179+PTA!P179+ALP!P179+KTYM!P179+IDK!P179+EKM!P179+TSR!P179+PLKD!P179+MLPM!P179+KKD!P179+WYND!P179+KNR!P179+KSRGD!P179+SHS!P179</f>
        <v>0</v>
      </c>
      <c r="Q179" s="24">
        <f>TVM!Q179+KLM!Q179+PTA!Q179+ALP!Q179+KTYM!Q179+IDK!Q179+EKM!Q179+TSR!Q179+PLKD!Q179+MLPM!Q179+KKD!Q179+WYND!Q179+KNR!Q179+KSRGD!Q179+SHS!Q179</f>
        <v>0</v>
      </c>
      <c r="R179" s="24">
        <f>TVM!R179+KLM!R179+PTA!R179+ALP!R179+KTYM!R179+IDK!R179+EKM!R179+TSR!R179+PLKD!R179+MLPM!R179+KKD!R179+WYND!R179+KNR!R179+KSRGD!R179+SHS!R179</f>
        <v>0</v>
      </c>
      <c r="S179" s="24">
        <f>TVM!S179+KLM!S179+PTA!S179+ALP!S179+KTYM!S179+IDK!S179+EKM!S179+TSR!S179+PLKD!S179+MLPM!S179+KKD!S179+WYND!S179+KNR!S179+KSRGD!S179+SHS!S179</f>
        <v>0</v>
      </c>
      <c r="T179" s="6">
        <f t="shared" si="4"/>
        <v>0</v>
      </c>
      <c r="U179" s="9"/>
      <c r="V179" s="32"/>
      <c r="W179" s="1"/>
      <c r="X179" s="1"/>
      <c r="Y179" s="1"/>
      <c r="Z179" s="1"/>
    </row>
    <row r="180" spans="1:26" ht="39.75" customHeight="1">
      <c r="A180" s="171"/>
      <c r="B180" s="168" t="s">
        <v>320</v>
      </c>
      <c r="C180" s="168" t="s">
        <v>321</v>
      </c>
      <c r="D180" s="5">
        <v>171</v>
      </c>
      <c r="E180" s="5" t="s">
        <v>322</v>
      </c>
      <c r="F180" s="24">
        <f>TVM!F180+KLM!F180+PTA!F180+ALP!F180+KTYM!F180+IDK!F180+EKM!F180+TSR!F180+PLKD!F180+MLPM!F180+KKD!F180+WYND!F180+KNR!F180+KSRGD!F180+SHS!F180</f>
        <v>0</v>
      </c>
      <c r="G180" s="24">
        <f>TVM!G180+KLM!G180+PTA!G180+ALP!G180+KTYM!G180+IDK!G180+EKM!G180+TSR!G180+PLKD!G180+MLPM!G180+KKD!G180+WYND!G180+KNR!G180+KSRGD!G180+SHS!G180</f>
        <v>0</v>
      </c>
      <c r="H180" s="24">
        <f>TVM!H180+KLM!H180+PTA!H180+ALP!H180+KTYM!H180+IDK!H180+EKM!H180+TSR!H180+PLKD!H180+MLPM!H180+KKD!H180+WYND!H180+KNR!H180+KSRGD!H180+SHS!H180</f>
        <v>0</v>
      </c>
      <c r="I180" s="24">
        <f>TVM!I180+KLM!I180+PTA!I180+ALP!I180+KTYM!I180+IDK!I180+EKM!I180+TSR!I180+PLKD!I180+MLPM!I180+KKD!I180+WYND!I180+KNR!I180+KSRGD!I180+SHS!I180</f>
        <v>0</v>
      </c>
      <c r="J180" s="24">
        <f>TVM!J180+KLM!J180+PTA!J180+ALP!J180+KTYM!J180+IDK!J180+EKM!J180+TSR!J180+PLKD!J180+MLPM!J180+KKD!J180+WYND!J180+KNR!J180+KSRGD!J180+SHS!J180</f>
        <v>0</v>
      </c>
      <c r="K180" s="24">
        <f>TVM!K180+KLM!K180+PTA!K180+ALP!K180+KTYM!K180+IDK!K180+EKM!K180+TSR!K180+PLKD!K180+MLPM!K180+KKD!K180+WYND!K180+KNR!K180+KSRGD!K180+SHS!K180</f>
        <v>0</v>
      </c>
      <c r="L180" s="24">
        <f>TVM!L180+KLM!L180+PTA!L180+ALP!L180+KTYM!L180+IDK!L180+EKM!L180+TSR!L180+PLKD!L180+MLPM!L180+KKD!L180+WYND!L180+KNR!L180+KSRGD!L180+SHS!L180</f>
        <v>0</v>
      </c>
      <c r="M180" s="24">
        <f>TVM!M180+KLM!M180+PTA!M180+ALP!M180+KTYM!M180+IDK!M180+EKM!M180+TSR!M180+PLKD!M180+MLPM!M180+KKD!M180+WYND!M180+KNR!M180+KSRGD!M180+SHS!M180</f>
        <v>0</v>
      </c>
      <c r="N180" s="24">
        <f>TVM!N180+KLM!N180+PTA!N180+ALP!N180+KTYM!N180+IDK!N180+EKM!N180+TSR!N180+PLKD!N180+MLPM!N180+KKD!N180+WYND!N180+KNR!N180+KSRGD!N180+SHS!N180</f>
        <v>0</v>
      </c>
      <c r="O180" s="24">
        <f>TVM!O180+KLM!O180+PTA!O180+ALP!O180+KTYM!O180+IDK!O180+EKM!O180+TSR!O180+PLKD!O180+MLPM!O180+KKD!O180+WYND!O180+KNR!O180+KSRGD!O180+SHS!O180</f>
        <v>0</v>
      </c>
      <c r="P180" s="24">
        <f>TVM!P180+KLM!P180+PTA!P180+ALP!P180+KTYM!P180+IDK!P180+EKM!P180+TSR!P180+PLKD!P180+MLPM!P180+KKD!P180+WYND!P180+KNR!P180+KSRGD!P180+SHS!P180</f>
        <v>0</v>
      </c>
      <c r="Q180" s="24">
        <f>TVM!Q180+KLM!Q180+PTA!Q180+ALP!Q180+KTYM!Q180+IDK!Q180+EKM!Q180+TSR!Q180+PLKD!Q180+MLPM!Q180+KKD!Q180+WYND!Q180+KNR!Q180+KSRGD!Q180+SHS!Q180</f>
        <v>0</v>
      </c>
      <c r="R180" s="24">
        <f>TVM!R180+KLM!R180+PTA!R180+ALP!R180+KTYM!R180+IDK!R180+EKM!R180+TSR!R180+PLKD!R180+MLPM!R180+KKD!R180+WYND!R180+KNR!R180+KSRGD!R180+SHS!R180</f>
        <v>0</v>
      </c>
      <c r="S180" s="24">
        <f>TVM!S180+KLM!S180+PTA!S180+ALP!S180+KTYM!S180+IDK!S180+EKM!S180+TSR!S180+PLKD!S180+MLPM!S180+KKD!S180+WYND!S180+KNR!S180+KSRGD!S180+SHS!S180</f>
        <v>0</v>
      </c>
      <c r="T180" s="6">
        <f t="shared" si="4"/>
        <v>0</v>
      </c>
      <c r="U180" s="9"/>
      <c r="V180" s="32"/>
      <c r="W180" s="1"/>
      <c r="X180" s="1"/>
      <c r="Y180" s="1"/>
      <c r="Z180" s="1"/>
    </row>
    <row r="181" spans="1:26" ht="39.75" customHeight="1">
      <c r="A181" s="171"/>
      <c r="B181" s="171"/>
      <c r="C181" s="171"/>
      <c r="D181" s="5">
        <v>172</v>
      </c>
      <c r="E181" s="5" t="s">
        <v>323</v>
      </c>
      <c r="F181" s="24">
        <f>TVM!F181+KLM!F181+PTA!F181+ALP!F181+KTYM!F181+IDK!F181+EKM!F181+TSR!F181+PLKD!F181+MLPM!F181+KKD!F181+WYND!F181+KNR!F181+KSRGD!F181+SHS!F181</f>
        <v>0</v>
      </c>
      <c r="G181" s="24">
        <f>TVM!G181+KLM!G181+PTA!G181+ALP!G181+KTYM!G181+IDK!G181+EKM!G181+TSR!G181+PLKD!G181+MLPM!G181+KKD!G181+WYND!G181+KNR!G181+KSRGD!G181+SHS!G181</f>
        <v>0</v>
      </c>
      <c r="H181" s="24">
        <f>TVM!H181+KLM!H181+PTA!H181+ALP!H181+KTYM!H181+IDK!H181+EKM!H181+TSR!H181+PLKD!H181+MLPM!H181+KKD!H181+WYND!H181+KNR!H181+KSRGD!H181+SHS!H181</f>
        <v>0</v>
      </c>
      <c r="I181" s="24">
        <f>TVM!I181+KLM!I181+PTA!I181+ALP!I181+KTYM!I181+IDK!I181+EKM!I181+TSR!I181+PLKD!I181+MLPM!I181+KKD!I181+WYND!I181+KNR!I181+KSRGD!I181+SHS!I181</f>
        <v>0</v>
      </c>
      <c r="J181" s="24">
        <f>TVM!J181+KLM!J181+PTA!J181+ALP!J181+KTYM!J181+IDK!J181+EKM!J181+TSR!J181+PLKD!J181+MLPM!J181+KKD!J181+WYND!J181+KNR!J181+KSRGD!J181+SHS!J181</f>
        <v>0</v>
      </c>
      <c r="K181" s="24">
        <f>TVM!K181+KLM!K181+PTA!K181+ALP!K181+KTYM!K181+IDK!K181+EKM!K181+TSR!K181+PLKD!K181+MLPM!K181+KKD!K181+WYND!K181+KNR!K181+KSRGD!K181+SHS!K181</f>
        <v>0</v>
      </c>
      <c r="L181" s="24">
        <f>TVM!L181+KLM!L181+PTA!L181+ALP!L181+KTYM!L181+IDK!L181+EKM!L181+TSR!L181+PLKD!L181+MLPM!L181+KKD!L181+WYND!L181+KNR!L181+KSRGD!L181+SHS!L181</f>
        <v>0</v>
      </c>
      <c r="M181" s="24">
        <f>TVM!M181+KLM!M181+PTA!M181+ALP!M181+KTYM!M181+IDK!M181+EKM!M181+TSR!M181+PLKD!M181+MLPM!M181+KKD!M181+WYND!M181+KNR!M181+KSRGD!M181+SHS!M181</f>
        <v>0</v>
      </c>
      <c r="N181" s="24">
        <f>TVM!N181+KLM!N181+PTA!N181+ALP!N181+KTYM!N181+IDK!N181+EKM!N181+TSR!N181+PLKD!N181+MLPM!N181+KKD!N181+WYND!N181+KNR!N181+KSRGD!N181+SHS!N181</f>
        <v>0</v>
      </c>
      <c r="O181" s="24">
        <f>TVM!O181+KLM!O181+PTA!O181+ALP!O181+KTYM!O181+IDK!O181+EKM!O181+TSR!O181+PLKD!O181+MLPM!O181+KKD!O181+WYND!O181+KNR!O181+KSRGD!O181+SHS!O181</f>
        <v>0</v>
      </c>
      <c r="P181" s="27">
        <f>TVM!P181+KLM!P181+PTA!P181+ALP!P181+KTYM!P181+IDK!P181+EKM!P181+TSR!P181+PLKD!P181+MLPM!P181+KKD!P181+WYND!P181+KNR!P181+KSRGD!P181+SHS!P181</f>
        <v>4536</v>
      </c>
      <c r="Q181" s="24">
        <f>TVM!Q181+KLM!Q181+PTA!Q181+ALP!Q181+KTYM!Q181+IDK!Q181+EKM!Q181+TSR!Q181+PLKD!Q181+MLPM!Q181+KKD!Q181+WYND!Q181+KNR!Q181+KSRGD!Q181+SHS!Q181</f>
        <v>0</v>
      </c>
      <c r="R181" s="24">
        <f>TVM!R181+KLM!R181+PTA!R181+ALP!R181+KTYM!R181+IDK!R181+EKM!R181+TSR!R181+PLKD!R181+MLPM!R181+KKD!R181+WYND!R181+KNR!R181+KSRGD!R181+SHS!R181</f>
        <v>0</v>
      </c>
      <c r="S181" s="24">
        <f>TVM!S181+KLM!S181+PTA!S181+ALP!S181+KTYM!S181+IDK!S181+EKM!S181+TSR!S181+PLKD!S181+MLPM!S181+KKD!S181+WYND!S181+KNR!S181+KSRGD!S181+SHS!S181</f>
        <v>0</v>
      </c>
      <c r="T181" s="6">
        <f t="shared" si="4"/>
        <v>4536</v>
      </c>
      <c r="U181" s="9"/>
      <c r="V181" s="32"/>
      <c r="W181" s="1"/>
      <c r="X181" s="1"/>
      <c r="Y181" s="1"/>
      <c r="Z181" s="1"/>
    </row>
    <row r="182" spans="1:26" ht="39.75" customHeight="1">
      <c r="A182" s="171"/>
      <c r="B182" s="171"/>
      <c r="C182" s="171"/>
      <c r="D182" s="5">
        <v>173</v>
      </c>
      <c r="E182" s="5" t="s">
        <v>324</v>
      </c>
      <c r="F182" s="24">
        <f>TVM!F182+KLM!F182+PTA!F182+ALP!F182+KTYM!F182+IDK!F182+EKM!F182+TSR!F182+PLKD!F182+MLPM!F182+KKD!F182+WYND!F182+KNR!F182+KSRGD!F182+SHS!F182</f>
        <v>0</v>
      </c>
      <c r="G182" s="24">
        <f>TVM!G182+KLM!G182+PTA!G182+ALP!G182+KTYM!G182+IDK!G182+EKM!G182+TSR!G182+PLKD!G182+MLPM!G182+KKD!G182+WYND!G182+KNR!G182+KSRGD!G182+SHS!G182</f>
        <v>0</v>
      </c>
      <c r="H182" s="24">
        <f>TVM!H182+KLM!H182+PTA!H182+ALP!H182+KTYM!H182+IDK!H182+EKM!H182+TSR!H182+PLKD!H182+MLPM!H182+KKD!H182+WYND!H182+KNR!H182+KSRGD!H182+SHS!H182</f>
        <v>0</v>
      </c>
      <c r="I182" s="24">
        <f>TVM!I182+KLM!I182+PTA!I182+ALP!I182+KTYM!I182+IDK!I182+EKM!I182+TSR!I182+PLKD!I182+MLPM!I182+KKD!I182+WYND!I182+KNR!I182+KSRGD!I182+SHS!I182</f>
        <v>0</v>
      </c>
      <c r="J182" s="24">
        <f>TVM!J182+KLM!J182+PTA!J182+ALP!J182+KTYM!J182+IDK!J182+EKM!J182+TSR!J182+PLKD!J182+MLPM!J182+KKD!J182+WYND!J182+KNR!J182+KSRGD!J182+SHS!J182</f>
        <v>0</v>
      </c>
      <c r="K182" s="24">
        <f>TVM!K182+KLM!K182+PTA!K182+ALP!K182+KTYM!K182+IDK!K182+EKM!K182+TSR!K182+PLKD!K182+MLPM!K182+KKD!K182+WYND!K182+KNR!K182+KSRGD!K182+SHS!K182</f>
        <v>0</v>
      </c>
      <c r="L182" s="24">
        <f>TVM!L182+KLM!L182+PTA!L182+ALP!L182+KTYM!L182+IDK!L182+EKM!L182+TSR!L182+PLKD!L182+MLPM!L182+KKD!L182+WYND!L182+KNR!L182+KSRGD!L182+SHS!L182</f>
        <v>0</v>
      </c>
      <c r="M182" s="24">
        <f>TVM!M182+KLM!M182+PTA!M182+ALP!M182+KTYM!M182+IDK!M182+EKM!M182+TSR!M182+PLKD!M182+MLPM!M182+KKD!M182+WYND!M182+KNR!M182+KSRGD!M182+SHS!M182</f>
        <v>0</v>
      </c>
      <c r="N182" s="24">
        <f>TVM!N182+KLM!N182+PTA!N182+ALP!N182+KTYM!N182+IDK!N182+EKM!N182+TSR!N182+PLKD!N182+MLPM!N182+KKD!N182+WYND!N182+KNR!N182+KSRGD!N182+SHS!N182</f>
        <v>0</v>
      </c>
      <c r="O182" s="24">
        <f>TVM!O182+KLM!O182+PTA!O182+ALP!O182+KTYM!O182+IDK!O182+EKM!O182+TSR!O182+PLKD!O182+MLPM!O182+KKD!O182+WYND!O182+KNR!O182+KSRGD!O182+SHS!O182</f>
        <v>0</v>
      </c>
      <c r="P182" s="24">
        <f>TVM!P182+KLM!P182+PTA!P182+ALP!P182+KTYM!P182+IDK!P182+EKM!P182+TSR!P182+PLKD!P182+MLPM!P182+KKD!P182+WYND!P182+KNR!P182+KSRGD!P182+SHS!P182</f>
        <v>0</v>
      </c>
      <c r="Q182" s="24">
        <f>TVM!Q182+KLM!Q182+PTA!Q182+ALP!Q182+KTYM!Q182+IDK!Q182+EKM!Q182+TSR!Q182+PLKD!Q182+MLPM!Q182+KKD!Q182+WYND!Q182+KNR!Q182+KSRGD!Q182+SHS!Q182</f>
        <v>0</v>
      </c>
      <c r="R182" s="24">
        <f>TVM!R182+KLM!R182+PTA!R182+ALP!R182+KTYM!R182+IDK!R182+EKM!R182+TSR!R182+PLKD!R182+MLPM!R182+KKD!R182+WYND!R182+KNR!R182+KSRGD!R182+SHS!R182</f>
        <v>0</v>
      </c>
      <c r="S182" s="24">
        <f>TVM!S182+KLM!S182+PTA!S182+ALP!S182+KTYM!S182+IDK!S182+EKM!S182+TSR!S182+PLKD!S182+MLPM!S182+KKD!S182+WYND!S182+KNR!S182+KSRGD!S182+SHS!S182</f>
        <v>0</v>
      </c>
      <c r="T182" s="6">
        <f t="shared" si="4"/>
        <v>0</v>
      </c>
      <c r="U182" s="9"/>
      <c r="V182" s="32"/>
      <c r="W182" s="1"/>
      <c r="X182" s="1"/>
      <c r="Y182" s="1"/>
      <c r="Z182" s="1"/>
    </row>
    <row r="183" spans="1:26" ht="39.75" customHeight="1">
      <c r="A183" s="171"/>
      <c r="B183" s="169"/>
      <c r="C183" s="169"/>
      <c r="D183" s="5">
        <v>174</v>
      </c>
      <c r="E183" s="5" t="s">
        <v>325</v>
      </c>
      <c r="F183" s="24">
        <f>TVM!F183+KLM!F183+PTA!F183+ALP!F183+KTYM!F183+IDK!F183+EKM!F183+TSR!F183+PLKD!F183+MLPM!F183+KKD!F183+WYND!F183+KNR!F183+KSRGD!F183+SHS!F183</f>
        <v>0</v>
      </c>
      <c r="G183" s="24">
        <f>TVM!G183+KLM!G183+PTA!G183+ALP!G183+KTYM!G183+IDK!G183+EKM!G183+TSR!G183+PLKD!G183+MLPM!G183+KKD!G183+WYND!G183+KNR!G183+KSRGD!G183+SHS!G183</f>
        <v>0</v>
      </c>
      <c r="H183" s="24">
        <f>TVM!H183+KLM!H183+PTA!H183+ALP!H183+KTYM!H183+IDK!H183+EKM!H183+TSR!H183+PLKD!H183+MLPM!H183+KKD!H183+WYND!H183+KNR!H183+KSRGD!H183+SHS!H183</f>
        <v>0</v>
      </c>
      <c r="I183" s="24">
        <f>TVM!I183+KLM!I183+PTA!I183+ALP!I183+KTYM!I183+IDK!I183+EKM!I183+TSR!I183+PLKD!I183+MLPM!I183+KKD!I183+WYND!I183+KNR!I183+KSRGD!I183+SHS!I183</f>
        <v>0</v>
      </c>
      <c r="J183" s="24">
        <f>TVM!J183+KLM!J183+PTA!J183+ALP!J183+KTYM!J183+IDK!J183+EKM!J183+TSR!J183+PLKD!J183+MLPM!J183+KKD!J183+WYND!J183+KNR!J183+KSRGD!J183+SHS!J183</f>
        <v>0</v>
      </c>
      <c r="K183" s="24">
        <f>TVM!K183+KLM!K183+PTA!K183+ALP!K183+KTYM!K183+IDK!K183+EKM!K183+TSR!K183+PLKD!K183+MLPM!K183+KKD!K183+WYND!K183+KNR!K183+KSRGD!K183+SHS!K183</f>
        <v>0</v>
      </c>
      <c r="L183" s="24">
        <f>TVM!L183+KLM!L183+PTA!L183+ALP!L183+KTYM!L183+IDK!L183+EKM!L183+TSR!L183+PLKD!L183+MLPM!L183+KKD!L183+WYND!L183+KNR!L183+KSRGD!L183+SHS!L183</f>
        <v>0</v>
      </c>
      <c r="M183" s="24">
        <f>TVM!M183+KLM!M183+PTA!M183+ALP!M183+KTYM!M183+IDK!M183+EKM!M183+TSR!M183+PLKD!M183+MLPM!M183+KKD!M183+WYND!M183+KNR!M183+KSRGD!M183+SHS!M183</f>
        <v>0</v>
      </c>
      <c r="N183" s="24">
        <f>TVM!N183+KLM!N183+PTA!N183+ALP!N183+KTYM!N183+IDK!N183+EKM!N183+TSR!N183+PLKD!N183+MLPM!N183+KKD!N183+WYND!N183+KNR!N183+KSRGD!N183+SHS!N183</f>
        <v>0</v>
      </c>
      <c r="O183" s="24">
        <f>TVM!O183+KLM!O183+PTA!O183+ALP!O183+KTYM!O183+IDK!O183+EKM!O183+TSR!O183+PLKD!O183+MLPM!O183+KKD!O183+WYND!O183+KNR!O183+KSRGD!O183+SHS!O183</f>
        <v>0</v>
      </c>
      <c r="P183" s="27">
        <f>TVM!P183+KLM!P183+PTA!P183+ALP!P183+KTYM!P183+IDK!P183+EKM!P183+TSR!P183+PLKD!P183+MLPM!P183+KKD!P183+WYND!P183+KNR!P183+KSRGD!P183+SHS!P183</f>
        <v>0</v>
      </c>
      <c r="Q183" s="24">
        <f>TVM!Q183+KLM!Q183+PTA!Q183+ALP!Q183+KTYM!Q183+IDK!Q183+EKM!Q183+TSR!Q183+PLKD!Q183+MLPM!Q183+KKD!Q183+WYND!Q183+KNR!Q183+KSRGD!Q183+SHS!Q183</f>
        <v>0</v>
      </c>
      <c r="R183" s="24">
        <f>TVM!R183+KLM!R183+PTA!R183+ALP!R183+KTYM!R183+IDK!R183+EKM!R183+TSR!R183+PLKD!R183+MLPM!R183+KKD!R183+WYND!R183+KNR!R183+KSRGD!R183+SHS!R183</f>
        <v>0</v>
      </c>
      <c r="S183" s="24">
        <f>TVM!S183+KLM!S183+PTA!S183+ALP!S183+KTYM!S183+IDK!S183+EKM!S183+TSR!S183+PLKD!S183+MLPM!S183+KKD!S183+WYND!S183+KNR!S183+KSRGD!S183+SHS!S183</f>
        <v>0</v>
      </c>
      <c r="T183" s="6">
        <f t="shared" si="4"/>
        <v>0</v>
      </c>
      <c r="U183" s="9"/>
      <c r="V183" s="32"/>
      <c r="W183" s="1"/>
      <c r="X183" s="1"/>
      <c r="Y183" s="1"/>
      <c r="Z183" s="1"/>
    </row>
    <row r="184" spans="1:26" ht="39.75" customHeight="1">
      <c r="A184" s="171"/>
      <c r="B184" s="168" t="s">
        <v>326</v>
      </c>
      <c r="C184" s="168" t="s">
        <v>267</v>
      </c>
      <c r="D184" s="5">
        <v>175</v>
      </c>
      <c r="E184" s="5" t="s">
        <v>268</v>
      </c>
      <c r="F184" s="24">
        <f>TVM!F184+KLM!F184+PTA!F184+ALP!F184+KTYM!F184+IDK!F184+EKM!F184+TSR!F184+PLKD!F184+MLPM!F184+KKD!F184+WYND!F184+KNR!F184+KSRGD!F184+SHS!F184</f>
        <v>0</v>
      </c>
      <c r="G184" s="24">
        <f>TVM!G184+KLM!G184+PTA!G184+ALP!G184+KTYM!G184+IDK!G184+EKM!G184+TSR!G184+PLKD!G184+MLPM!G184+KKD!G184+WYND!G184+KNR!G184+KSRGD!G184+SHS!G184</f>
        <v>0</v>
      </c>
      <c r="H184" s="24">
        <f>TVM!H184+KLM!H184+PTA!H184+ALP!H184+KTYM!H184+IDK!H184+EKM!H184+TSR!H184+PLKD!H184+MLPM!H184+KKD!H184+WYND!H184+KNR!H184+KSRGD!H184+SHS!H184</f>
        <v>0</v>
      </c>
      <c r="I184" s="31">
        <f>TVM!I184+KLM!I184+PTA!I184+ALP!I184+KTYM!I184+IDK!I184+EKM!I184+TSR!I184+PLKD!I184+MLPM!I184+KKD!I184+WYND!I184+KNR!I184+KSRGD!I184+SHS!I184</f>
        <v>133.30000000000001</v>
      </c>
      <c r="J184" s="24">
        <f>TVM!J184+KLM!J184+PTA!J184+ALP!J184+KTYM!J184+IDK!J184+EKM!J184+TSR!J184+PLKD!J184+MLPM!J184+KKD!J184+WYND!J184+KNR!J184+KSRGD!J184+SHS!J184</f>
        <v>0</v>
      </c>
      <c r="K184" s="24">
        <f>TVM!K184+KLM!K184+PTA!K184+ALP!K184+KTYM!K184+IDK!K184+EKM!K184+TSR!K184+PLKD!K184+MLPM!K184+KKD!K184+WYND!K184+KNR!K184+KSRGD!K184+SHS!K184</f>
        <v>0</v>
      </c>
      <c r="L184" s="24">
        <f>TVM!L184+KLM!L184+PTA!L184+ALP!L184+KTYM!L184+IDK!L184+EKM!L184+TSR!L184+PLKD!L184+MLPM!L184+KKD!L184+WYND!L184+KNR!L184+KSRGD!L184+SHS!L184</f>
        <v>0</v>
      </c>
      <c r="M184" s="24">
        <f>TVM!M184+KLM!M184+PTA!M184+ALP!M184+KTYM!M184+IDK!M184+EKM!M184+TSR!M184+PLKD!M184+MLPM!M184+KKD!M184+WYND!M184+KNR!M184+KSRGD!M184+SHS!M184</f>
        <v>0</v>
      </c>
      <c r="N184" s="27">
        <f>TVM!N184+KLM!N184+PTA!N184+ALP!N184+KTYM!N184+IDK!N184+EKM!N184+TSR!N184+PLKD!N184+MLPM!N184+KKD!N184+WYND!N184+KNR!N184+KSRGD!N184+SHS!N184</f>
        <v>158.94999999999996</v>
      </c>
      <c r="O184" s="24">
        <f>TVM!O184+KLM!O184+PTA!O184+ALP!O184+KTYM!O184+IDK!O184+EKM!O184+TSR!O184+PLKD!O184+MLPM!O184+KKD!O184+WYND!O184+KNR!O184+KSRGD!O184+SHS!O184</f>
        <v>0</v>
      </c>
      <c r="P184" s="31">
        <f>TVM!P184+KLM!P184+PTA!P184+ALP!P184+KTYM!P184+IDK!P184+EKM!P184+TSR!P184+PLKD!P184+MLPM!P184+KKD!P184+WYND!P184+KNR!P184+KSRGD!P184+SHS!P184</f>
        <v>2128.5299999999997</v>
      </c>
      <c r="Q184" s="27">
        <f>TVM!Q184+KLM!Q184+PTA!Q184+ALP!Q184+KTYM!Q184+IDK!Q184+EKM!Q184+TSR!Q184+PLKD!Q184+MLPM!Q184+KKD!Q184+WYND!Q184+KNR!Q184+KSRGD!Q184+SHS!Q184</f>
        <v>59.999799999999986</v>
      </c>
      <c r="R184" s="31">
        <f>TVM!R184+KLM!R184+PTA!R184+ALP!R184+KTYM!R184+IDK!R184+EKM!R184+TSR!R184+PLKD!R184+MLPM!R184+KKD!R184+WYND!R184+KNR!R184+KSRGD!R184+SHS!R184</f>
        <v>18.353999999999999</v>
      </c>
      <c r="S184" s="31">
        <f>TVM!S184+KLM!S184+PTA!S184+ALP!S184+KTYM!S184+IDK!S184+EKM!S184+TSR!S184+PLKD!S184+MLPM!S184+KKD!S184+WYND!S184+KNR!S184+KSRGD!S184+SHS!S184</f>
        <v>0</v>
      </c>
      <c r="T184" s="6">
        <f t="shared" si="4"/>
        <v>2499.1337999999996</v>
      </c>
      <c r="U184" s="9"/>
      <c r="V184" s="32"/>
      <c r="W184" s="1"/>
      <c r="X184" s="1"/>
      <c r="Y184" s="1"/>
      <c r="Z184" s="1"/>
    </row>
    <row r="185" spans="1:26" ht="39.75" customHeight="1">
      <c r="A185" s="171"/>
      <c r="B185" s="171"/>
      <c r="C185" s="171"/>
      <c r="D185" s="5">
        <v>176</v>
      </c>
      <c r="E185" s="5" t="s">
        <v>269</v>
      </c>
      <c r="F185" s="24">
        <f>TVM!F185+KLM!F185+PTA!F185+ALP!F185+KTYM!F185+IDK!F185+EKM!F185+TSR!F185+PLKD!F185+MLPM!F185+KKD!F185+WYND!F185+KNR!F185+KSRGD!F185+SHS!F185</f>
        <v>0</v>
      </c>
      <c r="G185" s="24">
        <f>TVM!G185+KLM!G185+PTA!G185+ALP!G185+KTYM!G185+IDK!G185+EKM!G185+TSR!G185+PLKD!G185+MLPM!G185+KKD!G185+WYND!G185+KNR!G185+KSRGD!G185+SHS!G185</f>
        <v>0</v>
      </c>
      <c r="H185" s="24">
        <f>TVM!H185+KLM!H185+PTA!H185+ALP!H185+KTYM!H185+IDK!H185+EKM!H185+TSR!H185+PLKD!H185+MLPM!H185+KKD!H185+WYND!H185+KNR!H185+KSRGD!H185+SHS!H185</f>
        <v>0</v>
      </c>
      <c r="I185" s="24">
        <f>TVM!I185+KLM!I185+PTA!I185+ALP!I185+KTYM!I185+IDK!I185+EKM!I185+TSR!I185+PLKD!I185+MLPM!I185+KKD!I185+WYND!I185+KNR!I185+KSRGD!I185+SHS!I185</f>
        <v>0</v>
      </c>
      <c r="J185" s="24">
        <f>TVM!J185+KLM!J185+PTA!J185+ALP!J185+KTYM!J185+IDK!J185+EKM!J185+TSR!J185+PLKD!J185+MLPM!J185+KKD!J185+WYND!J185+KNR!J185+KSRGD!J185+SHS!J185</f>
        <v>0</v>
      </c>
      <c r="K185" s="24">
        <f>TVM!K185+KLM!K185+PTA!K185+ALP!K185+KTYM!K185+IDK!K185+EKM!K185+TSR!K185+PLKD!K185+MLPM!K185+KKD!K185+WYND!K185+KNR!K185+KSRGD!K185+SHS!K185</f>
        <v>0</v>
      </c>
      <c r="L185" s="24">
        <f>TVM!L185+KLM!L185+PTA!L185+ALP!L185+KTYM!L185+IDK!L185+EKM!L185+TSR!L185+PLKD!L185+MLPM!L185+KKD!L185+WYND!L185+KNR!L185+KSRGD!L185+SHS!L185</f>
        <v>0</v>
      </c>
      <c r="M185" s="31">
        <f>TVM!M185+KLM!M185+PTA!M185+ALP!M185+KTYM!M185+IDK!M185+EKM!M185+TSR!M185+PLKD!M185+MLPM!M185+KKD!M185+WYND!M185+KNR!M185+KSRGD!M185+SHS!M185</f>
        <v>393.4</v>
      </c>
      <c r="N185" s="24">
        <f>TVM!N185+KLM!N185+PTA!N185+ALP!N185+KTYM!N185+IDK!N185+EKM!N185+TSR!N185+PLKD!N185+MLPM!N185+KKD!N185+WYND!N185+KNR!N185+KSRGD!N185+SHS!N185</f>
        <v>0</v>
      </c>
      <c r="O185" s="24">
        <f>TVM!O185+KLM!O185+PTA!O185+ALP!O185+KTYM!O185+IDK!O185+EKM!O185+TSR!O185+PLKD!O185+MLPM!O185+KKD!O185+WYND!O185+KNR!O185+KSRGD!O185+SHS!O185</f>
        <v>0</v>
      </c>
      <c r="P185" s="31">
        <f>TVM!P185+KLM!P185+PTA!P185+ALP!P185+KTYM!P185+IDK!P185+EKM!P185+TSR!P185+PLKD!P185+MLPM!P185+KKD!P185+WYND!P185+KNR!P185+KSRGD!P185+SHS!P185</f>
        <v>1675.5900000000001</v>
      </c>
      <c r="Q185" s="31">
        <f>TVM!Q185+KLM!Q185+PTA!Q185+ALP!Q185+KTYM!Q185+IDK!Q185+EKM!Q185+TSR!Q185+PLKD!Q185+MLPM!Q185+KKD!Q185+WYND!Q185+KNR!Q185+KSRGD!Q185+SHS!Q185</f>
        <v>74.779999999999987</v>
      </c>
      <c r="R185" s="24">
        <f>TVM!R185+KLM!R185+PTA!R185+ALP!R185+KTYM!R185+IDK!R185+EKM!R185+TSR!R185+PLKD!R185+MLPM!R185+KKD!R185+WYND!R185+KNR!R185+KSRGD!R185+SHS!R185</f>
        <v>0</v>
      </c>
      <c r="S185" s="24">
        <f>TVM!S185+KLM!S185+PTA!S185+ALP!S185+KTYM!S185+IDK!S185+EKM!S185+TSR!S185+PLKD!S185+MLPM!S185+KKD!S185+WYND!S185+KNR!S185+KSRGD!S185+SHS!S185</f>
        <v>0</v>
      </c>
      <c r="T185" s="6">
        <f t="shared" si="4"/>
        <v>2143.7700000000004</v>
      </c>
      <c r="U185" s="9"/>
      <c r="V185" s="32"/>
      <c r="W185" s="1"/>
      <c r="X185" s="1"/>
      <c r="Y185" s="1"/>
      <c r="Z185" s="1"/>
    </row>
    <row r="186" spans="1:26" ht="39.75" customHeight="1">
      <c r="A186" s="171"/>
      <c r="B186" s="169"/>
      <c r="C186" s="169"/>
      <c r="D186" s="5">
        <v>177</v>
      </c>
      <c r="E186" s="5" t="s">
        <v>270</v>
      </c>
      <c r="F186" s="24">
        <f>TVM!F186+KLM!F186+PTA!F186+ALP!F186+KTYM!F186+IDK!F186+EKM!F186+TSR!F186+PLKD!F186+MLPM!F186+KKD!F186+WYND!F186+KNR!F186+KSRGD!F186+SHS!F186</f>
        <v>0</v>
      </c>
      <c r="G186" s="24">
        <f>TVM!G186+KLM!G186+PTA!G186+ALP!G186+KTYM!G186+IDK!G186+EKM!G186+TSR!G186+PLKD!G186+MLPM!G186+KKD!G186+WYND!G186+KNR!G186+KSRGD!G186+SHS!G186</f>
        <v>0</v>
      </c>
      <c r="H186" s="24">
        <f>TVM!H186+KLM!H186+PTA!H186+ALP!H186+KTYM!H186+IDK!H186+EKM!H186+TSR!H186+PLKD!H186+MLPM!H186+KKD!H186+WYND!H186+KNR!H186+KSRGD!H186+SHS!H186</f>
        <v>0</v>
      </c>
      <c r="I186" s="24">
        <f>TVM!I186+KLM!I186+PTA!I186+ALP!I186+KTYM!I186+IDK!I186+EKM!I186+TSR!I186+PLKD!I186+MLPM!I186+KKD!I186+WYND!I186+KNR!I186+KSRGD!I186+SHS!I186</f>
        <v>0</v>
      </c>
      <c r="J186" s="24">
        <f>TVM!J186+KLM!J186+PTA!J186+ALP!J186+KTYM!J186+IDK!J186+EKM!J186+TSR!J186+PLKD!J186+MLPM!J186+KKD!J186+WYND!J186+KNR!J186+KSRGD!J186+SHS!J186</f>
        <v>0</v>
      </c>
      <c r="K186" s="24">
        <f>TVM!K186+KLM!K186+PTA!K186+ALP!K186+KTYM!K186+IDK!K186+EKM!K186+TSR!K186+PLKD!K186+MLPM!K186+KKD!K186+WYND!K186+KNR!K186+KSRGD!K186+SHS!K186</f>
        <v>0</v>
      </c>
      <c r="L186" s="24">
        <f>TVM!L186+KLM!L186+PTA!L186+ALP!L186+KTYM!L186+IDK!L186+EKM!L186+TSR!L186+PLKD!L186+MLPM!L186+KKD!L186+WYND!L186+KNR!L186+KSRGD!L186+SHS!L186</f>
        <v>0</v>
      </c>
      <c r="M186" s="24">
        <f>TVM!M186+KLM!M186+PTA!M186+ALP!M186+KTYM!M186+IDK!M186+EKM!M186+TSR!M186+PLKD!M186+MLPM!M186+KKD!M186+WYND!M186+KNR!M186+KSRGD!M186+SHS!M186</f>
        <v>0</v>
      </c>
      <c r="N186" s="27">
        <f>TVM!N186+KLM!N186+PTA!N186+ALP!N186+KTYM!N186+IDK!N186+EKM!N186+TSR!N186+PLKD!N186+MLPM!N186+KKD!N186+WYND!N186+KNR!N186+KSRGD!N186+SHS!N186</f>
        <v>16</v>
      </c>
      <c r="O186" s="24">
        <f>TVM!O186+KLM!O186+PTA!O186+ALP!O186+KTYM!O186+IDK!O186+EKM!O186+TSR!O186+PLKD!O186+MLPM!O186+KKD!O186+WYND!O186+KNR!O186+KSRGD!O186+SHS!O186</f>
        <v>0</v>
      </c>
      <c r="P186" s="24">
        <f>TVM!P186+KLM!P186+PTA!P186+ALP!P186+KTYM!P186+IDK!P186+EKM!P186+TSR!P186+PLKD!P186+MLPM!P186+KKD!P186+WYND!P186+KNR!P186+KSRGD!P186+SHS!P186</f>
        <v>0</v>
      </c>
      <c r="Q186" s="24">
        <f>TVM!Q186+KLM!Q186+PTA!Q186+ALP!Q186+KTYM!Q186+IDK!Q186+EKM!Q186+TSR!Q186+PLKD!Q186+MLPM!Q186+KKD!Q186+WYND!Q186+KNR!Q186+KSRGD!Q186+SHS!Q186</f>
        <v>0</v>
      </c>
      <c r="R186" s="24">
        <f>TVM!R186+KLM!R186+PTA!R186+ALP!R186+KTYM!R186+IDK!R186+EKM!R186+TSR!R186+PLKD!R186+MLPM!R186+KKD!R186+WYND!R186+KNR!R186+KSRGD!R186+SHS!R186</f>
        <v>0</v>
      </c>
      <c r="S186" s="24">
        <f>TVM!S186+KLM!S186+PTA!S186+ALP!S186+KTYM!S186+IDK!S186+EKM!S186+TSR!S186+PLKD!S186+MLPM!S186+KKD!S186+WYND!S186+KNR!S186+KSRGD!S186+SHS!S186</f>
        <v>0</v>
      </c>
      <c r="T186" s="6">
        <f t="shared" si="4"/>
        <v>16</v>
      </c>
      <c r="U186" s="9"/>
      <c r="V186" s="32"/>
      <c r="W186" s="1"/>
      <c r="X186" s="1"/>
      <c r="Y186" s="1"/>
      <c r="Z186" s="1"/>
    </row>
    <row r="187" spans="1:26" ht="39.75" customHeight="1">
      <c r="A187" s="171"/>
      <c r="B187" s="168" t="s">
        <v>327</v>
      </c>
      <c r="C187" s="168" t="s">
        <v>328</v>
      </c>
      <c r="D187" s="5">
        <v>178</v>
      </c>
      <c r="E187" s="5" t="s">
        <v>329</v>
      </c>
      <c r="F187" s="24">
        <f>TVM!F187+KLM!F187+PTA!F187+ALP!F187+KTYM!F187+IDK!F187+EKM!F187+TSR!F187+PLKD!F187+MLPM!F187+KKD!F187+WYND!F187+KNR!F187+KSRGD!F187+SHS!F187</f>
        <v>0</v>
      </c>
      <c r="G187" s="24">
        <f>TVM!G187+KLM!G187+PTA!G187+ALP!G187+KTYM!G187+IDK!G187+EKM!G187+TSR!G187+PLKD!G187+MLPM!G187+KKD!G187+WYND!G187+KNR!G187+KSRGD!G187+SHS!G187</f>
        <v>0</v>
      </c>
      <c r="H187" s="24">
        <f>TVM!H187+KLM!H187+PTA!H187+ALP!H187+KTYM!H187+IDK!H187+EKM!H187+TSR!H187+PLKD!H187+MLPM!H187+KKD!H187+WYND!H187+KNR!H187+KSRGD!H187+SHS!H187</f>
        <v>0</v>
      </c>
      <c r="I187" s="24">
        <f>TVM!I187+KLM!I187+PTA!I187+ALP!I187+KTYM!I187+IDK!I187+EKM!I187+TSR!I187+PLKD!I187+MLPM!I187+KKD!I187+WYND!I187+KNR!I187+KSRGD!I187+SHS!I187</f>
        <v>0</v>
      </c>
      <c r="J187" s="24">
        <f>TVM!J187+KLM!J187+PTA!J187+ALP!J187+KTYM!J187+IDK!J187+EKM!J187+TSR!J187+PLKD!J187+MLPM!J187+KKD!J187+WYND!J187+KNR!J187+KSRGD!J187+SHS!J187</f>
        <v>0</v>
      </c>
      <c r="K187" s="24">
        <f>TVM!K187+KLM!K187+PTA!K187+ALP!K187+KTYM!K187+IDK!K187+EKM!K187+TSR!K187+PLKD!K187+MLPM!K187+KKD!K187+WYND!K187+KNR!K187+KSRGD!K187+SHS!K187</f>
        <v>0</v>
      </c>
      <c r="L187" s="24">
        <f>TVM!L187+KLM!L187+PTA!L187+ALP!L187+KTYM!L187+IDK!L187+EKM!L187+TSR!L187+PLKD!L187+MLPM!L187+KKD!L187+WYND!L187+KNR!L187+KSRGD!L187+SHS!L187</f>
        <v>0</v>
      </c>
      <c r="M187" s="24">
        <f>TVM!M187+KLM!M187+PTA!M187+ALP!M187+KTYM!M187+IDK!M187+EKM!M187+TSR!M187+PLKD!M187+MLPM!M187+KKD!M187+WYND!M187+KNR!M187+KSRGD!M187+SHS!M187</f>
        <v>0</v>
      </c>
      <c r="N187" s="24">
        <f>TVM!N187+KLM!N187+PTA!N187+ALP!N187+KTYM!N187+IDK!N187+EKM!N187+TSR!N187+PLKD!N187+MLPM!N187+KKD!N187+WYND!N187+KNR!N187+KSRGD!N187+SHS!N187</f>
        <v>0</v>
      </c>
      <c r="O187" s="24">
        <f>TVM!O187+KLM!O187+PTA!O187+ALP!O187+KTYM!O187+IDK!O187+EKM!O187+TSR!O187+PLKD!O187+MLPM!O187+KKD!O187+WYND!O187+KNR!O187+KSRGD!O187+SHS!O187</f>
        <v>0</v>
      </c>
      <c r="P187" s="24">
        <f>TVM!P187+KLM!P187+PTA!P187+ALP!P187+KTYM!P187+IDK!P187+EKM!P187+TSR!P187+PLKD!P187+MLPM!P187+KKD!P187+WYND!P187+KNR!P187+KSRGD!P187+SHS!P187</f>
        <v>154.44</v>
      </c>
      <c r="Q187" s="24">
        <f>TVM!Q187+KLM!Q187+PTA!Q187+ALP!Q187+KTYM!Q187+IDK!Q187+EKM!Q187+TSR!Q187+PLKD!Q187+MLPM!Q187+KKD!Q187+WYND!Q187+KNR!Q187+KSRGD!Q187+SHS!Q187</f>
        <v>0</v>
      </c>
      <c r="R187" s="24">
        <f>TVM!R187+KLM!R187+PTA!R187+ALP!R187+KTYM!R187+IDK!R187+EKM!R187+TSR!R187+PLKD!R187+MLPM!R187+KKD!R187+WYND!R187+KNR!R187+KSRGD!R187+SHS!R187</f>
        <v>0</v>
      </c>
      <c r="S187" s="24">
        <f>TVM!S187+KLM!S187+PTA!S187+ALP!S187+KTYM!S187+IDK!S187+EKM!S187+TSR!S187+PLKD!S187+MLPM!S187+KKD!S187+WYND!S187+KNR!S187+KSRGD!S187+SHS!S187</f>
        <v>0</v>
      </c>
      <c r="T187" s="6">
        <f t="shared" si="4"/>
        <v>154.44</v>
      </c>
      <c r="U187" s="9"/>
      <c r="V187" s="32"/>
      <c r="W187" s="1"/>
      <c r="X187" s="1"/>
      <c r="Y187" s="1"/>
      <c r="Z187" s="1"/>
    </row>
    <row r="188" spans="1:26" ht="39.75" customHeight="1">
      <c r="A188" s="171"/>
      <c r="B188" s="171"/>
      <c r="C188" s="171"/>
      <c r="D188" s="5">
        <v>179</v>
      </c>
      <c r="E188" s="5" t="s">
        <v>149</v>
      </c>
      <c r="F188" s="24">
        <f>TVM!F188+KLM!F188+PTA!F188+ALP!F188+KTYM!F188+IDK!F188+EKM!F188+TSR!F188+PLKD!F188+MLPM!F188+KKD!F188+WYND!F188+KNR!F188+KSRGD!F188+SHS!F188</f>
        <v>0</v>
      </c>
      <c r="G188" s="24">
        <f>TVM!G188+KLM!G188+PTA!G188+ALP!G188+KTYM!G188+IDK!G188+EKM!G188+TSR!G188+PLKD!G188+MLPM!G188+KKD!G188+WYND!G188+KNR!G188+KSRGD!G188+SHS!G188</f>
        <v>0</v>
      </c>
      <c r="H188" s="24">
        <f>TVM!H188+KLM!H188+PTA!H188+ALP!H188+KTYM!H188+IDK!H188+EKM!H188+TSR!H188+PLKD!H188+MLPM!H188+KKD!H188+WYND!H188+KNR!H188+KSRGD!H188+SHS!H188</f>
        <v>0</v>
      </c>
      <c r="I188" s="24">
        <f>TVM!I188+KLM!I188+PTA!I188+ALP!I188+KTYM!I188+IDK!I188+EKM!I188+TSR!I188+PLKD!I188+MLPM!I188+KKD!I188+WYND!I188+KNR!I188+KSRGD!I188+SHS!I188</f>
        <v>0</v>
      </c>
      <c r="J188" s="24">
        <f>TVM!J188+KLM!J188+PTA!J188+ALP!J188+KTYM!J188+IDK!J188+EKM!J188+TSR!J188+PLKD!J188+MLPM!J188+KKD!J188+WYND!J188+KNR!J188+KSRGD!J188+SHS!J188</f>
        <v>0</v>
      </c>
      <c r="K188" s="24">
        <f>TVM!K188+KLM!K188+PTA!K188+ALP!K188+KTYM!K188+IDK!K188+EKM!K188+TSR!K188+PLKD!K188+MLPM!K188+KKD!K188+WYND!K188+KNR!K188+KSRGD!K188+SHS!K188</f>
        <v>0</v>
      </c>
      <c r="L188" s="24">
        <f>TVM!L188+KLM!L188+PTA!L188+ALP!L188+KTYM!L188+IDK!L188+EKM!L188+TSR!L188+PLKD!L188+MLPM!L188+KKD!L188+WYND!L188+KNR!L188+KSRGD!L188+SHS!L188</f>
        <v>0</v>
      </c>
      <c r="M188" s="24">
        <f>TVM!M188+KLM!M188+PTA!M188+ALP!M188+KTYM!M188+IDK!M188+EKM!M188+TSR!M188+PLKD!M188+MLPM!M188+KKD!M188+WYND!M188+KNR!M188+KSRGD!M188+SHS!M188</f>
        <v>0</v>
      </c>
      <c r="N188" s="24">
        <f>TVM!N188+KLM!N188+PTA!N188+ALP!N188+KTYM!N188+IDK!N188+EKM!N188+TSR!N188+PLKD!N188+MLPM!N188+KKD!N188+WYND!N188+KNR!N188+KSRGD!N188+SHS!N188</f>
        <v>0</v>
      </c>
      <c r="O188" s="24">
        <f>TVM!O188+KLM!O188+PTA!O188+ALP!O188+KTYM!O188+IDK!O188+EKM!O188+TSR!O188+PLKD!O188+MLPM!O188+KKD!O188+WYND!O188+KNR!O188+KSRGD!O188+SHS!O188</f>
        <v>0</v>
      </c>
      <c r="P188" s="24">
        <f>TVM!P188+KLM!P188+PTA!P188+ALP!P188+KTYM!P188+IDK!P188+EKM!P188+TSR!P188+PLKD!P188+MLPM!P188+KKD!P188+WYND!P188+KNR!P188+KSRGD!P188+SHS!P188</f>
        <v>0</v>
      </c>
      <c r="Q188" s="24">
        <f>TVM!Q188+KLM!Q188+PTA!Q188+ALP!Q188+KTYM!Q188+IDK!Q188+EKM!Q188+TSR!Q188+PLKD!Q188+MLPM!Q188+KKD!Q188+WYND!Q188+KNR!Q188+KSRGD!Q188+SHS!Q188</f>
        <v>0</v>
      </c>
      <c r="R188" s="24">
        <f>TVM!R188+KLM!R188+PTA!R188+ALP!R188+KTYM!R188+IDK!R188+EKM!R188+TSR!R188+PLKD!R188+MLPM!R188+KKD!R188+WYND!R188+KNR!R188+KSRGD!R188+SHS!R188</f>
        <v>0</v>
      </c>
      <c r="S188" s="24">
        <f>TVM!S188+KLM!S188+PTA!S188+ALP!S188+KTYM!S188+IDK!S188+EKM!S188+TSR!S188+PLKD!S188+MLPM!S188+KKD!S188+WYND!S188+KNR!S188+KSRGD!S188+SHS!S188</f>
        <v>0</v>
      </c>
      <c r="T188" s="6">
        <f t="shared" si="4"/>
        <v>0</v>
      </c>
      <c r="U188" s="9"/>
      <c r="V188" s="32"/>
      <c r="W188" s="1"/>
      <c r="X188" s="1"/>
      <c r="Y188" s="1"/>
      <c r="Z188" s="1"/>
    </row>
    <row r="189" spans="1:26" ht="39.75" customHeight="1">
      <c r="A189" s="171"/>
      <c r="B189" s="171"/>
      <c r="C189" s="171"/>
      <c r="D189" s="5">
        <v>180</v>
      </c>
      <c r="E189" s="5" t="s">
        <v>330</v>
      </c>
      <c r="F189" s="24">
        <f>TVM!F189+KLM!F189+PTA!F189+ALP!F189+KTYM!F189+IDK!F189+EKM!F189+TSR!F189+PLKD!F189+MLPM!F189+KKD!F189+WYND!F189+KNR!F189+KSRGD!F189+SHS!F189</f>
        <v>0</v>
      </c>
      <c r="G189" s="24">
        <f>TVM!G189+KLM!G189+PTA!G189+ALP!G189+KTYM!G189+IDK!G189+EKM!G189+TSR!G189+PLKD!G189+MLPM!G189+KKD!G189+WYND!G189+KNR!G189+KSRGD!G189+SHS!G189</f>
        <v>0</v>
      </c>
      <c r="H189" s="24">
        <f>TVM!H189+KLM!H189+PTA!H189+ALP!H189+KTYM!H189+IDK!H189+EKM!H189+TSR!H189+PLKD!H189+MLPM!H189+KKD!H189+WYND!H189+KNR!H189+KSRGD!H189+SHS!H189</f>
        <v>0</v>
      </c>
      <c r="I189" s="24">
        <f>TVM!I189+KLM!I189+PTA!I189+ALP!I189+KTYM!I189+IDK!I189+EKM!I189+TSR!I189+PLKD!I189+MLPM!I189+KKD!I189+WYND!I189+KNR!I189+KSRGD!I189+SHS!I189</f>
        <v>0</v>
      </c>
      <c r="J189" s="24">
        <f>TVM!J189+KLM!J189+PTA!J189+ALP!J189+KTYM!J189+IDK!J189+EKM!J189+TSR!J189+PLKD!J189+MLPM!J189+KKD!J189+WYND!J189+KNR!J189+KSRGD!J189+SHS!J189</f>
        <v>0</v>
      </c>
      <c r="K189" s="27">
        <f>TVM!K189+KLM!K189+PTA!K189+ALP!K189+KTYM!K189+IDK!K189+EKM!K189+TSR!K189+PLKD!K189+MLPM!K189+KKD!K189+WYND!K189+KNR!K189+KSRGD!K189+SHS!K189</f>
        <v>25150</v>
      </c>
      <c r="L189" s="24">
        <f>TVM!L189+KLM!L189+PTA!L189+ALP!L189+KTYM!L189+IDK!L189+EKM!L189+TSR!L189+PLKD!L189+MLPM!L189+KKD!L189+WYND!L189+KNR!L189+KSRGD!L189+SHS!L189</f>
        <v>0</v>
      </c>
      <c r="M189" s="24">
        <f>TVM!M189+KLM!M189+PTA!M189+ALP!M189+KTYM!M189+IDK!M189+EKM!M189+TSR!M189+PLKD!M189+MLPM!M189+KKD!M189+WYND!M189+KNR!M189+KSRGD!M189+SHS!M189</f>
        <v>0</v>
      </c>
      <c r="N189" s="24">
        <f>TVM!N189+KLM!N189+PTA!N189+ALP!N189+KTYM!N189+IDK!N189+EKM!N189+TSR!N189+PLKD!N189+MLPM!N189+KKD!N189+WYND!N189+KNR!N189+KSRGD!N189+SHS!N189</f>
        <v>0</v>
      </c>
      <c r="O189" s="24">
        <f>TVM!O189+KLM!O189+PTA!O189+ALP!O189+KTYM!O189+IDK!O189+EKM!O189+TSR!O189+PLKD!O189+MLPM!O189+KKD!O189+WYND!O189+KNR!O189+KSRGD!O189+SHS!O189</f>
        <v>0</v>
      </c>
      <c r="P189" s="31">
        <f>TVM!P189+KLM!P189+PTA!P189+ALP!P189+KTYM!P189+IDK!P189+EKM!P189+TSR!P189+PLKD!P189+MLPM!P189+KKD!P189+WYND!P189+KNR!P189+KSRGD!P189+SHS!P189</f>
        <v>19</v>
      </c>
      <c r="Q189" s="24">
        <f>TVM!Q189+KLM!Q189+PTA!Q189+ALP!Q189+KTYM!Q189+IDK!Q189+EKM!Q189+TSR!Q189+PLKD!Q189+MLPM!Q189+KKD!Q189+WYND!Q189+KNR!Q189+KSRGD!Q189+SHS!Q189</f>
        <v>0</v>
      </c>
      <c r="R189" s="24">
        <f>TVM!R189+KLM!R189+PTA!R189+ALP!R189+KTYM!R189+IDK!R189+EKM!R189+TSR!R189+PLKD!R189+MLPM!R189+KKD!R189+WYND!R189+KNR!R189+KSRGD!R189+SHS!R189</f>
        <v>0</v>
      </c>
      <c r="S189" s="24">
        <f>TVM!S189+KLM!S189+PTA!S189+ALP!S189+KTYM!S189+IDK!S189+EKM!S189+TSR!S189+PLKD!S189+MLPM!S189+KKD!S189+WYND!S189+KNR!S189+KSRGD!S189+SHS!S189</f>
        <v>0</v>
      </c>
      <c r="T189" s="6">
        <f t="shared" si="4"/>
        <v>25169</v>
      </c>
      <c r="U189" s="9"/>
      <c r="V189" s="32"/>
      <c r="W189" s="1"/>
      <c r="X189" s="1"/>
      <c r="Y189" s="1"/>
      <c r="Z189" s="1"/>
    </row>
    <row r="190" spans="1:26" ht="39.75" customHeight="1">
      <c r="A190" s="171"/>
      <c r="B190" s="171"/>
      <c r="C190" s="171"/>
      <c r="D190" s="5">
        <v>181</v>
      </c>
      <c r="E190" s="5" t="s">
        <v>331</v>
      </c>
      <c r="F190" s="24">
        <f>TVM!F190+KLM!F190+PTA!F190+ALP!F190+KTYM!F190+IDK!F190+EKM!F190+TSR!F190+PLKD!F190+MLPM!F190+KKD!F190+WYND!F190+KNR!F190+KSRGD!F190+SHS!F190</f>
        <v>0</v>
      </c>
      <c r="G190" s="24">
        <f>TVM!G190+KLM!G190+PTA!G190+ALP!G190+KTYM!G190+IDK!G190+EKM!G190+TSR!G190+PLKD!G190+MLPM!G190+KKD!G190+WYND!G190+KNR!G190+KSRGD!G190+SHS!G190</f>
        <v>0</v>
      </c>
      <c r="H190" s="24">
        <f>TVM!H190+KLM!H190+PTA!H190+ALP!H190+KTYM!H190+IDK!H190+EKM!H190+TSR!H190+PLKD!H190+MLPM!H190+KKD!H190+WYND!H190+KNR!H190+KSRGD!H190+SHS!H190</f>
        <v>0</v>
      </c>
      <c r="I190" s="24">
        <f>TVM!I190+KLM!I190+PTA!I190+ALP!I190+KTYM!I190+IDK!I190+EKM!I190+TSR!I190+PLKD!I190+MLPM!I190+KKD!I190+WYND!I190+KNR!I190+KSRGD!I190+SHS!I190</f>
        <v>0</v>
      </c>
      <c r="J190" s="24">
        <f>TVM!J190+KLM!J190+PTA!J190+ALP!J190+KTYM!J190+IDK!J190+EKM!J190+TSR!J190+PLKD!J190+MLPM!J190+KKD!J190+WYND!J190+KNR!J190+KSRGD!J190+SHS!J190</f>
        <v>0</v>
      </c>
      <c r="K190" s="24">
        <f>TVM!K190+KLM!K190+PTA!K190+ALP!K190+KTYM!K190+IDK!K190+EKM!K190+TSR!K190+PLKD!K190+MLPM!K190+KKD!K190+WYND!K190+KNR!K190+KSRGD!K190+SHS!K190</f>
        <v>0</v>
      </c>
      <c r="L190" s="24">
        <f>TVM!L190+KLM!L190+PTA!L190+ALP!L190+KTYM!L190+IDK!L190+EKM!L190+TSR!L190+PLKD!L190+MLPM!L190+KKD!L190+WYND!L190+KNR!L190+KSRGD!L190+SHS!L190</f>
        <v>0</v>
      </c>
      <c r="M190" s="24">
        <f>TVM!M190+KLM!M190+PTA!M190+ALP!M190+KTYM!M190+IDK!M190+EKM!M190+TSR!M190+PLKD!M190+MLPM!M190+KKD!M190+WYND!M190+KNR!M190+KSRGD!M190+SHS!M190</f>
        <v>0</v>
      </c>
      <c r="N190" s="24">
        <f>TVM!N190+KLM!N190+PTA!N190+ALP!N190+KTYM!N190+IDK!N190+EKM!N190+TSR!N190+PLKD!N190+MLPM!N190+KKD!N190+WYND!N190+KNR!N190+KSRGD!N190+SHS!N190</f>
        <v>0</v>
      </c>
      <c r="O190" s="24">
        <f>TVM!O190+KLM!O190+PTA!O190+ALP!O190+KTYM!O190+IDK!O190+EKM!O190+TSR!O190+PLKD!O190+MLPM!O190+KKD!O190+WYND!O190+KNR!O190+KSRGD!O190+SHS!O190</f>
        <v>0</v>
      </c>
      <c r="P190" s="24">
        <f>TVM!P190+KLM!P190+PTA!P190+ALP!P190+KTYM!P190+IDK!P190+EKM!P190+TSR!P190+PLKD!P190+MLPM!P190+KKD!P190+WYND!P190+KNR!P190+KSRGD!P190+SHS!P190</f>
        <v>0</v>
      </c>
      <c r="Q190" s="24">
        <f>TVM!Q190+KLM!Q190+PTA!Q190+ALP!Q190+KTYM!Q190+IDK!Q190+EKM!Q190+TSR!Q190+PLKD!Q190+MLPM!Q190+KKD!Q190+WYND!Q190+KNR!Q190+KSRGD!Q190+SHS!Q190</f>
        <v>0</v>
      </c>
      <c r="R190" s="24">
        <f>TVM!R190+KLM!R190+PTA!R190+ALP!R190+KTYM!R190+IDK!R190+EKM!R190+TSR!R190+PLKD!R190+MLPM!R190+KKD!R190+WYND!R190+KNR!R190+KSRGD!R190+SHS!R190</f>
        <v>0</v>
      </c>
      <c r="S190" s="24">
        <f>TVM!S190+KLM!S190+PTA!S190+ALP!S190+KTYM!S190+IDK!S190+EKM!S190+TSR!S190+PLKD!S190+MLPM!S190+KKD!S190+WYND!S190+KNR!S190+KSRGD!S190+SHS!S190</f>
        <v>0</v>
      </c>
      <c r="T190" s="6">
        <f t="shared" si="4"/>
        <v>0</v>
      </c>
      <c r="U190" s="9"/>
      <c r="V190" s="32"/>
      <c r="W190" s="1"/>
      <c r="X190" s="1"/>
      <c r="Y190" s="1"/>
      <c r="Z190" s="1"/>
    </row>
    <row r="191" spans="1:26" ht="39.75" customHeight="1">
      <c r="A191" s="171"/>
      <c r="B191" s="171"/>
      <c r="C191" s="171"/>
      <c r="D191" s="5">
        <v>182</v>
      </c>
      <c r="E191" s="5" t="s">
        <v>332</v>
      </c>
      <c r="F191" s="24">
        <f>TVM!F191+KLM!F191+PTA!F191+ALP!F191+KTYM!F191+IDK!F191+EKM!F191+TSR!F191+PLKD!F191+MLPM!F191+KKD!F191+WYND!F191+KNR!F191+KSRGD!F191+SHS!F191</f>
        <v>0</v>
      </c>
      <c r="G191" s="24">
        <f>TVM!G191+KLM!G191+PTA!G191+ALP!G191+KTYM!G191+IDK!G191+EKM!G191+TSR!G191+PLKD!G191+MLPM!G191+KKD!G191+WYND!G191+KNR!G191+KSRGD!G191+SHS!G191</f>
        <v>0</v>
      </c>
      <c r="H191" s="24">
        <f>TVM!H191+KLM!H191+PTA!H191+ALP!H191+KTYM!H191+IDK!H191+EKM!H191+TSR!H191+PLKD!H191+MLPM!H191+KKD!H191+WYND!H191+KNR!H191+KSRGD!H191+SHS!H191</f>
        <v>0</v>
      </c>
      <c r="I191" s="24">
        <f>TVM!I191+KLM!I191+PTA!I191+ALP!I191+KTYM!I191+IDK!I191+EKM!I191+TSR!I191+PLKD!I191+MLPM!I191+KKD!I191+WYND!I191+KNR!I191+KSRGD!I191+SHS!I191</f>
        <v>0</v>
      </c>
      <c r="J191" s="24">
        <f>TVM!J191+KLM!J191+PTA!J191+ALP!J191+KTYM!J191+IDK!J191+EKM!J191+TSR!J191+PLKD!J191+MLPM!J191+KKD!J191+WYND!J191+KNR!J191+KSRGD!J191+SHS!J191</f>
        <v>0</v>
      </c>
      <c r="K191" s="24">
        <f>TVM!K191+KLM!K191+PTA!K191+ALP!K191+KTYM!K191+IDK!K191+EKM!K191+TSR!K191+PLKD!K191+MLPM!K191+KKD!K191+WYND!K191+KNR!K191+KSRGD!K191+SHS!K191</f>
        <v>0</v>
      </c>
      <c r="L191" s="24">
        <f>TVM!L191+KLM!L191+PTA!L191+ALP!L191+KTYM!L191+IDK!L191+EKM!L191+TSR!L191+PLKD!L191+MLPM!L191+KKD!L191+WYND!L191+KNR!L191+KSRGD!L191+SHS!L191</f>
        <v>0</v>
      </c>
      <c r="M191" s="24">
        <f>TVM!M191+KLM!M191+PTA!M191+ALP!M191+KTYM!M191+IDK!M191+EKM!M191+TSR!M191+PLKD!M191+MLPM!M191+KKD!M191+WYND!M191+KNR!M191+KSRGD!M191+SHS!M191</f>
        <v>0</v>
      </c>
      <c r="N191" s="24">
        <f>TVM!N191+KLM!N191+PTA!N191+ALP!N191+KTYM!N191+IDK!N191+EKM!N191+TSR!N191+PLKD!N191+MLPM!N191+KKD!N191+WYND!N191+KNR!N191+KSRGD!N191+SHS!N191</f>
        <v>0</v>
      </c>
      <c r="O191" s="24">
        <f>TVM!O191+KLM!O191+PTA!O191+ALP!O191+KTYM!O191+IDK!O191+EKM!O191+TSR!O191+PLKD!O191+MLPM!O191+KKD!O191+WYND!O191+KNR!O191+KSRGD!O191+SHS!O191</f>
        <v>0</v>
      </c>
      <c r="P191" s="27">
        <f>TVM!P191+KLM!P191+PTA!P191+ALP!P191+KTYM!P191+IDK!P191+EKM!P191+TSR!P191+PLKD!P191+MLPM!P191+KKD!P191+WYND!P191+KNR!P191+KSRGD!P191+SHS!P191</f>
        <v>393.12</v>
      </c>
      <c r="Q191" s="24">
        <f>TVM!Q191+KLM!Q191+PTA!Q191+ALP!Q191+KTYM!Q191+IDK!Q191+EKM!Q191+TSR!Q191+PLKD!Q191+MLPM!Q191+KKD!Q191+WYND!Q191+KNR!Q191+KSRGD!Q191+SHS!Q191</f>
        <v>0</v>
      </c>
      <c r="R191" s="24">
        <f>TVM!R191+KLM!R191+PTA!R191+ALP!R191+KTYM!R191+IDK!R191+EKM!R191+TSR!R191+PLKD!R191+MLPM!R191+KKD!R191+WYND!R191+KNR!R191+KSRGD!R191+SHS!R191</f>
        <v>0</v>
      </c>
      <c r="S191" s="24">
        <f>TVM!S191+KLM!S191+PTA!S191+ALP!S191+KTYM!S191+IDK!S191+EKM!S191+TSR!S191+PLKD!S191+MLPM!S191+KKD!S191+WYND!S191+KNR!S191+KSRGD!S191+SHS!S191</f>
        <v>0</v>
      </c>
      <c r="T191" s="6">
        <f t="shared" si="4"/>
        <v>393.12</v>
      </c>
      <c r="U191" s="9"/>
      <c r="V191" s="32"/>
      <c r="W191" s="1"/>
      <c r="X191" s="1"/>
      <c r="Y191" s="1"/>
      <c r="Z191" s="1"/>
    </row>
    <row r="192" spans="1:26" ht="39.75" customHeight="1">
      <c r="A192" s="171"/>
      <c r="B192" s="169"/>
      <c r="C192" s="169"/>
      <c r="D192" s="5">
        <v>183</v>
      </c>
      <c r="E192" s="5" t="s">
        <v>334</v>
      </c>
      <c r="F192" s="24">
        <f>TVM!F192+KLM!F192+PTA!F192+ALP!F192+KTYM!F192+IDK!F192+EKM!F192+TSR!F192+PLKD!F192+MLPM!F192+KKD!F192+WYND!F192+KNR!F192+KSRGD!F192+SHS!F192</f>
        <v>0</v>
      </c>
      <c r="G192" s="24">
        <f>TVM!G192+KLM!G192+PTA!G192+ALP!G192+KTYM!G192+IDK!G192+EKM!G192+TSR!G192+PLKD!G192+MLPM!G192+KKD!G192+WYND!G192+KNR!G192+KSRGD!G192+SHS!G192</f>
        <v>0</v>
      </c>
      <c r="H192" s="24">
        <f>TVM!H192+KLM!H192+PTA!H192+ALP!H192+KTYM!H192+IDK!H192+EKM!H192+TSR!H192+PLKD!H192+MLPM!H192+KKD!H192+WYND!H192+KNR!H192+KSRGD!H192+SHS!H192</f>
        <v>0</v>
      </c>
      <c r="I192" s="24">
        <f>TVM!I192+KLM!I192+PTA!I192+ALP!I192+KTYM!I192+IDK!I192+EKM!I192+TSR!I192+PLKD!I192+MLPM!I192+KKD!I192+WYND!I192+KNR!I192+KSRGD!I192+SHS!I192</f>
        <v>0</v>
      </c>
      <c r="J192" s="24">
        <f>TVM!J192+KLM!J192+PTA!J192+ALP!J192+KTYM!J192+IDK!J192+EKM!J192+TSR!J192+PLKD!J192+MLPM!J192+KKD!J192+WYND!J192+KNR!J192+KSRGD!J192+SHS!J192</f>
        <v>0</v>
      </c>
      <c r="K192" s="24">
        <f>TVM!K192+KLM!K192+PTA!K192+ALP!K192+KTYM!K192+IDK!K192+EKM!K192+TSR!K192+PLKD!K192+MLPM!K192+KKD!K192+WYND!K192+KNR!K192+KSRGD!K192+SHS!K192</f>
        <v>0</v>
      </c>
      <c r="L192" s="24">
        <f>TVM!L192+KLM!L192+PTA!L192+ALP!L192+KTYM!L192+IDK!L192+EKM!L192+TSR!L192+PLKD!L192+MLPM!L192+KKD!L192+WYND!L192+KNR!L192+KSRGD!L192+SHS!L192</f>
        <v>0</v>
      </c>
      <c r="M192" s="24">
        <f>TVM!M192+KLM!M192+PTA!M192+ALP!M192+KTYM!M192+IDK!M192+EKM!M192+TSR!M192+PLKD!M192+MLPM!M192+KKD!M192+WYND!M192+KNR!M192+KSRGD!M192+SHS!M192</f>
        <v>0</v>
      </c>
      <c r="N192" s="24">
        <f>TVM!N192+KLM!N192+PTA!N192+ALP!N192+KTYM!N192+IDK!N192+EKM!N192+TSR!N192+PLKD!N192+MLPM!N192+KKD!N192+WYND!N192+KNR!N192+KSRGD!N192+SHS!N192</f>
        <v>0</v>
      </c>
      <c r="O192" s="24">
        <f>TVM!O192+KLM!O192+PTA!O192+ALP!O192+KTYM!O192+IDK!O192+EKM!O192+TSR!O192+PLKD!O192+MLPM!O192+KKD!O192+WYND!O192+KNR!O192+KSRGD!O192+SHS!O192</f>
        <v>0</v>
      </c>
      <c r="P192" s="31">
        <f>TVM!P192+KLM!P192+PTA!P192+ALP!P192+KTYM!P192+IDK!P192+EKM!P192+TSR!P192+PLKD!P192+MLPM!P192+KKD!P192+WYND!P192+KNR!P192+KSRGD!P192+SHS!P192</f>
        <v>215.75</v>
      </c>
      <c r="Q192" s="24">
        <f>TVM!Q192+KLM!Q192+PTA!Q192+ALP!Q192+KTYM!Q192+IDK!Q192+EKM!Q192+TSR!Q192+PLKD!Q192+MLPM!Q192+KKD!Q192+WYND!Q192+KNR!Q192+KSRGD!Q192+SHS!Q192</f>
        <v>0</v>
      </c>
      <c r="R192" s="24">
        <f>TVM!R192+KLM!R192+PTA!R192+ALP!R192+KTYM!R192+IDK!R192+EKM!R192+TSR!R192+PLKD!R192+MLPM!R192+KKD!R192+WYND!R192+KNR!R192+KSRGD!R192+SHS!R192</f>
        <v>0</v>
      </c>
      <c r="S192" s="24">
        <f>TVM!S192+KLM!S192+PTA!S192+ALP!S192+KTYM!S192+IDK!S192+EKM!S192+TSR!S192+PLKD!S192+MLPM!S192+KKD!S192+WYND!S192+KNR!S192+KSRGD!S192+SHS!S192</f>
        <v>0</v>
      </c>
      <c r="T192" s="6">
        <f t="shared" si="4"/>
        <v>215.75</v>
      </c>
      <c r="U192" s="9"/>
      <c r="V192" s="32"/>
      <c r="W192" s="1"/>
      <c r="X192" s="1"/>
      <c r="Y192" s="1"/>
      <c r="Z192" s="1"/>
    </row>
    <row r="193" spans="1:26" ht="39.75" customHeight="1">
      <c r="A193" s="171"/>
      <c r="B193" s="5" t="s">
        <v>335</v>
      </c>
      <c r="C193" s="5" t="s">
        <v>336</v>
      </c>
      <c r="D193" s="5">
        <v>184</v>
      </c>
      <c r="E193" s="5" t="s">
        <v>337</v>
      </c>
      <c r="F193" s="24">
        <f>TVM!F193+KLM!F193+PTA!F193+ALP!F193+KTYM!F193+IDK!F193+EKM!F193+TSR!F193+PLKD!F193+MLPM!F193+KKD!F193+WYND!F193+KNR!F193+KSRGD!F193+SHS!F193</f>
        <v>0</v>
      </c>
      <c r="G193" s="24">
        <f>TVM!G193+KLM!G193+PTA!G193+ALP!G193+KTYM!G193+IDK!G193+EKM!G193+TSR!G193+PLKD!G193+MLPM!G193+KKD!G193+WYND!G193+KNR!G193+KSRGD!G193+SHS!G193</f>
        <v>0</v>
      </c>
      <c r="H193" s="24">
        <f>TVM!H193+KLM!H193+PTA!H193+ALP!H193+KTYM!H193+IDK!H193+EKM!H193+TSR!H193+PLKD!H193+MLPM!H193+KKD!H193+WYND!H193+KNR!H193+KSRGD!H193+SHS!H193</f>
        <v>0</v>
      </c>
      <c r="I193" s="24">
        <f>TVM!I193+KLM!I193+PTA!I193+ALP!I193+KTYM!I193+IDK!I193+EKM!I193+TSR!I193+PLKD!I193+MLPM!I193+KKD!I193+WYND!I193+KNR!I193+KSRGD!I193+SHS!I193</f>
        <v>0</v>
      </c>
      <c r="J193" s="24">
        <f>TVM!J193+KLM!J193+PTA!J193+ALP!J193+KTYM!J193+IDK!J193+EKM!J193+TSR!J193+PLKD!J193+MLPM!J193+KKD!J193+WYND!J193+KNR!J193+KSRGD!J193+SHS!J193</f>
        <v>0</v>
      </c>
      <c r="K193" s="24">
        <f>TVM!K193+KLM!K193+PTA!K193+ALP!K193+KTYM!K193+IDK!K193+EKM!K193+TSR!K193+PLKD!K193+MLPM!K193+KKD!K193+WYND!K193+KNR!K193+KSRGD!K193+SHS!K193</f>
        <v>0</v>
      </c>
      <c r="L193" s="24">
        <f>TVM!L193+KLM!L193+PTA!L193+ALP!L193+KTYM!L193+IDK!L193+EKM!L193+TSR!L193+PLKD!L193+MLPM!L193+KKD!L193+WYND!L193+KNR!L193+KSRGD!L193+SHS!L193</f>
        <v>0</v>
      </c>
      <c r="M193" s="24">
        <f>TVM!M193+KLM!M193+PTA!M193+ALP!M193+KTYM!M193+IDK!M193+EKM!M193+TSR!M193+PLKD!M193+MLPM!M193+KKD!M193+WYND!M193+KNR!M193+KSRGD!M193+SHS!M193</f>
        <v>0</v>
      </c>
      <c r="N193" s="24">
        <f>TVM!N193+KLM!N193+PTA!N193+ALP!N193+KTYM!N193+IDK!N193+EKM!N193+TSR!N193+PLKD!N193+MLPM!N193+KKD!N193+WYND!N193+KNR!N193+KSRGD!N193+SHS!N193</f>
        <v>0</v>
      </c>
      <c r="O193" s="24">
        <f>TVM!O193+KLM!O193+PTA!O193+ALP!O193+KTYM!O193+IDK!O193+EKM!O193+TSR!O193+PLKD!O193+MLPM!O193+KKD!O193+WYND!O193+KNR!O193+KSRGD!O193+SHS!O193</f>
        <v>0</v>
      </c>
      <c r="P193" s="27">
        <f>TVM!P193+KLM!P193+PTA!P193+ALP!P193+KTYM!P193+IDK!P193+EKM!P193+TSR!P193+PLKD!P193+MLPM!P193+KKD!P193+WYND!P193+KNR!P193+KSRGD!P193+SHS!P193</f>
        <v>2239.65</v>
      </c>
      <c r="Q193" s="24">
        <f>TVM!Q193+KLM!Q193+PTA!Q193+ALP!Q193+KTYM!Q193+IDK!Q193+EKM!Q193+TSR!Q193+PLKD!Q193+MLPM!Q193+KKD!Q193+WYND!Q193+KNR!Q193+KSRGD!Q193+SHS!Q193</f>
        <v>0</v>
      </c>
      <c r="R193" s="24">
        <f>TVM!R193+KLM!R193+PTA!R193+ALP!R193+KTYM!R193+IDK!R193+EKM!R193+TSR!R193+PLKD!R193+MLPM!R193+KKD!R193+WYND!R193+KNR!R193+KSRGD!R193+SHS!R193</f>
        <v>0</v>
      </c>
      <c r="S193" s="24">
        <f>TVM!S193+KLM!S193+PTA!S193+ALP!S193+KTYM!S193+IDK!S193+EKM!S193+TSR!S193+PLKD!S193+MLPM!S193+KKD!S193+WYND!S193+KNR!S193+KSRGD!S193+SHS!S193</f>
        <v>0</v>
      </c>
      <c r="T193" s="6">
        <f t="shared" si="4"/>
        <v>2239.65</v>
      </c>
      <c r="U193" s="9"/>
      <c r="V193" s="32"/>
      <c r="W193" s="1"/>
      <c r="X193" s="1"/>
      <c r="Y193" s="1"/>
      <c r="Z193" s="1"/>
    </row>
    <row r="194" spans="1:26" ht="39.75" customHeight="1">
      <c r="A194" s="171"/>
      <c r="B194" s="168" t="s">
        <v>338</v>
      </c>
      <c r="C194" s="168" t="s">
        <v>272</v>
      </c>
      <c r="D194" s="5">
        <v>185</v>
      </c>
      <c r="E194" s="5" t="s">
        <v>273</v>
      </c>
      <c r="F194" s="24">
        <f>TVM!F194+KLM!F194+PTA!F194+ALP!F194+KTYM!F194+IDK!F194+EKM!F194+TSR!F194+PLKD!F194+MLPM!F194+KKD!F194+WYND!F194+KNR!F194+KSRGD!F194+SHS!F194</f>
        <v>0</v>
      </c>
      <c r="G194" s="24">
        <f>TVM!G194+KLM!G194+PTA!G194+ALP!G194+KTYM!G194+IDK!G194+EKM!G194+TSR!G194+PLKD!G194+MLPM!G194+KKD!G194+WYND!G194+KNR!G194+KSRGD!G194+SHS!G194</f>
        <v>0</v>
      </c>
      <c r="H194" s="24">
        <f>TVM!H194+KLM!H194+PTA!H194+ALP!H194+KTYM!H194+IDK!H194+EKM!H194+TSR!H194+PLKD!H194+MLPM!H194+KKD!H194+WYND!H194+KNR!H194+KSRGD!H194+SHS!H194</f>
        <v>0</v>
      </c>
      <c r="I194" s="24">
        <f>TVM!I194+KLM!I194+PTA!I194+ALP!I194+KTYM!I194+IDK!I194+EKM!I194+TSR!I194+PLKD!I194+MLPM!I194+KKD!I194+WYND!I194+KNR!I194+KSRGD!I194+SHS!I194</f>
        <v>0</v>
      </c>
      <c r="J194" s="24">
        <f>TVM!J194+KLM!J194+PTA!J194+ALP!J194+KTYM!J194+IDK!J194+EKM!J194+TSR!J194+PLKD!J194+MLPM!J194+KKD!J194+WYND!J194+KNR!J194+KSRGD!J194+SHS!J194</f>
        <v>0</v>
      </c>
      <c r="K194" s="24">
        <f>TVM!K194+KLM!K194+PTA!K194+ALP!K194+KTYM!K194+IDK!K194+EKM!K194+TSR!K194+PLKD!K194+MLPM!K194+KKD!K194+WYND!K194+KNR!K194+KSRGD!K194+SHS!K194</f>
        <v>0</v>
      </c>
      <c r="L194" s="24">
        <f>TVM!L194+KLM!L194+PTA!L194+ALP!L194+KTYM!L194+IDK!L194+EKM!L194+TSR!L194+PLKD!L194+MLPM!L194+KKD!L194+WYND!L194+KNR!L194+KSRGD!L194+SHS!L194</f>
        <v>0</v>
      </c>
      <c r="M194" s="24">
        <f>TVM!M194+KLM!M194+PTA!M194+ALP!M194+KTYM!M194+IDK!M194+EKM!M194+TSR!M194+PLKD!M194+MLPM!M194+KKD!M194+WYND!M194+KNR!M194+KSRGD!M194+SHS!M194</f>
        <v>0</v>
      </c>
      <c r="N194" s="24">
        <f>TVM!N194+KLM!N194+PTA!N194+ALP!N194+KTYM!N194+IDK!N194+EKM!N194+TSR!N194+PLKD!N194+MLPM!N194+KKD!N194+WYND!N194+KNR!N194+KSRGD!N194+SHS!N194</f>
        <v>0</v>
      </c>
      <c r="O194" s="24">
        <f>TVM!O194+KLM!O194+PTA!O194+ALP!O194+KTYM!O194+IDK!O194+EKM!O194+TSR!O194+PLKD!O194+MLPM!O194+KKD!O194+WYND!O194+KNR!O194+KSRGD!O194+SHS!O194</f>
        <v>0</v>
      </c>
      <c r="P194" s="24">
        <f>TVM!P194+KLM!P194+PTA!P194+ALP!P194+KTYM!P194+IDK!P194+EKM!P194+TSR!P194+PLKD!P194+MLPM!P194+KKD!P194+WYND!P194+KNR!P194+KSRGD!P194+SHS!P194</f>
        <v>0</v>
      </c>
      <c r="Q194" s="24">
        <f>TVM!Q194+KLM!Q194+PTA!Q194+ALP!Q194+KTYM!Q194+IDK!Q194+EKM!Q194+TSR!Q194+PLKD!Q194+MLPM!Q194+KKD!Q194+WYND!Q194+KNR!Q194+KSRGD!Q194+SHS!Q194</f>
        <v>0</v>
      </c>
      <c r="R194" s="24">
        <f>TVM!R194+KLM!R194+PTA!R194+ALP!R194+KTYM!R194+IDK!R194+EKM!R194+TSR!R194+PLKD!R194+MLPM!R194+KKD!R194+WYND!R194+KNR!R194+KSRGD!R194+SHS!R194</f>
        <v>31846.240000000002</v>
      </c>
      <c r="S194" s="24">
        <f>TVM!S194+KLM!S194+PTA!S194+ALP!S194+KTYM!S194+IDK!S194+EKM!S194+TSR!S194+PLKD!S194+MLPM!S194+KKD!S194+WYND!S194+KNR!S194+KSRGD!S194+SHS!S194</f>
        <v>0</v>
      </c>
      <c r="T194" s="6">
        <f t="shared" si="4"/>
        <v>31846.240000000002</v>
      </c>
      <c r="U194" s="154"/>
      <c r="V194" s="32"/>
      <c r="W194" s="1"/>
      <c r="X194" s="1"/>
      <c r="Y194" s="1"/>
      <c r="Z194" s="1"/>
    </row>
    <row r="195" spans="1:26" ht="39.75" customHeight="1">
      <c r="A195" s="171"/>
      <c r="B195" s="171"/>
      <c r="C195" s="171"/>
      <c r="D195" s="5">
        <v>186</v>
      </c>
      <c r="E195" s="5" t="s">
        <v>274</v>
      </c>
      <c r="F195" s="24">
        <f>TVM!F195+KLM!F195+PTA!F195+ALP!F195+KTYM!F195+IDK!F195+EKM!F195+TSR!F195+PLKD!F195+MLPM!F195+KKD!F195+WYND!F195+KNR!F195+KSRGD!F195+SHS!F195</f>
        <v>0</v>
      </c>
      <c r="G195" s="24">
        <f>TVM!G195+KLM!G195+PTA!G195+ALP!G195+KTYM!G195+IDK!G195+EKM!G195+TSR!G195+PLKD!G195+MLPM!G195+KKD!G195+WYND!G195+KNR!G195+KSRGD!G195+SHS!G195</f>
        <v>0</v>
      </c>
      <c r="H195" s="24">
        <f>TVM!H195+KLM!H195+PTA!H195+ALP!H195+KTYM!H195+IDK!H195+EKM!H195+TSR!H195+PLKD!H195+MLPM!H195+KKD!H195+WYND!H195+KNR!H195+KSRGD!H195+SHS!H195</f>
        <v>0</v>
      </c>
      <c r="I195" s="24">
        <f>TVM!I195+KLM!I195+PTA!I195+ALP!I195+KTYM!I195+IDK!I195+EKM!I195+TSR!I195+PLKD!I195+MLPM!I195+KKD!I195+WYND!I195+KNR!I195+KSRGD!I195+SHS!I195</f>
        <v>0</v>
      </c>
      <c r="J195" s="24">
        <f>TVM!J195+KLM!J195+PTA!J195+ALP!J195+KTYM!J195+IDK!J195+EKM!J195+TSR!J195+PLKD!J195+MLPM!J195+KKD!J195+WYND!J195+KNR!J195+KSRGD!J195+SHS!J195</f>
        <v>0</v>
      </c>
      <c r="K195" s="24">
        <f>TVM!K195+KLM!K195+PTA!K195+ALP!K195+KTYM!K195+IDK!K195+EKM!K195+TSR!K195+PLKD!K195+MLPM!K195+KKD!K195+WYND!K195+KNR!K195+KSRGD!K195+SHS!K195</f>
        <v>0</v>
      </c>
      <c r="L195" s="24">
        <f>TVM!L195+KLM!L195+PTA!L195+ALP!L195+KTYM!L195+IDK!L195+EKM!L195+TSR!L195+PLKD!L195+MLPM!L195+KKD!L195+WYND!L195+KNR!L195+KSRGD!L195+SHS!L195</f>
        <v>0</v>
      </c>
      <c r="M195" s="24">
        <f>TVM!M195+KLM!M195+PTA!M195+ALP!M195+KTYM!M195+IDK!M195+EKM!M195+TSR!M195+PLKD!M195+MLPM!M195+KKD!M195+WYND!M195+KNR!M195+KSRGD!M195+SHS!M195</f>
        <v>0</v>
      </c>
      <c r="N195" s="24">
        <f>TVM!N195+KLM!N195+PTA!N195+ALP!N195+KTYM!N195+IDK!N195+EKM!N195+TSR!N195+PLKD!N195+MLPM!N195+KKD!N195+WYND!N195+KNR!N195+KSRGD!N195+SHS!N195</f>
        <v>0</v>
      </c>
      <c r="O195" s="24">
        <f>TVM!O195+KLM!O195+PTA!O195+ALP!O195+KTYM!O195+IDK!O195+EKM!O195+TSR!O195+PLKD!O195+MLPM!O195+KKD!O195+WYND!O195+KNR!O195+KSRGD!O195+SHS!O195</f>
        <v>0</v>
      </c>
      <c r="P195" s="31">
        <f>TVM!P195+KLM!P195+PTA!P195+ALP!P195+KTYM!P195+IDK!P195+EKM!P195+TSR!P195+PLKD!P195+MLPM!P195+KKD!P195+WYND!P195+KNR!P195+KSRGD!P195+SHS!P195</f>
        <v>504.14</v>
      </c>
      <c r="Q195" s="27">
        <f>TVM!Q195+KLM!Q195+PTA!Q195+ALP!Q195+KTYM!Q195+IDK!Q195+EKM!Q195+TSR!Q195+PLKD!Q195+MLPM!Q195+KKD!Q195+WYND!Q195+KNR!Q195+KSRGD!Q195+SHS!Q195</f>
        <v>0</v>
      </c>
      <c r="R195" s="24">
        <f>TVM!R195+KLM!R195+PTA!R195+ALP!R195+KTYM!R195+IDK!R195+EKM!R195+TSR!R195+PLKD!R195+MLPM!R195+KKD!R195+WYND!R195+KNR!R195+KSRGD!R195+SHS!R195</f>
        <v>0</v>
      </c>
      <c r="S195" s="24">
        <f>TVM!S195+KLM!S195+PTA!S195+ALP!S195+KTYM!S195+IDK!S195+EKM!S195+TSR!S195+PLKD!S195+MLPM!S195+KKD!S195+WYND!S195+KNR!S195+KSRGD!S195+SHS!S195</f>
        <v>0</v>
      </c>
      <c r="T195" s="6">
        <f t="shared" si="4"/>
        <v>504.14</v>
      </c>
      <c r="U195" s="9"/>
      <c r="V195" s="32"/>
      <c r="W195" s="1"/>
      <c r="X195" s="1"/>
      <c r="Y195" s="1"/>
      <c r="Z195" s="1"/>
    </row>
    <row r="196" spans="1:26" ht="39.75" customHeight="1">
      <c r="A196" s="171"/>
      <c r="B196" s="171"/>
      <c r="C196" s="171"/>
      <c r="D196" s="5">
        <v>187</v>
      </c>
      <c r="E196" s="5" t="s">
        <v>339</v>
      </c>
      <c r="F196" s="24">
        <f>TVM!F196+KLM!F196+PTA!F196+ALP!F196+KTYM!F196+IDK!F196+EKM!F196+TSR!F196+PLKD!F196+MLPM!F196+KKD!F196+WYND!F196+KNR!F196+KSRGD!F196+SHS!F196</f>
        <v>0</v>
      </c>
      <c r="G196" s="24">
        <f>TVM!G196+KLM!G196+PTA!G196+ALP!G196+KTYM!G196+IDK!G196+EKM!G196+TSR!G196+PLKD!G196+MLPM!G196+KKD!G196+WYND!G196+KNR!G196+KSRGD!G196+SHS!G196</f>
        <v>0</v>
      </c>
      <c r="H196" s="24">
        <f>TVM!H196+KLM!H196+PTA!H196+ALP!H196+KTYM!H196+IDK!H196+EKM!H196+TSR!H196+PLKD!H196+MLPM!H196+KKD!H196+WYND!H196+KNR!H196+KSRGD!H196+SHS!H196</f>
        <v>0</v>
      </c>
      <c r="I196" s="24">
        <f>TVM!I196+KLM!I196+PTA!I196+ALP!I196+KTYM!I196+IDK!I196+EKM!I196+TSR!I196+PLKD!I196+MLPM!I196+KKD!I196+WYND!I196+KNR!I196+KSRGD!I196+SHS!I196</f>
        <v>0</v>
      </c>
      <c r="J196" s="24">
        <f>TVM!J196+KLM!J196+PTA!J196+ALP!J196+KTYM!J196+IDK!J196+EKM!J196+TSR!J196+PLKD!J196+MLPM!J196+KKD!J196+WYND!J196+KNR!J196+KSRGD!J196+SHS!J196</f>
        <v>0</v>
      </c>
      <c r="K196" s="24">
        <f>TVM!K196+KLM!K196+PTA!K196+ALP!K196+KTYM!K196+IDK!K196+EKM!K196+TSR!K196+PLKD!K196+MLPM!K196+KKD!K196+WYND!K196+KNR!K196+KSRGD!K196+SHS!K196</f>
        <v>0</v>
      </c>
      <c r="L196" s="24">
        <f>TVM!L196+KLM!L196+PTA!L196+ALP!L196+KTYM!L196+IDK!L196+EKM!L196+TSR!L196+PLKD!L196+MLPM!L196+KKD!L196+WYND!L196+KNR!L196+KSRGD!L196+SHS!L196</f>
        <v>0</v>
      </c>
      <c r="M196" s="24">
        <f>TVM!M196+KLM!M196+PTA!M196+ALP!M196+KTYM!M196+IDK!M196+EKM!M196+TSR!M196+PLKD!M196+MLPM!M196+KKD!M196+WYND!M196+KNR!M196+KSRGD!M196+SHS!M196</f>
        <v>0</v>
      </c>
      <c r="N196" s="24">
        <f>TVM!N196+KLM!N196+PTA!N196+ALP!N196+KTYM!N196+IDK!N196+EKM!N196+TSR!N196+PLKD!N196+MLPM!N196+KKD!N196+WYND!N196+KNR!N196+KSRGD!N196+SHS!N196</f>
        <v>0</v>
      </c>
      <c r="O196" s="24">
        <f>TVM!O196+KLM!O196+PTA!O196+ALP!O196+KTYM!O196+IDK!O196+EKM!O196+TSR!O196+PLKD!O196+MLPM!O196+KKD!O196+WYND!O196+KNR!O196+KSRGD!O196+SHS!O196</f>
        <v>0</v>
      </c>
      <c r="P196" s="24">
        <f>TVM!P196+KLM!P196+PTA!P196+ALP!P196+KTYM!P196+IDK!P196+EKM!P196+TSR!P196+PLKD!P196+MLPM!P196+KKD!P196+WYND!P196+KNR!P196+KSRGD!P196+SHS!P196</f>
        <v>0</v>
      </c>
      <c r="Q196" s="24">
        <f>TVM!Q196+KLM!Q196+PTA!Q196+ALP!Q196+KTYM!Q196+IDK!Q196+EKM!Q196+TSR!Q196+PLKD!Q196+MLPM!Q196+KKD!Q196+WYND!Q196+KNR!Q196+KSRGD!Q196+SHS!Q196</f>
        <v>0</v>
      </c>
      <c r="R196" s="24">
        <f>TVM!R196+KLM!R196+PTA!R196+ALP!R196+KTYM!R196+IDK!R196+EKM!R196+TSR!R196+PLKD!R196+MLPM!R196+KKD!R196+WYND!R196+KNR!R196+KSRGD!R196+SHS!R196</f>
        <v>0</v>
      </c>
      <c r="S196" s="24">
        <f>TVM!S196+KLM!S196+PTA!S196+ALP!S196+KTYM!S196+IDK!S196+EKM!S196+TSR!S196+PLKD!S196+MLPM!S196+KKD!S196+WYND!S196+KNR!S196+KSRGD!S196+SHS!S196</f>
        <v>0</v>
      </c>
      <c r="T196" s="6">
        <f t="shared" si="4"/>
        <v>0</v>
      </c>
      <c r="U196" s="9"/>
      <c r="V196" s="32"/>
      <c r="W196" s="1"/>
      <c r="X196" s="1"/>
      <c r="Y196" s="1"/>
      <c r="Z196" s="1"/>
    </row>
    <row r="197" spans="1:26" ht="39.75" customHeight="1">
      <c r="A197" s="171"/>
      <c r="B197" s="171"/>
      <c r="C197" s="171"/>
      <c r="D197" s="5">
        <v>188</v>
      </c>
      <c r="E197" s="5" t="s">
        <v>275</v>
      </c>
      <c r="F197" s="24">
        <f>TVM!F197+KLM!F197+PTA!F197+ALP!F197+KTYM!F197+IDK!F197+EKM!F197+TSR!F197+PLKD!F197+MLPM!F197+KKD!F197+WYND!F197+KNR!F197+KSRGD!F197+SHS!F197</f>
        <v>0</v>
      </c>
      <c r="G197" s="24">
        <f>TVM!G197+KLM!G197+PTA!G197+ALP!G197+KTYM!G197+IDK!G197+EKM!G197+TSR!G197+PLKD!G197+MLPM!G197+KKD!G197+WYND!G197+KNR!G197+KSRGD!G197+SHS!G197</f>
        <v>0</v>
      </c>
      <c r="H197" s="24">
        <f>TVM!H197+KLM!H197+PTA!H197+ALP!H197+KTYM!H197+IDK!H197+EKM!H197+TSR!H197+PLKD!H197+MLPM!H197+KKD!H197+WYND!H197+KNR!H197+KSRGD!H197+SHS!H197</f>
        <v>0</v>
      </c>
      <c r="I197" s="24">
        <f>TVM!I197+KLM!I197+PTA!I197+ALP!I197+KTYM!I197+IDK!I197+EKM!I197+TSR!I197+PLKD!I197+MLPM!I197+KKD!I197+WYND!I197+KNR!I197+KSRGD!I197+SHS!I197</f>
        <v>0</v>
      </c>
      <c r="J197" s="24">
        <f>TVM!J197+KLM!J197+PTA!J197+ALP!J197+KTYM!J197+IDK!J197+EKM!J197+TSR!J197+PLKD!J197+MLPM!J197+KKD!J197+WYND!J197+KNR!J197+KSRGD!J197+SHS!J197</f>
        <v>0</v>
      </c>
      <c r="K197" s="24">
        <f>TVM!K197+KLM!K197+PTA!K197+ALP!K197+KTYM!K197+IDK!K197+EKM!K197+TSR!K197+PLKD!K197+MLPM!K197+KKD!K197+WYND!K197+KNR!K197+KSRGD!K197+SHS!K197</f>
        <v>0</v>
      </c>
      <c r="L197" s="24">
        <f>TVM!L197+KLM!L197+PTA!L197+ALP!L197+KTYM!L197+IDK!L197+EKM!L197+TSR!L197+PLKD!L197+MLPM!L197+KKD!L197+WYND!L197+KNR!L197+KSRGD!L197+SHS!L197</f>
        <v>0</v>
      </c>
      <c r="M197" s="24">
        <f>TVM!M197+KLM!M197+PTA!M197+ALP!M197+KTYM!M197+IDK!M197+EKM!M197+TSR!M197+PLKD!M197+MLPM!M197+KKD!M197+WYND!M197+KNR!M197+KSRGD!M197+SHS!M197</f>
        <v>0</v>
      </c>
      <c r="N197" s="24">
        <f>TVM!N197+KLM!N197+PTA!N197+ALP!N197+KTYM!N197+IDK!N197+EKM!N197+TSR!N197+PLKD!N197+MLPM!N197+KKD!N197+WYND!N197+KNR!N197+KSRGD!N197+SHS!N197</f>
        <v>0</v>
      </c>
      <c r="O197" s="24">
        <f>TVM!O197+KLM!O197+PTA!O197+ALP!O197+KTYM!O197+IDK!O197+EKM!O197+TSR!O197+PLKD!O197+MLPM!O197+KKD!O197+WYND!O197+KNR!O197+KSRGD!O197+SHS!O197</f>
        <v>0</v>
      </c>
      <c r="P197" s="24">
        <f>TVM!P197+KLM!P197+PTA!P197+ALP!P197+KTYM!P197+IDK!P197+EKM!P197+TSR!P197+PLKD!P197+MLPM!P197+KKD!P197+WYND!P197+KNR!P197+KSRGD!P197+SHS!P197</f>
        <v>0</v>
      </c>
      <c r="Q197" s="24">
        <f>TVM!Q197+KLM!Q197+PTA!Q197+ALP!Q197+KTYM!Q197+IDK!Q197+EKM!Q197+TSR!Q197+PLKD!Q197+MLPM!Q197+KKD!Q197+WYND!Q197+KNR!Q197+KSRGD!Q197+SHS!Q197</f>
        <v>0</v>
      </c>
      <c r="R197" s="24">
        <f>TVM!R197+KLM!R197+PTA!R197+ALP!R197+KTYM!R197+IDK!R197+EKM!R197+TSR!R197+PLKD!R197+MLPM!R197+KKD!R197+WYND!R197+KNR!R197+KSRGD!R197+SHS!R197</f>
        <v>0</v>
      </c>
      <c r="S197" s="24">
        <f>TVM!S197+KLM!S197+PTA!S197+ALP!S197+KTYM!S197+IDK!S197+EKM!S197+TSR!S197+PLKD!S197+MLPM!S197+KKD!S197+WYND!S197+KNR!S197+KSRGD!S197+SHS!S197</f>
        <v>0</v>
      </c>
      <c r="T197" s="6">
        <f t="shared" si="4"/>
        <v>0</v>
      </c>
      <c r="U197" s="9"/>
      <c r="V197" s="32"/>
      <c r="W197" s="1"/>
      <c r="X197" s="1"/>
      <c r="Y197" s="1"/>
      <c r="Z197" s="1"/>
    </row>
    <row r="198" spans="1:26" ht="39.75" customHeight="1">
      <c r="A198" s="171"/>
      <c r="B198" s="171"/>
      <c r="C198" s="171"/>
      <c r="D198" s="5">
        <v>189</v>
      </c>
      <c r="E198" s="5" t="s">
        <v>276</v>
      </c>
      <c r="F198" s="24">
        <f>TVM!F198+KLM!F198+PTA!F198+ALP!F198+KTYM!F198+IDK!F198+EKM!F198+TSR!F198+PLKD!F198+MLPM!F198+KKD!F198+WYND!F198+KNR!F198+KSRGD!F198+SHS!F198</f>
        <v>0</v>
      </c>
      <c r="G198" s="24">
        <f>TVM!G198+KLM!G198+PTA!G198+ALP!G198+KTYM!G198+IDK!G198+EKM!G198+TSR!G198+PLKD!G198+MLPM!G198+KKD!G198+WYND!G198+KNR!G198+KSRGD!G198+SHS!G198</f>
        <v>0</v>
      </c>
      <c r="H198" s="24">
        <f>TVM!H198+KLM!H198+PTA!H198+ALP!H198+KTYM!H198+IDK!H198+EKM!H198+TSR!H198+PLKD!H198+MLPM!H198+KKD!H198+WYND!H198+KNR!H198+KSRGD!H198+SHS!H198</f>
        <v>0</v>
      </c>
      <c r="I198" s="24">
        <f>TVM!I198+KLM!I198+PTA!I198+ALP!I198+KTYM!I198+IDK!I198+EKM!I198+TSR!I198+PLKD!I198+MLPM!I198+KKD!I198+WYND!I198+KNR!I198+KSRGD!I198+SHS!I198</f>
        <v>0</v>
      </c>
      <c r="J198" s="24">
        <f>TVM!J198+KLM!J198+PTA!J198+ALP!J198+KTYM!J198+IDK!J198+EKM!J198+TSR!J198+PLKD!J198+MLPM!J198+KKD!J198+WYND!J198+KNR!J198+KSRGD!J198+SHS!J198</f>
        <v>0</v>
      </c>
      <c r="K198" s="24">
        <f>TVM!K198+KLM!K198+PTA!K198+ALP!K198+KTYM!K198+IDK!K198+EKM!K198+TSR!K198+PLKD!K198+MLPM!K198+KKD!K198+WYND!K198+KNR!K198+KSRGD!K198+SHS!K198</f>
        <v>0</v>
      </c>
      <c r="L198" s="24">
        <f>TVM!L198+KLM!L198+PTA!L198+ALP!L198+KTYM!L198+IDK!L198+EKM!L198+TSR!L198+PLKD!L198+MLPM!L198+KKD!L198+WYND!L198+KNR!L198+KSRGD!L198+SHS!L198</f>
        <v>0</v>
      </c>
      <c r="M198" s="24">
        <f>TVM!M198+KLM!M198+PTA!M198+ALP!M198+KTYM!M198+IDK!M198+EKM!M198+TSR!M198+PLKD!M198+MLPM!M198+KKD!M198+WYND!M198+KNR!M198+KSRGD!M198+SHS!M198</f>
        <v>0</v>
      </c>
      <c r="N198" s="24">
        <f>TVM!N198+KLM!N198+PTA!N198+ALP!N198+KTYM!N198+IDK!N198+EKM!N198+TSR!N198+PLKD!N198+MLPM!N198+KKD!N198+WYND!N198+KNR!N198+KSRGD!N198+SHS!N198</f>
        <v>0</v>
      </c>
      <c r="O198" s="24">
        <f>TVM!O198+KLM!O198+PTA!O198+ALP!O198+KTYM!O198+IDK!O198+EKM!O198+TSR!O198+PLKD!O198+MLPM!O198+KKD!O198+WYND!O198+KNR!O198+KSRGD!O198+SHS!O198</f>
        <v>0</v>
      </c>
      <c r="P198" s="24">
        <f>TVM!P198+KLM!P198+PTA!P198+ALP!P198+KTYM!P198+IDK!P198+EKM!P198+TSR!P198+PLKD!P198+MLPM!P198+KKD!P198+WYND!P198+KNR!P198+KSRGD!P198+SHS!P198</f>
        <v>0</v>
      </c>
      <c r="Q198" s="24">
        <f>TVM!Q198+KLM!Q198+PTA!Q198+ALP!Q198+KTYM!Q198+IDK!Q198+EKM!Q198+TSR!Q198+PLKD!Q198+MLPM!Q198+KKD!Q198+WYND!Q198+KNR!Q198+KSRGD!Q198+SHS!Q198</f>
        <v>0</v>
      </c>
      <c r="R198" s="24">
        <f>TVM!R198+KLM!R198+PTA!R198+ALP!R198+KTYM!R198+IDK!R198+EKM!R198+TSR!R198+PLKD!R198+MLPM!R198+KKD!R198+WYND!R198+KNR!R198+KSRGD!R198+SHS!R198</f>
        <v>0</v>
      </c>
      <c r="S198" s="24">
        <f>TVM!S198+KLM!S198+PTA!S198+ALP!S198+KTYM!S198+IDK!S198+EKM!S198+TSR!S198+PLKD!S198+MLPM!S198+KKD!S198+WYND!S198+KNR!S198+KSRGD!S198+SHS!S198</f>
        <v>0</v>
      </c>
      <c r="T198" s="6">
        <f t="shared" si="4"/>
        <v>0</v>
      </c>
      <c r="U198" s="9"/>
      <c r="V198" s="32"/>
      <c r="W198" s="1"/>
      <c r="X198" s="1"/>
      <c r="Y198" s="1"/>
      <c r="Z198" s="1"/>
    </row>
    <row r="199" spans="1:26" ht="39.75" customHeight="1">
      <c r="A199" s="171"/>
      <c r="B199" s="169"/>
      <c r="C199" s="169"/>
      <c r="D199" s="5">
        <v>190</v>
      </c>
      <c r="E199" s="5" t="s">
        <v>340</v>
      </c>
      <c r="F199" s="24">
        <f>TVM!F199+KLM!F199+PTA!F199+ALP!F199+KTYM!F199+IDK!F199+EKM!F199+TSR!F199+PLKD!F199+MLPM!F199+KKD!F199+WYND!F199+KNR!F199+KSRGD!F199+SHS!F199</f>
        <v>0</v>
      </c>
      <c r="G199" s="24">
        <f>TVM!G199+KLM!G199+PTA!G199+ALP!G199+KTYM!G199+IDK!G199+EKM!G199+TSR!G199+PLKD!G199+MLPM!G199+KKD!G199+WYND!G199+KNR!G199+KSRGD!G199+SHS!G199</f>
        <v>0</v>
      </c>
      <c r="H199" s="24">
        <f>TVM!H199+KLM!H199+PTA!H199+ALP!H199+KTYM!H199+IDK!H199+EKM!H199+TSR!H199+PLKD!H199+MLPM!H199+KKD!H199+WYND!H199+KNR!H199+KSRGD!H199+SHS!H199</f>
        <v>0</v>
      </c>
      <c r="I199" s="24">
        <f>TVM!I199+KLM!I199+PTA!I199+ALP!I199+KTYM!I199+IDK!I199+EKM!I199+TSR!I199+PLKD!I199+MLPM!I199+KKD!I199+WYND!I199+KNR!I199+KSRGD!I199+SHS!I199</f>
        <v>0</v>
      </c>
      <c r="J199" s="24">
        <f>TVM!J199+KLM!J199+PTA!J199+ALP!J199+KTYM!J199+IDK!J199+EKM!J199+TSR!J199+PLKD!J199+MLPM!J199+KKD!J199+WYND!J199+KNR!J199+KSRGD!J199+SHS!J199</f>
        <v>0</v>
      </c>
      <c r="K199" s="24">
        <f>TVM!K199+KLM!K199+PTA!K199+ALP!K199+KTYM!K199+IDK!K199+EKM!K199+TSR!K199+PLKD!K199+MLPM!K199+KKD!K199+WYND!K199+KNR!K199+KSRGD!K199+SHS!K199</f>
        <v>0</v>
      </c>
      <c r="L199" s="24">
        <f>TVM!L199+KLM!L199+PTA!L199+ALP!L199+KTYM!L199+IDK!L199+EKM!L199+TSR!L199+PLKD!L199+MLPM!L199+KKD!L199+WYND!L199+KNR!L199+KSRGD!L199+SHS!L199</f>
        <v>0</v>
      </c>
      <c r="M199" s="24">
        <f>TVM!M199+KLM!M199+PTA!M199+ALP!M199+KTYM!M199+IDK!M199+EKM!M199+TSR!M199+PLKD!M199+MLPM!M199+KKD!M199+WYND!M199+KNR!M199+KSRGD!M199+SHS!M199</f>
        <v>0</v>
      </c>
      <c r="N199" s="24">
        <f>TVM!N199+KLM!N199+PTA!N199+ALP!N199+KTYM!N199+IDK!N199+EKM!N199+TSR!N199+PLKD!N199+MLPM!N199+KKD!N199+WYND!N199+KNR!N199+KSRGD!N199+SHS!N199</f>
        <v>0</v>
      </c>
      <c r="O199" s="24">
        <f>TVM!O199+KLM!O199+PTA!O199+ALP!O199+KTYM!O199+IDK!O199+EKM!O199+TSR!O199+PLKD!O199+MLPM!O199+KKD!O199+WYND!O199+KNR!O199+KSRGD!O199+SHS!O199</f>
        <v>0</v>
      </c>
      <c r="P199" s="31">
        <f>TVM!P199+KLM!P199+PTA!P199+ALP!P199+KTYM!P199+IDK!P199+EKM!P199+TSR!P199+PLKD!P199+MLPM!P199+KKD!P199+WYND!P199+KNR!P199+KSRGD!P199+SHS!P199</f>
        <v>1.43</v>
      </c>
      <c r="Q199" s="24">
        <f>TVM!Q199+KLM!Q199+PTA!Q199+ALP!Q199+KTYM!Q199+IDK!Q199+EKM!Q199+TSR!Q199+PLKD!Q199+MLPM!Q199+KKD!Q199+WYND!Q199+KNR!Q199+KSRGD!Q199+SHS!Q199</f>
        <v>7</v>
      </c>
      <c r="R199" s="24">
        <f>TVM!R199+KLM!R199+PTA!R199+ALP!R199+KTYM!R199+IDK!R199+EKM!R199+TSR!R199+PLKD!R199+MLPM!R199+KKD!R199+WYND!R199+KNR!R199+KSRGD!R199+SHS!R199</f>
        <v>0</v>
      </c>
      <c r="S199" s="24">
        <f>TVM!S199+KLM!S199+PTA!S199+ALP!S199+KTYM!S199+IDK!S199+EKM!S199+TSR!S199+PLKD!S199+MLPM!S199+KKD!S199+WYND!S199+KNR!S199+KSRGD!S199+SHS!S199</f>
        <v>0</v>
      </c>
      <c r="T199" s="6">
        <f t="shared" si="4"/>
        <v>8.43</v>
      </c>
      <c r="U199" s="9"/>
      <c r="V199" s="32"/>
      <c r="W199" s="1"/>
      <c r="X199" s="1"/>
      <c r="Y199" s="1"/>
      <c r="Z199" s="1"/>
    </row>
    <row r="200" spans="1:26" ht="39.75" customHeight="1">
      <c r="A200" s="171"/>
      <c r="B200" s="168" t="s">
        <v>341</v>
      </c>
      <c r="C200" s="168" t="s">
        <v>342</v>
      </c>
      <c r="D200" s="5">
        <v>191</v>
      </c>
      <c r="E200" s="5" t="s">
        <v>343</v>
      </c>
      <c r="F200" s="24">
        <f>TVM!F200+KLM!F200+PTA!F200+ALP!F200+KTYM!F200+IDK!F200+EKM!F200+TSR!F200+PLKD!F200+MLPM!F200+KKD!F200+WYND!F200+KNR!F200+KSRGD!F200+SHS!F200</f>
        <v>0</v>
      </c>
      <c r="G200" s="24">
        <f>TVM!G200+KLM!G200+PTA!G200+ALP!G200+KTYM!G200+IDK!G200+EKM!G200+TSR!G200+PLKD!G200+MLPM!G200+KKD!G200+WYND!G200+KNR!G200+KSRGD!G200+SHS!G200</f>
        <v>0</v>
      </c>
      <c r="H200" s="24">
        <f>TVM!H200+KLM!H200+PTA!H200+ALP!H200+KTYM!H200+IDK!H200+EKM!H200+TSR!H200+PLKD!H200+MLPM!H200+KKD!H200+WYND!H200+KNR!H200+KSRGD!H200+SHS!H200</f>
        <v>0</v>
      </c>
      <c r="I200" s="24">
        <f>TVM!I200+KLM!I200+PTA!I200+ALP!I200+KTYM!I200+IDK!I200+EKM!I200+TSR!I200+PLKD!I200+MLPM!I200+KKD!I200+WYND!I200+KNR!I200+KSRGD!I200+SHS!I200</f>
        <v>0</v>
      </c>
      <c r="J200" s="24">
        <f>TVM!J200+KLM!J200+PTA!J200+ALP!J200+KTYM!J200+IDK!J200+EKM!J200+TSR!J200+PLKD!J200+MLPM!J200+KKD!J200+WYND!J200+KNR!J200+KSRGD!J200+SHS!J200</f>
        <v>0</v>
      </c>
      <c r="K200" s="24">
        <f>TVM!K200+KLM!K200+PTA!K200+ALP!K200+KTYM!K200+IDK!K200+EKM!K200+TSR!K200+PLKD!K200+MLPM!K200+KKD!K200+WYND!K200+KNR!K200+KSRGD!K200+SHS!K200</f>
        <v>0</v>
      </c>
      <c r="L200" s="24">
        <f>TVM!L200+KLM!L200+PTA!L200+ALP!L200+KTYM!L200+IDK!L200+EKM!L200+TSR!L200+PLKD!L200+MLPM!L200+KKD!L200+WYND!L200+KNR!L200+KSRGD!L200+SHS!L200</f>
        <v>0</v>
      </c>
      <c r="M200" s="24">
        <f>TVM!M200+KLM!M200+PTA!M200+ALP!M200+KTYM!M200+IDK!M200+EKM!M200+TSR!M200+PLKD!M200+MLPM!M200+KKD!M200+WYND!M200+KNR!M200+KSRGD!M200+SHS!M200</f>
        <v>0</v>
      </c>
      <c r="N200" s="27">
        <f>TVM!N200+KLM!N200+PTA!N200+ALP!N200+KTYM!N200+IDK!N200+EKM!N200+TSR!N200+PLKD!N200+MLPM!N200+KKD!N200+WYND!N200+KNR!N200+KSRGD!N200+SHS!N200</f>
        <v>115.25</v>
      </c>
      <c r="O200" s="24">
        <f>TVM!O200+KLM!O200+PTA!O200+ALP!O200+KTYM!O200+IDK!O200+EKM!O200+TSR!O200+PLKD!O200+MLPM!O200+KKD!O200+WYND!O200+KNR!O200+KSRGD!O200+SHS!O200</f>
        <v>0</v>
      </c>
      <c r="P200" s="24">
        <f>TVM!P200+KLM!P200+PTA!P200+ALP!P200+KTYM!P200+IDK!P200+EKM!P200+TSR!P200+PLKD!P200+MLPM!P200+KKD!P200+WYND!P200+KNR!P200+KSRGD!P200+SHS!P200</f>
        <v>0</v>
      </c>
      <c r="Q200" s="24">
        <f>TVM!Q200+KLM!Q200+PTA!Q200+ALP!Q200+KTYM!Q200+IDK!Q200+EKM!Q200+TSR!Q200+PLKD!Q200+MLPM!Q200+KKD!Q200+WYND!Q200+KNR!Q200+KSRGD!Q200+SHS!Q200</f>
        <v>0</v>
      </c>
      <c r="R200" s="24">
        <f>TVM!R200+KLM!R200+PTA!R200+ALP!R200+KTYM!R200+IDK!R200+EKM!R200+TSR!R200+PLKD!R200+MLPM!R200+KKD!R200+WYND!R200+KNR!R200+KSRGD!R200+SHS!R200</f>
        <v>0</v>
      </c>
      <c r="S200" s="24">
        <f>TVM!S200+KLM!S200+PTA!S200+ALP!S200+KTYM!S200+IDK!S200+EKM!S200+TSR!S200+PLKD!S200+MLPM!S200+KKD!S200+WYND!S200+KNR!S200+KSRGD!S200+SHS!S200</f>
        <v>0</v>
      </c>
      <c r="T200" s="6">
        <f t="shared" si="4"/>
        <v>115.25</v>
      </c>
      <c r="U200" s="9"/>
      <c r="V200" s="32"/>
      <c r="W200" s="1"/>
      <c r="X200" s="1"/>
      <c r="Y200" s="1"/>
      <c r="Z200" s="1"/>
    </row>
    <row r="201" spans="1:26" ht="39.75" customHeight="1">
      <c r="A201" s="171"/>
      <c r="B201" s="169"/>
      <c r="C201" s="169"/>
      <c r="D201" s="5">
        <v>192</v>
      </c>
      <c r="E201" s="5" t="s">
        <v>345</v>
      </c>
      <c r="F201" s="24">
        <f>TVM!F201+KLM!F201+PTA!F201+ALP!F201+KTYM!F201+IDK!F201+EKM!F201+TSR!F201+PLKD!F201+MLPM!F201+KKD!F201+WYND!F201+KNR!F201+KSRGD!F201+SHS!F201</f>
        <v>0</v>
      </c>
      <c r="G201" s="24">
        <f>TVM!G201+KLM!G201+PTA!G201+ALP!G201+KTYM!G201+IDK!G201+EKM!G201+TSR!G201+PLKD!G201+MLPM!G201+KKD!G201+WYND!G201+KNR!G201+KSRGD!G201+SHS!G201</f>
        <v>154.49</v>
      </c>
      <c r="H201" s="31">
        <f>TVM!H201+KLM!H201+PTA!H201+ALP!H201+KTYM!H201+IDK!H201+EKM!H201+TSR!H201+PLKD!H201+MLPM!H201+KKD!H201+WYND!H201+KNR!H201+KSRGD!H201+SHS!H201</f>
        <v>57</v>
      </c>
      <c r="I201" s="24">
        <f>TVM!I201+KLM!I201+PTA!I201+ALP!I201+KTYM!I201+IDK!I201+EKM!I201+TSR!I201+PLKD!I201+MLPM!I201+KKD!I201+WYND!I201+KNR!I201+KSRGD!I201+SHS!I201</f>
        <v>0</v>
      </c>
      <c r="J201" s="24">
        <f>TVM!J201+KLM!J201+PTA!J201+ALP!J201+KTYM!J201+IDK!J201+EKM!J201+TSR!J201+PLKD!J201+MLPM!J201+KKD!J201+WYND!J201+KNR!J201+KSRGD!J201+SHS!J201</f>
        <v>0</v>
      </c>
      <c r="K201" s="24">
        <f>TVM!K201+KLM!K201+PTA!K201+ALP!K201+KTYM!K201+IDK!K201+EKM!K201+TSR!K201+PLKD!K201+MLPM!K201+KKD!K201+WYND!K201+KNR!K201+KSRGD!K201+SHS!K201</f>
        <v>0</v>
      </c>
      <c r="L201" s="24">
        <f>TVM!L201+KLM!L201+PTA!L201+ALP!L201+KTYM!L201+IDK!L201+EKM!L201+TSR!L201+PLKD!L201+MLPM!L201+KKD!L201+WYND!L201+KNR!L201+KSRGD!L201+SHS!L201</f>
        <v>0</v>
      </c>
      <c r="M201" s="24">
        <f>TVM!M201+KLM!M201+PTA!M201+ALP!M201+KTYM!M201+IDK!M201+EKM!M201+TSR!M201+PLKD!M201+MLPM!M201+KKD!M201+WYND!M201+KNR!M201+KSRGD!M201+SHS!M201</f>
        <v>0</v>
      </c>
      <c r="N201" s="27">
        <f>TVM!N201+KLM!N201+PTA!N201+ALP!N201+KTYM!N201+IDK!N201+EKM!N201+TSR!N201+PLKD!N201+MLPM!N201+KKD!N201+WYND!N201+KNR!N201+KSRGD!N201+SHS!N201</f>
        <v>65.45</v>
      </c>
      <c r="O201" s="24">
        <f>TVM!O201+KLM!O201+PTA!O201+ALP!O201+KTYM!O201+IDK!O201+EKM!O201+TSR!O201+PLKD!O201+MLPM!O201+KKD!O201+WYND!O201+KNR!O201+KSRGD!O201+SHS!O201</f>
        <v>0</v>
      </c>
      <c r="P201" s="27">
        <f>TVM!P201+KLM!P201+PTA!P201+ALP!P201+KTYM!P201+IDK!P201+EKM!P201+TSR!P201+PLKD!P201+MLPM!P201+KKD!P201+WYND!P201+KNR!P201+KSRGD!P201+SHS!P201</f>
        <v>75</v>
      </c>
      <c r="Q201" s="31">
        <f>TVM!Q201+KLM!Q201+PTA!Q201+ALP!Q201+KTYM!Q201+IDK!Q201+EKM!Q201+TSR!Q201+PLKD!Q201+MLPM!Q201+KKD!Q201+WYND!Q201+KNR!Q201+KSRGD!Q201+SHS!Q201</f>
        <v>0</v>
      </c>
      <c r="R201" s="24">
        <f>TVM!R201+KLM!R201+PTA!R201+ALP!R201+KTYM!R201+IDK!R201+EKM!R201+TSR!R201+PLKD!R201+MLPM!R201+KKD!R201+WYND!R201+KNR!R201+KSRGD!R201+SHS!R201</f>
        <v>0</v>
      </c>
      <c r="S201" s="24">
        <f>TVM!S201+KLM!S201+PTA!S201+ALP!S201+KTYM!S201+IDK!S201+EKM!S201+TSR!S201+PLKD!S201+MLPM!S201+KKD!S201+WYND!S201+KNR!S201+KSRGD!S201+SHS!S201</f>
        <v>0</v>
      </c>
      <c r="T201" s="6">
        <f t="shared" si="4"/>
        <v>351.94</v>
      </c>
      <c r="U201" s="9"/>
      <c r="V201" s="32"/>
      <c r="W201" s="1"/>
      <c r="X201" s="1"/>
      <c r="Y201" s="1"/>
      <c r="Z201" s="1"/>
    </row>
    <row r="202" spans="1:26" ht="39.75" customHeight="1">
      <c r="A202" s="171"/>
      <c r="B202" s="168" t="s">
        <v>346</v>
      </c>
      <c r="C202" s="168" t="s">
        <v>278</v>
      </c>
      <c r="D202" s="5">
        <v>193</v>
      </c>
      <c r="E202" s="5" t="s">
        <v>347</v>
      </c>
      <c r="F202" s="24">
        <f>TVM!F202+KLM!F202+PTA!F202+ALP!F202+KTYM!F202+IDK!F202+EKM!F202+TSR!F202+PLKD!F202+MLPM!F202+KKD!F202+WYND!F202+KNR!F202+KSRGD!F202+SHS!F202</f>
        <v>0</v>
      </c>
      <c r="G202" s="24">
        <f>TVM!G202+KLM!G202+PTA!G202+ALP!G202+KTYM!G202+IDK!G202+EKM!G202+TSR!G202+PLKD!G202+MLPM!G202+KKD!G202+WYND!G202+KNR!G202+KSRGD!G202+SHS!G202</f>
        <v>0</v>
      </c>
      <c r="H202" s="24">
        <f>TVM!H202+KLM!H202+PTA!H202+ALP!H202+KTYM!H202+IDK!H202+EKM!H202+TSR!H202+PLKD!H202+MLPM!H202+KKD!H202+WYND!H202+KNR!H202+KSRGD!H202+SHS!H202</f>
        <v>0</v>
      </c>
      <c r="I202" s="24">
        <f>TVM!I202+KLM!I202+PTA!I202+ALP!I202+KTYM!I202+IDK!I202+EKM!I202+TSR!I202+PLKD!I202+MLPM!I202+KKD!I202+WYND!I202+KNR!I202+KSRGD!I202+SHS!I202</f>
        <v>0</v>
      </c>
      <c r="J202" s="24">
        <f>TVM!J202+KLM!J202+PTA!J202+ALP!J202+KTYM!J202+IDK!J202+EKM!J202+TSR!J202+PLKD!J202+MLPM!J202+KKD!J202+WYND!J202+KNR!J202+KSRGD!J202+SHS!J202</f>
        <v>0</v>
      </c>
      <c r="K202" s="24">
        <f>TVM!K202+KLM!K202+PTA!K202+ALP!K202+KTYM!K202+IDK!K202+EKM!K202+TSR!K202+PLKD!K202+MLPM!K202+KKD!K202+WYND!K202+KNR!K202+KSRGD!K202+SHS!K202</f>
        <v>0</v>
      </c>
      <c r="L202" s="24">
        <f>TVM!L202+KLM!L202+PTA!L202+ALP!L202+KTYM!L202+IDK!L202+EKM!L202+TSR!L202+PLKD!L202+MLPM!L202+KKD!L202+WYND!L202+KNR!L202+KSRGD!L202+SHS!L202</f>
        <v>0</v>
      </c>
      <c r="M202" s="24">
        <f>TVM!M202+KLM!M202+PTA!M202+ALP!M202+KTYM!M202+IDK!M202+EKM!M202+TSR!M202+PLKD!M202+MLPM!M202+KKD!M202+WYND!M202+KNR!M202+KSRGD!M202+SHS!M202</f>
        <v>0</v>
      </c>
      <c r="N202" s="24">
        <f>TVM!N202+KLM!N202+PTA!N202+ALP!N202+KTYM!N202+IDK!N202+EKM!N202+TSR!N202+PLKD!N202+MLPM!N202+KKD!N202+WYND!N202+KNR!N202+KSRGD!N202+SHS!N202</f>
        <v>0</v>
      </c>
      <c r="O202" s="24">
        <f>TVM!O202+KLM!O202+PTA!O202+ALP!O202+KTYM!O202+IDK!O202+EKM!O202+TSR!O202+PLKD!O202+MLPM!O202+KKD!O202+WYND!O202+KNR!O202+KSRGD!O202+SHS!O202</f>
        <v>0</v>
      </c>
      <c r="P202" s="27">
        <f>TVM!P202+KLM!P202+PTA!P202+ALP!P202+KTYM!P202+IDK!P202+EKM!P202+TSR!P202+PLKD!P202+MLPM!P202+KKD!P202+WYND!P202+KNR!P202+KSRGD!P202+SHS!P202</f>
        <v>162.65</v>
      </c>
      <c r="Q202" s="24">
        <f>TVM!Q202+KLM!Q202+PTA!Q202+ALP!Q202+KTYM!Q202+IDK!Q202+EKM!Q202+TSR!Q202+PLKD!Q202+MLPM!Q202+KKD!Q202+WYND!Q202+KNR!Q202+KSRGD!Q202+SHS!Q202</f>
        <v>0</v>
      </c>
      <c r="R202" s="24">
        <f>TVM!R202+KLM!R202+PTA!R202+ALP!R202+KTYM!R202+IDK!R202+EKM!R202+TSR!R202+PLKD!R202+MLPM!R202+KKD!R202+WYND!R202+KNR!R202+KSRGD!R202+SHS!R202</f>
        <v>0</v>
      </c>
      <c r="S202" s="31">
        <f>TVM!S202+KLM!S202+PTA!S202+ALP!S202+KTYM!S202+IDK!S202+EKM!S202+TSR!S202+PLKD!S202+MLPM!S202+KKD!S202+WYND!S202+KNR!S202+KSRGD!S202+SHS!S202</f>
        <v>22.1</v>
      </c>
      <c r="T202" s="6">
        <f t="shared" si="4"/>
        <v>184.75</v>
      </c>
      <c r="U202" s="89"/>
      <c r="V202" s="32"/>
      <c r="W202" s="1"/>
      <c r="X202" s="1"/>
      <c r="Y202" s="1"/>
      <c r="Z202" s="1"/>
    </row>
    <row r="203" spans="1:26" ht="39.75" customHeight="1">
      <c r="A203" s="171"/>
      <c r="B203" s="169"/>
      <c r="C203" s="169"/>
      <c r="D203" s="5">
        <v>194</v>
      </c>
      <c r="E203" s="5" t="s">
        <v>279</v>
      </c>
      <c r="F203" s="24">
        <f>TVM!F203+KLM!F203+PTA!F203+ALP!F203+KTYM!F203+IDK!F203+EKM!F203+TSR!F203+PLKD!F203+MLPM!F203+KKD!F203+WYND!F203+KNR!F203+KSRGD!F203+SHS!F203</f>
        <v>0</v>
      </c>
      <c r="G203" s="24">
        <f>TVM!G203+KLM!G203+PTA!G203+ALP!G203+KTYM!G203+IDK!G203+EKM!G203+TSR!G203+PLKD!G203+MLPM!G203+KKD!G203+WYND!G203+KNR!G203+KSRGD!G203+SHS!G203</f>
        <v>0</v>
      </c>
      <c r="H203" s="24">
        <f>TVM!H203+KLM!H203+PTA!H203+ALP!H203+KTYM!H203+IDK!H203+EKM!H203+TSR!H203+PLKD!H203+MLPM!H203+KKD!H203+WYND!H203+KNR!H203+KSRGD!H203+SHS!H203</f>
        <v>0</v>
      </c>
      <c r="I203" s="24">
        <f>TVM!I203+KLM!I203+PTA!I203+ALP!I203+KTYM!I203+IDK!I203+EKM!I203+TSR!I203+PLKD!I203+MLPM!I203+KKD!I203+WYND!I203+KNR!I203+KSRGD!I203+SHS!I203</f>
        <v>0</v>
      </c>
      <c r="J203" s="24">
        <f>TVM!J203+KLM!J203+PTA!J203+ALP!J203+KTYM!J203+IDK!J203+EKM!J203+TSR!J203+PLKD!J203+MLPM!J203+KKD!J203+WYND!J203+KNR!J203+KSRGD!J203+SHS!J203</f>
        <v>0</v>
      </c>
      <c r="K203" s="24">
        <f>TVM!K203+KLM!K203+PTA!K203+ALP!K203+KTYM!K203+IDK!K203+EKM!K203+TSR!K203+PLKD!K203+MLPM!K203+KKD!K203+WYND!K203+KNR!K203+KSRGD!K203+SHS!K203</f>
        <v>0</v>
      </c>
      <c r="L203" s="24">
        <f>TVM!L203+KLM!L203+PTA!L203+ALP!L203+KTYM!L203+IDK!L203+EKM!L203+TSR!L203+PLKD!L203+MLPM!L203+KKD!L203+WYND!L203+KNR!L203+KSRGD!L203+SHS!L203</f>
        <v>0</v>
      </c>
      <c r="M203" s="24">
        <f>TVM!M203+KLM!M203+PTA!M203+ALP!M203+KTYM!M203+IDK!M203+EKM!M203+TSR!M203+PLKD!M203+MLPM!M203+KKD!M203+WYND!M203+KNR!M203+KSRGD!M203+SHS!M203</f>
        <v>0</v>
      </c>
      <c r="N203" s="27">
        <f>TVM!N203+KLM!N203+PTA!N203+ALP!N203+KTYM!N203+IDK!N203+EKM!N203+TSR!N203+PLKD!N203+MLPM!N203+KKD!N203+WYND!N203+KNR!N203+KSRGD!N203+SHS!N203</f>
        <v>25</v>
      </c>
      <c r="O203" s="24">
        <f>TVM!O203+KLM!O203+PTA!O203+ALP!O203+KTYM!O203+IDK!O203+EKM!O203+TSR!O203+PLKD!O203+MLPM!O203+KKD!O203+WYND!O203+KNR!O203+KSRGD!O203+SHS!O203</f>
        <v>0</v>
      </c>
      <c r="P203" s="24">
        <f>TVM!P203+KLM!P203+PTA!P203+ALP!P203+KTYM!P203+IDK!P203+EKM!P203+TSR!P203+PLKD!P203+MLPM!P203+KKD!P203+WYND!P203+KNR!P203+KSRGD!P203+SHS!P203</f>
        <v>0</v>
      </c>
      <c r="Q203" s="27">
        <f>TVM!Q203+KLM!Q203+PTA!Q203+ALP!Q203+KTYM!Q203+IDK!Q203+EKM!Q203+TSR!Q203+PLKD!Q203+MLPM!Q203+KKD!Q203+WYND!Q203+KNR!Q203+KSRGD!Q203+SHS!Q203</f>
        <v>1</v>
      </c>
      <c r="R203" s="27">
        <f>TVM!R203+KLM!R203+PTA!R203+ALP!R203+KTYM!R203+IDK!R203+EKM!R203+TSR!R203+PLKD!R203+MLPM!R203+KKD!R203+WYND!R203+KNR!R203+KSRGD!R203+SHS!R203</f>
        <v>1233.8400000000001</v>
      </c>
      <c r="S203" s="24">
        <f>TVM!S203+KLM!S203+PTA!S203+ALP!S203+KTYM!S203+IDK!S203+EKM!S203+TSR!S203+PLKD!S203+MLPM!S203+KKD!S203+WYND!S203+KNR!S203+KSRGD!S203+SHS!S203</f>
        <v>0</v>
      </c>
      <c r="T203" s="73">
        <f t="shared" si="4"/>
        <v>1259.8400000000001</v>
      </c>
      <c r="U203" s="91"/>
      <c r="V203" s="32"/>
      <c r="W203" s="1"/>
      <c r="X203" s="1"/>
      <c r="Y203" s="1"/>
      <c r="Z203" s="1"/>
    </row>
    <row r="204" spans="1:26" ht="39.75" customHeight="1">
      <c r="A204" s="171"/>
      <c r="B204" s="168" t="s">
        <v>348</v>
      </c>
      <c r="C204" s="168" t="s">
        <v>349</v>
      </c>
      <c r="D204" s="5">
        <v>195</v>
      </c>
      <c r="E204" s="5" t="s">
        <v>350</v>
      </c>
      <c r="F204" s="24">
        <f>TVM!F204+KLM!F204+PTA!F204+ALP!F204+KTYM!F204+IDK!F204+EKM!F204+TSR!F204+PLKD!F204+MLPM!F204+KKD!F204+WYND!F204+KNR!F204+KSRGD!F204+SHS!F204</f>
        <v>0</v>
      </c>
      <c r="G204" s="24">
        <f>TVM!G204+KLM!G204+PTA!G204+ALP!G204+KTYM!G204+IDK!G204+EKM!G204+TSR!G204+PLKD!G204+MLPM!G204+KKD!G204+WYND!G204+KNR!G204+KSRGD!G204+SHS!G204</f>
        <v>0</v>
      </c>
      <c r="H204" s="24">
        <f>TVM!H204+KLM!H204+PTA!H204+ALP!H204+KTYM!H204+IDK!H204+EKM!H204+TSR!H204+PLKD!H204+MLPM!H204+KKD!H204+WYND!H204+KNR!H204+KSRGD!H204+SHS!H204</f>
        <v>0</v>
      </c>
      <c r="I204" s="24">
        <f>TVM!I204+KLM!I204+PTA!I204+ALP!I204+KTYM!I204+IDK!I204+EKM!I204+TSR!I204+PLKD!I204+MLPM!I204+KKD!I204+WYND!I204+KNR!I204+KSRGD!I204+SHS!I204</f>
        <v>0</v>
      </c>
      <c r="J204" s="24">
        <f>TVM!J204+KLM!J204+PTA!J204+ALP!J204+KTYM!J204+IDK!J204+EKM!J204+TSR!J204+PLKD!J204+MLPM!J204+KKD!J204+WYND!J204+KNR!J204+KSRGD!J204+SHS!J204</f>
        <v>0</v>
      </c>
      <c r="K204" s="24">
        <f>TVM!K204+KLM!K204+PTA!K204+ALP!K204+KTYM!K204+IDK!K204+EKM!K204+TSR!K204+PLKD!K204+MLPM!K204+KKD!K204+WYND!K204+KNR!K204+KSRGD!K204+SHS!K204</f>
        <v>0</v>
      </c>
      <c r="L204" s="24">
        <f>TVM!L204+KLM!L204+PTA!L204+ALP!L204+KTYM!L204+IDK!L204+EKM!L204+TSR!L204+PLKD!L204+MLPM!L204+KKD!L204+WYND!L204+KNR!L204+KSRGD!L204+SHS!L204</f>
        <v>0</v>
      </c>
      <c r="M204" s="24">
        <f>TVM!M204+KLM!M204+PTA!M204+ALP!M204+KTYM!M204+IDK!M204+EKM!M204+TSR!M204+PLKD!M204+MLPM!M204+KKD!M204+WYND!M204+KNR!M204+KSRGD!M204+SHS!M204</f>
        <v>0</v>
      </c>
      <c r="N204" s="24">
        <f>TVM!N204+KLM!N204+PTA!N204+ALP!N204+KTYM!N204+IDK!N204+EKM!N204+TSR!N204+PLKD!N204+MLPM!N204+KKD!N204+WYND!N204+KNR!N204+KSRGD!N204+SHS!N204</f>
        <v>0</v>
      </c>
      <c r="O204" s="24">
        <f>TVM!O204+KLM!O204+PTA!O204+ALP!O204+KTYM!O204+IDK!O204+EKM!O204+TSR!O204+PLKD!O204+MLPM!O204+KKD!O204+WYND!O204+KNR!O204+KSRGD!O204+SHS!O204</f>
        <v>0</v>
      </c>
      <c r="P204" s="27">
        <f>TVM!P204+KLM!P204+PTA!P204+ALP!P204+KTYM!P204+IDK!P204+EKM!P204+TSR!P204+PLKD!P204+MLPM!P204+KKD!P204+WYND!P204+KNR!P204+KSRGD!P204+SHS!P204</f>
        <v>19.3</v>
      </c>
      <c r="Q204" s="31">
        <f>TVM!Q204+KLM!Q204+PTA!Q204+ALP!Q204+KTYM!Q204+IDK!Q204+EKM!Q204+TSR!Q204+PLKD!Q204+MLPM!Q204+KKD!Q204+WYND!Q204+KNR!Q204+KSRGD!Q204+SHS!Q204</f>
        <v>34</v>
      </c>
      <c r="R204" s="27">
        <f>TVM!R204+KLM!R204+PTA!R204+ALP!R204+KTYM!R204+IDK!R204+EKM!R204+TSR!R204+PLKD!R204+MLPM!R204+KKD!R204+WYND!R204+KNR!R204+KSRGD!R204+SHS!R204</f>
        <v>28.000000000000004</v>
      </c>
      <c r="S204" s="24">
        <f>TVM!S204+KLM!S204+PTA!S204+ALP!S204+KTYM!S204+IDK!S204+EKM!S204+TSR!S204+PLKD!S204+MLPM!S204+KKD!S204+WYND!S204+KNR!S204+KSRGD!S204+SHS!S204</f>
        <v>0</v>
      </c>
      <c r="T204" s="73">
        <f t="shared" si="4"/>
        <v>81.3</v>
      </c>
      <c r="U204" s="162"/>
      <c r="V204" s="32"/>
      <c r="W204" s="1"/>
      <c r="X204" s="1"/>
      <c r="Y204" s="1"/>
      <c r="Z204" s="1"/>
    </row>
    <row r="205" spans="1:26" ht="39.75" customHeight="1">
      <c r="A205" s="171"/>
      <c r="B205" s="171"/>
      <c r="C205" s="171"/>
      <c r="D205" s="5">
        <v>196</v>
      </c>
      <c r="E205" s="5" t="s">
        <v>352</v>
      </c>
      <c r="F205" s="24">
        <f>TVM!F205+KLM!F205+PTA!F205+ALP!F205+KTYM!F205+IDK!F205+EKM!F205+TSR!F205+PLKD!F205+MLPM!F205+KKD!F205+WYND!F205+KNR!F205+KSRGD!F205+SHS!F205</f>
        <v>0</v>
      </c>
      <c r="G205" s="24">
        <f>TVM!G205+KLM!G205+PTA!G205+ALP!G205+KTYM!G205+IDK!G205+EKM!G205+TSR!G205+PLKD!G205+MLPM!G205+KKD!G205+WYND!G205+KNR!G205+KSRGD!G205+SHS!G205</f>
        <v>0</v>
      </c>
      <c r="H205" s="24">
        <f>TVM!H205+KLM!H205+PTA!H205+ALP!H205+KTYM!H205+IDK!H205+EKM!H205+TSR!H205+PLKD!H205+MLPM!H205+KKD!H205+WYND!H205+KNR!H205+KSRGD!H205+SHS!H205</f>
        <v>0</v>
      </c>
      <c r="I205" s="24">
        <f>TVM!I205+KLM!I205+PTA!I205+ALP!I205+KTYM!I205+IDK!I205+EKM!I205+TSR!I205+PLKD!I205+MLPM!I205+KKD!I205+WYND!I205+KNR!I205+KSRGD!I205+SHS!I205</f>
        <v>0</v>
      </c>
      <c r="J205" s="24">
        <f>TVM!J205+KLM!J205+PTA!J205+ALP!J205+KTYM!J205+IDK!J205+EKM!J205+TSR!J205+PLKD!J205+MLPM!J205+KKD!J205+WYND!J205+KNR!J205+KSRGD!J205+SHS!J205</f>
        <v>0</v>
      </c>
      <c r="K205" s="24">
        <f>TVM!K205+KLM!K205+PTA!K205+ALP!K205+KTYM!K205+IDK!K205+EKM!K205+TSR!K205+PLKD!K205+MLPM!K205+KKD!K205+WYND!K205+KNR!K205+KSRGD!K205+SHS!K205</f>
        <v>0</v>
      </c>
      <c r="L205" s="24">
        <f>TVM!L205+KLM!L205+PTA!L205+ALP!L205+KTYM!L205+IDK!L205+EKM!L205+TSR!L205+PLKD!L205+MLPM!L205+KKD!L205+WYND!L205+KNR!L205+KSRGD!L205+SHS!L205</f>
        <v>0</v>
      </c>
      <c r="M205" s="24">
        <f>TVM!M205+KLM!M205+PTA!M205+ALP!M205+KTYM!M205+IDK!M205+EKM!M205+TSR!M205+PLKD!M205+MLPM!M205+KKD!M205+WYND!M205+KNR!M205+KSRGD!M205+SHS!M205</f>
        <v>0</v>
      </c>
      <c r="N205" s="24">
        <f>TVM!N205+KLM!N205+PTA!N205+ALP!N205+KTYM!N205+IDK!N205+EKM!N205+TSR!N205+PLKD!N205+MLPM!N205+KKD!N205+WYND!N205+KNR!N205+KSRGD!N205+SHS!N205</f>
        <v>0</v>
      </c>
      <c r="O205" s="24">
        <f>TVM!O205+KLM!O205+PTA!O205+ALP!O205+KTYM!O205+IDK!O205+EKM!O205+TSR!O205+PLKD!O205+MLPM!O205+KKD!O205+WYND!O205+KNR!O205+KSRGD!O205+SHS!O205</f>
        <v>0</v>
      </c>
      <c r="P205" s="24">
        <f>TVM!P205+KLM!P205+PTA!P205+ALP!P205+KTYM!P205+IDK!P205+EKM!P205+TSR!P205+PLKD!P205+MLPM!P205+KKD!P205+WYND!P205+KNR!P205+KSRGD!P205+SHS!P205</f>
        <v>0</v>
      </c>
      <c r="Q205" s="24">
        <f>TVM!Q205+KLM!Q205+PTA!Q205+ALP!Q205+KTYM!Q205+IDK!Q205+EKM!Q205+TSR!Q205+PLKD!Q205+MLPM!Q205+KKD!Q205+WYND!Q205+KNR!Q205+KSRGD!Q205+SHS!Q205</f>
        <v>0</v>
      </c>
      <c r="R205" s="24">
        <f>TVM!R205+KLM!R205+PTA!R205+ALP!R205+KTYM!R205+IDK!R205+EKM!R205+TSR!R205+PLKD!R205+MLPM!R205+KKD!R205+WYND!R205+KNR!R205+KSRGD!R205+SHS!R205</f>
        <v>0</v>
      </c>
      <c r="S205" s="24">
        <f>TVM!S205+KLM!S205+PTA!S205+ALP!S205+KTYM!S205+IDK!S205+EKM!S205+TSR!S205+PLKD!S205+MLPM!S205+KKD!S205+WYND!S205+KNR!S205+KSRGD!S205+SHS!S205</f>
        <v>0</v>
      </c>
      <c r="T205" s="6">
        <f t="shared" si="4"/>
        <v>0</v>
      </c>
      <c r="U205" s="163"/>
      <c r="V205" s="32"/>
      <c r="W205" s="1"/>
      <c r="X205" s="1"/>
      <c r="Y205" s="1"/>
      <c r="Z205" s="1"/>
    </row>
    <row r="206" spans="1:26" ht="39.75" customHeight="1">
      <c r="A206" s="171"/>
      <c r="B206" s="169"/>
      <c r="C206" s="169"/>
      <c r="D206" s="5">
        <v>197</v>
      </c>
      <c r="E206" s="5" t="s">
        <v>353</v>
      </c>
      <c r="F206" s="24">
        <f>TVM!F206+KLM!F206+PTA!F206+ALP!F206+KTYM!F206+IDK!F206+EKM!F206+TSR!F206+PLKD!F206+MLPM!F206+KKD!F206+WYND!F206+KNR!F206+KSRGD!F206+SHS!F206</f>
        <v>0</v>
      </c>
      <c r="G206" s="24">
        <f>TVM!G206+KLM!G206+PTA!G206+ALP!G206+KTYM!G206+IDK!G206+EKM!G206+TSR!G206+PLKD!G206+MLPM!G206+KKD!G206+WYND!G206+KNR!G206+KSRGD!G206+SHS!G206</f>
        <v>0</v>
      </c>
      <c r="H206" s="24">
        <f>TVM!H206+KLM!H206+PTA!H206+ALP!H206+KTYM!H206+IDK!H206+EKM!H206+TSR!H206+PLKD!H206+MLPM!H206+KKD!H206+WYND!H206+KNR!H206+KSRGD!H206+SHS!H206</f>
        <v>0</v>
      </c>
      <c r="I206" s="24">
        <f>TVM!I206+KLM!I206+PTA!I206+ALP!I206+KTYM!I206+IDK!I206+EKM!I206+TSR!I206+PLKD!I206+MLPM!I206+KKD!I206+WYND!I206+KNR!I206+KSRGD!I206+SHS!I206</f>
        <v>0</v>
      </c>
      <c r="J206" s="24">
        <f>TVM!J206+KLM!J206+PTA!J206+ALP!J206+KTYM!J206+IDK!J206+EKM!J206+TSR!J206+PLKD!J206+MLPM!J206+KKD!J206+WYND!J206+KNR!J206+KSRGD!J206+SHS!J206</f>
        <v>0</v>
      </c>
      <c r="K206" s="24">
        <f>TVM!K206+KLM!K206+PTA!K206+ALP!K206+KTYM!K206+IDK!K206+EKM!K206+TSR!K206+PLKD!K206+MLPM!K206+KKD!K206+WYND!K206+KNR!K206+KSRGD!K206+SHS!K206</f>
        <v>0</v>
      </c>
      <c r="L206" s="24">
        <f>TVM!L206+KLM!L206+PTA!L206+ALP!L206+KTYM!L206+IDK!L206+EKM!L206+TSR!L206+PLKD!L206+MLPM!L206+KKD!L206+WYND!L206+KNR!L206+KSRGD!L206+SHS!L206</f>
        <v>0</v>
      </c>
      <c r="M206" s="24">
        <f>TVM!M206+KLM!M206+PTA!M206+ALP!M206+KTYM!M206+IDK!M206+EKM!M206+TSR!M206+PLKD!M206+MLPM!M206+KKD!M206+WYND!M206+KNR!M206+KSRGD!M206+SHS!M206</f>
        <v>0</v>
      </c>
      <c r="N206" s="24">
        <f>TVM!N206+KLM!N206+PTA!N206+ALP!N206+KTYM!N206+IDK!N206+EKM!N206+TSR!N206+PLKD!N206+MLPM!N206+KKD!N206+WYND!N206+KNR!N206+KSRGD!N206+SHS!N206</f>
        <v>0</v>
      </c>
      <c r="O206" s="24">
        <f>TVM!O206+KLM!O206+PTA!O206+ALP!O206+KTYM!O206+IDK!O206+EKM!O206+TSR!O206+PLKD!O206+MLPM!O206+KKD!O206+WYND!O206+KNR!O206+KSRGD!O206+SHS!O206</f>
        <v>0</v>
      </c>
      <c r="P206" s="27">
        <f>TVM!P206+KLM!P206+PTA!P206+ALP!P206+KTYM!P206+IDK!P206+EKM!P206+TSR!P206+PLKD!P206+MLPM!P206+KKD!P206+WYND!P206+KNR!P206+KSRGD!P206+SHS!P206</f>
        <v>0</v>
      </c>
      <c r="Q206" s="24">
        <f>TVM!Q206+KLM!Q206+PTA!Q206+ALP!Q206+KTYM!Q206+IDK!Q206+EKM!Q206+TSR!Q206+PLKD!Q206+MLPM!Q206+KKD!Q206+WYND!Q206+KNR!Q206+KSRGD!Q206+SHS!Q206</f>
        <v>0</v>
      </c>
      <c r="R206" s="24">
        <f>TVM!R206+KLM!R206+PTA!R206+ALP!R206+KTYM!R206+IDK!R206+EKM!R206+TSR!R206+PLKD!R206+MLPM!R206+KKD!R206+WYND!R206+KNR!R206+KSRGD!R206+SHS!R206</f>
        <v>0</v>
      </c>
      <c r="S206" s="24">
        <f>TVM!S206+KLM!S206+PTA!S206+ALP!S206+KTYM!S206+IDK!S206+EKM!S206+TSR!S206+PLKD!S206+MLPM!S206+KKD!S206+WYND!S206+KNR!S206+KSRGD!S206+SHS!S206</f>
        <v>0</v>
      </c>
      <c r="T206" s="6">
        <f t="shared" si="4"/>
        <v>0</v>
      </c>
      <c r="U206" s="9"/>
      <c r="V206" s="32"/>
      <c r="W206" s="1"/>
      <c r="X206" s="1"/>
      <c r="Y206" s="1"/>
      <c r="Z206" s="1"/>
    </row>
    <row r="207" spans="1:26" ht="39.75" customHeight="1">
      <c r="A207" s="171"/>
      <c r="B207" s="5" t="s">
        <v>354</v>
      </c>
      <c r="C207" s="5" t="s">
        <v>284</v>
      </c>
      <c r="D207" s="5">
        <v>198</v>
      </c>
      <c r="E207" s="5" t="s">
        <v>285</v>
      </c>
      <c r="F207" s="24">
        <f>TVM!F207+KLM!F207+PTA!F207+ALP!F207+KTYM!F207+IDK!F207+EKM!F207+TSR!F207+PLKD!F207+MLPM!F207+KKD!F207+WYND!F207+KNR!F207+KSRGD!F207+SHS!F207</f>
        <v>0</v>
      </c>
      <c r="G207" s="24">
        <f>TVM!G207+KLM!G207+PTA!G207+ALP!G207+KTYM!G207+IDK!G207+EKM!G207+TSR!G207+PLKD!G207+MLPM!G207+KKD!G207+WYND!G207+KNR!G207+KSRGD!G207+SHS!G207</f>
        <v>0</v>
      </c>
      <c r="H207" s="24">
        <f>TVM!H207+KLM!H207+PTA!H207+ALP!H207+KTYM!H207+IDK!H207+EKM!H207+TSR!H207+PLKD!H207+MLPM!H207+KKD!H207+WYND!H207+KNR!H207+KSRGD!H207+SHS!H207</f>
        <v>0</v>
      </c>
      <c r="I207" s="24">
        <f>TVM!I207+KLM!I207+PTA!I207+ALP!I207+KTYM!I207+IDK!I207+EKM!I207+TSR!I207+PLKD!I207+MLPM!I207+KKD!I207+WYND!I207+KNR!I207+KSRGD!I207+SHS!I207</f>
        <v>0</v>
      </c>
      <c r="J207" s="24">
        <f>TVM!J207+KLM!J207+PTA!J207+ALP!J207+KTYM!J207+IDK!J207+EKM!J207+TSR!J207+PLKD!J207+MLPM!J207+KKD!J207+WYND!J207+KNR!J207+KSRGD!J207+SHS!J207</f>
        <v>0</v>
      </c>
      <c r="K207" s="24">
        <f>TVM!K207+KLM!K207+PTA!K207+ALP!K207+KTYM!K207+IDK!K207+EKM!K207+TSR!K207+PLKD!K207+MLPM!K207+KKD!K207+WYND!K207+KNR!K207+KSRGD!K207+SHS!K207</f>
        <v>0</v>
      </c>
      <c r="L207" s="24">
        <f>TVM!L207+KLM!L207+PTA!L207+ALP!L207+KTYM!L207+IDK!L207+EKM!L207+TSR!L207+PLKD!L207+MLPM!L207+KKD!L207+WYND!L207+KNR!L207+KSRGD!L207+SHS!L207</f>
        <v>0</v>
      </c>
      <c r="M207" s="24">
        <f>TVM!M207+KLM!M207+PTA!M207+ALP!M207+KTYM!M207+IDK!M207+EKM!M207+TSR!M207+PLKD!M207+MLPM!M207+KKD!M207+WYND!M207+KNR!M207+KSRGD!M207+SHS!M207</f>
        <v>0</v>
      </c>
      <c r="N207" s="24">
        <f>TVM!N207+KLM!N207+PTA!N207+ALP!N207+KTYM!N207+IDK!N207+EKM!N207+TSR!N207+PLKD!N207+MLPM!N207+KKD!N207+WYND!N207+KNR!N207+KSRGD!N207+SHS!N207</f>
        <v>0</v>
      </c>
      <c r="O207" s="24">
        <f>TVM!O207+KLM!O207+PTA!O207+ALP!O207+KTYM!O207+IDK!O207+EKM!O207+TSR!O207+PLKD!O207+MLPM!O207+KKD!O207+WYND!O207+KNR!O207+KSRGD!O207+SHS!O207</f>
        <v>0</v>
      </c>
      <c r="P207" s="24">
        <f>TVM!P207+KLM!P207+PTA!P207+ALP!P207+KTYM!P207+IDK!P207+EKM!P207+TSR!P207+PLKD!P207+MLPM!P207+KKD!P207+WYND!P207+KNR!P207+KSRGD!P207+SHS!P207</f>
        <v>0</v>
      </c>
      <c r="Q207" s="24">
        <f>TVM!Q207+KLM!Q207+PTA!Q207+ALP!Q207+KTYM!Q207+IDK!Q207+EKM!Q207+TSR!Q207+PLKD!Q207+MLPM!Q207+KKD!Q207+WYND!Q207+KNR!Q207+KSRGD!Q207+SHS!Q207</f>
        <v>0</v>
      </c>
      <c r="R207" s="24">
        <f>TVM!R207+KLM!R207+PTA!R207+ALP!R207+KTYM!R207+IDK!R207+EKM!R207+TSR!R207+PLKD!R207+MLPM!R207+KKD!R207+WYND!R207+KNR!R207+KSRGD!R207+SHS!R207</f>
        <v>50.72</v>
      </c>
      <c r="S207" s="24">
        <f>TVM!S207+KLM!S207+PTA!S207+ALP!S207+KTYM!S207+IDK!S207+EKM!S207+TSR!S207+PLKD!S207+MLPM!S207+KKD!S207+WYND!S207+KNR!S207+KSRGD!S207+SHS!S207</f>
        <v>0</v>
      </c>
      <c r="T207" s="6">
        <f t="shared" si="4"/>
        <v>50.72</v>
      </c>
      <c r="U207" s="9"/>
      <c r="V207" s="32"/>
      <c r="W207" s="1"/>
      <c r="X207" s="1"/>
      <c r="Y207" s="1"/>
      <c r="Z207" s="1"/>
    </row>
    <row r="208" spans="1:26" ht="39.75" customHeight="1">
      <c r="A208" s="171"/>
      <c r="B208" s="5" t="s">
        <v>355</v>
      </c>
      <c r="C208" s="5" t="s">
        <v>287</v>
      </c>
      <c r="D208" s="5">
        <v>199</v>
      </c>
      <c r="E208" s="5" t="s">
        <v>288</v>
      </c>
      <c r="F208" s="24">
        <f>TVM!F208+KLM!F208+PTA!F208+ALP!F208+KTYM!F208+IDK!F208+EKM!F208+TSR!F208+PLKD!F208+MLPM!F208+KKD!F208+WYND!F208+KNR!F208+KSRGD!F208+SHS!F208</f>
        <v>0</v>
      </c>
      <c r="G208" s="24">
        <f>TVM!G208+KLM!G208+PTA!G208+ALP!G208+KTYM!G208+IDK!G208+EKM!G208+TSR!G208+PLKD!G208+MLPM!G208+KKD!G208+WYND!G208+KNR!G208+KSRGD!G208+SHS!G208</f>
        <v>0</v>
      </c>
      <c r="H208" s="24">
        <f>TVM!H208+KLM!H208+PTA!H208+ALP!H208+KTYM!H208+IDK!H208+EKM!H208+TSR!H208+PLKD!H208+MLPM!H208+KKD!H208+WYND!H208+KNR!H208+KSRGD!H208+SHS!H208</f>
        <v>0</v>
      </c>
      <c r="I208" s="24">
        <f>TVM!I208+KLM!I208+PTA!I208+ALP!I208+KTYM!I208+IDK!I208+EKM!I208+TSR!I208+PLKD!I208+MLPM!I208+KKD!I208+WYND!I208+KNR!I208+KSRGD!I208+SHS!I208</f>
        <v>0</v>
      </c>
      <c r="J208" s="24">
        <f>TVM!J208+KLM!J208+PTA!J208+ALP!J208+KTYM!J208+IDK!J208+EKM!J208+TSR!J208+PLKD!J208+MLPM!J208+KKD!J208+WYND!J208+KNR!J208+KSRGD!J208+SHS!J208</f>
        <v>0</v>
      </c>
      <c r="K208" s="24">
        <f>TVM!K208+KLM!K208+PTA!K208+ALP!K208+KTYM!K208+IDK!K208+EKM!K208+TSR!K208+PLKD!K208+MLPM!K208+KKD!K208+WYND!K208+KNR!K208+KSRGD!K208+SHS!K208</f>
        <v>0</v>
      </c>
      <c r="L208" s="24">
        <f>TVM!L208+KLM!L208+PTA!L208+ALP!L208+KTYM!L208+IDK!L208+EKM!L208+TSR!L208+PLKD!L208+MLPM!L208+KKD!L208+WYND!L208+KNR!L208+KSRGD!L208+SHS!L208</f>
        <v>0</v>
      </c>
      <c r="M208" s="24">
        <f>TVM!M208+KLM!M208+PTA!M208+ALP!M208+KTYM!M208+IDK!M208+EKM!M208+TSR!M208+PLKD!M208+MLPM!M208+KKD!M208+WYND!M208+KNR!M208+KSRGD!M208+SHS!M208</f>
        <v>0</v>
      </c>
      <c r="N208" s="24">
        <f>TVM!N208+KLM!N208+PTA!N208+ALP!N208+KTYM!N208+IDK!N208+EKM!N208+TSR!N208+PLKD!N208+MLPM!N208+KKD!N208+WYND!N208+KNR!N208+KSRGD!N208+SHS!N208</f>
        <v>0</v>
      </c>
      <c r="O208" s="24">
        <f>TVM!O208+KLM!O208+PTA!O208+ALP!O208+KTYM!O208+IDK!O208+EKM!O208+TSR!O208+PLKD!O208+MLPM!O208+KKD!O208+WYND!O208+KNR!O208+KSRGD!O208+SHS!O208</f>
        <v>0</v>
      </c>
      <c r="P208" s="24">
        <f>TVM!P208+KLM!P208+PTA!P208+ALP!P208+KTYM!P208+IDK!P208+EKM!P208+TSR!P208+PLKD!P208+MLPM!P208+KKD!P208+WYND!P208+KNR!P208+KSRGD!P208+SHS!P208</f>
        <v>3143.2</v>
      </c>
      <c r="Q208" s="24">
        <f>TVM!Q208+KLM!Q208+PTA!Q208+ALP!Q208+KTYM!Q208+IDK!Q208+EKM!Q208+TSR!Q208+PLKD!Q208+MLPM!Q208+KKD!Q208+WYND!Q208+KNR!Q208+KSRGD!Q208+SHS!Q208</f>
        <v>0</v>
      </c>
      <c r="R208" s="24">
        <f>TVM!R208+KLM!R208+PTA!R208+ALP!R208+KTYM!R208+IDK!R208+EKM!R208+TSR!R208+PLKD!R208+MLPM!R208+KKD!R208+WYND!R208+KNR!R208+KSRGD!R208+SHS!R208</f>
        <v>0</v>
      </c>
      <c r="S208" s="24">
        <f>TVM!S208+KLM!S208+PTA!S208+ALP!S208+KTYM!S208+IDK!S208+EKM!S208+TSR!S208+PLKD!S208+MLPM!S208+KKD!S208+WYND!S208+KNR!S208+KSRGD!S208+SHS!S208</f>
        <v>0</v>
      </c>
      <c r="T208" s="6">
        <f t="shared" si="4"/>
        <v>3143.2</v>
      </c>
      <c r="U208" s="9"/>
      <c r="V208" s="32"/>
      <c r="W208" s="1"/>
      <c r="X208" s="1"/>
      <c r="Y208" s="1"/>
      <c r="Z208" s="1"/>
    </row>
    <row r="209" spans="1:26" ht="39.75" customHeight="1">
      <c r="A209" s="169"/>
      <c r="B209" s="176" t="s">
        <v>356</v>
      </c>
      <c r="C209" s="177"/>
      <c r="D209" s="178"/>
      <c r="E209" s="51"/>
      <c r="F209" s="54">
        <f t="shared" ref="F209:T209" si="5">SUM(F159:F208)</f>
        <v>0</v>
      </c>
      <c r="G209" s="57">
        <f t="shared" si="5"/>
        <v>20483.473000000002</v>
      </c>
      <c r="H209" s="57">
        <f t="shared" si="5"/>
        <v>11383.220000000001</v>
      </c>
      <c r="I209" s="55">
        <f t="shared" si="5"/>
        <v>591.46</v>
      </c>
      <c r="J209" s="54">
        <f t="shared" si="5"/>
        <v>0</v>
      </c>
      <c r="K209" s="54">
        <f t="shared" si="5"/>
        <v>29245.83</v>
      </c>
      <c r="L209" s="54">
        <f t="shared" si="5"/>
        <v>0</v>
      </c>
      <c r="M209" s="54">
        <f t="shared" si="5"/>
        <v>408.4</v>
      </c>
      <c r="N209" s="55">
        <f t="shared" si="5"/>
        <v>927.82999999999993</v>
      </c>
      <c r="O209" s="57">
        <f t="shared" si="5"/>
        <v>7068.62</v>
      </c>
      <c r="P209" s="57">
        <f t="shared" si="5"/>
        <v>27116.109999999997</v>
      </c>
      <c r="Q209" s="54">
        <f t="shared" si="5"/>
        <v>698.97979999999995</v>
      </c>
      <c r="R209" s="54">
        <f t="shared" si="5"/>
        <v>33267.154000000002</v>
      </c>
      <c r="S209" s="54">
        <f t="shared" si="5"/>
        <v>22.1</v>
      </c>
      <c r="T209" s="155">
        <f t="shared" si="5"/>
        <v>131213.17679999999</v>
      </c>
      <c r="U209" s="9"/>
      <c r="V209" s="32"/>
      <c r="W209" s="1"/>
      <c r="X209" s="1"/>
      <c r="Y209" s="1"/>
      <c r="Z209" s="1"/>
    </row>
    <row r="210" spans="1:26" ht="39.75" customHeight="1">
      <c r="A210" s="180" t="s">
        <v>357</v>
      </c>
      <c r="B210" s="181"/>
      <c r="C210" s="181"/>
      <c r="D210" s="182"/>
      <c r="E210" s="64"/>
      <c r="F210" s="65">
        <f t="shared" ref="F210:T210" si="6">F209+F158+F134+F93+F68</f>
        <v>1976.43</v>
      </c>
      <c r="G210" s="66">
        <f t="shared" si="6"/>
        <v>22100.833000000002</v>
      </c>
      <c r="H210" s="66">
        <f t="shared" si="6"/>
        <v>11771.170000000002</v>
      </c>
      <c r="I210" s="67">
        <f t="shared" si="6"/>
        <v>4093.5360000000001</v>
      </c>
      <c r="J210" s="65">
        <f t="shared" si="6"/>
        <v>74.8</v>
      </c>
      <c r="K210" s="67">
        <f t="shared" si="6"/>
        <v>40526.114000000001</v>
      </c>
      <c r="L210" s="65">
        <f t="shared" si="6"/>
        <v>0</v>
      </c>
      <c r="M210" s="66">
        <f t="shared" si="6"/>
        <v>8740.0660000000007</v>
      </c>
      <c r="N210" s="67">
        <f t="shared" si="6"/>
        <v>2547.5801999999999</v>
      </c>
      <c r="O210" s="66">
        <f t="shared" si="6"/>
        <v>11272.910049999999</v>
      </c>
      <c r="P210" s="66">
        <f t="shared" si="6"/>
        <v>35598.617299999998</v>
      </c>
      <c r="Q210" s="65">
        <f t="shared" si="6"/>
        <v>3004.3428000000004</v>
      </c>
      <c r="R210" s="66">
        <f t="shared" si="6"/>
        <v>39503.154156919998</v>
      </c>
      <c r="S210" s="66">
        <f t="shared" si="6"/>
        <v>318.20000000000005</v>
      </c>
      <c r="T210" s="67">
        <f t="shared" si="6"/>
        <v>181527.75350691998</v>
      </c>
      <c r="U210" s="154"/>
      <c r="V210" s="32"/>
      <c r="W210" s="1"/>
      <c r="X210" s="1"/>
      <c r="Y210" s="1"/>
      <c r="Z210" s="1"/>
    </row>
    <row r="211" spans="1:26" ht="39.75" customHeight="1">
      <c r="A211" s="1"/>
      <c r="B211" s="1"/>
      <c r="C211" s="1"/>
      <c r="D211" s="1"/>
      <c r="E211" s="1"/>
      <c r="F211" s="1"/>
      <c r="G211" s="1"/>
      <c r="H211" s="1"/>
      <c r="I211" s="1"/>
      <c r="J211" s="1"/>
      <c r="K211" s="1"/>
      <c r="L211" s="1"/>
      <c r="M211" s="1"/>
      <c r="N211" s="1"/>
      <c r="O211" s="1"/>
      <c r="P211" s="1"/>
      <c r="Q211" s="1"/>
      <c r="R211" s="1"/>
      <c r="S211" s="1"/>
      <c r="T211" s="32"/>
      <c r="U211" s="2"/>
      <c r="V211" s="1"/>
      <c r="W211" s="1"/>
      <c r="X211" s="1"/>
      <c r="Y211" s="1"/>
      <c r="Z211" s="1"/>
    </row>
    <row r="212" spans="1:26" ht="39.75" customHeight="1">
      <c r="A212" s="1"/>
      <c r="B212" s="1"/>
      <c r="C212" s="1"/>
      <c r="D212" s="1"/>
      <c r="E212" s="1"/>
      <c r="F212" s="1"/>
      <c r="G212" s="1"/>
      <c r="H212" s="1"/>
      <c r="I212" s="1"/>
      <c r="J212" s="1"/>
      <c r="K212" s="1"/>
      <c r="L212" s="1"/>
      <c r="M212" s="1"/>
      <c r="N212" s="1"/>
      <c r="O212" s="1"/>
      <c r="P212" s="1"/>
      <c r="Q212" s="1"/>
      <c r="R212" s="1"/>
      <c r="S212" s="1"/>
      <c r="T212" s="32"/>
      <c r="U212" s="2"/>
      <c r="V212" s="1"/>
      <c r="W212" s="1"/>
      <c r="X212" s="1"/>
      <c r="Y212" s="1"/>
      <c r="Z212" s="1"/>
    </row>
    <row r="213" spans="1:26" ht="39.75" customHeight="1">
      <c r="A213" s="1"/>
      <c r="B213" s="1"/>
      <c r="C213" s="1"/>
      <c r="D213" s="1"/>
      <c r="E213" s="1"/>
      <c r="F213" s="1"/>
      <c r="G213" s="1"/>
      <c r="H213" s="1"/>
      <c r="I213" s="1"/>
      <c r="J213" s="1"/>
      <c r="K213" s="1"/>
      <c r="L213" s="1"/>
      <c r="M213" s="1"/>
      <c r="N213" s="1"/>
      <c r="O213" s="1"/>
      <c r="P213" s="1"/>
      <c r="Q213" s="1"/>
      <c r="R213" s="1"/>
      <c r="S213" s="1"/>
      <c r="T213" s="1"/>
      <c r="U213" s="2"/>
      <c r="V213" s="1"/>
      <c r="W213" s="1"/>
      <c r="X213" s="1"/>
      <c r="Y213" s="1"/>
      <c r="Z213" s="1"/>
    </row>
    <row r="214" spans="1:26" ht="39.75" customHeight="1">
      <c r="A214" s="1"/>
      <c r="B214" s="1"/>
      <c r="C214" s="1"/>
      <c r="D214" s="1"/>
      <c r="E214" s="1"/>
      <c r="F214" s="1"/>
      <c r="G214" s="1"/>
      <c r="H214" s="1"/>
      <c r="I214" s="1"/>
      <c r="J214" s="1"/>
      <c r="K214" s="1"/>
      <c r="L214" s="1"/>
      <c r="M214" s="1"/>
      <c r="N214" s="1"/>
      <c r="O214" s="1"/>
      <c r="P214" s="1"/>
      <c r="Q214" s="1"/>
      <c r="R214" s="1"/>
      <c r="S214" s="1"/>
      <c r="T214" s="1"/>
      <c r="U214" s="2"/>
      <c r="V214" s="1"/>
      <c r="W214" s="1"/>
      <c r="X214" s="1"/>
      <c r="Y214" s="1"/>
      <c r="Z214" s="1"/>
    </row>
    <row r="215" spans="1:26" ht="39.75" customHeight="1">
      <c r="A215" s="1"/>
      <c r="B215" s="1"/>
      <c r="C215" s="1"/>
      <c r="D215" s="1"/>
      <c r="E215" s="1"/>
      <c r="F215" s="1"/>
      <c r="G215" s="1"/>
      <c r="H215" s="1"/>
      <c r="I215" s="1"/>
      <c r="J215" s="1"/>
      <c r="K215" s="1"/>
      <c r="L215" s="1"/>
      <c r="M215" s="1"/>
      <c r="N215" s="1"/>
      <c r="O215" s="1"/>
      <c r="P215" s="1"/>
      <c r="Q215" s="1"/>
      <c r="R215" s="1"/>
      <c r="S215" s="1"/>
      <c r="T215" s="1"/>
      <c r="U215" s="2"/>
      <c r="V215" s="1"/>
      <c r="W215" s="1"/>
      <c r="X215" s="1"/>
      <c r="Y215" s="1"/>
      <c r="Z215" s="1"/>
    </row>
    <row r="216" spans="1:26" ht="39.75" customHeight="1">
      <c r="A216" s="1"/>
      <c r="B216" s="1"/>
      <c r="C216" s="1"/>
      <c r="D216" s="1"/>
      <c r="E216" s="1"/>
      <c r="F216" s="1"/>
      <c r="G216" s="1"/>
      <c r="H216" s="1"/>
      <c r="I216" s="1"/>
      <c r="J216" s="1"/>
      <c r="K216" s="1"/>
      <c r="L216" s="1"/>
      <c r="M216" s="1"/>
      <c r="N216" s="1"/>
      <c r="O216" s="1"/>
      <c r="P216" s="1"/>
      <c r="Q216" s="1"/>
      <c r="R216" s="1"/>
      <c r="S216" s="1"/>
      <c r="T216" s="1"/>
      <c r="U216" s="2"/>
      <c r="V216" s="1"/>
      <c r="W216" s="1"/>
      <c r="X216" s="1"/>
      <c r="Y216" s="1"/>
      <c r="Z216" s="1"/>
    </row>
    <row r="217" spans="1:26" ht="39.75" customHeight="1">
      <c r="A217" s="1"/>
      <c r="B217" s="1"/>
      <c r="C217" s="1"/>
      <c r="D217" s="1"/>
      <c r="E217" s="1"/>
      <c r="F217" s="1"/>
      <c r="G217" s="1"/>
      <c r="H217" s="1"/>
      <c r="I217" s="1"/>
      <c r="J217" s="1"/>
      <c r="K217" s="1"/>
      <c r="L217" s="1"/>
      <c r="M217" s="1"/>
      <c r="N217" s="1"/>
      <c r="O217" s="1"/>
      <c r="P217" s="1"/>
      <c r="Q217" s="1"/>
      <c r="R217" s="1"/>
      <c r="S217" s="1"/>
      <c r="T217" s="1"/>
      <c r="U217" s="2"/>
      <c r="V217" s="1"/>
      <c r="W217" s="1"/>
      <c r="X217" s="1"/>
      <c r="Y217" s="1"/>
      <c r="Z217" s="1"/>
    </row>
    <row r="218" spans="1:26" ht="39.75" customHeight="1">
      <c r="A218" s="1"/>
      <c r="B218" s="1"/>
      <c r="C218" s="1"/>
      <c r="D218" s="1"/>
      <c r="E218" s="1"/>
      <c r="F218" s="1"/>
      <c r="G218" s="1"/>
      <c r="H218" s="1"/>
      <c r="I218" s="1"/>
      <c r="J218" s="1"/>
      <c r="K218" s="1"/>
      <c r="L218" s="1"/>
      <c r="M218" s="1"/>
      <c r="N218" s="1"/>
      <c r="O218" s="1"/>
      <c r="P218" s="1"/>
      <c r="Q218" s="1"/>
      <c r="R218" s="1"/>
      <c r="S218" s="1"/>
      <c r="T218" s="1"/>
      <c r="U218" s="2"/>
      <c r="V218" s="1"/>
      <c r="W218" s="1"/>
      <c r="X218" s="1"/>
      <c r="Y218" s="1"/>
      <c r="Z218" s="1"/>
    </row>
    <row r="219" spans="1:26" ht="39.75" customHeight="1">
      <c r="A219" s="1"/>
      <c r="B219" s="1"/>
      <c r="C219" s="1"/>
      <c r="D219" s="1"/>
      <c r="E219" s="1"/>
      <c r="F219" s="1"/>
      <c r="G219" s="1"/>
      <c r="H219" s="1"/>
      <c r="I219" s="1"/>
      <c r="J219" s="1"/>
      <c r="K219" s="1"/>
      <c r="L219" s="1"/>
      <c r="M219" s="1"/>
      <c r="N219" s="1"/>
      <c r="O219" s="1"/>
      <c r="P219" s="1"/>
      <c r="Q219" s="1"/>
      <c r="R219" s="1"/>
      <c r="S219" s="1"/>
      <c r="T219" s="1"/>
      <c r="U219" s="2"/>
      <c r="V219" s="1"/>
      <c r="W219" s="1"/>
      <c r="X219" s="1"/>
      <c r="Y219" s="1"/>
      <c r="Z219" s="1"/>
    </row>
    <row r="220" spans="1:26" ht="39.75" customHeight="1">
      <c r="A220" s="1"/>
      <c r="B220" s="1"/>
      <c r="C220" s="1"/>
      <c r="D220" s="1"/>
      <c r="E220" s="1"/>
      <c r="F220" s="1"/>
      <c r="G220" s="1"/>
      <c r="H220" s="1"/>
      <c r="I220" s="1"/>
      <c r="J220" s="1"/>
      <c r="K220" s="1"/>
      <c r="L220" s="1"/>
      <c r="M220" s="1"/>
      <c r="N220" s="1"/>
      <c r="O220" s="1"/>
      <c r="P220" s="1"/>
      <c r="Q220" s="1"/>
      <c r="R220" s="1"/>
      <c r="S220" s="1"/>
      <c r="T220" s="1"/>
      <c r="U220" s="2"/>
      <c r="V220" s="1"/>
      <c r="W220" s="1"/>
      <c r="X220" s="1"/>
      <c r="Y220" s="1"/>
      <c r="Z220" s="1"/>
    </row>
    <row r="221" spans="1:26" ht="39.75" customHeight="1">
      <c r="A221" s="1"/>
      <c r="B221" s="1"/>
      <c r="C221" s="1"/>
      <c r="D221" s="1"/>
      <c r="E221" s="1"/>
      <c r="F221" s="1"/>
      <c r="G221" s="1"/>
      <c r="H221" s="1"/>
      <c r="I221" s="1"/>
      <c r="J221" s="1"/>
      <c r="K221" s="1"/>
      <c r="L221" s="1"/>
      <c r="M221" s="1"/>
      <c r="N221" s="1"/>
      <c r="O221" s="1"/>
      <c r="P221" s="1"/>
      <c r="Q221" s="1"/>
      <c r="R221" s="1"/>
      <c r="S221" s="1"/>
      <c r="T221" s="1"/>
      <c r="U221" s="2"/>
      <c r="V221" s="1"/>
      <c r="W221" s="1"/>
      <c r="X221" s="1"/>
      <c r="Y221" s="1"/>
      <c r="Z221" s="1"/>
    </row>
    <row r="222" spans="1:26" ht="39.75" customHeight="1">
      <c r="A222" s="1"/>
      <c r="B222" s="1"/>
      <c r="C222" s="1"/>
      <c r="D222" s="1"/>
      <c r="E222" s="1"/>
      <c r="F222" s="1"/>
      <c r="G222" s="1"/>
      <c r="H222" s="1"/>
      <c r="I222" s="1"/>
      <c r="J222" s="1"/>
      <c r="K222" s="1"/>
      <c r="L222" s="1"/>
      <c r="M222" s="1"/>
      <c r="N222" s="1"/>
      <c r="O222" s="1"/>
      <c r="P222" s="1"/>
      <c r="Q222" s="1"/>
      <c r="R222" s="1"/>
      <c r="S222" s="1"/>
      <c r="T222" s="1"/>
      <c r="U222" s="2"/>
      <c r="V222" s="1"/>
      <c r="W222" s="1"/>
      <c r="X222" s="1"/>
      <c r="Y222" s="1"/>
      <c r="Z222" s="1"/>
    </row>
    <row r="223" spans="1:26" ht="39.75" customHeight="1">
      <c r="A223" s="1"/>
      <c r="B223" s="1"/>
      <c r="C223" s="1"/>
      <c r="D223" s="1"/>
      <c r="E223" s="1"/>
      <c r="F223" s="1"/>
      <c r="G223" s="1"/>
      <c r="H223" s="1"/>
      <c r="I223" s="1"/>
      <c r="J223" s="1"/>
      <c r="K223" s="1"/>
      <c r="L223" s="1"/>
      <c r="M223" s="1"/>
      <c r="N223" s="1"/>
      <c r="O223" s="1"/>
      <c r="P223" s="1"/>
      <c r="Q223" s="1"/>
      <c r="R223" s="1"/>
      <c r="S223" s="1"/>
      <c r="T223" s="1"/>
      <c r="U223" s="2"/>
      <c r="V223" s="1"/>
      <c r="W223" s="1"/>
      <c r="X223" s="1"/>
      <c r="Y223" s="1"/>
      <c r="Z223" s="1"/>
    </row>
    <row r="224" spans="1:26" ht="39.75" customHeight="1">
      <c r="A224" s="1"/>
      <c r="B224" s="1"/>
      <c r="C224" s="1"/>
      <c r="D224" s="1"/>
      <c r="E224" s="1"/>
      <c r="F224" s="1"/>
      <c r="G224" s="1"/>
      <c r="H224" s="1"/>
      <c r="I224" s="1"/>
      <c r="J224" s="1"/>
      <c r="K224" s="1"/>
      <c r="L224" s="1"/>
      <c r="M224" s="1"/>
      <c r="N224" s="1"/>
      <c r="O224" s="1"/>
      <c r="P224" s="1"/>
      <c r="Q224" s="1"/>
      <c r="R224" s="1"/>
      <c r="S224" s="1"/>
      <c r="T224" s="1"/>
      <c r="U224" s="2"/>
      <c r="V224" s="1"/>
      <c r="W224" s="1"/>
      <c r="X224" s="1"/>
      <c r="Y224" s="1"/>
      <c r="Z224" s="1"/>
    </row>
    <row r="225" spans="1:26" ht="39.75" customHeight="1">
      <c r="A225" s="1"/>
      <c r="B225" s="1"/>
      <c r="C225" s="1"/>
      <c r="D225" s="1"/>
      <c r="E225" s="1"/>
      <c r="F225" s="1"/>
      <c r="G225" s="1"/>
      <c r="H225" s="1"/>
      <c r="I225" s="1"/>
      <c r="J225" s="1"/>
      <c r="K225" s="1"/>
      <c r="L225" s="1"/>
      <c r="M225" s="1"/>
      <c r="N225" s="1"/>
      <c r="O225" s="1"/>
      <c r="P225" s="1"/>
      <c r="Q225" s="1"/>
      <c r="R225" s="1"/>
      <c r="S225" s="1"/>
      <c r="T225" s="1"/>
      <c r="U225" s="2"/>
      <c r="V225" s="1"/>
      <c r="W225" s="1"/>
      <c r="X225" s="1"/>
      <c r="Y225" s="1"/>
      <c r="Z225" s="1"/>
    </row>
    <row r="226" spans="1:26" ht="39.75" customHeight="1">
      <c r="A226" s="1"/>
      <c r="B226" s="1"/>
      <c r="C226" s="1"/>
      <c r="D226" s="1"/>
      <c r="E226" s="1"/>
      <c r="F226" s="1"/>
      <c r="G226" s="1"/>
      <c r="H226" s="1"/>
      <c r="I226" s="1"/>
      <c r="J226" s="1"/>
      <c r="K226" s="1"/>
      <c r="L226" s="1"/>
      <c r="M226" s="1"/>
      <c r="N226" s="1"/>
      <c r="O226" s="1"/>
      <c r="P226" s="1"/>
      <c r="Q226" s="1"/>
      <c r="R226" s="1"/>
      <c r="S226" s="1"/>
      <c r="T226" s="1"/>
      <c r="U226" s="2"/>
      <c r="V226" s="1"/>
      <c r="W226" s="1"/>
      <c r="X226" s="1"/>
      <c r="Y226" s="1"/>
      <c r="Z226" s="1"/>
    </row>
    <row r="227" spans="1:26" ht="39.75" customHeight="1">
      <c r="A227" s="1"/>
      <c r="B227" s="1"/>
      <c r="C227" s="1"/>
      <c r="D227" s="1"/>
      <c r="E227" s="1"/>
      <c r="F227" s="1"/>
      <c r="G227" s="1"/>
      <c r="H227" s="1"/>
      <c r="I227" s="1"/>
      <c r="J227" s="1"/>
      <c r="K227" s="1"/>
      <c r="L227" s="1"/>
      <c r="M227" s="1"/>
      <c r="N227" s="1"/>
      <c r="O227" s="1"/>
      <c r="P227" s="1"/>
      <c r="Q227" s="1"/>
      <c r="R227" s="1"/>
      <c r="S227" s="1"/>
      <c r="T227" s="1"/>
      <c r="U227" s="2"/>
      <c r="V227" s="1"/>
      <c r="W227" s="1"/>
      <c r="X227" s="1"/>
      <c r="Y227" s="1"/>
      <c r="Z227" s="1"/>
    </row>
    <row r="228" spans="1:26" ht="39.75" customHeight="1">
      <c r="A228" s="1"/>
      <c r="B228" s="1"/>
      <c r="C228" s="1"/>
      <c r="D228" s="1"/>
      <c r="E228" s="1"/>
      <c r="F228" s="1"/>
      <c r="G228" s="1"/>
      <c r="H228" s="1"/>
      <c r="I228" s="1"/>
      <c r="J228" s="1"/>
      <c r="K228" s="1"/>
      <c r="L228" s="1"/>
      <c r="M228" s="1"/>
      <c r="N228" s="1"/>
      <c r="O228" s="1"/>
      <c r="P228" s="1"/>
      <c r="Q228" s="1"/>
      <c r="R228" s="1"/>
      <c r="S228" s="1"/>
      <c r="T228" s="1"/>
      <c r="U228" s="2"/>
      <c r="V228" s="1"/>
      <c r="W228" s="1"/>
      <c r="X228" s="1"/>
      <c r="Y228" s="1"/>
      <c r="Z228" s="1"/>
    </row>
    <row r="229" spans="1:26" ht="39.75" customHeight="1">
      <c r="A229" s="1"/>
      <c r="B229" s="1"/>
      <c r="C229" s="1"/>
      <c r="D229" s="1"/>
      <c r="E229" s="1"/>
      <c r="F229" s="1"/>
      <c r="G229" s="1"/>
      <c r="H229" s="1"/>
      <c r="I229" s="1"/>
      <c r="J229" s="1"/>
      <c r="K229" s="1"/>
      <c r="L229" s="1"/>
      <c r="M229" s="1"/>
      <c r="N229" s="1"/>
      <c r="O229" s="1"/>
      <c r="P229" s="1"/>
      <c r="Q229" s="1"/>
      <c r="R229" s="1"/>
      <c r="S229" s="1"/>
      <c r="T229" s="1"/>
      <c r="U229" s="2"/>
      <c r="V229" s="1"/>
      <c r="W229" s="1"/>
      <c r="X229" s="1"/>
      <c r="Y229" s="1"/>
      <c r="Z229" s="1"/>
    </row>
    <row r="230" spans="1:26" ht="39.75" customHeight="1">
      <c r="A230" s="1"/>
      <c r="B230" s="1"/>
      <c r="C230" s="1"/>
      <c r="D230" s="1"/>
      <c r="E230" s="1"/>
      <c r="F230" s="1"/>
      <c r="G230" s="1"/>
      <c r="H230" s="1"/>
      <c r="I230" s="1"/>
      <c r="J230" s="1"/>
      <c r="K230" s="1"/>
      <c r="L230" s="1"/>
      <c r="M230" s="1"/>
      <c r="N230" s="1"/>
      <c r="O230" s="1"/>
      <c r="P230" s="1"/>
      <c r="Q230" s="1"/>
      <c r="R230" s="1"/>
      <c r="S230" s="1"/>
      <c r="T230" s="1"/>
      <c r="U230" s="2"/>
      <c r="V230" s="1"/>
      <c r="W230" s="1"/>
      <c r="X230" s="1"/>
      <c r="Y230" s="1"/>
      <c r="Z230" s="1"/>
    </row>
    <row r="231" spans="1:26" ht="39.75" customHeight="1">
      <c r="A231" s="1"/>
      <c r="B231" s="1"/>
      <c r="C231" s="1"/>
      <c r="D231" s="1"/>
      <c r="E231" s="1"/>
      <c r="F231" s="1"/>
      <c r="G231" s="1"/>
      <c r="H231" s="1"/>
      <c r="I231" s="1"/>
      <c r="J231" s="1"/>
      <c r="K231" s="1"/>
      <c r="L231" s="1"/>
      <c r="M231" s="1"/>
      <c r="N231" s="1"/>
      <c r="O231" s="1"/>
      <c r="P231" s="1"/>
      <c r="Q231" s="1"/>
      <c r="R231" s="1"/>
      <c r="S231" s="1"/>
      <c r="T231" s="1"/>
      <c r="U231" s="2"/>
      <c r="V231" s="1"/>
      <c r="W231" s="1"/>
      <c r="X231" s="1"/>
      <c r="Y231" s="1"/>
      <c r="Z231" s="1"/>
    </row>
    <row r="232" spans="1:26" ht="39.75" customHeight="1">
      <c r="A232" s="1"/>
      <c r="B232" s="1"/>
      <c r="C232" s="1"/>
      <c r="D232" s="1"/>
      <c r="E232" s="1"/>
      <c r="F232" s="1"/>
      <c r="G232" s="1"/>
      <c r="H232" s="1"/>
      <c r="I232" s="1"/>
      <c r="J232" s="1"/>
      <c r="K232" s="1"/>
      <c r="L232" s="1"/>
      <c r="M232" s="1"/>
      <c r="N232" s="1"/>
      <c r="O232" s="1"/>
      <c r="P232" s="1"/>
      <c r="Q232" s="1"/>
      <c r="R232" s="1"/>
      <c r="S232" s="1"/>
      <c r="T232" s="1"/>
      <c r="U232" s="2"/>
      <c r="V232" s="1"/>
      <c r="W232" s="1"/>
      <c r="X232" s="1"/>
      <c r="Y232" s="1"/>
      <c r="Z232" s="1"/>
    </row>
    <row r="233" spans="1:26" ht="39.75" customHeight="1">
      <c r="A233" s="1"/>
      <c r="B233" s="1"/>
      <c r="C233" s="1"/>
      <c r="D233" s="1"/>
      <c r="E233" s="1"/>
      <c r="F233" s="1"/>
      <c r="G233" s="1"/>
      <c r="H233" s="1"/>
      <c r="I233" s="1"/>
      <c r="J233" s="1"/>
      <c r="K233" s="1"/>
      <c r="L233" s="1"/>
      <c r="M233" s="1"/>
      <c r="N233" s="1"/>
      <c r="O233" s="1"/>
      <c r="P233" s="1"/>
      <c r="Q233" s="1"/>
      <c r="R233" s="1"/>
      <c r="S233" s="1"/>
      <c r="T233" s="1"/>
      <c r="U233" s="2"/>
      <c r="V233" s="1"/>
      <c r="W233" s="1"/>
      <c r="X233" s="1"/>
      <c r="Y233" s="1"/>
      <c r="Z233" s="1"/>
    </row>
    <row r="234" spans="1:26" ht="39.75" customHeight="1">
      <c r="A234" s="1"/>
      <c r="B234" s="1"/>
      <c r="C234" s="1"/>
      <c r="D234" s="1"/>
      <c r="E234" s="1"/>
      <c r="F234" s="1"/>
      <c r="G234" s="1"/>
      <c r="H234" s="1"/>
      <c r="I234" s="1"/>
      <c r="J234" s="1"/>
      <c r="K234" s="1"/>
      <c r="L234" s="1"/>
      <c r="M234" s="1"/>
      <c r="N234" s="1"/>
      <c r="O234" s="1"/>
      <c r="P234" s="1"/>
      <c r="Q234" s="1"/>
      <c r="R234" s="1"/>
      <c r="S234" s="1"/>
      <c r="T234" s="1"/>
      <c r="U234" s="2"/>
      <c r="V234" s="1"/>
      <c r="W234" s="1"/>
      <c r="X234" s="1"/>
      <c r="Y234" s="1"/>
      <c r="Z234" s="1"/>
    </row>
    <row r="235" spans="1:26" ht="39.75" customHeight="1">
      <c r="A235" s="1"/>
      <c r="B235" s="1"/>
      <c r="C235" s="1"/>
      <c r="D235" s="1"/>
      <c r="E235" s="1"/>
      <c r="F235" s="1"/>
      <c r="G235" s="1"/>
      <c r="H235" s="1"/>
      <c r="I235" s="1"/>
      <c r="J235" s="1"/>
      <c r="K235" s="1"/>
      <c r="L235" s="1"/>
      <c r="M235" s="1"/>
      <c r="N235" s="1"/>
      <c r="O235" s="1"/>
      <c r="P235" s="1"/>
      <c r="Q235" s="1"/>
      <c r="R235" s="1"/>
      <c r="S235" s="1"/>
      <c r="T235" s="1"/>
      <c r="U235" s="2"/>
      <c r="V235" s="1"/>
      <c r="W235" s="1"/>
      <c r="X235" s="1"/>
      <c r="Y235" s="1"/>
      <c r="Z235" s="1"/>
    </row>
    <row r="236" spans="1:26" ht="39.75" customHeight="1">
      <c r="A236" s="1"/>
      <c r="B236" s="1"/>
      <c r="C236" s="1"/>
      <c r="D236" s="1"/>
      <c r="E236" s="1"/>
      <c r="F236" s="1"/>
      <c r="G236" s="1"/>
      <c r="H236" s="1"/>
      <c r="I236" s="1"/>
      <c r="J236" s="1"/>
      <c r="K236" s="1"/>
      <c r="L236" s="1"/>
      <c r="M236" s="1"/>
      <c r="N236" s="1"/>
      <c r="O236" s="1"/>
      <c r="P236" s="1"/>
      <c r="Q236" s="1"/>
      <c r="R236" s="1"/>
      <c r="S236" s="1"/>
      <c r="T236" s="1"/>
      <c r="U236" s="2"/>
      <c r="V236" s="1"/>
      <c r="W236" s="1"/>
      <c r="X236" s="1"/>
      <c r="Y236" s="1"/>
      <c r="Z236" s="1"/>
    </row>
    <row r="237" spans="1:26" ht="39.75" customHeight="1">
      <c r="A237" s="1"/>
      <c r="B237" s="1"/>
      <c r="C237" s="1"/>
      <c r="D237" s="1"/>
      <c r="E237" s="1"/>
      <c r="F237" s="1"/>
      <c r="G237" s="1"/>
      <c r="H237" s="1"/>
      <c r="I237" s="1"/>
      <c r="J237" s="1"/>
      <c r="K237" s="1"/>
      <c r="L237" s="1"/>
      <c r="M237" s="1"/>
      <c r="N237" s="1"/>
      <c r="O237" s="1"/>
      <c r="P237" s="1"/>
      <c r="Q237" s="1"/>
      <c r="R237" s="1"/>
      <c r="S237" s="1"/>
      <c r="T237" s="1"/>
      <c r="U237" s="2"/>
      <c r="V237" s="1"/>
      <c r="W237" s="1"/>
      <c r="X237" s="1"/>
      <c r="Y237" s="1"/>
      <c r="Z237" s="1"/>
    </row>
    <row r="238" spans="1:26" ht="39.75" customHeight="1">
      <c r="A238" s="1"/>
      <c r="B238" s="1"/>
      <c r="C238" s="1"/>
      <c r="D238" s="1"/>
      <c r="E238" s="1"/>
      <c r="F238" s="1"/>
      <c r="G238" s="1"/>
      <c r="H238" s="1"/>
      <c r="I238" s="1"/>
      <c r="J238" s="1"/>
      <c r="K238" s="1"/>
      <c r="L238" s="1"/>
      <c r="M238" s="1"/>
      <c r="N238" s="1"/>
      <c r="O238" s="1"/>
      <c r="P238" s="1"/>
      <c r="Q238" s="1"/>
      <c r="R238" s="1"/>
      <c r="S238" s="1"/>
      <c r="T238" s="1"/>
      <c r="U238" s="2"/>
      <c r="V238" s="1"/>
      <c r="W238" s="1"/>
      <c r="X238" s="1"/>
      <c r="Y238" s="1"/>
      <c r="Z238" s="1"/>
    </row>
    <row r="239" spans="1:26" ht="39.75" customHeight="1">
      <c r="A239" s="1"/>
      <c r="B239" s="1"/>
      <c r="C239" s="1"/>
      <c r="D239" s="1"/>
      <c r="E239" s="1"/>
      <c r="F239" s="1"/>
      <c r="G239" s="1"/>
      <c r="H239" s="1"/>
      <c r="I239" s="1"/>
      <c r="J239" s="1"/>
      <c r="K239" s="1"/>
      <c r="L239" s="1"/>
      <c r="M239" s="1"/>
      <c r="N239" s="1"/>
      <c r="O239" s="1"/>
      <c r="P239" s="1"/>
      <c r="Q239" s="1"/>
      <c r="R239" s="1"/>
      <c r="S239" s="1"/>
      <c r="T239" s="1"/>
      <c r="U239" s="2"/>
      <c r="V239" s="1"/>
      <c r="W239" s="1"/>
      <c r="X239" s="1"/>
      <c r="Y239" s="1"/>
      <c r="Z239" s="1"/>
    </row>
    <row r="240" spans="1:26" ht="39.75" customHeight="1">
      <c r="A240" s="1"/>
      <c r="B240" s="1"/>
      <c r="C240" s="1"/>
      <c r="D240" s="1"/>
      <c r="E240" s="1"/>
      <c r="F240" s="1"/>
      <c r="G240" s="1"/>
      <c r="H240" s="1"/>
      <c r="I240" s="1"/>
      <c r="J240" s="1"/>
      <c r="K240" s="1"/>
      <c r="L240" s="1"/>
      <c r="M240" s="1"/>
      <c r="N240" s="1"/>
      <c r="O240" s="1"/>
      <c r="P240" s="1"/>
      <c r="Q240" s="1"/>
      <c r="R240" s="1"/>
      <c r="S240" s="1"/>
      <c r="T240" s="1"/>
      <c r="U240" s="2"/>
      <c r="V240" s="1"/>
      <c r="W240" s="1"/>
      <c r="X240" s="1"/>
      <c r="Y240" s="1"/>
      <c r="Z240" s="1"/>
    </row>
    <row r="241" spans="1:26" ht="39.75" customHeight="1">
      <c r="A241" s="1"/>
      <c r="B241" s="1"/>
      <c r="C241" s="1"/>
      <c r="D241" s="1"/>
      <c r="E241" s="1"/>
      <c r="F241" s="1"/>
      <c r="G241" s="1"/>
      <c r="H241" s="1"/>
      <c r="I241" s="1"/>
      <c r="J241" s="1"/>
      <c r="K241" s="1"/>
      <c r="L241" s="1"/>
      <c r="M241" s="1"/>
      <c r="N241" s="1"/>
      <c r="O241" s="1"/>
      <c r="P241" s="1"/>
      <c r="Q241" s="1"/>
      <c r="R241" s="1"/>
      <c r="S241" s="1"/>
      <c r="T241" s="1"/>
      <c r="U241" s="2"/>
      <c r="V241" s="1"/>
      <c r="W241" s="1"/>
      <c r="X241" s="1"/>
      <c r="Y241" s="1"/>
      <c r="Z241" s="1"/>
    </row>
    <row r="242" spans="1:26" ht="39.75" customHeight="1">
      <c r="A242" s="1"/>
      <c r="B242" s="1"/>
      <c r="C242" s="1"/>
      <c r="D242" s="1"/>
      <c r="E242" s="1"/>
      <c r="F242" s="1"/>
      <c r="G242" s="1"/>
      <c r="H242" s="1"/>
      <c r="I242" s="1"/>
      <c r="J242" s="1"/>
      <c r="K242" s="1"/>
      <c r="L242" s="1"/>
      <c r="M242" s="1"/>
      <c r="N242" s="1"/>
      <c r="O242" s="1"/>
      <c r="P242" s="1"/>
      <c r="Q242" s="1"/>
      <c r="R242" s="1"/>
      <c r="S242" s="1"/>
      <c r="T242" s="1"/>
      <c r="U242" s="2"/>
      <c r="V242" s="1"/>
      <c r="W242" s="1"/>
      <c r="X242" s="1"/>
      <c r="Y242" s="1"/>
      <c r="Z242" s="1"/>
    </row>
    <row r="243" spans="1:26" ht="39.75" customHeight="1">
      <c r="A243" s="1"/>
      <c r="B243" s="1"/>
      <c r="C243" s="1"/>
      <c r="D243" s="1"/>
      <c r="E243" s="1"/>
      <c r="F243" s="1"/>
      <c r="G243" s="1"/>
      <c r="H243" s="1"/>
      <c r="I243" s="1"/>
      <c r="J243" s="1"/>
      <c r="K243" s="1"/>
      <c r="L243" s="1"/>
      <c r="M243" s="1"/>
      <c r="N243" s="1"/>
      <c r="O243" s="1"/>
      <c r="P243" s="1"/>
      <c r="Q243" s="1"/>
      <c r="R243" s="1"/>
      <c r="S243" s="1"/>
      <c r="T243" s="1"/>
      <c r="U243" s="2"/>
      <c r="V243" s="1"/>
      <c r="W243" s="1"/>
      <c r="X243" s="1"/>
      <c r="Y243" s="1"/>
      <c r="Z243" s="1"/>
    </row>
    <row r="244" spans="1:26" ht="39.75" customHeight="1">
      <c r="A244" s="1"/>
      <c r="B244" s="1"/>
      <c r="C244" s="1"/>
      <c r="D244" s="1"/>
      <c r="E244" s="1"/>
      <c r="F244" s="1"/>
      <c r="G244" s="1"/>
      <c r="H244" s="1"/>
      <c r="I244" s="1"/>
      <c r="J244" s="1"/>
      <c r="K244" s="1"/>
      <c r="L244" s="1"/>
      <c r="M244" s="1"/>
      <c r="N244" s="1"/>
      <c r="O244" s="1"/>
      <c r="P244" s="1"/>
      <c r="Q244" s="1"/>
      <c r="R244" s="1"/>
      <c r="S244" s="1"/>
      <c r="T244" s="1"/>
      <c r="U244" s="2"/>
      <c r="V244" s="1"/>
      <c r="W244" s="1"/>
      <c r="X244" s="1"/>
      <c r="Y244" s="1"/>
      <c r="Z244" s="1"/>
    </row>
    <row r="245" spans="1:26" ht="39.75" customHeight="1">
      <c r="A245" s="1"/>
      <c r="B245" s="1"/>
      <c r="C245" s="1"/>
      <c r="D245" s="1"/>
      <c r="E245" s="1"/>
      <c r="F245" s="1"/>
      <c r="G245" s="1"/>
      <c r="H245" s="1"/>
      <c r="I245" s="1"/>
      <c r="J245" s="1"/>
      <c r="K245" s="1"/>
      <c r="L245" s="1"/>
      <c r="M245" s="1"/>
      <c r="N245" s="1"/>
      <c r="O245" s="1"/>
      <c r="P245" s="1"/>
      <c r="Q245" s="1"/>
      <c r="R245" s="1"/>
      <c r="S245" s="1"/>
      <c r="T245" s="1"/>
      <c r="U245" s="2"/>
      <c r="V245" s="1"/>
      <c r="W245" s="1"/>
      <c r="X245" s="1"/>
      <c r="Y245" s="1"/>
      <c r="Z245" s="1"/>
    </row>
    <row r="246" spans="1:26" ht="39.75" customHeight="1">
      <c r="A246" s="1"/>
      <c r="B246" s="1"/>
      <c r="C246" s="1"/>
      <c r="D246" s="1"/>
      <c r="E246" s="1"/>
      <c r="F246" s="1"/>
      <c r="G246" s="1"/>
      <c r="H246" s="1"/>
      <c r="I246" s="1"/>
      <c r="J246" s="1"/>
      <c r="K246" s="1"/>
      <c r="L246" s="1"/>
      <c r="M246" s="1"/>
      <c r="N246" s="1"/>
      <c r="O246" s="1"/>
      <c r="P246" s="1"/>
      <c r="Q246" s="1"/>
      <c r="R246" s="1"/>
      <c r="S246" s="1"/>
      <c r="T246" s="1"/>
      <c r="U246" s="2"/>
      <c r="V246" s="1"/>
      <c r="W246" s="1"/>
      <c r="X246" s="1"/>
      <c r="Y246" s="1"/>
      <c r="Z246" s="1"/>
    </row>
    <row r="247" spans="1:26" ht="39.75" customHeight="1">
      <c r="A247" s="1"/>
      <c r="B247" s="1"/>
      <c r="C247" s="1"/>
      <c r="D247" s="1"/>
      <c r="E247" s="1"/>
      <c r="F247" s="1"/>
      <c r="G247" s="1"/>
      <c r="H247" s="1"/>
      <c r="I247" s="1"/>
      <c r="J247" s="1"/>
      <c r="K247" s="1"/>
      <c r="L247" s="1"/>
      <c r="M247" s="1"/>
      <c r="N247" s="1"/>
      <c r="O247" s="1"/>
      <c r="P247" s="1"/>
      <c r="Q247" s="1"/>
      <c r="R247" s="1"/>
      <c r="S247" s="1"/>
      <c r="T247" s="1"/>
      <c r="U247" s="2"/>
      <c r="V247" s="1"/>
      <c r="W247" s="1"/>
      <c r="X247" s="1"/>
      <c r="Y247" s="1"/>
      <c r="Z247" s="1"/>
    </row>
    <row r="248" spans="1:26" ht="39.75" customHeight="1">
      <c r="A248" s="1"/>
      <c r="B248" s="1"/>
      <c r="C248" s="1"/>
      <c r="D248" s="1"/>
      <c r="E248" s="1"/>
      <c r="F248" s="1"/>
      <c r="G248" s="1"/>
      <c r="H248" s="1"/>
      <c r="I248" s="1"/>
      <c r="J248" s="1"/>
      <c r="K248" s="1"/>
      <c r="L248" s="1"/>
      <c r="M248" s="1"/>
      <c r="N248" s="1"/>
      <c r="O248" s="1"/>
      <c r="P248" s="1"/>
      <c r="Q248" s="1"/>
      <c r="R248" s="1"/>
      <c r="S248" s="1"/>
      <c r="T248" s="1"/>
      <c r="U248" s="2"/>
      <c r="V248" s="1"/>
      <c r="W248" s="1"/>
      <c r="X248" s="1"/>
      <c r="Y248" s="1"/>
      <c r="Z248" s="1"/>
    </row>
    <row r="249" spans="1:26" ht="39.75" customHeight="1">
      <c r="A249" s="1"/>
      <c r="B249" s="1"/>
      <c r="C249" s="1"/>
      <c r="D249" s="1"/>
      <c r="E249" s="1"/>
      <c r="F249" s="1"/>
      <c r="G249" s="1"/>
      <c r="H249" s="1"/>
      <c r="I249" s="1"/>
      <c r="J249" s="1"/>
      <c r="K249" s="1"/>
      <c r="L249" s="1"/>
      <c r="M249" s="1"/>
      <c r="N249" s="1"/>
      <c r="O249" s="1"/>
      <c r="P249" s="1"/>
      <c r="Q249" s="1"/>
      <c r="R249" s="1"/>
      <c r="S249" s="1"/>
      <c r="T249" s="1"/>
      <c r="U249" s="2"/>
      <c r="V249" s="1"/>
      <c r="W249" s="1"/>
      <c r="X249" s="1"/>
      <c r="Y249" s="1"/>
      <c r="Z249" s="1"/>
    </row>
    <row r="250" spans="1:26" ht="39.75" customHeight="1">
      <c r="A250" s="1"/>
      <c r="B250" s="1"/>
      <c r="C250" s="1"/>
      <c r="D250" s="1"/>
      <c r="E250" s="1"/>
      <c r="F250" s="1"/>
      <c r="G250" s="1"/>
      <c r="H250" s="1"/>
      <c r="I250" s="1"/>
      <c r="J250" s="1"/>
      <c r="K250" s="1"/>
      <c r="L250" s="1"/>
      <c r="M250" s="1"/>
      <c r="N250" s="1"/>
      <c r="O250" s="1"/>
      <c r="P250" s="1"/>
      <c r="Q250" s="1"/>
      <c r="R250" s="1"/>
      <c r="S250" s="1"/>
      <c r="T250" s="1"/>
      <c r="U250" s="2"/>
      <c r="V250" s="1"/>
      <c r="W250" s="1"/>
      <c r="X250" s="1"/>
      <c r="Y250" s="1"/>
      <c r="Z250" s="1"/>
    </row>
    <row r="251" spans="1:26" ht="39.75" customHeight="1">
      <c r="A251" s="1"/>
      <c r="B251" s="1"/>
      <c r="C251" s="1"/>
      <c r="D251" s="1"/>
      <c r="E251" s="1"/>
      <c r="F251" s="1"/>
      <c r="G251" s="1"/>
      <c r="H251" s="1"/>
      <c r="I251" s="1"/>
      <c r="J251" s="1"/>
      <c r="K251" s="1"/>
      <c r="L251" s="1"/>
      <c r="M251" s="1"/>
      <c r="N251" s="1"/>
      <c r="O251" s="1"/>
      <c r="P251" s="1"/>
      <c r="Q251" s="1"/>
      <c r="R251" s="1"/>
      <c r="S251" s="1"/>
      <c r="T251" s="1"/>
      <c r="U251" s="2"/>
      <c r="V251" s="1"/>
      <c r="W251" s="1"/>
      <c r="X251" s="1"/>
      <c r="Y251" s="1"/>
      <c r="Z251" s="1"/>
    </row>
    <row r="252" spans="1:26" ht="39.75" customHeight="1">
      <c r="A252" s="1"/>
      <c r="B252" s="1"/>
      <c r="C252" s="1"/>
      <c r="D252" s="1"/>
      <c r="E252" s="1"/>
      <c r="F252" s="1"/>
      <c r="G252" s="1"/>
      <c r="H252" s="1"/>
      <c r="I252" s="1"/>
      <c r="J252" s="1"/>
      <c r="K252" s="1"/>
      <c r="L252" s="1"/>
      <c r="M252" s="1"/>
      <c r="N252" s="1"/>
      <c r="O252" s="1"/>
      <c r="P252" s="1"/>
      <c r="Q252" s="1"/>
      <c r="R252" s="1"/>
      <c r="S252" s="1"/>
      <c r="T252" s="1"/>
      <c r="U252" s="2"/>
      <c r="V252" s="1"/>
      <c r="W252" s="1"/>
      <c r="X252" s="1"/>
      <c r="Y252" s="1"/>
      <c r="Z252" s="1"/>
    </row>
    <row r="253" spans="1:26" ht="39.75" customHeight="1">
      <c r="A253" s="1"/>
      <c r="B253" s="1"/>
      <c r="C253" s="1"/>
      <c r="D253" s="1"/>
      <c r="E253" s="1"/>
      <c r="F253" s="1"/>
      <c r="G253" s="1"/>
      <c r="H253" s="1"/>
      <c r="I253" s="1"/>
      <c r="J253" s="1"/>
      <c r="K253" s="1"/>
      <c r="L253" s="1"/>
      <c r="M253" s="1"/>
      <c r="N253" s="1"/>
      <c r="O253" s="1"/>
      <c r="P253" s="1"/>
      <c r="Q253" s="1"/>
      <c r="R253" s="1"/>
      <c r="S253" s="1"/>
      <c r="T253" s="1"/>
      <c r="U253" s="2"/>
      <c r="V253" s="1"/>
      <c r="W253" s="1"/>
      <c r="X253" s="1"/>
      <c r="Y253" s="1"/>
      <c r="Z253" s="1"/>
    </row>
    <row r="254" spans="1:26" ht="39.75" customHeight="1">
      <c r="A254" s="1"/>
      <c r="B254" s="1"/>
      <c r="C254" s="1"/>
      <c r="D254" s="1"/>
      <c r="E254" s="1"/>
      <c r="F254" s="1"/>
      <c r="G254" s="1"/>
      <c r="H254" s="1"/>
      <c r="I254" s="1"/>
      <c r="J254" s="1"/>
      <c r="K254" s="1"/>
      <c r="L254" s="1"/>
      <c r="M254" s="1"/>
      <c r="N254" s="1"/>
      <c r="O254" s="1"/>
      <c r="P254" s="1"/>
      <c r="Q254" s="1"/>
      <c r="R254" s="1"/>
      <c r="S254" s="1"/>
      <c r="T254" s="1"/>
      <c r="U254" s="2"/>
      <c r="V254" s="1"/>
      <c r="W254" s="1"/>
      <c r="X254" s="1"/>
      <c r="Y254" s="1"/>
      <c r="Z254" s="1"/>
    </row>
    <row r="255" spans="1:26" ht="39.75" customHeight="1">
      <c r="A255" s="1"/>
      <c r="B255" s="1"/>
      <c r="C255" s="1"/>
      <c r="D255" s="1"/>
      <c r="E255" s="1"/>
      <c r="F255" s="1"/>
      <c r="G255" s="1"/>
      <c r="H255" s="1"/>
      <c r="I255" s="1"/>
      <c r="J255" s="1"/>
      <c r="K255" s="1"/>
      <c r="L255" s="1"/>
      <c r="M255" s="1"/>
      <c r="N255" s="1"/>
      <c r="O255" s="1"/>
      <c r="P255" s="1"/>
      <c r="Q255" s="1"/>
      <c r="R255" s="1"/>
      <c r="S255" s="1"/>
      <c r="T255" s="1"/>
      <c r="U255" s="2"/>
      <c r="V255" s="1"/>
      <c r="W255" s="1"/>
      <c r="X255" s="1"/>
      <c r="Y255" s="1"/>
      <c r="Z255" s="1"/>
    </row>
    <row r="256" spans="1:26" ht="39.75" customHeight="1">
      <c r="A256" s="1"/>
      <c r="B256" s="1"/>
      <c r="C256" s="1"/>
      <c r="D256" s="1"/>
      <c r="E256" s="1"/>
      <c r="F256" s="1"/>
      <c r="G256" s="1"/>
      <c r="H256" s="1"/>
      <c r="I256" s="1"/>
      <c r="J256" s="1"/>
      <c r="K256" s="1"/>
      <c r="L256" s="1"/>
      <c r="M256" s="1"/>
      <c r="N256" s="1"/>
      <c r="O256" s="1"/>
      <c r="P256" s="1"/>
      <c r="Q256" s="1"/>
      <c r="R256" s="1"/>
      <c r="S256" s="1"/>
      <c r="T256" s="1"/>
      <c r="U256" s="2"/>
      <c r="V256" s="1"/>
      <c r="W256" s="1"/>
      <c r="X256" s="1"/>
      <c r="Y256" s="1"/>
      <c r="Z256" s="1"/>
    </row>
    <row r="257" spans="1:26" ht="39.75" customHeight="1">
      <c r="A257" s="1"/>
      <c r="B257" s="1"/>
      <c r="C257" s="1"/>
      <c r="D257" s="1"/>
      <c r="E257" s="1"/>
      <c r="F257" s="1"/>
      <c r="G257" s="1"/>
      <c r="H257" s="1"/>
      <c r="I257" s="1"/>
      <c r="J257" s="1"/>
      <c r="K257" s="1"/>
      <c r="L257" s="1"/>
      <c r="M257" s="1"/>
      <c r="N257" s="1"/>
      <c r="O257" s="1"/>
      <c r="P257" s="1"/>
      <c r="Q257" s="1"/>
      <c r="R257" s="1"/>
      <c r="S257" s="1"/>
      <c r="T257" s="1"/>
      <c r="U257" s="2"/>
      <c r="V257" s="1"/>
      <c r="W257" s="1"/>
      <c r="X257" s="1"/>
      <c r="Y257" s="1"/>
      <c r="Z257" s="1"/>
    </row>
    <row r="258" spans="1:26" ht="39.75" customHeight="1">
      <c r="A258" s="1"/>
      <c r="B258" s="1"/>
      <c r="C258" s="1"/>
      <c r="D258" s="1"/>
      <c r="E258" s="1"/>
      <c r="F258" s="1"/>
      <c r="G258" s="1"/>
      <c r="H258" s="1"/>
      <c r="I258" s="1"/>
      <c r="J258" s="1"/>
      <c r="K258" s="1"/>
      <c r="L258" s="1"/>
      <c r="M258" s="1"/>
      <c r="N258" s="1"/>
      <c r="O258" s="1"/>
      <c r="P258" s="1"/>
      <c r="Q258" s="1"/>
      <c r="R258" s="1"/>
      <c r="S258" s="1"/>
      <c r="T258" s="1"/>
      <c r="U258" s="2"/>
      <c r="V258" s="1"/>
      <c r="W258" s="1"/>
      <c r="X258" s="1"/>
      <c r="Y258" s="1"/>
      <c r="Z258" s="1"/>
    </row>
    <row r="259" spans="1:26" ht="39.75" customHeight="1">
      <c r="A259" s="1"/>
      <c r="B259" s="1"/>
      <c r="C259" s="1"/>
      <c r="D259" s="1"/>
      <c r="E259" s="1"/>
      <c r="F259" s="1"/>
      <c r="G259" s="1"/>
      <c r="H259" s="1"/>
      <c r="I259" s="1"/>
      <c r="J259" s="1"/>
      <c r="K259" s="1"/>
      <c r="L259" s="1"/>
      <c r="M259" s="1"/>
      <c r="N259" s="1"/>
      <c r="O259" s="1"/>
      <c r="P259" s="1"/>
      <c r="Q259" s="1"/>
      <c r="R259" s="1"/>
      <c r="S259" s="1"/>
      <c r="T259" s="1"/>
      <c r="U259" s="2"/>
      <c r="V259" s="1"/>
      <c r="W259" s="1"/>
      <c r="X259" s="1"/>
      <c r="Y259" s="1"/>
      <c r="Z259" s="1"/>
    </row>
    <row r="260" spans="1:26" ht="39.75" customHeight="1">
      <c r="A260" s="1"/>
      <c r="B260" s="1"/>
      <c r="C260" s="1"/>
      <c r="D260" s="1"/>
      <c r="E260" s="1"/>
      <c r="F260" s="1"/>
      <c r="G260" s="1"/>
      <c r="H260" s="1"/>
      <c r="I260" s="1"/>
      <c r="J260" s="1"/>
      <c r="K260" s="1"/>
      <c r="L260" s="1"/>
      <c r="M260" s="1"/>
      <c r="N260" s="1"/>
      <c r="O260" s="1"/>
      <c r="P260" s="1"/>
      <c r="Q260" s="1"/>
      <c r="R260" s="1"/>
      <c r="S260" s="1"/>
      <c r="T260" s="1"/>
      <c r="U260" s="2"/>
      <c r="V260" s="1"/>
      <c r="W260" s="1"/>
      <c r="X260" s="1"/>
      <c r="Y260" s="1"/>
      <c r="Z260" s="1"/>
    </row>
    <row r="261" spans="1:26" ht="39.75" customHeight="1">
      <c r="A261" s="1"/>
      <c r="B261" s="1"/>
      <c r="C261" s="1"/>
      <c r="D261" s="1"/>
      <c r="E261" s="1"/>
      <c r="F261" s="1"/>
      <c r="G261" s="1"/>
      <c r="H261" s="1"/>
      <c r="I261" s="1"/>
      <c r="J261" s="1"/>
      <c r="K261" s="1"/>
      <c r="L261" s="1"/>
      <c r="M261" s="1"/>
      <c r="N261" s="1"/>
      <c r="O261" s="1"/>
      <c r="P261" s="1"/>
      <c r="Q261" s="1"/>
      <c r="R261" s="1"/>
      <c r="S261" s="1"/>
      <c r="T261" s="1"/>
      <c r="U261" s="2"/>
      <c r="V261" s="1"/>
      <c r="W261" s="1"/>
      <c r="X261" s="1"/>
      <c r="Y261" s="1"/>
      <c r="Z261" s="1"/>
    </row>
    <row r="262" spans="1:26" ht="39.75" customHeight="1">
      <c r="A262" s="1"/>
      <c r="B262" s="1"/>
      <c r="C262" s="1"/>
      <c r="D262" s="1"/>
      <c r="E262" s="1"/>
      <c r="F262" s="1"/>
      <c r="G262" s="1"/>
      <c r="H262" s="1"/>
      <c r="I262" s="1"/>
      <c r="J262" s="1"/>
      <c r="K262" s="1"/>
      <c r="L262" s="1"/>
      <c r="M262" s="1"/>
      <c r="N262" s="1"/>
      <c r="O262" s="1"/>
      <c r="P262" s="1"/>
      <c r="Q262" s="1"/>
      <c r="R262" s="1"/>
      <c r="S262" s="1"/>
      <c r="T262" s="1"/>
      <c r="U262" s="2"/>
      <c r="V262" s="1"/>
      <c r="W262" s="1"/>
      <c r="X262" s="1"/>
      <c r="Y262" s="1"/>
      <c r="Z262" s="1"/>
    </row>
    <row r="263" spans="1:26" ht="39.75" customHeight="1">
      <c r="A263" s="1"/>
      <c r="B263" s="1"/>
      <c r="C263" s="1"/>
      <c r="D263" s="1"/>
      <c r="E263" s="1"/>
      <c r="F263" s="1"/>
      <c r="G263" s="1"/>
      <c r="H263" s="1"/>
      <c r="I263" s="1"/>
      <c r="J263" s="1"/>
      <c r="K263" s="1"/>
      <c r="L263" s="1"/>
      <c r="M263" s="1"/>
      <c r="N263" s="1"/>
      <c r="O263" s="1"/>
      <c r="P263" s="1"/>
      <c r="Q263" s="1"/>
      <c r="R263" s="1"/>
      <c r="S263" s="1"/>
      <c r="T263" s="1"/>
      <c r="U263" s="2"/>
      <c r="V263" s="1"/>
      <c r="W263" s="1"/>
      <c r="X263" s="1"/>
      <c r="Y263" s="1"/>
      <c r="Z263" s="1"/>
    </row>
    <row r="264" spans="1:26" ht="39.75" customHeight="1">
      <c r="A264" s="1"/>
      <c r="B264" s="1"/>
      <c r="C264" s="1"/>
      <c r="D264" s="1"/>
      <c r="E264" s="1"/>
      <c r="F264" s="1"/>
      <c r="G264" s="1"/>
      <c r="H264" s="1"/>
      <c r="I264" s="1"/>
      <c r="J264" s="1"/>
      <c r="K264" s="1"/>
      <c r="L264" s="1"/>
      <c r="M264" s="1"/>
      <c r="N264" s="1"/>
      <c r="O264" s="1"/>
      <c r="P264" s="1"/>
      <c r="Q264" s="1"/>
      <c r="R264" s="1"/>
      <c r="S264" s="1"/>
      <c r="T264" s="1"/>
      <c r="U264" s="2"/>
      <c r="V264" s="1"/>
      <c r="W264" s="1"/>
      <c r="X264" s="1"/>
      <c r="Y264" s="1"/>
      <c r="Z264" s="1"/>
    </row>
    <row r="265" spans="1:26" ht="39.75" customHeight="1">
      <c r="A265" s="1"/>
      <c r="B265" s="1"/>
      <c r="C265" s="1"/>
      <c r="D265" s="1"/>
      <c r="E265" s="1"/>
      <c r="F265" s="1"/>
      <c r="G265" s="1"/>
      <c r="H265" s="1"/>
      <c r="I265" s="1"/>
      <c r="J265" s="1"/>
      <c r="K265" s="1"/>
      <c r="L265" s="1"/>
      <c r="M265" s="1"/>
      <c r="N265" s="1"/>
      <c r="O265" s="1"/>
      <c r="P265" s="1"/>
      <c r="Q265" s="1"/>
      <c r="R265" s="1"/>
      <c r="S265" s="1"/>
      <c r="T265" s="1"/>
      <c r="U265" s="2"/>
      <c r="V265" s="1"/>
      <c r="W265" s="1"/>
      <c r="X265" s="1"/>
      <c r="Y265" s="1"/>
      <c r="Z265" s="1"/>
    </row>
    <row r="266" spans="1:26" ht="39.75" customHeight="1">
      <c r="A266" s="1"/>
      <c r="B266" s="1"/>
      <c r="C266" s="1"/>
      <c r="D266" s="1"/>
      <c r="E266" s="1"/>
      <c r="F266" s="1"/>
      <c r="G266" s="1"/>
      <c r="H266" s="1"/>
      <c r="I266" s="1"/>
      <c r="J266" s="1"/>
      <c r="K266" s="1"/>
      <c r="L266" s="1"/>
      <c r="M266" s="1"/>
      <c r="N266" s="1"/>
      <c r="O266" s="1"/>
      <c r="P266" s="1"/>
      <c r="Q266" s="1"/>
      <c r="R266" s="1"/>
      <c r="S266" s="1"/>
      <c r="T266" s="1"/>
      <c r="U266" s="2"/>
      <c r="V266" s="1"/>
      <c r="W266" s="1"/>
      <c r="X266" s="1"/>
      <c r="Y266" s="1"/>
      <c r="Z266" s="1"/>
    </row>
    <row r="267" spans="1:26" ht="39.75" customHeight="1">
      <c r="A267" s="1"/>
      <c r="B267" s="1"/>
      <c r="C267" s="1"/>
      <c r="D267" s="1"/>
      <c r="E267" s="1"/>
      <c r="F267" s="1"/>
      <c r="G267" s="1"/>
      <c r="H267" s="1"/>
      <c r="I267" s="1"/>
      <c r="J267" s="1"/>
      <c r="K267" s="1"/>
      <c r="L267" s="1"/>
      <c r="M267" s="1"/>
      <c r="N267" s="1"/>
      <c r="O267" s="1"/>
      <c r="P267" s="1"/>
      <c r="Q267" s="1"/>
      <c r="R267" s="1"/>
      <c r="S267" s="1"/>
      <c r="T267" s="1"/>
      <c r="U267" s="2"/>
      <c r="V267" s="1"/>
      <c r="W267" s="1"/>
      <c r="X267" s="1"/>
      <c r="Y267" s="1"/>
      <c r="Z267" s="1"/>
    </row>
    <row r="268" spans="1:26" ht="39.75" customHeight="1">
      <c r="A268" s="1"/>
      <c r="B268" s="1"/>
      <c r="C268" s="1"/>
      <c r="D268" s="1"/>
      <c r="E268" s="1"/>
      <c r="F268" s="1"/>
      <c r="G268" s="1"/>
      <c r="H268" s="1"/>
      <c r="I268" s="1"/>
      <c r="J268" s="1"/>
      <c r="K268" s="1"/>
      <c r="L268" s="1"/>
      <c r="M268" s="1"/>
      <c r="N268" s="1"/>
      <c r="O268" s="1"/>
      <c r="P268" s="1"/>
      <c r="Q268" s="1"/>
      <c r="R268" s="1"/>
      <c r="S268" s="1"/>
      <c r="T268" s="1"/>
      <c r="U268" s="2"/>
      <c r="V268" s="1"/>
      <c r="W268" s="1"/>
      <c r="X268" s="1"/>
      <c r="Y268" s="1"/>
      <c r="Z268" s="1"/>
    </row>
    <row r="269" spans="1:26" ht="39.75" customHeight="1">
      <c r="A269" s="1"/>
      <c r="B269" s="1"/>
      <c r="C269" s="1"/>
      <c r="D269" s="1"/>
      <c r="E269" s="1"/>
      <c r="F269" s="1"/>
      <c r="G269" s="1"/>
      <c r="H269" s="1"/>
      <c r="I269" s="1"/>
      <c r="J269" s="1"/>
      <c r="K269" s="1"/>
      <c r="L269" s="1"/>
      <c r="M269" s="1"/>
      <c r="N269" s="1"/>
      <c r="O269" s="1"/>
      <c r="P269" s="1"/>
      <c r="Q269" s="1"/>
      <c r="R269" s="1"/>
      <c r="S269" s="1"/>
      <c r="T269" s="1"/>
      <c r="U269" s="2"/>
      <c r="V269" s="1"/>
      <c r="W269" s="1"/>
      <c r="X269" s="1"/>
      <c r="Y269" s="1"/>
      <c r="Z269" s="1"/>
    </row>
    <row r="270" spans="1:26" ht="39.75" customHeight="1">
      <c r="A270" s="1"/>
      <c r="B270" s="1"/>
      <c r="C270" s="1"/>
      <c r="D270" s="1"/>
      <c r="E270" s="1"/>
      <c r="F270" s="1"/>
      <c r="G270" s="1"/>
      <c r="H270" s="1"/>
      <c r="I270" s="1"/>
      <c r="J270" s="1"/>
      <c r="K270" s="1"/>
      <c r="L270" s="1"/>
      <c r="M270" s="1"/>
      <c r="N270" s="1"/>
      <c r="O270" s="1"/>
      <c r="P270" s="1"/>
      <c r="Q270" s="1"/>
      <c r="R270" s="1"/>
      <c r="S270" s="1"/>
      <c r="T270" s="1"/>
      <c r="U270" s="2"/>
      <c r="V270" s="1"/>
      <c r="W270" s="1"/>
      <c r="X270" s="1"/>
      <c r="Y270" s="1"/>
      <c r="Z270" s="1"/>
    </row>
    <row r="271" spans="1:26" ht="39.75" customHeight="1">
      <c r="A271" s="1"/>
      <c r="B271" s="1"/>
      <c r="C271" s="1"/>
      <c r="D271" s="1"/>
      <c r="E271" s="1"/>
      <c r="F271" s="1"/>
      <c r="G271" s="1"/>
      <c r="H271" s="1"/>
      <c r="I271" s="1"/>
      <c r="J271" s="1"/>
      <c r="K271" s="1"/>
      <c r="L271" s="1"/>
      <c r="M271" s="1"/>
      <c r="N271" s="1"/>
      <c r="O271" s="1"/>
      <c r="P271" s="1"/>
      <c r="Q271" s="1"/>
      <c r="R271" s="1"/>
      <c r="S271" s="1"/>
      <c r="T271" s="1"/>
      <c r="U271" s="2"/>
      <c r="V271" s="1"/>
      <c r="W271" s="1"/>
      <c r="X271" s="1"/>
      <c r="Y271" s="1"/>
      <c r="Z271" s="1"/>
    </row>
    <row r="272" spans="1:26" ht="39.75" customHeight="1">
      <c r="A272" s="1"/>
      <c r="B272" s="1"/>
      <c r="C272" s="1"/>
      <c r="D272" s="1"/>
      <c r="E272" s="1"/>
      <c r="F272" s="1"/>
      <c r="G272" s="1"/>
      <c r="H272" s="1"/>
      <c r="I272" s="1"/>
      <c r="J272" s="1"/>
      <c r="K272" s="1"/>
      <c r="L272" s="1"/>
      <c r="M272" s="1"/>
      <c r="N272" s="1"/>
      <c r="O272" s="1"/>
      <c r="P272" s="1"/>
      <c r="Q272" s="1"/>
      <c r="R272" s="1"/>
      <c r="S272" s="1"/>
      <c r="T272" s="1"/>
      <c r="U272" s="2"/>
      <c r="V272" s="1"/>
      <c r="W272" s="1"/>
      <c r="X272" s="1"/>
      <c r="Y272" s="1"/>
      <c r="Z272" s="1"/>
    </row>
    <row r="273" spans="1:26" ht="39.75" customHeight="1">
      <c r="A273" s="1"/>
      <c r="B273" s="1"/>
      <c r="C273" s="1"/>
      <c r="D273" s="1"/>
      <c r="E273" s="1"/>
      <c r="F273" s="1"/>
      <c r="G273" s="1"/>
      <c r="H273" s="1"/>
      <c r="I273" s="1"/>
      <c r="J273" s="1"/>
      <c r="K273" s="1"/>
      <c r="L273" s="1"/>
      <c r="M273" s="1"/>
      <c r="N273" s="1"/>
      <c r="O273" s="1"/>
      <c r="P273" s="1"/>
      <c r="Q273" s="1"/>
      <c r="R273" s="1"/>
      <c r="S273" s="1"/>
      <c r="T273" s="1"/>
      <c r="U273" s="2"/>
      <c r="V273" s="1"/>
      <c r="W273" s="1"/>
      <c r="X273" s="1"/>
      <c r="Y273" s="1"/>
      <c r="Z273" s="1"/>
    </row>
    <row r="274" spans="1:26" ht="39.75" customHeight="1">
      <c r="A274" s="1"/>
      <c r="B274" s="1"/>
      <c r="C274" s="1"/>
      <c r="D274" s="1"/>
      <c r="E274" s="1"/>
      <c r="F274" s="1"/>
      <c r="G274" s="1"/>
      <c r="H274" s="1"/>
      <c r="I274" s="1"/>
      <c r="J274" s="1"/>
      <c r="K274" s="1"/>
      <c r="L274" s="1"/>
      <c r="M274" s="1"/>
      <c r="N274" s="1"/>
      <c r="O274" s="1"/>
      <c r="P274" s="1"/>
      <c r="Q274" s="1"/>
      <c r="R274" s="1"/>
      <c r="S274" s="1"/>
      <c r="T274" s="1"/>
      <c r="U274" s="2"/>
      <c r="V274" s="1"/>
      <c r="W274" s="1"/>
      <c r="X274" s="1"/>
      <c r="Y274" s="1"/>
      <c r="Z274" s="1"/>
    </row>
    <row r="275" spans="1:26" ht="39.75" customHeight="1">
      <c r="A275" s="1"/>
      <c r="B275" s="1"/>
      <c r="C275" s="1"/>
      <c r="D275" s="1"/>
      <c r="E275" s="1"/>
      <c r="F275" s="1"/>
      <c r="G275" s="1"/>
      <c r="H275" s="1"/>
      <c r="I275" s="1"/>
      <c r="J275" s="1"/>
      <c r="K275" s="1"/>
      <c r="L275" s="1"/>
      <c r="M275" s="1"/>
      <c r="N275" s="1"/>
      <c r="O275" s="1"/>
      <c r="P275" s="1"/>
      <c r="Q275" s="1"/>
      <c r="R275" s="1"/>
      <c r="S275" s="1"/>
      <c r="T275" s="1"/>
      <c r="U275" s="2"/>
      <c r="V275" s="1"/>
      <c r="W275" s="1"/>
      <c r="X275" s="1"/>
      <c r="Y275" s="1"/>
      <c r="Z275" s="1"/>
    </row>
    <row r="276" spans="1:26" ht="39.75" customHeight="1">
      <c r="A276" s="1"/>
      <c r="B276" s="1"/>
      <c r="C276" s="1"/>
      <c r="D276" s="1"/>
      <c r="E276" s="1"/>
      <c r="F276" s="1"/>
      <c r="G276" s="1"/>
      <c r="H276" s="1"/>
      <c r="I276" s="1"/>
      <c r="J276" s="1"/>
      <c r="K276" s="1"/>
      <c r="L276" s="1"/>
      <c r="M276" s="1"/>
      <c r="N276" s="1"/>
      <c r="O276" s="1"/>
      <c r="P276" s="1"/>
      <c r="Q276" s="1"/>
      <c r="R276" s="1"/>
      <c r="S276" s="1"/>
      <c r="T276" s="1"/>
      <c r="U276" s="2"/>
      <c r="V276" s="1"/>
      <c r="W276" s="1"/>
      <c r="X276" s="1"/>
      <c r="Y276" s="1"/>
      <c r="Z276" s="1"/>
    </row>
    <row r="277" spans="1:26" ht="39.75" customHeight="1">
      <c r="A277" s="1"/>
      <c r="B277" s="1"/>
      <c r="C277" s="1"/>
      <c r="D277" s="1"/>
      <c r="E277" s="1"/>
      <c r="F277" s="1"/>
      <c r="G277" s="1"/>
      <c r="H277" s="1"/>
      <c r="I277" s="1"/>
      <c r="J277" s="1"/>
      <c r="K277" s="1"/>
      <c r="L277" s="1"/>
      <c r="M277" s="1"/>
      <c r="N277" s="1"/>
      <c r="O277" s="1"/>
      <c r="P277" s="1"/>
      <c r="Q277" s="1"/>
      <c r="R277" s="1"/>
      <c r="S277" s="1"/>
      <c r="T277" s="1"/>
      <c r="U277" s="2"/>
      <c r="V277" s="1"/>
      <c r="W277" s="1"/>
      <c r="X277" s="1"/>
      <c r="Y277" s="1"/>
      <c r="Z277" s="1"/>
    </row>
    <row r="278" spans="1:26" ht="39.75" customHeight="1">
      <c r="A278" s="1"/>
      <c r="B278" s="1"/>
      <c r="C278" s="1"/>
      <c r="D278" s="1"/>
      <c r="E278" s="1"/>
      <c r="F278" s="1"/>
      <c r="G278" s="1"/>
      <c r="H278" s="1"/>
      <c r="I278" s="1"/>
      <c r="J278" s="1"/>
      <c r="K278" s="1"/>
      <c r="L278" s="1"/>
      <c r="M278" s="1"/>
      <c r="N278" s="1"/>
      <c r="O278" s="1"/>
      <c r="P278" s="1"/>
      <c r="Q278" s="1"/>
      <c r="R278" s="1"/>
      <c r="S278" s="1"/>
      <c r="T278" s="1"/>
      <c r="U278" s="2"/>
      <c r="V278" s="1"/>
      <c r="W278" s="1"/>
      <c r="X278" s="1"/>
      <c r="Y278" s="1"/>
      <c r="Z278" s="1"/>
    </row>
    <row r="279" spans="1:26" ht="39.75" customHeight="1">
      <c r="A279" s="1"/>
      <c r="B279" s="1"/>
      <c r="C279" s="1"/>
      <c r="D279" s="1"/>
      <c r="E279" s="1"/>
      <c r="F279" s="1"/>
      <c r="G279" s="1"/>
      <c r="H279" s="1"/>
      <c r="I279" s="1"/>
      <c r="J279" s="1"/>
      <c r="K279" s="1"/>
      <c r="L279" s="1"/>
      <c r="M279" s="1"/>
      <c r="N279" s="1"/>
      <c r="O279" s="1"/>
      <c r="P279" s="1"/>
      <c r="Q279" s="1"/>
      <c r="R279" s="1"/>
      <c r="S279" s="1"/>
      <c r="T279" s="1"/>
      <c r="U279" s="2"/>
      <c r="V279" s="1"/>
      <c r="W279" s="1"/>
      <c r="X279" s="1"/>
      <c r="Y279" s="1"/>
      <c r="Z279" s="1"/>
    </row>
    <row r="280" spans="1:26" ht="39.75" customHeight="1">
      <c r="A280" s="1"/>
      <c r="B280" s="1"/>
      <c r="C280" s="1"/>
      <c r="D280" s="1"/>
      <c r="E280" s="1"/>
      <c r="F280" s="1"/>
      <c r="G280" s="1"/>
      <c r="H280" s="1"/>
      <c r="I280" s="1"/>
      <c r="J280" s="1"/>
      <c r="K280" s="1"/>
      <c r="L280" s="1"/>
      <c r="M280" s="1"/>
      <c r="N280" s="1"/>
      <c r="O280" s="1"/>
      <c r="P280" s="1"/>
      <c r="Q280" s="1"/>
      <c r="R280" s="1"/>
      <c r="S280" s="1"/>
      <c r="T280" s="1"/>
      <c r="U280" s="2"/>
      <c r="V280" s="1"/>
      <c r="W280" s="1"/>
      <c r="X280" s="1"/>
      <c r="Y280" s="1"/>
      <c r="Z280" s="1"/>
    </row>
    <row r="281" spans="1:26" ht="39.75" customHeight="1">
      <c r="A281" s="1"/>
      <c r="B281" s="1"/>
      <c r="C281" s="1"/>
      <c r="D281" s="1"/>
      <c r="E281" s="1"/>
      <c r="F281" s="1"/>
      <c r="G281" s="1"/>
      <c r="H281" s="1"/>
      <c r="I281" s="1"/>
      <c r="J281" s="1"/>
      <c r="K281" s="1"/>
      <c r="L281" s="1"/>
      <c r="M281" s="1"/>
      <c r="N281" s="1"/>
      <c r="O281" s="1"/>
      <c r="P281" s="1"/>
      <c r="Q281" s="1"/>
      <c r="R281" s="1"/>
      <c r="S281" s="1"/>
      <c r="T281" s="1"/>
      <c r="U281" s="2"/>
      <c r="V281" s="1"/>
      <c r="W281" s="1"/>
      <c r="X281" s="1"/>
      <c r="Y281" s="1"/>
      <c r="Z281" s="1"/>
    </row>
    <row r="282" spans="1:26" ht="39.75" customHeight="1">
      <c r="A282" s="1"/>
      <c r="B282" s="1"/>
      <c r="C282" s="1"/>
      <c r="D282" s="1"/>
      <c r="E282" s="1"/>
      <c r="F282" s="1"/>
      <c r="G282" s="1"/>
      <c r="H282" s="1"/>
      <c r="I282" s="1"/>
      <c r="J282" s="1"/>
      <c r="K282" s="1"/>
      <c r="L282" s="1"/>
      <c r="M282" s="1"/>
      <c r="N282" s="1"/>
      <c r="O282" s="1"/>
      <c r="P282" s="1"/>
      <c r="Q282" s="1"/>
      <c r="R282" s="1"/>
      <c r="S282" s="1"/>
      <c r="T282" s="1"/>
      <c r="U282" s="2"/>
      <c r="V282" s="1"/>
      <c r="W282" s="1"/>
      <c r="X282" s="1"/>
      <c r="Y282" s="1"/>
      <c r="Z282" s="1"/>
    </row>
    <row r="283" spans="1:26" ht="39.75" customHeight="1">
      <c r="A283" s="1"/>
      <c r="B283" s="1"/>
      <c r="C283" s="1"/>
      <c r="D283" s="1"/>
      <c r="E283" s="1"/>
      <c r="F283" s="1"/>
      <c r="G283" s="1"/>
      <c r="H283" s="1"/>
      <c r="I283" s="1"/>
      <c r="J283" s="1"/>
      <c r="K283" s="1"/>
      <c r="L283" s="1"/>
      <c r="M283" s="1"/>
      <c r="N283" s="1"/>
      <c r="O283" s="1"/>
      <c r="P283" s="1"/>
      <c r="Q283" s="1"/>
      <c r="R283" s="1"/>
      <c r="S283" s="1"/>
      <c r="T283" s="1"/>
      <c r="U283" s="2"/>
      <c r="V283" s="1"/>
      <c r="W283" s="1"/>
      <c r="X283" s="1"/>
      <c r="Y283" s="1"/>
      <c r="Z283" s="1"/>
    </row>
    <row r="284" spans="1:26" ht="39.75" customHeight="1">
      <c r="A284" s="1"/>
      <c r="B284" s="1"/>
      <c r="C284" s="1"/>
      <c r="D284" s="1"/>
      <c r="E284" s="1"/>
      <c r="F284" s="1"/>
      <c r="G284" s="1"/>
      <c r="H284" s="1"/>
      <c r="I284" s="1"/>
      <c r="J284" s="1"/>
      <c r="K284" s="1"/>
      <c r="L284" s="1"/>
      <c r="M284" s="1"/>
      <c r="N284" s="1"/>
      <c r="O284" s="1"/>
      <c r="P284" s="1"/>
      <c r="Q284" s="1"/>
      <c r="R284" s="1"/>
      <c r="S284" s="1"/>
      <c r="T284" s="1"/>
      <c r="U284" s="2"/>
      <c r="V284" s="1"/>
      <c r="W284" s="1"/>
      <c r="X284" s="1"/>
      <c r="Y284" s="1"/>
      <c r="Z284" s="1"/>
    </row>
    <row r="285" spans="1:26" ht="39.75" customHeight="1">
      <c r="A285" s="1"/>
      <c r="B285" s="1"/>
      <c r="C285" s="1"/>
      <c r="D285" s="1"/>
      <c r="E285" s="1"/>
      <c r="F285" s="1"/>
      <c r="G285" s="1"/>
      <c r="H285" s="1"/>
      <c r="I285" s="1"/>
      <c r="J285" s="1"/>
      <c r="K285" s="1"/>
      <c r="L285" s="1"/>
      <c r="M285" s="1"/>
      <c r="N285" s="1"/>
      <c r="O285" s="1"/>
      <c r="P285" s="1"/>
      <c r="Q285" s="1"/>
      <c r="R285" s="1"/>
      <c r="S285" s="1"/>
      <c r="T285" s="1"/>
      <c r="U285" s="2"/>
      <c r="V285" s="1"/>
      <c r="W285" s="1"/>
      <c r="X285" s="1"/>
      <c r="Y285" s="1"/>
      <c r="Z285" s="1"/>
    </row>
    <row r="286" spans="1:26" ht="39.75" customHeight="1">
      <c r="A286" s="1"/>
      <c r="B286" s="1"/>
      <c r="C286" s="1"/>
      <c r="D286" s="1"/>
      <c r="E286" s="1"/>
      <c r="F286" s="1"/>
      <c r="G286" s="1"/>
      <c r="H286" s="1"/>
      <c r="I286" s="1"/>
      <c r="J286" s="1"/>
      <c r="K286" s="1"/>
      <c r="L286" s="1"/>
      <c r="M286" s="1"/>
      <c r="N286" s="1"/>
      <c r="O286" s="1"/>
      <c r="P286" s="1"/>
      <c r="Q286" s="1"/>
      <c r="R286" s="1"/>
      <c r="S286" s="1"/>
      <c r="T286" s="1"/>
      <c r="U286" s="2"/>
      <c r="V286" s="1"/>
      <c r="W286" s="1"/>
      <c r="X286" s="1"/>
      <c r="Y286" s="1"/>
      <c r="Z286" s="1"/>
    </row>
    <row r="287" spans="1:26" ht="39.75" customHeight="1">
      <c r="A287" s="1"/>
      <c r="B287" s="1"/>
      <c r="C287" s="1"/>
      <c r="D287" s="1"/>
      <c r="E287" s="1"/>
      <c r="F287" s="1"/>
      <c r="G287" s="1"/>
      <c r="H287" s="1"/>
      <c r="I287" s="1"/>
      <c r="J287" s="1"/>
      <c r="K287" s="1"/>
      <c r="L287" s="1"/>
      <c r="M287" s="1"/>
      <c r="N287" s="1"/>
      <c r="O287" s="1"/>
      <c r="P287" s="1"/>
      <c r="Q287" s="1"/>
      <c r="R287" s="1"/>
      <c r="S287" s="1"/>
      <c r="T287" s="1"/>
      <c r="U287" s="2"/>
      <c r="V287" s="1"/>
      <c r="W287" s="1"/>
      <c r="X287" s="1"/>
      <c r="Y287" s="1"/>
      <c r="Z287" s="1"/>
    </row>
    <row r="288" spans="1:26" ht="39.75" customHeight="1">
      <c r="A288" s="1"/>
      <c r="B288" s="1"/>
      <c r="C288" s="1"/>
      <c r="D288" s="1"/>
      <c r="E288" s="1"/>
      <c r="F288" s="1"/>
      <c r="G288" s="1"/>
      <c r="H288" s="1"/>
      <c r="I288" s="1"/>
      <c r="J288" s="1"/>
      <c r="K288" s="1"/>
      <c r="L288" s="1"/>
      <c r="M288" s="1"/>
      <c r="N288" s="1"/>
      <c r="O288" s="1"/>
      <c r="P288" s="1"/>
      <c r="Q288" s="1"/>
      <c r="R288" s="1"/>
      <c r="S288" s="1"/>
      <c r="T288" s="1"/>
      <c r="U288" s="2"/>
      <c r="V288" s="1"/>
      <c r="W288" s="1"/>
      <c r="X288" s="1"/>
      <c r="Y288" s="1"/>
      <c r="Z288" s="1"/>
    </row>
    <row r="289" spans="1:26" ht="39.75" customHeight="1">
      <c r="A289" s="1"/>
      <c r="B289" s="1"/>
      <c r="C289" s="1"/>
      <c r="D289" s="1"/>
      <c r="E289" s="1"/>
      <c r="F289" s="1"/>
      <c r="G289" s="1"/>
      <c r="H289" s="1"/>
      <c r="I289" s="1"/>
      <c r="J289" s="1"/>
      <c r="K289" s="1"/>
      <c r="L289" s="1"/>
      <c r="M289" s="1"/>
      <c r="N289" s="1"/>
      <c r="O289" s="1"/>
      <c r="P289" s="1"/>
      <c r="Q289" s="1"/>
      <c r="R289" s="1"/>
      <c r="S289" s="1"/>
      <c r="T289" s="1"/>
      <c r="U289" s="2"/>
      <c r="V289" s="1"/>
      <c r="W289" s="1"/>
      <c r="X289" s="1"/>
      <c r="Y289" s="1"/>
      <c r="Z289" s="1"/>
    </row>
    <row r="290" spans="1:26" ht="39.75" customHeight="1">
      <c r="A290" s="1"/>
      <c r="B290" s="1"/>
      <c r="C290" s="1"/>
      <c r="D290" s="1"/>
      <c r="E290" s="1"/>
      <c r="F290" s="1"/>
      <c r="G290" s="1"/>
      <c r="H290" s="1"/>
      <c r="I290" s="1"/>
      <c r="J290" s="1"/>
      <c r="K290" s="1"/>
      <c r="L290" s="1"/>
      <c r="M290" s="1"/>
      <c r="N290" s="1"/>
      <c r="O290" s="1"/>
      <c r="P290" s="1"/>
      <c r="Q290" s="1"/>
      <c r="R290" s="1"/>
      <c r="S290" s="1"/>
      <c r="T290" s="1"/>
      <c r="U290" s="2"/>
      <c r="V290" s="1"/>
      <c r="W290" s="1"/>
      <c r="X290" s="1"/>
      <c r="Y290" s="1"/>
      <c r="Z290" s="1"/>
    </row>
    <row r="291" spans="1:26" ht="39.75" customHeight="1">
      <c r="A291" s="1"/>
      <c r="B291" s="1"/>
      <c r="C291" s="1"/>
      <c r="D291" s="1"/>
      <c r="E291" s="1"/>
      <c r="F291" s="1"/>
      <c r="G291" s="1"/>
      <c r="H291" s="1"/>
      <c r="I291" s="1"/>
      <c r="J291" s="1"/>
      <c r="K291" s="1"/>
      <c r="L291" s="1"/>
      <c r="M291" s="1"/>
      <c r="N291" s="1"/>
      <c r="O291" s="1"/>
      <c r="P291" s="1"/>
      <c r="Q291" s="1"/>
      <c r="R291" s="1"/>
      <c r="S291" s="1"/>
      <c r="T291" s="1"/>
      <c r="U291" s="2"/>
      <c r="V291" s="1"/>
      <c r="W291" s="1"/>
      <c r="X291" s="1"/>
      <c r="Y291" s="1"/>
      <c r="Z291" s="1"/>
    </row>
    <row r="292" spans="1:26" ht="39.75" customHeight="1">
      <c r="A292" s="1"/>
      <c r="B292" s="1"/>
      <c r="C292" s="1"/>
      <c r="D292" s="1"/>
      <c r="E292" s="1"/>
      <c r="F292" s="1"/>
      <c r="G292" s="1"/>
      <c r="H292" s="1"/>
      <c r="I292" s="1"/>
      <c r="J292" s="1"/>
      <c r="K292" s="1"/>
      <c r="L292" s="1"/>
      <c r="M292" s="1"/>
      <c r="N292" s="1"/>
      <c r="O292" s="1"/>
      <c r="P292" s="1"/>
      <c r="Q292" s="1"/>
      <c r="R292" s="1"/>
      <c r="S292" s="1"/>
      <c r="T292" s="1"/>
      <c r="U292" s="2"/>
      <c r="V292" s="1"/>
      <c r="W292" s="1"/>
      <c r="X292" s="1"/>
      <c r="Y292" s="1"/>
      <c r="Z292" s="1"/>
    </row>
    <row r="293" spans="1:26" ht="39.75" customHeight="1">
      <c r="A293" s="1"/>
      <c r="B293" s="1"/>
      <c r="C293" s="1"/>
      <c r="D293" s="1"/>
      <c r="E293" s="1"/>
      <c r="F293" s="1"/>
      <c r="G293" s="1"/>
      <c r="H293" s="1"/>
      <c r="I293" s="1"/>
      <c r="J293" s="1"/>
      <c r="K293" s="1"/>
      <c r="L293" s="1"/>
      <c r="M293" s="1"/>
      <c r="N293" s="1"/>
      <c r="O293" s="1"/>
      <c r="P293" s="1"/>
      <c r="Q293" s="1"/>
      <c r="R293" s="1"/>
      <c r="S293" s="1"/>
      <c r="T293" s="1"/>
      <c r="U293" s="2"/>
      <c r="V293" s="1"/>
      <c r="W293" s="1"/>
      <c r="X293" s="1"/>
      <c r="Y293" s="1"/>
      <c r="Z293" s="1"/>
    </row>
    <row r="294" spans="1:26" ht="39.75" customHeight="1">
      <c r="A294" s="1"/>
      <c r="B294" s="1"/>
      <c r="C294" s="1"/>
      <c r="D294" s="1"/>
      <c r="E294" s="1"/>
      <c r="F294" s="1"/>
      <c r="G294" s="1"/>
      <c r="H294" s="1"/>
      <c r="I294" s="1"/>
      <c r="J294" s="1"/>
      <c r="K294" s="1"/>
      <c r="L294" s="1"/>
      <c r="M294" s="1"/>
      <c r="N294" s="1"/>
      <c r="O294" s="1"/>
      <c r="P294" s="1"/>
      <c r="Q294" s="1"/>
      <c r="R294" s="1"/>
      <c r="S294" s="1"/>
      <c r="T294" s="1"/>
      <c r="U294" s="2"/>
      <c r="V294" s="1"/>
      <c r="W294" s="1"/>
      <c r="X294" s="1"/>
      <c r="Y294" s="1"/>
      <c r="Z294" s="1"/>
    </row>
    <row r="295" spans="1:26" ht="39.75" customHeight="1">
      <c r="A295" s="1"/>
      <c r="B295" s="1"/>
      <c r="C295" s="1"/>
      <c r="D295" s="1"/>
      <c r="E295" s="1"/>
      <c r="F295" s="1"/>
      <c r="G295" s="1"/>
      <c r="H295" s="1"/>
      <c r="I295" s="1"/>
      <c r="J295" s="1"/>
      <c r="K295" s="1"/>
      <c r="L295" s="1"/>
      <c r="M295" s="1"/>
      <c r="N295" s="1"/>
      <c r="O295" s="1"/>
      <c r="P295" s="1"/>
      <c r="Q295" s="1"/>
      <c r="R295" s="1"/>
      <c r="S295" s="1"/>
      <c r="T295" s="1"/>
      <c r="U295" s="2"/>
      <c r="V295" s="1"/>
      <c r="W295" s="1"/>
      <c r="X295" s="1"/>
      <c r="Y295" s="1"/>
      <c r="Z295" s="1"/>
    </row>
    <row r="296" spans="1:26" ht="39.75" customHeight="1">
      <c r="A296" s="1"/>
      <c r="B296" s="1"/>
      <c r="C296" s="1"/>
      <c r="D296" s="1"/>
      <c r="E296" s="1"/>
      <c r="F296" s="1"/>
      <c r="G296" s="1"/>
      <c r="H296" s="1"/>
      <c r="I296" s="1"/>
      <c r="J296" s="1"/>
      <c r="K296" s="1"/>
      <c r="L296" s="1"/>
      <c r="M296" s="1"/>
      <c r="N296" s="1"/>
      <c r="O296" s="1"/>
      <c r="P296" s="1"/>
      <c r="Q296" s="1"/>
      <c r="R296" s="1"/>
      <c r="S296" s="1"/>
      <c r="T296" s="1"/>
      <c r="U296" s="2"/>
      <c r="V296" s="1"/>
      <c r="W296" s="1"/>
      <c r="X296" s="1"/>
      <c r="Y296" s="1"/>
      <c r="Z296" s="1"/>
    </row>
    <row r="297" spans="1:26" ht="39.75" customHeight="1">
      <c r="A297" s="1"/>
      <c r="B297" s="1"/>
      <c r="C297" s="1"/>
      <c r="D297" s="1"/>
      <c r="E297" s="1"/>
      <c r="F297" s="1"/>
      <c r="G297" s="1"/>
      <c r="H297" s="1"/>
      <c r="I297" s="1"/>
      <c r="J297" s="1"/>
      <c r="K297" s="1"/>
      <c r="L297" s="1"/>
      <c r="M297" s="1"/>
      <c r="N297" s="1"/>
      <c r="O297" s="1"/>
      <c r="P297" s="1"/>
      <c r="Q297" s="1"/>
      <c r="R297" s="1"/>
      <c r="S297" s="1"/>
      <c r="T297" s="1"/>
      <c r="U297" s="2"/>
      <c r="V297" s="1"/>
      <c r="W297" s="1"/>
      <c r="X297" s="1"/>
      <c r="Y297" s="1"/>
      <c r="Z297" s="1"/>
    </row>
    <row r="298" spans="1:26" ht="39.75" customHeight="1">
      <c r="A298" s="1"/>
      <c r="B298" s="1"/>
      <c r="C298" s="1"/>
      <c r="D298" s="1"/>
      <c r="E298" s="1"/>
      <c r="F298" s="1"/>
      <c r="G298" s="1"/>
      <c r="H298" s="1"/>
      <c r="I298" s="1"/>
      <c r="J298" s="1"/>
      <c r="K298" s="1"/>
      <c r="L298" s="1"/>
      <c r="M298" s="1"/>
      <c r="N298" s="1"/>
      <c r="O298" s="1"/>
      <c r="P298" s="1"/>
      <c r="Q298" s="1"/>
      <c r="R298" s="1"/>
      <c r="S298" s="1"/>
      <c r="T298" s="1"/>
      <c r="U298" s="2"/>
      <c r="V298" s="1"/>
      <c r="W298" s="1"/>
      <c r="X298" s="1"/>
      <c r="Y298" s="1"/>
      <c r="Z298" s="1"/>
    </row>
    <row r="299" spans="1:26" ht="39.75" customHeight="1">
      <c r="A299" s="1"/>
      <c r="B299" s="1"/>
      <c r="C299" s="1"/>
      <c r="D299" s="1"/>
      <c r="E299" s="1"/>
      <c r="F299" s="1"/>
      <c r="G299" s="1"/>
      <c r="H299" s="1"/>
      <c r="I299" s="1"/>
      <c r="J299" s="1"/>
      <c r="K299" s="1"/>
      <c r="L299" s="1"/>
      <c r="M299" s="1"/>
      <c r="N299" s="1"/>
      <c r="O299" s="1"/>
      <c r="P299" s="1"/>
      <c r="Q299" s="1"/>
      <c r="R299" s="1"/>
      <c r="S299" s="1"/>
      <c r="T299" s="1"/>
      <c r="U299" s="2"/>
      <c r="V299" s="1"/>
      <c r="W299" s="1"/>
      <c r="X299" s="1"/>
      <c r="Y299" s="1"/>
      <c r="Z299" s="1"/>
    </row>
    <row r="300" spans="1:26" ht="39.75" customHeight="1">
      <c r="A300" s="1"/>
      <c r="B300" s="1"/>
      <c r="C300" s="1"/>
      <c r="D300" s="1"/>
      <c r="E300" s="1"/>
      <c r="F300" s="1"/>
      <c r="G300" s="1"/>
      <c r="H300" s="1"/>
      <c r="I300" s="1"/>
      <c r="J300" s="1"/>
      <c r="K300" s="1"/>
      <c r="L300" s="1"/>
      <c r="M300" s="1"/>
      <c r="N300" s="1"/>
      <c r="O300" s="1"/>
      <c r="P300" s="1"/>
      <c r="Q300" s="1"/>
      <c r="R300" s="1"/>
      <c r="S300" s="1"/>
      <c r="T300" s="1"/>
      <c r="U300" s="2"/>
      <c r="V300" s="1"/>
      <c r="W300" s="1"/>
      <c r="X300" s="1"/>
      <c r="Y300" s="1"/>
      <c r="Z300" s="1"/>
    </row>
    <row r="301" spans="1:26" ht="39.75" customHeight="1">
      <c r="A301" s="1"/>
      <c r="B301" s="1"/>
      <c r="C301" s="1"/>
      <c r="D301" s="1"/>
      <c r="E301" s="1"/>
      <c r="F301" s="1"/>
      <c r="G301" s="1"/>
      <c r="H301" s="1"/>
      <c r="I301" s="1"/>
      <c r="J301" s="1"/>
      <c r="K301" s="1"/>
      <c r="L301" s="1"/>
      <c r="M301" s="1"/>
      <c r="N301" s="1"/>
      <c r="O301" s="1"/>
      <c r="P301" s="1"/>
      <c r="Q301" s="1"/>
      <c r="R301" s="1"/>
      <c r="S301" s="1"/>
      <c r="T301" s="1"/>
      <c r="U301" s="2"/>
      <c r="V301" s="1"/>
      <c r="W301" s="1"/>
      <c r="X301" s="1"/>
      <c r="Y301" s="1"/>
      <c r="Z301" s="1"/>
    </row>
    <row r="302" spans="1:26" ht="39.75" customHeight="1">
      <c r="A302" s="1"/>
      <c r="B302" s="1"/>
      <c r="C302" s="1"/>
      <c r="D302" s="1"/>
      <c r="E302" s="1"/>
      <c r="F302" s="1"/>
      <c r="G302" s="1"/>
      <c r="H302" s="1"/>
      <c r="I302" s="1"/>
      <c r="J302" s="1"/>
      <c r="K302" s="1"/>
      <c r="L302" s="1"/>
      <c r="M302" s="1"/>
      <c r="N302" s="1"/>
      <c r="O302" s="1"/>
      <c r="P302" s="1"/>
      <c r="Q302" s="1"/>
      <c r="R302" s="1"/>
      <c r="S302" s="1"/>
      <c r="T302" s="1"/>
      <c r="U302" s="2"/>
      <c r="V302" s="1"/>
      <c r="W302" s="1"/>
      <c r="X302" s="1"/>
      <c r="Y302" s="1"/>
      <c r="Z302" s="1"/>
    </row>
    <row r="303" spans="1:26" ht="39.75" customHeight="1">
      <c r="A303" s="1"/>
      <c r="B303" s="1"/>
      <c r="C303" s="1"/>
      <c r="D303" s="1"/>
      <c r="E303" s="1"/>
      <c r="F303" s="1"/>
      <c r="G303" s="1"/>
      <c r="H303" s="1"/>
      <c r="I303" s="1"/>
      <c r="J303" s="1"/>
      <c r="K303" s="1"/>
      <c r="L303" s="1"/>
      <c r="M303" s="1"/>
      <c r="N303" s="1"/>
      <c r="O303" s="1"/>
      <c r="P303" s="1"/>
      <c r="Q303" s="1"/>
      <c r="R303" s="1"/>
      <c r="S303" s="1"/>
      <c r="T303" s="1"/>
      <c r="U303" s="2"/>
      <c r="V303" s="1"/>
      <c r="W303" s="1"/>
      <c r="X303" s="1"/>
      <c r="Y303" s="1"/>
      <c r="Z303" s="1"/>
    </row>
    <row r="304" spans="1:26" ht="39.75" customHeight="1">
      <c r="A304" s="1"/>
      <c r="B304" s="1"/>
      <c r="C304" s="1"/>
      <c r="D304" s="1"/>
      <c r="E304" s="1"/>
      <c r="F304" s="1"/>
      <c r="G304" s="1"/>
      <c r="H304" s="1"/>
      <c r="I304" s="1"/>
      <c r="J304" s="1"/>
      <c r="K304" s="1"/>
      <c r="L304" s="1"/>
      <c r="M304" s="1"/>
      <c r="N304" s="1"/>
      <c r="O304" s="1"/>
      <c r="P304" s="1"/>
      <c r="Q304" s="1"/>
      <c r="R304" s="1"/>
      <c r="S304" s="1"/>
      <c r="T304" s="1"/>
      <c r="U304" s="2"/>
      <c r="V304" s="1"/>
      <c r="W304" s="1"/>
      <c r="X304" s="1"/>
      <c r="Y304" s="1"/>
      <c r="Z304" s="1"/>
    </row>
    <row r="305" spans="1:26" ht="39.75" customHeight="1">
      <c r="A305" s="1"/>
      <c r="B305" s="1"/>
      <c r="C305" s="1"/>
      <c r="D305" s="1"/>
      <c r="E305" s="1"/>
      <c r="F305" s="1"/>
      <c r="G305" s="1"/>
      <c r="H305" s="1"/>
      <c r="I305" s="1"/>
      <c r="J305" s="1"/>
      <c r="K305" s="1"/>
      <c r="L305" s="1"/>
      <c r="M305" s="1"/>
      <c r="N305" s="1"/>
      <c r="O305" s="1"/>
      <c r="P305" s="1"/>
      <c r="Q305" s="1"/>
      <c r="R305" s="1"/>
      <c r="S305" s="1"/>
      <c r="T305" s="1"/>
      <c r="U305" s="2"/>
      <c r="V305" s="1"/>
      <c r="W305" s="1"/>
      <c r="X305" s="1"/>
      <c r="Y305" s="1"/>
      <c r="Z305" s="1"/>
    </row>
    <row r="306" spans="1:26" ht="39.75" customHeight="1">
      <c r="A306" s="1"/>
      <c r="B306" s="1"/>
      <c r="C306" s="1"/>
      <c r="D306" s="1"/>
      <c r="E306" s="1"/>
      <c r="F306" s="1"/>
      <c r="G306" s="1"/>
      <c r="H306" s="1"/>
      <c r="I306" s="1"/>
      <c r="J306" s="1"/>
      <c r="K306" s="1"/>
      <c r="L306" s="1"/>
      <c r="M306" s="1"/>
      <c r="N306" s="1"/>
      <c r="O306" s="1"/>
      <c r="P306" s="1"/>
      <c r="Q306" s="1"/>
      <c r="R306" s="1"/>
      <c r="S306" s="1"/>
      <c r="T306" s="1"/>
      <c r="U306" s="2"/>
      <c r="V306" s="1"/>
      <c r="W306" s="1"/>
      <c r="X306" s="1"/>
      <c r="Y306" s="1"/>
      <c r="Z306" s="1"/>
    </row>
    <row r="307" spans="1:26" ht="39.75" customHeight="1">
      <c r="A307" s="1"/>
      <c r="B307" s="1"/>
      <c r="C307" s="1"/>
      <c r="D307" s="1"/>
      <c r="E307" s="1"/>
      <c r="F307" s="1"/>
      <c r="G307" s="1"/>
      <c r="H307" s="1"/>
      <c r="I307" s="1"/>
      <c r="J307" s="1"/>
      <c r="K307" s="1"/>
      <c r="L307" s="1"/>
      <c r="M307" s="1"/>
      <c r="N307" s="1"/>
      <c r="O307" s="1"/>
      <c r="P307" s="1"/>
      <c r="Q307" s="1"/>
      <c r="R307" s="1"/>
      <c r="S307" s="1"/>
      <c r="T307" s="1"/>
      <c r="U307" s="2"/>
      <c r="V307" s="1"/>
      <c r="W307" s="1"/>
      <c r="X307" s="1"/>
      <c r="Y307" s="1"/>
      <c r="Z307" s="1"/>
    </row>
    <row r="308" spans="1:26" ht="39.75" customHeight="1">
      <c r="A308" s="1"/>
      <c r="B308" s="1"/>
      <c r="C308" s="1"/>
      <c r="D308" s="1"/>
      <c r="E308" s="1"/>
      <c r="F308" s="1"/>
      <c r="G308" s="1"/>
      <c r="H308" s="1"/>
      <c r="I308" s="1"/>
      <c r="J308" s="1"/>
      <c r="K308" s="1"/>
      <c r="L308" s="1"/>
      <c r="M308" s="1"/>
      <c r="N308" s="1"/>
      <c r="O308" s="1"/>
      <c r="P308" s="1"/>
      <c r="Q308" s="1"/>
      <c r="R308" s="1"/>
      <c r="S308" s="1"/>
      <c r="T308" s="1"/>
      <c r="U308" s="2"/>
      <c r="V308" s="1"/>
      <c r="W308" s="1"/>
      <c r="X308" s="1"/>
      <c r="Y308" s="1"/>
      <c r="Z308" s="1"/>
    </row>
    <row r="309" spans="1:26" ht="39.75" customHeight="1">
      <c r="A309" s="1"/>
      <c r="B309" s="1"/>
      <c r="C309" s="1"/>
      <c r="D309" s="1"/>
      <c r="E309" s="1"/>
      <c r="F309" s="1"/>
      <c r="G309" s="1"/>
      <c r="H309" s="1"/>
      <c r="I309" s="1"/>
      <c r="J309" s="1"/>
      <c r="K309" s="1"/>
      <c r="L309" s="1"/>
      <c r="M309" s="1"/>
      <c r="N309" s="1"/>
      <c r="O309" s="1"/>
      <c r="P309" s="1"/>
      <c r="Q309" s="1"/>
      <c r="R309" s="1"/>
      <c r="S309" s="1"/>
      <c r="T309" s="1"/>
      <c r="U309" s="2"/>
      <c r="V309" s="1"/>
      <c r="W309" s="1"/>
      <c r="X309" s="1"/>
      <c r="Y309" s="1"/>
      <c r="Z309" s="1"/>
    </row>
    <row r="310" spans="1:26" ht="39.75" customHeight="1">
      <c r="A310" s="1"/>
      <c r="B310" s="1"/>
      <c r="C310" s="1"/>
      <c r="D310" s="1"/>
      <c r="E310" s="1"/>
      <c r="F310" s="1"/>
      <c r="G310" s="1"/>
      <c r="H310" s="1"/>
      <c r="I310" s="1"/>
      <c r="J310" s="1"/>
      <c r="K310" s="1"/>
      <c r="L310" s="1"/>
      <c r="M310" s="1"/>
      <c r="N310" s="1"/>
      <c r="O310" s="1"/>
      <c r="P310" s="1"/>
      <c r="Q310" s="1"/>
      <c r="R310" s="1"/>
      <c r="S310" s="1"/>
      <c r="T310" s="1"/>
      <c r="U310" s="2"/>
      <c r="V310" s="1"/>
      <c r="W310" s="1"/>
      <c r="X310" s="1"/>
      <c r="Y310" s="1"/>
      <c r="Z310" s="1"/>
    </row>
    <row r="311" spans="1:26" ht="39.75" customHeight="1">
      <c r="A311" s="1"/>
      <c r="B311" s="1"/>
      <c r="C311" s="1"/>
      <c r="D311" s="1"/>
      <c r="E311" s="1"/>
      <c r="F311" s="1"/>
      <c r="G311" s="1"/>
      <c r="H311" s="1"/>
      <c r="I311" s="1"/>
      <c r="J311" s="1"/>
      <c r="K311" s="1"/>
      <c r="L311" s="1"/>
      <c r="M311" s="1"/>
      <c r="N311" s="1"/>
      <c r="O311" s="1"/>
      <c r="P311" s="1"/>
      <c r="Q311" s="1"/>
      <c r="R311" s="1"/>
      <c r="S311" s="1"/>
      <c r="T311" s="1"/>
      <c r="U311" s="2"/>
      <c r="V311" s="1"/>
      <c r="W311" s="1"/>
      <c r="X311" s="1"/>
      <c r="Y311" s="1"/>
      <c r="Z311" s="1"/>
    </row>
    <row r="312" spans="1:26" ht="39.75" customHeight="1">
      <c r="A312" s="1"/>
      <c r="B312" s="1"/>
      <c r="C312" s="1"/>
      <c r="D312" s="1"/>
      <c r="E312" s="1"/>
      <c r="F312" s="1"/>
      <c r="G312" s="1"/>
      <c r="H312" s="1"/>
      <c r="I312" s="1"/>
      <c r="J312" s="1"/>
      <c r="K312" s="1"/>
      <c r="L312" s="1"/>
      <c r="M312" s="1"/>
      <c r="N312" s="1"/>
      <c r="O312" s="1"/>
      <c r="P312" s="1"/>
      <c r="Q312" s="1"/>
      <c r="R312" s="1"/>
      <c r="S312" s="1"/>
      <c r="T312" s="1"/>
      <c r="U312" s="2"/>
      <c r="V312" s="1"/>
      <c r="W312" s="1"/>
      <c r="X312" s="1"/>
      <c r="Y312" s="1"/>
      <c r="Z312" s="1"/>
    </row>
    <row r="313" spans="1:26" ht="39.75" customHeight="1">
      <c r="A313" s="1"/>
      <c r="B313" s="1"/>
      <c r="C313" s="1"/>
      <c r="D313" s="1"/>
      <c r="E313" s="1"/>
      <c r="F313" s="1"/>
      <c r="G313" s="1"/>
      <c r="H313" s="1"/>
      <c r="I313" s="1"/>
      <c r="J313" s="1"/>
      <c r="K313" s="1"/>
      <c r="L313" s="1"/>
      <c r="M313" s="1"/>
      <c r="N313" s="1"/>
      <c r="O313" s="1"/>
      <c r="P313" s="1"/>
      <c r="Q313" s="1"/>
      <c r="R313" s="1"/>
      <c r="S313" s="1"/>
      <c r="T313" s="1"/>
      <c r="U313" s="2"/>
      <c r="V313" s="1"/>
      <c r="W313" s="1"/>
      <c r="X313" s="1"/>
      <c r="Y313" s="1"/>
      <c r="Z313" s="1"/>
    </row>
    <row r="314" spans="1:26" ht="39.75" customHeight="1">
      <c r="A314" s="1"/>
      <c r="B314" s="1"/>
      <c r="C314" s="1"/>
      <c r="D314" s="1"/>
      <c r="E314" s="1"/>
      <c r="F314" s="1"/>
      <c r="G314" s="1"/>
      <c r="H314" s="1"/>
      <c r="I314" s="1"/>
      <c r="J314" s="1"/>
      <c r="K314" s="1"/>
      <c r="L314" s="1"/>
      <c r="M314" s="1"/>
      <c r="N314" s="1"/>
      <c r="O314" s="1"/>
      <c r="P314" s="1"/>
      <c r="Q314" s="1"/>
      <c r="R314" s="1"/>
      <c r="S314" s="1"/>
      <c r="T314" s="1"/>
      <c r="U314" s="2"/>
      <c r="V314" s="1"/>
      <c r="W314" s="1"/>
      <c r="X314" s="1"/>
      <c r="Y314" s="1"/>
      <c r="Z314" s="1"/>
    </row>
    <row r="315" spans="1:26" ht="39.75" customHeight="1">
      <c r="A315" s="1"/>
      <c r="B315" s="1"/>
      <c r="C315" s="1"/>
      <c r="D315" s="1"/>
      <c r="E315" s="1"/>
      <c r="F315" s="1"/>
      <c r="G315" s="1"/>
      <c r="H315" s="1"/>
      <c r="I315" s="1"/>
      <c r="J315" s="1"/>
      <c r="K315" s="1"/>
      <c r="L315" s="1"/>
      <c r="M315" s="1"/>
      <c r="N315" s="1"/>
      <c r="O315" s="1"/>
      <c r="P315" s="1"/>
      <c r="Q315" s="1"/>
      <c r="R315" s="1"/>
      <c r="S315" s="1"/>
      <c r="T315" s="1"/>
      <c r="U315" s="2"/>
      <c r="V315" s="1"/>
      <c r="W315" s="1"/>
      <c r="X315" s="1"/>
      <c r="Y315" s="1"/>
      <c r="Z315" s="1"/>
    </row>
    <row r="316" spans="1:26" ht="39.75" customHeight="1">
      <c r="A316" s="1"/>
      <c r="B316" s="1"/>
      <c r="C316" s="1"/>
      <c r="D316" s="1"/>
      <c r="E316" s="1"/>
      <c r="F316" s="1"/>
      <c r="G316" s="1"/>
      <c r="H316" s="1"/>
      <c r="I316" s="1"/>
      <c r="J316" s="1"/>
      <c r="K316" s="1"/>
      <c r="L316" s="1"/>
      <c r="M316" s="1"/>
      <c r="N316" s="1"/>
      <c r="O316" s="1"/>
      <c r="P316" s="1"/>
      <c r="Q316" s="1"/>
      <c r="R316" s="1"/>
      <c r="S316" s="1"/>
      <c r="T316" s="1"/>
      <c r="U316" s="2"/>
      <c r="V316" s="1"/>
      <c r="W316" s="1"/>
      <c r="X316" s="1"/>
      <c r="Y316" s="1"/>
      <c r="Z316" s="1"/>
    </row>
    <row r="317" spans="1:26" ht="39.75" customHeight="1">
      <c r="A317" s="1"/>
      <c r="B317" s="1"/>
      <c r="C317" s="1"/>
      <c r="D317" s="1"/>
      <c r="E317" s="1"/>
      <c r="F317" s="1"/>
      <c r="G317" s="1"/>
      <c r="H317" s="1"/>
      <c r="I317" s="1"/>
      <c r="J317" s="1"/>
      <c r="K317" s="1"/>
      <c r="L317" s="1"/>
      <c r="M317" s="1"/>
      <c r="N317" s="1"/>
      <c r="O317" s="1"/>
      <c r="P317" s="1"/>
      <c r="Q317" s="1"/>
      <c r="R317" s="1"/>
      <c r="S317" s="1"/>
      <c r="T317" s="1"/>
      <c r="U317" s="2"/>
      <c r="V317" s="1"/>
      <c r="W317" s="1"/>
      <c r="X317" s="1"/>
      <c r="Y317" s="1"/>
      <c r="Z317" s="1"/>
    </row>
    <row r="318" spans="1:26" ht="39.75" customHeight="1">
      <c r="A318" s="1"/>
      <c r="B318" s="1"/>
      <c r="C318" s="1"/>
      <c r="D318" s="1"/>
      <c r="E318" s="1"/>
      <c r="F318" s="1"/>
      <c r="G318" s="1"/>
      <c r="H318" s="1"/>
      <c r="I318" s="1"/>
      <c r="J318" s="1"/>
      <c r="K318" s="1"/>
      <c r="L318" s="1"/>
      <c r="M318" s="1"/>
      <c r="N318" s="1"/>
      <c r="O318" s="1"/>
      <c r="P318" s="1"/>
      <c r="Q318" s="1"/>
      <c r="R318" s="1"/>
      <c r="S318" s="1"/>
      <c r="T318" s="1"/>
      <c r="U318" s="2"/>
      <c r="V318" s="1"/>
      <c r="W318" s="1"/>
      <c r="X318" s="1"/>
      <c r="Y318" s="1"/>
      <c r="Z318" s="1"/>
    </row>
    <row r="319" spans="1:26" ht="39.75" customHeight="1">
      <c r="A319" s="1"/>
      <c r="B319" s="1"/>
      <c r="C319" s="1"/>
      <c r="D319" s="1"/>
      <c r="E319" s="1"/>
      <c r="F319" s="1"/>
      <c r="G319" s="1"/>
      <c r="H319" s="1"/>
      <c r="I319" s="1"/>
      <c r="J319" s="1"/>
      <c r="K319" s="1"/>
      <c r="L319" s="1"/>
      <c r="M319" s="1"/>
      <c r="N319" s="1"/>
      <c r="O319" s="1"/>
      <c r="P319" s="1"/>
      <c r="Q319" s="1"/>
      <c r="R319" s="1"/>
      <c r="S319" s="1"/>
      <c r="T319" s="1"/>
      <c r="U319" s="2"/>
      <c r="V319" s="1"/>
      <c r="W319" s="1"/>
      <c r="X319" s="1"/>
      <c r="Y319" s="1"/>
      <c r="Z319" s="1"/>
    </row>
    <row r="320" spans="1:26" ht="39.75" customHeight="1">
      <c r="A320" s="1"/>
      <c r="B320" s="1"/>
      <c r="C320" s="1"/>
      <c r="D320" s="1"/>
      <c r="E320" s="1"/>
      <c r="F320" s="1"/>
      <c r="G320" s="1"/>
      <c r="H320" s="1"/>
      <c r="I320" s="1"/>
      <c r="J320" s="1"/>
      <c r="K320" s="1"/>
      <c r="L320" s="1"/>
      <c r="M320" s="1"/>
      <c r="N320" s="1"/>
      <c r="O320" s="1"/>
      <c r="P320" s="1"/>
      <c r="Q320" s="1"/>
      <c r="R320" s="1"/>
      <c r="S320" s="1"/>
      <c r="T320" s="1"/>
      <c r="U320" s="2"/>
      <c r="V320" s="1"/>
      <c r="W320" s="1"/>
      <c r="X320" s="1"/>
      <c r="Y320" s="1"/>
      <c r="Z320" s="1"/>
    </row>
    <row r="321" spans="1:26" ht="39.75" customHeight="1">
      <c r="A321" s="1"/>
      <c r="B321" s="1"/>
      <c r="C321" s="1"/>
      <c r="D321" s="1"/>
      <c r="E321" s="1"/>
      <c r="F321" s="1"/>
      <c r="G321" s="1"/>
      <c r="H321" s="1"/>
      <c r="I321" s="1"/>
      <c r="J321" s="1"/>
      <c r="K321" s="1"/>
      <c r="L321" s="1"/>
      <c r="M321" s="1"/>
      <c r="N321" s="1"/>
      <c r="O321" s="1"/>
      <c r="P321" s="1"/>
      <c r="Q321" s="1"/>
      <c r="R321" s="1"/>
      <c r="S321" s="1"/>
      <c r="T321" s="1"/>
      <c r="U321" s="2"/>
      <c r="V321" s="1"/>
      <c r="W321" s="1"/>
      <c r="X321" s="1"/>
      <c r="Y321" s="1"/>
      <c r="Z321" s="1"/>
    </row>
    <row r="322" spans="1:26" ht="39.75" customHeight="1">
      <c r="A322" s="1"/>
      <c r="B322" s="1"/>
      <c r="C322" s="1"/>
      <c r="D322" s="1"/>
      <c r="E322" s="1"/>
      <c r="F322" s="1"/>
      <c r="G322" s="1"/>
      <c r="H322" s="1"/>
      <c r="I322" s="1"/>
      <c r="J322" s="1"/>
      <c r="K322" s="1"/>
      <c r="L322" s="1"/>
      <c r="M322" s="1"/>
      <c r="N322" s="1"/>
      <c r="O322" s="1"/>
      <c r="P322" s="1"/>
      <c r="Q322" s="1"/>
      <c r="R322" s="1"/>
      <c r="S322" s="1"/>
      <c r="T322" s="1"/>
      <c r="U322" s="2"/>
      <c r="V322" s="1"/>
      <c r="W322" s="1"/>
      <c r="X322" s="1"/>
      <c r="Y322" s="1"/>
      <c r="Z322" s="1"/>
    </row>
    <row r="323" spans="1:26" ht="39.75" customHeight="1">
      <c r="A323" s="1"/>
      <c r="B323" s="1"/>
      <c r="C323" s="1"/>
      <c r="D323" s="1"/>
      <c r="E323" s="1"/>
      <c r="F323" s="1"/>
      <c r="G323" s="1"/>
      <c r="H323" s="1"/>
      <c r="I323" s="1"/>
      <c r="J323" s="1"/>
      <c r="K323" s="1"/>
      <c r="L323" s="1"/>
      <c r="M323" s="1"/>
      <c r="N323" s="1"/>
      <c r="O323" s="1"/>
      <c r="P323" s="1"/>
      <c r="Q323" s="1"/>
      <c r="R323" s="1"/>
      <c r="S323" s="1"/>
      <c r="T323" s="1"/>
      <c r="U323" s="2"/>
      <c r="V323" s="1"/>
      <c r="W323" s="1"/>
      <c r="X323" s="1"/>
      <c r="Y323" s="1"/>
      <c r="Z323" s="1"/>
    </row>
    <row r="324" spans="1:26" ht="39.75" customHeight="1">
      <c r="A324" s="1"/>
      <c r="B324" s="1"/>
      <c r="C324" s="1"/>
      <c r="D324" s="1"/>
      <c r="E324" s="1"/>
      <c r="F324" s="1"/>
      <c r="G324" s="1"/>
      <c r="H324" s="1"/>
      <c r="I324" s="1"/>
      <c r="J324" s="1"/>
      <c r="K324" s="1"/>
      <c r="L324" s="1"/>
      <c r="M324" s="1"/>
      <c r="N324" s="1"/>
      <c r="O324" s="1"/>
      <c r="P324" s="1"/>
      <c r="Q324" s="1"/>
      <c r="R324" s="1"/>
      <c r="S324" s="1"/>
      <c r="T324" s="1"/>
      <c r="U324" s="2"/>
      <c r="V324" s="1"/>
      <c r="W324" s="1"/>
      <c r="X324" s="1"/>
      <c r="Y324" s="1"/>
      <c r="Z324" s="1"/>
    </row>
    <row r="325" spans="1:26" ht="39.75" customHeight="1">
      <c r="A325" s="1"/>
      <c r="B325" s="1"/>
      <c r="C325" s="1"/>
      <c r="D325" s="1"/>
      <c r="E325" s="1"/>
      <c r="F325" s="1"/>
      <c r="G325" s="1"/>
      <c r="H325" s="1"/>
      <c r="I325" s="1"/>
      <c r="J325" s="1"/>
      <c r="K325" s="1"/>
      <c r="L325" s="1"/>
      <c r="M325" s="1"/>
      <c r="N325" s="1"/>
      <c r="O325" s="1"/>
      <c r="P325" s="1"/>
      <c r="Q325" s="1"/>
      <c r="R325" s="1"/>
      <c r="S325" s="1"/>
      <c r="T325" s="1"/>
      <c r="U325" s="2"/>
      <c r="V325" s="1"/>
      <c r="W325" s="1"/>
      <c r="X325" s="1"/>
      <c r="Y325" s="1"/>
      <c r="Z325" s="1"/>
    </row>
    <row r="326" spans="1:26" ht="39.75" customHeight="1">
      <c r="A326" s="1"/>
      <c r="B326" s="1"/>
      <c r="C326" s="1"/>
      <c r="D326" s="1"/>
      <c r="E326" s="1"/>
      <c r="F326" s="1"/>
      <c r="G326" s="1"/>
      <c r="H326" s="1"/>
      <c r="I326" s="1"/>
      <c r="J326" s="1"/>
      <c r="K326" s="1"/>
      <c r="L326" s="1"/>
      <c r="M326" s="1"/>
      <c r="N326" s="1"/>
      <c r="O326" s="1"/>
      <c r="P326" s="1"/>
      <c r="Q326" s="1"/>
      <c r="R326" s="1"/>
      <c r="S326" s="1"/>
      <c r="T326" s="1"/>
      <c r="U326" s="2"/>
      <c r="V326" s="1"/>
      <c r="W326" s="1"/>
      <c r="X326" s="1"/>
      <c r="Y326" s="1"/>
      <c r="Z326" s="1"/>
    </row>
    <row r="327" spans="1:26" ht="39.75" customHeight="1">
      <c r="A327" s="1"/>
      <c r="B327" s="1"/>
      <c r="C327" s="1"/>
      <c r="D327" s="1"/>
      <c r="E327" s="1"/>
      <c r="F327" s="1"/>
      <c r="G327" s="1"/>
      <c r="H327" s="1"/>
      <c r="I327" s="1"/>
      <c r="J327" s="1"/>
      <c r="K327" s="1"/>
      <c r="L327" s="1"/>
      <c r="M327" s="1"/>
      <c r="N327" s="1"/>
      <c r="O327" s="1"/>
      <c r="P327" s="1"/>
      <c r="Q327" s="1"/>
      <c r="R327" s="1"/>
      <c r="S327" s="1"/>
      <c r="T327" s="1"/>
      <c r="U327" s="2"/>
      <c r="V327" s="1"/>
      <c r="W327" s="1"/>
      <c r="X327" s="1"/>
      <c r="Y327" s="1"/>
      <c r="Z327" s="1"/>
    </row>
    <row r="328" spans="1:26" ht="39.75" customHeight="1">
      <c r="A328" s="1"/>
      <c r="B328" s="1"/>
      <c r="C328" s="1"/>
      <c r="D328" s="1"/>
      <c r="E328" s="1"/>
      <c r="F328" s="1"/>
      <c r="G328" s="1"/>
      <c r="H328" s="1"/>
      <c r="I328" s="1"/>
      <c r="J328" s="1"/>
      <c r="K328" s="1"/>
      <c r="L328" s="1"/>
      <c r="M328" s="1"/>
      <c r="N328" s="1"/>
      <c r="O328" s="1"/>
      <c r="P328" s="1"/>
      <c r="Q328" s="1"/>
      <c r="R328" s="1"/>
      <c r="S328" s="1"/>
      <c r="T328" s="1"/>
      <c r="U328" s="2"/>
      <c r="V328" s="1"/>
      <c r="W328" s="1"/>
      <c r="X328" s="1"/>
      <c r="Y328" s="1"/>
      <c r="Z328" s="1"/>
    </row>
    <row r="329" spans="1:26" ht="39.75" customHeight="1">
      <c r="A329" s="1"/>
      <c r="B329" s="1"/>
      <c r="C329" s="1"/>
      <c r="D329" s="1"/>
      <c r="E329" s="1"/>
      <c r="F329" s="1"/>
      <c r="G329" s="1"/>
      <c r="H329" s="1"/>
      <c r="I329" s="1"/>
      <c r="J329" s="1"/>
      <c r="K329" s="1"/>
      <c r="L329" s="1"/>
      <c r="M329" s="1"/>
      <c r="N329" s="1"/>
      <c r="O329" s="1"/>
      <c r="P329" s="1"/>
      <c r="Q329" s="1"/>
      <c r="R329" s="1"/>
      <c r="S329" s="1"/>
      <c r="T329" s="1"/>
      <c r="U329" s="2"/>
      <c r="V329" s="1"/>
      <c r="W329" s="1"/>
      <c r="X329" s="1"/>
      <c r="Y329" s="1"/>
      <c r="Z329" s="1"/>
    </row>
    <row r="330" spans="1:26" ht="39.75" customHeight="1">
      <c r="A330" s="1"/>
      <c r="B330" s="1"/>
      <c r="C330" s="1"/>
      <c r="D330" s="1"/>
      <c r="E330" s="1"/>
      <c r="F330" s="1"/>
      <c r="G330" s="1"/>
      <c r="H330" s="1"/>
      <c r="I330" s="1"/>
      <c r="J330" s="1"/>
      <c r="K330" s="1"/>
      <c r="L330" s="1"/>
      <c r="M330" s="1"/>
      <c r="N330" s="1"/>
      <c r="O330" s="1"/>
      <c r="P330" s="1"/>
      <c r="Q330" s="1"/>
      <c r="R330" s="1"/>
      <c r="S330" s="1"/>
      <c r="T330" s="1"/>
      <c r="U330" s="2"/>
      <c r="V330" s="1"/>
      <c r="W330" s="1"/>
      <c r="X330" s="1"/>
      <c r="Y330" s="1"/>
      <c r="Z330" s="1"/>
    </row>
    <row r="331" spans="1:26" ht="39.75" customHeight="1">
      <c r="A331" s="1"/>
      <c r="B331" s="1"/>
      <c r="C331" s="1"/>
      <c r="D331" s="1"/>
      <c r="E331" s="1"/>
      <c r="F331" s="1"/>
      <c r="G331" s="1"/>
      <c r="H331" s="1"/>
      <c r="I331" s="1"/>
      <c r="J331" s="1"/>
      <c r="K331" s="1"/>
      <c r="L331" s="1"/>
      <c r="M331" s="1"/>
      <c r="N331" s="1"/>
      <c r="O331" s="1"/>
      <c r="P331" s="1"/>
      <c r="Q331" s="1"/>
      <c r="R331" s="1"/>
      <c r="S331" s="1"/>
      <c r="T331" s="1"/>
      <c r="U331" s="2"/>
      <c r="V331" s="1"/>
      <c r="W331" s="1"/>
      <c r="X331" s="1"/>
      <c r="Y331" s="1"/>
      <c r="Z331" s="1"/>
    </row>
    <row r="332" spans="1:26" ht="39.75" customHeight="1">
      <c r="A332" s="1"/>
      <c r="B332" s="1"/>
      <c r="C332" s="1"/>
      <c r="D332" s="1"/>
      <c r="E332" s="1"/>
      <c r="F332" s="1"/>
      <c r="G332" s="1"/>
      <c r="H332" s="1"/>
      <c r="I332" s="1"/>
      <c r="J332" s="1"/>
      <c r="K332" s="1"/>
      <c r="L332" s="1"/>
      <c r="M332" s="1"/>
      <c r="N332" s="1"/>
      <c r="O332" s="1"/>
      <c r="P332" s="1"/>
      <c r="Q332" s="1"/>
      <c r="R332" s="1"/>
      <c r="S332" s="1"/>
      <c r="T332" s="1"/>
      <c r="U332" s="2"/>
      <c r="V332" s="1"/>
      <c r="W332" s="1"/>
      <c r="X332" s="1"/>
      <c r="Y332" s="1"/>
      <c r="Z332" s="1"/>
    </row>
    <row r="333" spans="1:26" ht="39.75" customHeight="1">
      <c r="A333" s="1"/>
      <c r="B333" s="1"/>
      <c r="C333" s="1"/>
      <c r="D333" s="1"/>
      <c r="E333" s="1"/>
      <c r="F333" s="1"/>
      <c r="G333" s="1"/>
      <c r="H333" s="1"/>
      <c r="I333" s="1"/>
      <c r="J333" s="1"/>
      <c r="K333" s="1"/>
      <c r="L333" s="1"/>
      <c r="M333" s="1"/>
      <c r="N333" s="1"/>
      <c r="O333" s="1"/>
      <c r="P333" s="1"/>
      <c r="Q333" s="1"/>
      <c r="R333" s="1"/>
      <c r="S333" s="1"/>
      <c r="T333" s="1"/>
      <c r="U333" s="2"/>
      <c r="V333" s="1"/>
      <c r="W333" s="1"/>
      <c r="X333" s="1"/>
      <c r="Y333" s="1"/>
      <c r="Z333" s="1"/>
    </row>
    <row r="334" spans="1:26" ht="39.75" customHeight="1">
      <c r="A334" s="1"/>
      <c r="B334" s="1"/>
      <c r="C334" s="1"/>
      <c r="D334" s="1"/>
      <c r="E334" s="1"/>
      <c r="F334" s="1"/>
      <c r="G334" s="1"/>
      <c r="H334" s="1"/>
      <c r="I334" s="1"/>
      <c r="J334" s="1"/>
      <c r="K334" s="1"/>
      <c r="L334" s="1"/>
      <c r="M334" s="1"/>
      <c r="N334" s="1"/>
      <c r="O334" s="1"/>
      <c r="P334" s="1"/>
      <c r="Q334" s="1"/>
      <c r="R334" s="1"/>
      <c r="S334" s="1"/>
      <c r="T334" s="1"/>
      <c r="U334" s="2"/>
      <c r="V334" s="1"/>
      <c r="W334" s="1"/>
      <c r="X334" s="1"/>
      <c r="Y334" s="1"/>
      <c r="Z334" s="1"/>
    </row>
    <row r="335" spans="1:26" ht="39.75" customHeight="1">
      <c r="A335" s="1"/>
      <c r="B335" s="1"/>
      <c r="C335" s="1"/>
      <c r="D335" s="1"/>
      <c r="E335" s="1"/>
      <c r="F335" s="1"/>
      <c r="G335" s="1"/>
      <c r="H335" s="1"/>
      <c r="I335" s="1"/>
      <c r="J335" s="1"/>
      <c r="K335" s="1"/>
      <c r="L335" s="1"/>
      <c r="M335" s="1"/>
      <c r="N335" s="1"/>
      <c r="O335" s="1"/>
      <c r="P335" s="1"/>
      <c r="Q335" s="1"/>
      <c r="R335" s="1"/>
      <c r="S335" s="1"/>
      <c r="T335" s="1"/>
      <c r="U335" s="2"/>
      <c r="V335" s="1"/>
      <c r="W335" s="1"/>
      <c r="X335" s="1"/>
      <c r="Y335" s="1"/>
      <c r="Z335" s="1"/>
    </row>
    <row r="336" spans="1:26" ht="39.75" customHeight="1">
      <c r="A336" s="1"/>
      <c r="B336" s="1"/>
      <c r="C336" s="1"/>
      <c r="D336" s="1"/>
      <c r="E336" s="1"/>
      <c r="F336" s="1"/>
      <c r="G336" s="1"/>
      <c r="H336" s="1"/>
      <c r="I336" s="1"/>
      <c r="J336" s="1"/>
      <c r="K336" s="1"/>
      <c r="L336" s="1"/>
      <c r="M336" s="1"/>
      <c r="N336" s="1"/>
      <c r="O336" s="1"/>
      <c r="P336" s="1"/>
      <c r="Q336" s="1"/>
      <c r="R336" s="1"/>
      <c r="S336" s="1"/>
      <c r="T336" s="1"/>
      <c r="U336" s="2"/>
      <c r="V336" s="1"/>
      <c r="W336" s="1"/>
      <c r="X336" s="1"/>
      <c r="Y336" s="1"/>
      <c r="Z336" s="1"/>
    </row>
    <row r="337" spans="1:26" ht="39.75" customHeight="1">
      <c r="A337" s="1"/>
      <c r="B337" s="1"/>
      <c r="C337" s="1"/>
      <c r="D337" s="1"/>
      <c r="E337" s="1"/>
      <c r="F337" s="1"/>
      <c r="G337" s="1"/>
      <c r="H337" s="1"/>
      <c r="I337" s="1"/>
      <c r="J337" s="1"/>
      <c r="K337" s="1"/>
      <c r="L337" s="1"/>
      <c r="M337" s="1"/>
      <c r="N337" s="1"/>
      <c r="O337" s="1"/>
      <c r="P337" s="1"/>
      <c r="Q337" s="1"/>
      <c r="R337" s="1"/>
      <c r="S337" s="1"/>
      <c r="T337" s="1"/>
      <c r="U337" s="2"/>
      <c r="V337" s="1"/>
      <c r="W337" s="1"/>
      <c r="X337" s="1"/>
      <c r="Y337" s="1"/>
      <c r="Z337" s="1"/>
    </row>
    <row r="338" spans="1:26" ht="39.75" customHeight="1">
      <c r="A338" s="1"/>
      <c r="B338" s="1"/>
      <c r="C338" s="1"/>
      <c r="D338" s="1"/>
      <c r="E338" s="1"/>
      <c r="F338" s="1"/>
      <c r="G338" s="1"/>
      <c r="H338" s="1"/>
      <c r="I338" s="1"/>
      <c r="J338" s="1"/>
      <c r="K338" s="1"/>
      <c r="L338" s="1"/>
      <c r="M338" s="1"/>
      <c r="N338" s="1"/>
      <c r="O338" s="1"/>
      <c r="P338" s="1"/>
      <c r="Q338" s="1"/>
      <c r="R338" s="1"/>
      <c r="S338" s="1"/>
      <c r="T338" s="1"/>
      <c r="U338" s="2"/>
      <c r="V338" s="1"/>
      <c r="W338" s="1"/>
      <c r="X338" s="1"/>
      <c r="Y338" s="1"/>
      <c r="Z338" s="1"/>
    </row>
    <row r="339" spans="1:26" ht="39.75" customHeight="1">
      <c r="A339" s="1"/>
      <c r="B339" s="1"/>
      <c r="C339" s="1"/>
      <c r="D339" s="1"/>
      <c r="E339" s="1"/>
      <c r="F339" s="1"/>
      <c r="G339" s="1"/>
      <c r="H339" s="1"/>
      <c r="I339" s="1"/>
      <c r="J339" s="1"/>
      <c r="K339" s="1"/>
      <c r="L339" s="1"/>
      <c r="M339" s="1"/>
      <c r="N339" s="1"/>
      <c r="O339" s="1"/>
      <c r="P339" s="1"/>
      <c r="Q339" s="1"/>
      <c r="R339" s="1"/>
      <c r="S339" s="1"/>
      <c r="T339" s="1"/>
      <c r="U339" s="2"/>
      <c r="V339" s="1"/>
      <c r="W339" s="1"/>
      <c r="X339" s="1"/>
      <c r="Y339" s="1"/>
      <c r="Z339" s="1"/>
    </row>
    <row r="340" spans="1:26" ht="39.75" customHeight="1">
      <c r="A340" s="1"/>
      <c r="B340" s="1"/>
      <c r="C340" s="1"/>
      <c r="D340" s="1"/>
      <c r="E340" s="1"/>
      <c r="F340" s="1"/>
      <c r="G340" s="1"/>
      <c r="H340" s="1"/>
      <c r="I340" s="1"/>
      <c r="J340" s="1"/>
      <c r="K340" s="1"/>
      <c r="L340" s="1"/>
      <c r="M340" s="1"/>
      <c r="N340" s="1"/>
      <c r="O340" s="1"/>
      <c r="P340" s="1"/>
      <c r="Q340" s="1"/>
      <c r="R340" s="1"/>
      <c r="S340" s="1"/>
      <c r="T340" s="1"/>
      <c r="U340" s="2"/>
      <c r="V340" s="1"/>
      <c r="W340" s="1"/>
      <c r="X340" s="1"/>
      <c r="Y340" s="1"/>
      <c r="Z340" s="1"/>
    </row>
    <row r="341" spans="1:26" ht="39.75" customHeight="1">
      <c r="A341" s="1"/>
      <c r="B341" s="1"/>
      <c r="C341" s="1"/>
      <c r="D341" s="1"/>
      <c r="E341" s="1"/>
      <c r="F341" s="1"/>
      <c r="G341" s="1"/>
      <c r="H341" s="1"/>
      <c r="I341" s="1"/>
      <c r="J341" s="1"/>
      <c r="K341" s="1"/>
      <c r="L341" s="1"/>
      <c r="M341" s="1"/>
      <c r="N341" s="1"/>
      <c r="O341" s="1"/>
      <c r="P341" s="1"/>
      <c r="Q341" s="1"/>
      <c r="R341" s="1"/>
      <c r="S341" s="1"/>
      <c r="T341" s="1"/>
      <c r="U341" s="2"/>
      <c r="V341" s="1"/>
      <c r="W341" s="1"/>
      <c r="X341" s="1"/>
      <c r="Y341" s="1"/>
      <c r="Z341" s="1"/>
    </row>
    <row r="342" spans="1:26" ht="39.75" customHeight="1">
      <c r="A342" s="1"/>
      <c r="B342" s="1"/>
      <c r="C342" s="1"/>
      <c r="D342" s="1"/>
      <c r="E342" s="1"/>
      <c r="F342" s="1"/>
      <c r="G342" s="1"/>
      <c r="H342" s="1"/>
      <c r="I342" s="1"/>
      <c r="J342" s="1"/>
      <c r="K342" s="1"/>
      <c r="L342" s="1"/>
      <c r="M342" s="1"/>
      <c r="N342" s="1"/>
      <c r="O342" s="1"/>
      <c r="P342" s="1"/>
      <c r="Q342" s="1"/>
      <c r="R342" s="1"/>
      <c r="S342" s="1"/>
      <c r="T342" s="1"/>
      <c r="U342" s="2"/>
      <c r="V342" s="1"/>
      <c r="W342" s="1"/>
      <c r="X342" s="1"/>
      <c r="Y342" s="1"/>
      <c r="Z342" s="1"/>
    </row>
    <row r="343" spans="1:26" ht="39.75" customHeight="1">
      <c r="A343" s="1"/>
      <c r="B343" s="1"/>
      <c r="C343" s="1"/>
      <c r="D343" s="1"/>
      <c r="E343" s="1"/>
      <c r="F343" s="1"/>
      <c r="G343" s="1"/>
      <c r="H343" s="1"/>
      <c r="I343" s="1"/>
      <c r="J343" s="1"/>
      <c r="K343" s="1"/>
      <c r="L343" s="1"/>
      <c r="M343" s="1"/>
      <c r="N343" s="1"/>
      <c r="O343" s="1"/>
      <c r="P343" s="1"/>
      <c r="Q343" s="1"/>
      <c r="R343" s="1"/>
      <c r="S343" s="1"/>
      <c r="T343" s="1"/>
      <c r="U343" s="2"/>
      <c r="V343" s="1"/>
      <c r="W343" s="1"/>
      <c r="X343" s="1"/>
      <c r="Y343" s="1"/>
      <c r="Z343" s="1"/>
    </row>
    <row r="344" spans="1:26" ht="39.75" customHeight="1">
      <c r="A344" s="1"/>
      <c r="B344" s="1"/>
      <c r="C344" s="1"/>
      <c r="D344" s="1"/>
      <c r="E344" s="1"/>
      <c r="F344" s="1"/>
      <c r="G344" s="1"/>
      <c r="H344" s="1"/>
      <c r="I344" s="1"/>
      <c r="J344" s="1"/>
      <c r="K344" s="1"/>
      <c r="L344" s="1"/>
      <c r="M344" s="1"/>
      <c r="N344" s="1"/>
      <c r="O344" s="1"/>
      <c r="P344" s="1"/>
      <c r="Q344" s="1"/>
      <c r="R344" s="1"/>
      <c r="S344" s="1"/>
      <c r="T344" s="1"/>
      <c r="U344" s="2"/>
      <c r="V344" s="1"/>
      <c r="W344" s="1"/>
      <c r="X344" s="1"/>
      <c r="Y344" s="1"/>
      <c r="Z344" s="1"/>
    </row>
    <row r="345" spans="1:26" ht="39.75" customHeight="1">
      <c r="A345" s="1"/>
      <c r="B345" s="1"/>
      <c r="C345" s="1"/>
      <c r="D345" s="1"/>
      <c r="E345" s="1"/>
      <c r="F345" s="1"/>
      <c r="G345" s="1"/>
      <c r="H345" s="1"/>
      <c r="I345" s="1"/>
      <c r="J345" s="1"/>
      <c r="K345" s="1"/>
      <c r="L345" s="1"/>
      <c r="M345" s="1"/>
      <c r="N345" s="1"/>
      <c r="O345" s="1"/>
      <c r="P345" s="1"/>
      <c r="Q345" s="1"/>
      <c r="R345" s="1"/>
      <c r="S345" s="1"/>
      <c r="T345" s="1"/>
      <c r="U345" s="2"/>
      <c r="V345" s="1"/>
      <c r="W345" s="1"/>
      <c r="X345" s="1"/>
      <c r="Y345" s="1"/>
      <c r="Z345" s="1"/>
    </row>
    <row r="346" spans="1:26" ht="39.75" customHeight="1">
      <c r="A346" s="1"/>
      <c r="B346" s="1"/>
      <c r="C346" s="1"/>
      <c r="D346" s="1"/>
      <c r="E346" s="1"/>
      <c r="F346" s="1"/>
      <c r="G346" s="1"/>
      <c r="H346" s="1"/>
      <c r="I346" s="1"/>
      <c r="J346" s="1"/>
      <c r="K346" s="1"/>
      <c r="L346" s="1"/>
      <c r="M346" s="1"/>
      <c r="N346" s="1"/>
      <c r="O346" s="1"/>
      <c r="P346" s="1"/>
      <c r="Q346" s="1"/>
      <c r="R346" s="1"/>
      <c r="S346" s="1"/>
      <c r="T346" s="1"/>
      <c r="U346" s="2"/>
      <c r="V346" s="1"/>
      <c r="W346" s="1"/>
      <c r="X346" s="1"/>
      <c r="Y346" s="1"/>
      <c r="Z346" s="1"/>
    </row>
    <row r="347" spans="1:26" ht="39.75" customHeight="1">
      <c r="A347" s="1"/>
      <c r="B347" s="1"/>
      <c r="C347" s="1"/>
      <c r="D347" s="1"/>
      <c r="E347" s="1"/>
      <c r="F347" s="1"/>
      <c r="G347" s="1"/>
      <c r="H347" s="1"/>
      <c r="I347" s="1"/>
      <c r="J347" s="1"/>
      <c r="K347" s="1"/>
      <c r="L347" s="1"/>
      <c r="M347" s="1"/>
      <c r="N347" s="1"/>
      <c r="O347" s="1"/>
      <c r="P347" s="1"/>
      <c r="Q347" s="1"/>
      <c r="R347" s="1"/>
      <c r="S347" s="1"/>
      <c r="T347" s="1"/>
      <c r="U347" s="2"/>
      <c r="V347" s="1"/>
      <c r="W347" s="1"/>
      <c r="X347" s="1"/>
      <c r="Y347" s="1"/>
      <c r="Z347" s="1"/>
    </row>
    <row r="348" spans="1:26" ht="39.75" customHeight="1">
      <c r="A348" s="1"/>
      <c r="B348" s="1"/>
      <c r="C348" s="1"/>
      <c r="D348" s="1"/>
      <c r="E348" s="1"/>
      <c r="F348" s="1"/>
      <c r="G348" s="1"/>
      <c r="H348" s="1"/>
      <c r="I348" s="1"/>
      <c r="J348" s="1"/>
      <c r="K348" s="1"/>
      <c r="L348" s="1"/>
      <c r="M348" s="1"/>
      <c r="N348" s="1"/>
      <c r="O348" s="1"/>
      <c r="P348" s="1"/>
      <c r="Q348" s="1"/>
      <c r="R348" s="1"/>
      <c r="S348" s="1"/>
      <c r="T348" s="1"/>
      <c r="U348" s="2"/>
      <c r="V348" s="1"/>
      <c r="W348" s="1"/>
      <c r="X348" s="1"/>
      <c r="Y348" s="1"/>
      <c r="Z348" s="1"/>
    </row>
    <row r="349" spans="1:26" ht="39.75" customHeight="1">
      <c r="A349" s="1"/>
      <c r="B349" s="1"/>
      <c r="C349" s="1"/>
      <c r="D349" s="1"/>
      <c r="E349" s="1"/>
      <c r="F349" s="1"/>
      <c r="G349" s="1"/>
      <c r="H349" s="1"/>
      <c r="I349" s="1"/>
      <c r="J349" s="1"/>
      <c r="K349" s="1"/>
      <c r="L349" s="1"/>
      <c r="M349" s="1"/>
      <c r="N349" s="1"/>
      <c r="O349" s="1"/>
      <c r="P349" s="1"/>
      <c r="Q349" s="1"/>
      <c r="R349" s="1"/>
      <c r="S349" s="1"/>
      <c r="T349" s="1"/>
      <c r="U349" s="2"/>
      <c r="V349" s="1"/>
      <c r="W349" s="1"/>
      <c r="X349" s="1"/>
      <c r="Y349" s="1"/>
      <c r="Z349" s="1"/>
    </row>
    <row r="350" spans="1:26" ht="39.75" customHeight="1">
      <c r="A350" s="1"/>
      <c r="B350" s="1"/>
      <c r="C350" s="1"/>
      <c r="D350" s="1"/>
      <c r="E350" s="1"/>
      <c r="F350" s="1"/>
      <c r="G350" s="1"/>
      <c r="H350" s="1"/>
      <c r="I350" s="1"/>
      <c r="J350" s="1"/>
      <c r="K350" s="1"/>
      <c r="L350" s="1"/>
      <c r="M350" s="1"/>
      <c r="N350" s="1"/>
      <c r="O350" s="1"/>
      <c r="P350" s="1"/>
      <c r="Q350" s="1"/>
      <c r="R350" s="1"/>
      <c r="S350" s="1"/>
      <c r="T350" s="1"/>
      <c r="U350" s="2"/>
      <c r="V350" s="1"/>
      <c r="W350" s="1"/>
      <c r="X350" s="1"/>
      <c r="Y350" s="1"/>
      <c r="Z350" s="1"/>
    </row>
    <row r="351" spans="1:26" ht="39.75" customHeight="1">
      <c r="A351" s="1"/>
      <c r="B351" s="1"/>
      <c r="C351" s="1"/>
      <c r="D351" s="1"/>
      <c r="E351" s="1"/>
      <c r="F351" s="1"/>
      <c r="G351" s="1"/>
      <c r="H351" s="1"/>
      <c r="I351" s="1"/>
      <c r="J351" s="1"/>
      <c r="K351" s="1"/>
      <c r="L351" s="1"/>
      <c r="M351" s="1"/>
      <c r="N351" s="1"/>
      <c r="O351" s="1"/>
      <c r="P351" s="1"/>
      <c r="Q351" s="1"/>
      <c r="R351" s="1"/>
      <c r="S351" s="1"/>
      <c r="T351" s="1"/>
      <c r="U351" s="2"/>
      <c r="V351" s="1"/>
      <c r="W351" s="1"/>
      <c r="X351" s="1"/>
      <c r="Y351" s="1"/>
      <c r="Z351" s="1"/>
    </row>
    <row r="352" spans="1:26" ht="39.75" customHeight="1">
      <c r="A352" s="1"/>
      <c r="B352" s="1"/>
      <c r="C352" s="1"/>
      <c r="D352" s="1"/>
      <c r="E352" s="1"/>
      <c r="F352" s="1"/>
      <c r="G352" s="1"/>
      <c r="H352" s="1"/>
      <c r="I352" s="1"/>
      <c r="J352" s="1"/>
      <c r="K352" s="1"/>
      <c r="L352" s="1"/>
      <c r="M352" s="1"/>
      <c r="N352" s="1"/>
      <c r="O352" s="1"/>
      <c r="P352" s="1"/>
      <c r="Q352" s="1"/>
      <c r="R352" s="1"/>
      <c r="S352" s="1"/>
      <c r="T352" s="1"/>
      <c r="U352" s="2"/>
      <c r="V352" s="1"/>
      <c r="W352" s="1"/>
      <c r="X352" s="1"/>
      <c r="Y352" s="1"/>
      <c r="Z352" s="1"/>
    </row>
    <row r="353" spans="1:26" ht="39.75" customHeight="1">
      <c r="A353" s="1"/>
      <c r="B353" s="1"/>
      <c r="C353" s="1"/>
      <c r="D353" s="1"/>
      <c r="E353" s="1"/>
      <c r="F353" s="1"/>
      <c r="G353" s="1"/>
      <c r="H353" s="1"/>
      <c r="I353" s="1"/>
      <c r="J353" s="1"/>
      <c r="K353" s="1"/>
      <c r="L353" s="1"/>
      <c r="M353" s="1"/>
      <c r="N353" s="1"/>
      <c r="O353" s="1"/>
      <c r="P353" s="1"/>
      <c r="Q353" s="1"/>
      <c r="R353" s="1"/>
      <c r="S353" s="1"/>
      <c r="T353" s="1"/>
      <c r="U353" s="2"/>
      <c r="V353" s="1"/>
      <c r="W353" s="1"/>
      <c r="X353" s="1"/>
      <c r="Y353" s="1"/>
      <c r="Z353" s="1"/>
    </row>
    <row r="354" spans="1:26" ht="39.75" customHeight="1">
      <c r="A354" s="1"/>
      <c r="B354" s="1"/>
      <c r="C354" s="1"/>
      <c r="D354" s="1"/>
      <c r="E354" s="1"/>
      <c r="F354" s="1"/>
      <c r="G354" s="1"/>
      <c r="H354" s="1"/>
      <c r="I354" s="1"/>
      <c r="J354" s="1"/>
      <c r="K354" s="1"/>
      <c r="L354" s="1"/>
      <c r="M354" s="1"/>
      <c r="N354" s="1"/>
      <c r="O354" s="1"/>
      <c r="P354" s="1"/>
      <c r="Q354" s="1"/>
      <c r="R354" s="1"/>
      <c r="S354" s="1"/>
      <c r="T354" s="1"/>
      <c r="U354" s="2"/>
      <c r="V354" s="1"/>
      <c r="W354" s="1"/>
      <c r="X354" s="1"/>
      <c r="Y354" s="1"/>
      <c r="Z354" s="1"/>
    </row>
    <row r="355" spans="1:26" ht="39.75" customHeight="1">
      <c r="A355" s="1"/>
      <c r="B355" s="1"/>
      <c r="C355" s="1"/>
      <c r="D355" s="1"/>
      <c r="E355" s="1"/>
      <c r="F355" s="1"/>
      <c r="G355" s="1"/>
      <c r="H355" s="1"/>
      <c r="I355" s="1"/>
      <c r="J355" s="1"/>
      <c r="K355" s="1"/>
      <c r="L355" s="1"/>
      <c r="M355" s="1"/>
      <c r="N355" s="1"/>
      <c r="O355" s="1"/>
      <c r="P355" s="1"/>
      <c r="Q355" s="1"/>
      <c r="R355" s="1"/>
      <c r="S355" s="1"/>
      <c r="T355" s="1"/>
      <c r="U355" s="2"/>
      <c r="V355" s="1"/>
      <c r="W355" s="1"/>
      <c r="X355" s="1"/>
      <c r="Y355" s="1"/>
      <c r="Z355" s="1"/>
    </row>
    <row r="356" spans="1:26" ht="39.75" customHeight="1">
      <c r="A356" s="1"/>
      <c r="B356" s="1"/>
      <c r="C356" s="1"/>
      <c r="D356" s="1"/>
      <c r="E356" s="1"/>
      <c r="F356" s="1"/>
      <c r="G356" s="1"/>
      <c r="H356" s="1"/>
      <c r="I356" s="1"/>
      <c r="J356" s="1"/>
      <c r="K356" s="1"/>
      <c r="L356" s="1"/>
      <c r="M356" s="1"/>
      <c r="N356" s="1"/>
      <c r="O356" s="1"/>
      <c r="P356" s="1"/>
      <c r="Q356" s="1"/>
      <c r="R356" s="1"/>
      <c r="S356" s="1"/>
      <c r="T356" s="1"/>
      <c r="U356" s="2"/>
      <c r="V356" s="1"/>
      <c r="W356" s="1"/>
      <c r="X356" s="1"/>
      <c r="Y356" s="1"/>
      <c r="Z356" s="1"/>
    </row>
    <row r="357" spans="1:26" ht="39.75" customHeight="1">
      <c r="A357" s="1"/>
      <c r="B357" s="1"/>
      <c r="C357" s="1"/>
      <c r="D357" s="1"/>
      <c r="E357" s="1"/>
      <c r="F357" s="1"/>
      <c r="G357" s="1"/>
      <c r="H357" s="1"/>
      <c r="I357" s="1"/>
      <c r="J357" s="1"/>
      <c r="K357" s="1"/>
      <c r="L357" s="1"/>
      <c r="M357" s="1"/>
      <c r="N357" s="1"/>
      <c r="O357" s="1"/>
      <c r="P357" s="1"/>
      <c r="Q357" s="1"/>
      <c r="R357" s="1"/>
      <c r="S357" s="1"/>
      <c r="T357" s="1"/>
      <c r="U357" s="2"/>
      <c r="V357" s="1"/>
      <c r="W357" s="1"/>
      <c r="X357" s="1"/>
      <c r="Y357" s="1"/>
      <c r="Z357" s="1"/>
    </row>
    <row r="358" spans="1:26" ht="39.75" customHeight="1">
      <c r="A358" s="1"/>
      <c r="B358" s="1"/>
      <c r="C358" s="1"/>
      <c r="D358" s="1"/>
      <c r="E358" s="1"/>
      <c r="F358" s="1"/>
      <c r="G358" s="1"/>
      <c r="H358" s="1"/>
      <c r="I358" s="1"/>
      <c r="J358" s="1"/>
      <c r="K358" s="1"/>
      <c r="L358" s="1"/>
      <c r="M358" s="1"/>
      <c r="N358" s="1"/>
      <c r="O358" s="1"/>
      <c r="P358" s="1"/>
      <c r="Q358" s="1"/>
      <c r="R358" s="1"/>
      <c r="S358" s="1"/>
      <c r="T358" s="1"/>
      <c r="U358" s="2"/>
      <c r="V358" s="1"/>
      <c r="W358" s="1"/>
      <c r="X358" s="1"/>
      <c r="Y358" s="1"/>
      <c r="Z358" s="1"/>
    </row>
    <row r="359" spans="1:26" ht="39.75" customHeight="1">
      <c r="A359" s="1"/>
      <c r="B359" s="1"/>
      <c r="C359" s="1"/>
      <c r="D359" s="1"/>
      <c r="E359" s="1"/>
      <c r="F359" s="1"/>
      <c r="G359" s="1"/>
      <c r="H359" s="1"/>
      <c r="I359" s="1"/>
      <c r="J359" s="1"/>
      <c r="K359" s="1"/>
      <c r="L359" s="1"/>
      <c r="M359" s="1"/>
      <c r="N359" s="1"/>
      <c r="O359" s="1"/>
      <c r="P359" s="1"/>
      <c r="Q359" s="1"/>
      <c r="R359" s="1"/>
      <c r="S359" s="1"/>
      <c r="T359" s="1"/>
      <c r="U359" s="2"/>
      <c r="V359" s="1"/>
      <c r="W359" s="1"/>
      <c r="X359" s="1"/>
      <c r="Y359" s="1"/>
      <c r="Z359" s="1"/>
    </row>
    <row r="360" spans="1:26" ht="39.75" customHeight="1">
      <c r="A360" s="1"/>
      <c r="B360" s="1"/>
      <c r="C360" s="1"/>
      <c r="D360" s="1"/>
      <c r="E360" s="1"/>
      <c r="F360" s="1"/>
      <c r="G360" s="1"/>
      <c r="H360" s="1"/>
      <c r="I360" s="1"/>
      <c r="J360" s="1"/>
      <c r="K360" s="1"/>
      <c r="L360" s="1"/>
      <c r="M360" s="1"/>
      <c r="N360" s="1"/>
      <c r="O360" s="1"/>
      <c r="P360" s="1"/>
      <c r="Q360" s="1"/>
      <c r="R360" s="1"/>
      <c r="S360" s="1"/>
      <c r="T360" s="1"/>
      <c r="U360" s="2"/>
      <c r="V360" s="1"/>
      <c r="W360" s="1"/>
      <c r="X360" s="1"/>
      <c r="Y360" s="1"/>
      <c r="Z360" s="1"/>
    </row>
    <row r="361" spans="1:26" ht="39.75" customHeight="1">
      <c r="A361" s="1"/>
      <c r="B361" s="1"/>
      <c r="C361" s="1"/>
      <c r="D361" s="1"/>
      <c r="E361" s="1"/>
      <c r="F361" s="1"/>
      <c r="G361" s="1"/>
      <c r="H361" s="1"/>
      <c r="I361" s="1"/>
      <c r="J361" s="1"/>
      <c r="K361" s="1"/>
      <c r="L361" s="1"/>
      <c r="M361" s="1"/>
      <c r="N361" s="1"/>
      <c r="O361" s="1"/>
      <c r="P361" s="1"/>
      <c r="Q361" s="1"/>
      <c r="R361" s="1"/>
      <c r="S361" s="1"/>
      <c r="T361" s="1"/>
      <c r="U361" s="2"/>
      <c r="V361" s="1"/>
      <c r="W361" s="1"/>
      <c r="X361" s="1"/>
      <c r="Y361" s="1"/>
      <c r="Z361" s="1"/>
    </row>
    <row r="362" spans="1:26" ht="39.75" customHeight="1">
      <c r="A362" s="1"/>
      <c r="B362" s="1"/>
      <c r="C362" s="1"/>
      <c r="D362" s="1"/>
      <c r="E362" s="1"/>
      <c r="F362" s="1"/>
      <c r="G362" s="1"/>
      <c r="H362" s="1"/>
      <c r="I362" s="1"/>
      <c r="J362" s="1"/>
      <c r="K362" s="1"/>
      <c r="L362" s="1"/>
      <c r="M362" s="1"/>
      <c r="N362" s="1"/>
      <c r="O362" s="1"/>
      <c r="P362" s="1"/>
      <c r="Q362" s="1"/>
      <c r="R362" s="1"/>
      <c r="S362" s="1"/>
      <c r="T362" s="1"/>
      <c r="U362" s="2"/>
      <c r="V362" s="1"/>
      <c r="W362" s="1"/>
      <c r="X362" s="1"/>
      <c r="Y362" s="1"/>
      <c r="Z362" s="1"/>
    </row>
    <row r="363" spans="1:26" ht="39.75" customHeight="1">
      <c r="A363" s="1"/>
      <c r="B363" s="1"/>
      <c r="C363" s="1"/>
      <c r="D363" s="1"/>
      <c r="E363" s="1"/>
      <c r="F363" s="1"/>
      <c r="G363" s="1"/>
      <c r="H363" s="1"/>
      <c r="I363" s="1"/>
      <c r="J363" s="1"/>
      <c r="K363" s="1"/>
      <c r="L363" s="1"/>
      <c r="M363" s="1"/>
      <c r="N363" s="1"/>
      <c r="O363" s="1"/>
      <c r="P363" s="1"/>
      <c r="Q363" s="1"/>
      <c r="R363" s="1"/>
      <c r="S363" s="1"/>
      <c r="T363" s="1"/>
      <c r="U363" s="2"/>
      <c r="V363" s="1"/>
      <c r="W363" s="1"/>
      <c r="X363" s="1"/>
      <c r="Y363" s="1"/>
      <c r="Z363" s="1"/>
    </row>
    <row r="364" spans="1:26" ht="39.75" customHeight="1">
      <c r="A364" s="1"/>
      <c r="B364" s="1"/>
      <c r="C364" s="1"/>
      <c r="D364" s="1"/>
      <c r="E364" s="1"/>
      <c r="F364" s="1"/>
      <c r="G364" s="1"/>
      <c r="H364" s="1"/>
      <c r="I364" s="1"/>
      <c r="J364" s="1"/>
      <c r="K364" s="1"/>
      <c r="L364" s="1"/>
      <c r="M364" s="1"/>
      <c r="N364" s="1"/>
      <c r="O364" s="1"/>
      <c r="P364" s="1"/>
      <c r="Q364" s="1"/>
      <c r="R364" s="1"/>
      <c r="S364" s="1"/>
      <c r="T364" s="1"/>
      <c r="U364" s="2"/>
      <c r="V364" s="1"/>
      <c r="W364" s="1"/>
      <c r="X364" s="1"/>
      <c r="Y364" s="1"/>
      <c r="Z364" s="1"/>
    </row>
    <row r="365" spans="1:26" ht="39.75" customHeight="1">
      <c r="A365" s="1"/>
      <c r="B365" s="1"/>
      <c r="C365" s="1"/>
      <c r="D365" s="1"/>
      <c r="E365" s="1"/>
      <c r="F365" s="1"/>
      <c r="G365" s="1"/>
      <c r="H365" s="1"/>
      <c r="I365" s="1"/>
      <c r="J365" s="1"/>
      <c r="K365" s="1"/>
      <c r="L365" s="1"/>
      <c r="M365" s="1"/>
      <c r="N365" s="1"/>
      <c r="O365" s="1"/>
      <c r="P365" s="1"/>
      <c r="Q365" s="1"/>
      <c r="R365" s="1"/>
      <c r="S365" s="1"/>
      <c r="T365" s="1"/>
      <c r="U365" s="2"/>
      <c r="V365" s="1"/>
      <c r="W365" s="1"/>
      <c r="X365" s="1"/>
      <c r="Y365" s="1"/>
      <c r="Z365" s="1"/>
    </row>
    <row r="366" spans="1:26" ht="39.75" customHeight="1">
      <c r="A366" s="1"/>
      <c r="B366" s="1"/>
      <c r="C366" s="1"/>
      <c r="D366" s="1"/>
      <c r="E366" s="1"/>
      <c r="F366" s="1"/>
      <c r="G366" s="1"/>
      <c r="H366" s="1"/>
      <c r="I366" s="1"/>
      <c r="J366" s="1"/>
      <c r="K366" s="1"/>
      <c r="L366" s="1"/>
      <c r="M366" s="1"/>
      <c r="N366" s="1"/>
      <c r="O366" s="1"/>
      <c r="P366" s="1"/>
      <c r="Q366" s="1"/>
      <c r="R366" s="1"/>
      <c r="S366" s="1"/>
      <c r="T366" s="1"/>
      <c r="U366" s="2"/>
      <c r="V366" s="1"/>
      <c r="W366" s="1"/>
      <c r="X366" s="1"/>
      <c r="Y366" s="1"/>
      <c r="Z366" s="1"/>
    </row>
    <row r="367" spans="1:26" ht="39.75" customHeight="1">
      <c r="A367" s="1"/>
      <c r="B367" s="1"/>
      <c r="C367" s="1"/>
      <c r="D367" s="1"/>
      <c r="E367" s="1"/>
      <c r="F367" s="1"/>
      <c r="G367" s="1"/>
      <c r="H367" s="1"/>
      <c r="I367" s="1"/>
      <c r="J367" s="1"/>
      <c r="K367" s="1"/>
      <c r="L367" s="1"/>
      <c r="M367" s="1"/>
      <c r="N367" s="1"/>
      <c r="O367" s="1"/>
      <c r="P367" s="1"/>
      <c r="Q367" s="1"/>
      <c r="R367" s="1"/>
      <c r="S367" s="1"/>
      <c r="T367" s="1"/>
      <c r="U367" s="2"/>
      <c r="V367" s="1"/>
      <c r="W367" s="1"/>
      <c r="X367" s="1"/>
      <c r="Y367" s="1"/>
      <c r="Z367" s="1"/>
    </row>
    <row r="368" spans="1:26" ht="39.75" customHeight="1">
      <c r="A368" s="1"/>
      <c r="B368" s="1"/>
      <c r="C368" s="1"/>
      <c r="D368" s="1"/>
      <c r="E368" s="1"/>
      <c r="F368" s="1"/>
      <c r="G368" s="1"/>
      <c r="H368" s="1"/>
      <c r="I368" s="1"/>
      <c r="J368" s="1"/>
      <c r="K368" s="1"/>
      <c r="L368" s="1"/>
      <c r="M368" s="1"/>
      <c r="N368" s="1"/>
      <c r="O368" s="1"/>
      <c r="P368" s="1"/>
      <c r="Q368" s="1"/>
      <c r="R368" s="1"/>
      <c r="S368" s="1"/>
      <c r="T368" s="1"/>
      <c r="U368" s="2"/>
      <c r="V368" s="1"/>
      <c r="W368" s="1"/>
      <c r="X368" s="1"/>
      <c r="Y368" s="1"/>
      <c r="Z368" s="1"/>
    </row>
    <row r="369" spans="1:26" ht="39.75" customHeight="1">
      <c r="A369" s="1"/>
      <c r="B369" s="1"/>
      <c r="C369" s="1"/>
      <c r="D369" s="1"/>
      <c r="E369" s="1"/>
      <c r="F369" s="1"/>
      <c r="G369" s="1"/>
      <c r="H369" s="1"/>
      <c r="I369" s="1"/>
      <c r="J369" s="1"/>
      <c r="K369" s="1"/>
      <c r="L369" s="1"/>
      <c r="M369" s="1"/>
      <c r="N369" s="1"/>
      <c r="O369" s="1"/>
      <c r="P369" s="1"/>
      <c r="Q369" s="1"/>
      <c r="R369" s="1"/>
      <c r="S369" s="1"/>
      <c r="T369" s="1"/>
      <c r="U369" s="2"/>
      <c r="V369" s="1"/>
      <c r="W369" s="1"/>
      <c r="X369" s="1"/>
      <c r="Y369" s="1"/>
      <c r="Z369" s="1"/>
    </row>
    <row r="370" spans="1:26" ht="39.75" customHeight="1">
      <c r="A370" s="1"/>
      <c r="B370" s="1"/>
      <c r="C370" s="1"/>
      <c r="D370" s="1"/>
      <c r="E370" s="1"/>
      <c r="F370" s="1"/>
      <c r="G370" s="1"/>
      <c r="H370" s="1"/>
      <c r="I370" s="1"/>
      <c r="J370" s="1"/>
      <c r="K370" s="1"/>
      <c r="L370" s="1"/>
      <c r="M370" s="1"/>
      <c r="N370" s="1"/>
      <c r="O370" s="1"/>
      <c r="P370" s="1"/>
      <c r="Q370" s="1"/>
      <c r="R370" s="1"/>
      <c r="S370" s="1"/>
      <c r="T370" s="1"/>
      <c r="U370" s="2"/>
      <c r="V370" s="1"/>
      <c r="W370" s="1"/>
      <c r="X370" s="1"/>
      <c r="Y370" s="1"/>
      <c r="Z370" s="1"/>
    </row>
    <row r="371" spans="1:26" ht="39.75" customHeight="1">
      <c r="A371" s="1"/>
      <c r="B371" s="1"/>
      <c r="C371" s="1"/>
      <c r="D371" s="1"/>
      <c r="E371" s="1"/>
      <c r="F371" s="1"/>
      <c r="G371" s="1"/>
      <c r="H371" s="1"/>
      <c r="I371" s="1"/>
      <c r="J371" s="1"/>
      <c r="K371" s="1"/>
      <c r="L371" s="1"/>
      <c r="M371" s="1"/>
      <c r="N371" s="1"/>
      <c r="O371" s="1"/>
      <c r="P371" s="1"/>
      <c r="Q371" s="1"/>
      <c r="R371" s="1"/>
      <c r="S371" s="1"/>
      <c r="T371" s="1"/>
      <c r="U371" s="2"/>
      <c r="V371" s="1"/>
      <c r="W371" s="1"/>
      <c r="X371" s="1"/>
      <c r="Y371" s="1"/>
      <c r="Z371" s="1"/>
    </row>
    <row r="372" spans="1:26" ht="39.75" customHeight="1">
      <c r="A372" s="1"/>
      <c r="B372" s="1"/>
      <c r="C372" s="1"/>
      <c r="D372" s="1"/>
      <c r="E372" s="1"/>
      <c r="F372" s="1"/>
      <c r="G372" s="1"/>
      <c r="H372" s="1"/>
      <c r="I372" s="1"/>
      <c r="J372" s="1"/>
      <c r="K372" s="1"/>
      <c r="L372" s="1"/>
      <c r="M372" s="1"/>
      <c r="N372" s="1"/>
      <c r="O372" s="1"/>
      <c r="P372" s="1"/>
      <c r="Q372" s="1"/>
      <c r="R372" s="1"/>
      <c r="S372" s="1"/>
      <c r="T372" s="1"/>
      <c r="U372" s="2"/>
      <c r="V372" s="1"/>
      <c r="W372" s="1"/>
      <c r="X372" s="1"/>
      <c r="Y372" s="1"/>
      <c r="Z372" s="1"/>
    </row>
    <row r="373" spans="1:26" ht="39.75" customHeight="1">
      <c r="A373" s="1"/>
      <c r="B373" s="1"/>
      <c r="C373" s="1"/>
      <c r="D373" s="1"/>
      <c r="E373" s="1"/>
      <c r="F373" s="1"/>
      <c r="G373" s="1"/>
      <c r="H373" s="1"/>
      <c r="I373" s="1"/>
      <c r="J373" s="1"/>
      <c r="K373" s="1"/>
      <c r="L373" s="1"/>
      <c r="M373" s="1"/>
      <c r="N373" s="1"/>
      <c r="O373" s="1"/>
      <c r="P373" s="1"/>
      <c r="Q373" s="1"/>
      <c r="R373" s="1"/>
      <c r="S373" s="1"/>
      <c r="T373" s="1"/>
      <c r="U373" s="2"/>
      <c r="V373" s="1"/>
      <c r="W373" s="1"/>
      <c r="X373" s="1"/>
      <c r="Y373" s="1"/>
      <c r="Z373" s="1"/>
    </row>
    <row r="374" spans="1:26" ht="39.75" customHeight="1">
      <c r="A374" s="1"/>
      <c r="B374" s="1"/>
      <c r="C374" s="1"/>
      <c r="D374" s="1"/>
      <c r="E374" s="1"/>
      <c r="F374" s="1"/>
      <c r="G374" s="1"/>
      <c r="H374" s="1"/>
      <c r="I374" s="1"/>
      <c r="J374" s="1"/>
      <c r="K374" s="1"/>
      <c r="L374" s="1"/>
      <c r="M374" s="1"/>
      <c r="N374" s="1"/>
      <c r="O374" s="1"/>
      <c r="P374" s="1"/>
      <c r="Q374" s="1"/>
      <c r="R374" s="1"/>
      <c r="S374" s="1"/>
      <c r="T374" s="1"/>
      <c r="U374" s="2"/>
      <c r="V374" s="1"/>
      <c r="W374" s="1"/>
      <c r="X374" s="1"/>
      <c r="Y374" s="1"/>
      <c r="Z374" s="1"/>
    </row>
    <row r="375" spans="1:26" ht="39.75" customHeight="1">
      <c r="A375" s="1"/>
      <c r="B375" s="1"/>
      <c r="C375" s="1"/>
      <c r="D375" s="1"/>
      <c r="E375" s="1"/>
      <c r="F375" s="1"/>
      <c r="G375" s="1"/>
      <c r="H375" s="1"/>
      <c r="I375" s="1"/>
      <c r="J375" s="1"/>
      <c r="K375" s="1"/>
      <c r="L375" s="1"/>
      <c r="M375" s="1"/>
      <c r="N375" s="1"/>
      <c r="O375" s="1"/>
      <c r="P375" s="1"/>
      <c r="Q375" s="1"/>
      <c r="R375" s="1"/>
      <c r="S375" s="1"/>
      <c r="T375" s="1"/>
      <c r="U375" s="2"/>
      <c r="V375" s="1"/>
      <c r="W375" s="1"/>
      <c r="X375" s="1"/>
      <c r="Y375" s="1"/>
      <c r="Z375" s="1"/>
    </row>
    <row r="376" spans="1:26" ht="39.75" customHeight="1">
      <c r="A376" s="1"/>
      <c r="B376" s="1"/>
      <c r="C376" s="1"/>
      <c r="D376" s="1"/>
      <c r="E376" s="1"/>
      <c r="F376" s="1"/>
      <c r="G376" s="1"/>
      <c r="H376" s="1"/>
      <c r="I376" s="1"/>
      <c r="J376" s="1"/>
      <c r="K376" s="1"/>
      <c r="L376" s="1"/>
      <c r="M376" s="1"/>
      <c r="N376" s="1"/>
      <c r="O376" s="1"/>
      <c r="P376" s="1"/>
      <c r="Q376" s="1"/>
      <c r="R376" s="1"/>
      <c r="S376" s="1"/>
      <c r="T376" s="1"/>
      <c r="U376" s="2"/>
      <c r="V376" s="1"/>
      <c r="W376" s="1"/>
      <c r="X376" s="1"/>
      <c r="Y376" s="1"/>
      <c r="Z376" s="1"/>
    </row>
    <row r="377" spans="1:26" ht="39.75" customHeight="1">
      <c r="A377" s="1"/>
      <c r="B377" s="1"/>
      <c r="C377" s="1"/>
      <c r="D377" s="1"/>
      <c r="E377" s="1"/>
      <c r="F377" s="1"/>
      <c r="G377" s="1"/>
      <c r="H377" s="1"/>
      <c r="I377" s="1"/>
      <c r="J377" s="1"/>
      <c r="K377" s="1"/>
      <c r="L377" s="1"/>
      <c r="M377" s="1"/>
      <c r="N377" s="1"/>
      <c r="O377" s="1"/>
      <c r="P377" s="1"/>
      <c r="Q377" s="1"/>
      <c r="R377" s="1"/>
      <c r="S377" s="1"/>
      <c r="T377" s="1"/>
      <c r="U377" s="2"/>
      <c r="V377" s="1"/>
      <c r="W377" s="1"/>
      <c r="X377" s="1"/>
      <c r="Y377" s="1"/>
      <c r="Z377" s="1"/>
    </row>
    <row r="378" spans="1:26" ht="39.75" customHeight="1">
      <c r="A378" s="1"/>
      <c r="B378" s="1"/>
      <c r="C378" s="1"/>
      <c r="D378" s="1"/>
      <c r="E378" s="1"/>
      <c r="F378" s="1"/>
      <c r="G378" s="1"/>
      <c r="H378" s="1"/>
      <c r="I378" s="1"/>
      <c r="J378" s="1"/>
      <c r="K378" s="1"/>
      <c r="L378" s="1"/>
      <c r="M378" s="1"/>
      <c r="N378" s="1"/>
      <c r="O378" s="1"/>
      <c r="P378" s="1"/>
      <c r="Q378" s="1"/>
      <c r="R378" s="1"/>
      <c r="S378" s="1"/>
      <c r="T378" s="1"/>
      <c r="U378" s="2"/>
      <c r="V378" s="1"/>
      <c r="W378" s="1"/>
      <c r="X378" s="1"/>
      <c r="Y378" s="1"/>
      <c r="Z378" s="1"/>
    </row>
    <row r="379" spans="1:26" ht="39.75" customHeight="1">
      <c r="A379" s="1"/>
      <c r="B379" s="1"/>
      <c r="C379" s="1"/>
      <c r="D379" s="1"/>
      <c r="E379" s="1"/>
      <c r="F379" s="1"/>
      <c r="G379" s="1"/>
      <c r="H379" s="1"/>
      <c r="I379" s="1"/>
      <c r="J379" s="1"/>
      <c r="K379" s="1"/>
      <c r="L379" s="1"/>
      <c r="M379" s="1"/>
      <c r="N379" s="1"/>
      <c r="O379" s="1"/>
      <c r="P379" s="1"/>
      <c r="Q379" s="1"/>
      <c r="R379" s="1"/>
      <c r="S379" s="1"/>
      <c r="T379" s="1"/>
      <c r="U379" s="2"/>
      <c r="V379" s="1"/>
      <c r="W379" s="1"/>
      <c r="X379" s="1"/>
      <c r="Y379" s="1"/>
      <c r="Z379" s="1"/>
    </row>
    <row r="380" spans="1:26" ht="39.75" customHeight="1">
      <c r="A380" s="1"/>
      <c r="B380" s="1"/>
      <c r="C380" s="1"/>
      <c r="D380" s="1"/>
      <c r="E380" s="1"/>
      <c r="F380" s="1"/>
      <c r="G380" s="1"/>
      <c r="H380" s="1"/>
      <c r="I380" s="1"/>
      <c r="J380" s="1"/>
      <c r="K380" s="1"/>
      <c r="L380" s="1"/>
      <c r="M380" s="1"/>
      <c r="N380" s="1"/>
      <c r="O380" s="1"/>
      <c r="P380" s="1"/>
      <c r="Q380" s="1"/>
      <c r="R380" s="1"/>
      <c r="S380" s="1"/>
      <c r="T380" s="1"/>
      <c r="U380" s="2"/>
      <c r="V380" s="1"/>
      <c r="W380" s="1"/>
      <c r="X380" s="1"/>
      <c r="Y380" s="1"/>
      <c r="Z380" s="1"/>
    </row>
    <row r="381" spans="1:26" ht="39.75" customHeight="1">
      <c r="A381" s="1"/>
      <c r="B381" s="1"/>
      <c r="C381" s="1"/>
      <c r="D381" s="1"/>
      <c r="E381" s="1"/>
      <c r="F381" s="1"/>
      <c r="G381" s="1"/>
      <c r="H381" s="1"/>
      <c r="I381" s="1"/>
      <c r="J381" s="1"/>
      <c r="K381" s="1"/>
      <c r="L381" s="1"/>
      <c r="M381" s="1"/>
      <c r="N381" s="1"/>
      <c r="O381" s="1"/>
      <c r="P381" s="1"/>
      <c r="Q381" s="1"/>
      <c r="R381" s="1"/>
      <c r="S381" s="1"/>
      <c r="T381" s="1"/>
      <c r="U381" s="2"/>
      <c r="V381" s="1"/>
      <c r="W381" s="1"/>
      <c r="X381" s="1"/>
      <c r="Y381" s="1"/>
      <c r="Z381" s="1"/>
    </row>
    <row r="382" spans="1:26" ht="39.75" customHeight="1">
      <c r="A382" s="1"/>
      <c r="B382" s="1"/>
      <c r="C382" s="1"/>
      <c r="D382" s="1"/>
      <c r="E382" s="1"/>
      <c r="F382" s="1"/>
      <c r="G382" s="1"/>
      <c r="H382" s="1"/>
      <c r="I382" s="1"/>
      <c r="J382" s="1"/>
      <c r="K382" s="1"/>
      <c r="L382" s="1"/>
      <c r="M382" s="1"/>
      <c r="N382" s="1"/>
      <c r="O382" s="1"/>
      <c r="P382" s="1"/>
      <c r="Q382" s="1"/>
      <c r="R382" s="1"/>
      <c r="S382" s="1"/>
      <c r="T382" s="1"/>
      <c r="U382" s="2"/>
      <c r="V382" s="1"/>
      <c r="W382" s="1"/>
      <c r="X382" s="1"/>
      <c r="Y382" s="1"/>
      <c r="Z382" s="1"/>
    </row>
    <row r="383" spans="1:26" ht="39.75" customHeight="1">
      <c r="A383" s="1"/>
      <c r="B383" s="1"/>
      <c r="C383" s="1"/>
      <c r="D383" s="1"/>
      <c r="E383" s="1"/>
      <c r="F383" s="1"/>
      <c r="G383" s="1"/>
      <c r="H383" s="1"/>
      <c r="I383" s="1"/>
      <c r="J383" s="1"/>
      <c r="K383" s="1"/>
      <c r="L383" s="1"/>
      <c r="M383" s="1"/>
      <c r="N383" s="1"/>
      <c r="O383" s="1"/>
      <c r="P383" s="1"/>
      <c r="Q383" s="1"/>
      <c r="R383" s="1"/>
      <c r="S383" s="1"/>
      <c r="T383" s="1"/>
      <c r="U383" s="2"/>
      <c r="V383" s="1"/>
      <c r="W383" s="1"/>
      <c r="X383" s="1"/>
      <c r="Y383" s="1"/>
      <c r="Z383" s="1"/>
    </row>
    <row r="384" spans="1:26" ht="39.75" customHeight="1">
      <c r="A384" s="1"/>
      <c r="B384" s="1"/>
      <c r="C384" s="1"/>
      <c r="D384" s="1"/>
      <c r="E384" s="1"/>
      <c r="F384" s="1"/>
      <c r="G384" s="1"/>
      <c r="H384" s="1"/>
      <c r="I384" s="1"/>
      <c r="J384" s="1"/>
      <c r="K384" s="1"/>
      <c r="L384" s="1"/>
      <c r="M384" s="1"/>
      <c r="N384" s="1"/>
      <c r="O384" s="1"/>
      <c r="P384" s="1"/>
      <c r="Q384" s="1"/>
      <c r="R384" s="1"/>
      <c r="S384" s="1"/>
      <c r="T384" s="1"/>
      <c r="U384" s="2"/>
      <c r="V384" s="1"/>
      <c r="W384" s="1"/>
      <c r="X384" s="1"/>
      <c r="Y384" s="1"/>
      <c r="Z384" s="1"/>
    </row>
    <row r="385" spans="1:26" ht="39.75" customHeight="1">
      <c r="A385" s="1"/>
      <c r="B385" s="1"/>
      <c r="C385" s="1"/>
      <c r="D385" s="1"/>
      <c r="E385" s="1"/>
      <c r="F385" s="1"/>
      <c r="G385" s="1"/>
      <c r="H385" s="1"/>
      <c r="I385" s="1"/>
      <c r="J385" s="1"/>
      <c r="K385" s="1"/>
      <c r="L385" s="1"/>
      <c r="M385" s="1"/>
      <c r="N385" s="1"/>
      <c r="O385" s="1"/>
      <c r="P385" s="1"/>
      <c r="Q385" s="1"/>
      <c r="R385" s="1"/>
      <c r="S385" s="1"/>
      <c r="T385" s="1"/>
      <c r="U385" s="2"/>
      <c r="V385" s="1"/>
      <c r="W385" s="1"/>
      <c r="X385" s="1"/>
      <c r="Y385" s="1"/>
      <c r="Z385" s="1"/>
    </row>
    <row r="386" spans="1:26" ht="39.75" customHeight="1">
      <c r="A386" s="1"/>
      <c r="B386" s="1"/>
      <c r="C386" s="1"/>
      <c r="D386" s="1"/>
      <c r="E386" s="1"/>
      <c r="F386" s="1"/>
      <c r="G386" s="1"/>
      <c r="H386" s="1"/>
      <c r="I386" s="1"/>
      <c r="J386" s="1"/>
      <c r="K386" s="1"/>
      <c r="L386" s="1"/>
      <c r="M386" s="1"/>
      <c r="N386" s="1"/>
      <c r="O386" s="1"/>
      <c r="P386" s="1"/>
      <c r="Q386" s="1"/>
      <c r="R386" s="1"/>
      <c r="S386" s="1"/>
      <c r="T386" s="1"/>
      <c r="U386" s="2"/>
      <c r="V386" s="1"/>
      <c r="W386" s="1"/>
      <c r="X386" s="1"/>
      <c r="Y386" s="1"/>
      <c r="Z386" s="1"/>
    </row>
    <row r="387" spans="1:26" ht="39.75" customHeight="1">
      <c r="A387" s="1"/>
      <c r="B387" s="1"/>
      <c r="C387" s="1"/>
      <c r="D387" s="1"/>
      <c r="E387" s="1"/>
      <c r="F387" s="1"/>
      <c r="G387" s="1"/>
      <c r="H387" s="1"/>
      <c r="I387" s="1"/>
      <c r="J387" s="1"/>
      <c r="K387" s="1"/>
      <c r="L387" s="1"/>
      <c r="M387" s="1"/>
      <c r="N387" s="1"/>
      <c r="O387" s="1"/>
      <c r="P387" s="1"/>
      <c r="Q387" s="1"/>
      <c r="R387" s="1"/>
      <c r="S387" s="1"/>
      <c r="T387" s="1"/>
      <c r="U387" s="2"/>
      <c r="V387" s="1"/>
      <c r="W387" s="1"/>
      <c r="X387" s="1"/>
      <c r="Y387" s="1"/>
      <c r="Z387" s="1"/>
    </row>
    <row r="388" spans="1:26" ht="39.75" customHeight="1">
      <c r="A388" s="1"/>
      <c r="B388" s="1"/>
      <c r="C388" s="1"/>
      <c r="D388" s="1"/>
      <c r="E388" s="1"/>
      <c r="F388" s="1"/>
      <c r="G388" s="1"/>
      <c r="H388" s="1"/>
      <c r="I388" s="1"/>
      <c r="J388" s="1"/>
      <c r="K388" s="1"/>
      <c r="L388" s="1"/>
      <c r="M388" s="1"/>
      <c r="N388" s="1"/>
      <c r="O388" s="1"/>
      <c r="P388" s="1"/>
      <c r="Q388" s="1"/>
      <c r="R388" s="1"/>
      <c r="S388" s="1"/>
      <c r="T388" s="1"/>
      <c r="U388" s="2"/>
      <c r="V388" s="1"/>
      <c r="W388" s="1"/>
      <c r="X388" s="1"/>
      <c r="Y388" s="1"/>
      <c r="Z388" s="1"/>
    </row>
    <row r="389" spans="1:26" ht="39.75" customHeight="1">
      <c r="A389" s="1"/>
      <c r="B389" s="1"/>
      <c r="C389" s="1"/>
      <c r="D389" s="1"/>
      <c r="E389" s="1"/>
      <c r="F389" s="1"/>
      <c r="G389" s="1"/>
      <c r="H389" s="1"/>
      <c r="I389" s="1"/>
      <c r="J389" s="1"/>
      <c r="K389" s="1"/>
      <c r="L389" s="1"/>
      <c r="M389" s="1"/>
      <c r="N389" s="1"/>
      <c r="O389" s="1"/>
      <c r="P389" s="1"/>
      <c r="Q389" s="1"/>
      <c r="R389" s="1"/>
      <c r="S389" s="1"/>
      <c r="T389" s="1"/>
      <c r="U389" s="2"/>
      <c r="V389" s="1"/>
      <c r="W389" s="1"/>
      <c r="X389" s="1"/>
      <c r="Y389" s="1"/>
      <c r="Z389" s="1"/>
    </row>
    <row r="390" spans="1:26" ht="39.75" customHeight="1">
      <c r="A390" s="1"/>
      <c r="B390" s="1"/>
      <c r="C390" s="1"/>
      <c r="D390" s="1"/>
      <c r="E390" s="1"/>
      <c r="F390" s="1"/>
      <c r="G390" s="1"/>
      <c r="H390" s="1"/>
      <c r="I390" s="1"/>
      <c r="J390" s="1"/>
      <c r="K390" s="1"/>
      <c r="L390" s="1"/>
      <c r="M390" s="1"/>
      <c r="N390" s="1"/>
      <c r="O390" s="1"/>
      <c r="P390" s="1"/>
      <c r="Q390" s="1"/>
      <c r="R390" s="1"/>
      <c r="S390" s="1"/>
      <c r="T390" s="1"/>
      <c r="U390" s="2"/>
      <c r="V390" s="1"/>
      <c r="W390" s="1"/>
      <c r="X390" s="1"/>
      <c r="Y390" s="1"/>
      <c r="Z390" s="1"/>
    </row>
    <row r="391" spans="1:26" ht="39.75" customHeight="1">
      <c r="A391" s="1"/>
      <c r="B391" s="1"/>
      <c r="C391" s="1"/>
      <c r="D391" s="1"/>
      <c r="E391" s="1"/>
      <c r="F391" s="1"/>
      <c r="G391" s="1"/>
      <c r="H391" s="1"/>
      <c r="I391" s="1"/>
      <c r="J391" s="1"/>
      <c r="K391" s="1"/>
      <c r="L391" s="1"/>
      <c r="M391" s="1"/>
      <c r="N391" s="1"/>
      <c r="O391" s="1"/>
      <c r="P391" s="1"/>
      <c r="Q391" s="1"/>
      <c r="R391" s="1"/>
      <c r="S391" s="1"/>
      <c r="T391" s="1"/>
      <c r="U391" s="2"/>
      <c r="V391" s="1"/>
      <c r="W391" s="1"/>
      <c r="X391" s="1"/>
      <c r="Y391" s="1"/>
      <c r="Z391" s="1"/>
    </row>
    <row r="392" spans="1:26" ht="39.75" customHeight="1">
      <c r="A392" s="1"/>
      <c r="B392" s="1"/>
      <c r="C392" s="1"/>
      <c r="D392" s="1"/>
      <c r="E392" s="1"/>
      <c r="F392" s="1"/>
      <c r="G392" s="1"/>
      <c r="H392" s="1"/>
      <c r="I392" s="1"/>
      <c r="J392" s="1"/>
      <c r="K392" s="1"/>
      <c r="L392" s="1"/>
      <c r="M392" s="1"/>
      <c r="N392" s="1"/>
      <c r="O392" s="1"/>
      <c r="P392" s="1"/>
      <c r="Q392" s="1"/>
      <c r="R392" s="1"/>
      <c r="S392" s="1"/>
      <c r="T392" s="1"/>
      <c r="U392" s="2"/>
      <c r="V392" s="1"/>
      <c r="W392" s="1"/>
      <c r="X392" s="1"/>
      <c r="Y392" s="1"/>
      <c r="Z392" s="1"/>
    </row>
    <row r="393" spans="1:26" ht="39.75" customHeight="1">
      <c r="A393" s="1"/>
      <c r="B393" s="1"/>
      <c r="C393" s="1"/>
      <c r="D393" s="1"/>
      <c r="E393" s="1"/>
      <c r="F393" s="1"/>
      <c r="G393" s="1"/>
      <c r="H393" s="1"/>
      <c r="I393" s="1"/>
      <c r="J393" s="1"/>
      <c r="K393" s="1"/>
      <c r="L393" s="1"/>
      <c r="M393" s="1"/>
      <c r="N393" s="1"/>
      <c r="O393" s="1"/>
      <c r="P393" s="1"/>
      <c r="Q393" s="1"/>
      <c r="R393" s="1"/>
      <c r="S393" s="1"/>
      <c r="T393" s="1"/>
      <c r="U393" s="2"/>
      <c r="V393" s="1"/>
      <c r="W393" s="1"/>
      <c r="X393" s="1"/>
      <c r="Y393" s="1"/>
      <c r="Z393" s="1"/>
    </row>
    <row r="394" spans="1:26" ht="39.75" customHeight="1">
      <c r="A394" s="1"/>
      <c r="B394" s="1"/>
      <c r="C394" s="1"/>
      <c r="D394" s="1"/>
      <c r="E394" s="1"/>
      <c r="F394" s="1"/>
      <c r="G394" s="1"/>
      <c r="H394" s="1"/>
      <c r="I394" s="1"/>
      <c r="J394" s="1"/>
      <c r="K394" s="1"/>
      <c r="L394" s="1"/>
      <c r="M394" s="1"/>
      <c r="N394" s="1"/>
      <c r="O394" s="1"/>
      <c r="P394" s="1"/>
      <c r="Q394" s="1"/>
      <c r="R394" s="1"/>
      <c r="S394" s="1"/>
      <c r="T394" s="1"/>
      <c r="U394" s="2"/>
      <c r="V394" s="1"/>
      <c r="W394" s="1"/>
      <c r="X394" s="1"/>
      <c r="Y394" s="1"/>
      <c r="Z394" s="1"/>
    </row>
    <row r="395" spans="1:26" ht="39.75" customHeight="1">
      <c r="A395" s="1"/>
      <c r="B395" s="1"/>
      <c r="C395" s="1"/>
      <c r="D395" s="1"/>
      <c r="E395" s="1"/>
      <c r="F395" s="1"/>
      <c r="G395" s="1"/>
      <c r="H395" s="1"/>
      <c r="I395" s="1"/>
      <c r="J395" s="1"/>
      <c r="K395" s="1"/>
      <c r="L395" s="1"/>
      <c r="M395" s="1"/>
      <c r="N395" s="1"/>
      <c r="O395" s="1"/>
      <c r="P395" s="1"/>
      <c r="Q395" s="1"/>
      <c r="R395" s="1"/>
      <c r="S395" s="1"/>
      <c r="T395" s="1"/>
      <c r="U395" s="2"/>
      <c r="V395" s="1"/>
      <c r="W395" s="1"/>
      <c r="X395" s="1"/>
      <c r="Y395" s="1"/>
      <c r="Z395" s="1"/>
    </row>
    <row r="396" spans="1:26" ht="39.75" customHeight="1">
      <c r="A396" s="1"/>
      <c r="B396" s="1"/>
      <c r="C396" s="1"/>
      <c r="D396" s="1"/>
      <c r="E396" s="1"/>
      <c r="F396" s="1"/>
      <c r="G396" s="1"/>
      <c r="H396" s="1"/>
      <c r="I396" s="1"/>
      <c r="J396" s="1"/>
      <c r="K396" s="1"/>
      <c r="L396" s="1"/>
      <c r="M396" s="1"/>
      <c r="N396" s="1"/>
      <c r="O396" s="1"/>
      <c r="P396" s="1"/>
      <c r="Q396" s="1"/>
      <c r="R396" s="1"/>
      <c r="S396" s="1"/>
      <c r="T396" s="1"/>
      <c r="U396" s="2"/>
      <c r="V396" s="1"/>
      <c r="W396" s="1"/>
      <c r="X396" s="1"/>
      <c r="Y396" s="1"/>
      <c r="Z396" s="1"/>
    </row>
    <row r="397" spans="1:26" ht="39.75" customHeight="1">
      <c r="A397" s="1"/>
      <c r="B397" s="1"/>
      <c r="C397" s="1"/>
      <c r="D397" s="1"/>
      <c r="E397" s="1"/>
      <c r="F397" s="1"/>
      <c r="G397" s="1"/>
      <c r="H397" s="1"/>
      <c r="I397" s="1"/>
      <c r="J397" s="1"/>
      <c r="K397" s="1"/>
      <c r="L397" s="1"/>
      <c r="M397" s="1"/>
      <c r="N397" s="1"/>
      <c r="O397" s="1"/>
      <c r="P397" s="1"/>
      <c r="Q397" s="1"/>
      <c r="R397" s="1"/>
      <c r="S397" s="1"/>
      <c r="T397" s="1"/>
      <c r="U397" s="2"/>
      <c r="V397" s="1"/>
      <c r="W397" s="1"/>
      <c r="X397" s="1"/>
      <c r="Y397" s="1"/>
      <c r="Z397" s="1"/>
    </row>
    <row r="398" spans="1:26" ht="39.75" customHeight="1">
      <c r="A398" s="1"/>
      <c r="B398" s="1"/>
      <c r="C398" s="1"/>
      <c r="D398" s="1"/>
      <c r="E398" s="1"/>
      <c r="F398" s="1"/>
      <c r="G398" s="1"/>
      <c r="H398" s="1"/>
      <c r="I398" s="1"/>
      <c r="J398" s="1"/>
      <c r="K398" s="1"/>
      <c r="L398" s="1"/>
      <c r="M398" s="1"/>
      <c r="N398" s="1"/>
      <c r="O398" s="1"/>
      <c r="P398" s="1"/>
      <c r="Q398" s="1"/>
      <c r="R398" s="1"/>
      <c r="S398" s="1"/>
      <c r="T398" s="1"/>
      <c r="U398" s="2"/>
      <c r="V398" s="1"/>
      <c r="W398" s="1"/>
      <c r="X398" s="1"/>
      <c r="Y398" s="1"/>
      <c r="Z398" s="1"/>
    </row>
    <row r="399" spans="1:26" ht="39.75" customHeight="1">
      <c r="A399" s="1"/>
      <c r="B399" s="1"/>
      <c r="C399" s="1"/>
      <c r="D399" s="1"/>
      <c r="E399" s="1"/>
      <c r="F399" s="1"/>
      <c r="G399" s="1"/>
      <c r="H399" s="1"/>
      <c r="I399" s="1"/>
      <c r="J399" s="1"/>
      <c r="K399" s="1"/>
      <c r="L399" s="1"/>
      <c r="M399" s="1"/>
      <c r="N399" s="1"/>
      <c r="O399" s="1"/>
      <c r="P399" s="1"/>
      <c r="Q399" s="1"/>
      <c r="R399" s="1"/>
      <c r="S399" s="1"/>
      <c r="T399" s="1"/>
      <c r="U399" s="2"/>
      <c r="V399" s="1"/>
      <c r="W399" s="1"/>
      <c r="X399" s="1"/>
      <c r="Y399" s="1"/>
      <c r="Z399" s="1"/>
    </row>
    <row r="400" spans="1:26" ht="39.75" customHeight="1">
      <c r="A400" s="1"/>
      <c r="B400" s="1"/>
      <c r="C400" s="1"/>
      <c r="D400" s="1"/>
      <c r="E400" s="1"/>
      <c r="F400" s="1"/>
      <c r="G400" s="1"/>
      <c r="H400" s="1"/>
      <c r="I400" s="1"/>
      <c r="J400" s="1"/>
      <c r="K400" s="1"/>
      <c r="L400" s="1"/>
      <c r="M400" s="1"/>
      <c r="N400" s="1"/>
      <c r="O400" s="1"/>
      <c r="P400" s="1"/>
      <c r="Q400" s="1"/>
      <c r="R400" s="1"/>
      <c r="S400" s="1"/>
      <c r="T400" s="1"/>
      <c r="U400" s="2"/>
      <c r="V400" s="1"/>
      <c r="W400" s="1"/>
      <c r="X400" s="1"/>
      <c r="Y400" s="1"/>
      <c r="Z400" s="1"/>
    </row>
    <row r="401" spans="1:26" ht="39.75" customHeight="1">
      <c r="A401" s="1"/>
      <c r="B401" s="1"/>
      <c r="C401" s="1"/>
      <c r="D401" s="1"/>
      <c r="E401" s="1"/>
      <c r="F401" s="1"/>
      <c r="G401" s="1"/>
      <c r="H401" s="1"/>
      <c r="I401" s="1"/>
      <c r="J401" s="1"/>
      <c r="K401" s="1"/>
      <c r="L401" s="1"/>
      <c r="M401" s="1"/>
      <c r="N401" s="1"/>
      <c r="O401" s="1"/>
      <c r="P401" s="1"/>
      <c r="Q401" s="1"/>
      <c r="R401" s="1"/>
      <c r="S401" s="1"/>
      <c r="T401" s="1"/>
      <c r="U401" s="2"/>
      <c r="V401" s="1"/>
      <c r="W401" s="1"/>
      <c r="X401" s="1"/>
      <c r="Y401" s="1"/>
      <c r="Z401" s="1"/>
    </row>
    <row r="402" spans="1:26" ht="39.75" customHeight="1">
      <c r="A402" s="1"/>
      <c r="B402" s="1"/>
      <c r="C402" s="1"/>
      <c r="D402" s="1"/>
      <c r="E402" s="1"/>
      <c r="F402" s="1"/>
      <c r="G402" s="1"/>
      <c r="H402" s="1"/>
      <c r="I402" s="1"/>
      <c r="J402" s="1"/>
      <c r="K402" s="1"/>
      <c r="L402" s="1"/>
      <c r="M402" s="1"/>
      <c r="N402" s="1"/>
      <c r="O402" s="1"/>
      <c r="P402" s="1"/>
      <c r="Q402" s="1"/>
      <c r="R402" s="1"/>
      <c r="S402" s="1"/>
      <c r="T402" s="1"/>
      <c r="U402" s="2"/>
      <c r="V402" s="1"/>
      <c r="W402" s="1"/>
      <c r="X402" s="1"/>
      <c r="Y402" s="1"/>
      <c r="Z402" s="1"/>
    </row>
    <row r="403" spans="1:26" ht="39.75" customHeight="1">
      <c r="A403" s="1"/>
      <c r="B403" s="1"/>
      <c r="C403" s="1"/>
      <c r="D403" s="1"/>
      <c r="E403" s="1"/>
      <c r="F403" s="1"/>
      <c r="G403" s="1"/>
      <c r="H403" s="1"/>
      <c r="I403" s="1"/>
      <c r="J403" s="1"/>
      <c r="K403" s="1"/>
      <c r="L403" s="1"/>
      <c r="M403" s="1"/>
      <c r="N403" s="1"/>
      <c r="O403" s="1"/>
      <c r="P403" s="1"/>
      <c r="Q403" s="1"/>
      <c r="R403" s="1"/>
      <c r="S403" s="1"/>
      <c r="T403" s="1"/>
      <c r="U403" s="2"/>
      <c r="V403" s="1"/>
      <c r="W403" s="1"/>
      <c r="X403" s="1"/>
      <c r="Y403" s="1"/>
      <c r="Z403" s="1"/>
    </row>
    <row r="404" spans="1:26" ht="39.75" customHeight="1">
      <c r="A404" s="1"/>
      <c r="B404" s="1"/>
      <c r="C404" s="1"/>
      <c r="D404" s="1"/>
      <c r="E404" s="1"/>
      <c r="F404" s="1"/>
      <c r="G404" s="1"/>
      <c r="H404" s="1"/>
      <c r="I404" s="1"/>
      <c r="J404" s="1"/>
      <c r="K404" s="1"/>
      <c r="L404" s="1"/>
      <c r="M404" s="1"/>
      <c r="N404" s="1"/>
      <c r="O404" s="1"/>
      <c r="P404" s="1"/>
      <c r="Q404" s="1"/>
      <c r="R404" s="1"/>
      <c r="S404" s="1"/>
      <c r="T404" s="1"/>
      <c r="U404" s="2"/>
      <c r="V404" s="1"/>
      <c r="W404" s="1"/>
      <c r="X404" s="1"/>
      <c r="Y404" s="1"/>
      <c r="Z404" s="1"/>
    </row>
    <row r="405" spans="1:26" ht="39.75" customHeight="1">
      <c r="A405" s="1"/>
      <c r="B405" s="1"/>
      <c r="C405" s="1"/>
      <c r="D405" s="1"/>
      <c r="E405" s="1"/>
      <c r="F405" s="1"/>
      <c r="G405" s="1"/>
      <c r="H405" s="1"/>
      <c r="I405" s="1"/>
      <c r="J405" s="1"/>
      <c r="K405" s="1"/>
      <c r="L405" s="1"/>
      <c r="M405" s="1"/>
      <c r="N405" s="1"/>
      <c r="O405" s="1"/>
      <c r="P405" s="1"/>
      <c r="Q405" s="1"/>
      <c r="R405" s="1"/>
      <c r="S405" s="1"/>
      <c r="T405" s="1"/>
      <c r="U405" s="2"/>
      <c r="V405" s="1"/>
      <c r="W405" s="1"/>
      <c r="X405" s="1"/>
      <c r="Y405" s="1"/>
      <c r="Z405" s="1"/>
    </row>
    <row r="406" spans="1:26" ht="39.75" customHeight="1">
      <c r="A406" s="1"/>
      <c r="B406" s="1"/>
      <c r="C406" s="1"/>
      <c r="D406" s="1"/>
      <c r="E406" s="1"/>
      <c r="F406" s="1"/>
      <c r="G406" s="1"/>
      <c r="H406" s="1"/>
      <c r="I406" s="1"/>
      <c r="J406" s="1"/>
      <c r="K406" s="1"/>
      <c r="L406" s="1"/>
      <c r="M406" s="1"/>
      <c r="N406" s="1"/>
      <c r="O406" s="1"/>
      <c r="P406" s="1"/>
      <c r="Q406" s="1"/>
      <c r="R406" s="1"/>
      <c r="S406" s="1"/>
      <c r="T406" s="1"/>
      <c r="U406" s="2"/>
      <c r="V406" s="1"/>
      <c r="W406" s="1"/>
      <c r="X406" s="1"/>
      <c r="Y406" s="1"/>
      <c r="Z406" s="1"/>
    </row>
    <row r="407" spans="1:26" ht="39.75" customHeight="1">
      <c r="A407" s="1"/>
      <c r="B407" s="1"/>
      <c r="C407" s="1"/>
      <c r="D407" s="1"/>
      <c r="E407" s="1"/>
      <c r="F407" s="1"/>
      <c r="G407" s="1"/>
      <c r="H407" s="1"/>
      <c r="I407" s="1"/>
      <c r="J407" s="1"/>
      <c r="K407" s="1"/>
      <c r="L407" s="1"/>
      <c r="M407" s="1"/>
      <c r="N407" s="1"/>
      <c r="O407" s="1"/>
      <c r="P407" s="1"/>
      <c r="Q407" s="1"/>
      <c r="R407" s="1"/>
      <c r="S407" s="1"/>
      <c r="T407" s="1"/>
      <c r="U407" s="2"/>
      <c r="V407" s="1"/>
      <c r="W407" s="1"/>
      <c r="X407" s="1"/>
      <c r="Y407" s="1"/>
      <c r="Z407" s="1"/>
    </row>
    <row r="408" spans="1:26" ht="39.75" customHeight="1">
      <c r="A408" s="1"/>
      <c r="B408" s="1"/>
      <c r="C408" s="1"/>
      <c r="D408" s="1"/>
      <c r="E408" s="1"/>
      <c r="F408" s="1"/>
      <c r="G408" s="1"/>
      <c r="H408" s="1"/>
      <c r="I408" s="1"/>
      <c r="J408" s="1"/>
      <c r="K408" s="1"/>
      <c r="L408" s="1"/>
      <c r="M408" s="1"/>
      <c r="N408" s="1"/>
      <c r="O408" s="1"/>
      <c r="P408" s="1"/>
      <c r="Q408" s="1"/>
      <c r="R408" s="1"/>
      <c r="S408" s="1"/>
      <c r="T408" s="1"/>
      <c r="U408" s="2"/>
      <c r="V408" s="1"/>
      <c r="W408" s="1"/>
      <c r="X408" s="1"/>
      <c r="Y408" s="1"/>
      <c r="Z408" s="1"/>
    </row>
    <row r="409" spans="1:26" ht="39.75" customHeight="1">
      <c r="A409" s="1"/>
      <c r="B409" s="1"/>
      <c r="C409" s="1"/>
      <c r="D409" s="1"/>
      <c r="E409" s="1"/>
      <c r="F409" s="1"/>
      <c r="G409" s="1"/>
      <c r="H409" s="1"/>
      <c r="I409" s="1"/>
      <c r="J409" s="1"/>
      <c r="K409" s="1"/>
      <c r="L409" s="1"/>
      <c r="M409" s="1"/>
      <c r="N409" s="1"/>
      <c r="O409" s="1"/>
      <c r="P409" s="1"/>
      <c r="Q409" s="1"/>
      <c r="R409" s="1"/>
      <c r="S409" s="1"/>
      <c r="T409" s="1"/>
      <c r="U409" s="2"/>
      <c r="V409" s="1"/>
      <c r="W409" s="1"/>
      <c r="X409" s="1"/>
      <c r="Y409" s="1"/>
      <c r="Z409" s="1"/>
    </row>
    <row r="410" spans="1:26" ht="39.75" customHeight="1">
      <c r="A410" s="1"/>
      <c r="B410" s="1"/>
      <c r="C410" s="1"/>
      <c r="D410" s="1"/>
      <c r="E410" s="1"/>
      <c r="F410" s="1"/>
      <c r="G410" s="1"/>
      <c r="H410" s="1"/>
      <c r="I410" s="1"/>
      <c r="J410" s="1"/>
      <c r="K410" s="1"/>
      <c r="L410" s="1"/>
      <c r="M410" s="1"/>
      <c r="N410" s="1"/>
      <c r="O410" s="1"/>
      <c r="P410" s="1"/>
      <c r="Q410" s="1"/>
      <c r="R410" s="1"/>
      <c r="S410" s="1"/>
      <c r="T410" s="1"/>
      <c r="U410" s="2"/>
      <c r="V410" s="1"/>
      <c r="W410" s="1"/>
      <c r="X410" s="1"/>
      <c r="Y410" s="1"/>
      <c r="Z410" s="1"/>
    </row>
    <row r="411" spans="1:26" ht="39.75" customHeight="1">
      <c r="A411" s="1"/>
      <c r="B411" s="1"/>
      <c r="C411" s="1"/>
      <c r="D411" s="1"/>
      <c r="E411" s="1"/>
      <c r="F411" s="1"/>
      <c r="G411" s="1"/>
      <c r="H411" s="1"/>
      <c r="I411" s="1"/>
      <c r="J411" s="1"/>
      <c r="K411" s="1"/>
      <c r="L411" s="1"/>
      <c r="M411" s="1"/>
      <c r="N411" s="1"/>
      <c r="O411" s="1"/>
      <c r="P411" s="1"/>
      <c r="Q411" s="1"/>
      <c r="R411" s="1"/>
      <c r="S411" s="1"/>
      <c r="T411" s="1"/>
      <c r="U411" s="2"/>
      <c r="V411" s="1"/>
      <c r="W411" s="1"/>
      <c r="X411" s="1"/>
      <c r="Y411" s="1"/>
      <c r="Z411" s="1"/>
    </row>
    <row r="412" spans="1:26" ht="39.75" customHeight="1">
      <c r="A412" s="1"/>
      <c r="B412" s="1"/>
      <c r="C412" s="1"/>
      <c r="D412" s="1"/>
      <c r="E412" s="1"/>
      <c r="F412" s="1"/>
      <c r="G412" s="1"/>
      <c r="H412" s="1"/>
      <c r="I412" s="1"/>
      <c r="J412" s="1"/>
      <c r="K412" s="1"/>
      <c r="L412" s="1"/>
      <c r="M412" s="1"/>
      <c r="N412" s="1"/>
      <c r="O412" s="1"/>
      <c r="P412" s="1"/>
      <c r="Q412" s="1"/>
      <c r="R412" s="1"/>
      <c r="S412" s="1"/>
      <c r="T412" s="1"/>
      <c r="U412" s="2"/>
      <c r="V412" s="1"/>
      <c r="W412" s="1"/>
      <c r="X412" s="1"/>
      <c r="Y412" s="1"/>
      <c r="Z412" s="1"/>
    </row>
    <row r="413" spans="1:26" ht="39.75" customHeight="1">
      <c r="A413" s="1"/>
      <c r="B413" s="1"/>
      <c r="C413" s="1"/>
      <c r="D413" s="1"/>
      <c r="E413" s="1"/>
      <c r="F413" s="1"/>
      <c r="G413" s="1"/>
      <c r="H413" s="1"/>
      <c r="I413" s="1"/>
      <c r="J413" s="1"/>
      <c r="K413" s="1"/>
      <c r="L413" s="1"/>
      <c r="M413" s="1"/>
      <c r="N413" s="1"/>
      <c r="O413" s="1"/>
      <c r="P413" s="1"/>
      <c r="Q413" s="1"/>
      <c r="R413" s="1"/>
      <c r="S413" s="1"/>
      <c r="T413" s="1"/>
      <c r="U413" s="2"/>
      <c r="V413" s="1"/>
      <c r="W413" s="1"/>
      <c r="X413" s="1"/>
      <c r="Y413" s="1"/>
      <c r="Z413" s="1"/>
    </row>
    <row r="414" spans="1:26" ht="39.75" customHeight="1">
      <c r="A414" s="1"/>
      <c r="B414" s="1"/>
      <c r="C414" s="1"/>
      <c r="D414" s="1"/>
      <c r="E414" s="1"/>
      <c r="F414" s="1"/>
      <c r="G414" s="1"/>
      <c r="H414" s="1"/>
      <c r="I414" s="1"/>
      <c r="J414" s="1"/>
      <c r="K414" s="1"/>
      <c r="L414" s="1"/>
      <c r="M414" s="1"/>
      <c r="N414" s="1"/>
      <c r="O414" s="1"/>
      <c r="P414" s="1"/>
      <c r="Q414" s="1"/>
      <c r="R414" s="1"/>
      <c r="S414" s="1"/>
      <c r="T414" s="1"/>
      <c r="U414" s="2"/>
      <c r="V414" s="1"/>
      <c r="W414" s="1"/>
      <c r="X414" s="1"/>
      <c r="Y414" s="1"/>
      <c r="Z414" s="1"/>
    </row>
    <row r="415" spans="1:26" ht="39.75" customHeight="1">
      <c r="A415" s="1"/>
      <c r="B415" s="1"/>
      <c r="C415" s="1"/>
      <c r="D415" s="1"/>
      <c r="E415" s="1"/>
      <c r="F415" s="1"/>
      <c r="G415" s="1"/>
      <c r="H415" s="1"/>
      <c r="I415" s="1"/>
      <c r="J415" s="1"/>
      <c r="K415" s="1"/>
      <c r="L415" s="1"/>
      <c r="M415" s="1"/>
      <c r="N415" s="1"/>
      <c r="O415" s="1"/>
      <c r="P415" s="1"/>
      <c r="Q415" s="1"/>
      <c r="R415" s="1"/>
      <c r="S415" s="1"/>
      <c r="T415" s="1"/>
      <c r="U415" s="2"/>
      <c r="V415" s="1"/>
      <c r="W415" s="1"/>
      <c r="X415" s="1"/>
      <c r="Y415" s="1"/>
      <c r="Z415" s="1"/>
    </row>
    <row r="416" spans="1:26" ht="39.75" customHeight="1">
      <c r="A416" s="1"/>
      <c r="B416" s="1"/>
      <c r="C416" s="1"/>
      <c r="D416" s="1"/>
      <c r="E416" s="1"/>
      <c r="F416" s="1"/>
      <c r="G416" s="1"/>
      <c r="H416" s="1"/>
      <c r="I416" s="1"/>
      <c r="J416" s="1"/>
      <c r="K416" s="1"/>
      <c r="L416" s="1"/>
      <c r="M416" s="1"/>
      <c r="N416" s="1"/>
      <c r="O416" s="1"/>
      <c r="P416" s="1"/>
      <c r="Q416" s="1"/>
      <c r="R416" s="1"/>
      <c r="S416" s="1"/>
      <c r="T416" s="1"/>
      <c r="U416" s="2"/>
      <c r="V416" s="1"/>
      <c r="W416" s="1"/>
      <c r="X416" s="1"/>
      <c r="Y416" s="1"/>
      <c r="Z416" s="1"/>
    </row>
    <row r="417" spans="1:26" ht="39.75" customHeight="1">
      <c r="A417" s="1"/>
      <c r="B417" s="1"/>
      <c r="C417" s="1"/>
      <c r="D417" s="1"/>
      <c r="E417" s="1"/>
      <c r="F417" s="1"/>
      <c r="G417" s="1"/>
      <c r="H417" s="1"/>
      <c r="I417" s="1"/>
      <c r="J417" s="1"/>
      <c r="K417" s="1"/>
      <c r="L417" s="1"/>
      <c r="M417" s="1"/>
      <c r="N417" s="1"/>
      <c r="O417" s="1"/>
      <c r="P417" s="1"/>
      <c r="Q417" s="1"/>
      <c r="R417" s="1"/>
      <c r="S417" s="1"/>
      <c r="T417" s="1"/>
      <c r="U417" s="2"/>
      <c r="V417" s="1"/>
      <c r="W417" s="1"/>
      <c r="X417" s="1"/>
      <c r="Y417" s="1"/>
      <c r="Z417" s="1"/>
    </row>
    <row r="418" spans="1:26" ht="39.75" customHeight="1">
      <c r="A418" s="1"/>
      <c r="B418" s="1"/>
      <c r="C418" s="1"/>
      <c r="D418" s="1"/>
      <c r="E418" s="1"/>
      <c r="F418" s="1"/>
      <c r="G418" s="1"/>
      <c r="H418" s="1"/>
      <c r="I418" s="1"/>
      <c r="J418" s="1"/>
      <c r="K418" s="1"/>
      <c r="L418" s="1"/>
      <c r="M418" s="1"/>
      <c r="N418" s="1"/>
      <c r="O418" s="1"/>
      <c r="P418" s="1"/>
      <c r="Q418" s="1"/>
      <c r="R418" s="1"/>
      <c r="S418" s="1"/>
      <c r="T418" s="1"/>
      <c r="U418" s="2"/>
      <c r="V418" s="1"/>
      <c r="W418" s="1"/>
      <c r="X418" s="1"/>
      <c r="Y418" s="1"/>
      <c r="Z418" s="1"/>
    </row>
    <row r="419" spans="1:26" ht="39.75" customHeight="1">
      <c r="A419" s="1"/>
      <c r="B419" s="1"/>
      <c r="C419" s="1"/>
      <c r="D419" s="1"/>
      <c r="E419" s="1"/>
      <c r="F419" s="1"/>
      <c r="G419" s="1"/>
      <c r="H419" s="1"/>
      <c r="I419" s="1"/>
      <c r="J419" s="1"/>
      <c r="K419" s="1"/>
      <c r="L419" s="1"/>
      <c r="M419" s="1"/>
      <c r="N419" s="1"/>
      <c r="O419" s="1"/>
      <c r="P419" s="1"/>
      <c r="Q419" s="1"/>
      <c r="R419" s="1"/>
      <c r="S419" s="1"/>
      <c r="T419" s="1"/>
      <c r="U419" s="2"/>
      <c r="V419" s="1"/>
      <c r="W419" s="1"/>
      <c r="X419" s="1"/>
      <c r="Y419" s="1"/>
      <c r="Z419" s="1"/>
    </row>
    <row r="420" spans="1:26" ht="39.75" customHeight="1">
      <c r="A420" s="1"/>
      <c r="B420" s="1"/>
      <c r="C420" s="1"/>
      <c r="D420" s="1"/>
      <c r="E420" s="1"/>
      <c r="F420" s="1"/>
      <c r="G420" s="1"/>
      <c r="H420" s="1"/>
      <c r="I420" s="1"/>
      <c r="J420" s="1"/>
      <c r="K420" s="1"/>
      <c r="L420" s="1"/>
      <c r="M420" s="1"/>
      <c r="N420" s="1"/>
      <c r="O420" s="1"/>
      <c r="P420" s="1"/>
      <c r="Q420" s="1"/>
      <c r="R420" s="1"/>
      <c r="S420" s="1"/>
      <c r="T420" s="1"/>
      <c r="U420" s="2"/>
      <c r="V420" s="1"/>
      <c r="W420" s="1"/>
      <c r="X420" s="1"/>
      <c r="Y420" s="1"/>
      <c r="Z420" s="1"/>
    </row>
    <row r="421" spans="1:26" ht="39.75" customHeight="1">
      <c r="A421" s="1"/>
      <c r="B421" s="1"/>
      <c r="C421" s="1"/>
      <c r="D421" s="1"/>
      <c r="E421" s="1"/>
      <c r="F421" s="1"/>
      <c r="G421" s="1"/>
      <c r="H421" s="1"/>
      <c r="I421" s="1"/>
      <c r="J421" s="1"/>
      <c r="K421" s="1"/>
      <c r="L421" s="1"/>
      <c r="M421" s="1"/>
      <c r="N421" s="1"/>
      <c r="O421" s="1"/>
      <c r="P421" s="1"/>
      <c r="Q421" s="1"/>
      <c r="R421" s="1"/>
      <c r="S421" s="1"/>
      <c r="T421" s="1"/>
      <c r="U421" s="2"/>
      <c r="V421" s="1"/>
      <c r="W421" s="1"/>
      <c r="X421" s="1"/>
      <c r="Y421" s="1"/>
      <c r="Z421" s="1"/>
    </row>
    <row r="422" spans="1:26" ht="39.75" customHeight="1">
      <c r="A422" s="1"/>
      <c r="B422" s="1"/>
      <c r="C422" s="1"/>
      <c r="D422" s="1"/>
      <c r="E422" s="1"/>
      <c r="F422" s="1"/>
      <c r="G422" s="1"/>
      <c r="H422" s="1"/>
      <c r="I422" s="1"/>
      <c r="J422" s="1"/>
      <c r="K422" s="1"/>
      <c r="L422" s="1"/>
      <c r="M422" s="1"/>
      <c r="N422" s="1"/>
      <c r="O422" s="1"/>
      <c r="P422" s="1"/>
      <c r="Q422" s="1"/>
      <c r="R422" s="1"/>
      <c r="S422" s="1"/>
      <c r="T422" s="1"/>
      <c r="U422" s="2"/>
      <c r="V422" s="1"/>
      <c r="W422" s="1"/>
      <c r="X422" s="1"/>
      <c r="Y422" s="1"/>
      <c r="Z422" s="1"/>
    </row>
    <row r="423" spans="1:26" ht="39.75" customHeight="1">
      <c r="A423" s="1"/>
      <c r="B423" s="1"/>
      <c r="C423" s="1"/>
      <c r="D423" s="1"/>
      <c r="E423" s="1"/>
      <c r="F423" s="1"/>
      <c r="G423" s="1"/>
      <c r="H423" s="1"/>
      <c r="I423" s="1"/>
      <c r="J423" s="1"/>
      <c r="K423" s="1"/>
      <c r="L423" s="1"/>
      <c r="M423" s="1"/>
      <c r="N423" s="1"/>
      <c r="O423" s="1"/>
      <c r="P423" s="1"/>
      <c r="Q423" s="1"/>
      <c r="R423" s="1"/>
      <c r="S423" s="1"/>
      <c r="T423" s="1"/>
      <c r="U423" s="2"/>
      <c r="V423" s="1"/>
      <c r="W423" s="1"/>
      <c r="X423" s="1"/>
      <c r="Y423" s="1"/>
      <c r="Z423" s="1"/>
    </row>
    <row r="424" spans="1:26" ht="39.75" customHeight="1">
      <c r="A424" s="1"/>
      <c r="B424" s="1"/>
      <c r="C424" s="1"/>
      <c r="D424" s="1"/>
      <c r="E424" s="1"/>
      <c r="F424" s="1"/>
      <c r="G424" s="1"/>
      <c r="H424" s="1"/>
      <c r="I424" s="1"/>
      <c r="J424" s="1"/>
      <c r="K424" s="1"/>
      <c r="L424" s="1"/>
      <c r="M424" s="1"/>
      <c r="N424" s="1"/>
      <c r="O424" s="1"/>
      <c r="P424" s="1"/>
      <c r="Q424" s="1"/>
      <c r="R424" s="1"/>
      <c r="S424" s="1"/>
      <c r="T424" s="1"/>
      <c r="U424" s="2"/>
      <c r="V424" s="1"/>
      <c r="W424" s="1"/>
      <c r="X424" s="1"/>
      <c r="Y424" s="1"/>
      <c r="Z424" s="1"/>
    </row>
    <row r="425" spans="1:26" ht="39.75" customHeight="1">
      <c r="A425" s="1"/>
      <c r="B425" s="1"/>
      <c r="C425" s="1"/>
      <c r="D425" s="1"/>
      <c r="E425" s="1"/>
      <c r="F425" s="1"/>
      <c r="G425" s="1"/>
      <c r="H425" s="1"/>
      <c r="I425" s="1"/>
      <c r="J425" s="1"/>
      <c r="K425" s="1"/>
      <c r="L425" s="1"/>
      <c r="M425" s="1"/>
      <c r="N425" s="1"/>
      <c r="O425" s="1"/>
      <c r="P425" s="1"/>
      <c r="Q425" s="1"/>
      <c r="R425" s="1"/>
      <c r="S425" s="1"/>
      <c r="T425" s="1"/>
      <c r="U425" s="2"/>
      <c r="V425" s="1"/>
      <c r="W425" s="1"/>
      <c r="X425" s="1"/>
      <c r="Y425" s="1"/>
      <c r="Z425" s="1"/>
    </row>
    <row r="426" spans="1:26" ht="39.75" customHeight="1">
      <c r="A426" s="1"/>
      <c r="B426" s="1"/>
      <c r="C426" s="1"/>
      <c r="D426" s="1"/>
      <c r="E426" s="1"/>
      <c r="F426" s="1"/>
      <c r="G426" s="1"/>
      <c r="H426" s="1"/>
      <c r="I426" s="1"/>
      <c r="J426" s="1"/>
      <c r="K426" s="1"/>
      <c r="L426" s="1"/>
      <c r="M426" s="1"/>
      <c r="N426" s="1"/>
      <c r="O426" s="1"/>
      <c r="P426" s="1"/>
      <c r="Q426" s="1"/>
      <c r="R426" s="1"/>
      <c r="S426" s="1"/>
      <c r="T426" s="1"/>
      <c r="U426" s="2"/>
      <c r="V426" s="1"/>
      <c r="W426" s="1"/>
      <c r="X426" s="1"/>
      <c r="Y426" s="1"/>
      <c r="Z426" s="1"/>
    </row>
    <row r="427" spans="1:26" ht="39.75" customHeight="1">
      <c r="A427" s="1"/>
      <c r="B427" s="1"/>
      <c r="C427" s="1"/>
      <c r="D427" s="1"/>
      <c r="E427" s="1"/>
      <c r="F427" s="1"/>
      <c r="G427" s="1"/>
      <c r="H427" s="1"/>
      <c r="I427" s="1"/>
      <c r="J427" s="1"/>
      <c r="K427" s="1"/>
      <c r="L427" s="1"/>
      <c r="M427" s="1"/>
      <c r="N427" s="1"/>
      <c r="O427" s="1"/>
      <c r="P427" s="1"/>
      <c r="Q427" s="1"/>
      <c r="R427" s="1"/>
      <c r="S427" s="1"/>
      <c r="T427" s="1"/>
      <c r="U427" s="2"/>
      <c r="V427" s="1"/>
      <c r="W427" s="1"/>
      <c r="X427" s="1"/>
      <c r="Y427" s="1"/>
      <c r="Z427" s="1"/>
    </row>
    <row r="428" spans="1:26" ht="39.75" customHeight="1">
      <c r="A428" s="1"/>
      <c r="B428" s="1"/>
      <c r="C428" s="1"/>
      <c r="D428" s="1"/>
      <c r="E428" s="1"/>
      <c r="F428" s="1"/>
      <c r="G428" s="1"/>
      <c r="H428" s="1"/>
      <c r="I428" s="1"/>
      <c r="J428" s="1"/>
      <c r="K428" s="1"/>
      <c r="L428" s="1"/>
      <c r="M428" s="1"/>
      <c r="N428" s="1"/>
      <c r="O428" s="1"/>
      <c r="P428" s="1"/>
      <c r="Q428" s="1"/>
      <c r="R428" s="1"/>
      <c r="S428" s="1"/>
      <c r="T428" s="1"/>
      <c r="U428" s="2"/>
      <c r="V428" s="1"/>
      <c r="W428" s="1"/>
      <c r="X428" s="1"/>
      <c r="Y428" s="1"/>
      <c r="Z428" s="1"/>
    </row>
    <row r="429" spans="1:26" ht="39.75" customHeight="1">
      <c r="A429" s="1"/>
      <c r="B429" s="1"/>
      <c r="C429" s="1"/>
      <c r="D429" s="1"/>
      <c r="E429" s="1"/>
      <c r="F429" s="1"/>
      <c r="G429" s="1"/>
      <c r="H429" s="1"/>
      <c r="I429" s="1"/>
      <c r="J429" s="1"/>
      <c r="K429" s="1"/>
      <c r="L429" s="1"/>
      <c r="M429" s="1"/>
      <c r="N429" s="1"/>
      <c r="O429" s="1"/>
      <c r="P429" s="1"/>
      <c r="Q429" s="1"/>
      <c r="R429" s="1"/>
      <c r="S429" s="1"/>
      <c r="T429" s="1"/>
      <c r="U429" s="2"/>
      <c r="V429" s="1"/>
      <c r="W429" s="1"/>
      <c r="X429" s="1"/>
      <c r="Y429" s="1"/>
      <c r="Z429" s="1"/>
    </row>
    <row r="430" spans="1:26" ht="39.75" customHeight="1">
      <c r="A430" s="1"/>
      <c r="B430" s="1"/>
      <c r="C430" s="1"/>
      <c r="D430" s="1"/>
      <c r="E430" s="1"/>
      <c r="F430" s="1"/>
      <c r="G430" s="1"/>
      <c r="H430" s="1"/>
      <c r="I430" s="1"/>
      <c r="J430" s="1"/>
      <c r="K430" s="1"/>
      <c r="L430" s="1"/>
      <c r="M430" s="1"/>
      <c r="N430" s="1"/>
      <c r="O430" s="1"/>
      <c r="P430" s="1"/>
      <c r="Q430" s="1"/>
      <c r="R430" s="1"/>
      <c r="S430" s="1"/>
      <c r="T430" s="1"/>
      <c r="U430" s="2"/>
      <c r="V430" s="1"/>
      <c r="W430" s="1"/>
      <c r="X430" s="1"/>
      <c r="Y430" s="1"/>
      <c r="Z430" s="1"/>
    </row>
    <row r="431" spans="1:26" ht="39.75" customHeight="1">
      <c r="A431" s="1"/>
      <c r="B431" s="1"/>
      <c r="C431" s="1"/>
      <c r="D431" s="1"/>
      <c r="E431" s="1"/>
      <c r="F431" s="1"/>
      <c r="G431" s="1"/>
      <c r="H431" s="1"/>
      <c r="I431" s="1"/>
      <c r="J431" s="1"/>
      <c r="K431" s="1"/>
      <c r="L431" s="1"/>
      <c r="M431" s="1"/>
      <c r="N431" s="1"/>
      <c r="O431" s="1"/>
      <c r="P431" s="1"/>
      <c r="Q431" s="1"/>
      <c r="R431" s="1"/>
      <c r="S431" s="1"/>
      <c r="T431" s="1"/>
      <c r="U431" s="2"/>
      <c r="V431" s="1"/>
      <c r="W431" s="1"/>
      <c r="X431" s="1"/>
      <c r="Y431" s="1"/>
      <c r="Z431" s="1"/>
    </row>
    <row r="432" spans="1:26" ht="39.75" customHeight="1">
      <c r="A432" s="1"/>
      <c r="B432" s="1"/>
      <c r="C432" s="1"/>
      <c r="D432" s="1"/>
      <c r="E432" s="1"/>
      <c r="F432" s="1"/>
      <c r="G432" s="1"/>
      <c r="H432" s="1"/>
      <c r="I432" s="1"/>
      <c r="J432" s="1"/>
      <c r="K432" s="1"/>
      <c r="L432" s="1"/>
      <c r="M432" s="1"/>
      <c r="N432" s="1"/>
      <c r="O432" s="1"/>
      <c r="P432" s="1"/>
      <c r="Q432" s="1"/>
      <c r="R432" s="1"/>
      <c r="S432" s="1"/>
      <c r="T432" s="1"/>
      <c r="U432" s="2"/>
      <c r="V432" s="1"/>
      <c r="W432" s="1"/>
      <c r="X432" s="1"/>
      <c r="Y432" s="1"/>
      <c r="Z432" s="1"/>
    </row>
    <row r="433" spans="1:26" ht="39.75" customHeight="1">
      <c r="A433" s="1"/>
      <c r="B433" s="1"/>
      <c r="C433" s="1"/>
      <c r="D433" s="1"/>
      <c r="E433" s="1"/>
      <c r="F433" s="1"/>
      <c r="G433" s="1"/>
      <c r="H433" s="1"/>
      <c r="I433" s="1"/>
      <c r="J433" s="1"/>
      <c r="K433" s="1"/>
      <c r="L433" s="1"/>
      <c r="M433" s="1"/>
      <c r="N433" s="1"/>
      <c r="O433" s="1"/>
      <c r="P433" s="1"/>
      <c r="Q433" s="1"/>
      <c r="R433" s="1"/>
      <c r="S433" s="1"/>
      <c r="T433" s="1"/>
      <c r="U433" s="2"/>
      <c r="V433" s="1"/>
      <c r="W433" s="1"/>
      <c r="X433" s="1"/>
      <c r="Y433" s="1"/>
      <c r="Z433" s="1"/>
    </row>
    <row r="434" spans="1:26" ht="39.75" customHeight="1">
      <c r="A434" s="1"/>
      <c r="B434" s="1"/>
      <c r="C434" s="1"/>
      <c r="D434" s="1"/>
      <c r="E434" s="1"/>
      <c r="F434" s="1"/>
      <c r="G434" s="1"/>
      <c r="H434" s="1"/>
      <c r="I434" s="1"/>
      <c r="J434" s="1"/>
      <c r="K434" s="1"/>
      <c r="L434" s="1"/>
      <c r="M434" s="1"/>
      <c r="N434" s="1"/>
      <c r="O434" s="1"/>
      <c r="P434" s="1"/>
      <c r="Q434" s="1"/>
      <c r="R434" s="1"/>
      <c r="S434" s="1"/>
      <c r="T434" s="1"/>
      <c r="U434" s="2"/>
      <c r="V434" s="1"/>
      <c r="W434" s="1"/>
      <c r="X434" s="1"/>
      <c r="Y434" s="1"/>
      <c r="Z434" s="1"/>
    </row>
    <row r="435" spans="1:26" ht="39.75" customHeight="1">
      <c r="A435" s="1"/>
      <c r="B435" s="1"/>
      <c r="C435" s="1"/>
      <c r="D435" s="1"/>
      <c r="E435" s="1"/>
      <c r="F435" s="1"/>
      <c r="G435" s="1"/>
      <c r="H435" s="1"/>
      <c r="I435" s="1"/>
      <c r="J435" s="1"/>
      <c r="K435" s="1"/>
      <c r="L435" s="1"/>
      <c r="M435" s="1"/>
      <c r="N435" s="1"/>
      <c r="O435" s="1"/>
      <c r="P435" s="1"/>
      <c r="Q435" s="1"/>
      <c r="R435" s="1"/>
      <c r="S435" s="1"/>
      <c r="T435" s="1"/>
      <c r="U435" s="2"/>
      <c r="V435" s="1"/>
      <c r="W435" s="1"/>
      <c r="X435" s="1"/>
      <c r="Y435" s="1"/>
      <c r="Z435" s="1"/>
    </row>
    <row r="436" spans="1:26" ht="39.75" customHeight="1">
      <c r="A436" s="1"/>
      <c r="B436" s="1"/>
      <c r="C436" s="1"/>
      <c r="D436" s="1"/>
      <c r="E436" s="1"/>
      <c r="F436" s="1"/>
      <c r="G436" s="1"/>
      <c r="H436" s="1"/>
      <c r="I436" s="1"/>
      <c r="J436" s="1"/>
      <c r="K436" s="1"/>
      <c r="L436" s="1"/>
      <c r="M436" s="1"/>
      <c r="N436" s="1"/>
      <c r="O436" s="1"/>
      <c r="P436" s="1"/>
      <c r="Q436" s="1"/>
      <c r="R436" s="1"/>
      <c r="S436" s="1"/>
      <c r="T436" s="1"/>
      <c r="U436" s="2"/>
      <c r="V436" s="1"/>
      <c r="W436" s="1"/>
      <c r="X436" s="1"/>
      <c r="Y436" s="1"/>
      <c r="Z436" s="1"/>
    </row>
    <row r="437" spans="1:26" ht="39.75" customHeight="1">
      <c r="A437" s="1"/>
      <c r="B437" s="1"/>
      <c r="C437" s="1"/>
      <c r="D437" s="1"/>
      <c r="E437" s="1"/>
      <c r="F437" s="1"/>
      <c r="G437" s="1"/>
      <c r="H437" s="1"/>
      <c r="I437" s="1"/>
      <c r="J437" s="1"/>
      <c r="K437" s="1"/>
      <c r="L437" s="1"/>
      <c r="M437" s="1"/>
      <c r="N437" s="1"/>
      <c r="O437" s="1"/>
      <c r="P437" s="1"/>
      <c r="Q437" s="1"/>
      <c r="R437" s="1"/>
      <c r="S437" s="1"/>
      <c r="T437" s="1"/>
      <c r="U437" s="2"/>
      <c r="V437" s="1"/>
      <c r="W437" s="1"/>
      <c r="X437" s="1"/>
      <c r="Y437" s="1"/>
      <c r="Z437" s="1"/>
    </row>
    <row r="438" spans="1:26" ht="39.75" customHeight="1">
      <c r="A438" s="1"/>
      <c r="B438" s="1"/>
      <c r="C438" s="1"/>
      <c r="D438" s="1"/>
      <c r="E438" s="1"/>
      <c r="F438" s="1"/>
      <c r="G438" s="1"/>
      <c r="H438" s="1"/>
      <c r="I438" s="1"/>
      <c r="J438" s="1"/>
      <c r="K438" s="1"/>
      <c r="L438" s="1"/>
      <c r="M438" s="1"/>
      <c r="N438" s="1"/>
      <c r="O438" s="1"/>
      <c r="P438" s="1"/>
      <c r="Q438" s="1"/>
      <c r="R438" s="1"/>
      <c r="S438" s="1"/>
      <c r="T438" s="1"/>
      <c r="U438" s="2"/>
      <c r="V438" s="1"/>
      <c r="W438" s="1"/>
      <c r="X438" s="1"/>
      <c r="Y438" s="1"/>
      <c r="Z438" s="1"/>
    </row>
    <row r="439" spans="1:26" ht="39.75" customHeight="1">
      <c r="A439" s="1"/>
      <c r="B439" s="1"/>
      <c r="C439" s="1"/>
      <c r="D439" s="1"/>
      <c r="E439" s="1"/>
      <c r="F439" s="1"/>
      <c r="G439" s="1"/>
      <c r="H439" s="1"/>
      <c r="I439" s="1"/>
      <c r="J439" s="1"/>
      <c r="K439" s="1"/>
      <c r="L439" s="1"/>
      <c r="M439" s="1"/>
      <c r="N439" s="1"/>
      <c r="O439" s="1"/>
      <c r="P439" s="1"/>
      <c r="Q439" s="1"/>
      <c r="R439" s="1"/>
      <c r="S439" s="1"/>
      <c r="T439" s="1"/>
      <c r="U439" s="2"/>
      <c r="V439" s="1"/>
      <c r="W439" s="1"/>
      <c r="X439" s="1"/>
      <c r="Y439" s="1"/>
      <c r="Z439" s="1"/>
    </row>
    <row r="440" spans="1:26" ht="39.75" customHeight="1">
      <c r="A440" s="1"/>
      <c r="B440" s="1"/>
      <c r="C440" s="1"/>
      <c r="D440" s="1"/>
      <c r="E440" s="1"/>
      <c r="F440" s="1"/>
      <c r="G440" s="1"/>
      <c r="H440" s="1"/>
      <c r="I440" s="1"/>
      <c r="J440" s="1"/>
      <c r="K440" s="1"/>
      <c r="L440" s="1"/>
      <c r="M440" s="1"/>
      <c r="N440" s="1"/>
      <c r="O440" s="1"/>
      <c r="P440" s="1"/>
      <c r="Q440" s="1"/>
      <c r="R440" s="1"/>
      <c r="S440" s="1"/>
      <c r="T440" s="1"/>
      <c r="U440" s="2"/>
      <c r="V440" s="1"/>
      <c r="W440" s="1"/>
      <c r="X440" s="1"/>
      <c r="Y440" s="1"/>
      <c r="Z440" s="1"/>
    </row>
    <row r="441" spans="1:26" ht="39.75" customHeight="1">
      <c r="A441" s="1"/>
      <c r="B441" s="1"/>
      <c r="C441" s="1"/>
      <c r="D441" s="1"/>
      <c r="E441" s="1"/>
      <c r="F441" s="1"/>
      <c r="G441" s="1"/>
      <c r="H441" s="1"/>
      <c r="I441" s="1"/>
      <c r="J441" s="1"/>
      <c r="K441" s="1"/>
      <c r="L441" s="1"/>
      <c r="M441" s="1"/>
      <c r="N441" s="1"/>
      <c r="O441" s="1"/>
      <c r="P441" s="1"/>
      <c r="Q441" s="1"/>
      <c r="R441" s="1"/>
      <c r="S441" s="1"/>
      <c r="T441" s="1"/>
      <c r="U441" s="2"/>
      <c r="V441" s="1"/>
      <c r="W441" s="1"/>
      <c r="X441" s="1"/>
      <c r="Y441" s="1"/>
      <c r="Z441" s="1"/>
    </row>
    <row r="442" spans="1:26" ht="39.75" customHeight="1">
      <c r="A442" s="1"/>
      <c r="B442" s="1"/>
      <c r="C442" s="1"/>
      <c r="D442" s="1"/>
      <c r="E442" s="1"/>
      <c r="F442" s="1"/>
      <c r="G442" s="1"/>
      <c r="H442" s="1"/>
      <c r="I442" s="1"/>
      <c r="J442" s="1"/>
      <c r="K442" s="1"/>
      <c r="L442" s="1"/>
      <c r="M442" s="1"/>
      <c r="N442" s="1"/>
      <c r="O442" s="1"/>
      <c r="P442" s="1"/>
      <c r="Q442" s="1"/>
      <c r="R442" s="1"/>
      <c r="S442" s="1"/>
      <c r="T442" s="1"/>
      <c r="U442" s="2"/>
      <c r="V442" s="1"/>
      <c r="W442" s="1"/>
      <c r="X442" s="1"/>
      <c r="Y442" s="1"/>
      <c r="Z442" s="1"/>
    </row>
    <row r="443" spans="1:26" ht="39.75" customHeight="1">
      <c r="A443" s="1"/>
      <c r="B443" s="1"/>
      <c r="C443" s="1"/>
      <c r="D443" s="1"/>
      <c r="E443" s="1"/>
      <c r="F443" s="1"/>
      <c r="G443" s="1"/>
      <c r="H443" s="1"/>
      <c r="I443" s="1"/>
      <c r="J443" s="1"/>
      <c r="K443" s="1"/>
      <c r="L443" s="1"/>
      <c r="M443" s="1"/>
      <c r="N443" s="1"/>
      <c r="O443" s="1"/>
      <c r="P443" s="1"/>
      <c r="Q443" s="1"/>
      <c r="R443" s="1"/>
      <c r="S443" s="1"/>
      <c r="T443" s="1"/>
      <c r="U443" s="2"/>
      <c r="V443" s="1"/>
      <c r="W443" s="1"/>
      <c r="X443" s="1"/>
      <c r="Y443" s="1"/>
      <c r="Z443" s="1"/>
    </row>
    <row r="444" spans="1:26" ht="39.75" customHeight="1">
      <c r="A444" s="1"/>
      <c r="B444" s="1"/>
      <c r="C444" s="1"/>
      <c r="D444" s="1"/>
      <c r="E444" s="1"/>
      <c r="F444" s="1"/>
      <c r="G444" s="1"/>
      <c r="H444" s="1"/>
      <c r="I444" s="1"/>
      <c r="J444" s="1"/>
      <c r="K444" s="1"/>
      <c r="L444" s="1"/>
      <c r="M444" s="1"/>
      <c r="N444" s="1"/>
      <c r="O444" s="1"/>
      <c r="P444" s="1"/>
      <c r="Q444" s="1"/>
      <c r="R444" s="1"/>
      <c r="S444" s="1"/>
      <c r="T444" s="1"/>
      <c r="U444" s="2"/>
      <c r="V444" s="1"/>
      <c r="W444" s="1"/>
      <c r="X444" s="1"/>
      <c r="Y444" s="1"/>
      <c r="Z444" s="1"/>
    </row>
    <row r="445" spans="1:26" ht="39.75" customHeight="1">
      <c r="A445" s="1"/>
      <c r="B445" s="1"/>
      <c r="C445" s="1"/>
      <c r="D445" s="1"/>
      <c r="E445" s="1"/>
      <c r="F445" s="1"/>
      <c r="G445" s="1"/>
      <c r="H445" s="1"/>
      <c r="I445" s="1"/>
      <c r="J445" s="1"/>
      <c r="K445" s="1"/>
      <c r="L445" s="1"/>
      <c r="M445" s="1"/>
      <c r="N445" s="1"/>
      <c r="O445" s="1"/>
      <c r="P445" s="1"/>
      <c r="Q445" s="1"/>
      <c r="R445" s="1"/>
      <c r="S445" s="1"/>
      <c r="T445" s="1"/>
      <c r="U445" s="2"/>
      <c r="V445" s="1"/>
      <c r="W445" s="1"/>
      <c r="X445" s="1"/>
      <c r="Y445" s="1"/>
      <c r="Z445" s="1"/>
    </row>
    <row r="446" spans="1:26" ht="39.75" customHeight="1">
      <c r="A446" s="1"/>
      <c r="B446" s="1"/>
      <c r="C446" s="1"/>
      <c r="D446" s="1"/>
      <c r="E446" s="1"/>
      <c r="F446" s="1"/>
      <c r="G446" s="1"/>
      <c r="H446" s="1"/>
      <c r="I446" s="1"/>
      <c r="J446" s="1"/>
      <c r="K446" s="1"/>
      <c r="L446" s="1"/>
      <c r="M446" s="1"/>
      <c r="N446" s="1"/>
      <c r="O446" s="1"/>
      <c r="P446" s="1"/>
      <c r="Q446" s="1"/>
      <c r="R446" s="1"/>
      <c r="S446" s="1"/>
      <c r="T446" s="1"/>
      <c r="U446" s="2"/>
      <c r="V446" s="1"/>
      <c r="W446" s="1"/>
      <c r="X446" s="1"/>
      <c r="Y446" s="1"/>
      <c r="Z446" s="1"/>
    </row>
    <row r="447" spans="1:26" ht="39.75" customHeight="1">
      <c r="A447" s="1"/>
      <c r="B447" s="1"/>
      <c r="C447" s="1"/>
      <c r="D447" s="1"/>
      <c r="E447" s="1"/>
      <c r="F447" s="1"/>
      <c r="G447" s="1"/>
      <c r="H447" s="1"/>
      <c r="I447" s="1"/>
      <c r="J447" s="1"/>
      <c r="K447" s="1"/>
      <c r="L447" s="1"/>
      <c r="M447" s="1"/>
      <c r="N447" s="1"/>
      <c r="O447" s="1"/>
      <c r="P447" s="1"/>
      <c r="Q447" s="1"/>
      <c r="R447" s="1"/>
      <c r="S447" s="1"/>
      <c r="T447" s="1"/>
      <c r="U447" s="2"/>
      <c r="V447" s="1"/>
      <c r="W447" s="1"/>
      <c r="X447" s="1"/>
      <c r="Y447" s="1"/>
      <c r="Z447" s="1"/>
    </row>
    <row r="448" spans="1:26" ht="39.75" customHeight="1">
      <c r="A448" s="1"/>
      <c r="B448" s="1"/>
      <c r="C448" s="1"/>
      <c r="D448" s="1"/>
      <c r="E448" s="1"/>
      <c r="F448" s="1"/>
      <c r="G448" s="1"/>
      <c r="H448" s="1"/>
      <c r="I448" s="1"/>
      <c r="J448" s="1"/>
      <c r="K448" s="1"/>
      <c r="L448" s="1"/>
      <c r="M448" s="1"/>
      <c r="N448" s="1"/>
      <c r="O448" s="1"/>
      <c r="P448" s="1"/>
      <c r="Q448" s="1"/>
      <c r="R448" s="1"/>
      <c r="S448" s="1"/>
      <c r="T448" s="1"/>
      <c r="U448" s="2"/>
      <c r="V448" s="1"/>
      <c r="W448" s="1"/>
      <c r="X448" s="1"/>
      <c r="Y448" s="1"/>
      <c r="Z448" s="1"/>
    </row>
    <row r="449" spans="1:26" ht="39.75" customHeight="1">
      <c r="A449" s="1"/>
      <c r="B449" s="1"/>
      <c r="C449" s="1"/>
      <c r="D449" s="1"/>
      <c r="E449" s="1"/>
      <c r="F449" s="1"/>
      <c r="G449" s="1"/>
      <c r="H449" s="1"/>
      <c r="I449" s="1"/>
      <c r="J449" s="1"/>
      <c r="K449" s="1"/>
      <c r="L449" s="1"/>
      <c r="M449" s="1"/>
      <c r="N449" s="1"/>
      <c r="O449" s="1"/>
      <c r="P449" s="1"/>
      <c r="Q449" s="1"/>
      <c r="R449" s="1"/>
      <c r="S449" s="1"/>
      <c r="T449" s="1"/>
      <c r="U449" s="2"/>
      <c r="V449" s="1"/>
      <c r="W449" s="1"/>
      <c r="X449" s="1"/>
      <c r="Y449" s="1"/>
      <c r="Z449" s="1"/>
    </row>
    <row r="450" spans="1:26" ht="39.75" customHeight="1">
      <c r="A450" s="1"/>
      <c r="B450" s="1"/>
      <c r="C450" s="1"/>
      <c r="D450" s="1"/>
      <c r="E450" s="1"/>
      <c r="F450" s="1"/>
      <c r="G450" s="1"/>
      <c r="H450" s="1"/>
      <c r="I450" s="1"/>
      <c r="J450" s="1"/>
      <c r="K450" s="1"/>
      <c r="L450" s="1"/>
      <c r="M450" s="1"/>
      <c r="N450" s="1"/>
      <c r="O450" s="1"/>
      <c r="P450" s="1"/>
      <c r="Q450" s="1"/>
      <c r="R450" s="1"/>
      <c r="S450" s="1"/>
      <c r="T450" s="1"/>
      <c r="U450" s="2"/>
      <c r="V450" s="1"/>
      <c r="W450" s="1"/>
      <c r="X450" s="1"/>
      <c r="Y450" s="1"/>
      <c r="Z450" s="1"/>
    </row>
    <row r="451" spans="1:26" ht="39.75" customHeight="1">
      <c r="A451" s="1"/>
      <c r="B451" s="1"/>
      <c r="C451" s="1"/>
      <c r="D451" s="1"/>
      <c r="E451" s="1"/>
      <c r="F451" s="1"/>
      <c r="G451" s="1"/>
      <c r="H451" s="1"/>
      <c r="I451" s="1"/>
      <c r="J451" s="1"/>
      <c r="K451" s="1"/>
      <c r="L451" s="1"/>
      <c r="M451" s="1"/>
      <c r="N451" s="1"/>
      <c r="O451" s="1"/>
      <c r="P451" s="1"/>
      <c r="Q451" s="1"/>
      <c r="R451" s="1"/>
      <c r="S451" s="1"/>
      <c r="T451" s="1"/>
      <c r="U451" s="2"/>
      <c r="V451" s="1"/>
      <c r="W451" s="1"/>
      <c r="X451" s="1"/>
      <c r="Y451" s="1"/>
      <c r="Z451" s="1"/>
    </row>
    <row r="452" spans="1:26" ht="39.75" customHeight="1">
      <c r="A452" s="1"/>
      <c r="B452" s="1"/>
      <c r="C452" s="1"/>
      <c r="D452" s="1"/>
      <c r="E452" s="1"/>
      <c r="F452" s="1"/>
      <c r="G452" s="1"/>
      <c r="H452" s="1"/>
      <c r="I452" s="1"/>
      <c r="J452" s="1"/>
      <c r="K452" s="1"/>
      <c r="L452" s="1"/>
      <c r="M452" s="1"/>
      <c r="N452" s="1"/>
      <c r="O452" s="1"/>
      <c r="P452" s="1"/>
      <c r="Q452" s="1"/>
      <c r="R452" s="1"/>
      <c r="S452" s="1"/>
      <c r="T452" s="1"/>
      <c r="U452" s="2"/>
      <c r="V452" s="1"/>
      <c r="W452" s="1"/>
      <c r="X452" s="1"/>
      <c r="Y452" s="1"/>
      <c r="Z452" s="1"/>
    </row>
    <row r="453" spans="1:26" ht="39.75" customHeight="1">
      <c r="A453" s="1"/>
      <c r="B453" s="1"/>
      <c r="C453" s="1"/>
      <c r="D453" s="1"/>
      <c r="E453" s="1"/>
      <c r="F453" s="1"/>
      <c r="G453" s="1"/>
      <c r="H453" s="1"/>
      <c r="I453" s="1"/>
      <c r="J453" s="1"/>
      <c r="K453" s="1"/>
      <c r="L453" s="1"/>
      <c r="M453" s="1"/>
      <c r="N453" s="1"/>
      <c r="O453" s="1"/>
      <c r="P453" s="1"/>
      <c r="Q453" s="1"/>
      <c r="R453" s="1"/>
      <c r="S453" s="1"/>
      <c r="T453" s="1"/>
      <c r="U453" s="2"/>
      <c r="V453" s="1"/>
      <c r="W453" s="1"/>
      <c r="X453" s="1"/>
      <c r="Y453" s="1"/>
      <c r="Z453" s="1"/>
    </row>
    <row r="454" spans="1:26" ht="39.75" customHeight="1">
      <c r="A454" s="1"/>
      <c r="B454" s="1"/>
      <c r="C454" s="1"/>
      <c r="D454" s="1"/>
      <c r="E454" s="1"/>
      <c r="F454" s="1"/>
      <c r="G454" s="1"/>
      <c r="H454" s="1"/>
      <c r="I454" s="1"/>
      <c r="J454" s="1"/>
      <c r="K454" s="1"/>
      <c r="L454" s="1"/>
      <c r="M454" s="1"/>
      <c r="N454" s="1"/>
      <c r="O454" s="1"/>
      <c r="P454" s="1"/>
      <c r="Q454" s="1"/>
      <c r="R454" s="1"/>
      <c r="S454" s="1"/>
      <c r="T454" s="1"/>
      <c r="U454" s="2"/>
      <c r="V454" s="1"/>
      <c r="W454" s="1"/>
      <c r="X454" s="1"/>
      <c r="Y454" s="1"/>
      <c r="Z454" s="1"/>
    </row>
    <row r="455" spans="1:26" ht="39.75" customHeight="1">
      <c r="A455" s="1"/>
      <c r="B455" s="1"/>
      <c r="C455" s="1"/>
      <c r="D455" s="1"/>
      <c r="E455" s="1"/>
      <c r="F455" s="1"/>
      <c r="G455" s="1"/>
      <c r="H455" s="1"/>
      <c r="I455" s="1"/>
      <c r="J455" s="1"/>
      <c r="K455" s="1"/>
      <c r="L455" s="1"/>
      <c r="M455" s="1"/>
      <c r="N455" s="1"/>
      <c r="O455" s="1"/>
      <c r="P455" s="1"/>
      <c r="Q455" s="1"/>
      <c r="R455" s="1"/>
      <c r="S455" s="1"/>
      <c r="T455" s="1"/>
      <c r="U455" s="2"/>
      <c r="V455" s="1"/>
      <c r="W455" s="1"/>
      <c r="X455" s="1"/>
      <c r="Y455" s="1"/>
      <c r="Z455" s="1"/>
    </row>
    <row r="456" spans="1:26" ht="39.75" customHeight="1">
      <c r="A456" s="1"/>
      <c r="B456" s="1"/>
      <c r="C456" s="1"/>
      <c r="D456" s="1"/>
      <c r="E456" s="1"/>
      <c r="F456" s="1"/>
      <c r="G456" s="1"/>
      <c r="H456" s="1"/>
      <c r="I456" s="1"/>
      <c r="J456" s="1"/>
      <c r="K456" s="1"/>
      <c r="L456" s="1"/>
      <c r="M456" s="1"/>
      <c r="N456" s="1"/>
      <c r="O456" s="1"/>
      <c r="P456" s="1"/>
      <c r="Q456" s="1"/>
      <c r="R456" s="1"/>
      <c r="S456" s="1"/>
      <c r="T456" s="1"/>
      <c r="U456" s="2"/>
      <c r="V456" s="1"/>
      <c r="W456" s="1"/>
      <c r="X456" s="1"/>
      <c r="Y456" s="1"/>
      <c r="Z456" s="1"/>
    </row>
    <row r="457" spans="1:26" ht="39.75" customHeight="1">
      <c r="A457" s="1"/>
      <c r="B457" s="1"/>
      <c r="C457" s="1"/>
      <c r="D457" s="1"/>
      <c r="E457" s="1"/>
      <c r="F457" s="1"/>
      <c r="G457" s="1"/>
      <c r="H457" s="1"/>
      <c r="I457" s="1"/>
      <c r="J457" s="1"/>
      <c r="K457" s="1"/>
      <c r="L457" s="1"/>
      <c r="M457" s="1"/>
      <c r="N457" s="1"/>
      <c r="O457" s="1"/>
      <c r="P457" s="1"/>
      <c r="Q457" s="1"/>
      <c r="R457" s="1"/>
      <c r="S457" s="1"/>
      <c r="T457" s="1"/>
      <c r="U457" s="2"/>
      <c r="V457" s="1"/>
      <c r="W457" s="1"/>
      <c r="X457" s="1"/>
      <c r="Y457" s="1"/>
      <c r="Z457" s="1"/>
    </row>
    <row r="458" spans="1:26" ht="39.75" customHeight="1">
      <c r="A458" s="1"/>
      <c r="B458" s="1"/>
      <c r="C458" s="1"/>
      <c r="D458" s="1"/>
      <c r="E458" s="1"/>
      <c r="F458" s="1"/>
      <c r="G458" s="1"/>
      <c r="H458" s="1"/>
      <c r="I458" s="1"/>
      <c r="J458" s="1"/>
      <c r="K458" s="1"/>
      <c r="L458" s="1"/>
      <c r="M458" s="1"/>
      <c r="N458" s="1"/>
      <c r="O458" s="1"/>
      <c r="P458" s="1"/>
      <c r="Q458" s="1"/>
      <c r="R458" s="1"/>
      <c r="S458" s="1"/>
      <c r="T458" s="1"/>
      <c r="U458" s="2"/>
      <c r="V458" s="1"/>
      <c r="W458" s="1"/>
      <c r="X458" s="1"/>
      <c r="Y458" s="1"/>
      <c r="Z458" s="1"/>
    </row>
    <row r="459" spans="1:26" ht="39.75" customHeight="1">
      <c r="A459" s="1"/>
      <c r="B459" s="1"/>
      <c r="C459" s="1"/>
      <c r="D459" s="1"/>
      <c r="E459" s="1"/>
      <c r="F459" s="1"/>
      <c r="G459" s="1"/>
      <c r="H459" s="1"/>
      <c r="I459" s="1"/>
      <c r="J459" s="1"/>
      <c r="K459" s="1"/>
      <c r="L459" s="1"/>
      <c r="M459" s="1"/>
      <c r="N459" s="1"/>
      <c r="O459" s="1"/>
      <c r="P459" s="1"/>
      <c r="Q459" s="1"/>
      <c r="R459" s="1"/>
      <c r="S459" s="1"/>
      <c r="T459" s="1"/>
      <c r="U459" s="2"/>
      <c r="V459" s="1"/>
      <c r="W459" s="1"/>
      <c r="X459" s="1"/>
      <c r="Y459" s="1"/>
      <c r="Z459" s="1"/>
    </row>
    <row r="460" spans="1:26" ht="39.75" customHeight="1">
      <c r="A460" s="1"/>
      <c r="B460" s="1"/>
      <c r="C460" s="1"/>
      <c r="D460" s="1"/>
      <c r="E460" s="1"/>
      <c r="F460" s="1"/>
      <c r="G460" s="1"/>
      <c r="H460" s="1"/>
      <c r="I460" s="1"/>
      <c r="J460" s="1"/>
      <c r="K460" s="1"/>
      <c r="L460" s="1"/>
      <c r="M460" s="1"/>
      <c r="N460" s="1"/>
      <c r="O460" s="1"/>
      <c r="P460" s="1"/>
      <c r="Q460" s="1"/>
      <c r="R460" s="1"/>
      <c r="S460" s="1"/>
      <c r="T460" s="1"/>
      <c r="U460" s="2"/>
      <c r="V460" s="1"/>
      <c r="W460" s="1"/>
      <c r="X460" s="1"/>
      <c r="Y460" s="1"/>
      <c r="Z460" s="1"/>
    </row>
    <row r="461" spans="1:26" ht="39.75" customHeight="1">
      <c r="A461" s="1"/>
      <c r="B461" s="1"/>
      <c r="C461" s="1"/>
      <c r="D461" s="1"/>
      <c r="E461" s="1"/>
      <c r="F461" s="1"/>
      <c r="G461" s="1"/>
      <c r="H461" s="1"/>
      <c r="I461" s="1"/>
      <c r="J461" s="1"/>
      <c r="K461" s="1"/>
      <c r="L461" s="1"/>
      <c r="M461" s="1"/>
      <c r="N461" s="1"/>
      <c r="O461" s="1"/>
      <c r="P461" s="1"/>
      <c r="Q461" s="1"/>
      <c r="R461" s="1"/>
      <c r="S461" s="1"/>
      <c r="T461" s="1"/>
      <c r="U461" s="2"/>
      <c r="V461" s="1"/>
      <c r="W461" s="1"/>
      <c r="X461" s="1"/>
      <c r="Y461" s="1"/>
      <c r="Z461" s="1"/>
    </row>
    <row r="462" spans="1:26" ht="39.75" customHeight="1">
      <c r="A462" s="1"/>
      <c r="B462" s="1"/>
      <c r="C462" s="1"/>
      <c r="D462" s="1"/>
      <c r="E462" s="1"/>
      <c r="F462" s="1"/>
      <c r="G462" s="1"/>
      <c r="H462" s="1"/>
      <c r="I462" s="1"/>
      <c r="J462" s="1"/>
      <c r="K462" s="1"/>
      <c r="L462" s="1"/>
      <c r="M462" s="1"/>
      <c r="N462" s="1"/>
      <c r="O462" s="1"/>
      <c r="P462" s="1"/>
      <c r="Q462" s="1"/>
      <c r="R462" s="1"/>
      <c r="S462" s="1"/>
      <c r="T462" s="1"/>
      <c r="U462" s="2"/>
      <c r="V462" s="1"/>
      <c r="W462" s="1"/>
      <c r="X462" s="1"/>
      <c r="Y462" s="1"/>
      <c r="Z462" s="1"/>
    </row>
    <row r="463" spans="1:26" ht="39.75" customHeight="1">
      <c r="A463" s="1"/>
      <c r="B463" s="1"/>
      <c r="C463" s="1"/>
      <c r="D463" s="1"/>
      <c r="E463" s="1"/>
      <c r="F463" s="1"/>
      <c r="G463" s="1"/>
      <c r="H463" s="1"/>
      <c r="I463" s="1"/>
      <c r="J463" s="1"/>
      <c r="K463" s="1"/>
      <c r="L463" s="1"/>
      <c r="M463" s="1"/>
      <c r="N463" s="1"/>
      <c r="O463" s="1"/>
      <c r="P463" s="1"/>
      <c r="Q463" s="1"/>
      <c r="R463" s="1"/>
      <c r="S463" s="1"/>
      <c r="T463" s="1"/>
      <c r="U463" s="2"/>
      <c r="V463" s="1"/>
      <c r="W463" s="1"/>
      <c r="X463" s="1"/>
      <c r="Y463" s="1"/>
      <c r="Z463" s="1"/>
    </row>
    <row r="464" spans="1:26" ht="39.75" customHeight="1">
      <c r="A464" s="1"/>
      <c r="B464" s="1"/>
      <c r="C464" s="1"/>
      <c r="D464" s="1"/>
      <c r="E464" s="1"/>
      <c r="F464" s="1"/>
      <c r="G464" s="1"/>
      <c r="H464" s="1"/>
      <c r="I464" s="1"/>
      <c r="J464" s="1"/>
      <c r="K464" s="1"/>
      <c r="L464" s="1"/>
      <c r="M464" s="1"/>
      <c r="N464" s="1"/>
      <c r="O464" s="1"/>
      <c r="P464" s="1"/>
      <c r="Q464" s="1"/>
      <c r="R464" s="1"/>
      <c r="S464" s="1"/>
      <c r="T464" s="1"/>
      <c r="U464" s="2"/>
      <c r="V464" s="1"/>
      <c r="W464" s="1"/>
      <c r="X464" s="1"/>
      <c r="Y464" s="1"/>
      <c r="Z464" s="1"/>
    </row>
    <row r="465" spans="1:26" ht="39.75" customHeight="1">
      <c r="A465" s="1"/>
      <c r="B465" s="1"/>
      <c r="C465" s="1"/>
      <c r="D465" s="1"/>
      <c r="E465" s="1"/>
      <c r="F465" s="1"/>
      <c r="G465" s="1"/>
      <c r="H465" s="1"/>
      <c r="I465" s="1"/>
      <c r="J465" s="1"/>
      <c r="K465" s="1"/>
      <c r="L465" s="1"/>
      <c r="M465" s="1"/>
      <c r="N465" s="1"/>
      <c r="O465" s="1"/>
      <c r="P465" s="1"/>
      <c r="Q465" s="1"/>
      <c r="R465" s="1"/>
      <c r="S465" s="1"/>
      <c r="T465" s="1"/>
      <c r="U465" s="2"/>
      <c r="V465" s="1"/>
      <c r="W465" s="1"/>
      <c r="X465" s="1"/>
      <c r="Y465" s="1"/>
      <c r="Z465" s="1"/>
    </row>
    <row r="466" spans="1:26" ht="39.75" customHeight="1">
      <c r="A466" s="1"/>
      <c r="B466" s="1"/>
      <c r="C466" s="1"/>
      <c r="D466" s="1"/>
      <c r="E466" s="1"/>
      <c r="F466" s="1"/>
      <c r="G466" s="1"/>
      <c r="H466" s="1"/>
      <c r="I466" s="1"/>
      <c r="J466" s="1"/>
      <c r="K466" s="1"/>
      <c r="L466" s="1"/>
      <c r="M466" s="1"/>
      <c r="N466" s="1"/>
      <c r="O466" s="1"/>
      <c r="P466" s="1"/>
      <c r="Q466" s="1"/>
      <c r="R466" s="1"/>
      <c r="S466" s="1"/>
      <c r="T466" s="1"/>
      <c r="U466" s="2"/>
      <c r="V466" s="1"/>
      <c r="W466" s="1"/>
      <c r="X466" s="1"/>
      <c r="Y466" s="1"/>
      <c r="Z466" s="1"/>
    </row>
    <row r="467" spans="1:26" ht="39.75" customHeight="1">
      <c r="A467" s="1"/>
      <c r="B467" s="1"/>
      <c r="C467" s="1"/>
      <c r="D467" s="1"/>
      <c r="E467" s="1"/>
      <c r="F467" s="1"/>
      <c r="G467" s="1"/>
      <c r="H467" s="1"/>
      <c r="I467" s="1"/>
      <c r="J467" s="1"/>
      <c r="K467" s="1"/>
      <c r="L467" s="1"/>
      <c r="M467" s="1"/>
      <c r="N467" s="1"/>
      <c r="O467" s="1"/>
      <c r="P467" s="1"/>
      <c r="Q467" s="1"/>
      <c r="R467" s="1"/>
      <c r="S467" s="1"/>
      <c r="T467" s="1"/>
      <c r="U467" s="2"/>
      <c r="V467" s="1"/>
      <c r="W467" s="1"/>
      <c r="X467" s="1"/>
      <c r="Y467" s="1"/>
      <c r="Z467" s="1"/>
    </row>
    <row r="468" spans="1:26" ht="39.75" customHeight="1">
      <c r="A468" s="1"/>
      <c r="B468" s="1"/>
      <c r="C468" s="1"/>
      <c r="D468" s="1"/>
      <c r="E468" s="1"/>
      <c r="F468" s="1"/>
      <c r="G468" s="1"/>
      <c r="H468" s="1"/>
      <c r="I468" s="1"/>
      <c r="J468" s="1"/>
      <c r="K468" s="1"/>
      <c r="L468" s="1"/>
      <c r="M468" s="1"/>
      <c r="N468" s="1"/>
      <c r="O468" s="1"/>
      <c r="P468" s="1"/>
      <c r="Q468" s="1"/>
      <c r="R468" s="1"/>
      <c r="S468" s="1"/>
      <c r="T468" s="1"/>
      <c r="U468" s="2"/>
      <c r="V468" s="1"/>
      <c r="W468" s="1"/>
      <c r="X468" s="1"/>
      <c r="Y468" s="1"/>
      <c r="Z468" s="1"/>
    </row>
    <row r="469" spans="1:26" ht="39.75" customHeight="1">
      <c r="A469" s="1"/>
      <c r="B469" s="1"/>
      <c r="C469" s="1"/>
      <c r="D469" s="1"/>
      <c r="E469" s="1"/>
      <c r="F469" s="1"/>
      <c r="G469" s="1"/>
      <c r="H469" s="1"/>
      <c r="I469" s="1"/>
      <c r="J469" s="1"/>
      <c r="K469" s="1"/>
      <c r="L469" s="1"/>
      <c r="M469" s="1"/>
      <c r="N469" s="1"/>
      <c r="O469" s="1"/>
      <c r="P469" s="1"/>
      <c r="Q469" s="1"/>
      <c r="R469" s="1"/>
      <c r="S469" s="1"/>
      <c r="T469" s="1"/>
      <c r="U469" s="2"/>
      <c r="V469" s="1"/>
      <c r="W469" s="1"/>
      <c r="X469" s="1"/>
      <c r="Y469" s="1"/>
      <c r="Z469" s="1"/>
    </row>
    <row r="470" spans="1:26" ht="39.75" customHeight="1">
      <c r="A470" s="1"/>
      <c r="B470" s="1"/>
      <c r="C470" s="1"/>
      <c r="D470" s="1"/>
      <c r="E470" s="1"/>
      <c r="F470" s="1"/>
      <c r="G470" s="1"/>
      <c r="H470" s="1"/>
      <c r="I470" s="1"/>
      <c r="J470" s="1"/>
      <c r="K470" s="1"/>
      <c r="L470" s="1"/>
      <c r="M470" s="1"/>
      <c r="N470" s="1"/>
      <c r="O470" s="1"/>
      <c r="P470" s="1"/>
      <c r="Q470" s="1"/>
      <c r="R470" s="1"/>
      <c r="S470" s="1"/>
      <c r="T470" s="1"/>
      <c r="U470" s="2"/>
      <c r="V470" s="1"/>
      <c r="W470" s="1"/>
      <c r="X470" s="1"/>
      <c r="Y470" s="1"/>
      <c r="Z470" s="1"/>
    </row>
    <row r="471" spans="1:26" ht="39.75" customHeight="1">
      <c r="A471" s="1"/>
      <c r="B471" s="1"/>
      <c r="C471" s="1"/>
      <c r="D471" s="1"/>
      <c r="E471" s="1"/>
      <c r="F471" s="1"/>
      <c r="G471" s="1"/>
      <c r="H471" s="1"/>
      <c r="I471" s="1"/>
      <c r="J471" s="1"/>
      <c r="K471" s="1"/>
      <c r="L471" s="1"/>
      <c r="M471" s="1"/>
      <c r="N471" s="1"/>
      <c r="O471" s="1"/>
      <c r="P471" s="1"/>
      <c r="Q471" s="1"/>
      <c r="R471" s="1"/>
      <c r="S471" s="1"/>
      <c r="T471" s="1"/>
      <c r="U471" s="2"/>
      <c r="V471" s="1"/>
      <c r="W471" s="1"/>
      <c r="X471" s="1"/>
      <c r="Y471" s="1"/>
      <c r="Z471" s="1"/>
    </row>
    <row r="472" spans="1:26" ht="39.75" customHeight="1">
      <c r="A472" s="1"/>
      <c r="B472" s="1"/>
      <c r="C472" s="1"/>
      <c r="D472" s="1"/>
      <c r="E472" s="1"/>
      <c r="F472" s="1"/>
      <c r="G472" s="1"/>
      <c r="H472" s="1"/>
      <c r="I472" s="1"/>
      <c r="J472" s="1"/>
      <c r="K472" s="1"/>
      <c r="L472" s="1"/>
      <c r="M472" s="1"/>
      <c r="N472" s="1"/>
      <c r="O472" s="1"/>
      <c r="P472" s="1"/>
      <c r="Q472" s="1"/>
      <c r="R472" s="1"/>
      <c r="S472" s="1"/>
      <c r="T472" s="1"/>
      <c r="U472" s="2"/>
      <c r="V472" s="1"/>
      <c r="W472" s="1"/>
      <c r="X472" s="1"/>
      <c r="Y472" s="1"/>
      <c r="Z472" s="1"/>
    </row>
    <row r="473" spans="1:26" ht="39.75" customHeight="1">
      <c r="A473" s="1"/>
      <c r="B473" s="1"/>
      <c r="C473" s="1"/>
      <c r="D473" s="1"/>
      <c r="E473" s="1"/>
      <c r="F473" s="1"/>
      <c r="G473" s="1"/>
      <c r="H473" s="1"/>
      <c r="I473" s="1"/>
      <c r="J473" s="1"/>
      <c r="K473" s="1"/>
      <c r="L473" s="1"/>
      <c r="M473" s="1"/>
      <c r="N473" s="1"/>
      <c r="O473" s="1"/>
      <c r="P473" s="1"/>
      <c r="Q473" s="1"/>
      <c r="R473" s="1"/>
      <c r="S473" s="1"/>
      <c r="T473" s="1"/>
      <c r="U473" s="2"/>
      <c r="V473" s="1"/>
      <c r="W473" s="1"/>
      <c r="X473" s="1"/>
      <c r="Y473" s="1"/>
      <c r="Z473" s="1"/>
    </row>
    <row r="474" spans="1:26" ht="39.75" customHeight="1">
      <c r="A474" s="1"/>
      <c r="B474" s="1"/>
      <c r="C474" s="1"/>
      <c r="D474" s="1"/>
      <c r="E474" s="1"/>
      <c r="F474" s="1"/>
      <c r="G474" s="1"/>
      <c r="H474" s="1"/>
      <c r="I474" s="1"/>
      <c r="J474" s="1"/>
      <c r="K474" s="1"/>
      <c r="L474" s="1"/>
      <c r="M474" s="1"/>
      <c r="N474" s="1"/>
      <c r="O474" s="1"/>
      <c r="P474" s="1"/>
      <c r="Q474" s="1"/>
      <c r="R474" s="1"/>
      <c r="S474" s="1"/>
      <c r="T474" s="1"/>
      <c r="U474" s="2"/>
      <c r="V474" s="1"/>
      <c r="W474" s="1"/>
      <c r="X474" s="1"/>
      <c r="Y474" s="1"/>
      <c r="Z474" s="1"/>
    </row>
    <row r="475" spans="1:26" ht="39.75" customHeight="1">
      <c r="A475" s="1"/>
      <c r="B475" s="1"/>
      <c r="C475" s="1"/>
      <c r="D475" s="1"/>
      <c r="E475" s="1"/>
      <c r="F475" s="1"/>
      <c r="G475" s="1"/>
      <c r="H475" s="1"/>
      <c r="I475" s="1"/>
      <c r="J475" s="1"/>
      <c r="K475" s="1"/>
      <c r="L475" s="1"/>
      <c r="M475" s="1"/>
      <c r="N475" s="1"/>
      <c r="O475" s="1"/>
      <c r="P475" s="1"/>
      <c r="Q475" s="1"/>
      <c r="R475" s="1"/>
      <c r="S475" s="1"/>
      <c r="T475" s="1"/>
      <c r="U475" s="2"/>
      <c r="V475" s="1"/>
      <c r="W475" s="1"/>
      <c r="X475" s="1"/>
      <c r="Y475" s="1"/>
      <c r="Z475" s="1"/>
    </row>
    <row r="476" spans="1:26" ht="39.75" customHeight="1">
      <c r="A476" s="1"/>
      <c r="B476" s="1"/>
      <c r="C476" s="1"/>
      <c r="D476" s="1"/>
      <c r="E476" s="1"/>
      <c r="F476" s="1"/>
      <c r="G476" s="1"/>
      <c r="H476" s="1"/>
      <c r="I476" s="1"/>
      <c r="J476" s="1"/>
      <c r="K476" s="1"/>
      <c r="L476" s="1"/>
      <c r="M476" s="1"/>
      <c r="N476" s="1"/>
      <c r="O476" s="1"/>
      <c r="P476" s="1"/>
      <c r="Q476" s="1"/>
      <c r="R476" s="1"/>
      <c r="S476" s="1"/>
      <c r="T476" s="1"/>
      <c r="U476" s="2"/>
      <c r="V476" s="1"/>
      <c r="W476" s="1"/>
      <c r="X476" s="1"/>
      <c r="Y476" s="1"/>
      <c r="Z476" s="1"/>
    </row>
    <row r="477" spans="1:26" ht="39.75" customHeight="1">
      <c r="A477" s="1"/>
      <c r="B477" s="1"/>
      <c r="C477" s="1"/>
      <c r="D477" s="1"/>
      <c r="E477" s="1"/>
      <c r="F477" s="1"/>
      <c r="G477" s="1"/>
      <c r="H477" s="1"/>
      <c r="I477" s="1"/>
      <c r="J477" s="1"/>
      <c r="K477" s="1"/>
      <c r="L477" s="1"/>
      <c r="M477" s="1"/>
      <c r="N477" s="1"/>
      <c r="O477" s="1"/>
      <c r="P477" s="1"/>
      <c r="Q477" s="1"/>
      <c r="R477" s="1"/>
      <c r="S477" s="1"/>
      <c r="T477" s="1"/>
      <c r="U477" s="2"/>
      <c r="V477" s="1"/>
      <c r="W477" s="1"/>
      <c r="X477" s="1"/>
      <c r="Y477" s="1"/>
      <c r="Z477" s="1"/>
    </row>
    <row r="478" spans="1:26" ht="39.75" customHeight="1">
      <c r="A478" s="1"/>
      <c r="B478" s="1"/>
      <c r="C478" s="1"/>
      <c r="D478" s="1"/>
      <c r="E478" s="1"/>
      <c r="F478" s="1"/>
      <c r="G478" s="1"/>
      <c r="H478" s="1"/>
      <c r="I478" s="1"/>
      <c r="J478" s="1"/>
      <c r="K478" s="1"/>
      <c r="L478" s="1"/>
      <c r="M478" s="1"/>
      <c r="N478" s="1"/>
      <c r="O478" s="1"/>
      <c r="P478" s="1"/>
      <c r="Q478" s="1"/>
      <c r="R478" s="1"/>
      <c r="S478" s="1"/>
      <c r="T478" s="1"/>
      <c r="U478" s="2"/>
      <c r="V478" s="1"/>
      <c r="W478" s="1"/>
      <c r="X478" s="1"/>
      <c r="Y478" s="1"/>
      <c r="Z478" s="1"/>
    </row>
    <row r="479" spans="1:26" ht="39.75" customHeight="1">
      <c r="A479" s="1"/>
      <c r="B479" s="1"/>
      <c r="C479" s="1"/>
      <c r="D479" s="1"/>
      <c r="E479" s="1"/>
      <c r="F479" s="1"/>
      <c r="G479" s="1"/>
      <c r="H479" s="1"/>
      <c r="I479" s="1"/>
      <c r="J479" s="1"/>
      <c r="K479" s="1"/>
      <c r="L479" s="1"/>
      <c r="M479" s="1"/>
      <c r="N479" s="1"/>
      <c r="O479" s="1"/>
      <c r="P479" s="1"/>
      <c r="Q479" s="1"/>
      <c r="R479" s="1"/>
      <c r="S479" s="1"/>
      <c r="T479" s="1"/>
      <c r="U479" s="2"/>
      <c r="V479" s="1"/>
      <c r="W479" s="1"/>
      <c r="X479" s="1"/>
      <c r="Y479" s="1"/>
      <c r="Z479" s="1"/>
    </row>
    <row r="480" spans="1:26" ht="39.75" customHeight="1">
      <c r="A480" s="1"/>
      <c r="B480" s="1"/>
      <c r="C480" s="1"/>
      <c r="D480" s="1"/>
      <c r="E480" s="1"/>
      <c r="F480" s="1"/>
      <c r="G480" s="1"/>
      <c r="H480" s="1"/>
      <c r="I480" s="1"/>
      <c r="J480" s="1"/>
      <c r="K480" s="1"/>
      <c r="L480" s="1"/>
      <c r="M480" s="1"/>
      <c r="N480" s="1"/>
      <c r="O480" s="1"/>
      <c r="P480" s="1"/>
      <c r="Q480" s="1"/>
      <c r="R480" s="1"/>
      <c r="S480" s="1"/>
      <c r="T480" s="1"/>
      <c r="U480" s="2"/>
      <c r="V480" s="1"/>
      <c r="W480" s="1"/>
      <c r="X480" s="1"/>
      <c r="Y480" s="1"/>
      <c r="Z480" s="1"/>
    </row>
    <row r="481" spans="1:26" ht="39.75" customHeight="1">
      <c r="A481" s="1"/>
      <c r="B481" s="1"/>
      <c r="C481" s="1"/>
      <c r="D481" s="1"/>
      <c r="E481" s="1"/>
      <c r="F481" s="1"/>
      <c r="G481" s="1"/>
      <c r="H481" s="1"/>
      <c r="I481" s="1"/>
      <c r="J481" s="1"/>
      <c r="K481" s="1"/>
      <c r="L481" s="1"/>
      <c r="M481" s="1"/>
      <c r="N481" s="1"/>
      <c r="O481" s="1"/>
      <c r="P481" s="1"/>
      <c r="Q481" s="1"/>
      <c r="R481" s="1"/>
      <c r="S481" s="1"/>
      <c r="T481" s="1"/>
      <c r="U481" s="2"/>
      <c r="V481" s="1"/>
      <c r="W481" s="1"/>
      <c r="X481" s="1"/>
      <c r="Y481" s="1"/>
      <c r="Z481" s="1"/>
    </row>
    <row r="482" spans="1:26" ht="39.75" customHeight="1">
      <c r="A482" s="1"/>
      <c r="B482" s="1"/>
      <c r="C482" s="1"/>
      <c r="D482" s="1"/>
      <c r="E482" s="1"/>
      <c r="F482" s="1"/>
      <c r="G482" s="1"/>
      <c r="H482" s="1"/>
      <c r="I482" s="1"/>
      <c r="J482" s="1"/>
      <c r="K482" s="1"/>
      <c r="L482" s="1"/>
      <c r="M482" s="1"/>
      <c r="N482" s="1"/>
      <c r="O482" s="1"/>
      <c r="P482" s="1"/>
      <c r="Q482" s="1"/>
      <c r="R482" s="1"/>
      <c r="S482" s="1"/>
      <c r="T482" s="1"/>
      <c r="U482" s="2"/>
      <c r="V482" s="1"/>
      <c r="W482" s="1"/>
      <c r="X482" s="1"/>
      <c r="Y482" s="1"/>
      <c r="Z482" s="1"/>
    </row>
    <row r="483" spans="1:26" ht="39.75" customHeight="1">
      <c r="A483" s="1"/>
      <c r="B483" s="1"/>
      <c r="C483" s="1"/>
      <c r="D483" s="1"/>
      <c r="E483" s="1"/>
      <c r="F483" s="1"/>
      <c r="G483" s="1"/>
      <c r="H483" s="1"/>
      <c r="I483" s="1"/>
      <c r="J483" s="1"/>
      <c r="K483" s="1"/>
      <c r="L483" s="1"/>
      <c r="M483" s="1"/>
      <c r="N483" s="1"/>
      <c r="O483" s="1"/>
      <c r="P483" s="1"/>
      <c r="Q483" s="1"/>
      <c r="R483" s="1"/>
      <c r="S483" s="1"/>
      <c r="T483" s="1"/>
      <c r="U483" s="2"/>
      <c r="V483" s="1"/>
      <c r="W483" s="1"/>
      <c r="X483" s="1"/>
      <c r="Y483" s="1"/>
      <c r="Z483" s="1"/>
    </row>
    <row r="484" spans="1:26" ht="39.75" customHeight="1">
      <c r="A484" s="1"/>
      <c r="B484" s="1"/>
      <c r="C484" s="1"/>
      <c r="D484" s="1"/>
      <c r="E484" s="1"/>
      <c r="F484" s="1"/>
      <c r="G484" s="1"/>
      <c r="H484" s="1"/>
      <c r="I484" s="1"/>
      <c r="J484" s="1"/>
      <c r="K484" s="1"/>
      <c r="L484" s="1"/>
      <c r="M484" s="1"/>
      <c r="N484" s="1"/>
      <c r="O484" s="1"/>
      <c r="P484" s="1"/>
      <c r="Q484" s="1"/>
      <c r="R484" s="1"/>
      <c r="S484" s="1"/>
      <c r="T484" s="1"/>
      <c r="U484" s="2"/>
      <c r="V484" s="1"/>
      <c r="W484" s="1"/>
      <c r="X484" s="1"/>
      <c r="Y484" s="1"/>
      <c r="Z484" s="1"/>
    </row>
    <row r="485" spans="1:26" ht="39.75" customHeight="1">
      <c r="A485" s="1"/>
      <c r="B485" s="1"/>
      <c r="C485" s="1"/>
      <c r="D485" s="1"/>
      <c r="E485" s="1"/>
      <c r="F485" s="1"/>
      <c r="G485" s="1"/>
      <c r="H485" s="1"/>
      <c r="I485" s="1"/>
      <c r="J485" s="1"/>
      <c r="K485" s="1"/>
      <c r="L485" s="1"/>
      <c r="M485" s="1"/>
      <c r="N485" s="1"/>
      <c r="O485" s="1"/>
      <c r="P485" s="1"/>
      <c r="Q485" s="1"/>
      <c r="R485" s="1"/>
      <c r="S485" s="1"/>
      <c r="T485" s="1"/>
      <c r="U485" s="2"/>
      <c r="V485" s="1"/>
      <c r="W485" s="1"/>
      <c r="X485" s="1"/>
      <c r="Y485" s="1"/>
      <c r="Z485" s="1"/>
    </row>
    <row r="486" spans="1:26" ht="39.75" customHeight="1">
      <c r="A486" s="1"/>
      <c r="B486" s="1"/>
      <c r="C486" s="1"/>
      <c r="D486" s="1"/>
      <c r="E486" s="1"/>
      <c r="F486" s="1"/>
      <c r="G486" s="1"/>
      <c r="H486" s="1"/>
      <c r="I486" s="1"/>
      <c r="J486" s="1"/>
      <c r="K486" s="1"/>
      <c r="L486" s="1"/>
      <c r="M486" s="1"/>
      <c r="N486" s="1"/>
      <c r="O486" s="1"/>
      <c r="P486" s="1"/>
      <c r="Q486" s="1"/>
      <c r="R486" s="1"/>
      <c r="S486" s="1"/>
      <c r="T486" s="1"/>
      <c r="U486" s="2"/>
      <c r="V486" s="1"/>
      <c r="W486" s="1"/>
      <c r="X486" s="1"/>
      <c r="Y486" s="1"/>
      <c r="Z486" s="1"/>
    </row>
    <row r="487" spans="1:26" ht="39.75" customHeight="1">
      <c r="A487" s="1"/>
      <c r="B487" s="1"/>
      <c r="C487" s="1"/>
      <c r="D487" s="1"/>
      <c r="E487" s="1"/>
      <c r="F487" s="1"/>
      <c r="G487" s="1"/>
      <c r="H487" s="1"/>
      <c r="I487" s="1"/>
      <c r="J487" s="1"/>
      <c r="K487" s="1"/>
      <c r="L487" s="1"/>
      <c r="M487" s="1"/>
      <c r="N487" s="1"/>
      <c r="O487" s="1"/>
      <c r="P487" s="1"/>
      <c r="Q487" s="1"/>
      <c r="R487" s="1"/>
      <c r="S487" s="1"/>
      <c r="T487" s="1"/>
      <c r="U487" s="2"/>
      <c r="V487" s="1"/>
      <c r="W487" s="1"/>
      <c r="X487" s="1"/>
      <c r="Y487" s="1"/>
      <c r="Z487" s="1"/>
    </row>
    <row r="488" spans="1:26" ht="39.75" customHeight="1">
      <c r="A488" s="1"/>
      <c r="B488" s="1"/>
      <c r="C488" s="1"/>
      <c r="D488" s="1"/>
      <c r="E488" s="1"/>
      <c r="F488" s="1"/>
      <c r="G488" s="1"/>
      <c r="H488" s="1"/>
      <c r="I488" s="1"/>
      <c r="J488" s="1"/>
      <c r="K488" s="1"/>
      <c r="L488" s="1"/>
      <c r="M488" s="1"/>
      <c r="N488" s="1"/>
      <c r="O488" s="1"/>
      <c r="P488" s="1"/>
      <c r="Q488" s="1"/>
      <c r="R488" s="1"/>
      <c r="S488" s="1"/>
      <c r="T488" s="1"/>
      <c r="U488" s="2"/>
      <c r="V488" s="1"/>
      <c r="W488" s="1"/>
      <c r="X488" s="1"/>
      <c r="Y488" s="1"/>
      <c r="Z488" s="1"/>
    </row>
    <row r="489" spans="1:26" ht="39.75" customHeight="1">
      <c r="A489" s="1"/>
      <c r="B489" s="1"/>
      <c r="C489" s="1"/>
      <c r="D489" s="1"/>
      <c r="E489" s="1"/>
      <c r="F489" s="1"/>
      <c r="G489" s="1"/>
      <c r="H489" s="1"/>
      <c r="I489" s="1"/>
      <c r="J489" s="1"/>
      <c r="K489" s="1"/>
      <c r="L489" s="1"/>
      <c r="M489" s="1"/>
      <c r="N489" s="1"/>
      <c r="O489" s="1"/>
      <c r="P489" s="1"/>
      <c r="Q489" s="1"/>
      <c r="R489" s="1"/>
      <c r="S489" s="1"/>
      <c r="T489" s="1"/>
      <c r="U489" s="2"/>
      <c r="V489" s="1"/>
      <c r="W489" s="1"/>
      <c r="X489" s="1"/>
      <c r="Y489" s="1"/>
      <c r="Z489" s="1"/>
    </row>
    <row r="490" spans="1:26" ht="39.75" customHeight="1">
      <c r="A490" s="1"/>
      <c r="B490" s="1"/>
      <c r="C490" s="1"/>
      <c r="D490" s="1"/>
      <c r="E490" s="1"/>
      <c r="F490" s="1"/>
      <c r="G490" s="1"/>
      <c r="H490" s="1"/>
      <c r="I490" s="1"/>
      <c r="J490" s="1"/>
      <c r="K490" s="1"/>
      <c r="L490" s="1"/>
      <c r="M490" s="1"/>
      <c r="N490" s="1"/>
      <c r="O490" s="1"/>
      <c r="P490" s="1"/>
      <c r="Q490" s="1"/>
      <c r="R490" s="1"/>
      <c r="S490" s="1"/>
      <c r="T490" s="1"/>
      <c r="U490" s="2"/>
      <c r="V490" s="1"/>
      <c r="W490" s="1"/>
      <c r="X490" s="1"/>
      <c r="Y490" s="1"/>
      <c r="Z490" s="1"/>
    </row>
    <row r="491" spans="1:26" ht="39.75" customHeight="1">
      <c r="A491" s="1"/>
      <c r="B491" s="1"/>
      <c r="C491" s="1"/>
      <c r="D491" s="1"/>
      <c r="E491" s="1"/>
      <c r="F491" s="1"/>
      <c r="G491" s="1"/>
      <c r="H491" s="1"/>
      <c r="I491" s="1"/>
      <c r="J491" s="1"/>
      <c r="K491" s="1"/>
      <c r="L491" s="1"/>
      <c r="M491" s="1"/>
      <c r="N491" s="1"/>
      <c r="O491" s="1"/>
      <c r="P491" s="1"/>
      <c r="Q491" s="1"/>
      <c r="R491" s="1"/>
      <c r="S491" s="1"/>
      <c r="T491" s="1"/>
      <c r="U491" s="2"/>
      <c r="V491" s="1"/>
      <c r="W491" s="1"/>
      <c r="X491" s="1"/>
      <c r="Y491" s="1"/>
      <c r="Z491" s="1"/>
    </row>
    <row r="492" spans="1:26" ht="39.75" customHeight="1">
      <c r="A492" s="1"/>
      <c r="B492" s="1"/>
      <c r="C492" s="1"/>
      <c r="D492" s="1"/>
      <c r="E492" s="1"/>
      <c r="F492" s="1"/>
      <c r="G492" s="1"/>
      <c r="H492" s="1"/>
      <c r="I492" s="1"/>
      <c r="J492" s="1"/>
      <c r="K492" s="1"/>
      <c r="L492" s="1"/>
      <c r="M492" s="1"/>
      <c r="N492" s="1"/>
      <c r="O492" s="1"/>
      <c r="P492" s="1"/>
      <c r="Q492" s="1"/>
      <c r="R492" s="1"/>
      <c r="S492" s="1"/>
      <c r="T492" s="1"/>
      <c r="U492" s="2"/>
      <c r="V492" s="1"/>
      <c r="W492" s="1"/>
      <c r="X492" s="1"/>
      <c r="Y492" s="1"/>
      <c r="Z492" s="1"/>
    </row>
    <row r="493" spans="1:26" ht="39.75" customHeight="1">
      <c r="A493" s="1"/>
      <c r="B493" s="1"/>
      <c r="C493" s="1"/>
      <c r="D493" s="1"/>
      <c r="E493" s="1"/>
      <c r="F493" s="1"/>
      <c r="G493" s="1"/>
      <c r="H493" s="1"/>
      <c r="I493" s="1"/>
      <c r="J493" s="1"/>
      <c r="K493" s="1"/>
      <c r="L493" s="1"/>
      <c r="M493" s="1"/>
      <c r="N493" s="1"/>
      <c r="O493" s="1"/>
      <c r="P493" s="1"/>
      <c r="Q493" s="1"/>
      <c r="R493" s="1"/>
      <c r="S493" s="1"/>
      <c r="T493" s="1"/>
      <c r="U493" s="2"/>
      <c r="V493" s="1"/>
      <c r="W493" s="1"/>
      <c r="X493" s="1"/>
      <c r="Y493" s="1"/>
      <c r="Z493" s="1"/>
    </row>
    <row r="494" spans="1:26" ht="39.75" customHeight="1">
      <c r="A494" s="1"/>
      <c r="B494" s="1"/>
      <c r="C494" s="1"/>
      <c r="D494" s="1"/>
      <c r="E494" s="1"/>
      <c r="F494" s="1"/>
      <c r="G494" s="1"/>
      <c r="H494" s="1"/>
      <c r="I494" s="1"/>
      <c r="J494" s="1"/>
      <c r="K494" s="1"/>
      <c r="L494" s="1"/>
      <c r="M494" s="1"/>
      <c r="N494" s="1"/>
      <c r="O494" s="1"/>
      <c r="P494" s="1"/>
      <c r="Q494" s="1"/>
      <c r="R494" s="1"/>
      <c r="S494" s="1"/>
      <c r="T494" s="1"/>
      <c r="U494" s="2"/>
      <c r="V494" s="1"/>
      <c r="W494" s="1"/>
      <c r="X494" s="1"/>
      <c r="Y494" s="1"/>
      <c r="Z494" s="1"/>
    </row>
    <row r="495" spans="1:26" ht="39.75" customHeight="1">
      <c r="A495" s="1"/>
      <c r="B495" s="1"/>
      <c r="C495" s="1"/>
      <c r="D495" s="1"/>
      <c r="E495" s="1"/>
      <c r="F495" s="1"/>
      <c r="G495" s="1"/>
      <c r="H495" s="1"/>
      <c r="I495" s="1"/>
      <c r="J495" s="1"/>
      <c r="K495" s="1"/>
      <c r="L495" s="1"/>
      <c r="M495" s="1"/>
      <c r="N495" s="1"/>
      <c r="O495" s="1"/>
      <c r="P495" s="1"/>
      <c r="Q495" s="1"/>
      <c r="R495" s="1"/>
      <c r="S495" s="1"/>
      <c r="T495" s="1"/>
      <c r="U495" s="2"/>
      <c r="V495" s="1"/>
      <c r="W495" s="1"/>
      <c r="X495" s="1"/>
      <c r="Y495" s="1"/>
      <c r="Z495" s="1"/>
    </row>
    <row r="496" spans="1:26" ht="39.75" customHeight="1">
      <c r="A496" s="1"/>
      <c r="B496" s="1"/>
      <c r="C496" s="1"/>
      <c r="D496" s="1"/>
      <c r="E496" s="1"/>
      <c r="F496" s="1"/>
      <c r="G496" s="1"/>
      <c r="H496" s="1"/>
      <c r="I496" s="1"/>
      <c r="J496" s="1"/>
      <c r="K496" s="1"/>
      <c r="L496" s="1"/>
      <c r="M496" s="1"/>
      <c r="N496" s="1"/>
      <c r="O496" s="1"/>
      <c r="P496" s="1"/>
      <c r="Q496" s="1"/>
      <c r="R496" s="1"/>
      <c r="S496" s="1"/>
      <c r="T496" s="1"/>
      <c r="U496" s="2"/>
      <c r="V496" s="1"/>
      <c r="W496" s="1"/>
      <c r="X496" s="1"/>
      <c r="Y496" s="1"/>
      <c r="Z496" s="1"/>
    </row>
    <row r="497" spans="1:26" ht="39.75" customHeight="1">
      <c r="A497" s="1"/>
      <c r="B497" s="1"/>
      <c r="C497" s="1"/>
      <c r="D497" s="1"/>
      <c r="E497" s="1"/>
      <c r="F497" s="1"/>
      <c r="G497" s="1"/>
      <c r="H497" s="1"/>
      <c r="I497" s="1"/>
      <c r="J497" s="1"/>
      <c r="K497" s="1"/>
      <c r="L497" s="1"/>
      <c r="M497" s="1"/>
      <c r="N497" s="1"/>
      <c r="O497" s="1"/>
      <c r="P497" s="1"/>
      <c r="Q497" s="1"/>
      <c r="R497" s="1"/>
      <c r="S497" s="1"/>
      <c r="T497" s="1"/>
      <c r="U497" s="2"/>
      <c r="V497" s="1"/>
      <c r="W497" s="1"/>
      <c r="X497" s="1"/>
      <c r="Y497" s="1"/>
      <c r="Z497" s="1"/>
    </row>
    <row r="498" spans="1:26" ht="39.75" customHeight="1">
      <c r="A498" s="1"/>
      <c r="B498" s="1"/>
      <c r="C498" s="1"/>
      <c r="D498" s="1"/>
      <c r="E498" s="1"/>
      <c r="F498" s="1"/>
      <c r="G498" s="1"/>
      <c r="H498" s="1"/>
      <c r="I498" s="1"/>
      <c r="J498" s="1"/>
      <c r="K498" s="1"/>
      <c r="L498" s="1"/>
      <c r="M498" s="1"/>
      <c r="N498" s="1"/>
      <c r="O498" s="1"/>
      <c r="P498" s="1"/>
      <c r="Q498" s="1"/>
      <c r="R498" s="1"/>
      <c r="S498" s="1"/>
      <c r="T498" s="1"/>
      <c r="U498" s="2"/>
      <c r="V498" s="1"/>
      <c r="W498" s="1"/>
      <c r="X498" s="1"/>
      <c r="Y498" s="1"/>
      <c r="Z498" s="1"/>
    </row>
    <row r="499" spans="1:26" ht="39.75" customHeight="1">
      <c r="A499" s="1"/>
      <c r="B499" s="1"/>
      <c r="C499" s="1"/>
      <c r="D499" s="1"/>
      <c r="E499" s="1"/>
      <c r="F499" s="1"/>
      <c r="G499" s="1"/>
      <c r="H499" s="1"/>
      <c r="I499" s="1"/>
      <c r="J499" s="1"/>
      <c r="K499" s="1"/>
      <c r="L499" s="1"/>
      <c r="M499" s="1"/>
      <c r="N499" s="1"/>
      <c r="O499" s="1"/>
      <c r="P499" s="1"/>
      <c r="Q499" s="1"/>
      <c r="R499" s="1"/>
      <c r="S499" s="1"/>
      <c r="T499" s="1"/>
      <c r="U499" s="2"/>
      <c r="V499" s="1"/>
      <c r="W499" s="1"/>
      <c r="X499" s="1"/>
      <c r="Y499" s="1"/>
      <c r="Z499" s="1"/>
    </row>
    <row r="500" spans="1:26" ht="39.75" customHeight="1">
      <c r="A500" s="1"/>
      <c r="B500" s="1"/>
      <c r="C500" s="1"/>
      <c r="D500" s="1"/>
      <c r="E500" s="1"/>
      <c r="F500" s="1"/>
      <c r="G500" s="1"/>
      <c r="H500" s="1"/>
      <c r="I500" s="1"/>
      <c r="J500" s="1"/>
      <c r="K500" s="1"/>
      <c r="L500" s="1"/>
      <c r="M500" s="1"/>
      <c r="N500" s="1"/>
      <c r="O500" s="1"/>
      <c r="P500" s="1"/>
      <c r="Q500" s="1"/>
      <c r="R500" s="1"/>
      <c r="S500" s="1"/>
      <c r="T500" s="1"/>
      <c r="U500" s="2"/>
      <c r="V500" s="1"/>
      <c r="W500" s="1"/>
      <c r="X500" s="1"/>
      <c r="Y500" s="1"/>
      <c r="Z500" s="1"/>
    </row>
    <row r="501" spans="1:26" ht="39.75" customHeight="1">
      <c r="A501" s="1"/>
      <c r="B501" s="1"/>
      <c r="C501" s="1"/>
      <c r="D501" s="1"/>
      <c r="E501" s="1"/>
      <c r="F501" s="1"/>
      <c r="G501" s="1"/>
      <c r="H501" s="1"/>
      <c r="I501" s="1"/>
      <c r="J501" s="1"/>
      <c r="K501" s="1"/>
      <c r="L501" s="1"/>
      <c r="M501" s="1"/>
      <c r="N501" s="1"/>
      <c r="O501" s="1"/>
      <c r="P501" s="1"/>
      <c r="Q501" s="1"/>
      <c r="R501" s="1"/>
      <c r="S501" s="1"/>
      <c r="T501" s="1"/>
      <c r="U501" s="2"/>
      <c r="V501" s="1"/>
      <c r="W501" s="1"/>
      <c r="X501" s="1"/>
      <c r="Y501" s="1"/>
      <c r="Z501" s="1"/>
    </row>
    <row r="502" spans="1:26" ht="39.75" customHeight="1">
      <c r="A502" s="1"/>
      <c r="B502" s="1"/>
      <c r="C502" s="1"/>
      <c r="D502" s="1"/>
      <c r="E502" s="1"/>
      <c r="F502" s="1"/>
      <c r="G502" s="1"/>
      <c r="H502" s="1"/>
      <c r="I502" s="1"/>
      <c r="J502" s="1"/>
      <c r="K502" s="1"/>
      <c r="L502" s="1"/>
      <c r="M502" s="1"/>
      <c r="N502" s="1"/>
      <c r="O502" s="1"/>
      <c r="P502" s="1"/>
      <c r="Q502" s="1"/>
      <c r="R502" s="1"/>
      <c r="S502" s="1"/>
      <c r="T502" s="1"/>
      <c r="U502" s="2"/>
      <c r="V502" s="1"/>
      <c r="W502" s="1"/>
      <c r="X502" s="1"/>
      <c r="Y502" s="1"/>
      <c r="Z502" s="1"/>
    </row>
    <row r="503" spans="1:26" ht="39.75" customHeight="1">
      <c r="A503" s="1"/>
      <c r="B503" s="1"/>
      <c r="C503" s="1"/>
      <c r="D503" s="1"/>
      <c r="E503" s="1"/>
      <c r="F503" s="1"/>
      <c r="G503" s="1"/>
      <c r="H503" s="1"/>
      <c r="I503" s="1"/>
      <c r="J503" s="1"/>
      <c r="K503" s="1"/>
      <c r="L503" s="1"/>
      <c r="M503" s="1"/>
      <c r="N503" s="1"/>
      <c r="O503" s="1"/>
      <c r="P503" s="1"/>
      <c r="Q503" s="1"/>
      <c r="R503" s="1"/>
      <c r="S503" s="1"/>
      <c r="T503" s="1"/>
      <c r="U503" s="2"/>
      <c r="V503" s="1"/>
      <c r="W503" s="1"/>
      <c r="X503" s="1"/>
      <c r="Y503" s="1"/>
      <c r="Z503" s="1"/>
    </row>
    <row r="504" spans="1:26" ht="39.75" customHeight="1">
      <c r="A504" s="1"/>
      <c r="B504" s="1"/>
      <c r="C504" s="1"/>
      <c r="D504" s="1"/>
      <c r="E504" s="1"/>
      <c r="F504" s="1"/>
      <c r="G504" s="1"/>
      <c r="H504" s="1"/>
      <c r="I504" s="1"/>
      <c r="J504" s="1"/>
      <c r="K504" s="1"/>
      <c r="L504" s="1"/>
      <c r="M504" s="1"/>
      <c r="N504" s="1"/>
      <c r="O504" s="1"/>
      <c r="P504" s="1"/>
      <c r="Q504" s="1"/>
      <c r="R504" s="1"/>
      <c r="S504" s="1"/>
      <c r="T504" s="1"/>
      <c r="U504" s="2"/>
      <c r="V504" s="1"/>
      <c r="W504" s="1"/>
      <c r="X504" s="1"/>
      <c r="Y504" s="1"/>
      <c r="Z504" s="1"/>
    </row>
    <row r="505" spans="1:26" ht="39.75" customHeight="1">
      <c r="A505" s="1"/>
      <c r="B505" s="1"/>
      <c r="C505" s="1"/>
      <c r="D505" s="1"/>
      <c r="E505" s="1"/>
      <c r="F505" s="1"/>
      <c r="G505" s="1"/>
      <c r="H505" s="1"/>
      <c r="I505" s="1"/>
      <c r="J505" s="1"/>
      <c r="K505" s="1"/>
      <c r="L505" s="1"/>
      <c r="M505" s="1"/>
      <c r="N505" s="1"/>
      <c r="O505" s="1"/>
      <c r="P505" s="1"/>
      <c r="Q505" s="1"/>
      <c r="R505" s="1"/>
      <c r="S505" s="1"/>
      <c r="T505" s="1"/>
      <c r="U505" s="2"/>
      <c r="V505" s="1"/>
      <c r="W505" s="1"/>
      <c r="X505" s="1"/>
      <c r="Y505" s="1"/>
      <c r="Z505" s="1"/>
    </row>
    <row r="506" spans="1:26" ht="39.75" customHeight="1">
      <c r="A506" s="1"/>
      <c r="B506" s="1"/>
      <c r="C506" s="1"/>
      <c r="D506" s="1"/>
      <c r="E506" s="1"/>
      <c r="F506" s="1"/>
      <c r="G506" s="1"/>
      <c r="H506" s="1"/>
      <c r="I506" s="1"/>
      <c r="J506" s="1"/>
      <c r="K506" s="1"/>
      <c r="L506" s="1"/>
      <c r="M506" s="1"/>
      <c r="N506" s="1"/>
      <c r="O506" s="1"/>
      <c r="P506" s="1"/>
      <c r="Q506" s="1"/>
      <c r="R506" s="1"/>
      <c r="S506" s="1"/>
      <c r="T506" s="1"/>
      <c r="U506" s="2"/>
      <c r="V506" s="1"/>
      <c r="W506" s="1"/>
      <c r="X506" s="1"/>
      <c r="Y506" s="1"/>
      <c r="Z506" s="1"/>
    </row>
    <row r="507" spans="1:26" ht="39.75" customHeight="1">
      <c r="A507" s="1"/>
      <c r="B507" s="1"/>
      <c r="C507" s="1"/>
      <c r="D507" s="1"/>
      <c r="E507" s="1"/>
      <c r="F507" s="1"/>
      <c r="G507" s="1"/>
      <c r="H507" s="1"/>
      <c r="I507" s="1"/>
      <c r="J507" s="1"/>
      <c r="K507" s="1"/>
      <c r="L507" s="1"/>
      <c r="M507" s="1"/>
      <c r="N507" s="1"/>
      <c r="O507" s="1"/>
      <c r="P507" s="1"/>
      <c r="Q507" s="1"/>
      <c r="R507" s="1"/>
      <c r="S507" s="1"/>
      <c r="T507" s="1"/>
      <c r="U507" s="2"/>
      <c r="V507" s="1"/>
      <c r="W507" s="1"/>
      <c r="X507" s="1"/>
      <c r="Y507" s="1"/>
      <c r="Z507" s="1"/>
    </row>
    <row r="508" spans="1:26" ht="39.75" customHeight="1">
      <c r="A508" s="1"/>
      <c r="B508" s="1"/>
      <c r="C508" s="1"/>
      <c r="D508" s="1"/>
      <c r="E508" s="1"/>
      <c r="F508" s="1"/>
      <c r="G508" s="1"/>
      <c r="H508" s="1"/>
      <c r="I508" s="1"/>
      <c r="J508" s="1"/>
      <c r="K508" s="1"/>
      <c r="L508" s="1"/>
      <c r="M508" s="1"/>
      <c r="N508" s="1"/>
      <c r="O508" s="1"/>
      <c r="P508" s="1"/>
      <c r="Q508" s="1"/>
      <c r="R508" s="1"/>
      <c r="S508" s="1"/>
      <c r="T508" s="1"/>
      <c r="U508" s="2"/>
      <c r="V508" s="1"/>
      <c r="W508" s="1"/>
      <c r="X508" s="1"/>
      <c r="Y508" s="1"/>
      <c r="Z508" s="1"/>
    </row>
    <row r="509" spans="1:26" ht="39.75" customHeight="1">
      <c r="A509" s="1"/>
      <c r="B509" s="1"/>
      <c r="C509" s="1"/>
      <c r="D509" s="1"/>
      <c r="E509" s="1"/>
      <c r="F509" s="1"/>
      <c r="G509" s="1"/>
      <c r="H509" s="1"/>
      <c r="I509" s="1"/>
      <c r="J509" s="1"/>
      <c r="K509" s="1"/>
      <c r="L509" s="1"/>
      <c r="M509" s="1"/>
      <c r="N509" s="1"/>
      <c r="O509" s="1"/>
      <c r="P509" s="1"/>
      <c r="Q509" s="1"/>
      <c r="R509" s="1"/>
      <c r="S509" s="1"/>
      <c r="T509" s="1"/>
      <c r="U509" s="2"/>
      <c r="V509" s="1"/>
      <c r="W509" s="1"/>
      <c r="X509" s="1"/>
      <c r="Y509" s="1"/>
      <c r="Z509" s="1"/>
    </row>
    <row r="510" spans="1:26" ht="39.75" customHeight="1">
      <c r="A510" s="1"/>
      <c r="B510" s="1"/>
      <c r="C510" s="1"/>
      <c r="D510" s="1"/>
      <c r="E510" s="1"/>
      <c r="F510" s="1"/>
      <c r="G510" s="1"/>
      <c r="H510" s="1"/>
      <c r="I510" s="1"/>
      <c r="J510" s="1"/>
      <c r="K510" s="1"/>
      <c r="L510" s="1"/>
      <c r="M510" s="1"/>
      <c r="N510" s="1"/>
      <c r="O510" s="1"/>
      <c r="P510" s="1"/>
      <c r="Q510" s="1"/>
      <c r="R510" s="1"/>
      <c r="S510" s="1"/>
      <c r="T510" s="1"/>
      <c r="U510" s="2"/>
      <c r="V510" s="1"/>
      <c r="W510" s="1"/>
      <c r="X510" s="1"/>
      <c r="Y510" s="1"/>
      <c r="Z510" s="1"/>
    </row>
    <row r="511" spans="1:26" ht="39.75" customHeight="1">
      <c r="A511" s="1"/>
      <c r="B511" s="1"/>
      <c r="C511" s="1"/>
      <c r="D511" s="1"/>
      <c r="E511" s="1"/>
      <c r="F511" s="1"/>
      <c r="G511" s="1"/>
      <c r="H511" s="1"/>
      <c r="I511" s="1"/>
      <c r="J511" s="1"/>
      <c r="K511" s="1"/>
      <c r="L511" s="1"/>
      <c r="M511" s="1"/>
      <c r="N511" s="1"/>
      <c r="O511" s="1"/>
      <c r="P511" s="1"/>
      <c r="Q511" s="1"/>
      <c r="R511" s="1"/>
      <c r="S511" s="1"/>
      <c r="T511" s="1"/>
      <c r="U511" s="2"/>
      <c r="V511" s="1"/>
      <c r="W511" s="1"/>
      <c r="X511" s="1"/>
      <c r="Y511" s="1"/>
      <c r="Z511" s="1"/>
    </row>
    <row r="512" spans="1:26" ht="39.75" customHeight="1">
      <c r="A512" s="1"/>
      <c r="B512" s="1"/>
      <c r="C512" s="1"/>
      <c r="D512" s="1"/>
      <c r="E512" s="1"/>
      <c r="F512" s="1"/>
      <c r="G512" s="1"/>
      <c r="H512" s="1"/>
      <c r="I512" s="1"/>
      <c r="J512" s="1"/>
      <c r="K512" s="1"/>
      <c r="L512" s="1"/>
      <c r="M512" s="1"/>
      <c r="N512" s="1"/>
      <c r="O512" s="1"/>
      <c r="P512" s="1"/>
      <c r="Q512" s="1"/>
      <c r="R512" s="1"/>
      <c r="S512" s="1"/>
      <c r="T512" s="1"/>
      <c r="U512" s="2"/>
      <c r="V512" s="1"/>
      <c r="W512" s="1"/>
      <c r="X512" s="1"/>
      <c r="Y512" s="1"/>
      <c r="Z512" s="1"/>
    </row>
    <row r="513" spans="1:26" ht="39.75" customHeight="1">
      <c r="A513" s="1"/>
      <c r="B513" s="1"/>
      <c r="C513" s="1"/>
      <c r="D513" s="1"/>
      <c r="E513" s="1"/>
      <c r="F513" s="1"/>
      <c r="G513" s="1"/>
      <c r="H513" s="1"/>
      <c r="I513" s="1"/>
      <c r="J513" s="1"/>
      <c r="K513" s="1"/>
      <c r="L513" s="1"/>
      <c r="M513" s="1"/>
      <c r="N513" s="1"/>
      <c r="O513" s="1"/>
      <c r="P513" s="1"/>
      <c r="Q513" s="1"/>
      <c r="R513" s="1"/>
      <c r="S513" s="1"/>
      <c r="T513" s="1"/>
      <c r="U513" s="2"/>
      <c r="V513" s="1"/>
      <c r="W513" s="1"/>
      <c r="X513" s="1"/>
      <c r="Y513" s="1"/>
      <c r="Z513" s="1"/>
    </row>
    <row r="514" spans="1:26" ht="39.75" customHeight="1">
      <c r="A514" s="1"/>
      <c r="B514" s="1"/>
      <c r="C514" s="1"/>
      <c r="D514" s="1"/>
      <c r="E514" s="1"/>
      <c r="F514" s="1"/>
      <c r="G514" s="1"/>
      <c r="H514" s="1"/>
      <c r="I514" s="1"/>
      <c r="J514" s="1"/>
      <c r="K514" s="1"/>
      <c r="L514" s="1"/>
      <c r="M514" s="1"/>
      <c r="N514" s="1"/>
      <c r="O514" s="1"/>
      <c r="P514" s="1"/>
      <c r="Q514" s="1"/>
      <c r="R514" s="1"/>
      <c r="S514" s="1"/>
      <c r="T514" s="1"/>
      <c r="U514" s="2"/>
      <c r="V514" s="1"/>
      <c r="W514" s="1"/>
      <c r="X514" s="1"/>
      <c r="Y514" s="1"/>
      <c r="Z514" s="1"/>
    </row>
    <row r="515" spans="1:26" ht="39.75" customHeight="1">
      <c r="A515" s="1"/>
      <c r="B515" s="1"/>
      <c r="C515" s="1"/>
      <c r="D515" s="1"/>
      <c r="E515" s="1"/>
      <c r="F515" s="1"/>
      <c r="G515" s="1"/>
      <c r="H515" s="1"/>
      <c r="I515" s="1"/>
      <c r="J515" s="1"/>
      <c r="K515" s="1"/>
      <c r="L515" s="1"/>
      <c r="M515" s="1"/>
      <c r="N515" s="1"/>
      <c r="O515" s="1"/>
      <c r="P515" s="1"/>
      <c r="Q515" s="1"/>
      <c r="R515" s="1"/>
      <c r="S515" s="1"/>
      <c r="T515" s="1"/>
      <c r="U515" s="2"/>
      <c r="V515" s="1"/>
      <c r="W515" s="1"/>
      <c r="X515" s="1"/>
      <c r="Y515" s="1"/>
      <c r="Z515" s="1"/>
    </row>
    <row r="516" spans="1:26" ht="39.75" customHeight="1">
      <c r="A516" s="1"/>
      <c r="B516" s="1"/>
      <c r="C516" s="1"/>
      <c r="D516" s="1"/>
      <c r="E516" s="1"/>
      <c r="F516" s="1"/>
      <c r="G516" s="1"/>
      <c r="H516" s="1"/>
      <c r="I516" s="1"/>
      <c r="J516" s="1"/>
      <c r="K516" s="1"/>
      <c r="L516" s="1"/>
      <c r="M516" s="1"/>
      <c r="N516" s="1"/>
      <c r="O516" s="1"/>
      <c r="P516" s="1"/>
      <c r="Q516" s="1"/>
      <c r="R516" s="1"/>
      <c r="S516" s="1"/>
      <c r="T516" s="1"/>
      <c r="U516" s="2"/>
      <c r="V516" s="1"/>
      <c r="W516" s="1"/>
      <c r="X516" s="1"/>
      <c r="Y516" s="1"/>
      <c r="Z516" s="1"/>
    </row>
    <row r="517" spans="1:26" ht="39.75" customHeight="1">
      <c r="A517" s="1"/>
      <c r="B517" s="1"/>
      <c r="C517" s="1"/>
      <c r="D517" s="1"/>
      <c r="E517" s="1"/>
      <c r="F517" s="1"/>
      <c r="G517" s="1"/>
      <c r="H517" s="1"/>
      <c r="I517" s="1"/>
      <c r="J517" s="1"/>
      <c r="K517" s="1"/>
      <c r="L517" s="1"/>
      <c r="M517" s="1"/>
      <c r="N517" s="1"/>
      <c r="O517" s="1"/>
      <c r="P517" s="1"/>
      <c r="Q517" s="1"/>
      <c r="R517" s="1"/>
      <c r="S517" s="1"/>
      <c r="T517" s="1"/>
      <c r="U517" s="2"/>
      <c r="V517" s="1"/>
      <c r="W517" s="1"/>
      <c r="X517" s="1"/>
      <c r="Y517" s="1"/>
      <c r="Z517" s="1"/>
    </row>
    <row r="518" spans="1:26" ht="39.75" customHeight="1">
      <c r="A518" s="1"/>
      <c r="B518" s="1"/>
      <c r="C518" s="1"/>
      <c r="D518" s="1"/>
      <c r="E518" s="1"/>
      <c r="F518" s="1"/>
      <c r="G518" s="1"/>
      <c r="H518" s="1"/>
      <c r="I518" s="1"/>
      <c r="J518" s="1"/>
      <c r="K518" s="1"/>
      <c r="L518" s="1"/>
      <c r="M518" s="1"/>
      <c r="N518" s="1"/>
      <c r="O518" s="1"/>
      <c r="P518" s="1"/>
      <c r="Q518" s="1"/>
      <c r="R518" s="1"/>
      <c r="S518" s="1"/>
      <c r="T518" s="1"/>
      <c r="U518" s="2"/>
      <c r="V518" s="1"/>
      <c r="W518" s="1"/>
      <c r="X518" s="1"/>
      <c r="Y518" s="1"/>
      <c r="Z518" s="1"/>
    </row>
    <row r="519" spans="1:26" ht="39.75" customHeight="1">
      <c r="A519" s="1"/>
      <c r="B519" s="1"/>
      <c r="C519" s="1"/>
      <c r="D519" s="1"/>
      <c r="E519" s="1"/>
      <c r="F519" s="1"/>
      <c r="G519" s="1"/>
      <c r="H519" s="1"/>
      <c r="I519" s="1"/>
      <c r="J519" s="1"/>
      <c r="K519" s="1"/>
      <c r="L519" s="1"/>
      <c r="M519" s="1"/>
      <c r="N519" s="1"/>
      <c r="O519" s="1"/>
      <c r="P519" s="1"/>
      <c r="Q519" s="1"/>
      <c r="R519" s="1"/>
      <c r="S519" s="1"/>
      <c r="T519" s="1"/>
      <c r="U519" s="2"/>
      <c r="V519" s="1"/>
      <c r="W519" s="1"/>
      <c r="X519" s="1"/>
      <c r="Y519" s="1"/>
      <c r="Z519" s="1"/>
    </row>
    <row r="520" spans="1:26" ht="39.75" customHeight="1">
      <c r="A520" s="1"/>
      <c r="B520" s="1"/>
      <c r="C520" s="1"/>
      <c r="D520" s="1"/>
      <c r="E520" s="1"/>
      <c r="F520" s="1"/>
      <c r="G520" s="1"/>
      <c r="H520" s="1"/>
      <c r="I520" s="1"/>
      <c r="J520" s="1"/>
      <c r="K520" s="1"/>
      <c r="L520" s="1"/>
      <c r="M520" s="1"/>
      <c r="N520" s="1"/>
      <c r="O520" s="1"/>
      <c r="P520" s="1"/>
      <c r="Q520" s="1"/>
      <c r="R520" s="1"/>
      <c r="S520" s="1"/>
      <c r="T520" s="1"/>
      <c r="U520" s="2"/>
      <c r="V520" s="1"/>
      <c r="W520" s="1"/>
      <c r="X520" s="1"/>
      <c r="Y520" s="1"/>
      <c r="Z520" s="1"/>
    </row>
    <row r="521" spans="1:26" ht="39.75" customHeight="1">
      <c r="A521" s="1"/>
      <c r="B521" s="1"/>
      <c r="C521" s="1"/>
      <c r="D521" s="1"/>
      <c r="E521" s="1"/>
      <c r="F521" s="1"/>
      <c r="G521" s="1"/>
      <c r="H521" s="1"/>
      <c r="I521" s="1"/>
      <c r="J521" s="1"/>
      <c r="K521" s="1"/>
      <c r="L521" s="1"/>
      <c r="M521" s="1"/>
      <c r="N521" s="1"/>
      <c r="O521" s="1"/>
      <c r="P521" s="1"/>
      <c r="Q521" s="1"/>
      <c r="R521" s="1"/>
      <c r="S521" s="1"/>
      <c r="T521" s="1"/>
      <c r="U521" s="2"/>
      <c r="V521" s="1"/>
      <c r="W521" s="1"/>
      <c r="X521" s="1"/>
      <c r="Y521" s="1"/>
      <c r="Z521" s="1"/>
    </row>
    <row r="522" spans="1:26" ht="39.75" customHeight="1">
      <c r="A522" s="1"/>
      <c r="B522" s="1"/>
      <c r="C522" s="1"/>
      <c r="D522" s="1"/>
      <c r="E522" s="1"/>
      <c r="F522" s="1"/>
      <c r="G522" s="1"/>
      <c r="H522" s="1"/>
      <c r="I522" s="1"/>
      <c r="J522" s="1"/>
      <c r="K522" s="1"/>
      <c r="L522" s="1"/>
      <c r="M522" s="1"/>
      <c r="N522" s="1"/>
      <c r="O522" s="1"/>
      <c r="P522" s="1"/>
      <c r="Q522" s="1"/>
      <c r="R522" s="1"/>
      <c r="S522" s="1"/>
      <c r="T522" s="1"/>
      <c r="U522" s="2"/>
      <c r="V522" s="1"/>
      <c r="W522" s="1"/>
      <c r="X522" s="1"/>
      <c r="Y522" s="1"/>
      <c r="Z522" s="1"/>
    </row>
    <row r="523" spans="1:26" ht="39.75" customHeight="1">
      <c r="A523" s="1"/>
      <c r="B523" s="1"/>
      <c r="C523" s="1"/>
      <c r="D523" s="1"/>
      <c r="E523" s="1"/>
      <c r="F523" s="1"/>
      <c r="G523" s="1"/>
      <c r="H523" s="1"/>
      <c r="I523" s="1"/>
      <c r="J523" s="1"/>
      <c r="K523" s="1"/>
      <c r="L523" s="1"/>
      <c r="M523" s="1"/>
      <c r="N523" s="1"/>
      <c r="O523" s="1"/>
      <c r="P523" s="1"/>
      <c r="Q523" s="1"/>
      <c r="R523" s="1"/>
      <c r="S523" s="1"/>
      <c r="T523" s="1"/>
      <c r="U523" s="2"/>
      <c r="V523" s="1"/>
      <c r="W523" s="1"/>
      <c r="X523" s="1"/>
      <c r="Y523" s="1"/>
      <c r="Z523" s="1"/>
    </row>
    <row r="524" spans="1:26" ht="39.75" customHeight="1">
      <c r="A524" s="1"/>
      <c r="B524" s="1"/>
      <c r="C524" s="1"/>
      <c r="D524" s="1"/>
      <c r="E524" s="1"/>
      <c r="F524" s="1"/>
      <c r="G524" s="1"/>
      <c r="H524" s="1"/>
      <c r="I524" s="1"/>
      <c r="J524" s="1"/>
      <c r="K524" s="1"/>
      <c r="L524" s="1"/>
      <c r="M524" s="1"/>
      <c r="N524" s="1"/>
      <c r="O524" s="1"/>
      <c r="P524" s="1"/>
      <c r="Q524" s="1"/>
      <c r="R524" s="1"/>
      <c r="S524" s="1"/>
      <c r="T524" s="1"/>
      <c r="U524" s="2"/>
      <c r="V524" s="1"/>
      <c r="W524" s="1"/>
      <c r="X524" s="1"/>
      <c r="Y524" s="1"/>
      <c r="Z524" s="1"/>
    </row>
    <row r="525" spans="1:26" ht="39.75" customHeight="1">
      <c r="A525" s="1"/>
      <c r="B525" s="1"/>
      <c r="C525" s="1"/>
      <c r="D525" s="1"/>
      <c r="E525" s="1"/>
      <c r="F525" s="1"/>
      <c r="G525" s="1"/>
      <c r="H525" s="1"/>
      <c r="I525" s="1"/>
      <c r="J525" s="1"/>
      <c r="K525" s="1"/>
      <c r="L525" s="1"/>
      <c r="M525" s="1"/>
      <c r="N525" s="1"/>
      <c r="O525" s="1"/>
      <c r="P525" s="1"/>
      <c r="Q525" s="1"/>
      <c r="R525" s="1"/>
      <c r="S525" s="1"/>
      <c r="T525" s="1"/>
      <c r="U525" s="2"/>
      <c r="V525" s="1"/>
      <c r="W525" s="1"/>
      <c r="X525" s="1"/>
      <c r="Y525" s="1"/>
      <c r="Z525" s="1"/>
    </row>
    <row r="526" spans="1:26" ht="39.75" customHeight="1">
      <c r="A526" s="1"/>
      <c r="B526" s="1"/>
      <c r="C526" s="1"/>
      <c r="D526" s="1"/>
      <c r="E526" s="1"/>
      <c r="F526" s="1"/>
      <c r="G526" s="1"/>
      <c r="H526" s="1"/>
      <c r="I526" s="1"/>
      <c r="J526" s="1"/>
      <c r="K526" s="1"/>
      <c r="L526" s="1"/>
      <c r="M526" s="1"/>
      <c r="N526" s="1"/>
      <c r="O526" s="1"/>
      <c r="P526" s="1"/>
      <c r="Q526" s="1"/>
      <c r="R526" s="1"/>
      <c r="S526" s="1"/>
      <c r="T526" s="1"/>
      <c r="U526" s="2"/>
      <c r="V526" s="1"/>
      <c r="W526" s="1"/>
      <c r="X526" s="1"/>
      <c r="Y526" s="1"/>
      <c r="Z526" s="1"/>
    </row>
    <row r="527" spans="1:26" ht="39.75" customHeight="1">
      <c r="A527" s="1"/>
      <c r="B527" s="1"/>
      <c r="C527" s="1"/>
      <c r="D527" s="1"/>
      <c r="E527" s="1"/>
      <c r="F527" s="1"/>
      <c r="G527" s="1"/>
      <c r="H527" s="1"/>
      <c r="I527" s="1"/>
      <c r="J527" s="1"/>
      <c r="K527" s="1"/>
      <c r="L527" s="1"/>
      <c r="M527" s="1"/>
      <c r="N527" s="1"/>
      <c r="O527" s="1"/>
      <c r="P527" s="1"/>
      <c r="Q527" s="1"/>
      <c r="R527" s="1"/>
      <c r="S527" s="1"/>
      <c r="T527" s="1"/>
      <c r="U527" s="2"/>
      <c r="V527" s="1"/>
      <c r="W527" s="1"/>
      <c r="X527" s="1"/>
      <c r="Y527" s="1"/>
      <c r="Z527" s="1"/>
    </row>
    <row r="528" spans="1:26" ht="39.75" customHeight="1">
      <c r="A528" s="1"/>
      <c r="B528" s="1"/>
      <c r="C528" s="1"/>
      <c r="D528" s="1"/>
      <c r="E528" s="1"/>
      <c r="F528" s="1"/>
      <c r="G528" s="1"/>
      <c r="H528" s="1"/>
      <c r="I528" s="1"/>
      <c r="J528" s="1"/>
      <c r="K528" s="1"/>
      <c r="L528" s="1"/>
      <c r="M528" s="1"/>
      <c r="N528" s="1"/>
      <c r="O528" s="1"/>
      <c r="P528" s="1"/>
      <c r="Q528" s="1"/>
      <c r="R528" s="1"/>
      <c r="S528" s="1"/>
      <c r="T528" s="1"/>
      <c r="U528" s="2"/>
      <c r="V528" s="1"/>
      <c r="W528" s="1"/>
      <c r="X528" s="1"/>
      <c r="Y528" s="1"/>
      <c r="Z528" s="1"/>
    </row>
    <row r="529" spans="1:26" ht="39.75" customHeight="1">
      <c r="A529" s="1"/>
      <c r="B529" s="1"/>
      <c r="C529" s="1"/>
      <c r="D529" s="1"/>
      <c r="E529" s="1"/>
      <c r="F529" s="1"/>
      <c r="G529" s="1"/>
      <c r="H529" s="1"/>
      <c r="I529" s="1"/>
      <c r="J529" s="1"/>
      <c r="K529" s="1"/>
      <c r="L529" s="1"/>
      <c r="M529" s="1"/>
      <c r="N529" s="1"/>
      <c r="O529" s="1"/>
      <c r="P529" s="1"/>
      <c r="Q529" s="1"/>
      <c r="R529" s="1"/>
      <c r="S529" s="1"/>
      <c r="T529" s="1"/>
      <c r="U529" s="2"/>
      <c r="V529" s="1"/>
      <c r="W529" s="1"/>
      <c r="X529" s="1"/>
      <c r="Y529" s="1"/>
      <c r="Z529" s="1"/>
    </row>
    <row r="530" spans="1:26" ht="39.75" customHeight="1">
      <c r="A530" s="1"/>
      <c r="B530" s="1"/>
      <c r="C530" s="1"/>
      <c r="D530" s="1"/>
      <c r="E530" s="1"/>
      <c r="F530" s="1"/>
      <c r="G530" s="1"/>
      <c r="H530" s="1"/>
      <c r="I530" s="1"/>
      <c r="J530" s="1"/>
      <c r="K530" s="1"/>
      <c r="L530" s="1"/>
      <c r="M530" s="1"/>
      <c r="N530" s="1"/>
      <c r="O530" s="1"/>
      <c r="P530" s="1"/>
      <c r="Q530" s="1"/>
      <c r="R530" s="1"/>
      <c r="S530" s="1"/>
      <c r="T530" s="1"/>
      <c r="U530" s="2"/>
      <c r="V530" s="1"/>
      <c r="W530" s="1"/>
      <c r="X530" s="1"/>
      <c r="Y530" s="1"/>
      <c r="Z530" s="1"/>
    </row>
    <row r="531" spans="1:26" ht="39.75" customHeight="1">
      <c r="A531" s="1"/>
      <c r="B531" s="1"/>
      <c r="C531" s="1"/>
      <c r="D531" s="1"/>
      <c r="E531" s="1"/>
      <c r="F531" s="1"/>
      <c r="G531" s="1"/>
      <c r="H531" s="1"/>
      <c r="I531" s="1"/>
      <c r="J531" s="1"/>
      <c r="K531" s="1"/>
      <c r="L531" s="1"/>
      <c r="M531" s="1"/>
      <c r="N531" s="1"/>
      <c r="O531" s="1"/>
      <c r="P531" s="1"/>
      <c r="Q531" s="1"/>
      <c r="R531" s="1"/>
      <c r="S531" s="1"/>
      <c r="T531" s="1"/>
      <c r="U531" s="2"/>
      <c r="V531" s="1"/>
      <c r="W531" s="1"/>
      <c r="X531" s="1"/>
      <c r="Y531" s="1"/>
      <c r="Z531" s="1"/>
    </row>
    <row r="532" spans="1:26" ht="39.75" customHeight="1">
      <c r="A532" s="1"/>
      <c r="B532" s="1"/>
      <c r="C532" s="1"/>
      <c r="D532" s="1"/>
      <c r="E532" s="1"/>
      <c r="F532" s="1"/>
      <c r="G532" s="1"/>
      <c r="H532" s="1"/>
      <c r="I532" s="1"/>
      <c r="J532" s="1"/>
      <c r="K532" s="1"/>
      <c r="L532" s="1"/>
      <c r="M532" s="1"/>
      <c r="N532" s="1"/>
      <c r="O532" s="1"/>
      <c r="P532" s="1"/>
      <c r="Q532" s="1"/>
      <c r="R532" s="1"/>
      <c r="S532" s="1"/>
      <c r="T532" s="1"/>
      <c r="U532" s="2"/>
      <c r="V532" s="1"/>
      <c r="W532" s="1"/>
      <c r="X532" s="1"/>
      <c r="Y532" s="1"/>
      <c r="Z532" s="1"/>
    </row>
    <row r="533" spans="1:26" ht="39.75" customHeight="1">
      <c r="A533" s="1"/>
      <c r="B533" s="1"/>
      <c r="C533" s="1"/>
      <c r="D533" s="1"/>
      <c r="E533" s="1"/>
      <c r="F533" s="1"/>
      <c r="G533" s="1"/>
      <c r="H533" s="1"/>
      <c r="I533" s="1"/>
      <c r="J533" s="1"/>
      <c r="K533" s="1"/>
      <c r="L533" s="1"/>
      <c r="M533" s="1"/>
      <c r="N533" s="1"/>
      <c r="O533" s="1"/>
      <c r="P533" s="1"/>
      <c r="Q533" s="1"/>
      <c r="R533" s="1"/>
      <c r="S533" s="1"/>
      <c r="T533" s="1"/>
      <c r="U533" s="2"/>
      <c r="V533" s="1"/>
      <c r="W533" s="1"/>
      <c r="X533" s="1"/>
      <c r="Y533" s="1"/>
      <c r="Z533" s="1"/>
    </row>
    <row r="534" spans="1:26" ht="39.75" customHeight="1">
      <c r="A534" s="1"/>
      <c r="B534" s="1"/>
      <c r="C534" s="1"/>
      <c r="D534" s="1"/>
      <c r="E534" s="1"/>
      <c r="F534" s="1"/>
      <c r="G534" s="1"/>
      <c r="H534" s="1"/>
      <c r="I534" s="1"/>
      <c r="J534" s="1"/>
      <c r="K534" s="1"/>
      <c r="L534" s="1"/>
      <c r="M534" s="1"/>
      <c r="N534" s="1"/>
      <c r="O534" s="1"/>
      <c r="P534" s="1"/>
      <c r="Q534" s="1"/>
      <c r="R534" s="1"/>
      <c r="S534" s="1"/>
      <c r="T534" s="1"/>
      <c r="U534" s="2"/>
      <c r="V534" s="1"/>
      <c r="W534" s="1"/>
      <c r="X534" s="1"/>
      <c r="Y534" s="1"/>
      <c r="Z534" s="1"/>
    </row>
    <row r="535" spans="1:26" ht="39.75" customHeight="1">
      <c r="A535" s="1"/>
      <c r="B535" s="1"/>
      <c r="C535" s="1"/>
      <c r="D535" s="1"/>
      <c r="E535" s="1"/>
      <c r="F535" s="1"/>
      <c r="G535" s="1"/>
      <c r="H535" s="1"/>
      <c r="I535" s="1"/>
      <c r="J535" s="1"/>
      <c r="K535" s="1"/>
      <c r="L535" s="1"/>
      <c r="M535" s="1"/>
      <c r="N535" s="1"/>
      <c r="O535" s="1"/>
      <c r="P535" s="1"/>
      <c r="Q535" s="1"/>
      <c r="R535" s="1"/>
      <c r="S535" s="1"/>
      <c r="T535" s="1"/>
      <c r="U535" s="2"/>
      <c r="V535" s="1"/>
      <c r="W535" s="1"/>
      <c r="X535" s="1"/>
      <c r="Y535" s="1"/>
      <c r="Z535" s="1"/>
    </row>
    <row r="536" spans="1:26" ht="39.75" customHeight="1">
      <c r="A536" s="1"/>
      <c r="B536" s="1"/>
      <c r="C536" s="1"/>
      <c r="D536" s="1"/>
      <c r="E536" s="1"/>
      <c r="F536" s="1"/>
      <c r="G536" s="1"/>
      <c r="H536" s="1"/>
      <c r="I536" s="1"/>
      <c r="J536" s="1"/>
      <c r="K536" s="1"/>
      <c r="L536" s="1"/>
      <c r="M536" s="1"/>
      <c r="N536" s="1"/>
      <c r="O536" s="1"/>
      <c r="P536" s="1"/>
      <c r="Q536" s="1"/>
      <c r="R536" s="1"/>
      <c r="S536" s="1"/>
      <c r="T536" s="1"/>
      <c r="U536" s="2"/>
      <c r="V536" s="1"/>
      <c r="W536" s="1"/>
      <c r="X536" s="1"/>
      <c r="Y536" s="1"/>
      <c r="Z536" s="1"/>
    </row>
    <row r="537" spans="1:26" ht="39.75" customHeight="1">
      <c r="A537" s="1"/>
      <c r="B537" s="1"/>
      <c r="C537" s="1"/>
      <c r="D537" s="1"/>
      <c r="E537" s="1"/>
      <c r="F537" s="1"/>
      <c r="G537" s="1"/>
      <c r="H537" s="1"/>
      <c r="I537" s="1"/>
      <c r="J537" s="1"/>
      <c r="K537" s="1"/>
      <c r="L537" s="1"/>
      <c r="M537" s="1"/>
      <c r="N537" s="1"/>
      <c r="O537" s="1"/>
      <c r="P537" s="1"/>
      <c r="Q537" s="1"/>
      <c r="R537" s="1"/>
      <c r="S537" s="1"/>
      <c r="T537" s="1"/>
      <c r="U537" s="2"/>
      <c r="V537" s="1"/>
      <c r="W537" s="1"/>
      <c r="X537" s="1"/>
      <c r="Y537" s="1"/>
      <c r="Z537" s="1"/>
    </row>
    <row r="538" spans="1:26" ht="39.75" customHeight="1">
      <c r="A538" s="1"/>
      <c r="B538" s="1"/>
      <c r="C538" s="1"/>
      <c r="D538" s="1"/>
      <c r="E538" s="1"/>
      <c r="F538" s="1"/>
      <c r="G538" s="1"/>
      <c r="H538" s="1"/>
      <c r="I538" s="1"/>
      <c r="J538" s="1"/>
      <c r="K538" s="1"/>
      <c r="L538" s="1"/>
      <c r="M538" s="1"/>
      <c r="N538" s="1"/>
      <c r="O538" s="1"/>
      <c r="P538" s="1"/>
      <c r="Q538" s="1"/>
      <c r="R538" s="1"/>
      <c r="S538" s="1"/>
      <c r="T538" s="1"/>
      <c r="U538" s="2"/>
      <c r="V538" s="1"/>
      <c r="W538" s="1"/>
      <c r="X538" s="1"/>
      <c r="Y538" s="1"/>
      <c r="Z538" s="1"/>
    </row>
    <row r="539" spans="1:26" ht="39.75" customHeight="1">
      <c r="A539" s="1"/>
      <c r="B539" s="1"/>
      <c r="C539" s="1"/>
      <c r="D539" s="1"/>
      <c r="E539" s="1"/>
      <c r="F539" s="1"/>
      <c r="G539" s="1"/>
      <c r="H539" s="1"/>
      <c r="I539" s="1"/>
      <c r="J539" s="1"/>
      <c r="K539" s="1"/>
      <c r="L539" s="1"/>
      <c r="M539" s="1"/>
      <c r="N539" s="1"/>
      <c r="O539" s="1"/>
      <c r="P539" s="1"/>
      <c r="Q539" s="1"/>
      <c r="R539" s="1"/>
      <c r="S539" s="1"/>
      <c r="T539" s="1"/>
      <c r="U539" s="2"/>
      <c r="V539" s="1"/>
      <c r="W539" s="1"/>
      <c r="X539" s="1"/>
      <c r="Y539" s="1"/>
      <c r="Z539" s="1"/>
    </row>
    <row r="540" spans="1:26" ht="39.75" customHeight="1">
      <c r="A540" s="1"/>
      <c r="B540" s="1"/>
      <c r="C540" s="1"/>
      <c r="D540" s="1"/>
      <c r="E540" s="1"/>
      <c r="F540" s="1"/>
      <c r="G540" s="1"/>
      <c r="H540" s="1"/>
      <c r="I540" s="1"/>
      <c r="J540" s="1"/>
      <c r="K540" s="1"/>
      <c r="L540" s="1"/>
      <c r="M540" s="1"/>
      <c r="N540" s="1"/>
      <c r="O540" s="1"/>
      <c r="P540" s="1"/>
      <c r="Q540" s="1"/>
      <c r="R540" s="1"/>
      <c r="S540" s="1"/>
      <c r="T540" s="1"/>
      <c r="U540" s="2"/>
      <c r="V540" s="1"/>
      <c r="W540" s="1"/>
      <c r="X540" s="1"/>
      <c r="Y540" s="1"/>
      <c r="Z540" s="1"/>
    </row>
    <row r="541" spans="1:26" ht="39.75" customHeight="1">
      <c r="A541" s="1"/>
      <c r="B541" s="1"/>
      <c r="C541" s="1"/>
      <c r="D541" s="1"/>
      <c r="E541" s="1"/>
      <c r="F541" s="1"/>
      <c r="G541" s="1"/>
      <c r="H541" s="1"/>
      <c r="I541" s="1"/>
      <c r="J541" s="1"/>
      <c r="K541" s="1"/>
      <c r="L541" s="1"/>
      <c r="M541" s="1"/>
      <c r="N541" s="1"/>
      <c r="O541" s="1"/>
      <c r="P541" s="1"/>
      <c r="Q541" s="1"/>
      <c r="R541" s="1"/>
      <c r="S541" s="1"/>
      <c r="T541" s="1"/>
      <c r="U541" s="2"/>
      <c r="V541" s="1"/>
      <c r="W541" s="1"/>
      <c r="X541" s="1"/>
      <c r="Y541" s="1"/>
      <c r="Z541" s="1"/>
    </row>
    <row r="542" spans="1:26" ht="39.75" customHeight="1">
      <c r="A542" s="1"/>
      <c r="B542" s="1"/>
      <c r="C542" s="1"/>
      <c r="D542" s="1"/>
      <c r="E542" s="1"/>
      <c r="F542" s="1"/>
      <c r="G542" s="1"/>
      <c r="H542" s="1"/>
      <c r="I542" s="1"/>
      <c r="J542" s="1"/>
      <c r="K542" s="1"/>
      <c r="L542" s="1"/>
      <c r="M542" s="1"/>
      <c r="N542" s="1"/>
      <c r="O542" s="1"/>
      <c r="P542" s="1"/>
      <c r="Q542" s="1"/>
      <c r="R542" s="1"/>
      <c r="S542" s="1"/>
      <c r="T542" s="1"/>
      <c r="U542" s="2"/>
      <c r="V542" s="1"/>
      <c r="W542" s="1"/>
      <c r="X542" s="1"/>
      <c r="Y542" s="1"/>
      <c r="Z542" s="1"/>
    </row>
    <row r="543" spans="1:26" ht="39.75" customHeight="1">
      <c r="A543" s="1"/>
      <c r="B543" s="1"/>
      <c r="C543" s="1"/>
      <c r="D543" s="1"/>
      <c r="E543" s="1"/>
      <c r="F543" s="1"/>
      <c r="G543" s="1"/>
      <c r="H543" s="1"/>
      <c r="I543" s="1"/>
      <c r="J543" s="1"/>
      <c r="K543" s="1"/>
      <c r="L543" s="1"/>
      <c r="M543" s="1"/>
      <c r="N543" s="1"/>
      <c r="O543" s="1"/>
      <c r="P543" s="1"/>
      <c r="Q543" s="1"/>
      <c r="R543" s="1"/>
      <c r="S543" s="1"/>
      <c r="T543" s="1"/>
      <c r="U543" s="2"/>
      <c r="V543" s="1"/>
      <c r="W543" s="1"/>
      <c r="X543" s="1"/>
      <c r="Y543" s="1"/>
      <c r="Z543" s="1"/>
    </row>
    <row r="544" spans="1:26" ht="39.75" customHeight="1">
      <c r="A544" s="1"/>
      <c r="B544" s="1"/>
      <c r="C544" s="1"/>
      <c r="D544" s="1"/>
      <c r="E544" s="1"/>
      <c r="F544" s="1"/>
      <c r="G544" s="1"/>
      <c r="H544" s="1"/>
      <c r="I544" s="1"/>
      <c r="J544" s="1"/>
      <c r="K544" s="1"/>
      <c r="L544" s="1"/>
      <c r="M544" s="1"/>
      <c r="N544" s="1"/>
      <c r="O544" s="1"/>
      <c r="P544" s="1"/>
      <c r="Q544" s="1"/>
      <c r="R544" s="1"/>
      <c r="S544" s="1"/>
      <c r="T544" s="1"/>
      <c r="U544" s="2"/>
      <c r="V544" s="1"/>
      <c r="W544" s="1"/>
      <c r="X544" s="1"/>
      <c r="Y544" s="1"/>
      <c r="Z544" s="1"/>
    </row>
    <row r="545" spans="1:26" ht="39.75" customHeight="1">
      <c r="A545" s="1"/>
      <c r="B545" s="1"/>
      <c r="C545" s="1"/>
      <c r="D545" s="1"/>
      <c r="E545" s="1"/>
      <c r="F545" s="1"/>
      <c r="G545" s="1"/>
      <c r="H545" s="1"/>
      <c r="I545" s="1"/>
      <c r="J545" s="1"/>
      <c r="K545" s="1"/>
      <c r="L545" s="1"/>
      <c r="M545" s="1"/>
      <c r="N545" s="1"/>
      <c r="O545" s="1"/>
      <c r="P545" s="1"/>
      <c r="Q545" s="1"/>
      <c r="R545" s="1"/>
      <c r="S545" s="1"/>
      <c r="T545" s="1"/>
      <c r="U545" s="2"/>
      <c r="V545" s="1"/>
      <c r="W545" s="1"/>
      <c r="X545" s="1"/>
      <c r="Y545" s="1"/>
      <c r="Z545" s="1"/>
    </row>
    <row r="546" spans="1:26" ht="39.75" customHeight="1">
      <c r="A546" s="1"/>
      <c r="B546" s="1"/>
      <c r="C546" s="1"/>
      <c r="D546" s="1"/>
      <c r="E546" s="1"/>
      <c r="F546" s="1"/>
      <c r="G546" s="1"/>
      <c r="H546" s="1"/>
      <c r="I546" s="1"/>
      <c r="J546" s="1"/>
      <c r="K546" s="1"/>
      <c r="L546" s="1"/>
      <c r="M546" s="1"/>
      <c r="N546" s="1"/>
      <c r="O546" s="1"/>
      <c r="P546" s="1"/>
      <c r="Q546" s="1"/>
      <c r="R546" s="1"/>
      <c r="S546" s="1"/>
      <c r="T546" s="1"/>
      <c r="U546" s="2"/>
      <c r="V546" s="1"/>
      <c r="W546" s="1"/>
      <c r="X546" s="1"/>
      <c r="Y546" s="1"/>
      <c r="Z546" s="1"/>
    </row>
    <row r="547" spans="1:26" ht="39.75" customHeight="1">
      <c r="A547" s="1"/>
      <c r="B547" s="1"/>
      <c r="C547" s="1"/>
      <c r="D547" s="1"/>
      <c r="E547" s="1"/>
      <c r="F547" s="1"/>
      <c r="G547" s="1"/>
      <c r="H547" s="1"/>
      <c r="I547" s="1"/>
      <c r="J547" s="1"/>
      <c r="K547" s="1"/>
      <c r="L547" s="1"/>
      <c r="M547" s="1"/>
      <c r="N547" s="1"/>
      <c r="O547" s="1"/>
      <c r="P547" s="1"/>
      <c r="Q547" s="1"/>
      <c r="R547" s="1"/>
      <c r="S547" s="1"/>
      <c r="T547" s="1"/>
      <c r="U547" s="2"/>
      <c r="V547" s="1"/>
      <c r="W547" s="1"/>
      <c r="X547" s="1"/>
      <c r="Y547" s="1"/>
      <c r="Z547" s="1"/>
    </row>
    <row r="548" spans="1:26" ht="39.75" customHeight="1">
      <c r="A548" s="1"/>
      <c r="B548" s="1"/>
      <c r="C548" s="1"/>
      <c r="D548" s="1"/>
      <c r="E548" s="1"/>
      <c r="F548" s="1"/>
      <c r="G548" s="1"/>
      <c r="H548" s="1"/>
      <c r="I548" s="1"/>
      <c r="J548" s="1"/>
      <c r="K548" s="1"/>
      <c r="L548" s="1"/>
      <c r="M548" s="1"/>
      <c r="N548" s="1"/>
      <c r="O548" s="1"/>
      <c r="P548" s="1"/>
      <c r="Q548" s="1"/>
      <c r="R548" s="1"/>
      <c r="S548" s="1"/>
      <c r="T548" s="1"/>
      <c r="U548" s="2"/>
      <c r="V548" s="1"/>
      <c r="W548" s="1"/>
      <c r="X548" s="1"/>
      <c r="Y548" s="1"/>
      <c r="Z548" s="1"/>
    </row>
    <row r="549" spans="1:26" ht="39.75" customHeight="1">
      <c r="A549" s="1"/>
      <c r="B549" s="1"/>
      <c r="C549" s="1"/>
      <c r="D549" s="1"/>
      <c r="E549" s="1"/>
      <c r="F549" s="1"/>
      <c r="G549" s="1"/>
      <c r="H549" s="1"/>
      <c r="I549" s="1"/>
      <c r="J549" s="1"/>
      <c r="K549" s="1"/>
      <c r="L549" s="1"/>
      <c r="M549" s="1"/>
      <c r="N549" s="1"/>
      <c r="O549" s="1"/>
      <c r="P549" s="1"/>
      <c r="Q549" s="1"/>
      <c r="R549" s="1"/>
      <c r="S549" s="1"/>
      <c r="T549" s="1"/>
      <c r="U549" s="2"/>
      <c r="V549" s="1"/>
      <c r="W549" s="1"/>
      <c r="X549" s="1"/>
      <c r="Y549" s="1"/>
      <c r="Z549" s="1"/>
    </row>
    <row r="550" spans="1:26" ht="39.75" customHeight="1">
      <c r="A550" s="1"/>
      <c r="B550" s="1"/>
      <c r="C550" s="1"/>
      <c r="D550" s="1"/>
      <c r="E550" s="1"/>
      <c r="F550" s="1"/>
      <c r="G550" s="1"/>
      <c r="H550" s="1"/>
      <c r="I550" s="1"/>
      <c r="J550" s="1"/>
      <c r="K550" s="1"/>
      <c r="L550" s="1"/>
      <c r="M550" s="1"/>
      <c r="N550" s="1"/>
      <c r="O550" s="1"/>
      <c r="P550" s="1"/>
      <c r="Q550" s="1"/>
      <c r="R550" s="1"/>
      <c r="S550" s="1"/>
      <c r="T550" s="1"/>
      <c r="U550" s="2"/>
      <c r="V550" s="1"/>
      <c r="W550" s="1"/>
      <c r="X550" s="1"/>
      <c r="Y550" s="1"/>
      <c r="Z550" s="1"/>
    </row>
    <row r="551" spans="1:26" ht="39.75" customHeight="1">
      <c r="A551" s="1"/>
      <c r="B551" s="1"/>
      <c r="C551" s="1"/>
      <c r="D551" s="1"/>
      <c r="E551" s="1"/>
      <c r="F551" s="1"/>
      <c r="G551" s="1"/>
      <c r="H551" s="1"/>
      <c r="I551" s="1"/>
      <c r="J551" s="1"/>
      <c r="K551" s="1"/>
      <c r="L551" s="1"/>
      <c r="M551" s="1"/>
      <c r="N551" s="1"/>
      <c r="O551" s="1"/>
      <c r="P551" s="1"/>
      <c r="Q551" s="1"/>
      <c r="R551" s="1"/>
      <c r="S551" s="1"/>
      <c r="T551" s="1"/>
      <c r="U551" s="2"/>
      <c r="V551" s="1"/>
      <c r="W551" s="1"/>
      <c r="X551" s="1"/>
      <c r="Y551" s="1"/>
      <c r="Z551" s="1"/>
    </row>
    <row r="552" spans="1:26" ht="39.75" customHeight="1">
      <c r="A552" s="1"/>
      <c r="B552" s="1"/>
      <c r="C552" s="1"/>
      <c r="D552" s="1"/>
      <c r="E552" s="1"/>
      <c r="F552" s="1"/>
      <c r="G552" s="1"/>
      <c r="H552" s="1"/>
      <c r="I552" s="1"/>
      <c r="J552" s="1"/>
      <c r="K552" s="1"/>
      <c r="L552" s="1"/>
      <c r="M552" s="1"/>
      <c r="N552" s="1"/>
      <c r="O552" s="1"/>
      <c r="P552" s="1"/>
      <c r="Q552" s="1"/>
      <c r="R552" s="1"/>
      <c r="S552" s="1"/>
      <c r="T552" s="1"/>
      <c r="U552" s="2"/>
      <c r="V552" s="1"/>
      <c r="W552" s="1"/>
      <c r="X552" s="1"/>
      <c r="Y552" s="1"/>
      <c r="Z552" s="1"/>
    </row>
    <row r="553" spans="1:26" ht="39.75" customHeight="1">
      <c r="A553" s="1"/>
      <c r="B553" s="1"/>
      <c r="C553" s="1"/>
      <c r="D553" s="1"/>
      <c r="E553" s="1"/>
      <c r="F553" s="1"/>
      <c r="G553" s="1"/>
      <c r="H553" s="1"/>
      <c r="I553" s="1"/>
      <c r="J553" s="1"/>
      <c r="K553" s="1"/>
      <c r="L553" s="1"/>
      <c r="M553" s="1"/>
      <c r="N553" s="1"/>
      <c r="O553" s="1"/>
      <c r="P553" s="1"/>
      <c r="Q553" s="1"/>
      <c r="R553" s="1"/>
      <c r="S553" s="1"/>
      <c r="T553" s="1"/>
      <c r="U553" s="2"/>
      <c r="V553" s="1"/>
      <c r="W553" s="1"/>
      <c r="X553" s="1"/>
      <c r="Y553" s="1"/>
      <c r="Z553" s="1"/>
    </row>
    <row r="554" spans="1:26" ht="39.75" customHeight="1">
      <c r="A554" s="1"/>
      <c r="B554" s="1"/>
      <c r="C554" s="1"/>
      <c r="D554" s="1"/>
      <c r="E554" s="1"/>
      <c r="F554" s="1"/>
      <c r="G554" s="1"/>
      <c r="H554" s="1"/>
      <c r="I554" s="1"/>
      <c r="J554" s="1"/>
      <c r="K554" s="1"/>
      <c r="L554" s="1"/>
      <c r="M554" s="1"/>
      <c r="N554" s="1"/>
      <c r="O554" s="1"/>
      <c r="P554" s="1"/>
      <c r="Q554" s="1"/>
      <c r="R554" s="1"/>
      <c r="S554" s="1"/>
      <c r="T554" s="1"/>
      <c r="U554" s="2"/>
      <c r="V554" s="1"/>
      <c r="W554" s="1"/>
      <c r="X554" s="1"/>
      <c r="Y554" s="1"/>
      <c r="Z554" s="1"/>
    </row>
    <row r="555" spans="1:26" ht="39.75" customHeight="1">
      <c r="A555" s="1"/>
      <c r="B555" s="1"/>
      <c r="C555" s="1"/>
      <c r="D555" s="1"/>
      <c r="E555" s="1"/>
      <c r="F555" s="1"/>
      <c r="G555" s="1"/>
      <c r="H555" s="1"/>
      <c r="I555" s="1"/>
      <c r="J555" s="1"/>
      <c r="K555" s="1"/>
      <c r="L555" s="1"/>
      <c r="M555" s="1"/>
      <c r="N555" s="1"/>
      <c r="O555" s="1"/>
      <c r="P555" s="1"/>
      <c r="Q555" s="1"/>
      <c r="R555" s="1"/>
      <c r="S555" s="1"/>
      <c r="T555" s="1"/>
      <c r="U555" s="2"/>
      <c r="V555" s="1"/>
      <c r="W555" s="1"/>
      <c r="X555" s="1"/>
      <c r="Y555" s="1"/>
      <c r="Z555" s="1"/>
    </row>
    <row r="556" spans="1:26" ht="39.75" customHeight="1">
      <c r="A556" s="1"/>
      <c r="B556" s="1"/>
      <c r="C556" s="1"/>
      <c r="D556" s="1"/>
      <c r="E556" s="1"/>
      <c r="F556" s="1"/>
      <c r="G556" s="1"/>
      <c r="H556" s="1"/>
      <c r="I556" s="1"/>
      <c r="J556" s="1"/>
      <c r="K556" s="1"/>
      <c r="L556" s="1"/>
      <c r="M556" s="1"/>
      <c r="N556" s="1"/>
      <c r="O556" s="1"/>
      <c r="P556" s="1"/>
      <c r="Q556" s="1"/>
      <c r="R556" s="1"/>
      <c r="S556" s="1"/>
      <c r="T556" s="1"/>
      <c r="U556" s="2"/>
      <c r="V556" s="1"/>
      <c r="W556" s="1"/>
      <c r="X556" s="1"/>
      <c r="Y556" s="1"/>
      <c r="Z556" s="1"/>
    </row>
    <row r="557" spans="1:26" ht="39.75" customHeight="1">
      <c r="A557" s="1"/>
      <c r="B557" s="1"/>
      <c r="C557" s="1"/>
      <c r="D557" s="1"/>
      <c r="E557" s="1"/>
      <c r="F557" s="1"/>
      <c r="G557" s="1"/>
      <c r="H557" s="1"/>
      <c r="I557" s="1"/>
      <c r="J557" s="1"/>
      <c r="K557" s="1"/>
      <c r="L557" s="1"/>
      <c r="M557" s="1"/>
      <c r="N557" s="1"/>
      <c r="O557" s="1"/>
      <c r="P557" s="1"/>
      <c r="Q557" s="1"/>
      <c r="R557" s="1"/>
      <c r="S557" s="1"/>
      <c r="T557" s="1"/>
      <c r="U557" s="2"/>
      <c r="V557" s="1"/>
      <c r="W557" s="1"/>
      <c r="X557" s="1"/>
      <c r="Y557" s="1"/>
      <c r="Z557" s="1"/>
    </row>
    <row r="558" spans="1:26" ht="39.75" customHeight="1">
      <c r="A558" s="1"/>
      <c r="B558" s="1"/>
      <c r="C558" s="1"/>
      <c r="D558" s="1"/>
      <c r="E558" s="1"/>
      <c r="F558" s="1"/>
      <c r="G558" s="1"/>
      <c r="H558" s="1"/>
      <c r="I558" s="1"/>
      <c r="J558" s="1"/>
      <c r="K558" s="1"/>
      <c r="L558" s="1"/>
      <c r="M558" s="1"/>
      <c r="N558" s="1"/>
      <c r="O558" s="1"/>
      <c r="P558" s="1"/>
      <c r="Q558" s="1"/>
      <c r="R558" s="1"/>
      <c r="S558" s="1"/>
      <c r="T558" s="1"/>
      <c r="U558" s="2"/>
      <c r="V558" s="1"/>
      <c r="W558" s="1"/>
      <c r="X558" s="1"/>
      <c r="Y558" s="1"/>
      <c r="Z558" s="1"/>
    </row>
    <row r="559" spans="1:26" ht="39.75" customHeight="1">
      <c r="A559" s="1"/>
      <c r="B559" s="1"/>
      <c r="C559" s="1"/>
      <c r="D559" s="1"/>
      <c r="E559" s="1"/>
      <c r="F559" s="1"/>
      <c r="G559" s="1"/>
      <c r="H559" s="1"/>
      <c r="I559" s="1"/>
      <c r="J559" s="1"/>
      <c r="K559" s="1"/>
      <c r="L559" s="1"/>
      <c r="M559" s="1"/>
      <c r="N559" s="1"/>
      <c r="O559" s="1"/>
      <c r="P559" s="1"/>
      <c r="Q559" s="1"/>
      <c r="R559" s="1"/>
      <c r="S559" s="1"/>
      <c r="T559" s="1"/>
      <c r="U559" s="2"/>
      <c r="V559" s="1"/>
      <c r="W559" s="1"/>
      <c r="X559" s="1"/>
      <c r="Y559" s="1"/>
      <c r="Z559" s="1"/>
    </row>
    <row r="560" spans="1:26" ht="39.75" customHeight="1">
      <c r="A560" s="1"/>
      <c r="B560" s="1"/>
      <c r="C560" s="1"/>
      <c r="D560" s="1"/>
      <c r="E560" s="1"/>
      <c r="F560" s="1"/>
      <c r="G560" s="1"/>
      <c r="H560" s="1"/>
      <c r="I560" s="1"/>
      <c r="J560" s="1"/>
      <c r="K560" s="1"/>
      <c r="L560" s="1"/>
      <c r="M560" s="1"/>
      <c r="N560" s="1"/>
      <c r="O560" s="1"/>
      <c r="P560" s="1"/>
      <c r="Q560" s="1"/>
      <c r="R560" s="1"/>
      <c r="S560" s="1"/>
      <c r="T560" s="1"/>
      <c r="U560" s="2"/>
      <c r="V560" s="1"/>
      <c r="W560" s="1"/>
      <c r="X560" s="1"/>
      <c r="Y560" s="1"/>
      <c r="Z560" s="1"/>
    </row>
    <row r="561" spans="1:26" ht="39.75" customHeight="1">
      <c r="A561" s="1"/>
      <c r="B561" s="1"/>
      <c r="C561" s="1"/>
      <c r="D561" s="1"/>
      <c r="E561" s="1"/>
      <c r="F561" s="1"/>
      <c r="G561" s="1"/>
      <c r="H561" s="1"/>
      <c r="I561" s="1"/>
      <c r="J561" s="1"/>
      <c r="K561" s="1"/>
      <c r="L561" s="1"/>
      <c r="M561" s="1"/>
      <c r="N561" s="1"/>
      <c r="O561" s="1"/>
      <c r="P561" s="1"/>
      <c r="Q561" s="1"/>
      <c r="R561" s="1"/>
      <c r="S561" s="1"/>
      <c r="T561" s="1"/>
      <c r="U561" s="2"/>
      <c r="V561" s="1"/>
      <c r="W561" s="1"/>
      <c r="X561" s="1"/>
      <c r="Y561" s="1"/>
      <c r="Z561" s="1"/>
    </row>
    <row r="562" spans="1:26" ht="39.75" customHeight="1">
      <c r="A562" s="1"/>
      <c r="B562" s="1"/>
      <c r="C562" s="1"/>
      <c r="D562" s="1"/>
      <c r="E562" s="1"/>
      <c r="F562" s="1"/>
      <c r="G562" s="1"/>
      <c r="H562" s="1"/>
      <c r="I562" s="1"/>
      <c r="J562" s="1"/>
      <c r="K562" s="1"/>
      <c r="L562" s="1"/>
      <c r="M562" s="1"/>
      <c r="N562" s="1"/>
      <c r="O562" s="1"/>
      <c r="P562" s="1"/>
      <c r="Q562" s="1"/>
      <c r="R562" s="1"/>
      <c r="S562" s="1"/>
      <c r="T562" s="1"/>
      <c r="U562" s="2"/>
      <c r="V562" s="1"/>
      <c r="W562" s="1"/>
      <c r="X562" s="1"/>
      <c r="Y562" s="1"/>
      <c r="Z562" s="1"/>
    </row>
    <row r="563" spans="1:26" ht="39.75" customHeight="1">
      <c r="A563" s="1"/>
      <c r="B563" s="1"/>
      <c r="C563" s="1"/>
      <c r="D563" s="1"/>
      <c r="E563" s="1"/>
      <c r="F563" s="1"/>
      <c r="G563" s="1"/>
      <c r="H563" s="1"/>
      <c r="I563" s="1"/>
      <c r="J563" s="1"/>
      <c r="K563" s="1"/>
      <c r="L563" s="1"/>
      <c r="M563" s="1"/>
      <c r="N563" s="1"/>
      <c r="O563" s="1"/>
      <c r="P563" s="1"/>
      <c r="Q563" s="1"/>
      <c r="R563" s="1"/>
      <c r="S563" s="1"/>
      <c r="T563" s="1"/>
      <c r="U563" s="2"/>
      <c r="V563" s="1"/>
      <c r="W563" s="1"/>
      <c r="X563" s="1"/>
      <c r="Y563" s="1"/>
      <c r="Z563" s="1"/>
    </row>
    <row r="564" spans="1:26" ht="39.75" customHeight="1">
      <c r="A564" s="1"/>
      <c r="B564" s="1"/>
      <c r="C564" s="1"/>
      <c r="D564" s="1"/>
      <c r="E564" s="1"/>
      <c r="F564" s="1"/>
      <c r="G564" s="1"/>
      <c r="H564" s="1"/>
      <c r="I564" s="1"/>
      <c r="J564" s="1"/>
      <c r="K564" s="1"/>
      <c r="L564" s="1"/>
      <c r="M564" s="1"/>
      <c r="N564" s="1"/>
      <c r="O564" s="1"/>
      <c r="P564" s="1"/>
      <c r="Q564" s="1"/>
      <c r="R564" s="1"/>
      <c r="S564" s="1"/>
      <c r="T564" s="1"/>
      <c r="U564" s="2"/>
      <c r="V564" s="1"/>
      <c r="W564" s="1"/>
      <c r="X564" s="1"/>
      <c r="Y564" s="1"/>
      <c r="Z564" s="1"/>
    </row>
    <row r="565" spans="1:26" ht="39.75" customHeight="1">
      <c r="A565" s="1"/>
      <c r="B565" s="1"/>
      <c r="C565" s="1"/>
      <c r="D565" s="1"/>
      <c r="E565" s="1"/>
      <c r="F565" s="1"/>
      <c r="G565" s="1"/>
      <c r="H565" s="1"/>
      <c r="I565" s="1"/>
      <c r="J565" s="1"/>
      <c r="K565" s="1"/>
      <c r="L565" s="1"/>
      <c r="M565" s="1"/>
      <c r="N565" s="1"/>
      <c r="O565" s="1"/>
      <c r="P565" s="1"/>
      <c r="Q565" s="1"/>
      <c r="R565" s="1"/>
      <c r="S565" s="1"/>
      <c r="T565" s="1"/>
      <c r="U565" s="2"/>
      <c r="V565" s="1"/>
      <c r="W565" s="1"/>
      <c r="X565" s="1"/>
      <c r="Y565" s="1"/>
      <c r="Z565" s="1"/>
    </row>
    <row r="566" spans="1:26" ht="39.75" customHeight="1">
      <c r="A566" s="1"/>
      <c r="B566" s="1"/>
      <c r="C566" s="1"/>
      <c r="D566" s="1"/>
      <c r="E566" s="1"/>
      <c r="F566" s="1"/>
      <c r="G566" s="1"/>
      <c r="H566" s="1"/>
      <c r="I566" s="1"/>
      <c r="J566" s="1"/>
      <c r="K566" s="1"/>
      <c r="L566" s="1"/>
      <c r="M566" s="1"/>
      <c r="N566" s="1"/>
      <c r="O566" s="1"/>
      <c r="P566" s="1"/>
      <c r="Q566" s="1"/>
      <c r="R566" s="1"/>
      <c r="S566" s="1"/>
      <c r="T566" s="1"/>
      <c r="U566" s="2"/>
      <c r="V566" s="1"/>
      <c r="W566" s="1"/>
      <c r="X566" s="1"/>
      <c r="Y566" s="1"/>
      <c r="Z566" s="1"/>
    </row>
    <row r="567" spans="1:26" ht="39.75" customHeight="1">
      <c r="A567" s="1"/>
      <c r="B567" s="1"/>
      <c r="C567" s="1"/>
      <c r="D567" s="1"/>
      <c r="E567" s="1"/>
      <c r="F567" s="1"/>
      <c r="G567" s="1"/>
      <c r="H567" s="1"/>
      <c r="I567" s="1"/>
      <c r="J567" s="1"/>
      <c r="K567" s="1"/>
      <c r="L567" s="1"/>
      <c r="M567" s="1"/>
      <c r="N567" s="1"/>
      <c r="O567" s="1"/>
      <c r="P567" s="1"/>
      <c r="Q567" s="1"/>
      <c r="R567" s="1"/>
      <c r="S567" s="1"/>
      <c r="T567" s="1"/>
      <c r="U567" s="2"/>
      <c r="V567" s="1"/>
      <c r="W567" s="1"/>
      <c r="X567" s="1"/>
      <c r="Y567" s="1"/>
      <c r="Z567" s="1"/>
    </row>
    <row r="568" spans="1:26" ht="39.75" customHeight="1">
      <c r="A568" s="1"/>
      <c r="B568" s="1"/>
      <c r="C568" s="1"/>
      <c r="D568" s="1"/>
      <c r="E568" s="1"/>
      <c r="F568" s="1"/>
      <c r="G568" s="1"/>
      <c r="H568" s="1"/>
      <c r="I568" s="1"/>
      <c r="J568" s="1"/>
      <c r="K568" s="1"/>
      <c r="L568" s="1"/>
      <c r="M568" s="1"/>
      <c r="N568" s="1"/>
      <c r="O568" s="1"/>
      <c r="P568" s="1"/>
      <c r="Q568" s="1"/>
      <c r="R568" s="1"/>
      <c r="S568" s="1"/>
      <c r="T568" s="1"/>
      <c r="U568" s="2"/>
      <c r="V568" s="1"/>
      <c r="W568" s="1"/>
      <c r="X568" s="1"/>
      <c r="Y568" s="1"/>
      <c r="Z568" s="1"/>
    </row>
    <row r="569" spans="1:26" ht="39.75" customHeight="1">
      <c r="A569" s="1"/>
      <c r="B569" s="1"/>
      <c r="C569" s="1"/>
      <c r="D569" s="1"/>
      <c r="E569" s="1"/>
      <c r="F569" s="1"/>
      <c r="G569" s="1"/>
      <c r="H569" s="1"/>
      <c r="I569" s="1"/>
      <c r="J569" s="1"/>
      <c r="K569" s="1"/>
      <c r="L569" s="1"/>
      <c r="M569" s="1"/>
      <c r="N569" s="1"/>
      <c r="O569" s="1"/>
      <c r="P569" s="1"/>
      <c r="Q569" s="1"/>
      <c r="R569" s="1"/>
      <c r="S569" s="1"/>
      <c r="T569" s="1"/>
      <c r="U569" s="2"/>
      <c r="V569" s="1"/>
      <c r="W569" s="1"/>
      <c r="X569" s="1"/>
      <c r="Y569" s="1"/>
      <c r="Z569" s="1"/>
    </row>
    <row r="570" spans="1:26" ht="39.75" customHeight="1">
      <c r="A570" s="1"/>
      <c r="B570" s="1"/>
      <c r="C570" s="1"/>
      <c r="D570" s="1"/>
      <c r="E570" s="1"/>
      <c r="F570" s="1"/>
      <c r="G570" s="1"/>
      <c r="H570" s="1"/>
      <c r="I570" s="1"/>
      <c r="J570" s="1"/>
      <c r="K570" s="1"/>
      <c r="L570" s="1"/>
      <c r="M570" s="1"/>
      <c r="N570" s="1"/>
      <c r="O570" s="1"/>
      <c r="P570" s="1"/>
      <c r="Q570" s="1"/>
      <c r="R570" s="1"/>
      <c r="S570" s="1"/>
      <c r="T570" s="1"/>
      <c r="U570" s="2"/>
      <c r="V570" s="1"/>
      <c r="W570" s="1"/>
      <c r="X570" s="1"/>
      <c r="Y570" s="1"/>
      <c r="Z570" s="1"/>
    </row>
    <row r="571" spans="1:26" ht="39.75" customHeight="1">
      <c r="A571" s="1"/>
      <c r="B571" s="1"/>
      <c r="C571" s="1"/>
      <c r="D571" s="1"/>
      <c r="E571" s="1"/>
      <c r="F571" s="1"/>
      <c r="G571" s="1"/>
      <c r="H571" s="1"/>
      <c r="I571" s="1"/>
      <c r="J571" s="1"/>
      <c r="K571" s="1"/>
      <c r="L571" s="1"/>
      <c r="M571" s="1"/>
      <c r="N571" s="1"/>
      <c r="O571" s="1"/>
      <c r="P571" s="1"/>
      <c r="Q571" s="1"/>
      <c r="R571" s="1"/>
      <c r="S571" s="1"/>
      <c r="T571" s="1"/>
      <c r="U571" s="2"/>
      <c r="V571" s="1"/>
      <c r="W571" s="1"/>
      <c r="X571" s="1"/>
      <c r="Y571" s="1"/>
      <c r="Z571" s="1"/>
    </row>
    <row r="572" spans="1:26" ht="39.75" customHeight="1">
      <c r="A572" s="1"/>
      <c r="B572" s="1"/>
      <c r="C572" s="1"/>
      <c r="D572" s="1"/>
      <c r="E572" s="1"/>
      <c r="F572" s="1"/>
      <c r="G572" s="1"/>
      <c r="H572" s="1"/>
      <c r="I572" s="1"/>
      <c r="J572" s="1"/>
      <c r="K572" s="1"/>
      <c r="L572" s="1"/>
      <c r="M572" s="1"/>
      <c r="N572" s="1"/>
      <c r="O572" s="1"/>
      <c r="P572" s="1"/>
      <c r="Q572" s="1"/>
      <c r="R572" s="1"/>
      <c r="S572" s="1"/>
      <c r="T572" s="1"/>
      <c r="U572" s="2"/>
      <c r="V572" s="1"/>
      <c r="W572" s="1"/>
      <c r="X572" s="1"/>
      <c r="Y572" s="1"/>
      <c r="Z572" s="1"/>
    </row>
    <row r="573" spans="1:26" ht="39.75" customHeight="1">
      <c r="A573" s="1"/>
      <c r="B573" s="1"/>
      <c r="C573" s="1"/>
      <c r="D573" s="1"/>
      <c r="E573" s="1"/>
      <c r="F573" s="1"/>
      <c r="G573" s="1"/>
      <c r="H573" s="1"/>
      <c r="I573" s="1"/>
      <c r="J573" s="1"/>
      <c r="K573" s="1"/>
      <c r="L573" s="1"/>
      <c r="M573" s="1"/>
      <c r="N573" s="1"/>
      <c r="O573" s="1"/>
      <c r="P573" s="1"/>
      <c r="Q573" s="1"/>
      <c r="R573" s="1"/>
      <c r="S573" s="1"/>
      <c r="T573" s="1"/>
      <c r="U573" s="2"/>
      <c r="V573" s="1"/>
      <c r="W573" s="1"/>
      <c r="X573" s="1"/>
      <c r="Y573" s="1"/>
      <c r="Z573" s="1"/>
    </row>
    <row r="574" spans="1:26" ht="39.75" customHeight="1">
      <c r="A574" s="1"/>
      <c r="B574" s="1"/>
      <c r="C574" s="1"/>
      <c r="D574" s="1"/>
      <c r="E574" s="1"/>
      <c r="F574" s="1"/>
      <c r="G574" s="1"/>
      <c r="H574" s="1"/>
      <c r="I574" s="1"/>
      <c r="J574" s="1"/>
      <c r="K574" s="1"/>
      <c r="L574" s="1"/>
      <c r="M574" s="1"/>
      <c r="N574" s="1"/>
      <c r="O574" s="1"/>
      <c r="P574" s="1"/>
      <c r="Q574" s="1"/>
      <c r="R574" s="1"/>
      <c r="S574" s="1"/>
      <c r="T574" s="1"/>
      <c r="U574" s="2"/>
      <c r="V574" s="1"/>
      <c r="W574" s="1"/>
      <c r="X574" s="1"/>
      <c r="Y574" s="1"/>
      <c r="Z574" s="1"/>
    </row>
    <row r="575" spans="1:26" ht="39.75" customHeight="1">
      <c r="A575" s="1"/>
      <c r="B575" s="1"/>
      <c r="C575" s="1"/>
      <c r="D575" s="1"/>
      <c r="E575" s="1"/>
      <c r="F575" s="1"/>
      <c r="G575" s="1"/>
      <c r="H575" s="1"/>
      <c r="I575" s="1"/>
      <c r="J575" s="1"/>
      <c r="K575" s="1"/>
      <c r="L575" s="1"/>
      <c r="M575" s="1"/>
      <c r="N575" s="1"/>
      <c r="O575" s="1"/>
      <c r="P575" s="1"/>
      <c r="Q575" s="1"/>
      <c r="R575" s="1"/>
      <c r="S575" s="1"/>
      <c r="T575" s="1"/>
      <c r="U575" s="2"/>
      <c r="V575" s="1"/>
      <c r="W575" s="1"/>
      <c r="X575" s="1"/>
      <c r="Y575" s="1"/>
      <c r="Z575" s="1"/>
    </row>
    <row r="576" spans="1:26" ht="39.75" customHeight="1">
      <c r="A576" s="1"/>
      <c r="B576" s="1"/>
      <c r="C576" s="1"/>
      <c r="D576" s="1"/>
      <c r="E576" s="1"/>
      <c r="F576" s="1"/>
      <c r="G576" s="1"/>
      <c r="H576" s="1"/>
      <c r="I576" s="1"/>
      <c r="J576" s="1"/>
      <c r="K576" s="1"/>
      <c r="L576" s="1"/>
      <c r="M576" s="1"/>
      <c r="N576" s="1"/>
      <c r="O576" s="1"/>
      <c r="P576" s="1"/>
      <c r="Q576" s="1"/>
      <c r="R576" s="1"/>
      <c r="S576" s="1"/>
      <c r="T576" s="1"/>
      <c r="U576" s="2"/>
      <c r="V576" s="1"/>
      <c r="W576" s="1"/>
      <c r="X576" s="1"/>
      <c r="Y576" s="1"/>
      <c r="Z576" s="1"/>
    </row>
    <row r="577" spans="1:26" ht="39.75" customHeight="1">
      <c r="A577" s="1"/>
      <c r="B577" s="1"/>
      <c r="C577" s="1"/>
      <c r="D577" s="1"/>
      <c r="E577" s="1"/>
      <c r="F577" s="1"/>
      <c r="G577" s="1"/>
      <c r="H577" s="1"/>
      <c r="I577" s="1"/>
      <c r="J577" s="1"/>
      <c r="K577" s="1"/>
      <c r="L577" s="1"/>
      <c r="M577" s="1"/>
      <c r="N577" s="1"/>
      <c r="O577" s="1"/>
      <c r="P577" s="1"/>
      <c r="Q577" s="1"/>
      <c r="R577" s="1"/>
      <c r="S577" s="1"/>
      <c r="T577" s="1"/>
      <c r="U577" s="2"/>
      <c r="V577" s="1"/>
      <c r="W577" s="1"/>
      <c r="X577" s="1"/>
      <c r="Y577" s="1"/>
      <c r="Z577" s="1"/>
    </row>
    <row r="578" spans="1:26" ht="39.75" customHeight="1">
      <c r="A578" s="1"/>
      <c r="B578" s="1"/>
      <c r="C578" s="1"/>
      <c r="D578" s="1"/>
      <c r="E578" s="1"/>
      <c r="F578" s="1"/>
      <c r="G578" s="1"/>
      <c r="H578" s="1"/>
      <c r="I578" s="1"/>
      <c r="J578" s="1"/>
      <c r="K578" s="1"/>
      <c r="L578" s="1"/>
      <c r="M578" s="1"/>
      <c r="N578" s="1"/>
      <c r="O578" s="1"/>
      <c r="P578" s="1"/>
      <c r="Q578" s="1"/>
      <c r="R578" s="1"/>
      <c r="S578" s="1"/>
      <c r="T578" s="1"/>
      <c r="U578" s="2"/>
      <c r="V578" s="1"/>
      <c r="W578" s="1"/>
      <c r="X578" s="1"/>
      <c r="Y578" s="1"/>
      <c r="Z578" s="1"/>
    </row>
    <row r="579" spans="1:26" ht="39.75" customHeight="1">
      <c r="A579" s="1"/>
      <c r="B579" s="1"/>
      <c r="C579" s="1"/>
      <c r="D579" s="1"/>
      <c r="E579" s="1"/>
      <c r="F579" s="1"/>
      <c r="G579" s="1"/>
      <c r="H579" s="1"/>
      <c r="I579" s="1"/>
      <c r="J579" s="1"/>
      <c r="K579" s="1"/>
      <c r="L579" s="1"/>
      <c r="M579" s="1"/>
      <c r="N579" s="1"/>
      <c r="O579" s="1"/>
      <c r="P579" s="1"/>
      <c r="Q579" s="1"/>
      <c r="R579" s="1"/>
      <c r="S579" s="1"/>
      <c r="T579" s="1"/>
      <c r="U579" s="2"/>
      <c r="V579" s="1"/>
      <c r="W579" s="1"/>
      <c r="X579" s="1"/>
      <c r="Y579" s="1"/>
      <c r="Z579" s="1"/>
    </row>
    <row r="580" spans="1:26" ht="39.75" customHeight="1">
      <c r="A580" s="1"/>
      <c r="B580" s="1"/>
      <c r="C580" s="1"/>
      <c r="D580" s="1"/>
      <c r="E580" s="1"/>
      <c r="F580" s="1"/>
      <c r="G580" s="1"/>
      <c r="H580" s="1"/>
      <c r="I580" s="1"/>
      <c r="J580" s="1"/>
      <c r="K580" s="1"/>
      <c r="L580" s="1"/>
      <c r="M580" s="1"/>
      <c r="N580" s="1"/>
      <c r="O580" s="1"/>
      <c r="P580" s="1"/>
      <c r="Q580" s="1"/>
      <c r="R580" s="1"/>
      <c r="S580" s="1"/>
      <c r="T580" s="1"/>
      <c r="U580" s="2"/>
      <c r="V580" s="1"/>
      <c r="W580" s="1"/>
      <c r="X580" s="1"/>
      <c r="Y580" s="1"/>
      <c r="Z580" s="1"/>
    </row>
    <row r="581" spans="1:26" ht="39.75" customHeight="1">
      <c r="A581" s="1"/>
      <c r="B581" s="1"/>
      <c r="C581" s="1"/>
      <c r="D581" s="1"/>
      <c r="E581" s="1"/>
      <c r="F581" s="1"/>
      <c r="G581" s="1"/>
      <c r="H581" s="1"/>
      <c r="I581" s="1"/>
      <c r="J581" s="1"/>
      <c r="K581" s="1"/>
      <c r="L581" s="1"/>
      <c r="M581" s="1"/>
      <c r="N581" s="1"/>
      <c r="O581" s="1"/>
      <c r="P581" s="1"/>
      <c r="Q581" s="1"/>
      <c r="R581" s="1"/>
      <c r="S581" s="1"/>
      <c r="T581" s="1"/>
      <c r="U581" s="2"/>
      <c r="V581" s="1"/>
      <c r="W581" s="1"/>
      <c r="X581" s="1"/>
      <c r="Y581" s="1"/>
      <c r="Z581" s="1"/>
    </row>
    <row r="582" spans="1:26" ht="39.75" customHeight="1">
      <c r="A582" s="1"/>
      <c r="B582" s="1"/>
      <c r="C582" s="1"/>
      <c r="D582" s="1"/>
      <c r="E582" s="1"/>
      <c r="F582" s="1"/>
      <c r="G582" s="1"/>
      <c r="H582" s="1"/>
      <c r="I582" s="1"/>
      <c r="J582" s="1"/>
      <c r="K582" s="1"/>
      <c r="L582" s="1"/>
      <c r="M582" s="1"/>
      <c r="N582" s="1"/>
      <c r="O582" s="1"/>
      <c r="P582" s="1"/>
      <c r="Q582" s="1"/>
      <c r="R582" s="1"/>
      <c r="S582" s="1"/>
      <c r="T582" s="1"/>
      <c r="U582" s="2"/>
      <c r="V582" s="1"/>
      <c r="W582" s="1"/>
      <c r="X582" s="1"/>
      <c r="Y582" s="1"/>
      <c r="Z582" s="1"/>
    </row>
    <row r="583" spans="1:26" ht="39.75" customHeight="1">
      <c r="A583" s="1"/>
      <c r="B583" s="1"/>
      <c r="C583" s="1"/>
      <c r="D583" s="1"/>
      <c r="E583" s="1"/>
      <c r="F583" s="1"/>
      <c r="G583" s="1"/>
      <c r="H583" s="1"/>
      <c r="I583" s="1"/>
      <c r="J583" s="1"/>
      <c r="K583" s="1"/>
      <c r="L583" s="1"/>
      <c r="M583" s="1"/>
      <c r="N583" s="1"/>
      <c r="O583" s="1"/>
      <c r="P583" s="1"/>
      <c r="Q583" s="1"/>
      <c r="R583" s="1"/>
      <c r="S583" s="1"/>
      <c r="T583" s="1"/>
      <c r="U583" s="2"/>
      <c r="V583" s="1"/>
      <c r="W583" s="1"/>
      <c r="X583" s="1"/>
      <c r="Y583" s="1"/>
      <c r="Z583" s="1"/>
    </row>
    <row r="584" spans="1:26" ht="39.75" customHeight="1">
      <c r="A584" s="1"/>
      <c r="B584" s="1"/>
      <c r="C584" s="1"/>
      <c r="D584" s="1"/>
      <c r="E584" s="1"/>
      <c r="F584" s="1"/>
      <c r="G584" s="1"/>
      <c r="H584" s="1"/>
      <c r="I584" s="1"/>
      <c r="J584" s="1"/>
      <c r="K584" s="1"/>
      <c r="L584" s="1"/>
      <c r="M584" s="1"/>
      <c r="N584" s="1"/>
      <c r="O584" s="1"/>
      <c r="P584" s="1"/>
      <c r="Q584" s="1"/>
      <c r="R584" s="1"/>
      <c r="S584" s="1"/>
      <c r="T584" s="1"/>
      <c r="U584" s="2"/>
      <c r="V584" s="1"/>
      <c r="W584" s="1"/>
      <c r="X584" s="1"/>
      <c r="Y584" s="1"/>
      <c r="Z584" s="1"/>
    </row>
    <row r="585" spans="1:26" ht="39.75" customHeight="1">
      <c r="A585" s="1"/>
      <c r="B585" s="1"/>
      <c r="C585" s="1"/>
      <c r="D585" s="1"/>
      <c r="E585" s="1"/>
      <c r="F585" s="1"/>
      <c r="G585" s="1"/>
      <c r="H585" s="1"/>
      <c r="I585" s="1"/>
      <c r="J585" s="1"/>
      <c r="K585" s="1"/>
      <c r="L585" s="1"/>
      <c r="M585" s="1"/>
      <c r="N585" s="1"/>
      <c r="O585" s="1"/>
      <c r="P585" s="1"/>
      <c r="Q585" s="1"/>
      <c r="R585" s="1"/>
      <c r="S585" s="1"/>
      <c r="T585" s="1"/>
      <c r="U585" s="2"/>
      <c r="V585" s="1"/>
      <c r="W585" s="1"/>
      <c r="X585" s="1"/>
      <c r="Y585" s="1"/>
      <c r="Z585" s="1"/>
    </row>
    <row r="586" spans="1:26" ht="39.75" customHeight="1">
      <c r="A586" s="1"/>
      <c r="B586" s="1"/>
      <c r="C586" s="1"/>
      <c r="D586" s="1"/>
      <c r="E586" s="1"/>
      <c r="F586" s="1"/>
      <c r="G586" s="1"/>
      <c r="H586" s="1"/>
      <c r="I586" s="1"/>
      <c r="J586" s="1"/>
      <c r="K586" s="1"/>
      <c r="L586" s="1"/>
      <c r="M586" s="1"/>
      <c r="N586" s="1"/>
      <c r="O586" s="1"/>
      <c r="P586" s="1"/>
      <c r="Q586" s="1"/>
      <c r="R586" s="1"/>
      <c r="S586" s="1"/>
      <c r="T586" s="1"/>
      <c r="U586" s="2"/>
      <c r="V586" s="1"/>
      <c r="W586" s="1"/>
      <c r="X586" s="1"/>
      <c r="Y586" s="1"/>
      <c r="Z586" s="1"/>
    </row>
    <row r="587" spans="1:26" ht="39.75" customHeight="1">
      <c r="A587" s="1"/>
      <c r="B587" s="1"/>
      <c r="C587" s="1"/>
      <c r="D587" s="1"/>
      <c r="E587" s="1"/>
      <c r="F587" s="1"/>
      <c r="G587" s="1"/>
      <c r="H587" s="1"/>
      <c r="I587" s="1"/>
      <c r="J587" s="1"/>
      <c r="K587" s="1"/>
      <c r="L587" s="1"/>
      <c r="M587" s="1"/>
      <c r="N587" s="1"/>
      <c r="O587" s="1"/>
      <c r="P587" s="1"/>
      <c r="Q587" s="1"/>
      <c r="R587" s="1"/>
      <c r="S587" s="1"/>
      <c r="T587" s="1"/>
      <c r="U587" s="2"/>
      <c r="V587" s="1"/>
      <c r="W587" s="1"/>
      <c r="X587" s="1"/>
      <c r="Y587" s="1"/>
      <c r="Z587" s="1"/>
    </row>
    <row r="588" spans="1:26" ht="39.75" customHeight="1">
      <c r="A588" s="1"/>
      <c r="B588" s="1"/>
      <c r="C588" s="1"/>
      <c r="D588" s="1"/>
      <c r="E588" s="1"/>
      <c r="F588" s="1"/>
      <c r="G588" s="1"/>
      <c r="H588" s="1"/>
      <c r="I588" s="1"/>
      <c r="J588" s="1"/>
      <c r="K588" s="1"/>
      <c r="L588" s="1"/>
      <c r="M588" s="1"/>
      <c r="N588" s="1"/>
      <c r="O588" s="1"/>
      <c r="P588" s="1"/>
      <c r="Q588" s="1"/>
      <c r="R588" s="1"/>
      <c r="S588" s="1"/>
      <c r="T588" s="1"/>
      <c r="U588" s="2"/>
      <c r="V588" s="1"/>
      <c r="W588" s="1"/>
      <c r="X588" s="1"/>
      <c r="Y588" s="1"/>
      <c r="Z588" s="1"/>
    </row>
    <row r="589" spans="1:26" ht="39.75" customHeight="1">
      <c r="A589" s="1"/>
      <c r="B589" s="1"/>
      <c r="C589" s="1"/>
      <c r="D589" s="1"/>
      <c r="E589" s="1"/>
      <c r="F589" s="1"/>
      <c r="G589" s="1"/>
      <c r="H589" s="1"/>
      <c r="I589" s="1"/>
      <c r="J589" s="1"/>
      <c r="K589" s="1"/>
      <c r="L589" s="1"/>
      <c r="M589" s="1"/>
      <c r="N589" s="1"/>
      <c r="O589" s="1"/>
      <c r="P589" s="1"/>
      <c r="Q589" s="1"/>
      <c r="R589" s="1"/>
      <c r="S589" s="1"/>
      <c r="T589" s="1"/>
      <c r="U589" s="2"/>
      <c r="V589" s="1"/>
      <c r="W589" s="1"/>
      <c r="X589" s="1"/>
      <c r="Y589" s="1"/>
      <c r="Z589" s="1"/>
    </row>
    <row r="590" spans="1:26" ht="39.75" customHeight="1">
      <c r="A590" s="1"/>
      <c r="B590" s="1"/>
      <c r="C590" s="1"/>
      <c r="D590" s="1"/>
      <c r="E590" s="1"/>
      <c r="F590" s="1"/>
      <c r="G590" s="1"/>
      <c r="H590" s="1"/>
      <c r="I590" s="1"/>
      <c r="J590" s="1"/>
      <c r="K590" s="1"/>
      <c r="L590" s="1"/>
      <c r="M590" s="1"/>
      <c r="N590" s="1"/>
      <c r="O590" s="1"/>
      <c r="P590" s="1"/>
      <c r="Q590" s="1"/>
      <c r="R590" s="1"/>
      <c r="S590" s="1"/>
      <c r="T590" s="1"/>
      <c r="U590" s="2"/>
      <c r="V590" s="1"/>
      <c r="W590" s="1"/>
      <c r="X590" s="1"/>
      <c r="Y590" s="1"/>
      <c r="Z590" s="1"/>
    </row>
    <row r="591" spans="1:26" ht="39.75" customHeight="1">
      <c r="A591" s="1"/>
      <c r="B591" s="1"/>
      <c r="C591" s="1"/>
      <c r="D591" s="1"/>
      <c r="E591" s="1"/>
      <c r="F591" s="1"/>
      <c r="G591" s="1"/>
      <c r="H591" s="1"/>
      <c r="I591" s="1"/>
      <c r="J591" s="1"/>
      <c r="K591" s="1"/>
      <c r="L591" s="1"/>
      <c r="M591" s="1"/>
      <c r="N591" s="1"/>
      <c r="O591" s="1"/>
      <c r="P591" s="1"/>
      <c r="Q591" s="1"/>
      <c r="R591" s="1"/>
      <c r="S591" s="1"/>
      <c r="T591" s="1"/>
      <c r="U591" s="2"/>
      <c r="V591" s="1"/>
      <c r="W591" s="1"/>
      <c r="X591" s="1"/>
      <c r="Y591" s="1"/>
      <c r="Z591" s="1"/>
    </row>
    <row r="592" spans="1:26" ht="39.75" customHeight="1">
      <c r="A592" s="1"/>
      <c r="B592" s="1"/>
      <c r="C592" s="1"/>
      <c r="D592" s="1"/>
      <c r="E592" s="1"/>
      <c r="F592" s="1"/>
      <c r="G592" s="1"/>
      <c r="H592" s="1"/>
      <c r="I592" s="1"/>
      <c r="J592" s="1"/>
      <c r="K592" s="1"/>
      <c r="L592" s="1"/>
      <c r="M592" s="1"/>
      <c r="N592" s="1"/>
      <c r="O592" s="1"/>
      <c r="P592" s="1"/>
      <c r="Q592" s="1"/>
      <c r="R592" s="1"/>
      <c r="S592" s="1"/>
      <c r="T592" s="1"/>
      <c r="U592" s="2"/>
      <c r="V592" s="1"/>
      <c r="W592" s="1"/>
      <c r="X592" s="1"/>
      <c r="Y592" s="1"/>
      <c r="Z592" s="1"/>
    </row>
    <row r="593" spans="1:26" ht="39.75" customHeight="1">
      <c r="A593" s="1"/>
      <c r="B593" s="1"/>
      <c r="C593" s="1"/>
      <c r="D593" s="1"/>
      <c r="E593" s="1"/>
      <c r="F593" s="1"/>
      <c r="G593" s="1"/>
      <c r="H593" s="1"/>
      <c r="I593" s="1"/>
      <c r="J593" s="1"/>
      <c r="K593" s="1"/>
      <c r="L593" s="1"/>
      <c r="M593" s="1"/>
      <c r="N593" s="1"/>
      <c r="O593" s="1"/>
      <c r="P593" s="1"/>
      <c r="Q593" s="1"/>
      <c r="R593" s="1"/>
      <c r="S593" s="1"/>
      <c r="T593" s="1"/>
      <c r="U593" s="2"/>
      <c r="V593" s="1"/>
      <c r="W593" s="1"/>
      <c r="X593" s="1"/>
      <c r="Y593" s="1"/>
      <c r="Z593" s="1"/>
    </row>
    <row r="594" spans="1:26" ht="39.75" customHeight="1">
      <c r="A594" s="1"/>
      <c r="B594" s="1"/>
      <c r="C594" s="1"/>
      <c r="D594" s="1"/>
      <c r="E594" s="1"/>
      <c r="F594" s="1"/>
      <c r="G594" s="1"/>
      <c r="H594" s="1"/>
      <c r="I594" s="1"/>
      <c r="J594" s="1"/>
      <c r="K594" s="1"/>
      <c r="L594" s="1"/>
      <c r="M594" s="1"/>
      <c r="N594" s="1"/>
      <c r="O594" s="1"/>
      <c r="P594" s="1"/>
      <c r="Q594" s="1"/>
      <c r="R594" s="1"/>
      <c r="S594" s="1"/>
      <c r="T594" s="1"/>
      <c r="U594" s="2"/>
      <c r="V594" s="1"/>
      <c r="W594" s="1"/>
      <c r="X594" s="1"/>
      <c r="Y594" s="1"/>
      <c r="Z594" s="1"/>
    </row>
    <row r="595" spans="1:26" ht="39.75" customHeight="1">
      <c r="A595" s="1"/>
      <c r="B595" s="1"/>
      <c r="C595" s="1"/>
      <c r="D595" s="1"/>
      <c r="E595" s="1"/>
      <c r="F595" s="1"/>
      <c r="G595" s="1"/>
      <c r="H595" s="1"/>
      <c r="I595" s="1"/>
      <c r="J595" s="1"/>
      <c r="K595" s="1"/>
      <c r="L595" s="1"/>
      <c r="M595" s="1"/>
      <c r="N595" s="1"/>
      <c r="O595" s="1"/>
      <c r="P595" s="1"/>
      <c r="Q595" s="1"/>
      <c r="R595" s="1"/>
      <c r="S595" s="1"/>
      <c r="T595" s="1"/>
      <c r="U595" s="2"/>
      <c r="V595" s="1"/>
      <c r="W595" s="1"/>
      <c r="X595" s="1"/>
      <c r="Y595" s="1"/>
      <c r="Z595" s="1"/>
    </row>
    <row r="596" spans="1:26" ht="39.75" customHeight="1">
      <c r="A596" s="1"/>
      <c r="B596" s="1"/>
      <c r="C596" s="1"/>
      <c r="D596" s="1"/>
      <c r="E596" s="1"/>
      <c r="F596" s="1"/>
      <c r="G596" s="1"/>
      <c r="H596" s="1"/>
      <c r="I596" s="1"/>
      <c r="J596" s="1"/>
      <c r="K596" s="1"/>
      <c r="L596" s="1"/>
      <c r="M596" s="1"/>
      <c r="N596" s="1"/>
      <c r="O596" s="1"/>
      <c r="P596" s="1"/>
      <c r="Q596" s="1"/>
      <c r="R596" s="1"/>
      <c r="S596" s="1"/>
      <c r="T596" s="1"/>
      <c r="U596" s="2"/>
      <c r="V596" s="1"/>
      <c r="W596" s="1"/>
      <c r="X596" s="1"/>
      <c r="Y596" s="1"/>
      <c r="Z596" s="1"/>
    </row>
    <row r="597" spans="1:26" ht="39.75" customHeight="1">
      <c r="A597" s="1"/>
      <c r="B597" s="1"/>
      <c r="C597" s="1"/>
      <c r="D597" s="1"/>
      <c r="E597" s="1"/>
      <c r="F597" s="1"/>
      <c r="G597" s="1"/>
      <c r="H597" s="1"/>
      <c r="I597" s="1"/>
      <c r="J597" s="1"/>
      <c r="K597" s="1"/>
      <c r="L597" s="1"/>
      <c r="M597" s="1"/>
      <c r="N597" s="1"/>
      <c r="O597" s="1"/>
      <c r="P597" s="1"/>
      <c r="Q597" s="1"/>
      <c r="R597" s="1"/>
      <c r="S597" s="1"/>
      <c r="T597" s="1"/>
      <c r="U597" s="2"/>
      <c r="V597" s="1"/>
      <c r="W597" s="1"/>
      <c r="X597" s="1"/>
      <c r="Y597" s="1"/>
      <c r="Z597" s="1"/>
    </row>
    <row r="598" spans="1:26" ht="39.75" customHeight="1">
      <c r="A598" s="1"/>
      <c r="B598" s="1"/>
      <c r="C598" s="1"/>
      <c r="D598" s="1"/>
      <c r="E598" s="1"/>
      <c r="F598" s="1"/>
      <c r="G598" s="1"/>
      <c r="H598" s="1"/>
      <c r="I598" s="1"/>
      <c r="J598" s="1"/>
      <c r="K598" s="1"/>
      <c r="L598" s="1"/>
      <c r="M598" s="1"/>
      <c r="N598" s="1"/>
      <c r="O598" s="1"/>
      <c r="P598" s="1"/>
      <c r="Q598" s="1"/>
      <c r="R598" s="1"/>
      <c r="S598" s="1"/>
      <c r="T598" s="1"/>
      <c r="U598" s="2"/>
      <c r="V598" s="1"/>
      <c r="W598" s="1"/>
      <c r="X598" s="1"/>
      <c r="Y598" s="1"/>
      <c r="Z598" s="1"/>
    </row>
    <row r="599" spans="1:26" ht="39.75" customHeight="1">
      <c r="A599" s="1"/>
      <c r="B599" s="1"/>
      <c r="C599" s="1"/>
      <c r="D599" s="1"/>
      <c r="E599" s="1"/>
      <c r="F599" s="1"/>
      <c r="G599" s="1"/>
      <c r="H599" s="1"/>
      <c r="I599" s="1"/>
      <c r="J599" s="1"/>
      <c r="K599" s="1"/>
      <c r="L599" s="1"/>
      <c r="M599" s="1"/>
      <c r="N599" s="1"/>
      <c r="O599" s="1"/>
      <c r="P599" s="1"/>
      <c r="Q599" s="1"/>
      <c r="R599" s="1"/>
      <c r="S599" s="1"/>
      <c r="T599" s="1"/>
      <c r="U599" s="2"/>
      <c r="V599" s="1"/>
      <c r="W599" s="1"/>
      <c r="X599" s="1"/>
      <c r="Y599" s="1"/>
      <c r="Z599" s="1"/>
    </row>
    <row r="600" spans="1:26" ht="39.75" customHeight="1">
      <c r="A600" s="1"/>
      <c r="B600" s="1"/>
      <c r="C600" s="1"/>
      <c r="D600" s="1"/>
      <c r="E600" s="1"/>
      <c r="F600" s="1"/>
      <c r="G600" s="1"/>
      <c r="H600" s="1"/>
      <c r="I600" s="1"/>
      <c r="J600" s="1"/>
      <c r="K600" s="1"/>
      <c r="L600" s="1"/>
      <c r="M600" s="1"/>
      <c r="N600" s="1"/>
      <c r="O600" s="1"/>
      <c r="P600" s="1"/>
      <c r="Q600" s="1"/>
      <c r="R600" s="1"/>
      <c r="S600" s="1"/>
      <c r="T600" s="1"/>
      <c r="U600" s="2"/>
      <c r="V600" s="1"/>
      <c r="W600" s="1"/>
      <c r="X600" s="1"/>
      <c r="Y600" s="1"/>
      <c r="Z600" s="1"/>
    </row>
    <row r="601" spans="1:26" ht="39.75" customHeight="1">
      <c r="A601" s="1"/>
      <c r="B601" s="1"/>
      <c r="C601" s="1"/>
      <c r="D601" s="1"/>
      <c r="E601" s="1"/>
      <c r="F601" s="1"/>
      <c r="G601" s="1"/>
      <c r="H601" s="1"/>
      <c r="I601" s="1"/>
      <c r="J601" s="1"/>
      <c r="K601" s="1"/>
      <c r="L601" s="1"/>
      <c r="M601" s="1"/>
      <c r="N601" s="1"/>
      <c r="O601" s="1"/>
      <c r="P601" s="1"/>
      <c r="Q601" s="1"/>
      <c r="R601" s="1"/>
      <c r="S601" s="1"/>
      <c r="T601" s="1"/>
      <c r="U601" s="2"/>
      <c r="V601" s="1"/>
      <c r="W601" s="1"/>
      <c r="X601" s="1"/>
      <c r="Y601" s="1"/>
      <c r="Z601" s="1"/>
    </row>
    <row r="602" spans="1:26" ht="39.75" customHeight="1">
      <c r="A602" s="1"/>
      <c r="B602" s="1"/>
      <c r="C602" s="1"/>
      <c r="D602" s="1"/>
      <c r="E602" s="1"/>
      <c r="F602" s="1"/>
      <c r="G602" s="1"/>
      <c r="H602" s="1"/>
      <c r="I602" s="1"/>
      <c r="J602" s="1"/>
      <c r="K602" s="1"/>
      <c r="L602" s="1"/>
      <c r="M602" s="1"/>
      <c r="N602" s="1"/>
      <c r="O602" s="1"/>
      <c r="P602" s="1"/>
      <c r="Q602" s="1"/>
      <c r="R602" s="1"/>
      <c r="S602" s="1"/>
      <c r="T602" s="1"/>
      <c r="U602" s="2"/>
      <c r="V602" s="1"/>
      <c r="W602" s="1"/>
      <c r="X602" s="1"/>
      <c r="Y602" s="1"/>
      <c r="Z602" s="1"/>
    </row>
    <row r="603" spans="1:26" ht="39.75" customHeight="1">
      <c r="A603" s="1"/>
      <c r="B603" s="1"/>
      <c r="C603" s="1"/>
      <c r="D603" s="1"/>
      <c r="E603" s="1"/>
      <c r="F603" s="1"/>
      <c r="G603" s="1"/>
      <c r="H603" s="1"/>
      <c r="I603" s="1"/>
      <c r="J603" s="1"/>
      <c r="K603" s="1"/>
      <c r="L603" s="1"/>
      <c r="M603" s="1"/>
      <c r="N603" s="1"/>
      <c r="O603" s="1"/>
      <c r="P603" s="1"/>
      <c r="Q603" s="1"/>
      <c r="R603" s="1"/>
      <c r="S603" s="1"/>
      <c r="T603" s="1"/>
      <c r="U603" s="2"/>
      <c r="V603" s="1"/>
      <c r="W603" s="1"/>
      <c r="X603" s="1"/>
      <c r="Y603" s="1"/>
      <c r="Z603" s="1"/>
    </row>
    <row r="604" spans="1:26" ht="39.75" customHeight="1">
      <c r="A604" s="1"/>
      <c r="B604" s="1"/>
      <c r="C604" s="1"/>
      <c r="D604" s="1"/>
      <c r="E604" s="1"/>
      <c r="F604" s="1"/>
      <c r="G604" s="1"/>
      <c r="H604" s="1"/>
      <c r="I604" s="1"/>
      <c r="J604" s="1"/>
      <c r="K604" s="1"/>
      <c r="L604" s="1"/>
      <c r="M604" s="1"/>
      <c r="N604" s="1"/>
      <c r="O604" s="1"/>
      <c r="P604" s="1"/>
      <c r="Q604" s="1"/>
      <c r="R604" s="1"/>
      <c r="S604" s="1"/>
      <c r="T604" s="1"/>
      <c r="U604" s="2"/>
      <c r="V604" s="1"/>
      <c r="W604" s="1"/>
      <c r="X604" s="1"/>
      <c r="Y604" s="1"/>
      <c r="Z604" s="1"/>
    </row>
    <row r="605" spans="1:26" ht="39.75" customHeight="1">
      <c r="A605" s="1"/>
      <c r="B605" s="1"/>
      <c r="C605" s="1"/>
      <c r="D605" s="1"/>
      <c r="E605" s="1"/>
      <c r="F605" s="1"/>
      <c r="G605" s="1"/>
      <c r="H605" s="1"/>
      <c r="I605" s="1"/>
      <c r="J605" s="1"/>
      <c r="K605" s="1"/>
      <c r="L605" s="1"/>
      <c r="M605" s="1"/>
      <c r="N605" s="1"/>
      <c r="O605" s="1"/>
      <c r="P605" s="1"/>
      <c r="Q605" s="1"/>
      <c r="R605" s="1"/>
      <c r="S605" s="1"/>
      <c r="T605" s="1"/>
      <c r="U605" s="2"/>
      <c r="V605" s="1"/>
      <c r="W605" s="1"/>
      <c r="X605" s="1"/>
      <c r="Y605" s="1"/>
      <c r="Z605" s="1"/>
    </row>
    <row r="606" spans="1:26" ht="39.75" customHeight="1">
      <c r="A606" s="1"/>
      <c r="B606" s="1"/>
      <c r="C606" s="1"/>
      <c r="D606" s="1"/>
      <c r="E606" s="1"/>
      <c r="F606" s="1"/>
      <c r="G606" s="1"/>
      <c r="H606" s="1"/>
      <c r="I606" s="1"/>
      <c r="J606" s="1"/>
      <c r="K606" s="1"/>
      <c r="L606" s="1"/>
      <c r="M606" s="1"/>
      <c r="N606" s="1"/>
      <c r="O606" s="1"/>
      <c r="P606" s="1"/>
      <c r="Q606" s="1"/>
      <c r="R606" s="1"/>
      <c r="S606" s="1"/>
      <c r="T606" s="1"/>
      <c r="U606" s="2"/>
      <c r="V606" s="1"/>
      <c r="W606" s="1"/>
      <c r="X606" s="1"/>
      <c r="Y606" s="1"/>
      <c r="Z606" s="1"/>
    </row>
    <row r="607" spans="1:26" ht="39.75" customHeight="1">
      <c r="A607" s="1"/>
      <c r="B607" s="1"/>
      <c r="C607" s="1"/>
      <c r="D607" s="1"/>
      <c r="E607" s="1"/>
      <c r="F607" s="1"/>
      <c r="G607" s="1"/>
      <c r="H607" s="1"/>
      <c r="I607" s="1"/>
      <c r="J607" s="1"/>
      <c r="K607" s="1"/>
      <c r="L607" s="1"/>
      <c r="M607" s="1"/>
      <c r="N607" s="1"/>
      <c r="O607" s="1"/>
      <c r="P607" s="1"/>
      <c r="Q607" s="1"/>
      <c r="R607" s="1"/>
      <c r="S607" s="1"/>
      <c r="T607" s="1"/>
      <c r="U607" s="2"/>
      <c r="V607" s="1"/>
      <c r="W607" s="1"/>
      <c r="X607" s="1"/>
      <c r="Y607" s="1"/>
      <c r="Z607" s="1"/>
    </row>
    <row r="608" spans="1:26" ht="39.75" customHeight="1">
      <c r="A608" s="1"/>
      <c r="B608" s="1"/>
      <c r="C608" s="1"/>
      <c r="D608" s="1"/>
      <c r="E608" s="1"/>
      <c r="F608" s="1"/>
      <c r="G608" s="1"/>
      <c r="H608" s="1"/>
      <c r="I608" s="1"/>
      <c r="J608" s="1"/>
      <c r="K608" s="1"/>
      <c r="L608" s="1"/>
      <c r="M608" s="1"/>
      <c r="N608" s="1"/>
      <c r="O608" s="1"/>
      <c r="P608" s="1"/>
      <c r="Q608" s="1"/>
      <c r="R608" s="1"/>
      <c r="S608" s="1"/>
      <c r="T608" s="1"/>
      <c r="U608" s="2"/>
      <c r="V608" s="1"/>
      <c r="W608" s="1"/>
      <c r="X608" s="1"/>
      <c r="Y608" s="1"/>
      <c r="Z608" s="1"/>
    </row>
    <row r="609" spans="1:26" ht="39.75" customHeight="1">
      <c r="A609" s="1"/>
      <c r="B609" s="1"/>
      <c r="C609" s="1"/>
      <c r="D609" s="1"/>
      <c r="E609" s="1"/>
      <c r="F609" s="1"/>
      <c r="G609" s="1"/>
      <c r="H609" s="1"/>
      <c r="I609" s="1"/>
      <c r="J609" s="1"/>
      <c r="K609" s="1"/>
      <c r="L609" s="1"/>
      <c r="M609" s="1"/>
      <c r="N609" s="1"/>
      <c r="O609" s="1"/>
      <c r="P609" s="1"/>
      <c r="Q609" s="1"/>
      <c r="R609" s="1"/>
      <c r="S609" s="1"/>
      <c r="T609" s="1"/>
      <c r="U609" s="2"/>
      <c r="V609" s="1"/>
      <c r="W609" s="1"/>
      <c r="X609" s="1"/>
      <c r="Y609" s="1"/>
      <c r="Z609" s="1"/>
    </row>
    <row r="610" spans="1:26" ht="39.75" customHeight="1">
      <c r="A610" s="1"/>
      <c r="B610" s="1"/>
      <c r="C610" s="1"/>
      <c r="D610" s="1"/>
      <c r="E610" s="1"/>
      <c r="F610" s="1"/>
      <c r="G610" s="1"/>
      <c r="H610" s="1"/>
      <c r="I610" s="1"/>
      <c r="J610" s="1"/>
      <c r="K610" s="1"/>
      <c r="L610" s="1"/>
      <c r="M610" s="1"/>
      <c r="N610" s="1"/>
      <c r="O610" s="1"/>
      <c r="P610" s="1"/>
      <c r="Q610" s="1"/>
      <c r="R610" s="1"/>
      <c r="S610" s="1"/>
      <c r="T610" s="1"/>
      <c r="U610" s="2"/>
      <c r="V610" s="1"/>
      <c r="W610" s="1"/>
      <c r="X610" s="1"/>
      <c r="Y610" s="1"/>
      <c r="Z610" s="1"/>
    </row>
    <row r="611" spans="1:26" ht="39.75" customHeight="1">
      <c r="A611" s="1"/>
      <c r="B611" s="1"/>
      <c r="C611" s="1"/>
      <c r="D611" s="1"/>
      <c r="E611" s="1"/>
      <c r="F611" s="1"/>
      <c r="G611" s="1"/>
      <c r="H611" s="1"/>
      <c r="I611" s="1"/>
      <c r="J611" s="1"/>
      <c r="K611" s="1"/>
      <c r="L611" s="1"/>
      <c r="M611" s="1"/>
      <c r="N611" s="1"/>
      <c r="O611" s="1"/>
      <c r="P611" s="1"/>
      <c r="Q611" s="1"/>
      <c r="R611" s="1"/>
      <c r="S611" s="1"/>
      <c r="T611" s="1"/>
      <c r="U611" s="2"/>
      <c r="V611" s="1"/>
      <c r="W611" s="1"/>
      <c r="X611" s="1"/>
      <c r="Y611" s="1"/>
      <c r="Z611" s="1"/>
    </row>
    <row r="612" spans="1:26" ht="39.75" customHeight="1">
      <c r="A612" s="1"/>
      <c r="B612" s="1"/>
      <c r="C612" s="1"/>
      <c r="D612" s="1"/>
      <c r="E612" s="1"/>
      <c r="F612" s="1"/>
      <c r="G612" s="1"/>
      <c r="H612" s="1"/>
      <c r="I612" s="1"/>
      <c r="J612" s="1"/>
      <c r="K612" s="1"/>
      <c r="L612" s="1"/>
      <c r="M612" s="1"/>
      <c r="N612" s="1"/>
      <c r="O612" s="1"/>
      <c r="P612" s="1"/>
      <c r="Q612" s="1"/>
      <c r="R612" s="1"/>
      <c r="S612" s="1"/>
      <c r="T612" s="1"/>
      <c r="U612" s="2"/>
      <c r="V612" s="1"/>
      <c r="W612" s="1"/>
      <c r="X612" s="1"/>
      <c r="Y612" s="1"/>
      <c r="Z612" s="1"/>
    </row>
    <row r="613" spans="1:26" ht="39.75" customHeight="1">
      <c r="A613" s="1"/>
      <c r="B613" s="1"/>
      <c r="C613" s="1"/>
      <c r="D613" s="1"/>
      <c r="E613" s="1"/>
      <c r="F613" s="1"/>
      <c r="G613" s="1"/>
      <c r="H613" s="1"/>
      <c r="I613" s="1"/>
      <c r="J613" s="1"/>
      <c r="K613" s="1"/>
      <c r="L613" s="1"/>
      <c r="M613" s="1"/>
      <c r="N613" s="1"/>
      <c r="O613" s="1"/>
      <c r="P613" s="1"/>
      <c r="Q613" s="1"/>
      <c r="R613" s="1"/>
      <c r="S613" s="1"/>
      <c r="T613" s="1"/>
      <c r="U613" s="2"/>
      <c r="V613" s="1"/>
      <c r="W613" s="1"/>
      <c r="X613" s="1"/>
      <c r="Y613" s="1"/>
      <c r="Z613" s="1"/>
    </row>
    <row r="614" spans="1:26" ht="39.75" customHeight="1">
      <c r="A614" s="1"/>
      <c r="B614" s="1"/>
      <c r="C614" s="1"/>
      <c r="D614" s="1"/>
      <c r="E614" s="1"/>
      <c r="F614" s="1"/>
      <c r="G614" s="1"/>
      <c r="H614" s="1"/>
      <c r="I614" s="1"/>
      <c r="J614" s="1"/>
      <c r="K614" s="1"/>
      <c r="L614" s="1"/>
      <c r="M614" s="1"/>
      <c r="N614" s="1"/>
      <c r="O614" s="1"/>
      <c r="P614" s="1"/>
      <c r="Q614" s="1"/>
      <c r="R614" s="1"/>
      <c r="S614" s="1"/>
      <c r="T614" s="1"/>
      <c r="U614" s="2"/>
      <c r="V614" s="1"/>
      <c r="W614" s="1"/>
      <c r="X614" s="1"/>
      <c r="Y614" s="1"/>
      <c r="Z614" s="1"/>
    </row>
    <row r="615" spans="1:26" ht="39.75" customHeight="1">
      <c r="A615" s="1"/>
      <c r="B615" s="1"/>
      <c r="C615" s="1"/>
      <c r="D615" s="1"/>
      <c r="E615" s="1"/>
      <c r="F615" s="1"/>
      <c r="G615" s="1"/>
      <c r="H615" s="1"/>
      <c r="I615" s="1"/>
      <c r="J615" s="1"/>
      <c r="K615" s="1"/>
      <c r="L615" s="1"/>
      <c r="M615" s="1"/>
      <c r="N615" s="1"/>
      <c r="O615" s="1"/>
      <c r="P615" s="1"/>
      <c r="Q615" s="1"/>
      <c r="R615" s="1"/>
      <c r="S615" s="1"/>
      <c r="T615" s="1"/>
      <c r="U615" s="2"/>
      <c r="V615" s="1"/>
      <c r="W615" s="1"/>
      <c r="X615" s="1"/>
      <c r="Y615" s="1"/>
      <c r="Z615" s="1"/>
    </row>
    <row r="616" spans="1:26" ht="39.75" customHeight="1">
      <c r="A616" s="1"/>
      <c r="B616" s="1"/>
      <c r="C616" s="1"/>
      <c r="D616" s="1"/>
      <c r="E616" s="1"/>
      <c r="F616" s="1"/>
      <c r="G616" s="1"/>
      <c r="H616" s="1"/>
      <c r="I616" s="1"/>
      <c r="J616" s="1"/>
      <c r="K616" s="1"/>
      <c r="L616" s="1"/>
      <c r="M616" s="1"/>
      <c r="N616" s="1"/>
      <c r="O616" s="1"/>
      <c r="P616" s="1"/>
      <c r="Q616" s="1"/>
      <c r="R616" s="1"/>
      <c r="S616" s="1"/>
      <c r="T616" s="1"/>
      <c r="U616" s="2"/>
      <c r="V616" s="1"/>
      <c r="W616" s="1"/>
      <c r="X616" s="1"/>
      <c r="Y616" s="1"/>
      <c r="Z616" s="1"/>
    </row>
    <row r="617" spans="1:26" ht="39.75" customHeight="1">
      <c r="A617" s="1"/>
      <c r="B617" s="1"/>
      <c r="C617" s="1"/>
      <c r="D617" s="1"/>
      <c r="E617" s="1"/>
      <c r="F617" s="1"/>
      <c r="G617" s="1"/>
      <c r="H617" s="1"/>
      <c r="I617" s="1"/>
      <c r="J617" s="1"/>
      <c r="K617" s="1"/>
      <c r="L617" s="1"/>
      <c r="M617" s="1"/>
      <c r="N617" s="1"/>
      <c r="O617" s="1"/>
      <c r="P617" s="1"/>
      <c r="Q617" s="1"/>
      <c r="R617" s="1"/>
      <c r="S617" s="1"/>
      <c r="T617" s="1"/>
      <c r="U617" s="2"/>
      <c r="V617" s="1"/>
      <c r="W617" s="1"/>
      <c r="X617" s="1"/>
      <c r="Y617" s="1"/>
      <c r="Z617" s="1"/>
    </row>
    <row r="618" spans="1:26" ht="39.75" customHeight="1">
      <c r="A618" s="1"/>
      <c r="B618" s="1"/>
      <c r="C618" s="1"/>
      <c r="D618" s="1"/>
      <c r="E618" s="1"/>
      <c r="F618" s="1"/>
      <c r="G618" s="1"/>
      <c r="H618" s="1"/>
      <c r="I618" s="1"/>
      <c r="J618" s="1"/>
      <c r="K618" s="1"/>
      <c r="L618" s="1"/>
      <c r="M618" s="1"/>
      <c r="N618" s="1"/>
      <c r="O618" s="1"/>
      <c r="P618" s="1"/>
      <c r="Q618" s="1"/>
      <c r="R618" s="1"/>
      <c r="S618" s="1"/>
      <c r="T618" s="1"/>
      <c r="U618" s="2"/>
      <c r="V618" s="1"/>
      <c r="W618" s="1"/>
      <c r="X618" s="1"/>
      <c r="Y618" s="1"/>
      <c r="Z618" s="1"/>
    </row>
    <row r="619" spans="1:26" ht="39.75" customHeight="1">
      <c r="A619" s="1"/>
      <c r="B619" s="1"/>
      <c r="C619" s="1"/>
      <c r="D619" s="1"/>
      <c r="E619" s="1"/>
      <c r="F619" s="1"/>
      <c r="G619" s="1"/>
      <c r="H619" s="1"/>
      <c r="I619" s="1"/>
      <c r="J619" s="1"/>
      <c r="K619" s="1"/>
      <c r="L619" s="1"/>
      <c r="M619" s="1"/>
      <c r="N619" s="1"/>
      <c r="O619" s="1"/>
      <c r="P619" s="1"/>
      <c r="Q619" s="1"/>
      <c r="R619" s="1"/>
      <c r="S619" s="1"/>
      <c r="T619" s="1"/>
      <c r="U619" s="2"/>
      <c r="V619" s="1"/>
      <c r="W619" s="1"/>
      <c r="X619" s="1"/>
      <c r="Y619" s="1"/>
      <c r="Z619" s="1"/>
    </row>
    <row r="620" spans="1:26" ht="39.75" customHeight="1">
      <c r="A620" s="1"/>
      <c r="B620" s="1"/>
      <c r="C620" s="1"/>
      <c r="D620" s="1"/>
      <c r="E620" s="1"/>
      <c r="F620" s="1"/>
      <c r="G620" s="1"/>
      <c r="H620" s="1"/>
      <c r="I620" s="1"/>
      <c r="J620" s="1"/>
      <c r="K620" s="1"/>
      <c r="L620" s="1"/>
      <c r="M620" s="1"/>
      <c r="N620" s="1"/>
      <c r="O620" s="1"/>
      <c r="P620" s="1"/>
      <c r="Q620" s="1"/>
      <c r="R620" s="1"/>
      <c r="S620" s="1"/>
      <c r="T620" s="1"/>
      <c r="U620" s="2"/>
      <c r="V620" s="1"/>
      <c r="W620" s="1"/>
      <c r="X620" s="1"/>
      <c r="Y620" s="1"/>
      <c r="Z620" s="1"/>
    </row>
    <row r="621" spans="1:26" ht="39.75" customHeight="1">
      <c r="A621" s="1"/>
      <c r="B621" s="1"/>
      <c r="C621" s="1"/>
      <c r="D621" s="1"/>
      <c r="E621" s="1"/>
      <c r="F621" s="1"/>
      <c r="G621" s="1"/>
      <c r="H621" s="1"/>
      <c r="I621" s="1"/>
      <c r="J621" s="1"/>
      <c r="K621" s="1"/>
      <c r="L621" s="1"/>
      <c r="M621" s="1"/>
      <c r="N621" s="1"/>
      <c r="O621" s="1"/>
      <c r="P621" s="1"/>
      <c r="Q621" s="1"/>
      <c r="R621" s="1"/>
      <c r="S621" s="1"/>
      <c r="T621" s="1"/>
      <c r="U621" s="2"/>
      <c r="V621" s="1"/>
      <c r="W621" s="1"/>
      <c r="X621" s="1"/>
      <c r="Y621" s="1"/>
      <c r="Z621" s="1"/>
    </row>
    <row r="622" spans="1:26" ht="39.75" customHeight="1">
      <c r="A622" s="1"/>
      <c r="B622" s="1"/>
      <c r="C622" s="1"/>
      <c r="D622" s="1"/>
      <c r="E622" s="1"/>
      <c r="F622" s="1"/>
      <c r="G622" s="1"/>
      <c r="H622" s="1"/>
      <c r="I622" s="1"/>
      <c r="J622" s="1"/>
      <c r="K622" s="1"/>
      <c r="L622" s="1"/>
      <c r="M622" s="1"/>
      <c r="N622" s="1"/>
      <c r="O622" s="1"/>
      <c r="P622" s="1"/>
      <c r="Q622" s="1"/>
      <c r="R622" s="1"/>
      <c r="S622" s="1"/>
      <c r="T622" s="1"/>
      <c r="U622" s="2"/>
      <c r="V622" s="1"/>
      <c r="W622" s="1"/>
      <c r="X622" s="1"/>
      <c r="Y622" s="1"/>
      <c r="Z622" s="1"/>
    </row>
    <row r="623" spans="1:26" ht="39.75" customHeight="1">
      <c r="A623" s="1"/>
      <c r="B623" s="1"/>
      <c r="C623" s="1"/>
      <c r="D623" s="1"/>
      <c r="E623" s="1"/>
      <c r="F623" s="1"/>
      <c r="G623" s="1"/>
      <c r="H623" s="1"/>
      <c r="I623" s="1"/>
      <c r="J623" s="1"/>
      <c r="K623" s="1"/>
      <c r="L623" s="1"/>
      <c r="M623" s="1"/>
      <c r="N623" s="1"/>
      <c r="O623" s="1"/>
      <c r="P623" s="1"/>
      <c r="Q623" s="1"/>
      <c r="R623" s="1"/>
      <c r="S623" s="1"/>
      <c r="T623" s="1"/>
      <c r="U623" s="2"/>
      <c r="V623" s="1"/>
      <c r="W623" s="1"/>
      <c r="X623" s="1"/>
      <c r="Y623" s="1"/>
      <c r="Z623" s="1"/>
    </row>
    <row r="624" spans="1:26" ht="39.75" customHeight="1">
      <c r="A624" s="1"/>
      <c r="B624" s="1"/>
      <c r="C624" s="1"/>
      <c r="D624" s="1"/>
      <c r="E624" s="1"/>
      <c r="F624" s="1"/>
      <c r="G624" s="1"/>
      <c r="H624" s="1"/>
      <c r="I624" s="1"/>
      <c r="J624" s="1"/>
      <c r="K624" s="1"/>
      <c r="L624" s="1"/>
      <c r="M624" s="1"/>
      <c r="N624" s="1"/>
      <c r="O624" s="1"/>
      <c r="P624" s="1"/>
      <c r="Q624" s="1"/>
      <c r="R624" s="1"/>
      <c r="S624" s="1"/>
      <c r="T624" s="1"/>
      <c r="U624" s="2"/>
      <c r="V624" s="1"/>
      <c r="W624" s="1"/>
      <c r="X624" s="1"/>
      <c r="Y624" s="1"/>
      <c r="Z624" s="1"/>
    </row>
    <row r="625" spans="1:26" ht="39.75" customHeight="1">
      <c r="A625" s="1"/>
      <c r="B625" s="1"/>
      <c r="C625" s="1"/>
      <c r="D625" s="1"/>
      <c r="E625" s="1"/>
      <c r="F625" s="1"/>
      <c r="G625" s="1"/>
      <c r="H625" s="1"/>
      <c r="I625" s="1"/>
      <c r="J625" s="1"/>
      <c r="K625" s="1"/>
      <c r="L625" s="1"/>
      <c r="M625" s="1"/>
      <c r="N625" s="1"/>
      <c r="O625" s="1"/>
      <c r="P625" s="1"/>
      <c r="Q625" s="1"/>
      <c r="R625" s="1"/>
      <c r="S625" s="1"/>
      <c r="T625" s="1"/>
      <c r="U625" s="2"/>
      <c r="V625" s="1"/>
      <c r="W625" s="1"/>
      <c r="X625" s="1"/>
      <c r="Y625" s="1"/>
      <c r="Z625" s="1"/>
    </row>
    <row r="626" spans="1:26" ht="39.75" customHeight="1">
      <c r="A626" s="1"/>
      <c r="B626" s="1"/>
      <c r="C626" s="1"/>
      <c r="D626" s="1"/>
      <c r="E626" s="1"/>
      <c r="F626" s="1"/>
      <c r="G626" s="1"/>
      <c r="H626" s="1"/>
      <c r="I626" s="1"/>
      <c r="J626" s="1"/>
      <c r="K626" s="1"/>
      <c r="L626" s="1"/>
      <c r="M626" s="1"/>
      <c r="N626" s="1"/>
      <c r="O626" s="1"/>
      <c r="P626" s="1"/>
      <c r="Q626" s="1"/>
      <c r="R626" s="1"/>
      <c r="S626" s="1"/>
      <c r="T626" s="1"/>
      <c r="U626" s="2"/>
      <c r="V626" s="1"/>
      <c r="W626" s="1"/>
      <c r="X626" s="1"/>
      <c r="Y626" s="1"/>
      <c r="Z626" s="1"/>
    </row>
    <row r="627" spans="1:26" ht="39.75" customHeight="1">
      <c r="A627" s="1"/>
      <c r="B627" s="1"/>
      <c r="C627" s="1"/>
      <c r="D627" s="1"/>
      <c r="E627" s="1"/>
      <c r="F627" s="1"/>
      <c r="G627" s="1"/>
      <c r="H627" s="1"/>
      <c r="I627" s="1"/>
      <c r="J627" s="1"/>
      <c r="K627" s="1"/>
      <c r="L627" s="1"/>
      <c r="M627" s="1"/>
      <c r="N627" s="1"/>
      <c r="O627" s="1"/>
      <c r="P627" s="1"/>
      <c r="Q627" s="1"/>
      <c r="R627" s="1"/>
      <c r="S627" s="1"/>
      <c r="T627" s="1"/>
      <c r="U627" s="2"/>
      <c r="V627" s="1"/>
      <c r="W627" s="1"/>
      <c r="X627" s="1"/>
      <c r="Y627" s="1"/>
      <c r="Z627" s="1"/>
    </row>
    <row r="628" spans="1:26" ht="39.75" customHeight="1">
      <c r="A628" s="1"/>
      <c r="B628" s="1"/>
      <c r="C628" s="1"/>
      <c r="D628" s="1"/>
      <c r="E628" s="1"/>
      <c r="F628" s="1"/>
      <c r="G628" s="1"/>
      <c r="H628" s="1"/>
      <c r="I628" s="1"/>
      <c r="J628" s="1"/>
      <c r="K628" s="1"/>
      <c r="L628" s="1"/>
      <c r="M628" s="1"/>
      <c r="N628" s="1"/>
      <c r="O628" s="1"/>
      <c r="P628" s="1"/>
      <c r="Q628" s="1"/>
      <c r="R628" s="1"/>
      <c r="S628" s="1"/>
      <c r="T628" s="1"/>
      <c r="U628" s="2"/>
      <c r="V628" s="1"/>
      <c r="W628" s="1"/>
      <c r="X628" s="1"/>
      <c r="Y628" s="1"/>
      <c r="Z628" s="1"/>
    </row>
    <row r="629" spans="1:26" ht="39.75" customHeight="1">
      <c r="A629" s="1"/>
      <c r="B629" s="1"/>
      <c r="C629" s="1"/>
      <c r="D629" s="1"/>
      <c r="E629" s="1"/>
      <c r="F629" s="1"/>
      <c r="G629" s="1"/>
      <c r="H629" s="1"/>
      <c r="I629" s="1"/>
      <c r="J629" s="1"/>
      <c r="K629" s="1"/>
      <c r="L629" s="1"/>
      <c r="M629" s="1"/>
      <c r="N629" s="1"/>
      <c r="O629" s="1"/>
      <c r="P629" s="1"/>
      <c r="Q629" s="1"/>
      <c r="R629" s="1"/>
      <c r="S629" s="1"/>
      <c r="T629" s="1"/>
      <c r="U629" s="2"/>
      <c r="V629" s="1"/>
      <c r="W629" s="1"/>
      <c r="X629" s="1"/>
      <c r="Y629" s="1"/>
      <c r="Z629" s="1"/>
    </row>
    <row r="630" spans="1:26" ht="39.75" customHeight="1">
      <c r="A630" s="1"/>
      <c r="B630" s="1"/>
      <c r="C630" s="1"/>
      <c r="D630" s="1"/>
      <c r="E630" s="1"/>
      <c r="F630" s="1"/>
      <c r="G630" s="1"/>
      <c r="H630" s="1"/>
      <c r="I630" s="1"/>
      <c r="J630" s="1"/>
      <c r="K630" s="1"/>
      <c r="L630" s="1"/>
      <c r="M630" s="1"/>
      <c r="N630" s="1"/>
      <c r="O630" s="1"/>
      <c r="P630" s="1"/>
      <c r="Q630" s="1"/>
      <c r="R630" s="1"/>
      <c r="S630" s="1"/>
      <c r="T630" s="1"/>
      <c r="U630" s="2"/>
      <c r="V630" s="1"/>
      <c r="W630" s="1"/>
      <c r="X630" s="1"/>
      <c r="Y630" s="1"/>
      <c r="Z630" s="1"/>
    </row>
    <row r="631" spans="1:26" ht="39.75" customHeight="1">
      <c r="A631" s="1"/>
      <c r="B631" s="1"/>
      <c r="C631" s="1"/>
      <c r="D631" s="1"/>
      <c r="E631" s="1"/>
      <c r="F631" s="1"/>
      <c r="G631" s="1"/>
      <c r="H631" s="1"/>
      <c r="I631" s="1"/>
      <c r="J631" s="1"/>
      <c r="K631" s="1"/>
      <c r="L631" s="1"/>
      <c r="M631" s="1"/>
      <c r="N631" s="1"/>
      <c r="O631" s="1"/>
      <c r="P631" s="1"/>
      <c r="Q631" s="1"/>
      <c r="R631" s="1"/>
      <c r="S631" s="1"/>
      <c r="T631" s="1"/>
      <c r="U631" s="2"/>
      <c r="V631" s="1"/>
      <c r="W631" s="1"/>
      <c r="X631" s="1"/>
      <c r="Y631" s="1"/>
      <c r="Z631" s="1"/>
    </row>
    <row r="632" spans="1:26" ht="39.75" customHeight="1">
      <c r="A632" s="1"/>
      <c r="B632" s="1"/>
      <c r="C632" s="1"/>
      <c r="D632" s="1"/>
      <c r="E632" s="1"/>
      <c r="F632" s="1"/>
      <c r="G632" s="1"/>
      <c r="H632" s="1"/>
      <c r="I632" s="1"/>
      <c r="J632" s="1"/>
      <c r="K632" s="1"/>
      <c r="L632" s="1"/>
      <c r="M632" s="1"/>
      <c r="N632" s="1"/>
      <c r="O632" s="1"/>
      <c r="P632" s="1"/>
      <c r="Q632" s="1"/>
      <c r="R632" s="1"/>
      <c r="S632" s="1"/>
      <c r="T632" s="1"/>
      <c r="U632" s="2"/>
      <c r="V632" s="1"/>
      <c r="W632" s="1"/>
      <c r="X632" s="1"/>
      <c r="Y632" s="1"/>
      <c r="Z632" s="1"/>
    </row>
    <row r="633" spans="1:26" ht="39.75" customHeight="1">
      <c r="A633" s="1"/>
      <c r="B633" s="1"/>
      <c r="C633" s="1"/>
      <c r="D633" s="1"/>
      <c r="E633" s="1"/>
      <c r="F633" s="1"/>
      <c r="G633" s="1"/>
      <c r="H633" s="1"/>
      <c r="I633" s="1"/>
      <c r="J633" s="1"/>
      <c r="K633" s="1"/>
      <c r="L633" s="1"/>
      <c r="M633" s="1"/>
      <c r="N633" s="1"/>
      <c r="O633" s="1"/>
      <c r="P633" s="1"/>
      <c r="Q633" s="1"/>
      <c r="R633" s="1"/>
      <c r="S633" s="1"/>
      <c r="T633" s="1"/>
      <c r="U633" s="2"/>
      <c r="V633" s="1"/>
      <c r="W633" s="1"/>
      <c r="X633" s="1"/>
      <c r="Y633" s="1"/>
      <c r="Z633" s="1"/>
    </row>
    <row r="634" spans="1:26" ht="39.75" customHeight="1">
      <c r="A634" s="1"/>
      <c r="B634" s="1"/>
      <c r="C634" s="1"/>
      <c r="D634" s="1"/>
      <c r="E634" s="1"/>
      <c r="F634" s="1"/>
      <c r="G634" s="1"/>
      <c r="H634" s="1"/>
      <c r="I634" s="1"/>
      <c r="J634" s="1"/>
      <c r="K634" s="1"/>
      <c r="L634" s="1"/>
      <c r="M634" s="1"/>
      <c r="N634" s="1"/>
      <c r="O634" s="1"/>
      <c r="P634" s="1"/>
      <c r="Q634" s="1"/>
      <c r="R634" s="1"/>
      <c r="S634" s="1"/>
      <c r="T634" s="1"/>
      <c r="U634" s="2"/>
      <c r="V634" s="1"/>
      <c r="W634" s="1"/>
      <c r="X634" s="1"/>
      <c r="Y634" s="1"/>
      <c r="Z634" s="1"/>
    </row>
    <row r="635" spans="1:26" ht="39.75" customHeight="1">
      <c r="A635" s="1"/>
      <c r="B635" s="1"/>
      <c r="C635" s="1"/>
      <c r="D635" s="1"/>
      <c r="E635" s="1"/>
      <c r="F635" s="1"/>
      <c r="G635" s="1"/>
      <c r="H635" s="1"/>
      <c r="I635" s="1"/>
      <c r="J635" s="1"/>
      <c r="K635" s="1"/>
      <c r="L635" s="1"/>
      <c r="M635" s="1"/>
      <c r="N635" s="1"/>
      <c r="O635" s="1"/>
      <c r="P635" s="1"/>
      <c r="Q635" s="1"/>
      <c r="R635" s="1"/>
      <c r="S635" s="1"/>
      <c r="T635" s="1"/>
      <c r="U635" s="2"/>
      <c r="V635" s="1"/>
      <c r="W635" s="1"/>
      <c r="X635" s="1"/>
      <c r="Y635" s="1"/>
      <c r="Z635" s="1"/>
    </row>
    <row r="636" spans="1:26" ht="39.75" customHeight="1">
      <c r="A636" s="1"/>
      <c r="B636" s="1"/>
      <c r="C636" s="1"/>
      <c r="D636" s="1"/>
      <c r="E636" s="1"/>
      <c r="F636" s="1"/>
      <c r="G636" s="1"/>
      <c r="H636" s="1"/>
      <c r="I636" s="1"/>
      <c r="J636" s="1"/>
      <c r="K636" s="1"/>
      <c r="L636" s="1"/>
      <c r="M636" s="1"/>
      <c r="N636" s="1"/>
      <c r="O636" s="1"/>
      <c r="P636" s="1"/>
      <c r="Q636" s="1"/>
      <c r="R636" s="1"/>
      <c r="S636" s="1"/>
      <c r="T636" s="1"/>
      <c r="U636" s="2"/>
      <c r="V636" s="1"/>
      <c r="W636" s="1"/>
      <c r="X636" s="1"/>
      <c r="Y636" s="1"/>
      <c r="Z636" s="1"/>
    </row>
    <row r="637" spans="1:26" ht="39.75" customHeight="1">
      <c r="A637" s="1"/>
      <c r="B637" s="1"/>
      <c r="C637" s="1"/>
      <c r="D637" s="1"/>
      <c r="E637" s="1"/>
      <c r="F637" s="1"/>
      <c r="G637" s="1"/>
      <c r="H637" s="1"/>
      <c r="I637" s="1"/>
      <c r="J637" s="1"/>
      <c r="K637" s="1"/>
      <c r="L637" s="1"/>
      <c r="M637" s="1"/>
      <c r="N637" s="1"/>
      <c r="O637" s="1"/>
      <c r="P637" s="1"/>
      <c r="Q637" s="1"/>
      <c r="R637" s="1"/>
      <c r="S637" s="1"/>
      <c r="T637" s="1"/>
      <c r="U637" s="2"/>
      <c r="V637" s="1"/>
      <c r="W637" s="1"/>
      <c r="X637" s="1"/>
      <c r="Y637" s="1"/>
      <c r="Z637" s="1"/>
    </row>
    <row r="638" spans="1:26" ht="39.75" customHeight="1">
      <c r="A638" s="1"/>
      <c r="B638" s="1"/>
      <c r="C638" s="1"/>
      <c r="D638" s="1"/>
      <c r="E638" s="1"/>
      <c r="F638" s="1"/>
      <c r="G638" s="1"/>
      <c r="H638" s="1"/>
      <c r="I638" s="1"/>
      <c r="J638" s="1"/>
      <c r="K638" s="1"/>
      <c r="L638" s="1"/>
      <c r="M638" s="1"/>
      <c r="N638" s="1"/>
      <c r="O638" s="1"/>
      <c r="P638" s="1"/>
      <c r="Q638" s="1"/>
      <c r="R638" s="1"/>
      <c r="S638" s="1"/>
      <c r="T638" s="1"/>
      <c r="U638" s="2"/>
      <c r="V638" s="1"/>
      <c r="W638" s="1"/>
      <c r="X638" s="1"/>
      <c r="Y638" s="1"/>
      <c r="Z638" s="1"/>
    </row>
    <row r="639" spans="1:26" ht="39.75" customHeight="1">
      <c r="A639" s="1"/>
      <c r="B639" s="1"/>
      <c r="C639" s="1"/>
      <c r="D639" s="1"/>
      <c r="E639" s="1"/>
      <c r="F639" s="1"/>
      <c r="G639" s="1"/>
      <c r="H639" s="1"/>
      <c r="I639" s="1"/>
      <c r="J639" s="1"/>
      <c r="K639" s="1"/>
      <c r="L639" s="1"/>
      <c r="M639" s="1"/>
      <c r="N639" s="1"/>
      <c r="O639" s="1"/>
      <c r="P639" s="1"/>
      <c r="Q639" s="1"/>
      <c r="R639" s="1"/>
      <c r="S639" s="1"/>
      <c r="T639" s="1"/>
      <c r="U639" s="2"/>
      <c r="V639" s="1"/>
      <c r="W639" s="1"/>
      <c r="X639" s="1"/>
      <c r="Y639" s="1"/>
      <c r="Z639" s="1"/>
    </row>
    <row r="640" spans="1:26" ht="39.75" customHeight="1">
      <c r="A640" s="1"/>
      <c r="B640" s="1"/>
      <c r="C640" s="1"/>
      <c r="D640" s="1"/>
      <c r="E640" s="1"/>
      <c r="F640" s="1"/>
      <c r="G640" s="1"/>
      <c r="H640" s="1"/>
      <c r="I640" s="1"/>
      <c r="J640" s="1"/>
      <c r="K640" s="1"/>
      <c r="L640" s="1"/>
      <c r="M640" s="1"/>
      <c r="N640" s="1"/>
      <c r="O640" s="1"/>
      <c r="P640" s="1"/>
      <c r="Q640" s="1"/>
      <c r="R640" s="1"/>
      <c r="S640" s="1"/>
      <c r="T640" s="1"/>
      <c r="U640" s="2"/>
      <c r="V640" s="1"/>
      <c r="W640" s="1"/>
      <c r="X640" s="1"/>
      <c r="Y640" s="1"/>
      <c r="Z640" s="1"/>
    </row>
    <row r="641" spans="1:26" ht="39.75" customHeight="1">
      <c r="A641" s="1"/>
      <c r="B641" s="1"/>
      <c r="C641" s="1"/>
      <c r="D641" s="1"/>
      <c r="E641" s="1"/>
      <c r="F641" s="1"/>
      <c r="G641" s="1"/>
      <c r="H641" s="1"/>
      <c r="I641" s="1"/>
      <c r="J641" s="1"/>
      <c r="K641" s="1"/>
      <c r="L641" s="1"/>
      <c r="M641" s="1"/>
      <c r="N641" s="1"/>
      <c r="O641" s="1"/>
      <c r="P641" s="1"/>
      <c r="Q641" s="1"/>
      <c r="R641" s="1"/>
      <c r="S641" s="1"/>
      <c r="T641" s="1"/>
      <c r="U641" s="2"/>
      <c r="V641" s="1"/>
      <c r="W641" s="1"/>
      <c r="X641" s="1"/>
      <c r="Y641" s="1"/>
      <c r="Z641" s="1"/>
    </row>
    <row r="642" spans="1:26" ht="39.75" customHeight="1">
      <c r="A642" s="1"/>
      <c r="B642" s="1"/>
      <c r="C642" s="1"/>
      <c r="D642" s="1"/>
      <c r="E642" s="1"/>
      <c r="F642" s="1"/>
      <c r="G642" s="1"/>
      <c r="H642" s="1"/>
      <c r="I642" s="1"/>
      <c r="J642" s="1"/>
      <c r="K642" s="1"/>
      <c r="L642" s="1"/>
      <c r="M642" s="1"/>
      <c r="N642" s="1"/>
      <c r="O642" s="1"/>
      <c r="P642" s="1"/>
      <c r="Q642" s="1"/>
      <c r="R642" s="1"/>
      <c r="S642" s="1"/>
      <c r="T642" s="1"/>
      <c r="U642" s="2"/>
      <c r="V642" s="1"/>
      <c r="W642" s="1"/>
      <c r="X642" s="1"/>
      <c r="Y642" s="1"/>
      <c r="Z642" s="1"/>
    </row>
    <row r="643" spans="1:26" ht="39.75" customHeight="1">
      <c r="A643" s="1"/>
      <c r="B643" s="1"/>
      <c r="C643" s="1"/>
      <c r="D643" s="1"/>
      <c r="E643" s="1"/>
      <c r="F643" s="1"/>
      <c r="G643" s="1"/>
      <c r="H643" s="1"/>
      <c r="I643" s="1"/>
      <c r="J643" s="1"/>
      <c r="K643" s="1"/>
      <c r="L643" s="1"/>
      <c r="M643" s="1"/>
      <c r="N643" s="1"/>
      <c r="O643" s="1"/>
      <c r="P643" s="1"/>
      <c r="Q643" s="1"/>
      <c r="R643" s="1"/>
      <c r="S643" s="1"/>
      <c r="T643" s="1"/>
      <c r="U643" s="2"/>
      <c r="V643" s="1"/>
      <c r="W643" s="1"/>
      <c r="X643" s="1"/>
      <c r="Y643" s="1"/>
      <c r="Z643" s="1"/>
    </row>
    <row r="644" spans="1:26" ht="39.75" customHeight="1">
      <c r="A644" s="1"/>
      <c r="B644" s="1"/>
      <c r="C644" s="1"/>
      <c r="D644" s="1"/>
      <c r="E644" s="1"/>
      <c r="F644" s="1"/>
      <c r="G644" s="1"/>
      <c r="H644" s="1"/>
      <c r="I644" s="1"/>
      <c r="J644" s="1"/>
      <c r="K644" s="1"/>
      <c r="L644" s="1"/>
      <c r="M644" s="1"/>
      <c r="N644" s="1"/>
      <c r="O644" s="1"/>
      <c r="P644" s="1"/>
      <c r="Q644" s="1"/>
      <c r="R644" s="1"/>
      <c r="S644" s="1"/>
      <c r="T644" s="1"/>
      <c r="U644" s="2"/>
      <c r="V644" s="1"/>
      <c r="W644" s="1"/>
      <c r="X644" s="1"/>
      <c r="Y644" s="1"/>
      <c r="Z644" s="1"/>
    </row>
    <row r="645" spans="1:26" ht="39.75" customHeight="1">
      <c r="A645" s="1"/>
      <c r="B645" s="1"/>
      <c r="C645" s="1"/>
      <c r="D645" s="1"/>
      <c r="E645" s="1"/>
      <c r="F645" s="1"/>
      <c r="G645" s="1"/>
      <c r="H645" s="1"/>
      <c r="I645" s="1"/>
      <c r="J645" s="1"/>
      <c r="K645" s="1"/>
      <c r="L645" s="1"/>
      <c r="M645" s="1"/>
      <c r="N645" s="1"/>
      <c r="O645" s="1"/>
      <c r="P645" s="1"/>
      <c r="Q645" s="1"/>
      <c r="R645" s="1"/>
      <c r="S645" s="1"/>
      <c r="T645" s="1"/>
      <c r="U645" s="2"/>
      <c r="V645" s="1"/>
      <c r="W645" s="1"/>
      <c r="X645" s="1"/>
      <c r="Y645" s="1"/>
      <c r="Z645" s="1"/>
    </row>
    <row r="646" spans="1:26" ht="39.75" customHeight="1">
      <c r="A646" s="1"/>
      <c r="B646" s="1"/>
      <c r="C646" s="1"/>
      <c r="D646" s="1"/>
      <c r="E646" s="1"/>
      <c r="F646" s="1"/>
      <c r="G646" s="1"/>
      <c r="H646" s="1"/>
      <c r="I646" s="1"/>
      <c r="J646" s="1"/>
      <c r="K646" s="1"/>
      <c r="L646" s="1"/>
      <c r="M646" s="1"/>
      <c r="N646" s="1"/>
      <c r="O646" s="1"/>
      <c r="P646" s="1"/>
      <c r="Q646" s="1"/>
      <c r="R646" s="1"/>
      <c r="S646" s="1"/>
      <c r="T646" s="1"/>
      <c r="U646" s="2"/>
      <c r="V646" s="1"/>
      <c r="W646" s="1"/>
      <c r="X646" s="1"/>
      <c r="Y646" s="1"/>
      <c r="Z646" s="1"/>
    </row>
    <row r="647" spans="1:26" ht="39.75" customHeight="1">
      <c r="A647" s="1"/>
      <c r="B647" s="1"/>
      <c r="C647" s="1"/>
      <c r="D647" s="1"/>
      <c r="E647" s="1"/>
      <c r="F647" s="1"/>
      <c r="G647" s="1"/>
      <c r="H647" s="1"/>
      <c r="I647" s="1"/>
      <c r="J647" s="1"/>
      <c r="K647" s="1"/>
      <c r="L647" s="1"/>
      <c r="M647" s="1"/>
      <c r="N647" s="1"/>
      <c r="O647" s="1"/>
      <c r="P647" s="1"/>
      <c r="Q647" s="1"/>
      <c r="R647" s="1"/>
      <c r="S647" s="1"/>
      <c r="T647" s="1"/>
      <c r="U647" s="2"/>
      <c r="V647" s="1"/>
      <c r="W647" s="1"/>
      <c r="X647" s="1"/>
      <c r="Y647" s="1"/>
      <c r="Z647" s="1"/>
    </row>
    <row r="648" spans="1:26" ht="39.75" customHeight="1">
      <c r="A648" s="1"/>
      <c r="B648" s="1"/>
      <c r="C648" s="1"/>
      <c r="D648" s="1"/>
      <c r="E648" s="1"/>
      <c r="F648" s="1"/>
      <c r="G648" s="1"/>
      <c r="H648" s="1"/>
      <c r="I648" s="1"/>
      <c r="J648" s="1"/>
      <c r="K648" s="1"/>
      <c r="L648" s="1"/>
      <c r="M648" s="1"/>
      <c r="N648" s="1"/>
      <c r="O648" s="1"/>
      <c r="P648" s="1"/>
      <c r="Q648" s="1"/>
      <c r="R648" s="1"/>
      <c r="S648" s="1"/>
      <c r="T648" s="1"/>
      <c r="U648" s="2"/>
      <c r="V648" s="1"/>
      <c r="W648" s="1"/>
      <c r="X648" s="1"/>
      <c r="Y648" s="1"/>
      <c r="Z648" s="1"/>
    </row>
    <row r="649" spans="1:26" ht="39.75" customHeight="1">
      <c r="A649" s="1"/>
      <c r="B649" s="1"/>
      <c r="C649" s="1"/>
      <c r="D649" s="1"/>
      <c r="E649" s="1"/>
      <c r="F649" s="1"/>
      <c r="G649" s="1"/>
      <c r="H649" s="1"/>
      <c r="I649" s="1"/>
      <c r="J649" s="1"/>
      <c r="K649" s="1"/>
      <c r="L649" s="1"/>
      <c r="M649" s="1"/>
      <c r="N649" s="1"/>
      <c r="O649" s="1"/>
      <c r="P649" s="1"/>
      <c r="Q649" s="1"/>
      <c r="R649" s="1"/>
      <c r="S649" s="1"/>
      <c r="T649" s="1"/>
      <c r="U649" s="2"/>
      <c r="V649" s="1"/>
      <c r="W649" s="1"/>
      <c r="X649" s="1"/>
      <c r="Y649" s="1"/>
      <c r="Z649" s="1"/>
    </row>
    <row r="650" spans="1:26" ht="39.75" customHeight="1">
      <c r="A650" s="1"/>
      <c r="B650" s="1"/>
      <c r="C650" s="1"/>
      <c r="D650" s="1"/>
      <c r="E650" s="1"/>
      <c r="F650" s="1"/>
      <c r="G650" s="1"/>
      <c r="H650" s="1"/>
      <c r="I650" s="1"/>
      <c r="J650" s="1"/>
      <c r="K650" s="1"/>
      <c r="L650" s="1"/>
      <c r="M650" s="1"/>
      <c r="N650" s="1"/>
      <c r="O650" s="1"/>
      <c r="P650" s="1"/>
      <c r="Q650" s="1"/>
      <c r="R650" s="1"/>
      <c r="S650" s="1"/>
      <c r="T650" s="1"/>
      <c r="U650" s="2"/>
      <c r="V650" s="1"/>
      <c r="W650" s="1"/>
      <c r="X650" s="1"/>
      <c r="Y650" s="1"/>
      <c r="Z650" s="1"/>
    </row>
    <row r="651" spans="1:26" ht="39.75" customHeight="1">
      <c r="A651" s="1"/>
      <c r="B651" s="1"/>
      <c r="C651" s="1"/>
      <c r="D651" s="1"/>
      <c r="E651" s="1"/>
      <c r="F651" s="1"/>
      <c r="G651" s="1"/>
      <c r="H651" s="1"/>
      <c r="I651" s="1"/>
      <c r="J651" s="1"/>
      <c r="K651" s="1"/>
      <c r="L651" s="1"/>
      <c r="M651" s="1"/>
      <c r="N651" s="1"/>
      <c r="O651" s="1"/>
      <c r="P651" s="1"/>
      <c r="Q651" s="1"/>
      <c r="R651" s="1"/>
      <c r="S651" s="1"/>
      <c r="T651" s="1"/>
      <c r="U651" s="2"/>
      <c r="V651" s="1"/>
      <c r="W651" s="1"/>
      <c r="X651" s="1"/>
      <c r="Y651" s="1"/>
      <c r="Z651" s="1"/>
    </row>
    <row r="652" spans="1:26" ht="39.75" customHeight="1">
      <c r="A652" s="1"/>
      <c r="B652" s="1"/>
      <c r="C652" s="1"/>
      <c r="D652" s="1"/>
      <c r="E652" s="1"/>
      <c r="F652" s="1"/>
      <c r="G652" s="1"/>
      <c r="H652" s="1"/>
      <c r="I652" s="1"/>
      <c r="J652" s="1"/>
      <c r="K652" s="1"/>
      <c r="L652" s="1"/>
      <c r="M652" s="1"/>
      <c r="N652" s="1"/>
      <c r="O652" s="1"/>
      <c r="P652" s="1"/>
      <c r="Q652" s="1"/>
      <c r="R652" s="1"/>
      <c r="S652" s="1"/>
      <c r="T652" s="1"/>
      <c r="U652" s="2"/>
      <c r="V652" s="1"/>
      <c r="W652" s="1"/>
      <c r="X652" s="1"/>
      <c r="Y652" s="1"/>
      <c r="Z652" s="1"/>
    </row>
    <row r="653" spans="1:26" ht="39.75" customHeight="1">
      <c r="A653" s="1"/>
      <c r="B653" s="1"/>
      <c r="C653" s="1"/>
      <c r="D653" s="1"/>
      <c r="E653" s="1"/>
      <c r="F653" s="1"/>
      <c r="G653" s="1"/>
      <c r="H653" s="1"/>
      <c r="I653" s="1"/>
      <c r="J653" s="1"/>
      <c r="K653" s="1"/>
      <c r="L653" s="1"/>
      <c r="M653" s="1"/>
      <c r="N653" s="1"/>
      <c r="O653" s="1"/>
      <c r="P653" s="1"/>
      <c r="Q653" s="1"/>
      <c r="R653" s="1"/>
      <c r="S653" s="1"/>
      <c r="T653" s="1"/>
      <c r="U653" s="2"/>
      <c r="V653" s="1"/>
      <c r="W653" s="1"/>
      <c r="X653" s="1"/>
      <c r="Y653" s="1"/>
      <c r="Z653" s="1"/>
    </row>
    <row r="654" spans="1:26" ht="39.75" customHeight="1">
      <c r="A654" s="1"/>
      <c r="B654" s="1"/>
      <c r="C654" s="1"/>
      <c r="D654" s="1"/>
      <c r="E654" s="1"/>
      <c r="F654" s="1"/>
      <c r="G654" s="1"/>
      <c r="H654" s="1"/>
      <c r="I654" s="1"/>
      <c r="J654" s="1"/>
      <c r="K654" s="1"/>
      <c r="L654" s="1"/>
      <c r="M654" s="1"/>
      <c r="N654" s="1"/>
      <c r="O654" s="1"/>
      <c r="P654" s="1"/>
      <c r="Q654" s="1"/>
      <c r="R654" s="1"/>
      <c r="S654" s="1"/>
      <c r="T654" s="1"/>
      <c r="U654" s="2"/>
      <c r="V654" s="1"/>
      <c r="W654" s="1"/>
      <c r="X654" s="1"/>
      <c r="Y654" s="1"/>
      <c r="Z654" s="1"/>
    </row>
    <row r="655" spans="1:26" ht="39.75" customHeight="1">
      <c r="A655" s="1"/>
      <c r="B655" s="1"/>
      <c r="C655" s="1"/>
      <c r="D655" s="1"/>
      <c r="E655" s="1"/>
      <c r="F655" s="1"/>
      <c r="G655" s="1"/>
      <c r="H655" s="1"/>
      <c r="I655" s="1"/>
      <c r="J655" s="1"/>
      <c r="K655" s="1"/>
      <c r="L655" s="1"/>
      <c r="M655" s="1"/>
      <c r="N655" s="1"/>
      <c r="O655" s="1"/>
      <c r="P655" s="1"/>
      <c r="Q655" s="1"/>
      <c r="R655" s="1"/>
      <c r="S655" s="1"/>
      <c r="T655" s="1"/>
      <c r="U655" s="2"/>
      <c r="V655" s="1"/>
      <c r="W655" s="1"/>
      <c r="X655" s="1"/>
      <c r="Y655" s="1"/>
      <c r="Z655" s="1"/>
    </row>
    <row r="656" spans="1:26" ht="39.75" customHeight="1">
      <c r="A656" s="1"/>
      <c r="B656" s="1"/>
      <c r="C656" s="1"/>
      <c r="D656" s="1"/>
      <c r="E656" s="1"/>
      <c r="F656" s="1"/>
      <c r="G656" s="1"/>
      <c r="H656" s="1"/>
      <c r="I656" s="1"/>
      <c r="J656" s="1"/>
      <c r="K656" s="1"/>
      <c r="L656" s="1"/>
      <c r="M656" s="1"/>
      <c r="N656" s="1"/>
      <c r="O656" s="1"/>
      <c r="P656" s="1"/>
      <c r="Q656" s="1"/>
      <c r="R656" s="1"/>
      <c r="S656" s="1"/>
      <c r="T656" s="1"/>
      <c r="U656" s="2"/>
      <c r="V656" s="1"/>
      <c r="W656" s="1"/>
      <c r="X656" s="1"/>
      <c r="Y656" s="1"/>
      <c r="Z656" s="1"/>
    </row>
    <row r="657" spans="1:26" ht="39.75" customHeight="1">
      <c r="A657" s="1"/>
      <c r="B657" s="1"/>
      <c r="C657" s="1"/>
      <c r="D657" s="1"/>
      <c r="E657" s="1"/>
      <c r="F657" s="1"/>
      <c r="G657" s="1"/>
      <c r="H657" s="1"/>
      <c r="I657" s="1"/>
      <c r="J657" s="1"/>
      <c r="K657" s="1"/>
      <c r="L657" s="1"/>
      <c r="M657" s="1"/>
      <c r="N657" s="1"/>
      <c r="O657" s="1"/>
      <c r="P657" s="1"/>
      <c r="Q657" s="1"/>
      <c r="R657" s="1"/>
      <c r="S657" s="1"/>
      <c r="T657" s="1"/>
      <c r="U657" s="2"/>
      <c r="V657" s="1"/>
      <c r="W657" s="1"/>
      <c r="X657" s="1"/>
      <c r="Y657" s="1"/>
      <c r="Z657" s="1"/>
    </row>
    <row r="658" spans="1:26" ht="39.75" customHeight="1">
      <c r="A658" s="1"/>
      <c r="B658" s="1"/>
      <c r="C658" s="1"/>
      <c r="D658" s="1"/>
      <c r="E658" s="1"/>
      <c r="F658" s="1"/>
      <c r="G658" s="1"/>
      <c r="H658" s="1"/>
      <c r="I658" s="1"/>
      <c r="J658" s="1"/>
      <c r="K658" s="1"/>
      <c r="L658" s="1"/>
      <c r="M658" s="1"/>
      <c r="N658" s="1"/>
      <c r="O658" s="1"/>
      <c r="P658" s="1"/>
      <c r="Q658" s="1"/>
      <c r="R658" s="1"/>
      <c r="S658" s="1"/>
      <c r="T658" s="1"/>
      <c r="U658" s="2"/>
      <c r="V658" s="1"/>
      <c r="W658" s="1"/>
      <c r="X658" s="1"/>
      <c r="Y658" s="1"/>
      <c r="Z658" s="1"/>
    </row>
    <row r="659" spans="1:26" ht="39.75" customHeight="1">
      <c r="A659" s="1"/>
      <c r="B659" s="1"/>
      <c r="C659" s="1"/>
      <c r="D659" s="1"/>
      <c r="E659" s="1"/>
      <c r="F659" s="1"/>
      <c r="G659" s="1"/>
      <c r="H659" s="1"/>
      <c r="I659" s="1"/>
      <c r="J659" s="1"/>
      <c r="K659" s="1"/>
      <c r="L659" s="1"/>
      <c r="M659" s="1"/>
      <c r="N659" s="1"/>
      <c r="O659" s="1"/>
      <c r="P659" s="1"/>
      <c r="Q659" s="1"/>
      <c r="R659" s="1"/>
      <c r="S659" s="1"/>
      <c r="T659" s="1"/>
      <c r="U659" s="2"/>
      <c r="V659" s="1"/>
      <c r="W659" s="1"/>
      <c r="X659" s="1"/>
      <c r="Y659" s="1"/>
      <c r="Z659" s="1"/>
    </row>
    <row r="660" spans="1:26" ht="39.75" customHeight="1">
      <c r="A660" s="1"/>
      <c r="B660" s="1"/>
      <c r="C660" s="1"/>
      <c r="D660" s="1"/>
      <c r="E660" s="1"/>
      <c r="F660" s="1"/>
      <c r="G660" s="1"/>
      <c r="H660" s="1"/>
      <c r="I660" s="1"/>
      <c r="J660" s="1"/>
      <c r="K660" s="1"/>
      <c r="L660" s="1"/>
      <c r="M660" s="1"/>
      <c r="N660" s="1"/>
      <c r="O660" s="1"/>
      <c r="P660" s="1"/>
      <c r="Q660" s="1"/>
      <c r="R660" s="1"/>
      <c r="S660" s="1"/>
      <c r="T660" s="1"/>
      <c r="U660" s="2"/>
      <c r="V660" s="1"/>
      <c r="W660" s="1"/>
      <c r="X660" s="1"/>
      <c r="Y660" s="1"/>
      <c r="Z660" s="1"/>
    </row>
    <row r="661" spans="1:26" ht="39.75" customHeight="1">
      <c r="A661" s="1"/>
      <c r="B661" s="1"/>
      <c r="C661" s="1"/>
      <c r="D661" s="1"/>
      <c r="E661" s="1"/>
      <c r="F661" s="1"/>
      <c r="G661" s="1"/>
      <c r="H661" s="1"/>
      <c r="I661" s="1"/>
      <c r="J661" s="1"/>
      <c r="K661" s="1"/>
      <c r="L661" s="1"/>
      <c r="M661" s="1"/>
      <c r="N661" s="1"/>
      <c r="O661" s="1"/>
      <c r="P661" s="1"/>
      <c r="Q661" s="1"/>
      <c r="R661" s="1"/>
      <c r="S661" s="1"/>
      <c r="T661" s="1"/>
      <c r="U661" s="2"/>
      <c r="V661" s="1"/>
      <c r="W661" s="1"/>
      <c r="X661" s="1"/>
      <c r="Y661" s="1"/>
      <c r="Z661" s="1"/>
    </row>
    <row r="662" spans="1:26" ht="39.75" customHeight="1">
      <c r="A662" s="1"/>
      <c r="B662" s="1"/>
      <c r="C662" s="1"/>
      <c r="D662" s="1"/>
      <c r="E662" s="1"/>
      <c r="F662" s="1"/>
      <c r="G662" s="1"/>
      <c r="H662" s="1"/>
      <c r="I662" s="1"/>
      <c r="J662" s="1"/>
      <c r="K662" s="1"/>
      <c r="L662" s="1"/>
      <c r="M662" s="1"/>
      <c r="N662" s="1"/>
      <c r="O662" s="1"/>
      <c r="P662" s="1"/>
      <c r="Q662" s="1"/>
      <c r="R662" s="1"/>
      <c r="S662" s="1"/>
      <c r="T662" s="1"/>
      <c r="U662" s="2"/>
      <c r="V662" s="1"/>
      <c r="W662" s="1"/>
      <c r="X662" s="1"/>
      <c r="Y662" s="1"/>
      <c r="Z662" s="1"/>
    </row>
    <row r="663" spans="1:26" ht="39.75" customHeight="1">
      <c r="A663" s="1"/>
      <c r="B663" s="1"/>
      <c r="C663" s="1"/>
      <c r="D663" s="1"/>
      <c r="E663" s="1"/>
      <c r="F663" s="1"/>
      <c r="G663" s="1"/>
      <c r="H663" s="1"/>
      <c r="I663" s="1"/>
      <c r="J663" s="1"/>
      <c r="K663" s="1"/>
      <c r="L663" s="1"/>
      <c r="M663" s="1"/>
      <c r="N663" s="1"/>
      <c r="O663" s="1"/>
      <c r="P663" s="1"/>
      <c r="Q663" s="1"/>
      <c r="R663" s="1"/>
      <c r="S663" s="1"/>
      <c r="T663" s="1"/>
      <c r="U663" s="2"/>
      <c r="V663" s="1"/>
      <c r="W663" s="1"/>
      <c r="X663" s="1"/>
      <c r="Y663" s="1"/>
      <c r="Z663" s="1"/>
    </row>
    <row r="664" spans="1:26" ht="39.75" customHeight="1">
      <c r="A664" s="1"/>
      <c r="B664" s="1"/>
      <c r="C664" s="1"/>
      <c r="D664" s="1"/>
      <c r="E664" s="1"/>
      <c r="F664" s="1"/>
      <c r="G664" s="1"/>
      <c r="H664" s="1"/>
      <c r="I664" s="1"/>
      <c r="J664" s="1"/>
      <c r="K664" s="1"/>
      <c r="L664" s="1"/>
      <c r="M664" s="1"/>
      <c r="N664" s="1"/>
      <c r="O664" s="1"/>
      <c r="P664" s="1"/>
      <c r="Q664" s="1"/>
      <c r="R664" s="1"/>
      <c r="S664" s="1"/>
      <c r="T664" s="1"/>
      <c r="U664" s="2"/>
      <c r="V664" s="1"/>
      <c r="W664" s="1"/>
      <c r="X664" s="1"/>
      <c r="Y664" s="1"/>
      <c r="Z664" s="1"/>
    </row>
    <row r="665" spans="1:26" ht="39.75" customHeight="1">
      <c r="A665" s="1"/>
      <c r="B665" s="1"/>
      <c r="C665" s="1"/>
      <c r="D665" s="1"/>
      <c r="E665" s="1"/>
      <c r="F665" s="1"/>
      <c r="G665" s="1"/>
      <c r="H665" s="1"/>
      <c r="I665" s="1"/>
      <c r="J665" s="1"/>
      <c r="K665" s="1"/>
      <c r="L665" s="1"/>
      <c r="M665" s="1"/>
      <c r="N665" s="1"/>
      <c r="O665" s="1"/>
      <c r="P665" s="1"/>
      <c r="Q665" s="1"/>
      <c r="R665" s="1"/>
      <c r="S665" s="1"/>
      <c r="T665" s="1"/>
      <c r="U665" s="2"/>
      <c r="V665" s="1"/>
      <c r="W665" s="1"/>
      <c r="X665" s="1"/>
      <c r="Y665" s="1"/>
      <c r="Z665" s="1"/>
    </row>
    <row r="666" spans="1:26" ht="39.75" customHeight="1">
      <c r="A666" s="1"/>
      <c r="B666" s="1"/>
      <c r="C666" s="1"/>
      <c r="D666" s="1"/>
      <c r="E666" s="1"/>
      <c r="F666" s="1"/>
      <c r="G666" s="1"/>
      <c r="H666" s="1"/>
      <c r="I666" s="1"/>
      <c r="J666" s="1"/>
      <c r="K666" s="1"/>
      <c r="L666" s="1"/>
      <c r="M666" s="1"/>
      <c r="N666" s="1"/>
      <c r="O666" s="1"/>
      <c r="P666" s="1"/>
      <c r="Q666" s="1"/>
      <c r="R666" s="1"/>
      <c r="S666" s="1"/>
      <c r="T666" s="1"/>
      <c r="U666" s="2"/>
      <c r="V666" s="1"/>
      <c r="W666" s="1"/>
      <c r="X666" s="1"/>
      <c r="Y666" s="1"/>
      <c r="Z666" s="1"/>
    </row>
    <row r="667" spans="1:26" ht="39.75" customHeight="1">
      <c r="A667" s="1"/>
      <c r="B667" s="1"/>
      <c r="C667" s="1"/>
      <c r="D667" s="1"/>
      <c r="E667" s="1"/>
      <c r="F667" s="1"/>
      <c r="G667" s="1"/>
      <c r="H667" s="1"/>
      <c r="I667" s="1"/>
      <c r="J667" s="1"/>
      <c r="K667" s="1"/>
      <c r="L667" s="1"/>
      <c r="M667" s="1"/>
      <c r="N667" s="1"/>
      <c r="O667" s="1"/>
      <c r="P667" s="1"/>
      <c r="Q667" s="1"/>
      <c r="R667" s="1"/>
      <c r="S667" s="1"/>
      <c r="T667" s="1"/>
      <c r="U667" s="2"/>
      <c r="V667" s="1"/>
      <c r="W667" s="1"/>
      <c r="X667" s="1"/>
      <c r="Y667" s="1"/>
      <c r="Z667" s="1"/>
    </row>
    <row r="668" spans="1:26" ht="39.75" customHeight="1">
      <c r="A668" s="1"/>
      <c r="B668" s="1"/>
      <c r="C668" s="1"/>
      <c r="D668" s="1"/>
      <c r="E668" s="1"/>
      <c r="F668" s="1"/>
      <c r="G668" s="1"/>
      <c r="H668" s="1"/>
      <c r="I668" s="1"/>
      <c r="J668" s="1"/>
      <c r="K668" s="1"/>
      <c r="L668" s="1"/>
      <c r="M668" s="1"/>
      <c r="N668" s="1"/>
      <c r="O668" s="1"/>
      <c r="P668" s="1"/>
      <c r="Q668" s="1"/>
      <c r="R668" s="1"/>
      <c r="S668" s="1"/>
      <c r="T668" s="1"/>
      <c r="U668" s="2"/>
      <c r="V668" s="1"/>
      <c r="W668" s="1"/>
      <c r="X668" s="1"/>
      <c r="Y668" s="1"/>
      <c r="Z668" s="1"/>
    </row>
    <row r="669" spans="1:26" ht="39.75" customHeight="1">
      <c r="A669" s="1"/>
      <c r="B669" s="1"/>
      <c r="C669" s="1"/>
      <c r="D669" s="1"/>
      <c r="E669" s="1"/>
      <c r="F669" s="1"/>
      <c r="G669" s="1"/>
      <c r="H669" s="1"/>
      <c r="I669" s="1"/>
      <c r="J669" s="1"/>
      <c r="K669" s="1"/>
      <c r="L669" s="1"/>
      <c r="M669" s="1"/>
      <c r="N669" s="1"/>
      <c r="O669" s="1"/>
      <c r="P669" s="1"/>
      <c r="Q669" s="1"/>
      <c r="R669" s="1"/>
      <c r="S669" s="1"/>
      <c r="T669" s="1"/>
      <c r="U669" s="2"/>
      <c r="V669" s="1"/>
      <c r="W669" s="1"/>
      <c r="X669" s="1"/>
      <c r="Y669" s="1"/>
      <c r="Z669" s="1"/>
    </row>
    <row r="670" spans="1:26" ht="39.75" customHeight="1">
      <c r="A670" s="1"/>
      <c r="B670" s="1"/>
      <c r="C670" s="1"/>
      <c r="D670" s="1"/>
      <c r="E670" s="1"/>
      <c r="F670" s="1"/>
      <c r="G670" s="1"/>
      <c r="H670" s="1"/>
      <c r="I670" s="1"/>
      <c r="J670" s="1"/>
      <c r="K670" s="1"/>
      <c r="L670" s="1"/>
      <c r="M670" s="1"/>
      <c r="N670" s="1"/>
      <c r="O670" s="1"/>
      <c r="P670" s="1"/>
      <c r="Q670" s="1"/>
      <c r="R670" s="1"/>
      <c r="S670" s="1"/>
      <c r="T670" s="1"/>
      <c r="U670" s="2"/>
      <c r="V670" s="1"/>
      <c r="W670" s="1"/>
      <c r="X670" s="1"/>
      <c r="Y670" s="1"/>
      <c r="Z670" s="1"/>
    </row>
    <row r="671" spans="1:26" ht="39.75" customHeight="1">
      <c r="A671" s="1"/>
      <c r="B671" s="1"/>
      <c r="C671" s="1"/>
      <c r="D671" s="1"/>
      <c r="E671" s="1"/>
      <c r="F671" s="1"/>
      <c r="G671" s="1"/>
      <c r="H671" s="1"/>
      <c r="I671" s="1"/>
      <c r="J671" s="1"/>
      <c r="K671" s="1"/>
      <c r="L671" s="1"/>
      <c r="M671" s="1"/>
      <c r="N671" s="1"/>
      <c r="O671" s="1"/>
      <c r="P671" s="1"/>
      <c r="Q671" s="1"/>
      <c r="R671" s="1"/>
      <c r="S671" s="1"/>
      <c r="T671" s="1"/>
      <c r="U671" s="2"/>
      <c r="V671" s="1"/>
      <c r="W671" s="1"/>
      <c r="X671" s="1"/>
      <c r="Y671" s="1"/>
      <c r="Z671" s="1"/>
    </row>
    <row r="672" spans="1:26" ht="39.75" customHeight="1">
      <c r="A672" s="1"/>
      <c r="B672" s="1"/>
      <c r="C672" s="1"/>
      <c r="D672" s="1"/>
      <c r="E672" s="1"/>
      <c r="F672" s="1"/>
      <c r="G672" s="1"/>
      <c r="H672" s="1"/>
      <c r="I672" s="1"/>
      <c r="J672" s="1"/>
      <c r="K672" s="1"/>
      <c r="L672" s="1"/>
      <c r="M672" s="1"/>
      <c r="N672" s="1"/>
      <c r="O672" s="1"/>
      <c r="P672" s="1"/>
      <c r="Q672" s="1"/>
      <c r="R672" s="1"/>
      <c r="S672" s="1"/>
      <c r="T672" s="1"/>
      <c r="U672" s="2"/>
      <c r="V672" s="1"/>
      <c r="W672" s="1"/>
      <c r="X672" s="1"/>
      <c r="Y672" s="1"/>
      <c r="Z672" s="1"/>
    </row>
    <row r="673" spans="1:26" ht="39.75" customHeight="1">
      <c r="A673" s="1"/>
      <c r="B673" s="1"/>
      <c r="C673" s="1"/>
      <c r="D673" s="1"/>
      <c r="E673" s="1"/>
      <c r="F673" s="1"/>
      <c r="G673" s="1"/>
      <c r="H673" s="1"/>
      <c r="I673" s="1"/>
      <c r="J673" s="1"/>
      <c r="K673" s="1"/>
      <c r="L673" s="1"/>
      <c r="M673" s="1"/>
      <c r="N673" s="1"/>
      <c r="O673" s="1"/>
      <c r="P673" s="1"/>
      <c r="Q673" s="1"/>
      <c r="R673" s="1"/>
      <c r="S673" s="1"/>
      <c r="T673" s="1"/>
      <c r="U673" s="2"/>
      <c r="V673" s="1"/>
      <c r="W673" s="1"/>
      <c r="X673" s="1"/>
      <c r="Y673" s="1"/>
      <c r="Z673" s="1"/>
    </row>
    <row r="674" spans="1:26" ht="39.75" customHeight="1">
      <c r="A674" s="1"/>
      <c r="B674" s="1"/>
      <c r="C674" s="1"/>
      <c r="D674" s="1"/>
      <c r="E674" s="1"/>
      <c r="F674" s="1"/>
      <c r="G674" s="1"/>
      <c r="H674" s="1"/>
      <c r="I674" s="1"/>
      <c r="J674" s="1"/>
      <c r="K674" s="1"/>
      <c r="L674" s="1"/>
      <c r="M674" s="1"/>
      <c r="N674" s="1"/>
      <c r="O674" s="1"/>
      <c r="P674" s="1"/>
      <c r="Q674" s="1"/>
      <c r="R674" s="1"/>
      <c r="S674" s="1"/>
      <c r="T674" s="1"/>
      <c r="U674" s="2"/>
      <c r="V674" s="1"/>
      <c r="W674" s="1"/>
      <c r="X674" s="1"/>
      <c r="Y674" s="1"/>
      <c r="Z674" s="1"/>
    </row>
    <row r="675" spans="1:26" ht="39.75" customHeight="1">
      <c r="A675" s="1"/>
      <c r="B675" s="1"/>
      <c r="C675" s="1"/>
      <c r="D675" s="1"/>
      <c r="E675" s="1"/>
      <c r="F675" s="1"/>
      <c r="G675" s="1"/>
      <c r="H675" s="1"/>
      <c r="I675" s="1"/>
      <c r="J675" s="1"/>
      <c r="K675" s="1"/>
      <c r="L675" s="1"/>
      <c r="M675" s="1"/>
      <c r="N675" s="1"/>
      <c r="O675" s="1"/>
      <c r="P675" s="1"/>
      <c r="Q675" s="1"/>
      <c r="R675" s="1"/>
      <c r="S675" s="1"/>
      <c r="T675" s="1"/>
      <c r="U675" s="2"/>
      <c r="V675" s="1"/>
      <c r="W675" s="1"/>
      <c r="X675" s="1"/>
      <c r="Y675" s="1"/>
      <c r="Z675" s="1"/>
    </row>
    <row r="676" spans="1:26" ht="39.75" customHeight="1">
      <c r="A676" s="1"/>
      <c r="B676" s="1"/>
      <c r="C676" s="1"/>
      <c r="D676" s="1"/>
      <c r="E676" s="1"/>
      <c r="F676" s="1"/>
      <c r="G676" s="1"/>
      <c r="H676" s="1"/>
      <c r="I676" s="1"/>
      <c r="J676" s="1"/>
      <c r="K676" s="1"/>
      <c r="L676" s="1"/>
      <c r="M676" s="1"/>
      <c r="N676" s="1"/>
      <c r="O676" s="1"/>
      <c r="P676" s="1"/>
      <c r="Q676" s="1"/>
      <c r="R676" s="1"/>
      <c r="S676" s="1"/>
      <c r="T676" s="1"/>
      <c r="U676" s="2"/>
      <c r="V676" s="1"/>
      <c r="W676" s="1"/>
      <c r="X676" s="1"/>
      <c r="Y676" s="1"/>
      <c r="Z676" s="1"/>
    </row>
    <row r="677" spans="1:26" ht="39.75" customHeight="1">
      <c r="A677" s="1"/>
      <c r="B677" s="1"/>
      <c r="C677" s="1"/>
      <c r="D677" s="1"/>
      <c r="E677" s="1"/>
      <c r="F677" s="1"/>
      <c r="G677" s="1"/>
      <c r="H677" s="1"/>
      <c r="I677" s="1"/>
      <c r="J677" s="1"/>
      <c r="K677" s="1"/>
      <c r="L677" s="1"/>
      <c r="M677" s="1"/>
      <c r="N677" s="1"/>
      <c r="O677" s="1"/>
      <c r="P677" s="1"/>
      <c r="Q677" s="1"/>
      <c r="R677" s="1"/>
      <c r="S677" s="1"/>
      <c r="T677" s="1"/>
      <c r="U677" s="2"/>
      <c r="V677" s="1"/>
      <c r="W677" s="1"/>
      <c r="X677" s="1"/>
      <c r="Y677" s="1"/>
      <c r="Z677" s="1"/>
    </row>
    <row r="678" spans="1:26" ht="39.75" customHeight="1">
      <c r="A678" s="1"/>
      <c r="B678" s="1"/>
      <c r="C678" s="1"/>
      <c r="D678" s="1"/>
      <c r="E678" s="1"/>
      <c r="F678" s="1"/>
      <c r="G678" s="1"/>
      <c r="H678" s="1"/>
      <c r="I678" s="1"/>
      <c r="J678" s="1"/>
      <c r="K678" s="1"/>
      <c r="L678" s="1"/>
      <c r="M678" s="1"/>
      <c r="N678" s="1"/>
      <c r="O678" s="1"/>
      <c r="P678" s="1"/>
      <c r="Q678" s="1"/>
      <c r="R678" s="1"/>
      <c r="S678" s="1"/>
      <c r="T678" s="1"/>
      <c r="U678" s="2"/>
      <c r="V678" s="1"/>
      <c r="W678" s="1"/>
      <c r="X678" s="1"/>
      <c r="Y678" s="1"/>
      <c r="Z678" s="1"/>
    </row>
    <row r="679" spans="1:26" ht="39.75" customHeight="1">
      <c r="A679" s="1"/>
      <c r="B679" s="1"/>
      <c r="C679" s="1"/>
      <c r="D679" s="1"/>
      <c r="E679" s="1"/>
      <c r="F679" s="1"/>
      <c r="G679" s="1"/>
      <c r="H679" s="1"/>
      <c r="I679" s="1"/>
      <c r="J679" s="1"/>
      <c r="K679" s="1"/>
      <c r="L679" s="1"/>
      <c r="M679" s="1"/>
      <c r="N679" s="1"/>
      <c r="O679" s="1"/>
      <c r="P679" s="1"/>
      <c r="Q679" s="1"/>
      <c r="R679" s="1"/>
      <c r="S679" s="1"/>
      <c r="T679" s="1"/>
      <c r="U679" s="2"/>
      <c r="V679" s="1"/>
      <c r="W679" s="1"/>
      <c r="X679" s="1"/>
      <c r="Y679" s="1"/>
      <c r="Z679" s="1"/>
    </row>
    <row r="680" spans="1:26" ht="39.75" customHeight="1">
      <c r="A680" s="1"/>
      <c r="B680" s="1"/>
      <c r="C680" s="1"/>
      <c r="D680" s="1"/>
      <c r="E680" s="1"/>
      <c r="F680" s="1"/>
      <c r="G680" s="1"/>
      <c r="H680" s="1"/>
      <c r="I680" s="1"/>
      <c r="J680" s="1"/>
      <c r="K680" s="1"/>
      <c r="L680" s="1"/>
      <c r="M680" s="1"/>
      <c r="N680" s="1"/>
      <c r="O680" s="1"/>
      <c r="P680" s="1"/>
      <c r="Q680" s="1"/>
      <c r="R680" s="1"/>
      <c r="S680" s="1"/>
      <c r="T680" s="1"/>
      <c r="U680" s="2"/>
      <c r="V680" s="1"/>
      <c r="W680" s="1"/>
      <c r="X680" s="1"/>
      <c r="Y680" s="1"/>
      <c r="Z680" s="1"/>
    </row>
    <row r="681" spans="1:26" ht="39.75" customHeight="1">
      <c r="A681" s="1"/>
      <c r="B681" s="1"/>
      <c r="C681" s="1"/>
      <c r="D681" s="1"/>
      <c r="E681" s="1"/>
      <c r="F681" s="1"/>
      <c r="G681" s="1"/>
      <c r="H681" s="1"/>
      <c r="I681" s="1"/>
      <c r="J681" s="1"/>
      <c r="K681" s="1"/>
      <c r="L681" s="1"/>
      <c r="M681" s="1"/>
      <c r="N681" s="1"/>
      <c r="O681" s="1"/>
      <c r="P681" s="1"/>
      <c r="Q681" s="1"/>
      <c r="R681" s="1"/>
      <c r="S681" s="1"/>
      <c r="T681" s="1"/>
      <c r="U681" s="2"/>
      <c r="V681" s="1"/>
      <c r="W681" s="1"/>
      <c r="X681" s="1"/>
      <c r="Y681" s="1"/>
      <c r="Z681" s="1"/>
    </row>
    <row r="682" spans="1:26" ht="39.75" customHeight="1">
      <c r="A682" s="1"/>
      <c r="B682" s="1"/>
      <c r="C682" s="1"/>
      <c r="D682" s="1"/>
      <c r="E682" s="1"/>
      <c r="F682" s="1"/>
      <c r="G682" s="1"/>
      <c r="H682" s="1"/>
      <c r="I682" s="1"/>
      <c r="J682" s="1"/>
      <c r="K682" s="1"/>
      <c r="L682" s="1"/>
      <c r="M682" s="1"/>
      <c r="N682" s="1"/>
      <c r="O682" s="1"/>
      <c r="P682" s="1"/>
      <c r="Q682" s="1"/>
      <c r="R682" s="1"/>
      <c r="S682" s="1"/>
      <c r="T682" s="1"/>
      <c r="U682" s="2"/>
      <c r="V682" s="1"/>
      <c r="W682" s="1"/>
      <c r="X682" s="1"/>
      <c r="Y682" s="1"/>
      <c r="Z682" s="1"/>
    </row>
    <row r="683" spans="1:26" ht="39.75" customHeight="1">
      <c r="A683" s="1"/>
      <c r="B683" s="1"/>
      <c r="C683" s="1"/>
      <c r="D683" s="1"/>
      <c r="E683" s="1"/>
      <c r="F683" s="1"/>
      <c r="G683" s="1"/>
      <c r="H683" s="1"/>
      <c r="I683" s="1"/>
      <c r="J683" s="1"/>
      <c r="K683" s="1"/>
      <c r="L683" s="1"/>
      <c r="M683" s="1"/>
      <c r="N683" s="1"/>
      <c r="O683" s="1"/>
      <c r="P683" s="1"/>
      <c r="Q683" s="1"/>
      <c r="R683" s="1"/>
      <c r="S683" s="1"/>
      <c r="T683" s="1"/>
      <c r="U683" s="2"/>
      <c r="V683" s="1"/>
      <c r="W683" s="1"/>
      <c r="X683" s="1"/>
      <c r="Y683" s="1"/>
      <c r="Z683" s="1"/>
    </row>
    <row r="684" spans="1:26" ht="39.75" customHeight="1">
      <c r="A684" s="1"/>
      <c r="B684" s="1"/>
      <c r="C684" s="1"/>
      <c r="D684" s="1"/>
      <c r="E684" s="1"/>
      <c r="F684" s="1"/>
      <c r="G684" s="1"/>
      <c r="H684" s="1"/>
      <c r="I684" s="1"/>
      <c r="J684" s="1"/>
      <c r="K684" s="1"/>
      <c r="L684" s="1"/>
      <c r="M684" s="1"/>
      <c r="N684" s="1"/>
      <c r="O684" s="1"/>
      <c r="P684" s="1"/>
      <c r="Q684" s="1"/>
      <c r="R684" s="1"/>
      <c r="S684" s="1"/>
      <c r="T684" s="1"/>
      <c r="U684" s="2"/>
      <c r="V684" s="1"/>
      <c r="W684" s="1"/>
      <c r="X684" s="1"/>
      <c r="Y684" s="1"/>
      <c r="Z684" s="1"/>
    </row>
    <row r="685" spans="1:26" ht="39.75" customHeight="1">
      <c r="A685" s="1"/>
      <c r="B685" s="1"/>
      <c r="C685" s="1"/>
      <c r="D685" s="1"/>
      <c r="E685" s="1"/>
      <c r="F685" s="1"/>
      <c r="G685" s="1"/>
      <c r="H685" s="1"/>
      <c r="I685" s="1"/>
      <c r="J685" s="1"/>
      <c r="K685" s="1"/>
      <c r="L685" s="1"/>
      <c r="M685" s="1"/>
      <c r="N685" s="1"/>
      <c r="O685" s="1"/>
      <c r="P685" s="1"/>
      <c r="Q685" s="1"/>
      <c r="R685" s="1"/>
      <c r="S685" s="1"/>
      <c r="T685" s="1"/>
      <c r="U685" s="2"/>
      <c r="V685" s="1"/>
      <c r="W685" s="1"/>
      <c r="X685" s="1"/>
      <c r="Y685" s="1"/>
      <c r="Z685" s="1"/>
    </row>
    <row r="686" spans="1:26" ht="39.75" customHeight="1">
      <c r="A686" s="1"/>
      <c r="B686" s="1"/>
      <c r="C686" s="1"/>
      <c r="D686" s="1"/>
      <c r="E686" s="1"/>
      <c r="F686" s="1"/>
      <c r="G686" s="1"/>
      <c r="H686" s="1"/>
      <c r="I686" s="1"/>
      <c r="J686" s="1"/>
      <c r="K686" s="1"/>
      <c r="L686" s="1"/>
      <c r="M686" s="1"/>
      <c r="N686" s="1"/>
      <c r="O686" s="1"/>
      <c r="P686" s="1"/>
      <c r="Q686" s="1"/>
      <c r="R686" s="1"/>
      <c r="S686" s="1"/>
      <c r="T686" s="1"/>
      <c r="U686" s="2"/>
      <c r="V686" s="1"/>
      <c r="W686" s="1"/>
      <c r="X686" s="1"/>
      <c r="Y686" s="1"/>
      <c r="Z686" s="1"/>
    </row>
    <row r="687" spans="1:26" ht="39.75" customHeight="1">
      <c r="A687" s="1"/>
      <c r="B687" s="1"/>
      <c r="C687" s="1"/>
      <c r="D687" s="1"/>
      <c r="E687" s="1"/>
      <c r="F687" s="1"/>
      <c r="G687" s="1"/>
      <c r="H687" s="1"/>
      <c r="I687" s="1"/>
      <c r="J687" s="1"/>
      <c r="K687" s="1"/>
      <c r="L687" s="1"/>
      <c r="M687" s="1"/>
      <c r="N687" s="1"/>
      <c r="O687" s="1"/>
      <c r="P687" s="1"/>
      <c r="Q687" s="1"/>
      <c r="R687" s="1"/>
      <c r="S687" s="1"/>
      <c r="T687" s="1"/>
      <c r="U687" s="2"/>
      <c r="V687" s="1"/>
      <c r="W687" s="1"/>
      <c r="X687" s="1"/>
      <c r="Y687" s="1"/>
      <c r="Z687" s="1"/>
    </row>
    <row r="688" spans="1:26" ht="39.75" customHeight="1">
      <c r="A688" s="1"/>
      <c r="B688" s="1"/>
      <c r="C688" s="1"/>
      <c r="D688" s="1"/>
      <c r="E688" s="1"/>
      <c r="F688" s="1"/>
      <c r="G688" s="1"/>
      <c r="H688" s="1"/>
      <c r="I688" s="1"/>
      <c r="J688" s="1"/>
      <c r="K688" s="1"/>
      <c r="L688" s="1"/>
      <c r="M688" s="1"/>
      <c r="N688" s="1"/>
      <c r="O688" s="1"/>
      <c r="P688" s="1"/>
      <c r="Q688" s="1"/>
      <c r="R688" s="1"/>
      <c r="S688" s="1"/>
      <c r="T688" s="1"/>
      <c r="U688" s="2"/>
      <c r="V688" s="1"/>
      <c r="W688" s="1"/>
      <c r="X688" s="1"/>
      <c r="Y688" s="1"/>
      <c r="Z688" s="1"/>
    </row>
    <row r="689" spans="1:26" ht="39.75" customHeight="1">
      <c r="A689" s="1"/>
      <c r="B689" s="1"/>
      <c r="C689" s="1"/>
      <c r="D689" s="1"/>
      <c r="E689" s="1"/>
      <c r="F689" s="1"/>
      <c r="G689" s="1"/>
      <c r="H689" s="1"/>
      <c r="I689" s="1"/>
      <c r="J689" s="1"/>
      <c r="K689" s="1"/>
      <c r="L689" s="1"/>
      <c r="M689" s="1"/>
      <c r="N689" s="1"/>
      <c r="O689" s="1"/>
      <c r="P689" s="1"/>
      <c r="Q689" s="1"/>
      <c r="R689" s="1"/>
      <c r="S689" s="1"/>
      <c r="T689" s="1"/>
      <c r="U689" s="2"/>
      <c r="V689" s="1"/>
      <c r="W689" s="1"/>
      <c r="X689" s="1"/>
      <c r="Y689" s="1"/>
      <c r="Z689" s="1"/>
    </row>
    <row r="690" spans="1:26" ht="39.75" customHeight="1">
      <c r="A690" s="1"/>
      <c r="B690" s="1"/>
      <c r="C690" s="1"/>
      <c r="D690" s="1"/>
      <c r="E690" s="1"/>
      <c r="F690" s="1"/>
      <c r="G690" s="1"/>
      <c r="H690" s="1"/>
      <c r="I690" s="1"/>
      <c r="J690" s="1"/>
      <c r="K690" s="1"/>
      <c r="L690" s="1"/>
      <c r="M690" s="1"/>
      <c r="N690" s="1"/>
      <c r="O690" s="1"/>
      <c r="P690" s="1"/>
      <c r="Q690" s="1"/>
      <c r="R690" s="1"/>
      <c r="S690" s="1"/>
      <c r="T690" s="1"/>
      <c r="U690" s="2"/>
      <c r="V690" s="1"/>
      <c r="W690" s="1"/>
      <c r="X690" s="1"/>
      <c r="Y690" s="1"/>
      <c r="Z690" s="1"/>
    </row>
    <row r="691" spans="1:26" ht="39.75" customHeight="1">
      <c r="A691" s="1"/>
      <c r="B691" s="1"/>
      <c r="C691" s="1"/>
      <c r="D691" s="1"/>
      <c r="E691" s="1"/>
      <c r="F691" s="1"/>
      <c r="G691" s="1"/>
      <c r="H691" s="1"/>
      <c r="I691" s="1"/>
      <c r="J691" s="1"/>
      <c r="K691" s="1"/>
      <c r="L691" s="1"/>
      <c r="M691" s="1"/>
      <c r="N691" s="1"/>
      <c r="O691" s="1"/>
      <c r="P691" s="1"/>
      <c r="Q691" s="1"/>
      <c r="R691" s="1"/>
      <c r="S691" s="1"/>
      <c r="T691" s="1"/>
      <c r="U691" s="2"/>
      <c r="V691" s="1"/>
      <c r="W691" s="1"/>
      <c r="X691" s="1"/>
      <c r="Y691" s="1"/>
      <c r="Z691" s="1"/>
    </row>
    <row r="692" spans="1:26" ht="39.75" customHeight="1">
      <c r="A692" s="1"/>
      <c r="B692" s="1"/>
      <c r="C692" s="1"/>
      <c r="D692" s="1"/>
      <c r="E692" s="1"/>
      <c r="F692" s="1"/>
      <c r="G692" s="1"/>
      <c r="H692" s="1"/>
      <c r="I692" s="1"/>
      <c r="J692" s="1"/>
      <c r="K692" s="1"/>
      <c r="L692" s="1"/>
      <c r="M692" s="1"/>
      <c r="N692" s="1"/>
      <c r="O692" s="1"/>
      <c r="P692" s="1"/>
      <c r="Q692" s="1"/>
      <c r="R692" s="1"/>
      <c r="S692" s="1"/>
      <c r="T692" s="1"/>
      <c r="U692" s="2"/>
      <c r="V692" s="1"/>
      <c r="W692" s="1"/>
      <c r="X692" s="1"/>
      <c r="Y692" s="1"/>
      <c r="Z692" s="1"/>
    </row>
    <row r="693" spans="1:26" ht="39.75" customHeight="1">
      <c r="A693" s="1"/>
      <c r="B693" s="1"/>
      <c r="C693" s="1"/>
      <c r="D693" s="1"/>
      <c r="E693" s="1"/>
      <c r="F693" s="1"/>
      <c r="G693" s="1"/>
      <c r="H693" s="1"/>
      <c r="I693" s="1"/>
      <c r="J693" s="1"/>
      <c r="K693" s="1"/>
      <c r="L693" s="1"/>
      <c r="M693" s="1"/>
      <c r="N693" s="1"/>
      <c r="O693" s="1"/>
      <c r="P693" s="1"/>
      <c r="Q693" s="1"/>
      <c r="R693" s="1"/>
      <c r="S693" s="1"/>
      <c r="T693" s="1"/>
      <c r="U693" s="2"/>
      <c r="V693" s="1"/>
      <c r="W693" s="1"/>
      <c r="X693" s="1"/>
      <c r="Y693" s="1"/>
      <c r="Z693" s="1"/>
    </row>
    <row r="694" spans="1:26" ht="39.75" customHeight="1">
      <c r="A694" s="1"/>
      <c r="B694" s="1"/>
      <c r="C694" s="1"/>
      <c r="D694" s="1"/>
      <c r="E694" s="1"/>
      <c r="F694" s="1"/>
      <c r="G694" s="1"/>
      <c r="H694" s="1"/>
      <c r="I694" s="1"/>
      <c r="J694" s="1"/>
      <c r="K694" s="1"/>
      <c r="L694" s="1"/>
      <c r="M694" s="1"/>
      <c r="N694" s="1"/>
      <c r="O694" s="1"/>
      <c r="P694" s="1"/>
      <c r="Q694" s="1"/>
      <c r="R694" s="1"/>
      <c r="S694" s="1"/>
      <c r="T694" s="1"/>
      <c r="U694" s="2"/>
      <c r="V694" s="1"/>
      <c r="W694" s="1"/>
      <c r="X694" s="1"/>
      <c r="Y694" s="1"/>
      <c r="Z694" s="1"/>
    </row>
    <row r="695" spans="1:26" ht="39.75" customHeight="1">
      <c r="A695" s="1"/>
      <c r="B695" s="1"/>
      <c r="C695" s="1"/>
      <c r="D695" s="1"/>
      <c r="E695" s="1"/>
      <c r="F695" s="1"/>
      <c r="G695" s="1"/>
      <c r="H695" s="1"/>
      <c r="I695" s="1"/>
      <c r="J695" s="1"/>
      <c r="K695" s="1"/>
      <c r="L695" s="1"/>
      <c r="M695" s="1"/>
      <c r="N695" s="1"/>
      <c r="O695" s="1"/>
      <c r="P695" s="1"/>
      <c r="Q695" s="1"/>
      <c r="R695" s="1"/>
      <c r="S695" s="1"/>
      <c r="T695" s="1"/>
      <c r="U695" s="2"/>
      <c r="V695" s="1"/>
      <c r="W695" s="1"/>
      <c r="X695" s="1"/>
      <c r="Y695" s="1"/>
      <c r="Z695" s="1"/>
    </row>
    <row r="696" spans="1:26" ht="39.75" customHeight="1">
      <c r="A696" s="1"/>
      <c r="B696" s="1"/>
      <c r="C696" s="1"/>
      <c r="D696" s="1"/>
      <c r="E696" s="1"/>
      <c r="F696" s="1"/>
      <c r="G696" s="1"/>
      <c r="H696" s="1"/>
      <c r="I696" s="1"/>
      <c r="J696" s="1"/>
      <c r="K696" s="1"/>
      <c r="L696" s="1"/>
      <c r="M696" s="1"/>
      <c r="N696" s="1"/>
      <c r="O696" s="1"/>
      <c r="P696" s="1"/>
      <c r="Q696" s="1"/>
      <c r="R696" s="1"/>
      <c r="S696" s="1"/>
      <c r="T696" s="1"/>
      <c r="U696" s="2"/>
      <c r="V696" s="1"/>
      <c r="W696" s="1"/>
      <c r="X696" s="1"/>
      <c r="Y696" s="1"/>
      <c r="Z696" s="1"/>
    </row>
    <row r="697" spans="1:26" ht="39.75" customHeight="1">
      <c r="A697" s="1"/>
      <c r="B697" s="1"/>
      <c r="C697" s="1"/>
      <c r="D697" s="1"/>
      <c r="E697" s="1"/>
      <c r="F697" s="1"/>
      <c r="G697" s="1"/>
      <c r="H697" s="1"/>
      <c r="I697" s="1"/>
      <c r="J697" s="1"/>
      <c r="K697" s="1"/>
      <c r="L697" s="1"/>
      <c r="M697" s="1"/>
      <c r="N697" s="1"/>
      <c r="O697" s="1"/>
      <c r="P697" s="1"/>
      <c r="Q697" s="1"/>
      <c r="R697" s="1"/>
      <c r="S697" s="1"/>
      <c r="T697" s="1"/>
      <c r="U697" s="2"/>
      <c r="V697" s="1"/>
      <c r="W697" s="1"/>
      <c r="X697" s="1"/>
      <c r="Y697" s="1"/>
      <c r="Z697" s="1"/>
    </row>
    <row r="698" spans="1:26" ht="39.75" customHeight="1">
      <c r="A698" s="1"/>
      <c r="B698" s="1"/>
      <c r="C698" s="1"/>
      <c r="D698" s="1"/>
      <c r="E698" s="1"/>
      <c r="F698" s="1"/>
      <c r="G698" s="1"/>
      <c r="H698" s="1"/>
      <c r="I698" s="1"/>
      <c r="J698" s="1"/>
      <c r="K698" s="1"/>
      <c r="L698" s="1"/>
      <c r="M698" s="1"/>
      <c r="N698" s="1"/>
      <c r="O698" s="1"/>
      <c r="P698" s="1"/>
      <c r="Q698" s="1"/>
      <c r="R698" s="1"/>
      <c r="S698" s="1"/>
      <c r="T698" s="1"/>
      <c r="U698" s="2"/>
      <c r="V698" s="1"/>
      <c r="W698" s="1"/>
      <c r="X698" s="1"/>
      <c r="Y698" s="1"/>
      <c r="Z698" s="1"/>
    </row>
    <row r="699" spans="1:26" ht="39.75" customHeight="1">
      <c r="A699" s="1"/>
      <c r="B699" s="1"/>
      <c r="C699" s="1"/>
      <c r="D699" s="1"/>
      <c r="E699" s="1"/>
      <c r="F699" s="1"/>
      <c r="G699" s="1"/>
      <c r="H699" s="1"/>
      <c r="I699" s="1"/>
      <c r="J699" s="1"/>
      <c r="K699" s="1"/>
      <c r="L699" s="1"/>
      <c r="M699" s="1"/>
      <c r="N699" s="1"/>
      <c r="O699" s="1"/>
      <c r="P699" s="1"/>
      <c r="Q699" s="1"/>
      <c r="R699" s="1"/>
      <c r="S699" s="1"/>
      <c r="T699" s="1"/>
      <c r="U699" s="2"/>
      <c r="V699" s="1"/>
      <c r="W699" s="1"/>
      <c r="X699" s="1"/>
      <c r="Y699" s="1"/>
      <c r="Z699" s="1"/>
    </row>
    <row r="700" spans="1:26" ht="39.75" customHeight="1">
      <c r="A700" s="1"/>
      <c r="B700" s="1"/>
      <c r="C700" s="1"/>
      <c r="D700" s="1"/>
      <c r="E700" s="1"/>
      <c r="F700" s="1"/>
      <c r="G700" s="1"/>
      <c r="H700" s="1"/>
      <c r="I700" s="1"/>
      <c r="J700" s="1"/>
      <c r="K700" s="1"/>
      <c r="L700" s="1"/>
      <c r="M700" s="1"/>
      <c r="N700" s="1"/>
      <c r="O700" s="1"/>
      <c r="P700" s="1"/>
      <c r="Q700" s="1"/>
      <c r="R700" s="1"/>
      <c r="S700" s="1"/>
      <c r="T700" s="1"/>
      <c r="U700" s="2"/>
      <c r="V700" s="1"/>
      <c r="W700" s="1"/>
      <c r="X700" s="1"/>
      <c r="Y700" s="1"/>
      <c r="Z700" s="1"/>
    </row>
    <row r="701" spans="1:26" ht="39.75" customHeight="1">
      <c r="A701" s="1"/>
      <c r="B701" s="1"/>
      <c r="C701" s="1"/>
      <c r="D701" s="1"/>
      <c r="E701" s="1"/>
      <c r="F701" s="1"/>
      <c r="G701" s="1"/>
      <c r="H701" s="1"/>
      <c r="I701" s="1"/>
      <c r="J701" s="1"/>
      <c r="K701" s="1"/>
      <c r="L701" s="1"/>
      <c r="M701" s="1"/>
      <c r="N701" s="1"/>
      <c r="O701" s="1"/>
      <c r="P701" s="1"/>
      <c r="Q701" s="1"/>
      <c r="R701" s="1"/>
      <c r="S701" s="1"/>
      <c r="T701" s="1"/>
      <c r="U701" s="2"/>
      <c r="V701" s="1"/>
      <c r="W701" s="1"/>
      <c r="X701" s="1"/>
      <c r="Y701" s="1"/>
      <c r="Z701" s="1"/>
    </row>
    <row r="702" spans="1:26" ht="39.75" customHeight="1">
      <c r="A702" s="1"/>
      <c r="B702" s="1"/>
      <c r="C702" s="1"/>
      <c r="D702" s="1"/>
      <c r="E702" s="1"/>
      <c r="F702" s="1"/>
      <c r="G702" s="1"/>
      <c r="H702" s="1"/>
      <c r="I702" s="1"/>
      <c r="J702" s="1"/>
      <c r="K702" s="1"/>
      <c r="L702" s="1"/>
      <c r="M702" s="1"/>
      <c r="N702" s="1"/>
      <c r="O702" s="1"/>
      <c r="P702" s="1"/>
      <c r="Q702" s="1"/>
      <c r="R702" s="1"/>
      <c r="S702" s="1"/>
      <c r="T702" s="1"/>
      <c r="U702" s="2"/>
      <c r="V702" s="1"/>
      <c r="W702" s="1"/>
      <c r="X702" s="1"/>
      <c r="Y702" s="1"/>
      <c r="Z702" s="1"/>
    </row>
    <row r="703" spans="1:26" ht="39.75" customHeight="1">
      <c r="A703" s="1"/>
      <c r="B703" s="1"/>
      <c r="C703" s="1"/>
      <c r="D703" s="1"/>
      <c r="E703" s="1"/>
      <c r="F703" s="1"/>
      <c r="G703" s="1"/>
      <c r="H703" s="1"/>
      <c r="I703" s="1"/>
      <c r="J703" s="1"/>
      <c r="K703" s="1"/>
      <c r="L703" s="1"/>
      <c r="M703" s="1"/>
      <c r="N703" s="1"/>
      <c r="O703" s="1"/>
      <c r="P703" s="1"/>
      <c r="Q703" s="1"/>
      <c r="R703" s="1"/>
      <c r="S703" s="1"/>
      <c r="T703" s="1"/>
      <c r="U703" s="2"/>
      <c r="V703" s="1"/>
      <c r="W703" s="1"/>
      <c r="X703" s="1"/>
      <c r="Y703" s="1"/>
      <c r="Z703" s="1"/>
    </row>
    <row r="704" spans="1:26" ht="39.75" customHeight="1">
      <c r="A704" s="1"/>
      <c r="B704" s="1"/>
      <c r="C704" s="1"/>
      <c r="D704" s="1"/>
      <c r="E704" s="1"/>
      <c r="F704" s="1"/>
      <c r="G704" s="1"/>
      <c r="H704" s="1"/>
      <c r="I704" s="1"/>
      <c r="J704" s="1"/>
      <c r="K704" s="1"/>
      <c r="L704" s="1"/>
      <c r="M704" s="1"/>
      <c r="N704" s="1"/>
      <c r="O704" s="1"/>
      <c r="P704" s="1"/>
      <c r="Q704" s="1"/>
      <c r="R704" s="1"/>
      <c r="S704" s="1"/>
      <c r="T704" s="1"/>
      <c r="U704" s="2"/>
      <c r="V704" s="1"/>
      <c r="W704" s="1"/>
      <c r="X704" s="1"/>
      <c r="Y704" s="1"/>
      <c r="Z704" s="1"/>
    </row>
    <row r="705" spans="1:26" ht="39.75" customHeight="1">
      <c r="A705" s="1"/>
      <c r="B705" s="1"/>
      <c r="C705" s="1"/>
      <c r="D705" s="1"/>
      <c r="E705" s="1"/>
      <c r="F705" s="1"/>
      <c r="G705" s="1"/>
      <c r="H705" s="1"/>
      <c r="I705" s="1"/>
      <c r="J705" s="1"/>
      <c r="K705" s="1"/>
      <c r="L705" s="1"/>
      <c r="M705" s="1"/>
      <c r="N705" s="1"/>
      <c r="O705" s="1"/>
      <c r="P705" s="1"/>
      <c r="Q705" s="1"/>
      <c r="R705" s="1"/>
      <c r="S705" s="1"/>
      <c r="T705" s="1"/>
      <c r="U705" s="2"/>
      <c r="V705" s="1"/>
      <c r="W705" s="1"/>
      <c r="X705" s="1"/>
      <c r="Y705" s="1"/>
      <c r="Z705" s="1"/>
    </row>
    <row r="706" spans="1:26" ht="39.75" customHeight="1">
      <c r="A706" s="1"/>
      <c r="B706" s="1"/>
      <c r="C706" s="1"/>
      <c r="D706" s="1"/>
      <c r="E706" s="1"/>
      <c r="F706" s="1"/>
      <c r="G706" s="1"/>
      <c r="H706" s="1"/>
      <c r="I706" s="1"/>
      <c r="J706" s="1"/>
      <c r="K706" s="1"/>
      <c r="L706" s="1"/>
      <c r="M706" s="1"/>
      <c r="N706" s="1"/>
      <c r="O706" s="1"/>
      <c r="P706" s="1"/>
      <c r="Q706" s="1"/>
      <c r="R706" s="1"/>
      <c r="S706" s="1"/>
      <c r="T706" s="1"/>
      <c r="U706" s="2"/>
      <c r="V706" s="1"/>
      <c r="W706" s="1"/>
      <c r="X706" s="1"/>
      <c r="Y706" s="1"/>
      <c r="Z706" s="1"/>
    </row>
    <row r="707" spans="1:26" ht="39.75" customHeight="1">
      <c r="A707" s="1"/>
      <c r="B707" s="1"/>
      <c r="C707" s="1"/>
      <c r="D707" s="1"/>
      <c r="E707" s="1"/>
      <c r="F707" s="1"/>
      <c r="G707" s="1"/>
      <c r="H707" s="1"/>
      <c r="I707" s="1"/>
      <c r="J707" s="1"/>
      <c r="K707" s="1"/>
      <c r="L707" s="1"/>
      <c r="M707" s="1"/>
      <c r="N707" s="1"/>
      <c r="O707" s="1"/>
      <c r="P707" s="1"/>
      <c r="Q707" s="1"/>
      <c r="R707" s="1"/>
      <c r="S707" s="1"/>
      <c r="T707" s="1"/>
      <c r="U707" s="2"/>
      <c r="V707" s="1"/>
      <c r="W707" s="1"/>
      <c r="X707" s="1"/>
      <c r="Y707" s="1"/>
      <c r="Z707" s="1"/>
    </row>
    <row r="708" spans="1:26" ht="39.75" customHeight="1">
      <c r="A708" s="1"/>
      <c r="B708" s="1"/>
      <c r="C708" s="1"/>
      <c r="D708" s="1"/>
      <c r="E708" s="1"/>
      <c r="F708" s="1"/>
      <c r="G708" s="1"/>
      <c r="H708" s="1"/>
      <c r="I708" s="1"/>
      <c r="J708" s="1"/>
      <c r="K708" s="1"/>
      <c r="L708" s="1"/>
      <c r="M708" s="1"/>
      <c r="N708" s="1"/>
      <c r="O708" s="1"/>
      <c r="P708" s="1"/>
      <c r="Q708" s="1"/>
      <c r="R708" s="1"/>
      <c r="S708" s="1"/>
      <c r="T708" s="1"/>
      <c r="U708" s="2"/>
      <c r="V708" s="1"/>
      <c r="W708" s="1"/>
      <c r="X708" s="1"/>
      <c r="Y708" s="1"/>
      <c r="Z708" s="1"/>
    </row>
    <row r="709" spans="1:26" ht="39.75" customHeight="1">
      <c r="A709" s="1"/>
      <c r="B709" s="1"/>
      <c r="C709" s="1"/>
      <c r="D709" s="1"/>
      <c r="E709" s="1"/>
      <c r="F709" s="1"/>
      <c r="G709" s="1"/>
      <c r="H709" s="1"/>
      <c r="I709" s="1"/>
      <c r="J709" s="1"/>
      <c r="K709" s="1"/>
      <c r="L709" s="1"/>
      <c r="M709" s="1"/>
      <c r="N709" s="1"/>
      <c r="O709" s="1"/>
      <c r="P709" s="1"/>
      <c r="Q709" s="1"/>
      <c r="R709" s="1"/>
      <c r="S709" s="1"/>
      <c r="T709" s="1"/>
      <c r="U709" s="2"/>
      <c r="V709" s="1"/>
      <c r="W709" s="1"/>
      <c r="X709" s="1"/>
      <c r="Y709" s="1"/>
      <c r="Z709" s="1"/>
    </row>
    <row r="710" spans="1:26" ht="39.75" customHeight="1">
      <c r="A710" s="1"/>
      <c r="B710" s="1"/>
      <c r="C710" s="1"/>
      <c r="D710" s="1"/>
      <c r="E710" s="1"/>
      <c r="F710" s="1"/>
      <c r="G710" s="1"/>
      <c r="H710" s="1"/>
      <c r="I710" s="1"/>
      <c r="J710" s="1"/>
      <c r="K710" s="1"/>
      <c r="L710" s="1"/>
      <c r="M710" s="1"/>
      <c r="N710" s="1"/>
      <c r="O710" s="1"/>
      <c r="P710" s="1"/>
      <c r="Q710" s="1"/>
      <c r="R710" s="1"/>
      <c r="S710" s="1"/>
      <c r="T710" s="1"/>
      <c r="U710" s="2"/>
      <c r="V710" s="1"/>
      <c r="W710" s="1"/>
      <c r="X710" s="1"/>
      <c r="Y710" s="1"/>
      <c r="Z710" s="1"/>
    </row>
    <row r="711" spans="1:26" ht="39.75" customHeight="1">
      <c r="A711" s="1"/>
      <c r="B711" s="1"/>
      <c r="C711" s="1"/>
      <c r="D711" s="1"/>
      <c r="E711" s="1"/>
      <c r="F711" s="1"/>
      <c r="G711" s="1"/>
      <c r="H711" s="1"/>
      <c r="I711" s="1"/>
      <c r="J711" s="1"/>
      <c r="K711" s="1"/>
      <c r="L711" s="1"/>
      <c r="M711" s="1"/>
      <c r="N711" s="1"/>
      <c r="O711" s="1"/>
      <c r="P711" s="1"/>
      <c r="Q711" s="1"/>
      <c r="R711" s="1"/>
      <c r="S711" s="1"/>
      <c r="T711" s="1"/>
      <c r="U711" s="2"/>
      <c r="V711" s="1"/>
      <c r="W711" s="1"/>
      <c r="X711" s="1"/>
      <c r="Y711" s="1"/>
      <c r="Z711" s="1"/>
    </row>
    <row r="712" spans="1:26" ht="39.75" customHeight="1">
      <c r="A712" s="1"/>
      <c r="B712" s="1"/>
      <c r="C712" s="1"/>
      <c r="D712" s="1"/>
      <c r="E712" s="1"/>
      <c r="F712" s="1"/>
      <c r="G712" s="1"/>
      <c r="H712" s="1"/>
      <c r="I712" s="1"/>
      <c r="J712" s="1"/>
      <c r="K712" s="1"/>
      <c r="L712" s="1"/>
      <c r="M712" s="1"/>
      <c r="N712" s="1"/>
      <c r="O712" s="1"/>
      <c r="P712" s="1"/>
      <c r="Q712" s="1"/>
      <c r="R712" s="1"/>
      <c r="S712" s="1"/>
      <c r="T712" s="1"/>
      <c r="U712" s="2"/>
      <c r="V712" s="1"/>
      <c r="W712" s="1"/>
      <c r="X712" s="1"/>
      <c r="Y712" s="1"/>
      <c r="Z712" s="1"/>
    </row>
    <row r="713" spans="1:26" ht="39.75" customHeight="1">
      <c r="A713" s="1"/>
      <c r="B713" s="1"/>
      <c r="C713" s="1"/>
      <c r="D713" s="1"/>
      <c r="E713" s="1"/>
      <c r="F713" s="1"/>
      <c r="G713" s="1"/>
      <c r="H713" s="1"/>
      <c r="I713" s="1"/>
      <c r="J713" s="1"/>
      <c r="K713" s="1"/>
      <c r="L713" s="1"/>
      <c r="M713" s="1"/>
      <c r="N713" s="1"/>
      <c r="O713" s="1"/>
      <c r="P713" s="1"/>
      <c r="Q713" s="1"/>
      <c r="R713" s="1"/>
      <c r="S713" s="1"/>
      <c r="T713" s="1"/>
      <c r="U713" s="2"/>
      <c r="V713" s="1"/>
      <c r="W713" s="1"/>
      <c r="X713" s="1"/>
      <c r="Y713" s="1"/>
      <c r="Z713" s="1"/>
    </row>
    <row r="714" spans="1:26" ht="39.75" customHeight="1">
      <c r="A714" s="1"/>
      <c r="B714" s="1"/>
      <c r="C714" s="1"/>
      <c r="D714" s="1"/>
      <c r="E714" s="1"/>
      <c r="F714" s="1"/>
      <c r="G714" s="1"/>
      <c r="H714" s="1"/>
      <c r="I714" s="1"/>
      <c r="J714" s="1"/>
      <c r="K714" s="1"/>
      <c r="L714" s="1"/>
      <c r="M714" s="1"/>
      <c r="N714" s="1"/>
      <c r="O714" s="1"/>
      <c r="P714" s="1"/>
      <c r="Q714" s="1"/>
      <c r="R714" s="1"/>
      <c r="S714" s="1"/>
      <c r="T714" s="1"/>
      <c r="U714" s="2"/>
      <c r="V714" s="1"/>
      <c r="W714" s="1"/>
      <c r="X714" s="1"/>
      <c r="Y714" s="1"/>
      <c r="Z714" s="1"/>
    </row>
    <row r="715" spans="1:26" ht="39.75" customHeight="1">
      <c r="A715" s="1"/>
      <c r="B715" s="1"/>
      <c r="C715" s="1"/>
      <c r="D715" s="1"/>
      <c r="E715" s="1"/>
      <c r="F715" s="1"/>
      <c r="G715" s="1"/>
      <c r="H715" s="1"/>
      <c r="I715" s="1"/>
      <c r="J715" s="1"/>
      <c r="K715" s="1"/>
      <c r="L715" s="1"/>
      <c r="M715" s="1"/>
      <c r="N715" s="1"/>
      <c r="O715" s="1"/>
      <c r="P715" s="1"/>
      <c r="Q715" s="1"/>
      <c r="R715" s="1"/>
      <c r="S715" s="1"/>
      <c r="T715" s="1"/>
      <c r="U715" s="2"/>
      <c r="V715" s="1"/>
      <c r="W715" s="1"/>
      <c r="X715" s="1"/>
      <c r="Y715" s="1"/>
      <c r="Z715" s="1"/>
    </row>
    <row r="716" spans="1:26" ht="39.75" customHeight="1">
      <c r="A716" s="1"/>
      <c r="B716" s="1"/>
      <c r="C716" s="1"/>
      <c r="D716" s="1"/>
      <c r="E716" s="1"/>
      <c r="F716" s="1"/>
      <c r="G716" s="1"/>
      <c r="H716" s="1"/>
      <c r="I716" s="1"/>
      <c r="J716" s="1"/>
      <c r="K716" s="1"/>
      <c r="L716" s="1"/>
      <c r="M716" s="1"/>
      <c r="N716" s="1"/>
      <c r="O716" s="1"/>
      <c r="P716" s="1"/>
      <c r="Q716" s="1"/>
      <c r="R716" s="1"/>
      <c r="S716" s="1"/>
      <c r="T716" s="1"/>
      <c r="U716" s="2"/>
      <c r="V716" s="1"/>
      <c r="W716" s="1"/>
      <c r="X716" s="1"/>
      <c r="Y716" s="1"/>
      <c r="Z716" s="1"/>
    </row>
    <row r="717" spans="1:26" ht="39.75" customHeight="1">
      <c r="A717" s="1"/>
      <c r="B717" s="1"/>
      <c r="C717" s="1"/>
      <c r="D717" s="1"/>
      <c r="E717" s="1"/>
      <c r="F717" s="1"/>
      <c r="G717" s="1"/>
      <c r="H717" s="1"/>
      <c r="I717" s="1"/>
      <c r="J717" s="1"/>
      <c r="K717" s="1"/>
      <c r="L717" s="1"/>
      <c r="M717" s="1"/>
      <c r="N717" s="1"/>
      <c r="O717" s="1"/>
      <c r="P717" s="1"/>
      <c r="Q717" s="1"/>
      <c r="R717" s="1"/>
      <c r="S717" s="1"/>
      <c r="T717" s="1"/>
      <c r="U717" s="2"/>
      <c r="V717" s="1"/>
      <c r="W717" s="1"/>
      <c r="X717" s="1"/>
      <c r="Y717" s="1"/>
      <c r="Z717" s="1"/>
    </row>
    <row r="718" spans="1:26" ht="39.75" customHeight="1">
      <c r="A718" s="1"/>
      <c r="B718" s="1"/>
      <c r="C718" s="1"/>
      <c r="D718" s="1"/>
      <c r="E718" s="1"/>
      <c r="F718" s="1"/>
      <c r="G718" s="1"/>
      <c r="H718" s="1"/>
      <c r="I718" s="1"/>
      <c r="J718" s="1"/>
      <c r="K718" s="1"/>
      <c r="L718" s="1"/>
      <c r="M718" s="1"/>
      <c r="N718" s="1"/>
      <c r="O718" s="1"/>
      <c r="P718" s="1"/>
      <c r="Q718" s="1"/>
      <c r="R718" s="1"/>
      <c r="S718" s="1"/>
      <c r="T718" s="1"/>
      <c r="U718" s="2"/>
      <c r="V718" s="1"/>
      <c r="W718" s="1"/>
      <c r="X718" s="1"/>
      <c r="Y718" s="1"/>
      <c r="Z718" s="1"/>
    </row>
    <row r="719" spans="1:26" ht="39.75" customHeight="1">
      <c r="A719" s="1"/>
      <c r="B719" s="1"/>
      <c r="C719" s="1"/>
      <c r="D719" s="1"/>
      <c r="E719" s="1"/>
      <c r="F719" s="1"/>
      <c r="G719" s="1"/>
      <c r="H719" s="1"/>
      <c r="I719" s="1"/>
      <c r="J719" s="1"/>
      <c r="K719" s="1"/>
      <c r="L719" s="1"/>
      <c r="M719" s="1"/>
      <c r="N719" s="1"/>
      <c r="O719" s="1"/>
      <c r="P719" s="1"/>
      <c r="Q719" s="1"/>
      <c r="R719" s="1"/>
      <c r="S719" s="1"/>
      <c r="T719" s="1"/>
      <c r="U719" s="2"/>
      <c r="V719" s="1"/>
      <c r="W719" s="1"/>
      <c r="X719" s="1"/>
      <c r="Y719" s="1"/>
      <c r="Z719" s="1"/>
    </row>
    <row r="720" spans="1:26" ht="39.75" customHeight="1">
      <c r="A720" s="1"/>
      <c r="B720" s="1"/>
      <c r="C720" s="1"/>
      <c r="D720" s="1"/>
      <c r="E720" s="1"/>
      <c r="F720" s="1"/>
      <c r="G720" s="1"/>
      <c r="H720" s="1"/>
      <c r="I720" s="1"/>
      <c r="J720" s="1"/>
      <c r="K720" s="1"/>
      <c r="L720" s="1"/>
      <c r="M720" s="1"/>
      <c r="N720" s="1"/>
      <c r="O720" s="1"/>
      <c r="P720" s="1"/>
      <c r="Q720" s="1"/>
      <c r="R720" s="1"/>
      <c r="S720" s="1"/>
      <c r="T720" s="1"/>
      <c r="U720" s="2"/>
      <c r="V720" s="1"/>
      <c r="W720" s="1"/>
      <c r="X720" s="1"/>
      <c r="Y720" s="1"/>
      <c r="Z720" s="1"/>
    </row>
    <row r="721" spans="1:26" ht="39.75" customHeight="1">
      <c r="A721" s="1"/>
      <c r="B721" s="1"/>
      <c r="C721" s="1"/>
      <c r="D721" s="1"/>
      <c r="E721" s="1"/>
      <c r="F721" s="1"/>
      <c r="G721" s="1"/>
      <c r="H721" s="1"/>
      <c r="I721" s="1"/>
      <c r="J721" s="1"/>
      <c r="K721" s="1"/>
      <c r="L721" s="1"/>
      <c r="M721" s="1"/>
      <c r="N721" s="1"/>
      <c r="O721" s="1"/>
      <c r="P721" s="1"/>
      <c r="Q721" s="1"/>
      <c r="R721" s="1"/>
      <c r="S721" s="1"/>
      <c r="T721" s="1"/>
      <c r="U721" s="2"/>
      <c r="V721" s="1"/>
      <c r="W721" s="1"/>
      <c r="X721" s="1"/>
      <c r="Y721" s="1"/>
      <c r="Z721" s="1"/>
    </row>
    <row r="722" spans="1:26" ht="39.75" customHeight="1">
      <c r="A722" s="1"/>
      <c r="B722" s="1"/>
      <c r="C722" s="1"/>
      <c r="D722" s="1"/>
      <c r="E722" s="1"/>
      <c r="F722" s="1"/>
      <c r="G722" s="1"/>
      <c r="H722" s="1"/>
      <c r="I722" s="1"/>
      <c r="J722" s="1"/>
      <c r="K722" s="1"/>
      <c r="L722" s="1"/>
      <c r="M722" s="1"/>
      <c r="N722" s="1"/>
      <c r="O722" s="1"/>
      <c r="P722" s="1"/>
      <c r="Q722" s="1"/>
      <c r="R722" s="1"/>
      <c r="S722" s="1"/>
      <c r="T722" s="1"/>
      <c r="U722" s="2"/>
      <c r="V722" s="1"/>
      <c r="W722" s="1"/>
      <c r="X722" s="1"/>
      <c r="Y722" s="1"/>
      <c r="Z722" s="1"/>
    </row>
    <row r="723" spans="1:26" ht="39.75" customHeight="1">
      <c r="A723" s="1"/>
      <c r="B723" s="1"/>
      <c r="C723" s="1"/>
      <c r="D723" s="1"/>
      <c r="E723" s="1"/>
      <c r="F723" s="1"/>
      <c r="G723" s="1"/>
      <c r="H723" s="1"/>
      <c r="I723" s="1"/>
      <c r="J723" s="1"/>
      <c r="K723" s="1"/>
      <c r="L723" s="1"/>
      <c r="M723" s="1"/>
      <c r="N723" s="1"/>
      <c r="O723" s="1"/>
      <c r="P723" s="1"/>
      <c r="Q723" s="1"/>
      <c r="R723" s="1"/>
      <c r="S723" s="1"/>
      <c r="T723" s="1"/>
      <c r="U723" s="2"/>
      <c r="V723" s="1"/>
      <c r="W723" s="1"/>
      <c r="X723" s="1"/>
      <c r="Y723" s="1"/>
      <c r="Z723" s="1"/>
    </row>
    <row r="724" spans="1:26" ht="39.75" customHeight="1">
      <c r="A724" s="1"/>
      <c r="B724" s="1"/>
      <c r="C724" s="1"/>
      <c r="D724" s="1"/>
      <c r="E724" s="1"/>
      <c r="F724" s="1"/>
      <c r="G724" s="1"/>
      <c r="H724" s="1"/>
      <c r="I724" s="1"/>
      <c r="J724" s="1"/>
      <c r="K724" s="1"/>
      <c r="L724" s="1"/>
      <c r="M724" s="1"/>
      <c r="N724" s="1"/>
      <c r="O724" s="1"/>
      <c r="P724" s="1"/>
      <c r="Q724" s="1"/>
      <c r="R724" s="1"/>
      <c r="S724" s="1"/>
      <c r="T724" s="1"/>
      <c r="U724" s="2"/>
      <c r="V724" s="1"/>
      <c r="W724" s="1"/>
      <c r="X724" s="1"/>
      <c r="Y724" s="1"/>
      <c r="Z724" s="1"/>
    </row>
    <row r="725" spans="1:26" ht="39.75" customHeight="1">
      <c r="A725" s="1"/>
      <c r="B725" s="1"/>
      <c r="C725" s="1"/>
      <c r="D725" s="1"/>
      <c r="E725" s="1"/>
      <c r="F725" s="1"/>
      <c r="G725" s="1"/>
      <c r="H725" s="1"/>
      <c r="I725" s="1"/>
      <c r="J725" s="1"/>
      <c r="K725" s="1"/>
      <c r="L725" s="1"/>
      <c r="M725" s="1"/>
      <c r="N725" s="1"/>
      <c r="O725" s="1"/>
      <c r="P725" s="1"/>
      <c r="Q725" s="1"/>
      <c r="R725" s="1"/>
      <c r="S725" s="1"/>
      <c r="T725" s="1"/>
      <c r="U725" s="2"/>
      <c r="V725" s="1"/>
      <c r="W725" s="1"/>
      <c r="X725" s="1"/>
      <c r="Y725" s="1"/>
      <c r="Z725" s="1"/>
    </row>
    <row r="726" spans="1:26" ht="39.75" customHeight="1">
      <c r="A726" s="1"/>
      <c r="B726" s="1"/>
      <c r="C726" s="1"/>
      <c r="D726" s="1"/>
      <c r="E726" s="1"/>
      <c r="F726" s="1"/>
      <c r="G726" s="1"/>
      <c r="H726" s="1"/>
      <c r="I726" s="1"/>
      <c r="J726" s="1"/>
      <c r="K726" s="1"/>
      <c r="L726" s="1"/>
      <c r="M726" s="1"/>
      <c r="N726" s="1"/>
      <c r="O726" s="1"/>
      <c r="P726" s="1"/>
      <c r="Q726" s="1"/>
      <c r="R726" s="1"/>
      <c r="S726" s="1"/>
      <c r="T726" s="1"/>
      <c r="U726" s="2"/>
      <c r="V726" s="1"/>
      <c r="W726" s="1"/>
      <c r="X726" s="1"/>
      <c r="Y726" s="1"/>
      <c r="Z726" s="1"/>
    </row>
    <row r="727" spans="1:26" ht="39.75" customHeight="1">
      <c r="A727" s="1"/>
      <c r="B727" s="1"/>
      <c r="C727" s="1"/>
      <c r="D727" s="1"/>
      <c r="E727" s="1"/>
      <c r="F727" s="1"/>
      <c r="G727" s="1"/>
      <c r="H727" s="1"/>
      <c r="I727" s="1"/>
      <c r="J727" s="1"/>
      <c r="K727" s="1"/>
      <c r="L727" s="1"/>
      <c r="M727" s="1"/>
      <c r="N727" s="1"/>
      <c r="O727" s="1"/>
      <c r="P727" s="1"/>
      <c r="Q727" s="1"/>
      <c r="R727" s="1"/>
      <c r="S727" s="1"/>
      <c r="T727" s="1"/>
      <c r="U727" s="2"/>
      <c r="V727" s="1"/>
      <c r="W727" s="1"/>
      <c r="X727" s="1"/>
      <c r="Y727" s="1"/>
      <c r="Z727" s="1"/>
    </row>
    <row r="728" spans="1:26" ht="39.75" customHeight="1">
      <c r="A728" s="1"/>
      <c r="B728" s="1"/>
      <c r="C728" s="1"/>
      <c r="D728" s="1"/>
      <c r="E728" s="1"/>
      <c r="F728" s="1"/>
      <c r="G728" s="1"/>
      <c r="H728" s="1"/>
      <c r="I728" s="1"/>
      <c r="J728" s="1"/>
      <c r="K728" s="1"/>
      <c r="L728" s="1"/>
      <c r="M728" s="1"/>
      <c r="N728" s="1"/>
      <c r="O728" s="1"/>
      <c r="P728" s="1"/>
      <c r="Q728" s="1"/>
      <c r="R728" s="1"/>
      <c r="S728" s="1"/>
      <c r="T728" s="1"/>
      <c r="U728" s="2"/>
      <c r="V728" s="1"/>
      <c r="W728" s="1"/>
      <c r="X728" s="1"/>
      <c r="Y728" s="1"/>
      <c r="Z728" s="1"/>
    </row>
    <row r="729" spans="1:26" ht="39.75" customHeight="1">
      <c r="A729" s="1"/>
      <c r="B729" s="1"/>
      <c r="C729" s="1"/>
      <c r="D729" s="1"/>
      <c r="E729" s="1"/>
      <c r="F729" s="1"/>
      <c r="G729" s="1"/>
      <c r="H729" s="1"/>
      <c r="I729" s="1"/>
      <c r="J729" s="1"/>
      <c r="K729" s="1"/>
      <c r="L729" s="1"/>
      <c r="M729" s="1"/>
      <c r="N729" s="1"/>
      <c r="O729" s="1"/>
      <c r="P729" s="1"/>
      <c r="Q729" s="1"/>
      <c r="R729" s="1"/>
      <c r="S729" s="1"/>
      <c r="T729" s="1"/>
      <c r="U729" s="2"/>
      <c r="V729" s="1"/>
      <c r="W729" s="1"/>
      <c r="X729" s="1"/>
      <c r="Y729" s="1"/>
      <c r="Z729" s="1"/>
    </row>
    <row r="730" spans="1:26" ht="39.75" customHeight="1">
      <c r="A730" s="1"/>
      <c r="B730" s="1"/>
      <c r="C730" s="1"/>
      <c r="D730" s="1"/>
      <c r="E730" s="1"/>
      <c r="F730" s="1"/>
      <c r="G730" s="1"/>
      <c r="H730" s="1"/>
      <c r="I730" s="1"/>
      <c r="J730" s="1"/>
      <c r="K730" s="1"/>
      <c r="L730" s="1"/>
      <c r="M730" s="1"/>
      <c r="N730" s="1"/>
      <c r="O730" s="1"/>
      <c r="P730" s="1"/>
      <c r="Q730" s="1"/>
      <c r="R730" s="1"/>
      <c r="S730" s="1"/>
      <c r="T730" s="1"/>
      <c r="U730" s="2"/>
      <c r="V730" s="1"/>
      <c r="W730" s="1"/>
      <c r="X730" s="1"/>
      <c r="Y730" s="1"/>
      <c r="Z730" s="1"/>
    </row>
    <row r="731" spans="1:26" ht="39.75" customHeight="1">
      <c r="A731" s="1"/>
      <c r="B731" s="1"/>
      <c r="C731" s="1"/>
      <c r="D731" s="1"/>
      <c r="E731" s="1"/>
      <c r="F731" s="1"/>
      <c r="G731" s="1"/>
      <c r="H731" s="1"/>
      <c r="I731" s="1"/>
      <c r="J731" s="1"/>
      <c r="K731" s="1"/>
      <c r="L731" s="1"/>
      <c r="M731" s="1"/>
      <c r="N731" s="1"/>
      <c r="O731" s="1"/>
      <c r="P731" s="1"/>
      <c r="Q731" s="1"/>
      <c r="R731" s="1"/>
      <c r="S731" s="1"/>
      <c r="T731" s="1"/>
      <c r="U731" s="2"/>
      <c r="V731" s="1"/>
      <c r="W731" s="1"/>
      <c r="X731" s="1"/>
      <c r="Y731" s="1"/>
      <c r="Z731" s="1"/>
    </row>
    <row r="732" spans="1:26" ht="39.75" customHeight="1">
      <c r="A732" s="1"/>
      <c r="B732" s="1"/>
      <c r="C732" s="1"/>
      <c r="D732" s="1"/>
      <c r="E732" s="1"/>
      <c r="F732" s="1"/>
      <c r="G732" s="1"/>
      <c r="H732" s="1"/>
      <c r="I732" s="1"/>
      <c r="J732" s="1"/>
      <c r="K732" s="1"/>
      <c r="L732" s="1"/>
      <c r="M732" s="1"/>
      <c r="N732" s="1"/>
      <c r="O732" s="1"/>
      <c r="P732" s="1"/>
      <c r="Q732" s="1"/>
      <c r="R732" s="1"/>
      <c r="S732" s="1"/>
      <c r="T732" s="1"/>
      <c r="U732" s="2"/>
      <c r="V732" s="1"/>
      <c r="W732" s="1"/>
      <c r="X732" s="1"/>
      <c r="Y732" s="1"/>
      <c r="Z732" s="1"/>
    </row>
    <row r="733" spans="1:26" ht="39.75" customHeight="1">
      <c r="A733" s="1"/>
      <c r="B733" s="1"/>
      <c r="C733" s="1"/>
      <c r="D733" s="1"/>
      <c r="E733" s="1"/>
      <c r="F733" s="1"/>
      <c r="G733" s="1"/>
      <c r="H733" s="1"/>
      <c r="I733" s="1"/>
      <c r="J733" s="1"/>
      <c r="K733" s="1"/>
      <c r="L733" s="1"/>
      <c r="M733" s="1"/>
      <c r="N733" s="1"/>
      <c r="O733" s="1"/>
      <c r="P733" s="1"/>
      <c r="Q733" s="1"/>
      <c r="R733" s="1"/>
      <c r="S733" s="1"/>
      <c r="T733" s="1"/>
      <c r="U733" s="2"/>
      <c r="V733" s="1"/>
      <c r="W733" s="1"/>
      <c r="X733" s="1"/>
      <c r="Y733" s="1"/>
      <c r="Z733" s="1"/>
    </row>
    <row r="734" spans="1:26" ht="39.75" customHeight="1">
      <c r="A734" s="1"/>
      <c r="B734" s="1"/>
      <c r="C734" s="1"/>
      <c r="D734" s="1"/>
      <c r="E734" s="1"/>
      <c r="F734" s="1"/>
      <c r="G734" s="1"/>
      <c r="H734" s="1"/>
      <c r="I734" s="1"/>
      <c r="J734" s="1"/>
      <c r="K734" s="1"/>
      <c r="L734" s="1"/>
      <c r="M734" s="1"/>
      <c r="N734" s="1"/>
      <c r="O734" s="1"/>
      <c r="P734" s="1"/>
      <c r="Q734" s="1"/>
      <c r="R734" s="1"/>
      <c r="S734" s="1"/>
      <c r="T734" s="1"/>
      <c r="U734" s="2"/>
      <c r="V734" s="1"/>
      <c r="W734" s="1"/>
      <c r="X734" s="1"/>
      <c r="Y734" s="1"/>
      <c r="Z734" s="1"/>
    </row>
    <row r="735" spans="1:26" ht="39.75" customHeight="1">
      <c r="A735" s="1"/>
      <c r="B735" s="1"/>
      <c r="C735" s="1"/>
      <c r="D735" s="1"/>
      <c r="E735" s="1"/>
      <c r="F735" s="1"/>
      <c r="G735" s="1"/>
      <c r="H735" s="1"/>
      <c r="I735" s="1"/>
      <c r="J735" s="1"/>
      <c r="K735" s="1"/>
      <c r="L735" s="1"/>
      <c r="M735" s="1"/>
      <c r="N735" s="1"/>
      <c r="O735" s="1"/>
      <c r="P735" s="1"/>
      <c r="Q735" s="1"/>
      <c r="R735" s="1"/>
      <c r="S735" s="1"/>
      <c r="T735" s="1"/>
      <c r="U735" s="2"/>
      <c r="V735" s="1"/>
      <c r="W735" s="1"/>
      <c r="X735" s="1"/>
      <c r="Y735" s="1"/>
      <c r="Z735" s="1"/>
    </row>
    <row r="736" spans="1:26" ht="39.75" customHeight="1">
      <c r="A736" s="1"/>
      <c r="B736" s="1"/>
      <c r="C736" s="1"/>
      <c r="D736" s="1"/>
      <c r="E736" s="1"/>
      <c r="F736" s="1"/>
      <c r="G736" s="1"/>
      <c r="H736" s="1"/>
      <c r="I736" s="1"/>
      <c r="J736" s="1"/>
      <c r="K736" s="1"/>
      <c r="L736" s="1"/>
      <c r="M736" s="1"/>
      <c r="N736" s="1"/>
      <c r="O736" s="1"/>
      <c r="P736" s="1"/>
      <c r="Q736" s="1"/>
      <c r="R736" s="1"/>
      <c r="S736" s="1"/>
      <c r="T736" s="1"/>
      <c r="U736" s="2"/>
      <c r="V736" s="1"/>
      <c r="W736" s="1"/>
      <c r="X736" s="1"/>
      <c r="Y736" s="1"/>
      <c r="Z736" s="1"/>
    </row>
    <row r="737" spans="1:26" ht="39.75" customHeight="1">
      <c r="A737" s="1"/>
      <c r="B737" s="1"/>
      <c r="C737" s="1"/>
      <c r="D737" s="1"/>
      <c r="E737" s="1"/>
      <c r="F737" s="1"/>
      <c r="G737" s="1"/>
      <c r="H737" s="1"/>
      <c r="I737" s="1"/>
      <c r="J737" s="1"/>
      <c r="K737" s="1"/>
      <c r="L737" s="1"/>
      <c r="M737" s="1"/>
      <c r="N737" s="1"/>
      <c r="O737" s="1"/>
      <c r="P737" s="1"/>
      <c r="Q737" s="1"/>
      <c r="R737" s="1"/>
      <c r="S737" s="1"/>
      <c r="T737" s="1"/>
      <c r="U737" s="2"/>
      <c r="V737" s="1"/>
      <c r="W737" s="1"/>
      <c r="X737" s="1"/>
      <c r="Y737" s="1"/>
      <c r="Z737" s="1"/>
    </row>
    <row r="738" spans="1:26" ht="39.75" customHeight="1">
      <c r="A738" s="1"/>
      <c r="B738" s="1"/>
      <c r="C738" s="1"/>
      <c r="D738" s="1"/>
      <c r="E738" s="1"/>
      <c r="F738" s="1"/>
      <c r="G738" s="1"/>
      <c r="H738" s="1"/>
      <c r="I738" s="1"/>
      <c r="J738" s="1"/>
      <c r="K738" s="1"/>
      <c r="L738" s="1"/>
      <c r="M738" s="1"/>
      <c r="N738" s="1"/>
      <c r="O738" s="1"/>
      <c r="P738" s="1"/>
      <c r="Q738" s="1"/>
      <c r="R738" s="1"/>
      <c r="S738" s="1"/>
      <c r="T738" s="1"/>
      <c r="U738" s="2"/>
      <c r="V738" s="1"/>
      <c r="W738" s="1"/>
      <c r="X738" s="1"/>
      <c r="Y738" s="1"/>
      <c r="Z738" s="1"/>
    </row>
    <row r="739" spans="1:26" ht="39.75" customHeight="1">
      <c r="A739" s="1"/>
      <c r="B739" s="1"/>
      <c r="C739" s="1"/>
      <c r="D739" s="1"/>
      <c r="E739" s="1"/>
      <c r="F739" s="1"/>
      <c r="G739" s="1"/>
      <c r="H739" s="1"/>
      <c r="I739" s="1"/>
      <c r="J739" s="1"/>
      <c r="K739" s="1"/>
      <c r="L739" s="1"/>
      <c r="M739" s="1"/>
      <c r="N739" s="1"/>
      <c r="O739" s="1"/>
      <c r="P739" s="1"/>
      <c r="Q739" s="1"/>
      <c r="R739" s="1"/>
      <c r="S739" s="1"/>
      <c r="T739" s="1"/>
      <c r="U739" s="2"/>
      <c r="V739" s="1"/>
      <c r="W739" s="1"/>
      <c r="X739" s="1"/>
      <c r="Y739" s="1"/>
      <c r="Z739" s="1"/>
    </row>
    <row r="740" spans="1:26" ht="39.75" customHeight="1">
      <c r="A740" s="1"/>
      <c r="B740" s="1"/>
      <c r="C740" s="1"/>
      <c r="D740" s="1"/>
      <c r="E740" s="1"/>
      <c r="F740" s="1"/>
      <c r="G740" s="1"/>
      <c r="H740" s="1"/>
      <c r="I740" s="1"/>
      <c r="J740" s="1"/>
      <c r="K740" s="1"/>
      <c r="L740" s="1"/>
      <c r="M740" s="1"/>
      <c r="N740" s="1"/>
      <c r="O740" s="1"/>
      <c r="P740" s="1"/>
      <c r="Q740" s="1"/>
      <c r="R740" s="1"/>
      <c r="S740" s="1"/>
      <c r="T740" s="1"/>
      <c r="U740" s="2"/>
      <c r="V740" s="1"/>
      <c r="W740" s="1"/>
      <c r="X740" s="1"/>
      <c r="Y740" s="1"/>
      <c r="Z740" s="1"/>
    </row>
    <row r="741" spans="1:26" ht="39.75" customHeight="1">
      <c r="A741" s="1"/>
      <c r="B741" s="1"/>
      <c r="C741" s="1"/>
      <c r="D741" s="1"/>
      <c r="E741" s="1"/>
      <c r="F741" s="1"/>
      <c r="G741" s="1"/>
      <c r="H741" s="1"/>
      <c r="I741" s="1"/>
      <c r="J741" s="1"/>
      <c r="K741" s="1"/>
      <c r="L741" s="1"/>
      <c r="M741" s="1"/>
      <c r="N741" s="1"/>
      <c r="O741" s="1"/>
      <c r="P741" s="1"/>
      <c r="Q741" s="1"/>
      <c r="R741" s="1"/>
      <c r="S741" s="1"/>
      <c r="T741" s="1"/>
      <c r="U741" s="2"/>
      <c r="V741" s="1"/>
      <c r="W741" s="1"/>
      <c r="X741" s="1"/>
      <c r="Y741" s="1"/>
      <c r="Z741" s="1"/>
    </row>
    <row r="742" spans="1:26" ht="39.75" customHeight="1">
      <c r="A742" s="1"/>
      <c r="B742" s="1"/>
      <c r="C742" s="1"/>
      <c r="D742" s="1"/>
      <c r="E742" s="1"/>
      <c r="F742" s="1"/>
      <c r="G742" s="1"/>
      <c r="H742" s="1"/>
      <c r="I742" s="1"/>
      <c r="J742" s="1"/>
      <c r="K742" s="1"/>
      <c r="L742" s="1"/>
      <c r="M742" s="1"/>
      <c r="N742" s="1"/>
      <c r="O742" s="1"/>
      <c r="P742" s="1"/>
      <c r="Q742" s="1"/>
      <c r="R742" s="1"/>
      <c r="S742" s="1"/>
      <c r="T742" s="1"/>
      <c r="U742" s="2"/>
      <c r="V742" s="1"/>
      <c r="W742" s="1"/>
      <c r="X742" s="1"/>
      <c r="Y742" s="1"/>
      <c r="Z742" s="1"/>
    </row>
    <row r="743" spans="1:26" ht="39.75" customHeight="1">
      <c r="A743" s="1"/>
      <c r="B743" s="1"/>
      <c r="C743" s="1"/>
      <c r="D743" s="1"/>
      <c r="E743" s="1"/>
      <c r="F743" s="1"/>
      <c r="G743" s="1"/>
      <c r="H743" s="1"/>
      <c r="I743" s="1"/>
      <c r="J743" s="1"/>
      <c r="K743" s="1"/>
      <c r="L743" s="1"/>
      <c r="M743" s="1"/>
      <c r="N743" s="1"/>
      <c r="O743" s="1"/>
      <c r="P743" s="1"/>
      <c r="Q743" s="1"/>
      <c r="R743" s="1"/>
      <c r="S743" s="1"/>
      <c r="T743" s="1"/>
      <c r="U743" s="2"/>
      <c r="V743" s="1"/>
      <c r="W743" s="1"/>
      <c r="X743" s="1"/>
      <c r="Y743" s="1"/>
      <c r="Z743" s="1"/>
    </row>
    <row r="744" spans="1:26" ht="39.75" customHeight="1">
      <c r="A744" s="1"/>
      <c r="B744" s="1"/>
      <c r="C744" s="1"/>
      <c r="D744" s="1"/>
      <c r="E744" s="1"/>
      <c r="F744" s="1"/>
      <c r="G744" s="1"/>
      <c r="H744" s="1"/>
      <c r="I744" s="1"/>
      <c r="J744" s="1"/>
      <c r="K744" s="1"/>
      <c r="L744" s="1"/>
      <c r="M744" s="1"/>
      <c r="N744" s="1"/>
      <c r="O744" s="1"/>
      <c r="P744" s="1"/>
      <c r="Q744" s="1"/>
      <c r="R744" s="1"/>
      <c r="S744" s="1"/>
      <c r="T744" s="1"/>
      <c r="U744" s="2"/>
      <c r="V744" s="1"/>
      <c r="W744" s="1"/>
      <c r="X744" s="1"/>
      <c r="Y744" s="1"/>
      <c r="Z744" s="1"/>
    </row>
    <row r="745" spans="1:26" ht="39.75" customHeight="1">
      <c r="A745" s="1"/>
      <c r="B745" s="1"/>
      <c r="C745" s="1"/>
      <c r="D745" s="1"/>
      <c r="E745" s="1"/>
      <c r="F745" s="1"/>
      <c r="G745" s="1"/>
      <c r="H745" s="1"/>
      <c r="I745" s="1"/>
      <c r="J745" s="1"/>
      <c r="K745" s="1"/>
      <c r="L745" s="1"/>
      <c r="M745" s="1"/>
      <c r="N745" s="1"/>
      <c r="O745" s="1"/>
      <c r="P745" s="1"/>
      <c r="Q745" s="1"/>
      <c r="R745" s="1"/>
      <c r="S745" s="1"/>
      <c r="T745" s="1"/>
      <c r="U745" s="2"/>
      <c r="V745" s="1"/>
      <c r="W745" s="1"/>
      <c r="X745" s="1"/>
      <c r="Y745" s="1"/>
      <c r="Z745" s="1"/>
    </row>
    <row r="746" spans="1:26" ht="39.75" customHeight="1">
      <c r="A746" s="1"/>
      <c r="B746" s="1"/>
      <c r="C746" s="1"/>
      <c r="D746" s="1"/>
      <c r="E746" s="1"/>
      <c r="F746" s="1"/>
      <c r="G746" s="1"/>
      <c r="H746" s="1"/>
      <c r="I746" s="1"/>
      <c r="J746" s="1"/>
      <c r="K746" s="1"/>
      <c r="L746" s="1"/>
      <c r="M746" s="1"/>
      <c r="N746" s="1"/>
      <c r="O746" s="1"/>
      <c r="P746" s="1"/>
      <c r="Q746" s="1"/>
      <c r="R746" s="1"/>
      <c r="S746" s="1"/>
      <c r="T746" s="1"/>
      <c r="U746" s="2"/>
      <c r="V746" s="1"/>
      <c r="W746" s="1"/>
      <c r="X746" s="1"/>
      <c r="Y746" s="1"/>
      <c r="Z746" s="1"/>
    </row>
    <row r="747" spans="1:26" ht="39.75" customHeight="1">
      <c r="A747" s="1"/>
      <c r="B747" s="1"/>
      <c r="C747" s="1"/>
      <c r="D747" s="1"/>
      <c r="E747" s="1"/>
      <c r="F747" s="1"/>
      <c r="G747" s="1"/>
      <c r="H747" s="1"/>
      <c r="I747" s="1"/>
      <c r="J747" s="1"/>
      <c r="K747" s="1"/>
      <c r="L747" s="1"/>
      <c r="M747" s="1"/>
      <c r="N747" s="1"/>
      <c r="O747" s="1"/>
      <c r="P747" s="1"/>
      <c r="Q747" s="1"/>
      <c r="R747" s="1"/>
      <c r="S747" s="1"/>
      <c r="T747" s="1"/>
      <c r="U747" s="2"/>
      <c r="V747" s="1"/>
      <c r="W747" s="1"/>
      <c r="X747" s="1"/>
      <c r="Y747" s="1"/>
      <c r="Z747" s="1"/>
    </row>
    <row r="748" spans="1:26" ht="39.75" customHeight="1">
      <c r="A748" s="1"/>
      <c r="B748" s="1"/>
      <c r="C748" s="1"/>
      <c r="D748" s="1"/>
      <c r="E748" s="1"/>
      <c r="F748" s="1"/>
      <c r="G748" s="1"/>
      <c r="H748" s="1"/>
      <c r="I748" s="1"/>
      <c r="J748" s="1"/>
      <c r="K748" s="1"/>
      <c r="L748" s="1"/>
      <c r="M748" s="1"/>
      <c r="N748" s="1"/>
      <c r="O748" s="1"/>
      <c r="P748" s="1"/>
      <c r="Q748" s="1"/>
      <c r="R748" s="1"/>
      <c r="S748" s="1"/>
      <c r="T748" s="1"/>
      <c r="U748" s="2"/>
      <c r="V748" s="1"/>
      <c r="W748" s="1"/>
      <c r="X748" s="1"/>
      <c r="Y748" s="1"/>
      <c r="Z748" s="1"/>
    </row>
    <row r="749" spans="1:26" ht="39.75" customHeight="1">
      <c r="A749" s="1"/>
      <c r="B749" s="1"/>
      <c r="C749" s="1"/>
      <c r="D749" s="1"/>
      <c r="E749" s="1"/>
      <c r="F749" s="1"/>
      <c r="G749" s="1"/>
      <c r="H749" s="1"/>
      <c r="I749" s="1"/>
      <c r="J749" s="1"/>
      <c r="K749" s="1"/>
      <c r="L749" s="1"/>
      <c r="M749" s="1"/>
      <c r="N749" s="1"/>
      <c r="O749" s="1"/>
      <c r="P749" s="1"/>
      <c r="Q749" s="1"/>
      <c r="R749" s="1"/>
      <c r="S749" s="1"/>
      <c r="T749" s="1"/>
      <c r="U749" s="2"/>
      <c r="V749" s="1"/>
      <c r="W749" s="1"/>
      <c r="X749" s="1"/>
      <c r="Y749" s="1"/>
      <c r="Z749" s="1"/>
    </row>
    <row r="750" spans="1:26" ht="39.75" customHeight="1">
      <c r="A750" s="1"/>
      <c r="B750" s="1"/>
      <c r="C750" s="1"/>
      <c r="D750" s="1"/>
      <c r="E750" s="1"/>
      <c r="F750" s="1"/>
      <c r="G750" s="1"/>
      <c r="H750" s="1"/>
      <c r="I750" s="1"/>
      <c r="J750" s="1"/>
      <c r="K750" s="1"/>
      <c r="L750" s="1"/>
      <c r="M750" s="1"/>
      <c r="N750" s="1"/>
      <c r="O750" s="1"/>
      <c r="P750" s="1"/>
      <c r="Q750" s="1"/>
      <c r="R750" s="1"/>
      <c r="S750" s="1"/>
      <c r="T750" s="1"/>
      <c r="U750" s="2"/>
      <c r="V750" s="1"/>
      <c r="W750" s="1"/>
      <c r="X750" s="1"/>
      <c r="Y750" s="1"/>
      <c r="Z750" s="1"/>
    </row>
    <row r="751" spans="1:26" ht="39.75" customHeight="1">
      <c r="A751" s="1"/>
      <c r="B751" s="1"/>
      <c r="C751" s="1"/>
      <c r="D751" s="1"/>
      <c r="E751" s="1"/>
      <c r="F751" s="1"/>
      <c r="G751" s="1"/>
      <c r="H751" s="1"/>
      <c r="I751" s="1"/>
      <c r="J751" s="1"/>
      <c r="K751" s="1"/>
      <c r="L751" s="1"/>
      <c r="M751" s="1"/>
      <c r="N751" s="1"/>
      <c r="O751" s="1"/>
      <c r="P751" s="1"/>
      <c r="Q751" s="1"/>
      <c r="R751" s="1"/>
      <c r="S751" s="1"/>
      <c r="T751" s="1"/>
      <c r="U751" s="2"/>
      <c r="V751" s="1"/>
      <c r="W751" s="1"/>
      <c r="X751" s="1"/>
      <c r="Y751" s="1"/>
      <c r="Z751" s="1"/>
    </row>
    <row r="752" spans="1:26" ht="39.75" customHeight="1">
      <c r="A752" s="1"/>
      <c r="B752" s="1"/>
      <c r="C752" s="1"/>
      <c r="D752" s="1"/>
      <c r="E752" s="1"/>
      <c r="F752" s="1"/>
      <c r="G752" s="1"/>
      <c r="H752" s="1"/>
      <c r="I752" s="1"/>
      <c r="J752" s="1"/>
      <c r="K752" s="1"/>
      <c r="L752" s="1"/>
      <c r="M752" s="1"/>
      <c r="N752" s="1"/>
      <c r="O752" s="1"/>
      <c r="P752" s="1"/>
      <c r="Q752" s="1"/>
      <c r="R752" s="1"/>
      <c r="S752" s="1"/>
      <c r="T752" s="1"/>
      <c r="U752" s="2"/>
      <c r="V752" s="1"/>
      <c r="W752" s="1"/>
      <c r="X752" s="1"/>
      <c r="Y752" s="1"/>
      <c r="Z752" s="1"/>
    </row>
    <row r="753" spans="1:26" ht="39.75" customHeight="1">
      <c r="A753" s="1"/>
      <c r="B753" s="1"/>
      <c r="C753" s="1"/>
      <c r="D753" s="1"/>
      <c r="E753" s="1"/>
      <c r="F753" s="1"/>
      <c r="G753" s="1"/>
      <c r="H753" s="1"/>
      <c r="I753" s="1"/>
      <c r="J753" s="1"/>
      <c r="K753" s="1"/>
      <c r="L753" s="1"/>
      <c r="M753" s="1"/>
      <c r="N753" s="1"/>
      <c r="O753" s="1"/>
      <c r="P753" s="1"/>
      <c r="Q753" s="1"/>
      <c r="R753" s="1"/>
      <c r="S753" s="1"/>
      <c r="T753" s="1"/>
      <c r="U753" s="2"/>
      <c r="V753" s="1"/>
      <c r="W753" s="1"/>
      <c r="X753" s="1"/>
      <c r="Y753" s="1"/>
      <c r="Z753" s="1"/>
    </row>
    <row r="754" spans="1:26" ht="39.75" customHeight="1">
      <c r="A754" s="1"/>
      <c r="B754" s="1"/>
      <c r="C754" s="1"/>
      <c r="D754" s="1"/>
      <c r="E754" s="1"/>
      <c r="F754" s="1"/>
      <c r="G754" s="1"/>
      <c r="H754" s="1"/>
      <c r="I754" s="1"/>
      <c r="J754" s="1"/>
      <c r="K754" s="1"/>
      <c r="L754" s="1"/>
      <c r="M754" s="1"/>
      <c r="N754" s="1"/>
      <c r="O754" s="1"/>
      <c r="P754" s="1"/>
      <c r="Q754" s="1"/>
      <c r="R754" s="1"/>
      <c r="S754" s="1"/>
      <c r="T754" s="1"/>
      <c r="U754" s="2"/>
      <c r="V754" s="1"/>
      <c r="W754" s="1"/>
      <c r="X754" s="1"/>
      <c r="Y754" s="1"/>
      <c r="Z754" s="1"/>
    </row>
    <row r="755" spans="1:26" ht="39.75" customHeight="1">
      <c r="A755" s="1"/>
      <c r="B755" s="1"/>
      <c r="C755" s="1"/>
      <c r="D755" s="1"/>
      <c r="E755" s="1"/>
      <c r="F755" s="1"/>
      <c r="G755" s="1"/>
      <c r="H755" s="1"/>
      <c r="I755" s="1"/>
      <c r="J755" s="1"/>
      <c r="K755" s="1"/>
      <c r="L755" s="1"/>
      <c r="M755" s="1"/>
      <c r="N755" s="1"/>
      <c r="O755" s="1"/>
      <c r="P755" s="1"/>
      <c r="Q755" s="1"/>
      <c r="R755" s="1"/>
      <c r="S755" s="1"/>
      <c r="T755" s="1"/>
      <c r="U755" s="2"/>
      <c r="V755" s="1"/>
      <c r="W755" s="1"/>
      <c r="X755" s="1"/>
      <c r="Y755" s="1"/>
      <c r="Z755" s="1"/>
    </row>
    <row r="756" spans="1:26" ht="39.75" customHeight="1">
      <c r="A756" s="1"/>
      <c r="B756" s="1"/>
      <c r="C756" s="1"/>
      <c r="D756" s="1"/>
      <c r="E756" s="1"/>
      <c r="F756" s="1"/>
      <c r="G756" s="1"/>
      <c r="H756" s="1"/>
      <c r="I756" s="1"/>
      <c r="J756" s="1"/>
      <c r="K756" s="1"/>
      <c r="L756" s="1"/>
      <c r="M756" s="1"/>
      <c r="N756" s="1"/>
      <c r="O756" s="1"/>
      <c r="P756" s="1"/>
      <c r="Q756" s="1"/>
      <c r="R756" s="1"/>
      <c r="S756" s="1"/>
      <c r="T756" s="1"/>
      <c r="U756" s="2"/>
      <c r="V756" s="1"/>
      <c r="W756" s="1"/>
      <c r="X756" s="1"/>
      <c r="Y756" s="1"/>
      <c r="Z756" s="1"/>
    </row>
    <row r="757" spans="1:26" ht="39.75" customHeight="1">
      <c r="A757" s="1"/>
      <c r="B757" s="1"/>
      <c r="C757" s="1"/>
      <c r="D757" s="1"/>
      <c r="E757" s="1"/>
      <c r="F757" s="1"/>
      <c r="G757" s="1"/>
      <c r="H757" s="1"/>
      <c r="I757" s="1"/>
      <c r="J757" s="1"/>
      <c r="K757" s="1"/>
      <c r="L757" s="1"/>
      <c r="M757" s="1"/>
      <c r="N757" s="1"/>
      <c r="O757" s="1"/>
      <c r="P757" s="1"/>
      <c r="Q757" s="1"/>
      <c r="R757" s="1"/>
      <c r="S757" s="1"/>
      <c r="T757" s="1"/>
      <c r="U757" s="2"/>
      <c r="V757" s="1"/>
      <c r="W757" s="1"/>
      <c r="X757" s="1"/>
      <c r="Y757" s="1"/>
      <c r="Z757" s="1"/>
    </row>
    <row r="758" spans="1:26" ht="39.75" customHeight="1">
      <c r="A758" s="1"/>
      <c r="B758" s="1"/>
      <c r="C758" s="1"/>
      <c r="D758" s="1"/>
      <c r="E758" s="1"/>
      <c r="F758" s="1"/>
      <c r="G758" s="1"/>
      <c r="H758" s="1"/>
      <c r="I758" s="1"/>
      <c r="J758" s="1"/>
      <c r="K758" s="1"/>
      <c r="L758" s="1"/>
      <c r="M758" s="1"/>
      <c r="N758" s="1"/>
      <c r="O758" s="1"/>
      <c r="P758" s="1"/>
      <c r="Q758" s="1"/>
      <c r="R758" s="1"/>
      <c r="S758" s="1"/>
      <c r="T758" s="1"/>
      <c r="U758" s="2"/>
      <c r="V758" s="1"/>
      <c r="W758" s="1"/>
      <c r="X758" s="1"/>
      <c r="Y758" s="1"/>
      <c r="Z758" s="1"/>
    </row>
    <row r="759" spans="1:26" ht="39.75" customHeight="1">
      <c r="A759" s="1"/>
      <c r="B759" s="1"/>
      <c r="C759" s="1"/>
      <c r="D759" s="1"/>
      <c r="E759" s="1"/>
      <c r="F759" s="1"/>
      <c r="G759" s="1"/>
      <c r="H759" s="1"/>
      <c r="I759" s="1"/>
      <c r="J759" s="1"/>
      <c r="K759" s="1"/>
      <c r="L759" s="1"/>
      <c r="M759" s="1"/>
      <c r="N759" s="1"/>
      <c r="O759" s="1"/>
      <c r="P759" s="1"/>
      <c r="Q759" s="1"/>
      <c r="R759" s="1"/>
      <c r="S759" s="1"/>
      <c r="T759" s="1"/>
      <c r="U759" s="2"/>
      <c r="V759" s="1"/>
      <c r="W759" s="1"/>
      <c r="X759" s="1"/>
      <c r="Y759" s="1"/>
      <c r="Z759" s="1"/>
    </row>
    <row r="760" spans="1:26" ht="39.75" customHeight="1">
      <c r="A760" s="1"/>
      <c r="B760" s="1"/>
      <c r="C760" s="1"/>
      <c r="D760" s="1"/>
      <c r="E760" s="1"/>
      <c r="F760" s="1"/>
      <c r="G760" s="1"/>
      <c r="H760" s="1"/>
      <c r="I760" s="1"/>
      <c r="J760" s="1"/>
      <c r="K760" s="1"/>
      <c r="L760" s="1"/>
      <c r="M760" s="1"/>
      <c r="N760" s="1"/>
      <c r="O760" s="1"/>
      <c r="P760" s="1"/>
      <c r="Q760" s="1"/>
      <c r="R760" s="1"/>
      <c r="S760" s="1"/>
      <c r="T760" s="1"/>
      <c r="U760" s="2"/>
      <c r="V760" s="1"/>
      <c r="W760" s="1"/>
      <c r="X760" s="1"/>
      <c r="Y760" s="1"/>
      <c r="Z760" s="1"/>
    </row>
    <row r="761" spans="1:26" ht="39.75" customHeight="1">
      <c r="A761" s="1"/>
      <c r="B761" s="1"/>
      <c r="C761" s="1"/>
      <c r="D761" s="1"/>
      <c r="E761" s="1"/>
      <c r="F761" s="1"/>
      <c r="G761" s="1"/>
      <c r="H761" s="1"/>
      <c r="I761" s="1"/>
      <c r="J761" s="1"/>
      <c r="K761" s="1"/>
      <c r="L761" s="1"/>
      <c r="M761" s="1"/>
      <c r="N761" s="1"/>
      <c r="O761" s="1"/>
      <c r="P761" s="1"/>
      <c r="Q761" s="1"/>
      <c r="R761" s="1"/>
      <c r="S761" s="1"/>
      <c r="T761" s="1"/>
      <c r="U761" s="2"/>
      <c r="V761" s="1"/>
      <c r="W761" s="1"/>
      <c r="X761" s="1"/>
      <c r="Y761" s="1"/>
      <c r="Z761" s="1"/>
    </row>
    <row r="762" spans="1:26" ht="39.75" customHeight="1">
      <c r="A762" s="1"/>
      <c r="B762" s="1"/>
      <c r="C762" s="1"/>
      <c r="D762" s="1"/>
      <c r="E762" s="1"/>
      <c r="F762" s="1"/>
      <c r="G762" s="1"/>
      <c r="H762" s="1"/>
      <c r="I762" s="1"/>
      <c r="J762" s="1"/>
      <c r="K762" s="1"/>
      <c r="L762" s="1"/>
      <c r="M762" s="1"/>
      <c r="N762" s="1"/>
      <c r="O762" s="1"/>
      <c r="P762" s="1"/>
      <c r="Q762" s="1"/>
      <c r="R762" s="1"/>
      <c r="S762" s="1"/>
      <c r="T762" s="1"/>
      <c r="U762" s="2"/>
      <c r="V762" s="1"/>
      <c r="W762" s="1"/>
      <c r="X762" s="1"/>
      <c r="Y762" s="1"/>
      <c r="Z762" s="1"/>
    </row>
    <row r="763" spans="1:26" ht="39.75" customHeight="1">
      <c r="A763" s="1"/>
      <c r="B763" s="1"/>
      <c r="C763" s="1"/>
      <c r="D763" s="1"/>
      <c r="E763" s="1"/>
      <c r="F763" s="1"/>
      <c r="G763" s="1"/>
      <c r="H763" s="1"/>
      <c r="I763" s="1"/>
      <c r="J763" s="1"/>
      <c r="K763" s="1"/>
      <c r="L763" s="1"/>
      <c r="M763" s="1"/>
      <c r="N763" s="1"/>
      <c r="O763" s="1"/>
      <c r="P763" s="1"/>
      <c r="Q763" s="1"/>
      <c r="R763" s="1"/>
      <c r="S763" s="1"/>
      <c r="T763" s="1"/>
      <c r="U763" s="2"/>
      <c r="V763" s="1"/>
      <c r="W763" s="1"/>
      <c r="X763" s="1"/>
      <c r="Y763" s="1"/>
      <c r="Z763" s="1"/>
    </row>
    <row r="764" spans="1:26" ht="39.75" customHeight="1">
      <c r="A764" s="1"/>
      <c r="B764" s="1"/>
      <c r="C764" s="1"/>
      <c r="D764" s="1"/>
      <c r="E764" s="1"/>
      <c r="F764" s="1"/>
      <c r="G764" s="1"/>
      <c r="H764" s="1"/>
      <c r="I764" s="1"/>
      <c r="J764" s="1"/>
      <c r="K764" s="1"/>
      <c r="L764" s="1"/>
      <c r="M764" s="1"/>
      <c r="N764" s="1"/>
      <c r="O764" s="1"/>
      <c r="P764" s="1"/>
      <c r="Q764" s="1"/>
      <c r="R764" s="1"/>
      <c r="S764" s="1"/>
      <c r="T764" s="1"/>
      <c r="U764" s="2"/>
      <c r="V764" s="1"/>
      <c r="W764" s="1"/>
      <c r="X764" s="1"/>
      <c r="Y764" s="1"/>
      <c r="Z764" s="1"/>
    </row>
    <row r="765" spans="1:26" ht="39.75" customHeight="1">
      <c r="A765" s="1"/>
      <c r="B765" s="1"/>
      <c r="C765" s="1"/>
      <c r="D765" s="1"/>
      <c r="E765" s="1"/>
      <c r="F765" s="1"/>
      <c r="G765" s="1"/>
      <c r="H765" s="1"/>
      <c r="I765" s="1"/>
      <c r="J765" s="1"/>
      <c r="K765" s="1"/>
      <c r="L765" s="1"/>
      <c r="M765" s="1"/>
      <c r="N765" s="1"/>
      <c r="O765" s="1"/>
      <c r="P765" s="1"/>
      <c r="Q765" s="1"/>
      <c r="R765" s="1"/>
      <c r="S765" s="1"/>
      <c r="T765" s="1"/>
      <c r="U765" s="2"/>
      <c r="V765" s="1"/>
      <c r="W765" s="1"/>
      <c r="X765" s="1"/>
      <c r="Y765" s="1"/>
      <c r="Z765" s="1"/>
    </row>
    <row r="766" spans="1:26" ht="39.75" customHeight="1">
      <c r="A766" s="1"/>
      <c r="B766" s="1"/>
      <c r="C766" s="1"/>
      <c r="D766" s="1"/>
      <c r="E766" s="1"/>
      <c r="F766" s="1"/>
      <c r="G766" s="1"/>
      <c r="H766" s="1"/>
      <c r="I766" s="1"/>
      <c r="J766" s="1"/>
      <c r="K766" s="1"/>
      <c r="L766" s="1"/>
      <c r="M766" s="1"/>
      <c r="N766" s="1"/>
      <c r="O766" s="1"/>
      <c r="P766" s="1"/>
      <c r="Q766" s="1"/>
      <c r="R766" s="1"/>
      <c r="S766" s="1"/>
      <c r="T766" s="1"/>
      <c r="U766" s="2"/>
      <c r="V766" s="1"/>
      <c r="W766" s="1"/>
      <c r="X766" s="1"/>
      <c r="Y766" s="1"/>
      <c r="Z766" s="1"/>
    </row>
    <row r="767" spans="1:26" ht="39.75" customHeight="1">
      <c r="A767" s="1"/>
      <c r="B767" s="1"/>
      <c r="C767" s="1"/>
      <c r="D767" s="1"/>
      <c r="E767" s="1"/>
      <c r="F767" s="1"/>
      <c r="G767" s="1"/>
      <c r="H767" s="1"/>
      <c r="I767" s="1"/>
      <c r="J767" s="1"/>
      <c r="K767" s="1"/>
      <c r="L767" s="1"/>
      <c r="M767" s="1"/>
      <c r="N767" s="1"/>
      <c r="O767" s="1"/>
      <c r="P767" s="1"/>
      <c r="Q767" s="1"/>
      <c r="R767" s="1"/>
      <c r="S767" s="1"/>
      <c r="T767" s="1"/>
      <c r="U767" s="2"/>
      <c r="V767" s="1"/>
      <c r="W767" s="1"/>
      <c r="X767" s="1"/>
      <c r="Y767" s="1"/>
      <c r="Z767" s="1"/>
    </row>
    <row r="768" spans="1:26" ht="39.75" customHeight="1">
      <c r="A768" s="1"/>
      <c r="B768" s="1"/>
      <c r="C768" s="1"/>
      <c r="D768" s="1"/>
      <c r="E768" s="1"/>
      <c r="F768" s="1"/>
      <c r="G768" s="1"/>
      <c r="H768" s="1"/>
      <c r="I768" s="1"/>
      <c r="J768" s="1"/>
      <c r="K768" s="1"/>
      <c r="L768" s="1"/>
      <c r="M768" s="1"/>
      <c r="N768" s="1"/>
      <c r="O768" s="1"/>
      <c r="P768" s="1"/>
      <c r="Q768" s="1"/>
      <c r="R768" s="1"/>
      <c r="S768" s="1"/>
      <c r="T768" s="1"/>
      <c r="U768" s="2"/>
      <c r="V768" s="1"/>
      <c r="W768" s="1"/>
      <c r="X768" s="1"/>
      <c r="Y768" s="1"/>
      <c r="Z768" s="1"/>
    </row>
    <row r="769" spans="1:26" ht="39.75" customHeight="1">
      <c r="A769" s="1"/>
      <c r="B769" s="1"/>
      <c r="C769" s="1"/>
      <c r="D769" s="1"/>
      <c r="E769" s="1"/>
      <c r="F769" s="1"/>
      <c r="G769" s="1"/>
      <c r="H769" s="1"/>
      <c r="I769" s="1"/>
      <c r="J769" s="1"/>
      <c r="K769" s="1"/>
      <c r="L769" s="1"/>
      <c r="M769" s="1"/>
      <c r="N769" s="1"/>
      <c r="O769" s="1"/>
      <c r="P769" s="1"/>
      <c r="Q769" s="1"/>
      <c r="R769" s="1"/>
      <c r="S769" s="1"/>
      <c r="T769" s="1"/>
      <c r="U769" s="2"/>
      <c r="V769" s="1"/>
      <c r="W769" s="1"/>
      <c r="X769" s="1"/>
      <c r="Y769" s="1"/>
      <c r="Z769" s="1"/>
    </row>
    <row r="770" spans="1:26" ht="39.75" customHeight="1">
      <c r="A770" s="1"/>
      <c r="B770" s="1"/>
      <c r="C770" s="1"/>
      <c r="D770" s="1"/>
      <c r="E770" s="1"/>
      <c r="F770" s="1"/>
      <c r="G770" s="1"/>
      <c r="H770" s="1"/>
      <c r="I770" s="1"/>
      <c r="J770" s="1"/>
      <c r="K770" s="1"/>
      <c r="L770" s="1"/>
      <c r="M770" s="1"/>
      <c r="N770" s="1"/>
      <c r="O770" s="1"/>
      <c r="P770" s="1"/>
      <c r="Q770" s="1"/>
      <c r="R770" s="1"/>
      <c r="S770" s="1"/>
      <c r="T770" s="1"/>
      <c r="U770" s="2"/>
      <c r="V770" s="1"/>
      <c r="W770" s="1"/>
      <c r="X770" s="1"/>
      <c r="Y770" s="1"/>
      <c r="Z770" s="1"/>
    </row>
    <row r="771" spans="1:26" ht="39.75" customHeight="1">
      <c r="A771" s="1"/>
      <c r="B771" s="1"/>
      <c r="C771" s="1"/>
      <c r="D771" s="1"/>
      <c r="E771" s="1"/>
      <c r="F771" s="1"/>
      <c r="G771" s="1"/>
      <c r="H771" s="1"/>
      <c r="I771" s="1"/>
      <c r="J771" s="1"/>
      <c r="K771" s="1"/>
      <c r="L771" s="1"/>
      <c r="M771" s="1"/>
      <c r="N771" s="1"/>
      <c r="O771" s="1"/>
      <c r="P771" s="1"/>
      <c r="Q771" s="1"/>
      <c r="R771" s="1"/>
      <c r="S771" s="1"/>
      <c r="T771" s="1"/>
      <c r="U771" s="2"/>
      <c r="V771" s="1"/>
      <c r="W771" s="1"/>
      <c r="X771" s="1"/>
      <c r="Y771" s="1"/>
      <c r="Z771" s="1"/>
    </row>
    <row r="772" spans="1:26" ht="39.75" customHeight="1">
      <c r="A772" s="1"/>
      <c r="B772" s="1"/>
      <c r="C772" s="1"/>
      <c r="D772" s="1"/>
      <c r="E772" s="1"/>
      <c r="F772" s="1"/>
      <c r="G772" s="1"/>
      <c r="H772" s="1"/>
      <c r="I772" s="1"/>
      <c r="J772" s="1"/>
      <c r="K772" s="1"/>
      <c r="L772" s="1"/>
      <c r="M772" s="1"/>
      <c r="N772" s="1"/>
      <c r="O772" s="1"/>
      <c r="P772" s="1"/>
      <c r="Q772" s="1"/>
      <c r="R772" s="1"/>
      <c r="S772" s="1"/>
      <c r="T772" s="1"/>
      <c r="U772" s="2"/>
      <c r="V772" s="1"/>
      <c r="W772" s="1"/>
      <c r="X772" s="1"/>
      <c r="Y772" s="1"/>
      <c r="Z772" s="1"/>
    </row>
    <row r="773" spans="1:26" ht="39.75" customHeight="1">
      <c r="A773" s="1"/>
      <c r="B773" s="1"/>
      <c r="C773" s="1"/>
      <c r="D773" s="1"/>
      <c r="E773" s="1"/>
      <c r="F773" s="1"/>
      <c r="G773" s="1"/>
      <c r="H773" s="1"/>
      <c r="I773" s="1"/>
      <c r="J773" s="1"/>
      <c r="K773" s="1"/>
      <c r="L773" s="1"/>
      <c r="M773" s="1"/>
      <c r="N773" s="1"/>
      <c r="O773" s="1"/>
      <c r="P773" s="1"/>
      <c r="Q773" s="1"/>
      <c r="R773" s="1"/>
      <c r="S773" s="1"/>
      <c r="T773" s="1"/>
      <c r="U773" s="2"/>
      <c r="V773" s="1"/>
      <c r="W773" s="1"/>
      <c r="X773" s="1"/>
      <c r="Y773" s="1"/>
      <c r="Z773" s="1"/>
    </row>
    <row r="774" spans="1:26" ht="39.75" customHeight="1">
      <c r="A774" s="1"/>
      <c r="B774" s="1"/>
      <c r="C774" s="1"/>
      <c r="D774" s="1"/>
      <c r="E774" s="1"/>
      <c r="F774" s="1"/>
      <c r="G774" s="1"/>
      <c r="H774" s="1"/>
      <c r="I774" s="1"/>
      <c r="J774" s="1"/>
      <c r="K774" s="1"/>
      <c r="L774" s="1"/>
      <c r="M774" s="1"/>
      <c r="N774" s="1"/>
      <c r="O774" s="1"/>
      <c r="P774" s="1"/>
      <c r="Q774" s="1"/>
      <c r="R774" s="1"/>
      <c r="S774" s="1"/>
      <c r="T774" s="1"/>
      <c r="U774" s="2"/>
      <c r="V774" s="1"/>
      <c r="W774" s="1"/>
      <c r="X774" s="1"/>
      <c r="Y774" s="1"/>
      <c r="Z774" s="1"/>
    </row>
    <row r="775" spans="1:26" ht="39.75" customHeight="1">
      <c r="A775" s="1"/>
      <c r="B775" s="1"/>
      <c r="C775" s="1"/>
      <c r="D775" s="1"/>
      <c r="E775" s="1"/>
      <c r="F775" s="1"/>
      <c r="G775" s="1"/>
      <c r="H775" s="1"/>
      <c r="I775" s="1"/>
      <c r="J775" s="1"/>
      <c r="K775" s="1"/>
      <c r="L775" s="1"/>
      <c r="M775" s="1"/>
      <c r="N775" s="1"/>
      <c r="O775" s="1"/>
      <c r="P775" s="1"/>
      <c r="Q775" s="1"/>
      <c r="R775" s="1"/>
      <c r="S775" s="1"/>
      <c r="T775" s="1"/>
      <c r="U775" s="2"/>
      <c r="V775" s="1"/>
      <c r="W775" s="1"/>
      <c r="X775" s="1"/>
      <c r="Y775" s="1"/>
      <c r="Z775" s="1"/>
    </row>
    <row r="776" spans="1:26" ht="39.75" customHeight="1">
      <c r="A776" s="1"/>
      <c r="B776" s="1"/>
      <c r="C776" s="1"/>
      <c r="D776" s="1"/>
      <c r="E776" s="1"/>
      <c r="F776" s="1"/>
      <c r="G776" s="1"/>
      <c r="H776" s="1"/>
      <c r="I776" s="1"/>
      <c r="J776" s="1"/>
      <c r="K776" s="1"/>
      <c r="L776" s="1"/>
      <c r="M776" s="1"/>
      <c r="N776" s="1"/>
      <c r="O776" s="1"/>
      <c r="P776" s="1"/>
      <c r="Q776" s="1"/>
      <c r="R776" s="1"/>
      <c r="S776" s="1"/>
      <c r="T776" s="1"/>
      <c r="U776" s="2"/>
      <c r="V776" s="1"/>
      <c r="W776" s="1"/>
      <c r="X776" s="1"/>
      <c r="Y776" s="1"/>
      <c r="Z776" s="1"/>
    </row>
    <row r="777" spans="1:26" ht="39.75" customHeight="1">
      <c r="A777" s="1"/>
      <c r="B777" s="1"/>
      <c r="C777" s="1"/>
      <c r="D777" s="1"/>
      <c r="E777" s="1"/>
      <c r="F777" s="1"/>
      <c r="G777" s="1"/>
      <c r="H777" s="1"/>
      <c r="I777" s="1"/>
      <c r="J777" s="1"/>
      <c r="K777" s="1"/>
      <c r="L777" s="1"/>
      <c r="M777" s="1"/>
      <c r="N777" s="1"/>
      <c r="O777" s="1"/>
      <c r="P777" s="1"/>
      <c r="Q777" s="1"/>
      <c r="R777" s="1"/>
      <c r="S777" s="1"/>
      <c r="T777" s="1"/>
      <c r="U777" s="2"/>
      <c r="V777" s="1"/>
      <c r="W777" s="1"/>
      <c r="X777" s="1"/>
      <c r="Y777" s="1"/>
      <c r="Z777" s="1"/>
    </row>
    <row r="778" spans="1:26" ht="39.75" customHeight="1">
      <c r="A778" s="1"/>
      <c r="B778" s="1"/>
      <c r="C778" s="1"/>
      <c r="D778" s="1"/>
      <c r="E778" s="1"/>
      <c r="F778" s="1"/>
      <c r="G778" s="1"/>
      <c r="H778" s="1"/>
      <c r="I778" s="1"/>
      <c r="J778" s="1"/>
      <c r="K778" s="1"/>
      <c r="L778" s="1"/>
      <c r="M778" s="1"/>
      <c r="N778" s="1"/>
      <c r="O778" s="1"/>
      <c r="P778" s="1"/>
      <c r="Q778" s="1"/>
      <c r="R778" s="1"/>
      <c r="S778" s="1"/>
      <c r="T778" s="1"/>
      <c r="U778" s="2"/>
      <c r="V778" s="1"/>
      <c r="W778" s="1"/>
      <c r="X778" s="1"/>
      <c r="Y778" s="1"/>
      <c r="Z778" s="1"/>
    </row>
    <row r="779" spans="1:26" ht="39.75" customHeight="1">
      <c r="A779" s="1"/>
      <c r="B779" s="1"/>
      <c r="C779" s="1"/>
      <c r="D779" s="1"/>
      <c r="E779" s="1"/>
      <c r="F779" s="1"/>
      <c r="G779" s="1"/>
      <c r="H779" s="1"/>
      <c r="I779" s="1"/>
      <c r="J779" s="1"/>
      <c r="K779" s="1"/>
      <c r="L779" s="1"/>
      <c r="M779" s="1"/>
      <c r="N779" s="1"/>
      <c r="O779" s="1"/>
      <c r="P779" s="1"/>
      <c r="Q779" s="1"/>
      <c r="R779" s="1"/>
      <c r="S779" s="1"/>
      <c r="T779" s="1"/>
      <c r="U779" s="2"/>
      <c r="V779" s="1"/>
      <c r="W779" s="1"/>
      <c r="X779" s="1"/>
      <c r="Y779" s="1"/>
      <c r="Z779" s="1"/>
    </row>
    <row r="780" spans="1:26" ht="39.75" customHeight="1">
      <c r="A780" s="1"/>
      <c r="B780" s="1"/>
      <c r="C780" s="1"/>
      <c r="D780" s="1"/>
      <c r="E780" s="1"/>
      <c r="F780" s="1"/>
      <c r="G780" s="1"/>
      <c r="H780" s="1"/>
      <c r="I780" s="1"/>
      <c r="J780" s="1"/>
      <c r="K780" s="1"/>
      <c r="L780" s="1"/>
      <c r="M780" s="1"/>
      <c r="N780" s="1"/>
      <c r="O780" s="1"/>
      <c r="P780" s="1"/>
      <c r="Q780" s="1"/>
      <c r="R780" s="1"/>
      <c r="S780" s="1"/>
      <c r="T780" s="1"/>
      <c r="U780" s="2"/>
      <c r="V780" s="1"/>
      <c r="W780" s="1"/>
      <c r="X780" s="1"/>
      <c r="Y780" s="1"/>
      <c r="Z780" s="1"/>
    </row>
    <row r="781" spans="1:26" ht="39.75" customHeight="1">
      <c r="A781" s="1"/>
      <c r="B781" s="1"/>
      <c r="C781" s="1"/>
      <c r="D781" s="1"/>
      <c r="E781" s="1"/>
      <c r="F781" s="1"/>
      <c r="G781" s="1"/>
      <c r="H781" s="1"/>
      <c r="I781" s="1"/>
      <c r="J781" s="1"/>
      <c r="K781" s="1"/>
      <c r="L781" s="1"/>
      <c r="M781" s="1"/>
      <c r="N781" s="1"/>
      <c r="O781" s="1"/>
      <c r="P781" s="1"/>
      <c r="Q781" s="1"/>
      <c r="R781" s="1"/>
      <c r="S781" s="1"/>
      <c r="T781" s="1"/>
      <c r="U781" s="2"/>
      <c r="V781" s="1"/>
      <c r="W781" s="1"/>
      <c r="X781" s="1"/>
      <c r="Y781" s="1"/>
      <c r="Z781" s="1"/>
    </row>
    <row r="782" spans="1:26" ht="39.75" customHeight="1">
      <c r="A782" s="1"/>
      <c r="B782" s="1"/>
      <c r="C782" s="1"/>
      <c r="D782" s="1"/>
      <c r="E782" s="1"/>
      <c r="F782" s="1"/>
      <c r="G782" s="1"/>
      <c r="H782" s="1"/>
      <c r="I782" s="1"/>
      <c r="J782" s="1"/>
      <c r="K782" s="1"/>
      <c r="L782" s="1"/>
      <c r="M782" s="1"/>
      <c r="N782" s="1"/>
      <c r="O782" s="1"/>
      <c r="P782" s="1"/>
      <c r="Q782" s="1"/>
      <c r="R782" s="1"/>
      <c r="S782" s="1"/>
      <c r="T782" s="1"/>
      <c r="U782" s="2"/>
      <c r="V782" s="1"/>
      <c r="W782" s="1"/>
      <c r="X782" s="1"/>
      <c r="Y782" s="1"/>
      <c r="Z782" s="1"/>
    </row>
    <row r="783" spans="1:26" ht="39.75" customHeight="1">
      <c r="A783" s="1"/>
      <c r="B783" s="1"/>
      <c r="C783" s="1"/>
      <c r="D783" s="1"/>
      <c r="E783" s="1"/>
      <c r="F783" s="1"/>
      <c r="G783" s="1"/>
      <c r="H783" s="1"/>
      <c r="I783" s="1"/>
      <c r="J783" s="1"/>
      <c r="K783" s="1"/>
      <c r="L783" s="1"/>
      <c r="M783" s="1"/>
      <c r="N783" s="1"/>
      <c r="O783" s="1"/>
      <c r="P783" s="1"/>
      <c r="Q783" s="1"/>
      <c r="R783" s="1"/>
      <c r="S783" s="1"/>
      <c r="T783" s="1"/>
      <c r="U783" s="2"/>
      <c r="V783" s="1"/>
      <c r="W783" s="1"/>
      <c r="X783" s="1"/>
      <c r="Y783" s="1"/>
      <c r="Z783" s="1"/>
    </row>
    <row r="784" spans="1:26" ht="39.75" customHeight="1">
      <c r="A784" s="1"/>
      <c r="B784" s="1"/>
      <c r="C784" s="1"/>
      <c r="D784" s="1"/>
      <c r="E784" s="1"/>
      <c r="F784" s="1"/>
      <c r="G784" s="1"/>
      <c r="H784" s="1"/>
      <c r="I784" s="1"/>
      <c r="J784" s="1"/>
      <c r="K784" s="1"/>
      <c r="L784" s="1"/>
      <c r="M784" s="1"/>
      <c r="N784" s="1"/>
      <c r="O784" s="1"/>
      <c r="P784" s="1"/>
      <c r="Q784" s="1"/>
      <c r="R784" s="1"/>
      <c r="S784" s="1"/>
      <c r="T784" s="1"/>
      <c r="U784" s="2"/>
      <c r="V784" s="1"/>
      <c r="W784" s="1"/>
      <c r="X784" s="1"/>
      <c r="Y784" s="1"/>
      <c r="Z784" s="1"/>
    </row>
    <row r="785" spans="1:26" ht="39.75" customHeight="1">
      <c r="A785" s="1"/>
      <c r="B785" s="1"/>
      <c r="C785" s="1"/>
      <c r="D785" s="1"/>
      <c r="E785" s="1"/>
      <c r="F785" s="1"/>
      <c r="G785" s="1"/>
      <c r="H785" s="1"/>
      <c r="I785" s="1"/>
      <c r="J785" s="1"/>
      <c r="K785" s="1"/>
      <c r="L785" s="1"/>
      <c r="M785" s="1"/>
      <c r="N785" s="1"/>
      <c r="O785" s="1"/>
      <c r="P785" s="1"/>
      <c r="Q785" s="1"/>
      <c r="R785" s="1"/>
      <c r="S785" s="1"/>
      <c r="T785" s="1"/>
      <c r="U785" s="2"/>
      <c r="V785" s="1"/>
      <c r="W785" s="1"/>
      <c r="X785" s="1"/>
      <c r="Y785" s="1"/>
      <c r="Z785" s="1"/>
    </row>
    <row r="786" spans="1:26" ht="39.75" customHeight="1">
      <c r="A786" s="1"/>
      <c r="B786" s="1"/>
      <c r="C786" s="1"/>
      <c r="D786" s="1"/>
      <c r="E786" s="1"/>
      <c r="F786" s="1"/>
      <c r="G786" s="1"/>
      <c r="H786" s="1"/>
      <c r="I786" s="1"/>
      <c r="J786" s="1"/>
      <c r="K786" s="1"/>
      <c r="L786" s="1"/>
      <c r="M786" s="1"/>
      <c r="N786" s="1"/>
      <c r="O786" s="1"/>
      <c r="P786" s="1"/>
      <c r="Q786" s="1"/>
      <c r="R786" s="1"/>
      <c r="S786" s="1"/>
      <c r="T786" s="1"/>
      <c r="U786" s="2"/>
      <c r="V786" s="1"/>
      <c r="W786" s="1"/>
      <c r="X786" s="1"/>
      <c r="Y786" s="1"/>
      <c r="Z786" s="1"/>
    </row>
    <row r="787" spans="1:26" ht="39.75" customHeight="1">
      <c r="A787" s="1"/>
      <c r="B787" s="1"/>
      <c r="C787" s="1"/>
      <c r="D787" s="1"/>
      <c r="E787" s="1"/>
      <c r="F787" s="1"/>
      <c r="G787" s="1"/>
      <c r="H787" s="1"/>
      <c r="I787" s="1"/>
      <c r="J787" s="1"/>
      <c r="K787" s="1"/>
      <c r="L787" s="1"/>
      <c r="M787" s="1"/>
      <c r="N787" s="1"/>
      <c r="O787" s="1"/>
      <c r="P787" s="1"/>
      <c r="Q787" s="1"/>
      <c r="R787" s="1"/>
      <c r="S787" s="1"/>
      <c r="T787" s="1"/>
      <c r="U787" s="2"/>
      <c r="V787" s="1"/>
      <c r="W787" s="1"/>
      <c r="X787" s="1"/>
      <c r="Y787" s="1"/>
      <c r="Z787" s="1"/>
    </row>
    <row r="788" spans="1:26" ht="39.75" customHeight="1">
      <c r="A788" s="1"/>
      <c r="B788" s="1"/>
      <c r="C788" s="1"/>
      <c r="D788" s="1"/>
      <c r="E788" s="1"/>
      <c r="F788" s="1"/>
      <c r="G788" s="1"/>
      <c r="H788" s="1"/>
      <c r="I788" s="1"/>
      <c r="J788" s="1"/>
      <c r="K788" s="1"/>
      <c r="L788" s="1"/>
      <c r="M788" s="1"/>
      <c r="N788" s="1"/>
      <c r="O788" s="1"/>
      <c r="P788" s="1"/>
      <c r="Q788" s="1"/>
      <c r="R788" s="1"/>
      <c r="S788" s="1"/>
      <c r="T788" s="1"/>
      <c r="U788" s="2"/>
      <c r="V788" s="1"/>
      <c r="W788" s="1"/>
      <c r="X788" s="1"/>
      <c r="Y788" s="1"/>
      <c r="Z788" s="1"/>
    </row>
    <row r="789" spans="1:26" ht="39.75" customHeight="1">
      <c r="A789" s="1"/>
      <c r="B789" s="1"/>
      <c r="C789" s="1"/>
      <c r="D789" s="1"/>
      <c r="E789" s="1"/>
      <c r="F789" s="1"/>
      <c r="G789" s="1"/>
      <c r="H789" s="1"/>
      <c r="I789" s="1"/>
      <c r="J789" s="1"/>
      <c r="K789" s="1"/>
      <c r="L789" s="1"/>
      <c r="M789" s="1"/>
      <c r="N789" s="1"/>
      <c r="O789" s="1"/>
      <c r="P789" s="1"/>
      <c r="Q789" s="1"/>
      <c r="R789" s="1"/>
      <c r="S789" s="1"/>
      <c r="T789" s="1"/>
      <c r="U789" s="2"/>
      <c r="V789" s="1"/>
      <c r="W789" s="1"/>
      <c r="X789" s="1"/>
      <c r="Y789" s="1"/>
      <c r="Z789" s="1"/>
    </row>
    <row r="790" spans="1:26" ht="39.75" customHeight="1">
      <c r="A790" s="1"/>
      <c r="B790" s="1"/>
      <c r="C790" s="1"/>
      <c r="D790" s="1"/>
      <c r="E790" s="1"/>
      <c r="F790" s="1"/>
      <c r="G790" s="1"/>
      <c r="H790" s="1"/>
      <c r="I790" s="1"/>
      <c r="J790" s="1"/>
      <c r="K790" s="1"/>
      <c r="L790" s="1"/>
      <c r="M790" s="1"/>
      <c r="N790" s="1"/>
      <c r="O790" s="1"/>
      <c r="P790" s="1"/>
      <c r="Q790" s="1"/>
      <c r="R790" s="1"/>
      <c r="S790" s="1"/>
      <c r="T790" s="1"/>
      <c r="U790" s="2"/>
      <c r="V790" s="1"/>
      <c r="W790" s="1"/>
      <c r="X790" s="1"/>
      <c r="Y790" s="1"/>
      <c r="Z790" s="1"/>
    </row>
    <row r="791" spans="1:26" ht="39.75" customHeight="1">
      <c r="A791" s="1"/>
      <c r="B791" s="1"/>
      <c r="C791" s="1"/>
      <c r="D791" s="1"/>
      <c r="E791" s="1"/>
      <c r="F791" s="1"/>
      <c r="G791" s="1"/>
      <c r="H791" s="1"/>
      <c r="I791" s="1"/>
      <c r="J791" s="1"/>
      <c r="K791" s="1"/>
      <c r="L791" s="1"/>
      <c r="M791" s="1"/>
      <c r="N791" s="1"/>
      <c r="O791" s="1"/>
      <c r="P791" s="1"/>
      <c r="Q791" s="1"/>
      <c r="R791" s="1"/>
      <c r="S791" s="1"/>
      <c r="T791" s="1"/>
      <c r="U791" s="2"/>
      <c r="V791" s="1"/>
      <c r="W791" s="1"/>
      <c r="X791" s="1"/>
      <c r="Y791" s="1"/>
      <c r="Z791" s="1"/>
    </row>
    <row r="792" spans="1:26" ht="39.75" customHeight="1">
      <c r="A792" s="1"/>
      <c r="B792" s="1"/>
      <c r="C792" s="1"/>
      <c r="D792" s="1"/>
      <c r="E792" s="1"/>
      <c r="F792" s="1"/>
      <c r="G792" s="1"/>
      <c r="H792" s="1"/>
      <c r="I792" s="1"/>
      <c r="J792" s="1"/>
      <c r="K792" s="1"/>
      <c r="L792" s="1"/>
      <c r="M792" s="1"/>
      <c r="N792" s="1"/>
      <c r="O792" s="1"/>
      <c r="P792" s="1"/>
      <c r="Q792" s="1"/>
      <c r="R792" s="1"/>
      <c r="S792" s="1"/>
      <c r="T792" s="1"/>
      <c r="U792" s="2"/>
      <c r="V792" s="1"/>
      <c r="W792" s="1"/>
      <c r="X792" s="1"/>
      <c r="Y792" s="1"/>
      <c r="Z792" s="1"/>
    </row>
    <row r="793" spans="1:26" ht="39.75" customHeight="1">
      <c r="A793" s="1"/>
      <c r="B793" s="1"/>
      <c r="C793" s="1"/>
      <c r="D793" s="1"/>
      <c r="E793" s="1"/>
      <c r="F793" s="1"/>
      <c r="G793" s="1"/>
      <c r="H793" s="1"/>
      <c r="I793" s="1"/>
      <c r="J793" s="1"/>
      <c r="K793" s="1"/>
      <c r="L793" s="1"/>
      <c r="M793" s="1"/>
      <c r="N793" s="1"/>
      <c r="O793" s="1"/>
      <c r="P793" s="1"/>
      <c r="Q793" s="1"/>
      <c r="R793" s="1"/>
      <c r="S793" s="1"/>
      <c r="T793" s="1"/>
      <c r="U793" s="2"/>
      <c r="V793" s="1"/>
      <c r="W793" s="1"/>
      <c r="X793" s="1"/>
      <c r="Y793" s="1"/>
      <c r="Z793" s="1"/>
    </row>
    <row r="794" spans="1:26" ht="39.75" customHeight="1">
      <c r="A794" s="1"/>
      <c r="B794" s="1"/>
      <c r="C794" s="1"/>
      <c r="D794" s="1"/>
      <c r="E794" s="1"/>
      <c r="F794" s="1"/>
      <c r="G794" s="1"/>
      <c r="H794" s="1"/>
      <c r="I794" s="1"/>
      <c r="J794" s="1"/>
      <c r="K794" s="1"/>
      <c r="L794" s="1"/>
      <c r="M794" s="1"/>
      <c r="N794" s="1"/>
      <c r="O794" s="1"/>
      <c r="P794" s="1"/>
      <c r="Q794" s="1"/>
      <c r="R794" s="1"/>
      <c r="S794" s="1"/>
      <c r="T794" s="1"/>
      <c r="U794" s="2"/>
      <c r="V794" s="1"/>
      <c r="W794" s="1"/>
      <c r="X794" s="1"/>
      <c r="Y794" s="1"/>
      <c r="Z794" s="1"/>
    </row>
    <row r="795" spans="1:26" ht="39.75" customHeight="1">
      <c r="A795" s="1"/>
      <c r="B795" s="1"/>
      <c r="C795" s="1"/>
      <c r="D795" s="1"/>
      <c r="E795" s="1"/>
      <c r="F795" s="1"/>
      <c r="G795" s="1"/>
      <c r="H795" s="1"/>
      <c r="I795" s="1"/>
      <c r="J795" s="1"/>
      <c r="K795" s="1"/>
      <c r="L795" s="1"/>
      <c r="M795" s="1"/>
      <c r="N795" s="1"/>
      <c r="O795" s="1"/>
      <c r="P795" s="1"/>
      <c r="Q795" s="1"/>
      <c r="R795" s="1"/>
      <c r="S795" s="1"/>
      <c r="T795" s="1"/>
      <c r="U795" s="2"/>
      <c r="V795" s="1"/>
      <c r="W795" s="1"/>
      <c r="X795" s="1"/>
      <c r="Y795" s="1"/>
      <c r="Z795" s="1"/>
    </row>
    <row r="796" spans="1:26" ht="39.75" customHeight="1">
      <c r="A796" s="1"/>
      <c r="B796" s="1"/>
      <c r="C796" s="1"/>
      <c r="D796" s="1"/>
      <c r="E796" s="1"/>
      <c r="F796" s="1"/>
      <c r="G796" s="1"/>
      <c r="H796" s="1"/>
      <c r="I796" s="1"/>
      <c r="J796" s="1"/>
      <c r="K796" s="1"/>
      <c r="L796" s="1"/>
      <c r="M796" s="1"/>
      <c r="N796" s="1"/>
      <c r="O796" s="1"/>
      <c r="P796" s="1"/>
      <c r="Q796" s="1"/>
      <c r="R796" s="1"/>
      <c r="S796" s="1"/>
      <c r="T796" s="1"/>
      <c r="U796" s="2"/>
      <c r="V796" s="1"/>
      <c r="W796" s="1"/>
      <c r="X796" s="1"/>
      <c r="Y796" s="1"/>
      <c r="Z796" s="1"/>
    </row>
    <row r="797" spans="1:26" ht="39.75" customHeight="1">
      <c r="A797" s="1"/>
      <c r="B797" s="1"/>
      <c r="C797" s="1"/>
      <c r="D797" s="1"/>
      <c r="E797" s="1"/>
      <c r="F797" s="1"/>
      <c r="G797" s="1"/>
      <c r="H797" s="1"/>
      <c r="I797" s="1"/>
      <c r="J797" s="1"/>
      <c r="K797" s="1"/>
      <c r="L797" s="1"/>
      <c r="M797" s="1"/>
      <c r="N797" s="1"/>
      <c r="O797" s="1"/>
      <c r="P797" s="1"/>
      <c r="Q797" s="1"/>
      <c r="R797" s="1"/>
      <c r="S797" s="1"/>
      <c r="T797" s="1"/>
      <c r="U797" s="2"/>
      <c r="V797" s="1"/>
      <c r="W797" s="1"/>
      <c r="X797" s="1"/>
      <c r="Y797" s="1"/>
      <c r="Z797" s="1"/>
    </row>
    <row r="798" spans="1:26" ht="39.75" customHeight="1">
      <c r="A798" s="1"/>
      <c r="B798" s="1"/>
      <c r="C798" s="1"/>
      <c r="D798" s="1"/>
      <c r="E798" s="1"/>
      <c r="F798" s="1"/>
      <c r="G798" s="1"/>
      <c r="H798" s="1"/>
      <c r="I798" s="1"/>
      <c r="J798" s="1"/>
      <c r="K798" s="1"/>
      <c r="L798" s="1"/>
      <c r="M798" s="1"/>
      <c r="N798" s="1"/>
      <c r="O798" s="1"/>
      <c r="P798" s="1"/>
      <c r="Q798" s="1"/>
      <c r="R798" s="1"/>
      <c r="S798" s="1"/>
      <c r="T798" s="1"/>
      <c r="U798" s="2"/>
      <c r="V798" s="1"/>
      <c r="W798" s="1"/>
      <c r="X798" s="1"/>
      <c r="Y798" s="1"/>
      <c r="Z798" s="1"/>
    </row>
    <row r="799" spans="1:26" ht="39.75" customHeight="1">
      <c r="A799" s="1"/>
      <c r="B799" s="1"/>
      <c r="C799" s="1"/>
      <c r="D799" s="1"/>
      <c r="E799" s="1"/>
      <c r="F799" s="1"/>
      <c r="G799" s="1"/>
      <c r="H799" s="1"/>
      <c r="I799" s="1"/>
      <c r="J799" s="1"/>
      <c r="K799" s="1"/>
      <c r="L799" s="1"/>
      <c r="M799" s="1"/>
      <c r="N799" s="1"/>
      <c r="O799" s="1"/>
      <c r="P799" s="1"/>
      <c r="Q799" s="1"/>
      <c r="R799" s="1"/>
      <c r="S799" s="1"/>
      <c r="T799" s="1"/>
      <c r="U799" s="2"/>
      <c r="V799" s="1"/>
      <c r="W799" s="1"/>
      <c r="X799" s="1"/>
      <c r="Y799" s="1"/>
      <c r="Z799" s="1"/>
    </row>
    <row r="800" spans="1:26" ht="39.75" customHeight="1">
      <c r="A800" s="1"/>
      <c r="B800" s="1"/>
      <c r="C800" s="1"/>
      <c r="D800" s="1"/>
      <c r="E800" s="1"/>
      <c r="F800" s="1"/>
      <c r="G800" s="1"/>
      <c r="H800" s="1"/>
      <c r="I800" s="1"/>
      <c r="J800" s="1"/>
      <c r="K800" s="1"/>
      <c r="L800" s="1"/>
      <c r="M800" s="1"/>
      <c r="N800" s="1"/>
      <c r="O800" s="1"/>
      <c r="P800" s="1"/>
      <c r="Q800" s="1"/>
      <c r="R800" s="1"/>
      <c r="S800" s="1"/>
      <c r="T800" s="1"/>
      <c r="U800" s="2"/>
      <c r="V800" s="1"/>
      <c r="W800" s="1"/>
      <c r="X800" s="1"/>
      <c r="Y800" s="1"/>
      <c r="Z800" s="1"/>
    </row>
    <row r="801" spans="1:26" ht="39.75" customHeight="1">
      <c r="A801" s="1"/>
      <c r="B801" s="1"/>
      <c r="C801" s="1"/>
      <c r="D801" s="1"/>
      <c r="E801" s="1"/>
      <c r="F801" s="1"/>
      <c r="G801" s="1"/>
      <c r="H801" s="1"/>
      <c r="I801" s="1"/>
      <c r="J801" s="1"/>
      <c r="K801" s="1"/>
      <c r="L801" s="1"/>
      <c r="M801" s="1"/>
      <c r="N801" s="1"/>
      <c r="O801" s="1"/>
      <c r="P801" s="1"/>
      <c r="Q801" s="1"/>
      <c r="R801" s="1"/>
      <c r="S801" s="1"/>
      <c r="T801" s="1"/>
      <c r="U801" s="2"/>
      <c r="V801" s="1"/>
      <c r="W801" s="1"/>
      <c r="X801" s="1"/>
      <c r="Y801" s="1"/>
      <c r="Z801" s="1"/>
    </row>
    <row r="802" spans="1:26" ht="39.75" customHeight="1">
      <c r="A802" s="1"/>
      <c r="B802" s="1"/>
      <c r="C802" s="1"/>
      <c r="D802" s="1"/>
      <c r="E802" s="1"/>
      <c r="F802" s="1"/>
      <c r="G802" s="1"/>
      <c r="H802" s="1"/>
      <c r="I802" s="1"/>
      <c r="J802" s="1"/>
      <c r="K802" s="1"/>
      <c r="L802" s="1"/>
      <c r="M802" s="1"/>
      <c r="N802" s="1"/>
      <c r="O802" s="1"/>
      <c r="P802" s="1"/>
      <c r="Q802" s="1"/>
      <c r="R802" s="1"/>
      <c r="S802" s="1"/>
      <c r="T802" s="1"/>
      <c r="U802" s="2"/>
      <c r="V802" s="1"/>
      <c r="W802" s="1"/>
      <c r="X802" s="1"/>
      <c r="Y802" s="1"/>
      <c r="Z802" s="1"/>
    </row>
    <row r="803" spans="1:26" ht="39.75" customHeight="1">
      <c r="A803" s="1"/>
      <c r="B803" s="1"/>
      <c r="C803" s="1"/>
      <c r="D803" s="1"/>
      <c r="E803" s="1"/>
      <c r="F803" s="1"/>
      <c r="G803" s="1"/>
      <c r="H803" s="1"/>
      <c r="I803" s="1"/>
      <c r="J803" s="1"/>
      <c r="K803" s="1"/>
      <c r="L803" s="1"/>
      <c r="M803" s="1"/>
      <c r="N803" s="1"/>
      <c r="O803" s="1"/>
      <c r="P803" s="1"/>
      <c r="Q803" s="1"/>
      <c r="R803" s="1"/>
      <c r="S803" s="1"/>
      <c r="T803" s="1"/>
      <c r="U803" s="2"/>
      <c r="V803" s="1"/>
      <c r="W803" s="1"/>
      <c r="X803" s="1"/>
      <c r="Y803" s="1"/>
      <c r="Z803" s="1"/>
    </row>
    <row r="804" spans="1:26" ht="39.75" customHeight="1">
      <c r="A804" s="1"/>
      <c r="B804" s="1"/>
      <c r="C804" s="1"/>
      <c r="D804" s="1"/>
      <c r="E804" s="1"/>
      <c r="F804" s="1"/>
      <c r="G804" s="1"/>
      <c r="H804" s="1"/>
      <c r="I804" s="1"/>
      <c r="J804" s="1"/>
      <c r="K804" s="1"/>
      <c r="L804" s="1"/>
      <c r="M804" s="1"/>
      <c r="N804" s="1"/>
      <c r="O804" s="1"/>
      <c r="P804" s="1"/>
      <c r="Q804" s="1"/>
      <c r="R804" s="1"/>
      <c r="S804" s="1"/>
      <c r="T804" s="1"/>
      <c r="U804" s="2"/>
      <c r="V804" s="1"/>
      <c r="W804" s="1"/>
      <c r="X804" s="1"/>
      <c r="Y804" s="1"/>
      <c r="Z804" s="1"/>
    </row>
    <row r="805" spans="1:26" ht="39.75" customHeight="1">
      <c r="A805" s="1"/>
      <c r="B805" s="1"/>
      <c r="C805" s="1"/>
      <c r="D805" s="1"/>
      <c r="E805" s="1"/>
      <c r="F805" s="1"/>
      <c r="G805" s="1"/>
      <c r="H805" s="1"/>
      <c r="I805" s="1"/>
      <c r="J805" s="1"/>
      <c r="K805" s="1"/>
      <c r="L805" s="1"/>
      <c r="M805" s="1"/>
      <c r="N805" s="1"/>
      <c r="O805" s="1"/>
      <c r="P805" s="1"/>
      <c r="Q805" s="1"/>
      <c r="R805" s="1"/>
      <c r="S805" s="1"/>
      <c r="T805" s="1"/>
      <c r="U805" s="2"/>
      <c r="V805" s="1"/>
      <c r="W805" s="1"/>
      <c r="X805" s="1"/>
      <c r="Y805" s="1"/>
      <c r="Z805" s="1"/>
    </row>
    <row r="806" spans="1:26" ht="39.75" customHeight="1">
      <c r="A806" s="1"/>
      <c r="B806" s="1"/>
      <c r="C806" s="1"/>
      <c r="D806" s="1"/>
      <c r="E806" s="1"/>
      <c r="F806" s="1"/>
      <c r="G806" s="1"/>
      <c r="H806" s="1"/>
      <c r="I806" s="1"/>
      <c r="J806" s="1"/>
      <c r="K806" s="1"/>
      <c r="L806" s="1"/>
      <c r="M806" s="1"/>
      <c r="N806" s="1"/>
      <c r="O806" s="1"/>
      <c r="P806" s="1"/>
      <c r="Q806" s="1"/>
      <c r="R806" s="1"/>
      <c r="S806" s="1"/>
      <c r="T806" s="1"/>
      <c r="U806" s="2"/>
      <c r="V806" s="1"/>
      <c r="W806" s="1"/>
      <c r="X806" s="1"/>
      <c r="Y806" s="1"/>
      <c r="Z806" s="1"/>
    </row>
    <row r="807" spans="1:26" ht="39.75" customHeight="1">
      <c r="A807" s="1"/>
      <c r="B807" s="1"/>
      <c r="C807" s="1"/>
      <c r="D807" s="1"/>
      <c r="E807" s="1"/>
      <c r="F807" s="1"/>
      <c r="G807" s="1"/>
      <c r="H807" s="1"/>
      <c r="I807" s="1"/>
      <c r="J807" s="1"/>
      <c r="K807" s="1"/>
      <c r="L807" s="1"/>
      <c r="M807" s="1"/>
      <c r="N807" s="1"/>
      <c r="O807" s="1"/>
      <c r="P807" s="1"/>
      <c r="Q807" s="1"/>
      <c r="R807" s="1"/>
      <c r="S807" s="1"/>
      <c r="T807" s="1"/>
      <c r="U807" s="2"/>
      <c r="V807" s="1"/>
      <c r="W807" s="1"/>
      <c r="X807" s="1"/>
      <c r="Y807" s="1"/>
      <c r="Z807" s="1"/>
    </row>
    <row r="808" spans="1:26" ht="39.75" customHeight="1">
      <c r="A808" s="1"/>
      <c r="B808" s="1"/>
      <c r="C808" s="1"/>
      <c r="D808" s="1"/>
      <c r="E808" s="1"/>
      <c r="F808" s="1"/>
      <c r="G808" s="1"/>
      <c r="H808" s="1"/>
      <c r="I808" s="1"/>
      <c r="J808" s="1"/>
      <c r="K808" s="1"/>
      <c r="L808" s="1"/>
      <c r="M808" s="1"/>
      <c r="N808" s="1"/>
      <c r="O808" s="1"/>
      <c r="P808" s="1"/>
      <c r="Q808" s="1"/>
      <c r="R808" s="1"/>
      <c r="S808" s="1"/>
      <c r="T808" s="1"/>
      <c r="U808" s="2"/>
      <c r="V808" s="1"/>
      <c r="W808" s="1"/>
      <c r="X808" s="1"/>
      <c r="Y808" s="1"/>
      <c r="Z808" s="1"/>
    </row>
    <row r="809" spans="1:26" ht="39.75" customHeight="1">
      <c r="A809" s="1"/>
      <c r="B809" s="1"/>
      <c r="C809" s="1"/>
      <c r="D809" s="1"/>
      <c r="E809" s="1"/>
      <c r="F809" s="1"/>
      <c r="G809" s="1"/>
      <c r="H809" s="1"/>
      <c r="I809" s="1"/>
      <c r="J809" s="1"/>
      <c r="K809" s="1"/>
      <c r="L809" s="1"/>
      <c r="M809" s="1"/>
      <c r="N809" s="1"/>
      <c r="O809" s="1"/>
      <c r="P809" s="1"/>
      <c r="Q809" s="1"/>
      <c r="R809" s="1"/>
      <c r="S809" s="1"/>
      <c r="T809" s="1"/>
      <c r="U809" s="2"/>
      <c r="V809" s="1"/>
      <c r="W809" s="1"/>
      <c r="X809" s="1"/>
      <c r="Y809" s="1"/>
      <c r="Z809" s="1"/>
    </row>
    <row r="810" spans="1:26" ht="39.75" customHeight="1">
      <c r="A810" s="1"/>
      <c r="B810" s="1"/>
      <c r="C810" s="1"/>
      <c r="D810" s="1"/>
      <c r="E810" s="1"/>
      <c r="F810" s="1"/>
      <c r="G810" s="1"/>
      <c r="H810" s="1"/>
      <c r="I810" s="1"/>
      <c r="J810" s="1"/>
      <c r="K810" s="1"/>
      <c r="L810" s="1"/>
      <c r="M810" s="1"/>
      <c r="N810" s="1"/>
      <c r="O810" s="1"/>
      <c r="P810" s="1"/>
      <c r="Q810" s="1"/>
      <c r="R810" s="1"/>
      <c r="S810" s="1"/>
      <c r="T810" s="1"/>
      <c r="U810" s="2"/>
      <c r="V810" s="1"/>
      <c r="W810" s="1"/>
      <c r="X810" s="1"/>
      <c r="Y810" s="1"/>
      <c r="Z810" s="1"/>
    </row>
    <row r="811" spans="1:26" ht="39.75" customHeight="1">
      <c r="A811" s="1"/>
      <c r="B811" s="1"/>
      <c r="C811" s="1"/>
      <c r="D811" s="1"/>
      <c r="E811" s="1"/>
      <c r="F811" s="1"/>
      <c r="G811" s="1"/>
      <c r="H811" s="1"/>
      <c r="I811" s="1"/>
      <c r="J811" s="1"/>
      <c r="K811" s="1"/>
      <c r="L811" s="1"/>
      <c r="M811" s="1"/>
      <c r="N811" s="1"/>
      <c r="O811" s="1"/>
      <c r="P811" s="1"/>
      <c r="Q811" s="1"/>
      <c r="R811" s="1"/>
      <c r="S811" s="1"/>
      <c r="T811" s="1"/>
      <c r="U811" s="2"/>
      <c r="V811" s="1"/>
      <c r="W811" s="1"/>
      <c r="X811" s="1"/>
      <c r="Y811" s="1"/>
      <c r="Z811" s="1"/>
    </row>
    <row r="812" spans="1:26" ht="39.75" customHeight="1">
      <c r="A812" s="1"/>
      <c r="B812" s="1"/>
      <c r="C812" s="1"/>
      <c r="D812" s="1"/>
      <c r="E812" s="1"/>
      <c r="F812" s="1"/>
      <c r="G812" s="1"/>
      <c r="H812" s="1"/>
      <c r="I812" s="1"/>
      <c r="J812" s="1"/>
      <c r="K812" s="1"/>
      <c r="L812" s="1"/>
      <c r="M812" s="1"/>
      <c r="N812" s="1"/>
      <c r="O812" s="1"/>
      <c r="P812" s="1"/>
      <c r="Q812" s="1"/>
      <c r="R812" s="1"/>
      <c r="S812" s="1"/>
      <c r="T812" s="1"/>
      <c r="U812" s="2"/>
      <c r="V812" s="1"/>
      <c r="W812" s="1"/>
      <c r="X812" s="1"/>
      <c r="Y812" s="1"/>
      <c r="Z812" s="1"/>
    </row>
    <row r="813" spans="1:26" ht="39.75" customHeight="1">
      <c r="A813" s="1"/>
      <c r="B813" s="1"/>
      <c r="C813" s="1"/>
      <c r="D813" s="1"/>
      <c r="E813" s="1"/>
      <c r="F813" s="1"/>
      <c r="G813" s="1"/>
      <c r="H813" s="1"/>
      <c r="I813" s="1"/>
      <c r="J813" s="1"/>
      <c r="K813" s="1"/>
      <c r="L813" s="1"/>
      <c r="M813" s="1"/>
      <c r="N813" s="1"/>
      <c r="O813" s="1"/>
      <c r="P813" s="1"/>
      <c r="Q813" s="1"/>
      <c r="R813" s="1"/>
      <c r="S813" s="1"/>
      <c r="T813" s="1"/>
      <c r="U813" s="2"/>
      <c r="V813" s="1"/>
      <c r="W813" s="1"/>
      <c r="X813" s="1"/>
      <c r="Y813" s="1"/>
      <c r="Z813" s="1"/>
    </row>
    <row r="814" spans="1:26" ht="39.75" customHeight="1">
      <c r="A814" s="1"/>
      <c r="B814" s="1"/>
      <c r="C814" s="1"/>
      <c r="D814" s="1"/>
      <c r="E814" s="1"/>
      <c r="F814" s="1"/>
      <c r="G814" s="1"/>
      <c r="H814" s="1"/>
      <c r="I814" s="1"/>
      <c r="J814" s="1"/>
      <c r="K814" s="1"/>
      <c r="L814" s="1"/>
      <c r="M814" s="1"/>
      <c r="N814" s="1"/>
      <c r="O814" s="1"/>
      <c r="P814" s="1"/>
      <c r="Q814" s="1"/>
      <c r="R814" s="1"/>
      <c r="S814" s="1"/>
      <c r="T814" s="1"/>
      <c r="U814" s="2"/>
      <c r="V814" s="1"/>
      <c r="W814" s="1"/>
      <c r="X814" s="1"/>
      <c r="Y814" s="1"/>
      <c r="Z814" s="1"/>
    </row>
    <row r="815" spans="1:26" ht="39.75" customHeight="1">
      <c r="A815" s="1"/>
      <c r="B815" s="1"/>
      <c r="C815" s="1"/>
      <c r="D815" s="1"/>
      <c r="E815" s="1"/>
      <c r="F815" s="1"/>
      <c r="G815" s="1"/>
      <c r="H815" s="1"/>
      <c r="I815" s="1"/>
      <c r="J815" s="1"/>
      <c r="K815" s="1"/>
      <c r="L815" s="1"/>
      <c r="M815" s="1"/>
      <c r="N815" s="1"/>
      <c r="O815" s="1"/>
      <c r="P815" s="1"/>
      <c r="Q815" s="1"/>
      <c r="R815" s="1"/>
      <c r="S815" s="1"/>
      <c r="T815" s="1"/>
      <c r="U815" s="2"/>
      <c r="V815" s="1"/>
      <c r="W815" s="1"/>
      <c r="X815" s="1"/>
      <c r="Y815" s="1"/>
      <c r="Z815" s="1"/>
    </row>
    <row r="816" spans="1:26" ht="39.75" customHeight="1">
      <c r="A816" s="1"/>
      <c r="B816" s="1"/>
      <c r="C816" s="1"/>
      <c r="D816" s="1"/>
      <c r="E816" s="1"/>
      <c r="F816" s="1"/>
      <c r="G816" s="1"/>
      <c r="H816" s="1"/>
      <c r="I816" s="1"/>
      <c r="J816" s="1"/>
      <c r="K816" s="1"/>
      <c r="L816" s="1"/>
      <c r="M816" s="1"/>
      <c r="N816" s="1"/>
      <c r="O816" s="1"/>
      <c r="P816" s="1"/>
      <c r="Q816" s="1"/>
      <c r="R816" s="1"/>
      <c r="S816" s="1"/>
      <c r="T816" s="1"/>
      <c r="U816" s="2"/>
      <c r="V816" s="1"/>
      <c r="W816" s="1"/>
      <c r="X816" s="1"/>
      <c r="Y816" s="1"/>
      <c r="Z816" s="1"/>
    </row>
    <row r="817" spans="1:26" ht="39.75" customHeight="1">
      <c r="A817" s="1"/>
      <c r="B817" s="1"/>
      <c r="C817" s="1"/>
      <c r="D817" s="1"/>
      <c r="E817" s="1"/>
      <c r="F817" s="1"/>
      <c r="G817" s="1"/>
      <c r="H817" s="1"/>
      <c r="I817" s="1"/>
      <c r="J817" s="1"/>
      <c r="K817" s="1"/>
      <c r="L817" s="1"/>
      <c r="M817" s="1"/>
      <c r="N817" s="1"/>
      <c r="O817" s="1"/>
      <c r="P817" s="1"/>
      <c r="Q817" s="1"/>
      <c r="R817" s="1"/>
      <c r="S817" s="1"/>
      <c r="T817" s="1"/>
      <c r="U817" s="2"/>
      <c r="V817" s="1"/>
      <c r="W817" s="1"/>
      <c r="X817" s="1"/>
      <c r="Y817" s="1"/>
      <c r="Z817" s="1"/>
    </row>
    <row r="818" spans="1:26" ht="39.75" customHeight="1">
      <c r="A818" s="1"/>
      <c r="B818" s="1"/>
      <c r="C818" s="1"/>
      <c r="D818" s="1"/>
      <c r="E818" s="1"/>
      <c r="F818" s="1"/>
      <c r="G818" s="1"/>
      <c r="H818" s="1"/>
      <c r="I818" s="1"/>
      <c r="J818" s="1"/>
      <c r="K818" s="1"/>
      <c r="L818" s="1"/>
      <c r="M818" s="1"/>
      <c r="N818" s="1"/>
      <c r="O818" s="1"/>
      <c r="P818" s="1"/>
      <c r="Q818" s="1"/>
      <c r="R818" s="1"/>
      <c r="S818" s="1"/>
      <c r="T818" s="1"/>
      <c r="U818" s="2"/>
      <c r="V818" s="1"/>
      <c r="W818" s="1"/>
      <c r="X818" s="1"/>
      <c r="Y818" s="1"/>
      <c r="Z818" s="1"/>
    </row>
    <row r="819" spans="1:26" ht="39.75" customHeight="1">
      <c r="A819" s="1"/>
      <c r="B819" s="1"/>
      <c r="C819" s="1"/>
      <c r="D819" s="1"/>
      <c r="E819" s="1"/>
      <c r="F819" s="1"/>
      <c r="G819" s="1"/>
      <c r="H819" s="1"/>
      <c r="I819" s="1"/>
      <c r="J819" s="1"/>
      <c r="K819" s="1"/>
      <c r="L819" s="1"/>
      <c r="M819" s="1"/>
      <c r="N819" s="1"/>
      <c r="O819" s="1"/>
      <c r="P819" s="1"/>
      <c r="Q819" s="1"/>
      <c r="R819" s="1"/>
      <c r="S819" s="1"/>
      <c r="T819" s="1"/>
      <c r="U819" s="2"/>
      <c r="V819" s="1"/>
      <c r="W819" s="1"/>
      <c r="X819" s="1"/>
      <c r="Y819" s="1"/>
      <c r="Z819" s="1"/>
    </row>
    <row r="820" spans="1:26" ht="39.75" customHeight="1">
      <c r="A820" s="1"/>
      <c r="B820" s="1"/>
      <c r="C820" s="1"/>
      <c r="D820" s="1"/>
      <c r="E820" s="1"/>
      <c r="F820" s="1"/>
      <c r="G820" s="1"/>
      <c r="H820" s="1"/>
      <c r="I820" s="1"/>
      <c r="J820" s="1"/>
      <c r="K820" s="1"/>
      <c r="L820" s="1"/>
      <c r="M820" s="1"/>
      <c r="N820" s="1"/>
      <c r="O820" s="1"/>
      <c r="P820" s="1"/>
      <c r="Q820" s="1"/>
      <c r="R820" s="1"/>
      <c r="S820" s="1"/>
      <c r="T820" s="1"/>
      <c r="U820" s="2"/>
      <c r="V820" s="1"/>
      <c r="W820" s="1"/>
      <c r="X820" s="1"/>
      <c r="Y820" s="1"/>
      <c r="Z820" s="1"/>
    </row>
    <row r="821" spans="1:26" ht="39.75" customHeight="1">
      <c r="A821" s="1"/>
      <c r="B821" s="1"/>
      <c r="C821" s="1"/>
      <c r="D821" s="1"/>
      <c r="E821" s="1"/>
      <c r="F821" s="1"/>
      <c r="G821" s="1"/>
      <c r="H821" s="1"/>
      <c r="I821" s="1"/>
      <c r="J821" s="1"/>
      <c r="K821" s="1"/>
      <c r="L821" s="1"/>
      <c r="M821" s="1"/>
      <c r="N821" s="1"/>
      <c r="O821" s="1"/>
      <c r="P821" s="1"/>
      <c r="Q821" s="1"/>
      <c r="R821" s="1"/>
      <c r="S821" s="1"/>
      <c r="T821" s="1"/>
      <c r="U821" s="2"/>
      <c r="V821" s="1"/>
      <c r="W821" s="1"/>
      <c r="X821" s="1"/>
      <c r="Y821" s="1"/>
      <c r="Z821" s="1"/>
    </row>
    <row r="822" spans="1:26" ht="39.75" customHeight="1">
      <c r="A822" s="1"/>
      <c r="B822" s="1"/>
      <c r="C822" s="1"/>
      <c r="D822" s="1"/>
      <c r="E822" s="1"/>
      <c r="F822" s="1"/>
      <c r="G822" s="1"/>
      <c r="H822" s="1"/>
      <c r="I822" s="1"/>
      <c r="J822" s="1"/>
      <c r="K822" s="1"/>
      <c r="L822" s="1"/>
      <c r="M822" s="1"/>
      <c r="N822" s="1"/>
      <c r="O822" s="1"/>
      <c r="P822" s="1"/>
      <c r="Q822" s="1"/>
      <c r="R822" s="1"/>
      <c r="S822" s="1"/>
      <c r="T822" s="1"/>
      <c r="U822" s="2"/>
      <c r="V822" s="1"/>
      <c r="W822" s="1"/>
      <c r="X822" s="1"/>
      <c r="Y822" s="1"/>
      <c r="Z822" s="1"/>
    </row>
    <row r="823" spans="1:26" ht="39.75" customHeight="1">
      <c r="A823" s="1"/>
      <c r="B823" s="1"/>
      <c r="C823" s="1"/>
      <c r="D823" s="1"/>
      <c r="E823" s="1"/>
      <c r="F823" s="1"/>
      <c r="G823" s="1"/>
      <c r="H823" s="1"/>
      <c r="I823" s="1"/>
      <c r="J823" s="1"/>
      <c r="K823" s="1"/>
      <c r="L823" s="1"/>
      <c r="M823" s="1"/>
      <c r="N823" s="1"/>
      <c r="O823" s="1"/>
      <c r="P823" s="1"/>
      <c r="Q823" s="1"/>
      <c r="R823" s="1"/>
      <c r="S823" s="1"/>
      <c r="T823" s="1"/>
      <c r="U823" s="2"/>
      <c r="V823" s="1"/>
      <c r="W823" s="1"/>
      <c r="X823" s="1"/>
      <c r="Y823" s="1"/>
      <c r="Z823" s="1"/>
    </row>
    <row r="824" spans="1:26" ht="39.75" customHeight="1">
      <c r="A824" s="1"/>
      <c r="B824" s="1"/>
      <c r="C824" s="1"/>
      <c r="D824" s="1"/>
      <c r="E824" s="1"/>
      <c r="F824" s="1"/>
      <c r="G824" s="1"/>
      <c r="H824" s="1"/>
      <c r="I824" s="1"/>
      <c r="J824" s="1"/>
      <c r="K824" s="1"/>
      <c r="L824" s="1"/>
      <c r="M824" s="1"/>
      <c r="N824" s="1"/>
      <c r="O824" s="1"/>
      <c r="P824" s="1"/>
      <c r="Q824" s="1"/>
      <c r="R824" s="1"/>
      <c r="S824" s="1"/>
      <c r="T824" s="1"/>
      <c r="U824" s="2"/>
      <c r="V824" s="1"/>
      <c r="W824" s="1"/>
      <c r="X824" s="1"/>
      <c r="Y824" s="1"/>
      <c r="Z824" s="1"/>
    </row>
    <row r="825" spans="1:26" ht="39.75" customHeight="1">
      <c r="A825" s="1"/>
      <c r="B825" s="1"/>
      <c r="C825" s="1"/>
      <c r="D825" s="1"/>
      <c r="E825" s="1"/>
      <c r="F825" s="1"/>
      <c r="G825" s="1"/>
      <c r="H825" s="1"/>
      <c r="I825" s="1"/>
      <c r="J825" s="1"/>
      <c r="K825" s="1"/>
      <c r="L825" s="1"/>
      <c r="M825" s="1"/>
      <c r="N825" s="1"/>
      <c r="O825" s="1"/>
      <c r="P825" s="1"/>
      <c r="Q825" s="1"/>
      <c r="R825" s="1"/>
      <c r="S825" s="1"/>
      <c r="T825" s="1"/>
      <c r="U825" s="2"/>
      <c r="V825" s="1"/>
      <c r="W825" s="1"/>
      <c r="X825" s="1"/>
      <c r="Y825" s="1"/>
      <c r="Z825" s="1"/>
    </row>
    <row r="826" spans="1:26" ht="39.75" customHeight="1">
      <c r="A826" s="1"/>
      <c r="B826" s="1"/>
      <c r="C826" s="1"/>
      <c r="D826" s="1"/>
      <c r="E826" s="1"/>
      <c r="F826" s="1"/>
      <c r="G826" s="1"/>
      <c r="H826" s="1"/>
      <c r="I826" s="1"/>
      <c r="J826" s="1"/>
      <c r="K826" s="1"/>
      <c r="L826" s="1"/>
      <c r="M826" s="1"/>
      <c r="N826" s="1"/>
      <c r="O826" s="1"/>
      <c r="P826" s="1"/>
      <c r="Q826" s="1"/>
      <c r="R826" s="1"/>
      <c r="S826" s="1"/>
      <c r="T826" s="1"/>
      <c r="U826" s="2"/>
      <c r="V826" s="1"/>
      <c r="W826" s="1"/>
      <c r="X826" s="1"/>
      <c r="Y826" s="1"/>
      <c r="Z826" s="1"/>
    </row>
    <row r="827" spans="1:26" ht="39.75" customHeight="1">
      <c r="A827" s="1"/>
      <c r="B827" s="1"/>
      <c r="C827" s="1"/>
      <c r="D827" s="1"/>
      <c r="E827" s="1"/>
      <c r="F827" s="1"/>
      <c r="G827" s="1"/>
      <c r="H827" s="1"/>
      <c r="I827" s="1"/>
      <c r="J827" s="1"/>
      <c r="K827" s="1"/>
      <c r="L827" s="1"/>
      <c r="M827" s="1"/>
      <c r="N827" s="1"/>
      <c r="O827" s="1"/>
      <c r="P827" s="1"/>
      <c r="Q827" s="1"/>
      <c r="R827" s="1"/>
      <c r="S827" s="1"/>
      <c r="T827" s="1"/>
      <c r="U827" s="2"/>
      <c r="V827" s="1"/>
      <c r="W827" s="1"/>
      <c r="X827" s="1"/>
      <c r="Y827" s="1"/>
      <c r="Z827" s="1"/>
    </row>
    <row r="828" spans="1:26" ht="39.75" customHeight="1">
      <c r="A828" s="1"/>
      <c r="B828" s="1"/>
      <c r="C828" s="1"/>
      <c r="D828" s="1"/>
      <c r="E828" s="1"/>
      <c r="F828" s="1"/>
      <c r="G828" s="1"/>
      <c r="H828" s="1"/>
      <c r="I828" s="1"/>
      <c r="J828" s="1"/>
      <c r="K828" s="1"/>
      <c r="L828" s="1"/>
      <c r="M828" s="1"/>
      <c r="N828" s="1"/>
      <c r="O828" s="1"/>
      <c r="P828" s="1"/>
      <c r="Q828" s="1"/>
      <c r="R828" s="1"/>
      <c r="S828" s="1"/>
      <c r="T828" s="1"/>
      <c r="U828" s="2"/>
      <c r="V828" s="1"/>
      <c r="W828" s="1"/>
      <c r="X828" s="1"/>
      <c r="Y828" s="1"/>
      <c r="Z828" s="1"/>
    </row>
    <row r="829" spans="1:26" ht="39.75" customHeight="1">
      <c r="A829" s="1"/>
      <c r="B829" s="1"/>
      <c r="C829" s="1"/>
      <c r="D829" s="1"/>
      <c r="E829" s="1"/>
      <c r="F829" s="1"/>
      <c r="G829" s="1"/>
      <c r="H829" s="1"/>
      <c r="I829" s="1"/>
      <c r="J829" s="1"/>
      <c r="K829" s="1"/>
      <c r="L829" s="1"/>
      <c r="M829" s="1"/>
      <c r="N829" s="1"/>
      <c r="O829" s="1"/>
      <c r="P829" s="1"/>
      <c r="Q829" s="1"/>
      <c r="R829" s="1"/>
      <c r="S829" s="1"/>
      <c r="T829" s="1"/>
      <c r="U829" s="2"/>
      <c r="V829" s="1"/>
      <c r="W829" s="1"/>
      <c r="X829" s="1"/>
      <c r="Y829" s="1"/>
      <c r="Z829" s="1"/>
    </row>
    <row r="830" spans="1:26" ht="39.75" customHeight="1">
      <c r="A830" s="1"/>
      <c r="B830" s="1"/>
      <c r="C830" s="1"/>
      <c r="D830" s="1"/>
      <c r="E830" s="1"/>
      <c r="F830" s="1"/>
      <c r="G830" s="1"/>
      <c r="H830" s="1"/>
      <c r="I830" s="1"/>
      <c r="J830" s="1"/>
      <c r="K830" s="1"/>
      <c r="L830" s="1"/>
      <c r="M830" s="1"/>
      <c r="N830" s="1"/>
      <c r="O830" s="1"/>
      <c r="P830" s="1"/>
      <c r="Q830" s="1"/>
      <c r="R830" s="1"/>
      <c r="S830" s="1"/>
      <c r="T830" s="1"/>
      <c r="U830" s="2"/>
      <c r="V830" s="1"/>
      <c r="W830" s="1"/>
      <c r="X830" s="1"/>
      <c r="Y830" s="1"/>
      <c r="Z830" s="1"/>
    </row>
    <row r="831" spans="1:26" ht="39.75" customHeight="1">
      <c r="A831" s="1"/>
      <c r="B831" s="1"/>
      <c r="C831" s="1"/>
      <c r="D831" s="1"/>
      <c r="E831" s="1"/>
      <c r="F831" s="1"/>
      <c r="G831" s="1"/>
      <c r="H831" s="1"/>
      <c r="I831" s="1"/>
      <c r="J831" s="1"/>
      <c r="K831" s="1"/>
      <c r="L831" s="1"/>
      <c r="M831" s="1"/>
      <c r="N831" s="1"/>
      <c r="O831" s="1"/>
      <c r="P831" s="1"/>
      <c r="Q831" s="1"/>
      <c r="R831" s="1"/>
      <c r="S831" s="1"/>
      <c r="T831" s="1"/>
      <c r="U831" s="2"/>
      <c r="V831" s="1"/>
      <c r="W831" s="1"/>
      <c r="X831" s="1"/>
      <c r="Y831" s="1"/>
      <c r="Z831" s="1"/>
    </row>
    <row r="832" spans="1:26" ht="39.75" customHeight="1">
      <c r="A832" s="1"/>
      <c r="B832" s="1"/>
      <c r="C832" s="1"/>
      <c r="D832" s="1"/>
      <c r="E832" s="1"/>
      <c r="F832" s="1"/>
      <c r="G832" s="1"/>
      <c r="H832" s="1"/>
      <c r="I832" s="1"/>
      <c r="J832" s="1"/>
      <c r="K832" s="1"/>
      <c r="L832" s="1"/>
      <c r="M832" s="1"/>
      <c r="N832" s="1"/>
      <c r="O832" s="1"/>
      <c r="P832" s="1"/>
      <c r="Q832" s="1"/>
      <c r="R832" s="1"/>
      <c r="S832" s="1"/>
      <c r="T832" s="1"/>
      <c r="U832" s="2"/>
      <c r="V832" s="1"/>
      <c r="W832" s="1"/>
      <c r="X832" s="1"/>
      <c r="Y832" s="1"/>
      <c r="Z832" s="1"/>
    </row>
    <row r="833" spans="1:26" ht="39.75" customHeight="1">
      <c r="A833" s="1"/>
      <c r="B833" s="1"/>
      <c r="C833" s="1"/>
      <c r="D833" s="1"/>
      <c r="E833" s="1"/>
      <c r="F833" s="1"/>
      <c r="G833" s="1"/>
      <c r="H833" s="1"/>
      <c r="I833" s="1"/>
      <c r="J833" s="1"/>
      <c r="K833" s="1"/>
      <c r="L833" s="1"/>
      <c r="M833" s="1"/>
      <c r="N833" s="1"/>
      <c r="O833" s="1"/>
      <c r="P833" s="1"/>
      <c r="Q833" s="1"/>
      <c r="R833" s="1"/>
      <c r="S833" s="1"/>
      <c r="T833" s="1"/>
      <c r="U833" s="2"/>
      <c r="V833" s="1"/>
      <c r="W833" s="1"/>
      <c r="X833" s="1"/>
      <c r="Y833" s="1"/>
      <c r="Z833" s="1"/>
    </row>
    <row r="834" spans="1:26" ht="39.75" customHeight="1">
      <c r="A834" s="1"/>
      <c r="B834" s="1"/>
      <c r="C834" s="1"/>
      <c r="D834" s="1"/>
      <c r="E834" s="1"/>
      <c r="F834" s="1"/>
      <c r="G834" s="1"/>
      <c r="H834" s="1"/>
      <c r="I834" s="1"/>
      <c r="J834" s="1"/>
      <c r="K834" s="1"/>
      <c r="L834" s="1"/>
      <c r="M834" s="1"/>
      <c r="N834" s="1"/>
      <c r="O834" s="1"/>
      <c r="P834" s="1"/>
      <c r="Q834" s="1"/>
      <c r="R834" s="1"/>
      <c r="S834" s="1"/>
      <c r="T834" s="1"/>
      <c r="U834" s="2"/>
      <c r="V834" s="1"/>
      <c r="W834" s="1"/>
      <c r="X834" s="1"/>
      <c r="Y834" s="1"/>
      <c r="Z834" s="1"/>
    </row>
    <row r="835" spans="1:26" ht="39.75" customHeight="1">
      <c r="A835" s="1"/>
      <c r="B835" s="1"/>
      <c r="C835" s="1"/>
      <c r="D835" s="1"/>
      <c r="E835" s="1"/>
      <c r="F835" s="1"/>
      <c r="G835" s="1"/>
      <c r="H835" s="1"/>
      <c r="I835" s="1"/>
      <c r="J835" s="1"/>
      <c r="K835" s="1"/>
      <c r="L835" s="1"/>
      <c r="M835" s="1"/>
      <c r="N835" s="1"/>
      <c r="O835" s="1"/>
      <c r="P835" s="1"/>
      <c r="Q835" s="1"/>
      <c r="R835" s="1"/>
      <c r="S835" s="1"/>
      <c r="T835" s="1"/>
      <c r="U835" s="2"/>
      <c r="V835" s="1"/>
      <c r="W835" s="1"/>
      <c r="X835" s="1"/>
      <c r="Y835" s="1"/>
      <c r="Z835" s="1"/>
    </row>
    <row r="836" spans="1:26" ht="39.75" customHeight="1">
      <c r="A836" s="1"/>
      <c r="B836" s="1"/>
      <c r="C836" s="1"/>
      <c r="D836" s="1"/>
      <c r="E836" s="1"/>
      <c r="F836" s="1"/>
      <c r="G836" s="1"/>
      <c r="H836" s="1"/>
      <c r="I836" s="1"/>
      <c r="J836" s="1"/>
      <c r="K836" s="1"/>
      <c r="L836" s="1"/>
      <c r="M836" s="1"/>
      <c r="N836" s="1"/>
      <c r="O836" s="1"/>
      <c r="P836" s="1"/>
      <c r="Q836" s="1"/>
      <c r="R836" s="1"/>
      <c r="S836" s="1"/>
      <c r="T836" s="1"/>
      <c r="U836" s="2"/>
      <c r="V836" s="1"/>
      <c r="W836" s="1"/>
      <c r="X836" s="1"/>
      <c r="Y836" s="1"/>
      <c r="Z836" s="1"/>
    </row>
    <row r="837" spans="1:26" ht="39.75" customHeight="1">
      <c r="A837" s="1"/>
      <c r="B837" s="1"/>
      <c r="C837" s="1"/>
      <c r="D837" s="1"/>
      <c r="E837" s="1"/>
      <c r="F837" s="1"/>
      <c r="G837" s="1"/>
      <c r="H837" s="1"/>
      <c r="I837" s="1"/>
      <c r="J837" s="1"/>
      <c r="K837" s="1"/>
      <c r="L837" s="1"/>
      <c r="M837" s="1"/>
      <c r="N837" s="1"/>
      <c r="O837" s="1"/>
      <c r="P837" s="1"/>
      <c r="Q837" s="1"/>
      <c r="R837" s="1"/>
      <c r="S837" s="1"/>
      <c r="T837" s="1"/>
      <c r="U837" s="2"/>
      <c r="V837" s="1"/>
      <c r="W837" s="1"/>
      <c r="X837" s="1"/>
      <c r="Y837" s="1"/>
      <c r="Z837" s="1"/>
    </row>
    <row r="838" spans="1:26" ht="39.75" customHeight="1">
      <c r="A838" s="1"/>
      <c r="B838" s="1"/>
      <c r="C838" s="1"/>
      <c r="D838" s="1"/>
      <c r="E838" s="1"/>
      <c r="F838" s="1"/>
      <c r="G838" s="1"/>
      <c r="H838" s="1"/>
      <c r="I838" s="1"/>
      <c r="J838" s="1"/>
      <c r="K838" s="1"/>
      <c r="L838" s="1"/>
      <c r="M838" s="1"/>
      <c r="N838" s="1"/>
      <c r="O838" s="1"/>
      <c r="P838" s="1"/>
      <c r="Q838" s="1"/>
      <c r="R838" s="1"/>
      <c r="S838" s="1"/>
      <c r="T838" s="1"/>
      <c r="U838" s="2"/>
      <c r="V838" s="1"/>
      <c r="W838" s="1"/>
      <c r="X838" s="1"/>
      <c r="Y838" s="1"/>
      <c r="Z838" s="1"/>
    </row>
    <row r="839" spans="1:26" ht="39.75" customHeight="1">
      <c r="A839" s="1"/>
      <c r="B839" s="1"/>
      <c r="C839" s="1"/>
      <c r="D839" s="1"/>
      <c r="E839" s="1"/>
      <c r="F839" s="1"/>
      <c r="G839" s="1"/>
      <c r="H839" s="1"/>
      <c r="I839" s="1"/>
      <c r="J839" s="1"/>
      <c r="K839" s="1"/>
      <c r="L839" s="1"/>
      <c r="M839" s="1"/>
      <c r="N839" s="1"/>
      <c r="O839" s="1"/>
      <c r="P839" s="1"/>
      <c r="Q839" s="1"/>
      <c r="R839" s="1"/>
      <c r="S839" s="1"/>
      <c r="T839" s="1"/>
      <c r="U839" s="2"/>
      <c r="V839" s="1"/>
      <c r="W839" s="1"/>
      <c r="X839" s="1"/>
      <c r="Y839" s="1"/>
      <c r="Z839" s="1"/>
    </row>
    <row r="840" spans="1:26" ht="39.75" customHeight="1">
      <c r="A840" s="1"/>
      <c r="B840" s="1"/>
      <c r="C840" s="1"/>
      <c r="D840" s="1"/>
      <c r="E840" s="1"/>
      <c r="F840" s="1"/>
      <c r="G840" s="1"/>
      <c r="H840" s="1"/>
      <c r="I840" s="1"/>
      <c r="J840" s="1"/>
      <c r="K840" s="1"/>
      <c r="L840" s="1"/>
      <c r="M840" s="1"/>
      <c r="N840" s="1"/>
      <c r="O840" s="1"/>
      <c r="P840" s="1"/>
      <c r="Q840" s="1"/>
      <c r="R840" s="1"/>
      <c r="S840" s="1"/>
      <c r="T840" s="1"/>
      <c r="U840" s="2"/>
      <c r="V840" s="1"/>
      <c r="W840" s="1"/>
      <c r="X840" s="1"/>
      <c r="Y840" s="1"/>
      <c r="Z840" s="1"/>
    </row>
    <row r="841" spans="1:26" ht="39.75" customHeight="1">
      <c r="A841" s="1"/>
      <c r="B841" s="1"/>
      <c r="C841" s="1"/>
      <c r="D841" s="1"/>
      <c r="E841" s="1"/>
      <c r="F841" s="1"/>
      <c r="G841" s="1"/>
      <c r="H841" s="1"/>
      <c r="I841" s="1"/>
      <c r="J841" s="1"/>
      <c r="K841" s="1"/>
      <c r="L841" s="1"/>
      <c r="M841" s="1"/>
      <c r="N841" s="1"/>
      <c r="O841" s="1"/>
      <c r="P841" s="1"/>
      <c r="Q841" s="1"/>
      <c r="R841" s="1"/>
      <c r="S841" s="1"/>
      <c r="T841" s="1"/>
      <c r="U841" s="2"/>
      <c r="V841" s="1"/>
      <c r="W841" s="1"/>
      <c r="X841" s="1"/>
      <c r="Y841" s="1"/>
      <c r="Z841" s="1"/>
    </row>
    <row r="842" spans="1:26" ht="39.75" customHeight="1">
      <c r="A842" s="1"/>
      <c r="B842" s="1"/>
      <c r="C842" s="1"/>
      <c r="D842" s="1"/>
      <c r="E842" s="1"/>
      <c r="F842" s="1"/>
      <c r="G842" s="1"/>
      <c r="H842" s="1"/>
      <c r="I842" s="1"/>
      <c r="J842" s="1"/>
      <c r="K842" s="1"/>
      <c r="L842" s="1"/>
      <c r="M842" s="1"/>
      <c r="N842" s="1"/>
      <c r="O842" s="1"/>
      <c r="P842" s="1"/>
      <c r="Q842" s="1"/>
      <c r="R842" s="1"/>
      <c r="S842" s="1"/>
      <c r="T842" s="1"/>
      <c r="U842" s="2"/>
      <c r="V842" s="1"/>
      <c r="W842" s="1"/>
      <c r="X842" s="1"/>
      <c r="Y842" s="1"/>
      <c r="Z842" s="1"/>
    </row>
    <row r="843" spans="1:26" ht="39.75" customHeight="1">
      <c r="A843" s="1"/>
      <c r="B843" s="1"/>
      <c r="C843" s="1"/>
      <c r="D843" s="1"/>
      <c r="E843" s="1"/>
      <c r="F843" s="1"/>
      <c r="G843" s="1"/>
      <c r="H843" s="1"/>
      <c r="I843" s="1"/>
      <c r="J843" s="1"/>
      <c r="K843" s="1"/>
      <c r="L843" s="1"/>
      <c r="M843" s="1"/>
      <c r="N843" s="1"/>
      <c r="O843" s="1"/>
      <c r="P843" s="1"/>
      <c r="Q843" s="1"/>
      <c r="R843" s="1"/>
      <c r="S843" s="1"/>
      <c r="T843" s="1"/>
      <c r="U843" s="2"/>
      <c r="V843" s="1"/>
      <c r="W843" s="1"/>
      <c r="X843" s="1"/>
      <c r="Y843" s="1"/>
      <c r="Z843" s="1"/>
    </row>
    <row r="844" spans="1:26" ht="39.75" customHeight="1">
      <c r="A844" s="1"/>
      <c r="B844" s="1"/>
      <c r="C844" s="1"/>
      <c r="D844" s="1"/>
      <c r="E844" s="1"/>
      <c r="F844" s="1"/>
      <c r="G844" s="1"/>
      <c r="H844" s="1"/>
      <c r="I844" s="1"/>
      <c r="J844" s="1"/>
      <c r="K844" s="1"/>
      <c r="L844" s="1"/>
      <c r="M844" s="1"/>
      <c r="N844" s="1"/>
      <c r="O844" s="1"/>
      <c r="P844" s="1"/>
      <c r="Q844" s="1"/>
      <c r="R844" s="1"/>
      <c r="S844" s="1"/>
      <c r="T844" s="1"/>
      <c r="U844" s="2"/>
      <c r="V844" s="1"/>
      <c r="W844" s="1"/>
      <c r="X844" s="1"/>
      <c r="Y844" s="1"/>
      <c r="Z844" s="1"/>
    </row>
    <row r="845" spans="1:26" ht="39.75" customHeight="1">
      <c r="A845" s="1"/>
      <c r="B845" s="1"/>
      <c r="C845" s="1"/>
      <c r="D845" s="1"/>
      <c r="E845" s="1"/>
      <c r="F845" s="1"/>
      <c r="G845" s="1"/>
      <c r="H845" s="1"/>
      <c r="I845" s="1"/>
      <c r="J845" s="1"/>
      <c r="K845" s="1"/>
      <c r="L845" s="1"/>
      <c r="M845" s="1"/>
      <c r="N845" s="1"/>
      <c r="O845" s="1"/>
      <c r="P845" s="1"/>
      <c r="Q845" s="1"/>
      <c r="R845" s="1"/>
      <c r="S845" s="1"/>
      <c r="T845" s="1"/>
      <c r="U845" s="2"/>
      <c r="V845" s="1"/>
      <c r="W845" s="1"/>
      <c r="X845" s="1"/>
      <c r="Y845" s="1"/>
      <c r="Z845" s="1"/>
    </row>
    <row r="846" spans="1:26" ht="39.75" customHeight="1">
      <c r="A846" s="1"/>
      <c r="B846" s="1"/>
      <c r="C846" s="1"/>
      <c r="D846" s="1"/>
      <c r="E846" s="1"/>
      <c r="F846" s="1"/>
      <c r="G846" s="1"/>
      <c r="H846" s="1"/>
      <c r="I846" s="1"/>
      <c r="J846" s="1"/>
      <c r="K846" s="1"/>
      <c r="L846" s="1"/>
      <c r="M846" s="1"/>
      <c r="N846" s="1"/>
      <c r="O846" s="1"/>
      <c r="P846" s="1"/>
      <c r="Q846" s="1"/>
      <c r="R846" s="1"/>
      <c r="S846" s="1"/>
      <c r="T846" s="1"/>
      <c r="U846" s="2"/>
      <c r="V846" s="1"/>
      <c r="W846" s="1"/>
      <c r="X846" s="1"/>
      <c r="Y846" s="1"/>
      <c r="Z846" s="1"/>
    </row>
    <row r="847" spans="1:26" ht="39.75" customHeight="1">
      <c r="A847" s="1"/>
      <c r="B847" s="1"/>
      <c r="C847" s="1"/>
      <c r="D847" s="1"/>
      <c r="E847" s="1"/>
      <c r="F847" s="1"/>
      <c r="G847" s="1"/>
      <c r="H847" s="1"/>
      <c r="I847" s="1"/>
      <c r="J847" s="1"/>
      <c r="K847" s="1"/>
      <c r="L847" s="1"/>
      <c r="M847" s="1"/>
      <c r="N847" s="1"/>
      <c r="O847" s="1"/>
      <c r="P847" s="1"/>
      <c r="Q847" s="1"/>
      <c r="R847" s="1"/>
      <c r="S847" s="1"/>
      <c r="T847" s="1"/>
      <c r="U847" s="2"/>
      <c r="V847" s="1"/>
      <c r="W847" s="1"/>
      <c r="X847" s="1"/>
      <c r="Y847" s="1"/>
      <c r="Z847" s="1"/>
    </row>
    <row r="848" spans="1:26" ht="39.75" customHeight="1">
      <c r="A848" s="1"/>
      <c r="B848" s="1"/>
      <c r="C848" s="1"/>
      <c r="D848" s="1"/>
      <c r="E848" s="1"/>
      <c r="F848" s="1"/>
      <c r="G848" s="1"/>
      <c r="H848" s="1"/>
      <c r="I848" s="1"/>
      <c r="J848" s="1"/>
      <c r="K848" s="1"/>
      <c r="L848" s="1"/>
      <c r="M848" s="1"/>
      <c r="N848" s="1"/>
      <c r="O848" s="1"/>
      <c r="P848" s="1"/>
      <c r="Q848" s="1"/>
      <c r="R848" s="1"/>
      <c r="S848" s="1"/>
      <c r="T848" s="1"/>
      <c r="U848" s="2"/>
      <c r="V848" s="1"/>
      <c r="W848" s="1"/>
      <c r="X848" s="1"/>
      <c r="Y848" s="1"/>
      <c r="Z848" s="1"/>
    </row>
    <row r="849" spans="1:26" ht="39.75" customHeight="1">
      <c r="A849" s="1"/>
      <c r="B849" s="1"/>
      <c r="C849" s="1"/>
      <c r="D849" s="1"/>
      <c r="E849" s="1"/>
      <c r="F849" s="1"/>
      <c r="G849" s="1"/>
      <c r="H849" s="1"/>
      <c r="I849" s="1"/>
      <c r="J849" s="1"/>
      <c r="K849" s="1"/>
      <c r="L849" s="1"/>
      <c r="M849" s="1"/>
      <c r="N849" s="1"/>
      <c r="O849" s="1"/>
      <c r="P849" s="1"/>
      <c r="Q849" s="1"/>
      <c r="R849" s="1"/>
      <c r="S849" s="1"/>
      <c r="T849" s="1"/>
      <c r="U849" s="2"/>
      <c r="V849" s="1"/>
      <c r="W849" s="1"/>
      <c r="X849" s="1"/>
      <c r="Y849" s="1"/>
      <c r="Z849" s="1"/>
    </row>
    <row r="850" spans="1:26" ht="39.75" customHeight="1">
      <c r="A850" s="1"/>
      <c r="B850" s="1"/>
      <c r="C850" s="1"/>
      <c r="D850" s="1"/>
      <c r="E850" s="1"/>
      <c r="F850" s="1"/>
      <c r="G850" s="1"/>
      <c r="H850" s="1"/>
      <c r="I850" s="1"/>
      <c r="J850" s="1"/>
      <c r="K850" s="1"/>
      <c r="L850" s="1"/>
      <c r="M850" s="1"/>
      <c r="N850" s="1"/>
      <c r="O850" s="1"/>
      <c r="P850" s="1"/>
      <c r="Q850" s="1"/>
      <c r="R850" s="1"/>
      <c r="S850" s="1"/>
      <c r="T850" s="1"/>
      <c r="U850" s="2"/>
      <c r="V850" s="1"/>
      <c r="W850" s="1"/>
      <c r="X850" s="1"/>
      <c r="Y850" s="1"/>
      <c r="Z850" s="1"/>
    </row>
    <row r="851" spans="1:26" ht="39.75" customHeight="1">
      <c r="A851" s="1"/>
      <c r="B851" s="1"/>
      <c r="C851" s="1"/>
      <c r="D851" s="1"/>
      <c r="E851" s="1"/>
      <c r="F851" s="1"/>
      <c r="G851" s="1"/>
      <c r="H851" s="1"/>
      <c r="I851" s="1"/>
      <c r="J851" s="1"/>
      <c r="K851" s="1"/>
      <c r="L851" s="1"/>
      <c r="M851" s="1"/>
      <c r="N851" s="1"/>
      <c r="O851" s="1"/>
      <c r="P851" s="1"/>
      <c r="Q851" s="1"/>
      <c r="R851" s="1"/>
      <c r="S851" s="1"/>
      <c r="T851" s="1"/>
      <c r="U851" s="2"/>
      <c r="V851" s="1"/>
      <c r="W851" s="1"/>
      <c r="X851" s="1"/>
      <c r="Y851" s="1"/>
      <c r="Z851" s="1"/>
    </row>
    <row r="852" spans="1:26" ht="39.75" customHeight="1">
      <c r="A852" s="1"/>
      <c r="B852" s="1"/>
      <c r="C852" s="1"/>
      <c r="D852" s="1"/>
      <c r="E852" s="1"/>
      <c r="F852" s="1"/>
      <c r="G852" s="1"/>
      <c r="H852" s="1"/>
      <c r="I852" s="1"/>
      <c r="J852" s="1"/>
      <c r="K852" s="1"/>
      <c r="L852" s="1"/>
      <c r="M852" s="1"/>
      <c r="N852" s="1"/>
      <c r="O852" s="1"/>
      <c r="P852" s="1"/>
      <c r="Q852" s="1"/>
      <c r="R852" s="1"/>
      <c r="S852" s="1"/>
      <c r="T852" s="1"/>
      <c r="U852" s="2"/>
      <c r="V852" s="1"/>
      <c r="W852" s="1"/>
      <c r="X852" s="1"/>
      <c r="Y852" s="1"/>
      <c r="Z852" s="1"/>
    </row>
    <row r="853" spans="1:26" ht="39.75" customHeight="1">
      <c r="A853" s="1"/>
      <c r="B853" s="1"/>
      <c r="C853" s="1"/>
      <c r="D853" s="1"/>
      <c r="E853" s="1"/>
      <c r="F853" s="1"/>
      <c r="G853" s="1"/>
      <c r="H853" s="1"/>
      <c r="I853" s="1"/>
      <c r="J853" s="1"/>
      <c r="K853" s="1"/>
      <c r="L853" s="1"/>
      <c r="M853" s="1"/>
      <c r="N853" s="1"/>
      <c r="O853" s="1"/>
      <c r="P853" s="1"/>
      <c r="Q853" s="1"/>
      <c r="R853" s="1"/>
      <c r="S853" s="1"/>
      <c r="T853" s="1"/>
      <c r="U853" s="2"/>
      <c r="V853" s="1"/>
      <c r="W853" s="1"/>
      <c r="X853" s="1"/>
      <c r="Y853" s="1"/>
      <c r="Z853" s="1"/>
    </row>
    <row r="854" spans="1:26" ht="39.75" customHeight="1">
      <c r="A854" s="1"/>
      <c r="B854" s="1"/>
      <c r="C854" s="1"/>
      <c r="D854" s="1"/>
      <c r="E854" s="1"/>
      <c r="F854" s="1"/>
      <c r="G854" s="1"/>
      <c r="H854" s="1"/>
      <c r="I854" s="1"/>
      <c r="J854" s="1"/>
      <c r="K854" s="1"/>
      <c r="L854" s="1"/>
      <c r="M854" s="1"/>
      <c r="N854" s="1"/>
      <c r="O854" s="1"/>
      <c r="P854" s="1"/>
      <c r="Q854" s="1"/>
      <c r="R854" s="1"/>
      <c r="S854" s="1"/>
      <c r="T854" s="1"/>
      <c r="U854" s="2"/>
      <c r="V854" s="1"/>
      <c r="W854" s="1"/>
      <c r="X854" s="1"/>
      <c r="Y854" s="1"/>
      <c r="Z854" s="1"/>
    </row>
    <row r="855" spans="1:26" ht="39.75" customHeight="1">
      <c r="A855" s="1"/>
      <c r="B855" s="1"/>
      <c r="C855" s="1"/>
      <c r="D855" s="1"/>
      <c r="E855" s="1"/>
      <c r="F855" s="1"/>
      <c r="G855" s="1"/>
      <c r="H855" s="1"/>
      <c r="I855" s="1"/>
      <c r="J855" s="1"/>
      <c r="K855" s="1"/>
      <c r="L855" s="1"/>
      <c r="M855" s="1"/>
      <c r="N855" s="1"/>
      <c r="O855" s="1"/>
      <c r="P855" s="1"/>
      <c r="Q855" s="1"/>
      <c r="R855" s="1"/>
      <c r="S855" s="1"/>
      <c r="T855" s="1"/>
      <c r="U855" s="2"/>
      <c r="V855" s="1"/>
      <c r="W855" s="1"/>
      <c r="X855" s="1"/>
      <c r="Y855" s="1"/>
      <c r="Z855" s="1"/>
    </row>
    <row r="856" spans="1:26" ht="39.75" customHeight="1">
      <c r="A856" s="1"/>
      <c r="B856" s="1"/>
      <c r="C856" s="1"/>
      <c r="D856" s="1"/>
      <c r="E856" s="1"/>
      <c r="F856" s="1"/>
      <c r="G856" s="1"/>
      <c r="H856" s="1"/>
      <c r="I856" s="1"/>
      <c r="J856" s="1"/>
      <c r="K856" s="1"/>
      <c r="L856" s="1"/>
      <c r="M856" s="1"/>
      <c r="N856" s="1"/>
      <c r="O856" s="1"/>
      <c r="P856" s="1"/>
      <c r="Q856" s="1"/>
      <c r="R856" s="1"/>
      <c r="S856" s="1"/>
      <c r="T856" s="1"/>
      <c r="U856" s="2"/>
      <c r="V856" s="1"/>
      <c r="W856" s="1"/>
      <c r="X856" s="1"/>
      <c r="Y856" s="1"/>
      <c r="Z856" s="1"/>
    </row>
    <row r="857" spans="1:26" ht="39.75" customHeight="1">
      <c r="A857" s="1"/>
      <c r="B857" s="1"/>
      <c r="C857" s="1"/>
      <c r="D857" s="1"/>
      <c r="E857" s="1"/>
      <c r="F857" s="1"/>
      <c r="G857" s="1"/>
      <c r="H857" s="1"/>
      <c r="I857" s="1"/>
      <c r="J857" s="1"/>
      <c r="K857" s="1"/>
      <c r="L857" s="1"/>
      <c r="M857" s="1"/>
      <c r="N857" s="1"/>
      <c r="O857" s="1"/>
      <c r="P857" s="1"/>
      <c r="Q857" s="1"/>
      <c r="R857" s="1"/>
      <c r="S857" s="1"/>
      <c r="T857" s="1"/>
      <c r="U857" s="2"/>
      <c r="V857" s="1"/>
      <c r="W857" s="1"/>
      <c r="X857" s="1"/>
      <c r="Y857" s="1"/>
      <c r="Z857" s="1"/>
    </row>
    <row r="858" spans="1:26" ht="39.75" customHeight="1">
      <c r="A858" s="1"/>
      <c r="B858" s="1"/>
      <c r="C858" s="1"/>
      <c r="D858" s="1"/>
      <c r="E858" s="1"/>
      <c r="F858" s="1"/>
      <c r="G858" s="1"/>
      <c r="H858" s="1"/>
      <c r="I858" s="1"/>
      <c r="J858" s="1"/>
      <c r="K858" s="1"/>
      <c r="L858" s="1"/>
      <c r="M858" s="1"/>
      <c r="N858" s="1"/>
      <c r="O858" s="1"/>
      <c r="P858" s="1"/>
      <c r="Q858" s="1"/>
      <c r="R858" s="1"/>
      <c r="S858" s="1"/>
      <c r="T858" s="1"/>
      <c r="U858" s="2"/>
      <c r="V858" s="1"/>
      <c r="W858" s="1"/>
      <c r="X858" s="1"/>
      <c r="Y858" s="1"/>
      <c r="Z858" s="1"/>
    </row>
    <row r="859" spans="1:26" ht="39.75" customHeight="1">
      <c r="A859" s="1"/>
      <c r="B859" s="1"/>
      <c r="C859" s="1"/>
      <c r="D859" s="1"/>
      <c r="E859" s="1"/>
      <c r="F859" s="1"/>
      <c r="G859" s="1"/>
      <c r="H859" s="1"/>
      <c r="I859" s="1"/>
      <c r="J859" s="1"/>
      <c r="K859" s="1"/>
      <c r="L859" s="1"/>
      <c r="M859" s="1"/>
      <c r="N859" s="1"/>
      <c r="O859" s="1"/>
      <c r="P859" s="1"/>
      <c r="Q859" s="1"/>
      <c r="R859" s="1"/>
      <c r="S859" s="1"/>
      <c r="T859" s="1"/>
      <c r="U859" s="2"/>
      <c r="V859" s="1"/>
      <c r="W859" s="1"/>
      <c r="X859" s="1"/>
      <c r="Y859" s="1"/>
      <c r="Z859" s="1"/>
    </row>
    <row r="860" spans="1:26" ht="39.75" customHeight="1">
      <c r="A860" s="1"/>
      <c r="B860" s="1"/>
      <c r="C860" s="1"/>
      <c r="D860" s="1"/>
      <c r="E860" s="1"/>
      <c r="F860" s="1"/>
      <c r="G860" s="1"/>
      <c r="H860" s="1"/>
      <c r="I860" s="1"/>
      <c r="J860" s="1"/>
      <c r="K860" s="1"/>
      <c r="L860" s="1"/>
      <c r="M860" s="1"/>
      <c r="N860" s="1"/>
      <c r="O860" s="1"/>
      <c r="P860" s="1"/>
      <c r="Q860" s="1"/>
      <c r="R860" s="1"/>
      <c r="S860" s="1"/>
      <c r="T860" s="1"/>
      <c r="U860" s="2"/>
      <c r="V860" s="1"/>
      <c r="W860" s="1"/>
      <c r="X860" s="1"/>
      <c r="Y860" s="1"/>
      <c r="Z860" s="1"/>
    </row>
    <row r="861" spans="1:26" ht="39.75" customHeight="1">
      <c r="A861" s="1"/>
      <c r="B861" s="1"/>
      <c r="C861" s="1"/>
      <c r="D861" s="1"/>
      <c r="E861" s="1"/>
      <c r="F861" s="1"/>
      <c r="G861" s="1"/>
      <c r="H861" s="1"/>
      <c r="I861" s="1"/>
      <c r="J861" s="1"/>
      <c r="K861" s="1"/>
      <c r="L861" s="1"/>
      <c r="M861" s="1"/>
      <c r="N861" s="1"/>
      <c r="O861" s="1"/>
      <c r="P861" s="1"/>
      <c r="Q861" s="1"/>
      <c r="R861" s="1"/>
      <c r="S861" s="1"/>
      <c r="T861" s="1"/>
      <c r="U861" s="2"/>
      <c r="V861" s="1"/>
      <c r="W861" s="1"/>
      <c r="X861" s="1"/>
      <c r="Y861" s="1"/>
      <c r="Z861" s="1"/>
    </row>
    <row r="862" spans="1:26" ht="39.75" customHeight="1">
      <c r="A862" s="1"/>
      <c r="B862" s="1"/>
      <c r="C862" s="1"/>
      <c r="D862" s="1"/>
      <c r="E862" s="1"/>
      <c r="F862" s="1"/>
      <c r="G862" s="1"/>
      <c r="H862" s="1"/>
      <c r="I862" s="1"/>
      <c r="J862" s="1"/>
      <c r="K862" s="1"/>
      <c r="L862" s="1"/>
      <c r="M862" s="1"/>
      <c r="N862" s="1"/>
      <c r="O862" s="1"/>
      <c r="P862" s="1"/>
      <c r="Q862" s="1"/>
      <c r="R862" s="1"/>
      <c r="S862" s="1"/>
      <c r="T862" s="1"/>
      <c r="U862" s="2"/>
      <c r="V862" s="1"/>
      <c r="W862" s="1"/>
      <c r="X862" s="1"/>
      <c r="Y862" s="1"/>
      <c r="Z862" s="1"/>
    </row>
    <row r="863" spans="1:26" ht="39.75" customHeight="1">
      <c r="A863" s="1"/>
      <c r="B863" s="1"/>
      <c r="C863" s="1"/>
      <c r="D863" s="1"/>
      <c r="E863" s="1"/>
      <c r="F863" s="1"/>
      <c r="G863" s="1"/>
      <c r="H863" s="1"/>
      <c r="I863" s="1"/>
      <c r="J863" s="1"/>
      <c r="K863" s="1"/>
      <c r="L863" s="1"/>
      <c r="M863" s="1"/>
      <c r="N863" s="1"/>
      <c r="O863" s="1"/>
      <c r="P863" s="1"/>
      <c r="Q863" s="1"/>
      <c r="R863" s="1"/>
      <c r="S863" s="1"/>
      <c r="T863" s="1"/>
      <c r="U863" s="2"/>
      <c r="V863" s="1"/>
      <c r="W863" s="1"/>
      <c r="X863" s="1"/>
      <c r="Y863" s="1"/>
      <c r="Z863" s="1"/>
    </row>
    <row r="864" spans="1:26" ht="39.75" customHeight="1">
      <c r="A864" s="1"/>
      <c r="B864" s="1"/>
      <c r="C864" s="1"/>
      <c r="D864" s="1"/>
      <c r="E864" s="1"/>
      <c r="F864" s="1"/>
      <c r="G864" s="1"/>
      <c r="H864" s="1"/>
      <c r="I864" s="1"/>
      <c r="J864" s="1"/>
      <c r="K864" s="1"/>
      <c r="L864" s="1"/>
      <c r="M864" s="1"/>
      <c r="N864" s="1"/>
      <c r="O864" s="1"/>
      <c r="P864" s="1"/>
      <c r="Q864" s="1"/>
      <c r="R864" s="1"/>
      <c r="S864" s="1"/>
      <c r="T864" s="1"/>
      <c r="U864" s="2"/>
      <c r="V864" s="1"/>
      <c r="W864" s="1"/>
      <c r="X864" s="1"/>
      <c r="Y864" s="1"/>
      <c r="Z864" s="1"/>
    </row>
    <row r="865" spans="1:26" ht="39.75" customHeight="1">
      <c r="A865" s="1"/>
      <c r="B865" s="1"/>
      <c r="C865" s="1"/>
      <c r="D865" s="1"/>
      <c r="E865" s="1"/>
      <c r="F865" s="1"/>
      <c r="G865" s="1"/>
      <c r="H865" s="1"/>
      <c r="I865" s="1"/>
      <c r="J865" s="1"/>
      <c r="K865" s="1"/>
      <c r="L865" s="1"/>
      <c r="M865" s="1"/>
      <c r="N865" s="1"/>
      <c r="O865" s="1"/>
      <c r="P865" s="1"/>
      <c r="Q865" s="1"/>
      <c r="R865" s="1"/>
      <c r="S865" s="1"/>
      <c r="T865" s="1"/>
      <c r="U865" s="2"/>
      <c r="V865" s="1"/>
      <c r="W865" s="1"/>
      <c r="X865" s="1"/>
      <c r="Y865" s="1"/>
      <c r="Z865" s="1"/>
    </row>
    <row r="866" spans="1:26" ht="39.75" customHeight="1">
      <c r="A866" s="1"/>
      <c r="B866" s="1"/>
      <c r="C866" s="1"/>
      <c r="D866" s="1"/>
      <c r="E866" s="1"/>
      <c r="F866" s="1"/>
      <c r="G866" s="1"/>
      <c r="H866" s="1"/>
      <c r="I866" s="1"/>
      <c r="J866" s="1"/>
      <c r="K866" s="1"/>
      <c r="L866" s="1"/>
      <c r="M866" s="1"/>
      <c r="N866" s="1"/>
      <c r="O866" s="1"/>
      <c r="P866" s="1"/>
      <c r="Q866" s="1"/>
      <c r="R866" s="1"/>
      <c r="S866" s="1"/>
      <c r="T866" s="1"/>
      <c r="U866" s="2"/>
      <c r="V866" s="1"/>
      <c r="W866" s="1"/>
      <c r="X866" s="1"/>
      <c r="Y866" s="1"/>
      <c r="Z866" s="1"/>
    </row>
    <row r="867" spans="1:26" ht="39.75" customHeight="1">
      <c r="A867" s="1"/>
      <c r="B867" s="1"/>
      <c r="C867" s="1"/>
      <c r="D867" s="1"/>
      <c r="E867" s="1"/>
      <c r="F867" s="1"/>
      <c r="G867" s="1"/>
      <c r="H867" s="1"/>
      <c r="I867" s="1"/>
      <c r="J867" s="1"/>
      <c r="K867" s="1"/>
      <c r="L867" s="1"/>
      <c r="M867" s="1"/>
      <c r="N867" s="1"/>
      <c r="O867" s="1"/>
      <c r="P867" s="1"/>
      <c r="Q867" s="1"/>
      <c r="R867" s="1"/>
      <c r="S867" s="1"/>
      <c r="T867" s="1"/>
      <c r="U867" s="2"/>
      <c r="V867" s="1"/>
      <c r="W867" s="1"/>
      <c r="X867" s="1"/>
      <c r="Y867" s="1"/>
      <c r="Z867" s="1"/>
    </row>
    <row r="868" spans="1:26" ht="39.75" customHeight="1">
      <c r="A868" s="1"/>
      <c r="B868" s="1"/>
      <c r="C868" s="1"/>
      <c r="D868" s="1"/>
      <c r="E868" s="1"/>
      <c r="F868" s="1"/>
      <c r="G868" s="1"/>
      <c r="H868" s="1"/>
      <c r="I868" s="1"/>
      <c r="J868" s="1"/>
      <c r="K868" s="1"/>
      <c r="L868" s="1"/>
      <c r="M868" s="1"/>
      <c r="N868" s="1"/>
      <c r="O868" s="1"/>
      <c r="P868" s="1"/>
      <c r="Q868" s="1"/>
      <c r="R868" s="1"/>
      <c r="S868" s="1"/>
      <c r="T868" s="1"/>
      <c r="U868" s="2"/>
      <c r="V868" s="1"/>
      <c r="W868" s="1"/>
      <c r="X868" s="1"/>
      <c r="Y868" s="1"/>
      <c r="Z868" s="1"/>
    </row>
    <row r="869" spans="1:26" ht="39.75" customHeight="1">
      <c r="A869" s="1"/>
      <c r="B869" s="1"/>
      <c r="C869" s="1"/>
      <c r="D869" s="1"/>
      <c r="E869" s="1"/>
      <c r="F869" s="1"/>
      <c r="G869" s="1"/>
      <c r="H869" s="1"/>
      <c r="I869" s="1"/>
      <c r="J869" s="1"/>
      <c r="K869" s="1"/>
      <c r="L869" s="1"/>
      <c r="M869" s="1"/>
      <c r="N869" s="1"/>
      <c r="O869" s="1"/>
      <c r="P869" s="1"/>
      <c r="Q869" s="1"/>
      <c r="R869" s="1"/>
      <c r="S869" s="1"/>
      <c r="T869" s="1"/>
      <c r="U869" s="2"/>
      <c r="V869" s="1"/>
      <c r="W869" s="1"/>
      <c r="X869" s="1"/>
      <c r="Y869" s="1"/>
      <c r="Z869" s="1"/>
    </row>
    <row r="870" spans="1:26" ht="39.75" customHeight="1">
      <c r="A870" s="1"/>
      <c r="B870" s="1"/>
      <c r="C870" s="1"/>
      <c r="D870" s="1"/>
      <c r="E870" s="1"/>
      <c r="F870" s="1"/>
      <c r="G870" s="1"/>
      <c r="H870" s="1"/>
      <c r="I870" s="1"/>
      <c r="J870" s="1"/>
      <c r="K870" s="1"/>
      <c r="L870" s="1"/>
      <c r="M870" s="1"/>
      <c r="N870" s="1"/>
      <c r="O870" s="1"/>
      <c r="P870" s="1"/>
      <c r="Q870" s="1"/>
      <c r="R870" s="1"/>
      <c r="S870" s="1"/>
      <c r="T870" s="1"/>
      <c r="U870" s="2"/>
      <c r="V870" s="1"/>
      <c r="W870" s="1"/>
      <c r="X870" s="1"/>
      <c r="Y870" s="1"/>
      <c r="Z870" s="1"/>
    </row>
    <row r="871" spans="1:26" ht="39.75" customHeight="1">
      <c r="A871" s="1"/>
      <c r="B871" s="1"/>
      <c r="C871" s="1"/>
      <c r="D871" s="1"/>
      <c r="E871" s="1"/>
      <c r="F871" s="1"/>
      <c r="G871" s="1"/>
      <c r="H871" s="1"/>
      <c r="I871" s="1"/>
      <c r="J871" s="1"/>
      <c r="K871" s="1"/>
      <c r="L871" s="1"/>
      <c r="M871" s="1"/>
      <c r="N871" s="1"/>
      <c r="O871" s="1"/>
      <c r="P871" s="1"/>
      <c r="Q871" s="1"/>
      <c r="R871" s="1"/>
      <c r="S871" s="1"/>
      <c r="T871" s="1"/>
      <c r="U871" s="2"/>
      <c r="V871" s="1"/>
      <c r="W871" s="1"/>
      <c r="X871" s="1"/>
      <c r="Y871" s="1"/>
      <c r="Z871" s="1"/>
    </row>
    <row r="872" spans="1:26" ht="39.75" customHeight="1">
      <c r="A872" s="1"/>
      <c r="B872" s="1"/>
      <c r="C872" s="1"/>
      <c r="D872" s="1"/>
      <c r="E872" s="1"/>
      <c r="F872" s="1"/>
      <c r="G872" s="1"/>
      <c r="H872" s="1"/>
      <c r="I872" s="1"/>
      <c r="J872" s="1"/>
      <c r="K872" s="1"/>
      <c r="L872" s="1"/>
      <c r="M872" s="1"/>
      <c r="N872" s="1"/>
      <c r="O872" s="1"/>
      <c r="P872" s="1"/>
      <c r="Q872" s="1"/>
      <c r="R872" s="1"/>
      <c r="S872" s="1"/>
      <c r="T872" s="1"/>
      <c r="U872" s="2"/>
      <c r="V872" s="1"/>
      <c r="W872" s="1"/>
      <c r="X872" s="1"/>
      <c r="Y872" s="1"/>
      <c r="Z872" s="1"/>
    </row>
    <row r="873" spans="1:26" ht="39.75" customHeight="1">
      <c r="A873" s="1"/>
      <c r="B873" s="1"/>
      <c r="C873" s="1"/>
      <c r="D873" s="1"/>
      <c r="E873" s="1"/>
      <c r="F873" s="1"/>
      <c r="G873" s="1"/>
      <c r="H873" s="1"/>
      <c r="I873" s="1"/>
      <c r="J873" s="1"/>
      <c r="K873" s="1"/>
      <c r="L873" s="1"/>
      <c r="M873" s="1"/>
      <c r="N873" s="1"/>
      <c r="O873" s="1"/>
      <c r="P873" s="1"/>
      <c r="Q873" s="1"/>
      <c r="R873" s="1"/>
      <c r="S873" s="1"/>
      <c r="T873" s="1"/>
      <c r="U873" s="2"/>
      <c r="V873" s="1"/>
      <c r="W873" s="1"/>
      <c r="X873" s="1"/>
      <c r="Y873" s="1"/>
      <c r="Z873" s="1"/>
    </row>
    <row r="874" spans="1:26" ht="39.75" customHeight="1">
      <c r="A874" s="1"/>
      <c r="B874" s="1"/>
      <c r="C874" s="1"/>
      <c r="D874" s="1"/>
      <c r="E874" s="1"/>
      <c r="F874" s="1"/>
      <c r="G874" s="1"/>
      <c r="H874" s="1"/>
      <c r="I874" s="1"/>
      <c r="J874" s="1"/>
      <c r="K874" s="1"/>
      <c r="L874" s="1"/>
      <c r="M874" s="1"/>
      <c r="N874" s="1"/>
      <c r="O874" s="1"/>
      <c r="P874" s="1"/>
      <c r="Q874" s="1"/>
      <c r="R874" s="1"/>
      <c r="S874" s="1"/>
      <c r="T874" s="1"/>
      <c r="U874" s="2"/>
      <c r="V874" s="1"/>
      <c r="W874" s="1"/>
      <c r="X874" s="1"/>
      <c r="Y874" s="1"/>
      <c r="Z874" s="1"/>
    </row>
    <row r="875" spans="1:26" ht="39.75" customHeight="1">
      <c r="A875" s="1"/>
      <c r="B875" s="1"/>
      <c r="C875" s="1"/>
      <c r="D875" s="1"/>
      <c r="E875" s="1"/>
      <c r="F875" s="1"/>
      <c r="G875" s="1"/>
      <c r="H875" s="1"/>
      <c r="I875" s="1"/>
      <c r="J875" s="1"/>
      <c r="K875" s="1"/>
      <c r="L875" s="1"/>
      <c r="M875" s="1"/>
      <c r="N875" s="1"/>
      <c r="O875" s="1"/>
      <c r="P875" s="1"/>
      <c r="Q875" s="1"/>
      <c r="R875" s="1"/>
      <c r="S875" s="1"/>
      <c r="T875" s="1"/>
      <c r="U875" s="2"/>
      <c r="V875" s="1"/>
      <c r="W875" s="1"/>
      <c r="X875" s="1"/>
      <c r="Y875" s="1"/>
      <c r="Z875" s="1"/>
    </row>
    <row r="876" spans="1:26" ht="39.75" customHeight="1">
      <c r="A876" s="1"/>
      <c r="B876" s="1"/>
      <c r="C876" s="1"/>
      <c r="D876" s="1"/>
      <c r="E876" s="1"/>
      <c r="F876" s="1"/>
      <c r="G876" s="1"/>
      <c r="H876" s="1"/>
      <c r="I876" s="1"/>
      <c r="J876" s="1"/>
      <c r="K876" s="1"/>
      <c r="L876" s="1"/>
      <c r="M876" s="1"/>
      <c r="N876" s="1"/>
      <c r="O876" s="1"/>
      <c r="P876" s="1"/>
      <c r="Q876" s="1"/>
      <c r="R876" s="1"/>
      <c r="S876" s="1"/>
      <c r="T876" s="1"/>
      <c r="U876" s="2"/>
      <c r="V876" s="1"/>
      <c r="W876" s="1"/>
      <c r="X876" s="1"/>
      <c r="Y876" s="1"/>
      <c r="Z876" s="1"/>
    </row>
    <row r="877" spans="1:26" ht="39.75" customHeight="1">
      <c r="A877" s="1"/>
      <c r="B877" s="1"/>
      <c r="C877" s="1"/>
      <c r="D877" s="1"/>
      <c r="E877" s="1"/>
      <c r="F877" s="1"/>
      <c r="G877" s="1"/>
      <c r="H877" s="1"/>
      <c r="I877" s="1"/>
      <c r="J877" s="1"/>
      <c r="K877" s="1"/>
      <c r="L877" s="1"/>
      <c r="M877" s="1"/>
      <c r="N877" s="1"/>
      <c r="O877" s="1"/>
      <c r="P877" s="1"/>
      <c r="Q877" s="1"/>
      <c r="R877" s="1"/>
      <c r="S877" s="1"/>
      <c r="T877" s="1"/>
      <c r="U877" s="2"/>
      <c r="V877" s="1"/>
      <c r="W877" s="1"/>
      <c r="X877" s="1"/>
      <c r="Y877" s="1"/>
      <c r="Z877" s="1"/>
    </row>
    <row r="878" spans="1:26" ht="39.75" customHeight="1">
      <c r="A878" s="1"/>
      <c r="B878" s="1"/>
      <c r="C878" s="1"/>
      <c r="D878" s="1"/>
      <c r="E878" s="1"/>
      <c r="F878" s="1"/>
      <c r="G878" s="1"/>
      <c r="H878" s="1"/>
      <c r="I878" s="1"/>
      <c r="J878" s="1"/>
      <c r="K878" s="1"/>
      <c r="L878" s="1"/>
      <c r="M878" s="1"/>
      <c r="N878" s="1"/>
      <c r="O878" s="1"/>
      <c r="P878" s="1"/>
      <c r="Q878" s="1"/>
      <c r="R878" s="1"/>
      <c r="S878" s="1"/>
      <c r="T878" s="1"/>
      <c r="U878" s="2"/>
      <c r="V878" s="1"/>
      <c r="W878" s="1"/>
      <c r="X878" s="1"/>
      <c r="Y878" s="1"/>
      <c r="Z878" s="1"/>
    </row>
    <row r="879" spans="1:26" ht="39.75" customHeight="1">
      <c r="A879" s="1"/>
      <c r="B879" s="1"/>
      <c r="C879" s="1"/>
      <c r="D879" s="1"/>
      <c r="E879" s="1"/>
      <c r="F879" s="1"/>
      <c r="G879" s="1"/>
      <c r="H879" s="1"/>
      <c r="I879" s="1"/>
      <c r="J879" s="1"/>
      <c r="K879" s="1"/>
      <c r="L879" s="1"/>
      <c r="M879" s="1"/>
      <c r="N879" s="1"/>
      <c r="O879" s="1"/>
      <c r="P879" s="1"/>
      <c r="Q879" s="1"/>
      <c r="R879" s="1"/>
      <c r="S879" s="1"/>
      <c r="T879" s="1"/>
      <c r="U879" s="2"/>
      <c r="V879" s="1"/>
      <c r="W879" s="1"/>
      <c r="X879" s="1"/>
      <c r="Y879" s="1"/>
      <c r="Z879" s="1"/>
    </row>
    <row r="880" spans="1:26" ht="39.75" customHeight="1">
      <c r="A880" s="1"/>
      <c r="B880" s="1"/>
      <c r="C880" s="1"/>
      <c r="D880" s="1"/>
      <c r="E880" s="1"/>
      <c r="F880" s="1"/>
      <c r="G880" s="1"/>
      <c r="H880" s="1"/>
      <c r="I880" s="1"/>
      <c r="J880" s="1"/>
      <c r="K880" s="1"/>
      <c r="L880" s="1"/>
      <c r="M880" s="1"/>
      <c r="N880" s="1"/>
      <c r="O880" s="1"/>
      <c r="P880" s="1"/>
      <c r="Q880" s="1"/>
      <c r="R880" s="1"/>
      <c r="S880" s="1"/>
      <c r="T880" s="1"/>
      <c r="U880" s="2"/>
      <c r="V880" s="1"/>
      <c r="W880" s="1"/>
      <c r="X880" s="1"/>
      <c r="Y880" s="1"/>
      <c r="Z880" s="1"/>
    </row>
    <row r="881" spans="1:26" ht="39.75" customHeight="1">
      <c r="A881" s="1"/>
      <c r="B881" s="1"/>
      <c r="C881" s="1"/>
      <c r="D881" s="1"/>
      <c r="E881" s="1"/>
      <c r="F881" s="1"/>
      <c r="G881" s="1"/>
      <c r="H881" s="1"/>
      <c r="I881" s="1"/>
      <c r="J881" s="1"/>
      <c r="K881" s="1"/>
      <c r="L881" s="1"/>
      <c r="M881" s="1"/>
      <c r="N881" s="1"/>
      <c r="O881" s="1"/>
      <c r="P881" s="1"/>
      <c r="Q881" s="1"/>
      <c r="R881" s="1"/>
      <c r="S881" s="1"/>
      <c r="T881" s="1"/>
      <c r="U881" s="2"/>
      <c r="V881" s="1"/>
      <c r="W881" s="1"/>
      <c r="X881" s="1"/>
      <c r="Y881" s="1"/>
      <c r="Z881" s="1"/>
    </row>
    <row r="882" spans="1:26" ht="39.75" customHeight="1">
      <c r="A882" s="1"/>
      <c r="B882" s="1"/>
      <c r="C882" s="1"/>
      <c r="D882" s="1"/>
      <c r="E882" s="1"/>
      <c r="F882" s="1"/>
      <c r="G882" s="1"/>
      <c r="H882" s="1"/>
      <c r="I882" s="1"/>
      <c r="J882" s="1"/>
      <c r="K882" s="1"/>
      <c r="L882" s="1"/>
      <c r="M882" s="1"/>
      <c r="N882" s="1"/>
      <c r="O882" s="1"/>
      <c r="P882" s="1"/>
      <c r="Q882" s="1"/>
      <c r="R882" s="1"/>
      <c r="S882" s="1"/>
      <c r="T882" s="1"/>
      <c r="U882" s="2"/>
      <c r="V882" s="1"/>
      <c r="W882" s="1"/>
      <c r="X882" s="1"/>
      <c r="Y882" s="1"/>
      <c r="Z882" s="1"/>
    </row>
    <row r="883" spans="1:26" ht="39.75" customHeight="1">
      <c r="A883" s="1"/>
      <c r="B883" s="1"/>
      <c r="C883" s="1"/>
      <c r="D883" s="1"/>
      <c r="E883" s="1"/>
      <c r="F883" s="1"/>
      <c r="G883" s="1"/>
      <c r="H883" s="1"/>
      <c r="I883" s="1"/>
      <c r="J883" s="1"/>
      <c r="K883" s="1"/>
      <c r="L883" s="1"/>
      <c r="M883" s="1"/>
      <c r="N883" s="1"/>
      <c r="O883" s="1"/>
      <c r="P883" s="1"/>
      <c r="Q883" s="1"/>
      <c r="R883" s="1"/>
      <c r="S883" s="1"/>
      <c r="T883" s="1"/>
      <c r="U883" s="2"/>
      <c r="V883" s="1"/>
      <c r="W883" s="1"/>
      <c r="X883" s="1"/>
      <c r="Y883" s="1"/>
      <c r="Z883" s="1"/>
    </row>
    <row r="884" spans="1:26" ht="39.75" customHeight="1">
      <c r="A884" s="1"/>
      <c r="B884" s="1"/>
      <c r="C884" s="1"/>
      <c r="D884" s="1"/>
      <c r="E884" s="1"/>
      <c r="F884" s="1"/>
      <c r="G884" s="1"/>
      <c r="H884" s="1"/>
      <c r="I884" s="1"/>
      <c r="J884" s="1"/>
      <c r="K884" s="1"/>
      <c r="L884" s="1"/>
      <c r="M884" s="1"/>
      <c r="N884" s="1"/>
      <c r="O884" s="1"/>
      <c r="P884" s="1"/>
      <c r="Q884" s="1"/>
      <c r="R884" s="1"/>
      <c r="S884" s="1"/>
      <c r="T884" s="1"/>
      <c r="U884" s="2"/>
      <c r="V884" s="1"/>
      <c r="W884" s="1"/>
      <c r="X884" s="1"/>
      <c r="Y884" s="1"/>
      <c r="Z884" s="1"/>
    </row>
    <row r="885" spans="1:26" ht="39.75" customHeight="1">
      <c r="A885" s="1"/>
      <c r="B885" s="1"/>
      <c r="C885" s="1"/>
      <c r="D885" s="1"/>
      <c r="E885" s="1"/>
      <c r="F885" s="1"/>
      <c r="G885" s="1"/>
      <c r="H885" s="1"/>
      <c r="I885" s="1"/>
      <c r="J885" s="1"/>
      <c r="K885" s="1"/>
      <c r="L885" s="1"/>
      <c r="M885" s="1"/>
      <c r="N885" s="1"/>
      <c r="O885" s="1"/>
      <c r="P885" s="1"/>
      <c r="Q885" s="1"/>
      <c r="R885" s="1"/>
      <c r="S885" s="1"/>
      <c r="T885" s="1"/>
      <c r="U885" s="2"/>
      <c r="V885" s="1"/>
      <c r="W885" s="1"/>
      <c r="X885" s="1"/>
      <c r="Y885" s="1"/>
      <c r="Z885" s="1"/>
    </row>
    <row r="886" spans="1:26" ht="39.75" customHeight="1">
      <c r="A886" s="1"/>
      <c r="B886" s="1"/>
      <c r="C886" s="1"/>
      <c r="D886" s="1"/>
      <c r="E886" s="1"/>
      <c r="F886" s="1"/>
      <c r="G886" s="1"/>
      <c r="H886" s="1"/>
      <c r="I886" s="1"/>
      <c r="J886" s="1"/>
      <c r="K886" s="1"/>
      <c r="L886" s="1"/>
      <c r="M886" s="1"/>
      <c r="N886" s="1"/>
      <c r="O886" s="1"/>
      <c r="P886" s="1"/>
      <c r="Q886" s="1"/>
      <c r="R886" s="1"/>
      <c r="S886" s="1"/>
      <c r="T886" s="1"/>
      <c r="U886" s="2"/>
      <c r="V886" s="1"/>
      <c r="W886" s="1"/>
      <c r="X886" s="1"/>
      <c r="Y886" s="1"/>
      <c r="Z886" s="1"/>
    </row>
    <row r="887" spans="1:26" ht="39.75" customHeight="1">
      <c r="A887" s="1"/>
      <c r="B887" s="1"/>
      <c r="C887" s="1"/>
      <c r="D887" s="1"/>
      <c r="E887" s="1"/>
      <c r="F887" s="1"/>
      <c r="G887" s="1"/>
      <c r="H887" s="1"/>
      <c r="I887" s="1"/>
      <c r="J887" s="1"/>
      <c r="K887" s="1"/>
      <c r="L887" s="1"/>
      <c r="M887" s="1"/>
      <c r="N887" s="1"/>
      <c r="O887" s="1"/>
      <c r="P887" s="1"/>
      <c r="Q887" s="1"/>
      <c r="R887" s="1"/>
      <c r="S887" s="1"/>
      <c r="T887" s="1"/>
      <c r="U887" s="2"/>
      <c r="V887" s="1"/>
      <c r="W887" s="1"/>
      <c r="X887" s="1"/>
      <c r="Y887" s="1"/>
      <c r="Z887" s="1"/>
    </row>
    <row r="888" spans="1:26" ht="39.75" customHeight="1">
      <c r="A888" s="1"/>
      <c r="B888" s="1"/>
      <c r="C888" s="1"/>
      <c r="D888" s="1"/>
      <c r="E888" s="1"/>
      <c r="F888" s="1"/>
      <c r="G888" s="1"/>
      <c r="H888" s="1"/>
      <c r="I888" s="1"/>
      <c r="J888" s="1"/>
      <c r="K888" s="1"/>
      <c r="L888" s="1"/>
      <c r="M888" s="1"/>
      <c r="N888" s="1"/>
      <c r="O888" s="1"/>
      <c r="P888" s="1"/>
      <c r="Q888" s="1"/>
      <c r="R888" s="1"/>
      <c r="S888" s="1"/>
      <c r="T888" s="1"/>
      <c r="U888" s="2"/>
      <c r="V888" s="1"/>
      <c r="W888" s="1"/>
      <c r="X888" s="1"/>
      <c r="Y888" s="1"/>
      <c r="Z888" s="1"/>
    </row>
    <row r="889" spans="1:26" ht="39.75" customHeight="1">
      <c r="A889" s="1"/>
      <c r="B889" s="1"/>
      <c r="C889" s="1"/>
      <c r="D889" s="1"/>
      <c r="E889" s="1"/>
      <c r="F889" s="1"/>
      <c r="G889" s="1"/>
      <c r="H889" s="1"/>
      <c r="I889" s="1"/>
      <c r="J889" s="1"/>
      <c r="K889" s="1"/>
      <c r="L889" s="1"/>
      <c r="M889" s="1"/>
      <c r="N889" s="1"/>
      <c r="O889" s="1"/>
      <c r="P889" s="1"/>
      <c r="Q889" s="1"/>
      <c r="R889" s="1"/>
      <c r="S889" s="1"/>
      <c r="T889" s="1"/>
      <c r="U889" s="2"/>
      <c r="V889" s="1"/>
      <c r="W889" s="1"/>
      <c r="X889" s="1"/>
      <c r="Y889" s="1"/>
      <c r="Z889" s="1"/>
    </row>
    <row r="890" spans="1:26" ht="39.75" customHeight="1">
      <c r="A890" s="1"/>
      <c r="B890" s="1"/>
      <c r="C890" s="1"/>
      <c r="D890" s="1"/>
      <c r="E890" s="1"/>
      <c r="F890" s="1"/>
      <c r="G890" s="1"/>
      <c r="H890" s="1"/>
      <c r="I890" s="1"/>
      <c r="J890" s="1"/>
      <c r="K890" s="1"/>
      <c r="L890" s="1"/>
      <c r="M890" s="1"/>
      <c r="N890" s="1"/>
      <c r="O890" s="1"/>
      <c r="P890" s="1"/>
      <c r="Q890" s="1"/>
      <c r="R890" s="1"/>
      <c r="S890" s="1"/>
      <c r="T890" s="1"/>
      <c r="U890" s="2"/>
      <c r="V890" s="1"/>
      <c r="W890" s="1"/>
      <c r="X890" s="1"/>
      <c r="Y890" s="1"/>
      <c r="Z890" s="1"/>
    </row>
    <row r="891" spans="1:26" ht="39.75" customHeight="1">
      <c r="A891" s="1"/>
      <c r="B891" s="1"/>
      <c r="C891" s="1"/>
      <c r="D891" s="1"/>
      <c r="E891" s="1"/>
      <c r="F891" s="1"/>
      <c r="G891" s="1"/>
      <c r="H891" s="1"/>
      <c r="I891" s="1"/>
      <c r="J891" s="1"/>
      <c r="K891" s="1"/>
      <c r="L891" s="1"/>
      <c r="M891" s="1"/>
      <c r="N891" s="1"/>
      <c r="O891" s="1"/>
      <c r="P891" s="1"/>
      <c r="Q891" s="1"/>
      <c r="R891" s="1"/>
      <c r="S891" s="1"/>
      <c r="T891" s="1"/>
      <c r="U891" s="2"/>
      <c r="V891" s="1"/>
      <c r="W891" s="1"/>
      <c r="X891" s="1"/>
      <c r="Y891" s="1"/>
      <c r="Z891" s="1"/>
    </row>
    <row r="892" spans="1:26" ht="39.75" customHeight="1">
      <c r="A892" s="1"/>
      <c r="B892" s="1"/>
      <c r="C892" s="1"/>
      <c r="D892" s="1"/>
      <c r="E892" s="1"/>
      <c r="F892" s="1"/>
      <c r="G892" s="1"/>
      <c r="H892" s="1"/>
      <c r="I892" s="1"/>
      <c r="J892" s="1"/>
      <c r="K892" s="1"/>
      <c r="L892" s="1"/>
      <c r="M892" s="1"/>
      <c r="N892" s="1"/>
      <c r="O892" s="1"/>
      <c r="P892" s="1"/>
      <c r="Q892" s="1"/>
      <c r="R892" s="1"/>
      <c r="S892" s="1"/>
      <c r="T892" s="1"/>
      <c r="U892" s="2"/>
      <c r="V892" s="1"/>
      <c r="W892" s="1"/>
      <c r="X892" s="1"/>
      <c r="Y892" s="1"/>
      <c r="Z892" s="1"/>
    </row>
    <row r="893" spans="1:26" ht="39.75" customHeight="1">
      <c r="A893" s="1"/>
      <c r="B893" s="1"/>
      <c r="C893" s="1"/>
      <c r="D893" s="1"/>
      <c r="E893" s="1"/>
      <c r="F893" s="1"/>
      <c r="G893" s="1"/>
      <c r="H893" s="1"/>
      <c r="I893" s="1"/>
      <c r="J893" s="1"/>
      <c r="K893" s="1"/>
      <c r="L893" s="1"/>
      <c r="M893" s="1"/>
      <c r="N893" s="1"/>
      <c r="O893" s="1"/>
      <c r="P893" s="1"/>
      <c r="Q893" s="1"/>
      <c r="R893" s="1"/>
      <c r="S893" s="1"/>
      <c r="T893" s="1"/>
      <c r="U893" s="2"/>
      <c r="V893" s="1"/>
      <c r="W893" s="1"/>
      <c r="X893" s="1"/>
      <c r="Y893" s="1"/>
      <c r="Z893" s="1"/>
    </row>
    <row r="894" spans="1:26" ht="39.75" customHeight="1">
      <c r="A894" s="1"/>
      <c r="B894" s="1"/>
      <c r="C894" s="1"/>
      <c r="D894" s="1"/>
      <c r="E894" s="1"/>
      <c r="F894" s="1"/>
      <c r="G894" s="1"/>
      <c r="H894" s="1"/>
      <c r="I894" s="1"/>
      <c r="J894" s="1"/>
      <c r="K894" s="1"/>
      <c r="L894" s="1"/>
      <c r="M894" s="1"/>
      <c r="N894" s="1"/>
      <c r="O894" s="1"/>
      <c r="P894" s="1"/>
      <c r="Q894" s="1"/>
      <c r="R894" s="1"/>
      <c r="S894" s="1"/>
      <c r="T894" s="1"/>
      <c r="U894" s="2"/>
      <c r="V894" s="1"/>
      <c r="W894" s="1"/>
      <c r="X894" s="1"/>
      <c r="Y894" s="1"/>
      <c r="Z894" s="1"/>
    </row>
    <row r="895" spans="1:26" ht="39.75" customHeight="1">
      <c r="A895" s="1"/>
      <c r="B895" s="1"/>
      <c r="C895" s="1"/>
      <c r="D895" s="1"/>
      <c r="E895" s="1"/>
      <c r="F895" s="1"/>
      <c r="G895" s="1"/>
      <c r="H895" s="1"/>
      <c r="I895" s="1"/>
      <c r="J895" s="1"/>
      <c r="K895" s="1"/>
      <c r="L895" s="1"/>
      <c r="M895" s="1"/>
      <c r="N895" s="1"/>
      <c r="O895" s="1"/>
      <c r="P895" s="1"/>
      <c r="Q895" s="1"/>
      <c r="R895" s="1"/>
      <c r="S895" s="1"/>
      <c r="T895" s="1"/>
      <c r="U895" s="2"/>
      <c r="V895" s="1"/>
      <c r="W895" s="1"/>
      <c r="X895" s="1"/>
      <c r="Y895" s="1"/>
      <c r="Z895" s="1"/>
    </row>
    <row r="896" spans="1:26" ht="39.75" customHeight="1">
      <c r="A896" s="1"/>
      <c r="B896" s="1"/>
      <c r="C896" s="1"/>
      <c r="D896" s="1"/>
      <c r="E896" s="1"/>
      <c r="F896" s="1"/>
      <c r="G896" s="1"/>
      <c r="H896" s="1"/>
      <c r="I896" s="1"/>
      <c r="J896" s="1"/>
      <c r="K896" s="1"/>
      <c r="L896" s="1"/>
      <c r="M896" s="1"/>
      <c r="N896" s="1"/>
      <c r="O896" s="1"/>
      <c r="P896" s="1"/>
      <c r="Q896" s="1"/>
      <c r="R896" s="1"/>
      <c r="S896" s="1"/>
      <c r="T896" s="1"/>
      <c r="U896" s="2"/>
      <c r="V896" s="1"/>
      <c r="W896" s="1"/>
      <c r="X896" s="1"/>
      <c r="Y896" s="1"/>
      <c r="Z896" s="1"/>
    </row>
    <row r="897" spans="1:26" ht="39.75" customHeight="1">
      <c r="A897" s="1"/>
      <c r="B897" s="1"/>
      <c r="C897" s="1"/>
      <c r="D897" s="1"/>
      <c r="E897" s="1"/>
      <c r="F897" s="1"/>
      <c r="G897" s="1"/>
      <c r="H897" s="1"/>
      <c r="I897" s="1"/>
      <c r="J897" s="1"/>
      <c r="K897" s="1"/>
      <c r="L897" s="1"/>
      <c r="M897" s="1"/>
      <c r="N897" s="1"/>
      <c r="O897" s="1"/>
      <c r="P897" s="1"/>
      <c r="Q897" s="1"/>
      <c r="R897" s="1"/>
      <c r="S897" s="1"/>
      <c r="T897" s="1"/>
      <c r="U897" s="2"/>
      <c r="V897" s="1"/>
      <c r="W897" s="1"/>
      <c r="X897" s="1"/>
      <c r="Y897" s="1"/>
      <c r="Z897" s="1"/>
    </row>
    <row r="898" spans="1:26" ht="39.75" customHeight="1">
      <c r="A898" s="1"/>
      <c r="B898" s="1"/>
      <c r="C898" s="1"/>
      <c r="D898" s="1"/>
      <c r="E898" s="1"/>
      <c r="F898" s="1"/>
      <c r="G898" s="1"/>
      <c r="H898" s="1"/>
      <c r="I898" s="1"/>
      <c r="J898" s="1"/>
      <c r="K898" s="1"/>
      <c r="L898" s="1"/>
      <c r="M898" s="1"/>
      <c r="N898" s="1"/>
      <c r="O898" s="1"/>
      <c r="P898" s="1"/>
      <c r="Q898" s="1"/>
      <c r="R898" s="1"/>
      <c r="S898" s="1"/>
      <c r="T898" s="1"/>
      <c r="U898" s="2"/>
      <c r="V898" s="1"/>
      <c r="W898" s="1"/>
      <c r="X898" s="1"/>
      <c r="Y898" s="1"/>
      <c r="Z898" s="1"/>
    </row>
    <row r="899" spans="1:26" ht="39.75" customHeight="1">
      <c r="A899" s="1"/>
      <c r="B899" s="1"/>
      <c r="C899" s="1"/>
      <c r="D899" s="1"/>
      <c r="E899" s="1"/>
      <c r="F899" s="1"/>
      <c r="G899" s="1"/>
      <c r="H899" s="1"/>
      <c r="I899" s="1"/>
      <c r="J899" s="1"/>
      <c r="K899" s="1"/>
      <c r="L899" s="1"/>
      <c r="M899" s="1"/>
      <c r="N899" s="1"/>
      <c r="O899" s="1"/>
      <c r="P899" s="1"/>
      <c r="Q899" s="1"/>
      <c r="R899" s="1"/>
      <c r="S899" s="1"/>
      <c r="T899" s="1"/>
      <c r="U899" s="2"/>
      <c r="V899" s="1"/>
      <c r="W899" s="1"/>
      <c r="X899" s="1"/>
      <c r="Y899" s="1"/>
      <c r="Z899" s="1"/>
    </row>
    <row r="900" spans="1:26" ht="39.75" customHeight="1">
      <c r="A900" s="1"/>
      <c r="B900" s="1"/>
      <c r="C900" s="1"/>
      <c r="D900" s="1"/>
      <c r="E900" s="1"/>
      <c r="F900" s="1"/>
      <c r="G900" s="1"/>
      <c r="H900" s="1"/>
      <c r="I900" s="1"/>
      <c r="J900" s="1"/>
      <c r="K900" s="1"/>
      <c r="L900" s="1"/>
      <c r="M900" s="1"/>
      <c r="N900" s="1"/>
      <c r="O900" s="1"/>
      <c r="P900" s="1"/>
      <c r="Q900" s="1"/>
      <c r="R900" s="1"/>
      <c r="S900" s="1"/>
      <c r="T900" s="1"/>
      <c r="U900" s="2"/>
      <c r="V900" s="1"/>
      <c r="W900" s="1"/>
      <c r="X900" s="1"/>
      <c r="Y900" s="1"/>
      <c r="Z900" s="1"/>
    </row>
    <row r="901" spans="1:26" ht="39.75" customHeight="1">
      <c r="A901" s="1"/>
      <c r="B901" s="1"/>
      <c r="C901" s="1"/>
      <c r="D901" s="1"/>
      <c r="E901" s="1"/>
      <c r="F901" s="1"/>
      <c r="G901" s="1"/>
      <c r="H901" s="1"/>
      <c r="I901" s="1"/>
      <c r="J901" s="1"/>
      <c r="K901" s="1"/>
      <c r="L901" s="1"/>
      <c r="M901" s="1"/>
      <c r="N901" s="1"/>
      <c r="O901" s="1"/>
      <c r="P901" s="1"/>
      <c r="Q901" s="1"/>
      <c r="R901" s="1"/>
      <c r="S901" s="1"/>
      <c r="T901" s="1"/>
      <c r="U901" s="2"/>
      <c r="V901" s="1"/>
      <c r="W901" s="1"/>
      <c r="X901" s="1"/>
      <c r="Y901" s="1"/>
      <c r="Z901" s="1"/>
    </row>
    <row r="902" spans="1:26" ht="39.75" customHeight="1">
      <c r="A902" s="1"/>
      <c r="B902" s="1"/>
      <c r="C902" s="1"/>
      <c r="D902" s="1"/>
      <c r="E902" s="1"/>
      <c r="F902" s="1"/>
      <c r="G902" s="1"/>
      <c r="H902" s="1"/>
      <c r="I902" s="1"/>
      <c r="J902" s="1"/>
      <c r="K902" s="1"/>
      <c r="L902" s="1"/>
      <c r="M902" s="1"/>
      <c r="N902" s="1"/>
      <c r="O902" s="1"/>
      <c r="P902" s="1"/>
      <c r="Q902" s="1"/>
      <c r="R902" s="1"/>
      <c r="S902" s="1"/>
      <c r="T902" s="1"/>
      <c r="U902" s="2"/>
      <c r="V902" s="1"/>
      <c r="W902" s="1"/>
      <c r="X902" s="1"/>
      <c r="Y902" s="1"/>
      <c r="Z902" s="1"/>
    </row>
    <row r="903" spans="1:26" ht="39.75" customHeight="1">
      <c r="A903" s="1"/>
      <c r="B903" s="1"/>
      <c r="C903" s="1"/>
      <c r="D903" s="1"/>
      <c r="E903" s="1"/>
      <c r="F903" s="1"/>
      <c r="G903" s="1"/>
      <c r="H903" s="1"/>
      <c r="I903" s="1"/>
      <c r="J903" s="1"/>
      <c r="K903" s="1"/>
      <c r="L903" s="1"/>
      <c r="M903" s="1"/>
      <c r="N903" s="1"/>
      <c r="O903" s="1"/>
      <c r="P903" s="1"/>
      <c r="Q903" s="1"/>
      <c r="R903" s="1"/>
      <c r="S903" s="1"/>
      <c r="T903" s="1"/>
      <c r="U903" s="2"/>
      <c r="V903" s="1"/>
      <c r="W903" s="1"/>
      <c r="X903" s="1"/>
      <c r="Y903" s="1"/>
      <c r="Z903" s="1"/>
    </row>
    <row r="904" spans="1:26" ht="39.75" customHeight="1">
      <c r="A904" s="1"/>
      <c r="B904" s="1"/>
      <c r="C904" s="1"/>
      <c r="D904" s="1"/>
      <c r="E904" s="1"/>
      <c r="F904" s="1"/>
      <c r="G904" s="1"/>
      <c r="H904" s="1"/>
      <c r="I904" s="1"/>
      <c r="J904" s="1"/>
      <c r="K904" s="1"/>
      <c r="L904" s="1"/>
      <c r="M904" s="1"/>
      <c r="N904" s="1"/>
      <c r="O904" s="1"/>
      <c r="P904" s="1"/>
      <c r="Q904" s="1"/>
      <c r="R904" s="1"/>
      <c r="S904" s="1"/>
      <c r="T904" s="1"/>
      <c r="U904" s="2"/>
      <c r="V904" s="1"/>
      <c r="W904" s="1"/>
      <c r="X904" s="1"/>
      <c r="Y904" s="1"/>
      <c r="Z904" s="1"/>
    </row>
    <row r="905" spans="1:26" ht="39.75" customHeight="1">
      <c r="A905" s="1"/>
      <c r="B905" s="1"/>
      <c r="C905" s="1"/>
      <c r="D905" s="1"/>
      <c r="E905" s="1"/>
      <c r="F905" s="1"/>
      <c r="G905" s="1"/>
      <c r="H905" s="1"/>
      <c r="I905" s="1"/>
      <c r="J905" s="1"/>
      <c r="K905" s="1"/>
      <c r="L905" s="1"/>
      <c r="M905" s="1"/>
      <c r="N905" s="1"/>
      <c r="O905" s="1"/>
      <c r="P905" s="1"/>
      <c r="Q905" s="1"/>
      <c r="R905" s="1"/>
      <c r="S905" s="1"/>
      <c r="T905" s="1"/>
      <c r="U905" s="2"/>
      <c r="V905" s="1"/>
      <c r="W905" s="1"/>
      <c r="X905" s="1"/>
      <c r="Y905" s="1"/>
      <c r="Z905" s="1"/>
    </row>
    <row r="906" spans="1:26" ht="39.75" customHeight="1">
      <c r="A906" s="1"/>
      <c r="B906" s="1"/>
      <c r="C906" s="1"/>
      <c r="D906" s="1"/>
      <c r="E906" s="1"/>
      <c r="F906" s="1"/>
      <c r="G906" s="1"/>
      <c r="H906" s="1"/>
      <c r="I906" s="1"/>
      <c r="J906" s="1"/>
      <c r="K906" s="1"/>
      <c r="L906" s="1"/>
      <c r="M906" s="1"/>
      <c r="N906" s="1"/>
      <c r="O906" s="1"/>
      <c r="P906" s="1"/>
      <c r="Q906" s="1"/>
      <c r="R906" s="1"/>
      <c r="S906" s="1"/>
      <c r="T906" s="1"/>
      <c r="U906" s="2"/>
      <c r="V906" s="1"/>
      <c r="W906" s="1"/>
      <c r="X906" s="1"/>
      <c r="Y906" s="1"/>
      <c r="Z906" s="1"/>
    </row>
    <row r="907" spans="1:26" ht="39.75" customHeight="1">
      <c r="A907" s="1"/>
      <c r="B907" s="1"/>
      <c r="C907" s="1"/>
      <c r="D907" s="1"/>
      <c r="E907" s="1"/>
      <c r="F907" s="1"/>
      <c r="G907" s="1"/>
      <c r="H907" s="1"/>
      <c r="I907" s="1"/>
      <c r="J907" s="1"/>
      <c r="K907" s="1"/>
      <c r="L907" s="1"/>
      <c r="M907" s="1"/>
      <c r="N907" s="1"/>
      <c r="O907" s="1"/>
      <c r="P907" s="1"/>
      <c r="Q907" s="1"/>
      <c r="R907" s="1"/>
      <c r="S907" s="1"/>
      <c r="T907" s="1"/>
      <c r="U907" s="2"/>
      <c r="V907" s="1"/>
      <c r="W907" s="1"/>
      <c r="X907" s="1"/>
      <c r="Y907" s="1"/>
      <c r="Z907" s="1"/>
    </row>
    <row r="908" spans="1:26" ht="39.75" customHeight="1">
      <c r="A908" s="1"/>
      <c r="B908" s="1"/>
      <c r="C908" s="1"/>
      <c r="D908" s="1"/>
      <c r="E908" s="1"/>
      <c r="F908" s="1"/>
      <c r="G908" s="1"/>
      <c r="H908" s="1"/>
      <c r="I908" s="1"/>
      <c r="J908" s="1"/>
      <c r="K908" s="1"/>
      <c r="L908" s="1"/>
      <c r="M908" s="1"/>
      <c r="N908" s="1"/>
      <c r="O908" s="1"/>
      <c r="P908" s="1"/>
      <c r="Q908" s="1"/>
      <c r="R908" s="1"/>
      <c r="S908" s="1"/>
      <c r="T908" s="1"/>
      <c r="U908" s="2"/>
      <c r="V908" s="1"/>
      <c r="W908" s="1"/>
      <c r="X908" s="1"/>
      <c r="Y908" s="1"/>
      <c r="Z908" s="1"/>
    </row>
    <row r="909" spans="1:26" ht="39.75" customHeight="1">
      <c r="A909" s="1"/>
      <c r="B909" s="1"/>
      <c r="C909" s="1"/>
      <c r="D909" s="1"/>
      <c r="E909" s="1"/>
      <c r="F909" s="1"/>
      <c r="G909" s="1"/>
      <c r="H909" s="1"/>
      <c r="I909" s="1"/>
      <c r="J909" s="1"/>
      <c r="K909" s="1"/>
      <c r="L909" s="1"/>
      <c r="M909" s="1"/>
      <c r="N909" s="1"/>
      <c r="O909" s="1"/>
      <c r="P909" s="1"/>
      <c r="Q909" s="1"/>
      <c r="R909" s="1"/>
      <c r="S909" s="1"/>
      <c r="T909" s="1"/>
      <c r="U909" s="2"/>
      <c r="V909" s="1"/>
      <c r="W909" s="1"/>
      <c r="X909" s="1"/>
      <c r="Y909" s="1"/>
      <c r="Z909" s="1"/>
    </row>
    <row r="910" spans="1:26" ht="39.75" customHeight="1">
      <c r="A910" s="1"/>
      <c r="B910" s="1"/>
      <c r="C910" s="1"/>
      <c r="D910" s="1"/>
      <c r="E910" s="1"/>
      <c r="F910" s="1"/>
      <c r="G910" s="1"/>
      <c r="H910" s="1"/>
      <c r="I910" s="1"/>
      <c r="J910" s="1"/>
      <c r="K910" s="1"/>
      <c r="L910" s="1"/>
      <c r="M910" s="1"/>
      <c r="N910" s="1"/>
      <c r="O910" s="1"/>
      <c r="P910" s="1"/>
      <c r="Q910" s="1"/>
      <c r="R910" s="1"/>
      <c r="S910" s="1"/>
      <c r="T910" s="1"/>
      <c r="U910" s="2"/>
      <c r="V910" s="1"/>
      <c r="W910" s="1"/>
      <c r="X910" s="1"/>
      <c r="Y910" s="1"/>
      <c r="Z910" s="1"/>
    </row>
    <row r="911" spans="1:26" ht="39.75" customHeight="1">
      <c r="A911" s="1"/>
      <c r="B911" s="1"/>
      <c r="C911" s="1"/>
      <c r="D911" s="1"/>
      <c r="E911" s="1"/>
      <c r="F911" s="1"/>
      <c r="G911" s="1"/>
      <c r="H911" s="1"/>
      <c r="I911" s="1"/>
      <c r="J911" s="1"/>
      <c r="K911" s="1"/>
      <c r="L911" s="1"/>
      <c r="M911" s="1"/>
      <c r="N911" s="1"/>
      <c r="O911" s="1"/>
      <c r="P911" s="1"/>
      <c r="Q911" s="1"/>
      <c r="R911" s="1"/>
      <c r="S911" s="1"/>
      <c r="T911" s="1"/>
      <c r="U911" s="2"/>
      <c r="V911" s="1"/>
      <c r="W911" s="1"/>
      <c r="X911" s="1"/>
      <c r="Y911" s="1"/>
      <c r="Z911" s="1"/>
    </row>
    <row r="912" spans="1:26" ht="39.75" customHeight="1">
      <c r="A912" s="1"/>
      <c r="B912" s="1"/>
      <c r="C912" s="1"/>
      <c r="D912" s="1"/>
      <c r="E912" s="1"/>
      <c r="F912" s="1"/>
      <c r="G912" s="1"/>
      <c r="H912" s="1"/>
      <c r="I912" s="1"/>
      <c r="J912" s="1"/>
      <c r="K912" s="1"/>
      <c r="L912" s="1"/>
      <c r="M912" s="1"/>
      <c r="N912" s="1"/>
      <c r="O912" s="1"/>
      <c r="P912" s="1"/>
      <c r="Q912" s="1"/>
      <c r="R912" s="1"/>
      <c r="S912" s="1"/>
      <c r="T912" s="1"/>
      <c r="U912" s="2"/>
      <c r="V912" s="1"/>
      <c r="W912" s="1"/>
      <c r="X912" s="1"/>
      <c r="Y912" s="1"/>
      <c r="Z912" s="1"/>
    </row>
    <row r="913" spans="1:26" ht="39.75" customHeight="1">
      <c r="A913" s="1"/>
      <c r="B913" s="1"/>
      <c r="C913" s="1"/>
      <c r="D913" s="1"/>
      <c r="E913" s="1"/>
      <c r="F913" s="1"/>
      <c r="G913" s="1"/>
      <c r="H913" s="1"/>
      <c r="I913" s="1"/>
      <c r="J913" s="1"/>
      <c r="K913" s="1"/>
      <c r="L913" s="1"/>
      <c r="M913" s="1"/>
      <c r="N913" s="1"/>
      <c r="O913" s="1"/>
      <c r="P913" s="1"/>
      <c r="Q913" s="1"/>
      <c r="R913" s="1"/>
      <c r="S913" s="1"/>
      <c r="T913" s="1"/>
      <c r="U913" s="2"/>
      <c r="V913" s="1"/>
      <c r="W913" s="1"/>
      <c r="X913" s="1"/>
      <c r="Y913" s="1"/>
      <c r="Z913" s="1"/>
    </row>
    <row r="914" spans="1:26" ht="39.75" customHeight="1">
      <c r="A914" s="1"/>
      <c r="B914" s="1"/>
      <c r="C914" s="1"/>
      <c r="D914" s="1"/>
      <c r="E914" s="1"/>
      <c r="F914" s="1"/>
      <c r="G914" s="1"/>
      <c r="H914" s="1"/>
      <c r="I914" s="1"/>
      <c r="J914" s="1"/>
      <c r="K914" s="1"/>
      <c r="L914" s="1"/>
      <c r="M914" s="1"/>
      <c r="N914" s="1"/>
      <c r="O914" s="1"/>
      <c r="P914" s="1"/>
      <c r="Q914" s="1"/>
      <c r="R914" s="1"/>
      <c r="S914" s="1"/>
      <c r="T914" s="1"/>
      <c r="U914" s="2"/>
      <c r="V914" s="1"/>
      <c r="W914" s="1"/>
      <c r="X914" s="1"/>
      <c r="Y914" s="1"/>
      <c r="Z914" s="1"/>
    </row>
    <row r="915" spans="1:26" ht="39.75" customHeight="1">
      <c r="A915" s="1"/>
      <c r="B915" s="1"/>
      <c r="C915" s="1"/>
      <c r="D915" s="1"/>
      <c r="E915" s="1"/>
      <c r="F915" s="1"/>
      <c r="G915" s="1"/>
      <c r="H915" s="1"/>
      <c r="I915" s="1"/>
      <c r="J915" s="1"/>
      <c r="K915" s="1"/>
      <c r="L915" s="1"/>
      <c r="M915" s="1"/>
      <c r="N915" s="1"/>
      <c r="O915" s="1"/>
      <c r="P915" s="1"/>
      <c r="Q915" s="1"/>
      <c r="R915" s="1"/>
      <c r="S915" s="1"/>
      <c r="T915" s="1"/>
      <c r="U915" s="2"/>
      <c r="V915" s="1"/>
      <c r="W915" s="1"/>
      <c r="X915" s="1"/>
      <c r="Y915" s="1"/>
      <c r="Z915" s="1"/>
    </row>
    <row r="916" spans="1:26" ht="39.75" customHeight="1">
      <c r="A916" s="1"/>
      <c r="B916" s="1"/>
      <c r="C916" s="1"/>
      <c r="D916" s="1"/>
      <c r="E916" s="1"/>
      <c r="F916" s="1"/>
      <c r="G916" s="1"/>
      <c r="H916" s="1"/>
      <c r="I916" s="1"/>
      <c r="J916" s="1"/>
      <c r="K916" s="1"/>
      <c r="L916" s="1"/>
      <c r="M916" s="1"/>
      <c r="N916" s="1"/>
      <c r="O916" s="1"/>
      <c r="P916" s="1"/>
      <c r="Q916" s="1"/>
      <c r="R916" s="1"/>
      <c r="S916" s="1"/>
      <c r="T916" s="1"/>
      <c r="U916" s="2"/>
      <c r="V916" s="1"/>
      <c r="W916" s="1"/>
      <c r="X916" s="1"/>
      <c r="Y916" s="1"/>
      <c r="Z916" s="1"/>
    </row>
    <row r="917" spans="1:26" ht="39.75" customHeight="1">
      <c r="A917" s="1"/>
      <c r="B917" s="1"/>
      <c r="C917" s="1"/>
      <c r="D917" s="1"/>
      <c r="E917" s="1"/>
      <c r="F917" s="1"/>
      <c r="G917" s="1"/>
      <c r="H917" s="1"/>
      <c r="I917" s="1"/>
      <c r="J917" s="1"/>
      <c r="K917" s="1"/>
      <c r="L917" s="1"/>
      <c r="M917" s="1"/>
      <c r="N917" s="1"/>
      <c r="O917" s="1"/>
      <c r="P917" s="1"/>
      <c r="Q917" s="1"/>
      <c r="R917" s="1"/>
      <c r="S917" s="1"/>
      <c r="T917" s="1"/>
      <c r="U917" s="2"/>
      <c r="V917" s="1"/>
      <c r="W917" s="1"/>
      <c r="X917" s="1"/>
      <c r="Y917" s="1"/>
      <c r="Z917" s="1"/>
    </row>
    <row r="918" spans="1:26" ht="39.75" customHeight="1">
      <c r="A918" s="1"/>
      <c r="B918" s="1"/>
      <c r="C918" s="1"/>
      <c r="D918" s="1"/>
      <c r="E918" s="1"/>
      <c r="F918" s="1"/>
      <c r="G918" s="1"/>
      <c r="H918" s="1"/>
      <c r="I918" s="1"/>
      <c r="J918" s="1"/>
      <c r="K918" s="1"/>
      <c r="L918" s="1"/>
      <c r="M918" s="1"/>
      <c r="N918" s="1"/>
      <c r="O918" s="1"/>
      <c r="P918" s="1"/>
      <c r="Q918" s="1"/>
      <c r="R918" s="1"/>
      <c r="S918" s="1"/>
      <c r="T918" s="1"/>
      <c r="U918" s="2"/>
      <c r="V918" s="1"/>
      <c r="W918" s="1"/>
      <c r="X918" s="1"/>
      <c r="Y918" s="1"/>
      <c r="Z918" s="1"/>
    </row>
    <row r="919" spans="1:26" ht="39.75" customHeight="1">
      <c r="A919" s="1"/>
      <c r="B919" s="1"/>
      <c r="C919" s="1"/>
      <c r="D919" s="1"/>
      <c r="E919" s="1"/>
      <c r="F919" s="1"/>
      <c r="G919" s="1"/>
      <c r="H919" s="1"/>
      <c r="I919" s="1"/>
      <c r="J919" s="1"/>
      <c r="K919" s="1"/>
      <c r="L919" s="1"/>
      <c r="M919" s="1"/>
      <c r="N919" s="1"/>
      <c r="O919" s="1"/>
      <c r="P919" s="1"/>
      <c r="Q919" s="1"/>
      <c r="R919" s="1"/>
      <c r="S919" s="1"/>
      <c r="T919" s="1"/>
      <c r="U919" s="2"/>
      <c r="V919" s="1"/>
      <c r="W919" s="1"/>
      <c r="X919" s="1"/>
      <c r="Y919" s="1"/>
      <c r="Z919" s="1"/>
    </row>
    <row r="920" spans="1:26" ht="39.75" customHeight="1">
      <c r="A920" s="1"/>
      <c r="B920" s="1"/>
      <c r="C920" s="1"/>
      <c r="D920" s="1"/>
      <c r="E920" s="1"/>
      <c r="F920" s="1"/>
      <c r="G920" s="1"/>
      <c r="H920" s="1"/>
      <c r="I920" s="1"/>
      <c r="J920" s="1"/>
      <c r="K920" s="1"/>
      <c r="L920" s="1"/>
      <c r="M920" s="1"/>
      <c r="N920" s="1"/>
      <c r="O920" s="1"/>
      <c r="P920" s="1"/>
      <c r="Q920" s="1"/>
      <c r="R920" s="1"/>
      <c r="S920" s="1"/>
      <c r="T920" s="1"/>
      <c r="U920" s="2"/>
      <c r="V920" s="1"/>
      <c r="W920" s="1"/>
      <c r="X920" s="1"/>
      <c r="Y920" s="1"/>
      <c r="Z920" s="1"/>
    </row>
    <row r="921" spans="1:26" ht="39.75" customHeight="1">
      <c r="A921" s="1"/>
      <c r="B921" s="1"/>
      <c r="C921" s="1"/>
      <c r="D921" s="1"/>
      <c r="E921" s="1"/>
      <c r="F921" s="1"/>
      <c r="G921" s="1"/>
      <c r="H921" s="1"/>
      <c r="I921" s="1"/>
      <c r="J921" s="1"/>
      <c r="K921" s="1"/>
      <c r="L921" s="1"/>
      <c r="M921" s="1"/>
      <c r="N921" s="1"/>
      <c r="O921" s="1"/>
      <c r="P921" s="1"/>
      <c r="Q921" s="1"/>
      <c r="R921" s="1"/>
      <c r="S921" s="1"/>
      <c r="T921" s="1"/>
      <c r="U921" s="2"/>
      <c r="V921" s="1"/>
      <c r="W921" s="1"/>
      <c r="X921" s="1"/>
      <c r="Y921" s="1"/>
      <c r="Z921" s="1"/>
    </row>
    <row r="922" spans="1:26" ht="39.75" customHeight="1">
      <c r="A922" s="1"/>
      <c r="B922" s="1"/>
      <c r="C922" s="1"/>
      <c r="D922" s="1"/>
      <c r="E922" s="1"/>
      <c r="F922" s="1"/>
      <c r="G922" s="1"/>
      <c r="H922" s="1"/>
      <c r="I922" s="1"/>
      <c r="J922" s="1"/>
      <c r="K922" s="1"/>
      <c r="L922" s="1"/>
      <c r="M922" s="1"/>
      <c r="N922" s="1"/>
      <c r="O922" s="1"/>
      <c r="P922" s="1"/>
      <c r="Q922" s="1"/>
      <c r="R922" s="1"/>
      <c r="S922" s="1"/>
      <c r="T922" s="1"/>
      <c r="U922" s="2"/>
      <c r="V922" s="1"/>
      <c r="W922" s="1"/>
      <c r="X922" s="1"/>
      <c r="Y922" s="1"/>
      <c r="Z922" s="1"/>
    </row>
    <row r="923" spans="1:26" ht="39.75" customHeight="1">
      <c r="A923" s="1"/>
      <c r="B923" s="1"/>
      <c r="C923" s="1"/>
      <c r="D923" s="1"/>
      <c r="E923" s="1"/>
      <c r="F923" s="1"/>
      <c r="G923" s="1"/>
      <c r="H923" s="1"/>
      <c r="I923" s="1"/>
      <c r="J923" s="1"/>
      <c r="K923" s="1"/>
      <c r="L923" s="1"/>
      <c r="M923" s="1"/>
      <c r="N923" s="1"/>
      <c r="O923" s="1"/>
      <c r="P923" s="1"/>
      <c r="Q923" s="1"/>
      <c r="R923" s="1"/>
      <c r="S923" s="1"/>
      <c r="T923" s="1"/>
      <c r="U923" s="2"/>
      <c r="V923" s="1"/>
      <c r="W923" s="1"/>
      <c r="X923" s="1"/>
      <c r="Y923" s="1"/>
      <c r="Z923" s="1"/>
    </row>
    <row r="924" spans="1:26" ht="39.75" customHeight="1">
      <c r="A924" s="1"/>
      <c r="B924" s="1"/>
      <c r="C924" s="1"/>
      <c r="D924" s="1"/>
      <c r="E924" s="1"/>
      <c r="F924" s="1"/>
      <c r="G924" s="1"/>
      <c r="H924" s="1"/>
      <c r="I924" s="1"/>
      <c r="J924" s="1"/>
      <c r="K924" s="1"/>
      <c r="L924" s="1"/>
      <c r="M924" s="1"/>
      <c r="N924" s="1"/>
      <c r="O924" s="1"/>
      <c r="P924" s="1"/>
      <c r="Q924" s="1"/>
      <c r="R924" s="1"/>
      <c r="S924" s="1"/>
      <c r="T924" s="1"/>
      <c r="U924" s="2"/>
      <c r="V924" s="1"/>
      <c r="W924" s="1"/>
      <c r="X924" s="1"/>
      <c r="Y924" s="1"/>
      <c r="Z924" s="1"/>
    </row>
    <row r="925" spans="1:26" ht="39.75" customHeight="1">
      <c r="A925" s="1"/>
      <c r="B925" s="1"/>
      <c r="C925" s="1"/>
      <c r="D925" s="1"/>
      <c r="E925" s="1"/>
      <c r="F925" s="1"/>
      <c r="G925" s="1"/>
      <c r="H925" s="1"/>
      <c r="I925" s="1"/>
      <c r="J925" s="1"/>
      <c r="K925" s="1"/>
      <c r="L925" s="1"/>
      <c r="M925" s="1"/>
      <c r="N925" s="1"/>
      <c r="O925" s="1"/>
      <c r="P925" s="1"/>
      <c r="Q925" s="1"/>
      <c r="R925" s="1"/>
      <c r="S925" s="1"/>
      <c r="T925" s="1"/>
      <c r="U925" s="2"/>
      <c r="V925" s="1"/>
      <c r="W925" s="1"/>
      <c r="X925" s="1"/>
      <c r="Y925" s="1"/>
      <c r="Z925" s="1"/>
    </row>
    <row r="926" spans="1:26" ht="39.75" customHeight="1">
      <c r="A926" s="1"/>
      <c r="B926" s="1"/>
      <c r="C926" s="1"/>
      <c r="D926" s="1"/>
      <c r="E926" s="1"/>
      <c r="F926" s="1"/>
      <c r="G926" s="1"/>
      <c r="H926" s="1"/>
      <c r="I926" s="1"/>
      <c r="J926" s="1"/>
      <c r="K926" s="1"/>
      <c r="L926" s="1"/>
      <c r="M926" s="1"/>
      <c r="N926" s="1"/>
      <c r="O926" s="1"/>
      <c r="P926" s="1"/>
      <c r="Q926" s="1"/>
      <c r="R926" s="1"/>
      <c r="S926" s="1"/>
      <c r="T926" s="1"/>
      <c r="U926" s="2"/>
      <c r="V926" s="1"/>
      <c r="W926" s="1"/>
      <c r="X926" s="1"/>
      <c r="Y926" s="1"/>
      <c r="Z926" s="1"/>
    </row>
    <row r="927" spans="1:26" ht="39.75" customHeight="1">
      <c r="A927" s="1"/>
      <c r="B927" s="1"/>
      <c r="C927" s="1"/>
      <c r="D927" s="1"/>
      <c r="E927" s="1"/>
      <c r="F927" s="1"/>
      <c r="G927" s="1"/>
      <c r="H927" s="1"/>
      <c r="I927" s="1"/>
      <c r="J927" s="1"/>
      <c r="K927" s="1"/>
      <c r="L927" s="1"/>
      <c r="M927" s="1"/>
      <c r="N927" s="1"/>
      <c r="O927" s="1"/>
      <c r="P927" s="1"/>
      <c r="Q927" s="1"/>
      <c r="R927" s="1"/>
      <c r="S927" s="1"/>
      <c r="T927" s="1"/>
      <c r="U927" s="2"/>
      <c r="V927" s="1"/>
      <c r="W927" s="1"/>
      <c r="X927" s="1"/>
      <c r="Y927" s="1"/>
      <c r="Z927" s="1"/>
    </row>
    <row r="928" spans="1:26" ht="39.75" customHeight="1">
      <c r="A928" s="1"/>
      <c r="B928" s="1"/>
      <c r="C928" s="1"/>
      <c r="D928" s="1"/>
      <c r="E928" s="1"/>
      <c r="F928" s="1"/>
      <c r="G928" s="1"/>
      <c r="H928" s="1"/>
      <c r="I928" s="1"/>
      <c r="J928" s="1"/>
      <c r="K928" s="1"/>
      <c r="L928" s="1"/>
      <c r="M928" s="1"/>
      <c r="N928" s="1"/>
      <c r="O928" s="1"/>
      <c r="P928" s="1"/>
      <c r="Q928" s="1"/>
      <c r="R928" s="1"/>
      <c r="S928" s="1"/>
      <c r="T928" s="1"/>
      <c r="U928" s="2"/>
      <c r="V928" s="1"/>
      <c r="W928" s="1"/>
      <c r="X928" s="1"/>
      <c r="Y928" s="1"/>
      <c r="Z928" s="1"/>
    </row>
    <row r="929" spans="1:26" ht="39.75" customHeight="1">
      <c r="A929" s="1"/>
      <c r="B929" s="1"/>
      <c r="C929" s="1"/>
      <c r="D929" s="1"/>
      <c r="E929" s="1"/>
      <c r="F929" s="1"/>
      <c r="G929" s="1"/>
      <c r="H929" s="1"/>
      <c r="I929" s="1"/>
      <c r="J929" s="1"/>
      <c r="K929" s="1"/>
      <c r="L929" s="1"/>
      <c r="M929" s="1"/>
      <c r="N929" s="1"/>
      <c r="O929" s="1"/>
      <c r="P929" s="1"/>
      <c r="Q929" s="1"/>
      <c r="R929" s="1"/>
      <c r="S929" s="1"/>
      <c r="T929" s="1"/>
      <c r="U929" s="2"/>
      <c r="V929" s="1"/>
      <c r="W929" s="1"/>
      <c r="X929" s="1"/>
      <c r="Y929" s="1"/>
      <c r="Z929" s="1"/>
    </row>
    <row r="930" spans="1:26" ht="39.75" customHeight="1">
      <c r="A930" s="1"/>
      <c r="B930" s="1"/>
      <c r="C930" s="1"/>
      <c r="D930" s="1"/>
      <c r="E930" s="1"/>
      <c r="F930" s="1"/>
      <c r="G930" s="1"/>
      <c r="H930" s="1"/>
      <c r="I930" s="1"/>
      <c r="J930" s="1"/>
      <c r="K930" s="1"/>
      <c r="L930" s="1"/>
      <c r="M930" s="1"/>
      <c r="N930" s="1"/>
      <c r="O930" s="1"/>
      <c r="P930" s="1"/>
      <c r="Q930" s="1"/>
      <c r="R930" s="1"/>
      <c r="S930" s="1"/>
      <c r="T930" s="1"/>
      <c r="U930" s="2"/>
      <c r="V930" s="1"/>
      <c r="W930" s="1"/>
      <c r="X930" s="1"/>
      <c r="Y930" s="1"/>
      <c r="Z930" s="1"/>
    </row>
    <row r="931" spans="1:26" ht="39.75" customHeight="1">
      <c r="A931" s="1"/>
      <c r="B931" s="1"/>
      <c r="C931" s="1"/>
      <c r="D931" s="1"/>
      <c r="E931" s="1"/>
      <c r="F931" s="1"/>
      <c r="G931" s="1"/>
      <c r="H931" s="1"/>
      <c r="I931" s="1"/>
      <c r="J931" s="1"/>
      <c r="K931" s="1"/>
      <c r="L931" s="1"/>
      <c r="M931" s="1"/>
      <c r="N931" s="1"/>
      <c r="O931" s="1"/>
      <c r="P931" s="1"/>
      <c r="Q931" s="1"/>
      <c r="R931" s="1"/>
      <c r="S931" s="1"/>
      <c r="T931" s="1"/>
      <c r="U931" s="2"/>
      <c r="V931" s="1"/>
      <c r="W931" s="1"/>
      <c r="X931" s="1"/>
      <c r="Y931" s="1"/>
      <c r="Z931" s="1"/>
    </row>
    <row r="932" spans="1:26" ht="39.75" customHeight="1">
      <c r="A932" s="1"/>
      <c r="B932" s="1"/>
      <c r="C932" s="1"/>
      <c r="D932" s="1"/>
      <c r="E932" s="1"/>
      <c r="F932" s="1"/>
      <c r="G932" s="1"/>
      <c r="H932" s="1"/>
      <c r="I932" s="1"/>
      <c r="J932" s="1"/>
      <c r="K932" s="1"/>
      <c r="L932" s="1"/>
      <c r="M932" s="1"/>
      <c r="N932" s="1"/>
      <c r="O932" s="1"/>
      <c r="P932" s="1"/>
      <c r="Q932" s="1"/>
      <c r="R932" s="1"/>
      <c r="S932" s="1"/>
      <c r="T932" s="1"/>
      <c r="U932" s="2"/>
      <c r="V932" s="1"/>
      <c r="W932" s="1"/>
      <c r="X932" s="1"/>
      <c r="Y932" s="1"/>
      <c r="Z932" s="1"/>
    </row>
    <row r="933" spans="1:26" ht="39.75" customHeight="1">
      <c r="A933" s="1"/>
      <c r="B933" s="1"/>
      <c r="C933" s="1"/>
      <c r="D933" s="1"/>
      <c r="E933" s="1"/>
      <c r="F933" s="1"/>
      <c r="G933" s="1"/>
      <c r="H933" s="1"/>
      <c r="I933" s="1"/>
      <c r="J933" s="1"/>
      <c r="K933" s="1"/>
      <c r="L933" s="1"/>
      <c r="M933" s="1"/>
      <c r="N933" s="1"/>
      <c r="O933" s="1"/>
      <c r="P933" s="1"/>
      <c r="Q933" s="1"/>
      <c r="R933" s="1"/>
      <c r="S933" s="1"/>
      <c r="T933" s="1"/>
      <c r="U933" s="2"/>
      <c r="V933" s="1"/>
      <c r="W933" s="1"/>
      <c r="X933" s="1"/>
      <c r="Y933" s="1"/>
      <c r="Z933" s="1"/>
    </row>
    <row r="934" spans="1:26" ht="39.75" customHeight="1">
      <c r="A934" s="1"/>
      <c r="B934" s="1"/>
      <c r="C934" s="1"/>
      <c r="D934" s="1"/>
      <c r="E934" s="1"/>
      <c r="F934" s="1"/>
      <c r="G934" s="1"/>
      <c r="H934" s="1"/>
      <c r="I934" s="1"/>
      <c r="J934" s="1"/>
      <c r="K934" s="1"/>
      <c r="L934" s="1"/>
      <c r="M934" s="1"/>
      <c r="N934" s="1"/>
      <c r="O934" s="1"/>
      <c r="P934" s="1"/>
      <c r="Q934" s="1"/>
      <c r="R934" s="1"/>
      <c r="S934" s="1"/>
      <c r="T934" s="1"/>
      <c r="U934" s="2"/>
      <c r="V934" s="1"/>
      <c r="W934" s="1"/>
      <c r="X934" s="1"/>
      <c r="Y934" s="1"/>
      <c r="Z934" s="1"/>
    </row>
    <row r="935" spans="1:26" ht="39.75" customHeight="1">
      <c r="A935" s="1"/>
      <c r="B935" s="1"/>
      <c r="C935" s="1"/>
      <c r="D935" s="1"/>
      <c r="E935" s="1"/>
      <c r="F935" s="1"/>
      <c r="G935" s="1"/>
      <c r="H935" s="1"/>
      <c r="I935" s="1"/>
      <c r="J935" s="1"/>
      <c r="K935" s="1"/>
      <c r="L935" s="1"/>
      <c r="M935" s="1"/>
      <c r="N935" s="1"/>
      <c r="O935" s="1"/>
      <c r="P935" s="1"/>
      <c r="Q935" s="1"/>
      <c r="R935" s="1"/>
      <c r="S935" s="1"/>
      <c r="T935" s="1"/>
      <c r="U935" s="2"/>
      <c r="V935" s="1"/>
      <c r="W935" s="1"/>
      <c r="X935" s="1"/>
      <c r="Y935" s="1"/>
      <c r="Z935" s="1"/>
    </row>
    <row r="936" spans="1:26" ht="39.75" customHeight="1">
      <c r="A936" s="1"/>
      <c r="B936" s="1"/>
      <c r="C936" s="1"/>
      <c r="D936" s="1"/>
      <c r="E936" s="1"/>
      <c r="F936" s="1"/>
      <c r="G936" s="1"/>
      <c r="H936" s="1"/>
      <c r="I936" s="1"/>
      <c r="J936" s="1"/>
      <c r="K936" s="1"/>
      <c r="L936" s="1"/>
      <c r="M936" s="1"/>
      <c r="N936" s="1"/>
      <c r="O936" s="1"/>
      <c r="P936" s="1"/>
      <c r="Q936" s="1"/>
      <c r="R936" s="1"/>
      <c r="S936" s="1"/>
      <c r="T936" s="1"/>
      <c r="U936" s="2"/>
      <c r="V936" s="1"/>
      <c r="W936" s="1"/>
      <c r="X936" s="1"/>
      <c r="Y936" s="1"/>
      <c r="Z936" s="1"/>
    </row>
    <row r="937" spans="1:26" ht="39.75" customHeight="1">
      <c r="A937" s="1"/>
      <c r="B937" s="1"/>
      <c r="C937" s="1"/>
      <c r="D937" s="1"/>
      <c r="E937" s="1"/>
      <c r="F937" s="1"/>
      <c r="G937" s="1"/>
      <c r="H937" s="1"/>
      <c r="I937" s="1"/>
      <c r="J937" s="1"/>
      <c r="K937" s="1"/>
      <c r="L937" s="1"/>
      <c r="M937" s="1"/>
      <c r="N937" s="1"/>
      <c r="O937" s="1"/>
      <c r="P937" s="1"/>
      <c r="Q937" s="1"/>
      <c r="R937" s="1"/>
      <c r="S937" s="1"/>
      <c r="T937" s="1"/>
      <c r="U937" s="2"/>
      <c r="V937" s="1"/>
      <c r="W937" s="1"/>
      <c r="X937" s="1"/>
      <c r="Y937" s="1"/>
      <c r="Z937" s="1"/>
    </row>
    <row r="938" spans="1:26" ht="39.75" customHeight="1">
      <c r="A938" s="1"/>
      <c r="B938" s="1"/>
      <c r="C938" s="1"/>
      <c r="D938" s="1"/>
      <c r="E938" s="1"/>
      <c r="F938" s="1"/>
      <c r="G938" s="1"/>
      <c r="H938" s="1"/>
      <c r="I938" s="1"/>
      <c r="J938" s="1"/>
      <c r="K938" s="1"/>
      <c r="L938" s="1"/>
      <c r="M938" s="1"/>
      <c r="N938" s="1"/>
      <c r="O938" s="1"/>
      <c r="P938" s="1"/>
      <c r="Q938" s="1"/>
      <c r="R938" s="1"/>
      <c r="S938" s="1"/>
      <c r="T938" s="1"/>
      <c r="U938" s="2"/>
      <c r="V938" s="1"/>
      <c r="W938" s="1"/>
      <c r="X938" s="1"/>
      <c r="Y938" s="1"/>
      <c r="Z938" s="1"/>
    </row>
    <row r="939" spans="1:26" ht="39.75" customHeight="1">
      <c r="A939" s="1"/>
      <c r="B939" s="1"/>
      <c r="C939" s="1"/>
      <c r="D939" s="1"/>
      <c r="E939" s="1"/>
      <c r="F939" s="1"/>
      <c r="G939" s="1"/>
      <c r="H939" s="1"/>
      <c r="I939" s="1"/>
      <c r="J939" s="1"/>
      <c r="K939" s="1"/>
      <c r="L939" s="1"/>
      <c r="M939" s="1"/>
      <c r="N939" s="1"/>
      <c r="O939" s="1"/>
      <c r="P939" s="1"/>
      <c r="Q939" s="1"/>
      <c r="R939" s="1"/>
      <c r="S939" s="1"/>
      <c r="T939" s="1"/>
      <c r="U939" s="2"/>
      <c r="V939" s="1"/>
      <c r="W939" s="1"/>
      <c r="X939" s="1"/>
      <c r="Y939" s="1"/>
      <c r="Z939" s="1"/>
    </row>
    <row r="940" spans="1:26" ht="39.75" customHeight="1">
      <c r="A940" s="1"/>
      <c r="B940" s="1"/>
      <c r="C940" s="1"/>
      <c r="D940" s="1"/>
      <c r="E940" s="1"/>
      <c r="F940" s="1"/>
      <c r="G940" s="1"/>
      <c r="H940" s="1"/>
      <c r="I940" s="1"/>
      <c r="J940" s="1"/>
      <c r="K940" s="1"/>
      <c r="L940" s="1"/>
      <c r="M940" s="1"/>
      <c r="N940" s="1"/>
      <c r="O940" s="1"/>
      <c r="P940" s="1"/>
      <c r="Q940" s="1"/>
      <c r="R940" s="1"/>
      <c r="S940" s="1"/>
      <c r="T940" s="1"/>
      <c r="U940" s="2"/>
      <c r="V940" s="1"/>
      <c r="W940" s="1"/>
      <c r="X940" s="1"/>
      <c r="Y940" s="1"/>
      <c r="Z940" s="1"/>
    </row>
    <row r="941" spans="1:26" ht="39.75" customHeight="1">
      <c r="A941" s="1"/>
      <c r="B941" s="1"/>
      <c r="C941" s="1"/>
      <c r="D941" s="1"/>
      <c r="E941" s="1"/>
      <c r="F941" s="1"/>
      <c r="G941" s="1"/>
      <c r="H941" s="1"/>
      <c r="I941" s="1"/>
      <c r="J941" s="1"/>
      <c r="K941" s="1"/>
      <c r="L941" s="1"/>
      <c r="M941" s="1"/>
      <c r="N941" s="1"/>
      <c r="O941" s="1"/>
      <c r="P941" s="1"/>
      <c r="Q941" s="1"/>
      <c r="R941" s="1"/>
      <c r="S941" s="1"/>
      <c r="T941" s="1"/>
      <c r="U941" s="2"/>
      <c r="V941" s="1"/>
      <c r="W941" s="1"/>
      <c r="X941" s="1"/>
      <c r="Y941" s="1"/>
      <c r="Z941" s="1"/>
    </row>
    <row r="942" spans="1:26" ht="39.75" customHeight="1">
      <c r="A942" s="1"/>
      <c r="B942" s="1"/>
      <c r="C942" s="1"/>
      <c r="D942" s="1"/>
      <c r="E942" s="1"/>
      <c r="F942" s="1"/>
      <c r="G942" s="1"/>
      <c r="H942" s="1"/>
      <c r="I942" s="1"/>
      <c r="J942" s="1"/>
      <c r="K942" s="1"/>
      <c r="L942" s="1"/>
      <c r="M942" s="1"/>
      <c r="N942" s="1"/>
      <c r="O942" s="1"/>
      <c r="P942" s="1"/>
      <c r="Q942" s="1"/>
      <c r="R942" s="1"/>
      <c r="S942" s="1"/>
      <c r="T942" s="1"/>
      <c r="U942" s="2"/>
      <c r="V942" s="1"/>
      <c r="W942" s="1"/>
      <c r="X942" s="1"/>
      <c r="Y942" s="1"/>
      <c r="Z942" s="1"/>
    </row>
    <row r="943" spans="1:26" ht="39.75" customHeight="1">
      <c r="A943" s="1"/>
      <c r="B943" s="1"/>
      <c r="C943" s="1"/>
      <c r="D943" s="1"/>
      <c r="E943" s="1"/>
      <c r="F943" s="1"/>
      <c r="G943" s="1"/>
      <c r="H943" s="1"/>
      <c r="I943" s="1"/>
      <c r="J943" s="1"/>
      <c r="K943" s="1"/>
      <c r="L943" s="1"/>
      <c r="M943" s="1"/>
      <c r="N943" s="1"/>
      <c r="O943" s="1"/>
      <c r="P943" s="1"/>
      <c r="Q943" s="1"/>
      <c r="R943" s="1"/>
      <c r="S943" s="1"/>
      <c r="T943" s="1"/>
      <c r="U943" s="2"/>
      <c r="V943" s="1"/>
      <c r="W943" s="1"/>
      <c r="X943" s="1"/>
      <c r="Y943" s="1"/>
      <c r="Z943" s="1"/>
    </row>
    <row r="944" spans="1:26" ht="39.75" customHeight="1">
      <c r="A944" s="1"/>
      <c r="B944" s="1"/>
      <c r="C944" s="1"/>
      <c r="D944" s="1"/>
      <c r="E944" s="1"/>
      <c r="F944" s="1"/>
      <c r="G944" s="1"/>
      <c r="H944" s="1"/>
      <c r="I944" s="1"/>
      <c r="J944" s="1"/>
      <c r="K944" s="1"/>
      <c r="L944" s="1"/>
      <c r="M944" s="1"/>
      <c r="N944" s="1"/>
      <c r="O944" s="1"/>
      <c r="P944" s="1"/>
      <c r="Q944" s="1"/>
      <c r="R944" s="1"/>
      <c r="S944" s="1"/>
      <c r="T944" s="1"/>
      <c r="U944" s="2"/>
      <c r="V944" s="1"/>
      <c r="W944" s="1"/>
      <c r="X944" s="1"/>
      <c r="Y944" s="1"/>
      <c r="Z944" s="1"/>
    </row>
    <row r="945" spans="1:26" ht="39.75" customHeight="1">
      <c r="A945" s="1"/>
      <c r="B945" s="1"/>
      <c r="C945" s="1"/>
      <c r="D945" s="1"/>
      <c r="E945" s="1"/>
      <c r="F945" s="1"/>
      <c r="G945" s="1"/>
      <c r="H945" s="1"/>
      <c r="I945" s="1"/>
      <c r="J945" s="1"/>
      <c r="K945" s="1"/>
      <c r="L945" s="1"/>
      <c r="M945" s="1"/>
      <c r="N945" s="1"/>
      <c r="O945" s="1"/>
      <c r="P945" s="1"/>
      <c r="Q945" s="1"/>
      <c r="R945" s="1"/>
      <c r="S945" s="1"/>
      <c r="T945" s="1"/>
      <c r="U945" s="2"/>
      <c r="V945" s="1"/>
      <c r="W945" s="1"/>
      <c r="X945" s="1"/>
      <c r="Y945" s="1"/>
      <c r="Z945" s="1"/>
    </row>
    <row r="946" spans="1:26" ht="39.75" customHeight="1">
      <c r="A946" s="1"/>
      <c r="B946" s="1"/>
      <c r="C946" s="1"/>
      <c r="D946" s="1"/>
      <c r="E946" s="1"/>
      <c r="F946" s="1"/>
      <c r="G946" s="1"/>
      <c r="H946" s="1"/>
      <c r="I946" s="1"/>
      <c r="J946" s="1"/>
      <c r="K946" s="1"/>
      <c r="L946" s="1"/>
      <c r="M946" s="1"/>
      <c r="N946" s="1"/>
      <c r="O946" s="1"/>
      <c r="P946" s="1"/>
      <c r="Q946" s="1"/>
      <c r="R946" s="1"/>
      <c r="S946" s="1"/>
      <c r="T946" s="1"/>
      <c r="U946" s="2"/>
      <c r="V946" s="1"/>
      <c r="W946" s="1"/>
      <c r="X946" s="1"/>
      <c r="Y946" s="1"/>
      <c r="Z946" s="1"/>
    </row>
    <row r="947" spans="1:26" ht="39.75" customHeight="1">
      <c r="A947" s="1"/>
      <c r="B947" s="1"/>
      <c r="C947" s="1"/>
      <c r="D947" s="1"/>
      <c r="E947" s="1"/>
      <c r="F947" s="1"/>
      <c r="G947" s="1"/>
      <c r="H947" s="1"/>
      <c r="I947" s="1"/>
      <c r="J947" s="1"/>
      <c r="K947" s="1"/>
      <c r="L947" s="1"/>
      <c r="M947" s="1"/>
      <c r="N947" s="1"/>
      <c r="O947" s="1"/>
      <c r="P947" s="1"/>
      <c r="Q947" s="1"/>
      <c r="R947" s="1"/>
      <c r="S947" s="1"/>
      <c r="T947" s="1"/>
      <c r="U947" s="2"/>
      <c r="V947" s="1"/>
      <c r="W947" s="1"/>
      <c r="X947" s="1"/>
      <c r="Y947" s="1"/>
      <c r="Z947" s="1"/>
    </row>
    <row r="948" spans="1:26" ht="39.75" customHeight="1">
      <c r="A948" s="1"/>
      <c r="B948" s="1"/>
      <c r="C948" s="1"/>
      <c r="D948" s="1"/>
      <c r="E948" s="1"/>
      <c r="F948" s="1"/>
      <c r="G948" s="1"/>
      <c r="H948" s="1"/>
      <c r="I948" s="1"/>
      <c r="J948" s="1"/>
      <c r="K948" s="1"/>
      <c r="L948" s="1"/>
      <c r="M948" s="1"/>
      <c r="N948" s="1"/>
      <c r="O948" s="1"/>
      <c r="P948" s="1"/>
      <c r="Q948" s="1"/>
      <c r="R948" s="1"/>
      <c r="S948" s="1"/>
      <c r="T948" s="1"/>
      <c r="U948" s="2"/>
      <c r="V948" s="1"/>
      <c r="W948" s="1"/>
      <c r="X948" s="1"/>
      <c r="Y948" s="1"/>
      <c r="Z948" s="1"/>
    </row>
    <row r="949" spans="1:26" ht="39.75" customHeight="1">
      <c r="A949" s="1"/>
      <c r="B949" s="1"/>
      <c r="C949" s="1"/>
      <c r="D949" s="1"/>
      <c r="E949" s="1"/>
      <c r="F949" s="1"/>
      <c r="G949" s="1"/>
      <c r="H949" s="1"/>
      <c r="I949" s="1"/>
      <c r="J949" s="1"/>
      <c r="K949" s="1"/>
      <c r="L949" s="1"/>
      <c r="M949" s="1"/>
      <c r="N949" s="1"/>
      <c r="O949" s="1"/>
      <c r="P949" s="1"/>
      <c r="Q949" s="1"/>
      <c r="R949" s="1"/>
      <c r="S949" s="1"/>
      <c r="T949" s="1"/>
      <c r="U949" s="2"/>
      <c r="V949" s="1"/>
      <c r="W949" s="1"/>
      <c r="X949" s="1"/>
      <c r="Y949" s="1"/>
      <c r="Z949" s="1"/>
    </row>
    <row r="950" spans="1:26" ht="39.75" customHeight="1">
      <c r="A950" s="1"/>
      <c r="B950" s="1"/>
      <c r="C950" s="1"/>
      <c r="D950" s="1"/>
      <c r="E950" s="1"/>
      <c r="F950" s="1"/>
      <c r="G950" s="1"/>
      <c r="H950" s="1"/>
      <c r="I950" s="1"/>
      <c r="J950" s="1"/>
      <c r="K950" s="1"/>
      <c r="L950" s="1"/>
      <c r="M950" s="1"/>
      <c r="N950" s="1"/>
      <c r="O950" s="1"/>
      <c r="P950" s="1"/>
      <c r="Q950" s="1"/>
      <c r="R950" s="1"/>
      <c r="S950" s="1"/>
      <c r="T950" s="1"/>
      <c r="U950" s="2"/>
      <c r="V950" s="1"/>
      <c r="W950" s="1"/>
      <c r="X950" s="1"/>
      <c r="Y950" s="1"/>
      <c r="Z950" s="1"/>
    </row>
    <row r="951" spans="1:26" ht="39.75" customHeight="1">
      <c r="A951" s="1"/>
      <c r="B951" s="1"/>
      <c r="C951" s="1"/>
      <c r="D951" s="1"/>
      <c r="E951" s="1"/>
      <c r="F951" s="1"/>
      <c r="G951" s="1"/>
      <c r="H951" s="1"/>
      <c r="I951" s="1"/>
      <c r="J951" s="1"/>
      <c r="K951" s="1"/>
      <c r="L951" s="1"/>
      <c r="M951" s="1"/>
      <c r="N951" s="1"/>
      <c r="O951" s="1"/>
      <c r="P951" s="1"/>
      <c r="Q951" s="1"/>
      <c r="R951" s="1"/>
      <c r="S951" s="1"/>
      <c r="T951" s="1"/>
      <c r="U951" s="2"/>
      <c r="V951" s="1"/>
      <c r="W951" s="1"/>
      <c r="X951" s="1"/>
      <c r="Y951" s="1"/>
      <c r="Z951" s="1"/>
    </row>
    <row r="952" spans="1:26" ht="39.75" customHeight="1">
      <c r="A952" s="1"/>
      <c r="B952" s="1"/>
      <c r="C952" s="1"/>
      <c r="D952" s="1"/>
      <c r="E952" s="1"/>
      <c r="F952" s="1"/>
      <c r="G952" s="1"/>
      <c r="H952" s="1"/>
      <c r="I952" s="1"/>
      <c r="J952" s="1"/>
      <c r="K952" s="1"/>
      <c r="L952" s="1"/>
      <c r="M952" s="1"/>
      <c r="N952" s="1"/>
      <c r="O952" s="1"/>
      <c r="P952" s="1"/>
      <c r="Q952" s="1"/>
      <c r="R952" s="1"/>
      <c r="S952" s="1"/>
      <c r="T952" s="1"/>
      <c r="U952" s="2"/>
      <c r="V952" s="1"/>
      <c r="W952" s="1"/>
      <c r="X952" s="1"/>
      <c r="Y952" s="1"/>
      <c r="Z952" s="1"/>
    </row>
    <row r="953" spans="1:26" ht="39.75" customHeight="1">
      <c r="A953" s="1"/>
      <c r="B953" s="1"/>
      <c r="C953" s="1"/>
      <c r="D953" s="1"/>
      <c r="E953" s="1"/>
      <c r="F953" s="1"/>
      <c r="G953" s="1"/>
      <c r="H953" s="1"/>
      <c r="I953" s="1"/>
      <c r="J953" s="1"/>
      <c r="K953" s="1"/>
      <c r="L953" s="1"/>
      <c r="M953" s="1"/>
      <c r="N953" s="1"/>
      <c r="O953" s="1"/>
      <c r="P953" s="1"/>
      <c r="Q953" s="1"/>
      <c r="R953" s="1"/>
      <c r="S953" s="1"/>
      <c r="T953" s="1"/>
      <c r="U953" s="2"/>
      <c r="V953" s="1"/>
      <c r="W953" s="1"/>
      <c r="X953" s="1"/>
      <c r="Y953" s="1"/>
      <c r="Z953" s="1"/>
    </row>
    <row r="954" spans="1:26" ht="39.75" customHeight="1">
      <c r="A954" s="1"/>
      <c r="B954" s="1"/>
      <c r="C954" s="1"/>
      <c r="D954" s="1"/>
      <c r="E954" s="1"/>
      <c r="F954" s="1"/>
      <c r="G954" s="1"/>
      <c r="H954" s="1"/>
      <c r="I954" s="1"/>
      <c r="J954" s="1"/>
      <c r="K954" s="1"/>
      <c r="L954" s="1"/>
      <c r="M954" s="1"/>
      <c r="N954" s="1"/>
      <c r="O954" s="1"/>
      <c r="P954" s="1"/>
      <c r="Q954" s="1"/>
      <c r="R954" s="1"/>
      <c r="S954" s="1"/>
      <c r="T954" s="1"/>
      <c r="U954" s="2"/>
      <c r="V954" s="1"/>
      <c r="W954" s="1"/>
      <c r="X954" s="1"/>
      <c r="Y954" s="1"/>
      <c r="Z954" s="1"/>
    </row>
    <row r="955" spans="1:26" ht="39.75" customHeight="1">
      <c r="A955" s="1"/>
      <c r="B955" s="1"/>
      <c r="C955" s="1"/>
      <c r="D955" s="1"/>
      <c r="E955" s="1"/>
      <c r="F955" s="1"/>
      <c r="G955" s="1"/>
      <c r="H955" s="1"/>
      <c r="I955" s="1"/>
      <c r="J955" s="1"/>
      <c r="K955" s="1"/>
      <c r="L955" s="1"/>
      <c r="M955" s="1"/>
      <c r="N955" s="1"/>
      <c r="O955" s="1"/>
      <c r="P955" s="1"/>
      <c r="Q955" s="1"/>
      <c r="R955" s="1"/>
      <c r="S955" s="1"/>
      <c r="T955" s="1"/>
      <c r="U955" s="2"/>
      <c r="V955" s="1"/>
      <c r="W955" s="1"/>
      <c r="X955" s="1"/>
      <c r="Y955" s="1"/>
      <c r="Z955" s="1"/>
    </row>
    <row r="956" spans="1:26" ht="39.75" customHeight="1">
      <c r="A956" s="1"/>
      <c r="B956" s="1"/>
      <c r="C956" s="1"/>
      <c r="D956" s="1"/>
      <c r="E956" s="1"/>
      <c r="F956" s="1"/>
      <c r="G956" s="1"/>
      <c r="H956" s="1"/>
      <c r="I956" s="1"/>
      <c r="J956" s="1"/>
      <c r="K956" s="1"/>
      <c r="L956" s="1"/>
      <c r="M956" s="1"/>
      <c r="N956" s="1"/>
      <c r="O956" s="1"/>
      <c r="P956" s="1"/>
      <c r="Q956" s="1"/>
      <c r="R956" s="1"/>
      <c r="S956" s="1"/>
      <c r="T956" s="1"/>
      <c r="U956" s="2"/>
      <c r="V956" s="1"/>
      <c r="W956" s="1"/>
      <c r="X956" s="1"/>
      <c r="Y956" s="1"/>
      <c r="Z956" s="1"/>
    </row>
    <row r="957" spans="1:26" ht="39.75" customHeight="1">
      <c r="A957" s="1"/>
      <c r="B957" s="1"/>
      <c r="C957" s="1"/>
      <c r="D957" s="1"/>
      <c r="E957" s="1"/>
      <c r="F957" s="1"/>
      <c r="G957" s="1"/>
      <c r="H957" s="1"/>
      <c r="I957" s="1"/>
      <c r="J957" s="1"/>
      <c r="K957" s="1"/>
      <c r="L957" s="1"/>
      <c r="M957" s="1"/>
      <c r="N957" s="1"/>
      <c r="O957" s="1"/>
      <c r="P957" s="1"/>
      <c r="Q957" s="1"/>
      <c r="R957" s="1"/>
      <c r="S957" s="1"/>
      <c r="T957" s="1"/>
      <c r="U957" s="2"/>
      <c r="V957" s="1"/>
      <c r="W957" s="1"/>
      <c r="X957" s="1"/>
      <c r="Y957" s="1"/>
      <c r="Z957" s="1"/>
    </row>
    <row r="958" spans="1:26" ht="39.75" customHeight="1">
      <c r="A958" s="1"/>
      <c r="B958" s="1"/>
      <c r="C958" s="1"/>
      <c r="D958" s="1"/>
      <c r="E958" s="1"/>
      <c r="F958" s="1"/>
      <c r="G958" s="1"/>
      <c r="H958" s="1"/>
      <c r="I958" s="1"/>
      <c r="J958" s="1"/>
      <c r="K958" s="1"/>
      <c r="L958" s="1"/>
      <c r="M958" s="1"/>
      <c r="N958" s="1"/>
      <c r="O958" s="1"/>
      <c r="P958" s="1"/>
      <c r="Q958" s="1"/>
      <c r="R958" s="1"/>
      <c r="S958" s="1"/>
      <c r="T958" s="1"/>
      <c r="U958" s="2"/>
      <c r="V958" s="1"/>
      <c r="W958" s="1"/>
      <c r="X958" s="1"/>
      <c r="Y958" s="1"/>
      <c r="Z958" s="1"/>
    </row>
    <row r="959" spans="1:26" ht="39.75" customHeight="1">
      <c r="A959" s="1"/>
      <c r="B959" s="1"/>
      <c r="C959" s="1"/>
      <c r="D959" s="1"/>
      <c r="E959" s="1"/>
      <c r="F959" s="1"/>
      <c r="G959" s="1"/>
      <c r="H959" s="1"/>
      <c r="I959" s="1"/>
      <c r="J959" s="1"/>
      <c r="K959" s="1"/>
      <c r="L959" s="1"/>
      <c r="M959" s="1"/>
      <c r="N959" s="1"/>
      <c r="O959" s="1"/>
      <c r="P959" s="1"/>
      <c r="Q959" s="1"/>
      <c r="R959" s="1"/>
      <c r="S959" s="1"/>
      <c r="T959" s="1"/>
      <c r="U959" s="2"/>
      <c r="V959" s="1"/>
      <c r="W959" s="1"/>
      <c r="X959" s="1"/>
      <c r="Y959" s="1"/>
      <c r="Z959" s="1"/>
    </row>
    <row r="960" spans="1:26" ht="39.75" customHeight="1">
      <c r="A960" s="1"/>
      <c r="B960" s="1"/>
      <c r="C960" s="1"/>
      <c r="D960" s="1"/>
      <c r="E960" s="1"/>
      <c r="F960" s="1"/>
      <c r="G960" s="1"/>
      <c r="H960" s="1"/>
      <c r="I960" s="1"/>
      <c r="J960" s="1"/>
      <c r="K960" s="1"/>
      <c r="L960" s="1"/>
      <c r="M960" s="1"/>
      <c r="N960" s="1"/>
      <c r="O960" s="1"/>
      <c r="P960" s="1"/>
      <c r="Q960" s="1"/>
      <c r="R960" s="1"/>
      <c r="S960" s="1"/>
      <c r="T960" s="1"/>
      <c r="U960" s="2"/>
      <c r="V960" s="1"/>
      <c r="W960" s="1"/>
      <c r="X960" s="1"/>
      <c r="Y960" s="1"/>
      <c r="Z960" s="1"/>
    </row>
    <row r="961" spans="1:26" ht="39.75" customHeight="1">
      <c r="A961" s="1"/>
      <c r="B961" s="1"/>
      <c r="C961" s="1"/>
      <c r="D961" s="1"/>
      <c r="E961" s="1"/>
      <c r="F961" s="1"/>
      <c r="G961" s="1"/>
      <c r="H961" s="1"/>
      <c r="I961" s="1"/>
      <c r="J961" s="1"/>
      <c r="K961" s="1"/>
      <c r="L961" s="1"/>
      <c r="M961" s="1"/>
      <c r="N961" s="1"/>
      <c r="O961" s="1"/>
      <c r="P961" s="1"/>
      <c r="Q961" s="1"/>
      <c r="R961" s="1"/>
      <c r="S961" s="1"/>
      <c r="T961" s="1"/>
      <c r="U961" s="2"/>
      <c r="V961" s="1"/>
      <c r="W961" s="1"/>
      <c r="X961" s="1"/>
      <c r="Y961" s="1"/>
      <c r="Z961" s="1"/>
    </row>
    <row r="962" spans="1:26" ht="39.75" customHeight="1">
      <c r="A962" s="1"/>
      <c r="B962" s="1"/>
      <c r="C962" s="1"/>
      <c r="D962" s="1"/>
      <c r="E962" s="1"/>
      <c r="F962" s="1"/>
      <c r="G962" s="1"/>
      <c r="H962" s="1"/>
      <c r="I962" s="1"/>
      <c r="J962" s="1"/>
      <c r="K962" s="1"/>
      <c r="L962" s="1"/>
      <c r="M962" s="1"/>
      <c r="N962" s="1"/>
      <c r="O962" s="1"/>
      <c r="P962" s="1"/>
      <c r="Q962" s="1"/>
      <c r="R962" s="1"/>
      <c r="S962" s="1"/>
      <c r="T962" s="1"/>
      <c r="U962" s="2"/>
      <c r="V962" s="1"/>
      <c r="W962" s="1"/>
      <c r="X962" s="1"/>
      <c r="Y962" s="1"/>
      <c r="Z962" s="1"/>
    </row>
    <row r="963" spans="1:26" ht="39.75" customHeight="1">
      <c r="A963" s="1"/>
      <c r="B963" s="1"/>
      <c r="C963" s="1"/>
      <c r="D963" s="1"/>
      <c r="E963" s="1"/>
      <c r="F963" s="1"/>
      <c r="G963" s="1"/>
      <c r="H963" s="1"/>
      <c r="I963" s="1"/>
      <c r="J963" s="1"/>
      <c r="K963" s="1"/>
      <c r="L963" s="1"/>
      <c r="M963" s="1"/>
      <c r="N963" s="1"/>
      <c r="O963" s="1"/>
      <c r="P963" s="1"/>
      <c r="Q963" s="1"/>
      <c r="R963" s="1"/>
      <c r="S963" s="1"/>
      <c r="T963" s="1"/>
      <c r="U963" s="2"/>
      <c r="V963" s="1"/>
      <c r="W963" s="1"/>
      <c r="X963" s="1"/>
      <c r="Y963" s="1"/>
      <c r="Z963" s="1"/>
    </row>
    <row r="964" spans="1:26" ht="39.75" customHeight="1">
      <c r="A964" s="1"/>
      <c r="B964" s="1"/>
      <c r="C964" s="1"/>
      <c r="D964" s="1"/>
      <c r="E964" s="1"/>
      <c r="F964" s="1"/>
      <c r="G964" s="1"/>
      <c r="H964" s="1"/>
      <c r="I964" s="1"/>
      <c r="J964" s="1"/>
      <c r="K964" s="1"/>
      <c r="L964" s="1"/>
      <c r="M964" s="1"/>
      <c r="N964" s="1"/>
      <c r="O964" s="1"/>
      <c r="P964" s="1"/>
      <c r="Q964" s="1"/>
      <c r="R964" s="1"/>
      <c r="S964" s="1"/>
      <c r="T964" s="1"/>
      <c r="U964" s="2"/>
      <c r="V964" s="1"/>
      <c r="W964" s="1"/>
      <c r="X964" s="1"/>
      <c r="Y964" s="1"/>
      <c r="Z964" s="1"/>
    </row>
    <row r="965" spans="1:26" ht="39.75" customHeight="1">
      <c r="A965" s="1"/>
      <c r="B965" s="1"/>
      <c r="C965" s="1"/>
      <c r="D965" s="1"/>
      <c r="E965" s="1"/>
      <c r="F965" s="1"/>
      <c r="G965" s="1"/>
      <c r="H965" s="1"/>
      <c r="I965" s="1"/>
      <c r="J965" s="1"/>
      <c r="K965" s="1"/>
      <c r="L965" s="1"/>
      <c r="M965" s="1"/>
      <c r="N965" s="1"/>
      <c r="O965" s="1"/>
      <c r="P965" s="1"/>
      <c r="Q965" s="1"/>
      <c r="R965" s="1"/>
      <c r="S965" s="1"/>
      <c r="T965" s="1"/>
      <c r="U965" s="2"/>
      <c r="V965" s="1"/>
      <c r="W965" s="1"/>
      <c r="X965" s="1"/>
      <c r="Y965" s="1"/>
      <c r="Z965" s="1"/>
    </row>
    <row r="966" spans="1:26" ht="39.75" customHeight="1">
      <c r="A966" s="1"/>
      <c r="B966" s="1"/>
      <c r="C966" s="1"/>
      <c r="D966" s="1"/>
      <c r="E966" s="1"/>
      <c r="F966" s="1"/>
      <c r="G966" s="1"/>
      <c r="H966" s="1"/>
      <c r="I966" s="1"/>
      <c r="J966" s="1"/>
      <c r="K966" s="1"/>
      <c r="L966" s="1"/>
      <c r="M966" s="1"/>
      <c r="N966" s="1"/>
      <c r="O966" s="1"/>
      <c r="P966" s="1"/>
      <c r="Q966" s="1"/>
      <c r="R966" s="1"/>
      <c r="S966" s="1"/>
      <c r="T966" s="1"/>
      <c r="U966" s="2"/>
      <c r="V966" s="1"/>
      <c r="W966" s="1"/>
      <c r="X966" s="1"/>
      <c r="Y966" s="1"/>
      <c r="Z966" s="1"/>
    </row>
    <row r="967" spans="1:26" ht="39.75" customHeight="1">
      <c r="A967" s="1"/>
      <c r="B967" s="1"/>
      <c r="C967" s="1"/>
      <c r="D967" s="1"/>
      <c r="E967" s="1"/>
      <c r="F967" s="1"/>
      <c r="G967" s="1"/>
      <c r="H967" s="1"/>
      <c r="I967" s="1"/>
      <c r="J967" s="1"/>
      <c r="K967" s="1"/>
      <c r="L967" s="1"/>
      <c r="M967" s="1"/>
      <c r="N967" s="1"/>
      <c r="O967" s="1"/>
      <c r="P967" s="1"/>
      <c r="Q967" s="1"/>
      <c r="R967" s="1"/>
      <c r="S967" s="1"/>
      <c r="T967" s="1"/>
      <c r="U967" s="2"/>
      <c r="V967" s="1"/>
      <c r="W967" s="1"/>
      <c r="X967" s="1"/>
      <c r="Y967" s="1"/>
      <c r="Z967" s="1"/>
    </row>
    <row r="968" spans="1:26" ht="39.75" customHeight="1">
      <c r="A968" s="1"/>
      <c r="B968" s="1"/>
      <c r="C968" s="1"/>
      <c r="D968" s="1"/>
      <c r="E968" s="1"/>
      <c r="F968" s="1"/>
      <c r="G968" s="1"/>
      <c r="H968" s="1"/>
      <c r="I968" s="1"/>
      <c r="J968" s="1"/>
      <c r="K968" s="1"/>
      <c r="L968" s="1"/>
      <c r="M968" s="1"/>
      <c r="N968" s="1"/>
      <c r="O968" s="1"/>
      <c r="P968" s="1"/>
      <c r="Q968" s="1"/>
      <c r="R968" s="1"/>
      <c r="S968" s="1"/>
      <c r="T968" s="1"/>
      <c r="U968" s="2"/>
      <c r="V968" s="1"/>
      <c r="W968" s="1"/>
      <c r="X968" s="1"/>
      <c r="Y968" s="1"/>
      <c r="Z968" s="1"/>
    </row>
    <row r="969" spans="1:26" ht="39.75" customHeight="1">
      <c r="A969" s="1"/>
      <c r="B969" s="1"/>
      <c r="C969" s="1"/>
      <c r="D969" s="1"/>
      <c r="E969" s="1"/>
      <c r="F969" s="1"/>
      <c r="G969" s="1"/>
      <c r="H969" s="1"/>
      <c r="I969" s="1"/>
      <c r="J969" s="1"/>
      <c r="K969" s="1"/>
      <c r="L969" s="1"/>
      <c r="M969" s="1"/>
      <c r="N969" s="1"/>
      <c r="O969" s="1"/>
      <c r="P969" s="1"/>
      <c r="Q969" s="1"/>
      <c r="R969" s="1"/>
      <c r="S969" s="1"/>
      <c r="T969" s="1"/>
      <c r="U969" s="2"/>
      <c r="V969" s="1"/>
      <c r="W969" s="1"/>
      <c r="X969" s="1"/>
      <c r="Y969" s="1"/>
      <c r="Z969" s="1"/>
    </row>
    <row r="970" spans="1:26" ht="39.75" customHeight="1">
      <c r="A970" s="1"/>
      <c r="B970" s="1"/>
      <c r="C970" s="1"/>
      <c r="D970" s="1"/>
      <c r="E970" s="1"/>
      <c r="F970" s="1"/>
      <c r="G970" s="1"/>
      <c r="H970" s="1"/>
      <c r="I970" s="1"/>
      <c r="J970" s="1"/>
      <c r="K970" s="1"/>
      <c r="L970" s="1"/>
      <c r="M970" s="1"/>
      <c r="N970" s="1"/>
      <c r="O970" s="1"/>
      <c r="P970" s="1"/>
      <c r="Q970" s="1"/>
      <c r="R970" s="1"/>
      <c r="S970" s="1"/>
      <c r="T970" s="1"/>
      <c r="U970" s="2"/>
      <c r="V970" s="1"/>
      <c r="W970" s="1"/>
      <c r="X970" s="1"/>
      <c r="Y970" s="1"/>
      <c r="Z970" s="1"/>
    </row>
    <row r="971" spans="1:26" ht="39.75" customHeight="1">
      <c r="A971" s="1"/>
      <c r="B971" s="1"/>
      <c r="C971" s="1"/>
      <c r="D971" s="1"/>
      <c r="E971" s="1"/>
      <c r="F971" s="1"/>
      <c r="G971" s="1"/>
      <c r="H971" s="1"/>
      <c r="I971" s="1"/>
      <c r="J971" s="1"/>
      <c r="K971" s="1"/>
      <c r="L971" s="1"/>
      <c r="M971" s="1"/>
      <c r="N971" s="1"/>
      <c r="O971" s="1"/>
      <c r="P971" s="1"/>
      <c r="Q971" s="1"/>
      <c r="R971" s="1"/>
      <c r="S971" s="1"/>
      <c r="T971" s="1"/>
      <c r="U971" s="2"/>
      <c r="V971" s="1"/>
      <c r="W971" s="1"/>
      <c r="X971" s="1"/>
      <c r="Y971" s="1"/>
      <c r="Z971" s="1"/>
    </row>
    <row r="972" spans="1:26" ht="39.75" customHeight="1">
      <c r="A972" s="1"/>
      <c r="B972" s="1"/>
      <c r="C972" s="1"/>
      <c r="D972" s="1"/>
      <c r="E972" s="1"/>
      <c r="F972" s="1"/>
      <c r="G972" s="1"/>
      <c r="H972" s="1"/>
      <c r="I972" s="1"/>
      <c r="J972" s="1"/>
      <c r="K972" s="1"/>
      <c r="L972" s="1"/>
      <c r="M972" s="1"/>
      <c r="N972" s="1"/>
      <c r="O972" s="1"/>
      <c r="P972" s="1"/>
      <c r="Q972" s="1"/>
      <c r="R972" s="1"/>
      <c r="S972" s="1"/>
      <c r="T972" s="1"/>
      <c r="U972" s="2"/>
      <c r="V972" s="1"/>
      <c r="W972" s="1"/>
      <c r="X972" s="1"/>
      <c r="Y972" s="1"/>
      <c r="Z972" s="1"/>
    </row>
    <row r="973" spans="1:26" ht="39.75" customHeight="1">
      <c r="A973" s="1"/>
      <c r="B973" s="1"/>
      <c r="C973" s="1"/>
      <c r="D973" s="1"/>
      <c r="E973" s="1"/>
      <c r="F973" s="1"/>
      <c r="G973" s="1"/>
      <c r="H973" s="1"/>
      <c r="I973" s="1"/>
      <c r="J973" s="1"/>
      <c r="K973" s="1"/>
      <c r="L973" s="1"/>
      <c r="M973" s="1"/>
      <c r="N973" s="1"/>
      <c r="O973" s="1"/>
      <c r="P973" s="1"/>
      <c r="Q973" s="1"/>
      <c r="R973" s="1"/>
      <c r="S973" s="1"/>
      <c r="T973" s="1"/>
      <c r="U973" s="2"/>
      <c r="V973" s="1"/>
      <c r="W973" s="1"/>
      <c r="X973" s="1"/>
      <c r="Y973" s="1"/>
      <c r="Z973" s="1"/>
    </row>
    <row r="974" spans="1:26" ht="39.75" customHeight="1">
      <c r="A974" s="1"/>
      <c r="B974" s="1"/>
      <c r="C974" s="1"/>
      <c r="D974" s="1"/>
      <c r="E974" s="1"/>
      <c r="F974" s="1"/>
      <c r="G974" s="1"/>
      <c r="H974" s="1"/>
      <c r="I974" s="1"/>
      <c r="J974" s="1"/>
      <c r="K974" s="1"/>
      <c r="L974" s="1"/>
      <c r="M974" s="1"/>
      <c r="N974" s="1"/>
      <c r="O974" s="1"/>
      <c r="P974" s="1"/>
      <c r="Q974" s="1"/>
      <c r="R974" s="1"/>
      <c r="S974" s="1"/>
      <c r="T974" s="1"/>
      <c r="U974" s="2"/>
      <c r="V974" s="1"/>
      <c r="W974" s="1"/>
      <c r="X974" s="1"/>
      <c r="Y974" s="1"/>
      <c r="Z974" s="1"/>
    </row>
    <row r="975" spans="1:26" ht="39.75" customHeight="1">
      <c r="A975" s="1"/>
      <c r="B975" s="1"/>
      <c r="C975" s="1"/>
      <c r="D975" s="1"/>
      <c r="E975" s="1"/>
      <c r="F975" s="1"/>
      <c r="G975" s="1"/>
      <c r="H975" s="1"/>
      <c r="I975" s="1"/>
      <c r="J975" s="1"/>
      <c r="K975" s="1"/>
      <c r="L975" s="1"/>
      <c r="M975" s="1"/>
      <c r="N975" s="1"/>
      <c r="O975" s="1"/>
      <c r="P975" s="1"/>
      <c r="Q975" s="1"/>
      <c r="R975" s="1"/>
      <c r="S975" s="1"/>
      <c r="T975" s="1"/>
      <c r="U975" s="2"/>
      <c r="V975" s="1"/>
      <c r="W975" s="1"/>
      <c r="X975" s="1"/>
      <c r="Y975" s="1"/>
      <c r="Z975" s="1"/>
    </row>
    <row r="976" spans="1:26" ht="39.75" customHeight="1">
      <c r="A976" s="1"/>
      <c r="B976" s="1"/>
      <c r="C976" s="1"/>
      <c r="D976" s="1"/>
      <c r="E976" s="1"/>
      <c r="F976" s="1"/>
      <c r="G976" s="1"/>
      <c r="H976" s="1"/>
      <c r="I976" s="1"/>
      <c r="J976" s="1"/>
      <c r="K976" s="1"/>
      <c r="L976" s="1"/>
      <c r="M976" s="1"/>
      <c r="N976" s="1"/>
      <c r="O976" s="1"/>
      <c r="P976" s="1"/>
      <c r="Q976" s="1"/>
      <c r="R976" s="1"/>
      <c r="S976" s="1"/>
      <c r="T976" s="1"/>
      <c r="U976" s="2"/>
      <c r="V976" s="1"/>
      <c r="W976" s="1"/>
      <c r="X976" s="1"/>
      <c r="Y976" s="1"/>
      <c r="Z976" s="1"/>
    </row>
    <row r="977" spans="1:26" ht="39.75" customHeight="1">
      <c r="A977" s="1"/>
      <c r="B977" s="1"/>
      <c r="C977" s="1"/>
      <c r="D977" s="1"/>
      <c r="E977" s="1"/>
      <c r="F977" s="1"/>
      <c r="G977" s="1"/>
      <c r="H977" s="1"/>
      <c r="I977" s="1"/>
      <c r="J977" s="1"/>
      <c r="K977" s="1"/>
      <c r="L977" s="1"/>
      <c r="M977" s="1"/>
      <c r="N977" s="1"/>
      <c r="O977" s="1"/>
      <c r="P977" s="1"/>
      <c r="Q977" s="1"/>
      <c r="R977" s="1"/>
      <c r="S977" s="1"/>
      <c r="T977" s="1"/>
      <c r="U977" s="2"/>
      <c r="V977" s="1"/>
      <c r="W977" s="1"/>
      <c r="X977" s="1"/>
      <c r="Y977" s="1"/>
      <c r="Z977" s="1"/>
    </row>
    <row r="978" spans="1:26" ht="39.75" customHeight="1">
      <c r="A978" s="1"/>
      <c r="B978" s="1"/>
      <c r="C978" s="1"/>
      <c r="D978" s="1"/>
      <c r="E978" s="1"/>
      <c r="F978" s="1"/>
      <c r="G978" s="1"/>
      <c r="H978" s="1"/>
      <c r="I978" s="1"/>
      <c r="J978" s="1"/>
      <c r="K978" s="1"/>
      <c r="L978" s="1"/>
      <c r="M978" s="1"/>
      <c r="N978" s="1"/>
      <c r="O978" s="1"/>
      <c r="P978" s="1"/>
      <c r="Q978" s="1"/>
      <c r="R978" s="1"/>
      <c r="S978" s="1"/>
      <c r="T978" s="1"/>
      <c r="U978" s="2"/>
      <c r="V978" s="1"/>
      <c r="W978" s="1"/>
      <c r="X978" s="1"/>
      <c r="Y978" s="1"/>
      <c r="Z978" s="1"/>
    </row>
    <row r="979" spans="1:26" ht="39.75" customHeight="1">
      <c r="A979" s="1"/>
      <c r="B979" s="1"/>
      <c r="C979" s="1"/>
      <c r="D979" s="1"/>
      <c r="E979" s="1"/>
      <c r="F979" s="1"/>
      <c r="G979" s="1"/>
      <c r="H979" s="1"/>
      <c r="I979" s="1"/>
      <c r="J979" s="1"/>
      <c r="K979" s="1"/>
      <c r="L979" s="1"/>
      <c r="M979" s="1"/>
      <c r="N979" s="1"/>
      <c r="O979" s="1"/>
      <c r="P979" s="1"/>
      <c r="Q979" s="1"/>
      <c r="R979" s="1"/>
      <c r="S979" s="1"/>
      <c r="T979" s="1"/>
      <c r="U979" s="2"/>
      <c r="V979" s="1"/>
      <c r="W979" s="1"/>
      <c r="X979" s="1"/>
      <c r="Y979" s="1"/>
      <c r="Z979" s="1"/>
    </row>
    <row r="980" spans="1:26" ht="39.75" customHeight="1">
      <c r="A980" s="1"/>
      <c r="B980" s="1"/>
      <c r="C980" s="1"/>
      <c r="D980" s="1"/>
      <c r="E980" s="1"/>
      <c r="F980" s="1"/>
      <c r="G980" s="1"/>
      <c r="H980" s="1"/>
      <c r="I980" s="1"/>
      <c r="J980" s="1"/>
      <c r="K980" s="1"/>
      <c r="L980" s="1"/>
      <c r="M980" s="1"/>
      <c r="N980" s="1"/>
      <c r="O980" s="1"/>
      <c r="P980" s="1"/>
      <c r="Q980" s="1"/>
      <c r="R980" s="1"/>
      <c r="S980" s="1"/>
      <c r="T980" s="1"/>
      <c r="U980" s="2"/>
      <c r="V980" s="1"/>
      <c r="W980" s="1"/>
      <c r="X980" s="1"/>
      <c r="Y980" s="1"/>
      <c r="Z980" s="1"/>
    </row>
    <row r="981" spans="1:26" ht="39.75" customHeight="1">
      <c r="A981" s="1"/>
      <c r="B981" s="1"/>
      <c r="C981" s="1"/>
      <c r="D981" s="1"/>
      <c r="E981" s="1"/>
      <c r="F981" s="1"/>
      <c r="G981" s="1"/>
      <c r="H981" s="1"/>
      <c r="I981" s="1"/>
      <c r="J981" s="1"/>
      <c r="K981" s="1"/>
      <c r="L981" s="1"/>
      <c r="M981" s="1"/>
      <c r="N981" s="1"/>
      <c r="O981" s="1"/>
      <c r="P981" s="1"/>
      <c r="Q981" s="1"/>
      <c r="R981" s="1"/>
      <c r="S981" s="1"/>
      <c r="T981" s="1"/>
      <c r="U981" s="2"/>
      <c r="V981" s="1"/>
      <c r="W981" s="1"/>
      <c r="X981" s="1"/>
      <c r="Y981" s="1"/>
      <c r="Z981" s="1"/>
    </row>
    <row r="982" spans="1:26" ht="39.75" customHeight="1">
      <c r="A982" s="1"/>
      <c r="B982" s="1"/>
      <c r="C982" s="1"/>
      <c r="D982" s="1"/>
      <c r="E982" s="1"/>
      <c r="F982" s="1"/>
      <c r="G982" s="1"/>
      <c r="H982" s="1"/>
      <c r="I982" s="1"/>
      <c r="J982" s="1"/>
      <c r="K982" s="1"/>
      <c r="L982" s="1"/>
      <c r="M982" s="1"/>
      <c r="N982" s="1"/>
      <c r="O982" s="1"/>
      <c r="P982" s="1"/>
      <c r="Q982" s="1"/>
      <c r="R982" s="1"/>
      <c r="S982" s="1"/>
      <c r="T982" s="1"/>
      <c r="U982" s="2"/>
      <c r="V982" s="1"/>
      <c r="W982" s="1"/>
      <c r="X982" s="1"/>
      <c r="Y982" s="1"/>
      <c r="Z982" s="1"/>
    </row>
    <row r="983" spans="1:26" ht="39.75" customHeight="1">
      <c r="A983" s="1"/>
      <c r="B983" s="1"/>
      <c r="C983" s="1"/>
      <c r="D983" s="1"/>
      <c r="E983" s="1"/>
      <c r="F983" s="1"/>
      <c r="G983" s="1"/>
      <c r="H983" s="1"/>
      <c r="I983" s="1"/>
      <c r="J983" s="1"/>
      <c r="K983" s="1"/>
      <c r="L983" s="1"/>
      <c r="M983" s="1"/>
      <c r="N983" s="1"/>
      <c r="O983" s="1"/>
      <c r="P983" s="1"/>
      <c r="Q983" s="1"/>
      <c r="R983" s="1"/>
      <c r="S983" s="1"/>
      <c r="T983" s="1"/>
      <c r="U983" s="2"/>
      <c r="V983" s="1"/>
      <c r="W983" s="1"/>
      <c r="X983" s="1"/>
      <c r="Y983" s="1"/>
      <c r="Z983" s="1"/>
    </row>
    <row r="984" spans="1:26" ht="39.75" customHeight="1">
      <c r="A984" s="1"/>
      <c r="B984" s="1"/>
      <c r="C984" s="1"/>
      <c r="D984" s="1"/>
      <c r="E984" s="1"/>
      <c r="F984" s="1"/>
      <c r="G984" s="1"/>
      <c r="H984" s="1"/>
      <c r="I984" s="1"/>
      <c r="J984" s="1"/>
      <c r="K984" s="1"/>
      <c r="L984" s="1"/>
      <c r="M984" s="1"/>
      <c r="N984" s="1"/>
      <c r="O984" s="1"/>
      <c r="P984" s="1"/>
      <c r="Q984" s="1"/>
      <c r="R984" s="1"/>
      <c r="S984" s="1"/>
      <c r="T984" s="1"/>
      <c r="U984" s="2"/>
      <c r="V984" s="1"/>
      <c r="W984" s="1"/>
      <c r="X984" s="1"/>
      <c r="Y984" s="1"/>
      <c r="Z984" s="1"/>
    </row>
    <row r="985" spans="1:26" ht="39.75" customHeight="1">
      <c r="A985" s="1"/>
      <c r="B985" s="1"/>
      <c r="C985" s="1"/>
      <c r="D985" s="1"/>
      <c r="E985" s="1"/>
      <c r="F985" s="1"/>
      <c r="G985" s="1"/>
      <c r="H985" s="1"/>
      <c r="I985" s="1"/>
      <c r="J985" s="1"/>
      <c r="K985" s="1"/>
      <c r="L985" s="1"/>
      <c r="M985" s="1"/>
      <c r="N985" s="1"/>
      <c r="O985" s="1"/>
      <c r="P985" s="1"/>
      <c r="Q985" s="1"/>
      <c r="R985" s="1"/>
      <c r="S985" s="1"/>
      <c r="T985" s="1"/>
      <c r="U985" s="2"/>
      <c r="V985" s="1"/>
      <c r="W985" s="1"/>
      <c r="X985" s="1"/>
      <c r="Y985" s="1"/>
      <c r="Z985" s="1"/>
    </row>
    <row r="986" spans="1:26" ht="39.75" customHeight="1">
      <c r="A986" s="1"/>
      <c r="B986" s="1"/>
      <c r="C986" s="1"/>
      <c r="D986" s="1"/>
      <c r="E986" s="1"/>
      <c r="F986" s="1"/>
      <c r="G986" s="1"/>
      <c r="H986" s="1"/>
      <c r="I986" s="1"/>
      <c r="J986" s="1"/>
      <c r="K986" s="1"/>
      <c r="L986" s="1"/>
      <c r="M986" s="1"/>
      <c r="N986" s="1"/>
      <c r="O986" s="1"/>
      <c r="P986" s="1"/>
      <c r="Q986" s="1"/>
      <c r="R986" s="1"/>
      <c r="S986" s="1"/>
      <c r="T986" s="1"/>
      <c r="U986" s="2"/>
      <c r="V986" s="1"/>
      <c r="W986" s="1"/>
      <c r="X986" s="1"/>
      <c r="Y986" s="1"/>
      <c r="Z986" s="1"/>
    </row>
    <row r="987" spans="1:26" ht="39.75" customHeight="1">
      <c r="A987" s="1"/>
      <c r="B987" s="1"/>
      <c r="C987" s="1"/>
      <c r="D987" s="1"/>
      <c r="E987" s="1"/>
      <c r="F987" s="1"/>
      <c r="G987" s="1"/>
      <c r="H987" s="1"/>
      <c r="I987" s="1"/>
      <c r="J987" s="1"/>
      <c r="K987" s="1"/>
      <c r="L987" s="1"/>
      <c r="M987" s="1"/>
      <c r="N987" s="1"/>
      <c r="O987" s="1"/>
      <c r="P987" s="1"/>
      <c r="Q987" s="1"/>
      <c r="R987" s="1"/>
      <c r="S987" s="1"/>
      <c r="T987" s="1"/>
      <c r="U987" s="2"/>
      <c r="V987" s="1"/>
      <c r="W987" s="1"/>
      <c r="X987" s="1"/>
      <c r="Y987" s="1"/>
      <c r="Z987" s="1"/>
    </row>
    <row r="988" spans="1:26" ht="39.75" customHeight="1">
      <c r="A988" s="1"/>
      <c r="B988" s="1"/>
      <c r="C988" s="1"/>
      <c r="D988" s="1"/>
      <c r="E988" s="1"/>
      <c r="F988" s="1"/>
      <c r="G988" s="1"/>
      <c r="H988" s="1"/>
      <c r="I988" s="1"/>
      <c r="J988" s="1"/>
      <c r="K988" s="1"/>
      <c r="L988" s="1"/>
      <c r="M988" s="1"/>
      <c r="N988" s="1"/>
      <c r="O988" s="1"/>
      <c r="P988" s="1"/>
      <c r="Q988" s="1"/>
      <c r="R988" s="1"/>
      <c r="S988" s="1"/>
      <c r="T988" s="1"/>
      <c r="U988" s="2"/>
      <c r="V988" s="1"/>
      <c r="W988" s="1"/>
      <c r="X988" s="1"/>
      <c r="Y988" s="1"/>
      <c r="Z988" s="1"/>
    </row>
    <row r="989" spans="1:26" ht="39.75" customHeight="1">
      <c r="A989" s="1"/>
      <c r="B989" s="1"/>
      <c r="C989" s="1"/>
      <c r="D989" s="1"/>
      <c r="E989" s="1"/>
      <c r="F989" s="1"/>
      <c r="G989" s="1"/>
      <c r="H989" s="1"/>
      <c r="I989" s="1"/>
      <c r="J989" s="1"/>
      <c r="K989" s="1"/>
      <c r="L989" s="1"/>
      <c r="M989" s="1"/>
      <c r="N989" s="1"/>
      <c r="O989" s="1"/>
      <c r="P989" s="1"/>
      <c r="Q989" s="1"/>
      <c r="R989" s="1"/>
      <c r="S989" s="1"/>
      <c r="T989" s="1"/>
      <c r="U989" s="2"/>
      <c r="V989" s="1"/>
      <c r="W989" s="1"/>
      <c r="X989" s="1"/>
      <c r="Y989" s="1"/>
      <c r="Z989" s="1"/>
    </row>
    <row r="990" spans="1:26" ht="39.75" customHeight="1">
      <c r="A990" s="1"/>
      <c r="B990" s="1"/>
      <c r="C990" s="1"/>
      <c r="D990" s="1"/>
      <c r="E990" s="1"/>
      <c r="F990" s="1"/>
      <c r="G990" s="1"/>
      <c r="H990" s="1"/>
      <c r="I990" s="1"/>
      <c r="J990" s="1"/>
      <c r="K990" s="1"/>
      <c r="L990" s="1"/>
      <c r="M990" s="1"/>
      <c r="N990" s="1"/>
      <c r="O990" s="1"/>
      <c r="P990" s="1"/>
      <c r="Q990" s="1"/>
      <c r="R990" s="1"/>
      <c r="S990" s="1"/>
      <c r="T990" s="1"/>
      <c r="U990" s="2"/>
      <c r="V990" s="1"/>
      <c r="W990" s="1"/>
      <c r="X990" s="1"/>
      <c r="Y990" s="1"/>
      <c r="Z990" s="1"/>
    </row>
    <row r="991" spans="1:26" ht="39.75" customHeight="1">
      <c r="A991" s="1"/>
      <c r="B991" s="1"/>
      <c r="C991" s="1"/>
      <c r="D991" s="1"/>
      <c r="E991" s="1"/>
      <c r="F991" s="1"/>
      <c r="G991" s="1"/>
      <c r="H991" s="1"/>
      <c r="I991" s="1"/>
      <c r="J991" s="1"/>
      <c r="K991" s="1"/>
      <c r="L991" s="1"/>
      <c r="M991" s="1"/>
      <c r="N991" s="1"/>
      <c r="O991" s="1"/>
      <c r="P991" s="1"/>
      <c r="Q991" s="1"/>
      <c r="R991" s="1"/>
      <c r="S991" s="1"/>
      <c r="T991" s="1"/>
      <c r="U991" s="2"/>
      <c r="V991" s="1"/>
      <c r="W991" s="1"/>
      <c r="X991" s="1"/>
      <c r="Y991" s="1"/>
      <c r="Z991" s="1"/>
    </row>
    <row r="992" spans="1:26" ht="39.75" customHeight="1">
      <c r="A992" s="1"/>
      <c r="B992" s="1"/>
      <c r="C992" s="1"/>
      <c r="D992" s="1"/>
      <c r="E992" s="1"/>
      <c r="F992" s="1"/>
      <c r="G992" s="1"/>
      <c r="H992" s="1"/>
      <c r="I992" s="1"/>
      <c r="J992" s="1"/>
      <c r="K992" s="1"/>
      <c r="L992" s="1"/>
      <c r="M992" s="1"/>
      <c r="N992" s="1"/>
      <c r="O992" s="1"/>
      <c r="P992" s="1"/>
      <c r="Q992" s="1"/>
      <c r="R992" s="1"/>
      <c r="S992" s="1"/>
      <c r="T992" s="1"/>
      <c r="U992" s="2"/>
      <c r="V992" s="1"/>
      <c r="W992" s="1"/>
      <c r="X992" s="1"/>
      <c r="Y992" s="1"/>
      <c r="Z992" s="1"/>
    </row>
    <row r="993" spans="1:26" ht="39.75" customHeight="1">
      <c r="A993" s="1"/>
      <c r="B993" s="1"/>
      <c r="C993" s="1"/>
      <c r="D993" s="1"/>
      <c r="E993" s="1"/>
      <c r="F993" s="1"/>
      <c r="G993" s="1"/>
      <c r="H993" s="1"/>
      <c r="I993" s="1"/>
      <c r="J993" s="1"/>
      <c r="K993" s="1"/>
      <c r="L993" s="1"/>
      <c r="M993" s="1"/>
      <c r="N993" s="1"/>
      <c r="O993" s="1"/>
      <c r="P993" s="1"/>
      <c r="Q993" s="1"/>
      <c r="R993" s="1"/>
      <c r="S993" s="1"/>
      <c r="T993" s="1"/>
      <c r="U993" s="2"/>
      <c r="V993" s="1"/>
      <c r="W993" s="1"/>
      <c r="X993" s="1"/>
      <c r="Y993" s="1"/>
      <c r="Z993" s="1"/>
    </row>
    <row r="994" spans="1:26" ht="39.75" customHeight="1">
      <c r="A994" s="1"/>
      <c r="B994" s="1"/>
      <c r="C994" s="1"/>
      <c r="D994" s="1"/>
      <c r="E994" s="1"/>
      <c r="F994" s="1"/>
      <c r="G994" s="1"/>
      <c r="H994" s="1"/>
      <c r="I994" s="1"/>
      <c r="J994" s="1"/>
      <c r="K994" s="1"/>
      <c r="L994" s="1"/>
      <c r="M994" s="1"/>
      <c r="N994" s="1"/>
      <c r="O994" s="1"/>
      <c r="P994" s="1"/>
      <c r="Q994" s="1"/>
      <c r="R994" s="1"/>
      <c r="S994" s="1"/>
      <c r="T994" s="1"/>
      <c r="U994" s="2"/>
      <c r="V994" s="1"/>
      <c r="W994" s="1"/>
      <c r="X994" s="1"/>
      <c r="Y994" s="1"/>
      <c r="Z994" s="1"/>
    </row>
    <row r="995" spans="1:26" ht="39.75" customHeight="1">
      <c r="A995" s="1"/>
      <c r="B995" s="1"/>
      <c r="C995" s="1"/>
      <c r="D995" s="1"/>
      <c r="E995" s="1"/>
      <c r="F995" s="1"/>
      <c r="G995" s="1"/>
      <c r="H995" s="1"/>
      <c r="I995" s="1"/>
      <c r="J995" s="1"/>
      <c r="K995" s="1"/>
      <c r="L995" s="1"/>
      <c r="M995" s="1"/>
      <c r="N995" s="1"/>
      <c r="O995" s="1"/>
      <c r="P995" s="1"/>
      <c r="Q995" s="1"/>
      <c r="R995" s="1"/>
      <c r="S995" s="1"/>
      <c r="T995" s="1"/>
      <c r="U995" s="2"/>
      <c r="V995" s="1"/>
      <c r="W995" s="1"/>
      <c r="X995" s="1"/>
      <c r="Y995" s="1"/>
      <c r="Z995" s="1"/>
    </row>
    <row r="996" spans="1:26" ht="39.75" customHeight="1">
      <c r="A996" s="1"/>
      <c r="B996" s="1"/>
      <c r="C996" s="1"/>
      <c r="D996" s="1"/>
      <c r="E996" s="1"/>
      <c r="F996" s="1"/>
      <c r="G996" s="1"/>
      <c r="H996" s="1"/>
      <c r="I996" s="1"/>
      <c r="J996" s="1"/>
      <c r="K996" s="1"/>
      <c r="L996" s="1"/>
      <c r="M996" s="1"/>
      <c r="N996" s="1"/>
      <c r="O996" s="1"/>
      <c r="P996" s="1"/>
      <c r="Q996" s="1"/>
      <c r="R996" s="1"/>
      <c r="S996" s="1"/>
      <c r="T996" s="1"/>
      <c r="U996" s="2"/>
      <c r="V996" s="1"/>
      <c r="W996" s="1"/>
      <c r="X996" s="1"/>
      <c r="Y996" s="1"/>
      <c r="Z996" s="1"/>
    </row>
    <row r="997" spans="1:26" ht="39.75" customHeight="1">
      <c r="A997" s="1"/>
      <c r="B997" s="1"/>
      <c r="C997" s="1"/>
      <c r="D997" s="1"/>
      <c r="E997" s="1"/>
      <c r="F997" s="1"/>
      <c r="G997" s="1"/>
      <c r="H997" s="1"/>
      <c r="I997" s="1"/>
      <c r="J997" s="1"/>
      <c r="K997" s="1"/>
      <c r="L997" s="1"/>
      <c r="M997" s="1"/>
      <c r="N997" s="1"/>
      <c r="O997" s="1"/>
      <c r="P997" s="1"/>
      <c r="Q997" s="1"/>
      <c r="R997" s="1"/>
      <c r="S997" s="1"/>
      <c r="T997" s="1"/>
      <c r="U997" s="2"/>
      <c r="V997" s="1"/>
      <c r="W997" s="1"/>
      <c r="X997" s="1"/>
      <c r="Y997" s="1"/>
      <c r="Z997" s="1"/>
    </row>
    <row r="998" spans="1:26" ht="39.75" customHeight="1">
      <c r="A998" s="1"/>
      <c r="B998" s="1"/>
      <c r="C998" s="1"/>
      <c r="D998" s="1"/>
      <c r="E998" s="1"/>
      <c r="F998" s="1"/>
      <c r="G998" s="1"/>
      <c r="H998" s="1"/>
      <c r="I998" s="1"/>
      <c r="J998" s="1"/>
      <c r="K998" s="1"/>
      <c r="L998" s="1"/>
      <c r="M998" s="1"/>
      <c r="N998" s="1"/>
      <c r="O998" s="1"/>
      <c r="P998" s="1"/>
      <c r="Q998" s="1"/>
      <c r="R998" s="1"/>
      <c r="S998" s="1"/>
      <c r="T998" s="1"/>
      <c r="U998" s="2"/>
      <c r="V998" s="1"/>
      <c r="W998" s="1"/>
      <c r="X998" s="1"/>
      <c r="Y998" s="1"/>
      <c r="Z998" s="1"/>
    </row>
    <row r="999" spans="1:26" ht="39.75" customHeight="1">
      <c r="A999" s="1"/>
      <c r="B999" s="1"/>
      <c r="C999" s="1"/>
      <c r="D999" s="1"/>
      <c r="E999" s="1"/>
      <c r="F999" s="1"/>
      <c r="G999" s="1"/>
      <c r="H999" s="1"/>
      <c r="I999" s="1"/>
      <c r="J999" s="1"/>
      <c r="K999" s="1"/>
      <c r="L999" s="1"/>
      <c r="M999" s="1"/>
      <c r="N999" s="1"/>
      <c r="O999" s="1"/>
      <c r="P999" s="1"/>
      <c r="Q999" s="1"/>
      <c r="R999" s="1"/>
      <c r="S999" s="1"/>
      <c r="T999" s="1"/>
      <c r="U999" s="2"/>
      <c r="V999" s="1"/>
      <c r="W999" s="1"/>
      <c r="X999" s="1"/>
      <c r="Y999" s="1"/>
      <c r="Z999" s="1"/>
    </row>
    <row r="1000" spans="1:26" ht="39.75" customHeight="1">
      <c r="A1000" s="1"/>
      <c r="B1000" s="1"/>
      <c r="C1000" s="1"/>
      <c r="D1000" s="1"/>
      <c r="E1000" s="1"/>
      <c r="F1000" s="1"/>
      <c r="G1000" s="1"/>
      <c r="H1000" s="1"/>
      <c r="I1000" s="1"/>
      <c r="J1000" s="1"/>
      <c r="K1000" s="1"/>
      <c r="L1000" s="1"/>
      <c r="M1000" s="1"/>
      <c r="N1000" s="1"/>
      <c r="O1000" s="1"/>
      <c r="P1000" s="1"/>
      <c r="Q1000" s="1"/>
      <c r="R1000" s="1"/>
      <c r="S1000" s="1"/>
      <c r="T1000" s="1"/>
      <c r="U1000" s="2"/>
      <c r="V1000" s="1"/>
      <c r="W1000" s="1"/>
      <c r="X1000" s="1"/>
      <c r="Y1000" s="1"/>
      <c r="Z1000" s="1"/>
    </row>
  </sheetData>
  <mergeCells count="101">
    <mergeCell ref="B204:B206"/>
    <mergeCell ref="C204:C206"/>
    <mergeCell ref="B209:D209"/>
    <mergeCell ref="A210:D210"/>
    <mergeCell ref="A135:A158"/>
    <mergeCell ref="B135:B136"/>
    <mergeCell ref="B138:B144"/>
    <mergeCell ref="B145:B146"/>
    <mergeCell ref="B147:B149"/>
    <mergeCell ref="B158:D158"/>
    <mergeCell ref="A159:A209"/>
    <mergeCell ref="C135:C136"/>
    <mergeCell ref="C138:C144"/>
    <mergeCell ref="C145:C146"/>
    <mergeCell ref="C147:C149"/>
    <mergeCell ref="C150:C153"/>
    <mergeCell ref="B173:B179"/>
    <mergeCell ref="C173:C179"/>
    <mergeCell ref="B180:B183"/>
    <mergeCell ref="C180:C183"/>
    <mergeCell ref="B184:B186"/>
    <mergeCell ref="C184:C186"/>
    <mergeCell ref="B187:B192"/>
    <mergeCell ref="C187:C192"/>
    <mergeCell ref="B150:B153"/>
    <mergeCell ref="B159:B162"/>
    <mergeCell ref="C159:C162"/>
    <mergeCell ref="B163:B167"/>
    <mergeCell ref="C163:C167"/>
    <mergeCell ref="B168:B172"/>
    <mergeCell ref="C168:C172"/>
    <mergeCell ref="B202:B203"/>
    <mergeCell ref="C202:C203"/>
    <mergeCell ref="B194:B199"/>
    <mergeCell ref="C194:C199"/>
    <mergeCell ref="B200:B201"/>
    <mergeCell ref="C200:C201"/>
    <mergeCell ref="C94:C103"/>
    <mergeCell ref="B104:B105"/>
    <mergeCell ref="C104:C105"/>
    <mergeCell ref="B106:B110"/>
    <mergeCell ref="C106:C110"/>
    <mergeCell ref="B111:B113"/>
    <mergeCell ref="C111:C113"/>
    <mergeCell ref="B94:B103"/>
    <mergeCell ref="A94:A134"/>
    <mergeCell ref="B114:B118"/>
    <mergeCell ref="C114:C118"/>
    <mergeCell ref="B119:B120"/>
    <mergeCell ref="C119:C120"/>
    <mergeCell ref="B122:B125"/>
    <mergeCell ref="C122:C125"/>
    <mergeCell ref="B128:B130"/>
    <mergeCell ref="C128:C130"/>
    <mergeCell ref="B131:B132"/>
    <mergeCell ref="C131:C132"/>
    <mergeCell ref="B134:D134"/>
    <mergeCell ref="B79:B85"/>
    <mergeCell ref="C79:C85"/>
    <mergeCell ref="B75:B78"/>
    <mergeCell ref="B57:B66"/>
    <mergeCell ref="C57:C66"/>
    <mergeCell ref="A69:A93"/>
    <mergeCell ref="B70:B74"/>
    <mergeCell ref="C70:C74"/>
    <mergeCell ref="C75:C78"/>
    <mergeCell ref="B86:B89"/>
    <mergeCell ref="C86:C89"/>
    <mergeCell ref="B93:D93"/>
    <mergeCell ref="B47:B56"/>
    <mergeCell ref="C47:C56"/>
    <mergeCell ref="C6:C23"/>
    <mergeCell ref="B24:B25"/>
    <mergeCell ref="C24:C25"/>
    <mergeCell ref="Q4:Q5"/>
    <mergeCell ref="R4:R5"/>
    <mergeCell ref="S4:S5"/>
    <mergeCell ref="A1:E1"/>
    <mergeCell ref="A4:A5"/>
    <mergeCell ref="C4:C5"/>
    <mergeCell ref="D4:D5"/>
    <mergeCell ref="E4:E5"/>
    <mergeCell ref="F4:F5"/>
    <mergeCell ref="A6:A68"/>
    <mergeCell ref="B68:D68"/>
    <mergeCell ref="B4:B5"/>
    <mergeCell ref="B6:B23"/>
    <mergeCell ref="B26:B36"/>
    <mergeCell ref="C26:C36"/>
    <mergeCell ref="B37:B39"/>
    <mergeCell ref="C37:C39"/>
    <mergeCell ref="B40:B46"/>
    <mergeCell ref="U4:U5"/>
    <mergeCell ref="G4:H4"/>
    <mergeCell ref="I4:I5"/>
    <mergeCell ref="J4:L4"/>
    <mergeCell ref="M4:M5"/>
    <mergeCell ref="N4:N5"/>
    <mergeCell ref="O4:O5"/>
    <mergeCell ref="P4:P5"/>
    <mergeCell ref="C40:C46"/>
  </mergeCells>
  <pageMargins left="0.7" right="0.7" top="0.75" bottom="0.75" header="0" footer="0"/>
  <pageSetup paperSize="9" orientation="landscape" r:id="rId1"/>
</worksheet>
</file>

<file path=xl/worksheets/sheet2.xml><?xml version="1.0" encoding="utf-8"?>
<worksheet xmlns="http://schemas.openxmlformats.org/spreadsheetml/2006/main" xmlns:r="http://schemas.openxmlformats.org/officeDocument/2006/relationships">
  <dimension ref="A1:Z1000"/>
  <sheetViews>
    <sheetView workbookViewId="0">
      <pane xSplit="3" ySplit="5" topLeftCell="D81" activePane="bottomRight" state="frozen"/>
      <selection pane="topRight" activeCell="D1" sqref="D1"/>
      <selection pane="bottomLeft" activeCell="A6" sqref="A6"/>
      <selection pane="bottomRight" activeCell="P89" sqref="P89"/>
    </sheetView>
  </sheetViews>
  <sheetFormatPr defaultColWidth="14.42578125" defaultRowHeight="15" customHeight="1"/>
  <cols>
    <col min="1" max="1" width="6.7109375" style="3" customWidth="1"/>
    <col min="2" max="2" width="7.28515625" style="3" customWidth="1"/>
    <col min="3" max="3" width="18.5703125" style="3" customWidth="1"/>
    <col min="4" max="4" width="9.85546875" style="3" customWidth="1"/>
    <col min="5" max="5" width="35.85546875" style="3" customWidth="1"/>
    <col min="6" max="6" width="7.42578125" style="3" customWidth="1"/>
    <col min="7" max="7" width="10.7109375" style="3" customWidth="1"/>
    <col min="8" max="8" width="8.28515625" style="3" customWidth="1"/>
    <col min="9" max="9" width="10.5703125" style="3" customWidth="1"/>
    <col min="10" max="10" width="11.85546875" style="3" customWidth="1"/>
    <col min="11" max="11" width="9.28515625" style="3" customWidth="1"/>
    <col min="12" max="12" width="6.7109375" style="3" customWidth="1"/>
    <col min="13" max="13" width="9" style="3" customWidth="1"/>
    <col min="14" max="14" width="9.7109375" style="3" customWidth="1"/>
    <col min="15" max="16" width="7.85546875" style="3" customWidth="1"/>
    <col min="17" max="17" width="8.28515625" style="3" customWidth="1"/>
    <col min="18" max="18" width="9.28515625" style="3" customWidth="1"/>
    <col min="19" max="19" width="10.42578125" style="3" customWidth="1"/>
    <col min="20" max="20" width="15.7109375" style="3" customWidth="1"/>
    <col min="21" max="21" width="63.28515625" style="3" customWidth="1"/>
    <col min="22" max="16384" width="14.42578125" style="3"/>
  </cols>
  <sheetData>
    <row r="1" spans="1:26" ht="24.75" customHeight="1">
      <c r="A1" s="172" t="s">
        <v>0</v>
      </c>
      <c r="B1" s="173"/>
      <c r="C1" s="173"/>
      <c r="D1" s="173"/>
      <c r="E1" s="174"/>
      <c r="F1" s="1"/>
      <c r="G1" s="1"/>
      <c r="H1" s="1"/>
      <c r="I1" s="1"/>
      <c r="J1" s="1"/>
      <c r="K1" s="1"/>
      <c r="L1" s="1"/>
      <c r="M1" s="1"/>
      <c r="N1" s="1"/>
      <c r="O1" s="1"/>
      <c r="P1" s="1"/>
      <c r="Q1" s="1"/>
      <c r="R1" s="1"/>
      <c r="S1" s="1"/>
      <c r="T1" s="1"/>
      <c r="U1" s="2"/>
      <c r="V1" s="1"/>
      <c r="W1" s="1"/>
      <c r="X1" s="1"/>
      <c r="Y1" s="1"/>
      <c r="Z1" s="1"/>
    </row>
    <row r="2" spans="1:26" ht="24.75" hidden="1" customHeight="1">
      <c r="A2" s="1"/>
      <c r="B2" s="1"/>
      <c r="C2" s="1"/>
      <c r="D2" s="1"/>
      <c r="E2" s="1"/>
      <c r="F2" s="1"/>
      <c r="G2" s="1"/>
      <c r="H2" s="1"/>
      <c r="I2" s="1"/>
      <c r="J2" s="1"/>
      <c r="K2" s="1"/>
      <c r="L2" s="1"/>
      <c r="M2" s="1"/>
      <c r="N2" s="1"/>
      <c r="O2" s="1"/>
      <c r="P2" s="1"/>
      <c r="Q2" s="1"/>
      <c r="R2" s="1"/>
      <c r="S2" s="1"/>
      <c r="T2" s="1"/>
      <c r="U2" s="2"/>
      <c r="V2" s="1"/>
      <c r="W2" s="1"/>
      <c r="X2" s="1"/>
      <c r="Y2" s="1"/>
      <c r="Z2" s="1"/>
    </row>
    <row r="3" spans="1:26" ht="24.75" hidden="1" customHeight="1">
      <c r="A3" s="1"/>
      <c r="B3" s="4"/>
      <c r="C3" s="4"/>
      <c r="D3" s="4"/>
      <c r="E3" s="4"/>
      <c r="F3" s="4"/>
      <c r="G3" s="4"/>
      <c r="H3" s="4"/>
      <c r="I3" s="4"/>
      <c r="J3" s="4"/>
      <c r="K3" s="4"/>
      <c r="L3" s="4"/>
      <c r="M3" s="4"/>
      <c r="N3" s="4"/>
      <c r="O3" s="4"/>
      <c r="P3" s="4"/>
      <c r="Q3" s="4"/>
      <c r="R3" s="4"/>
      <c r="S3" s="4"/>
      <c r="T3" s="4"/>
      <c r="U3" s="60" t="s">
        <v>1</v>
      </c>
      <c r="V3" s="1"/>
      <c r="W3" s="1"/>
      <c r="X3" s="1"/>
      <c r="Y3" s="1"/>
      <c r="Z3" s="1"/>
    </row>
    <row r="4" spans="1:26" ht="24.75" customHeight="1">
      <c r="A4" s="168" t="s">
        <v>2</v>
      </c>
      <c r="B4" s="168" t="s">
        <v>3</v>
      </c>
      <c r="C4" s="168" t="s">
        <v>4</v>
      </c>
      <c r="D4" s="168" t="s">
        <v>5</v>
      </c>
      <c r="E4" s="168" t="s">
        <v>6</v>
      </c>
      <c r="F4" s="168" t="s">
        <v>7</v>
      </c>
      <c r="G4" s="166" t="s">
        <v>8</v>
      </c>
      <c r="H4" s="167"/>
      <c r="I4" s="168" t="s">
        <v>9</v>
      </c>
      <c r="J4" s="166" t="s">
        <v>10</v>
      </c>
      <c r="K4" s="170"/>
      <c r="L4" s="167"/>
      <c r="M4" s="168" t="s">
        <v>570</v>
      </c>
      <c r="N4" s="168" t="s">
        <v>11</v>
      </c>
      <c r="O4" s="168" t="s">
        <v>12</v>
      </c>
      <c r="P4" s="168" t="s">
        <v>13</v>
      </c>
      <c r="Q4" s="168" t="s">
        <v>14</v>
      </c>
      <c r="R4" s="168" t="s">
        <v>15</v>
      </c>
      <c r="S4" s="168" t="s">
        <v>16</v>
      </c>
      <c r="T4" s="5" t="s">
        <v>597</v>
      </c>
      <c r="U4" s="164" t="s">
        <v>17</v>
      </c>
      <c r="V4" s="1"/>
      <c r="W4" s="1"/>
      <c r="X4" s="1"/>
      <c r="Y4" s="1"/>
      <c r="Z4" s="1"/>
    </row>
    <row r="5" spans="1:26" ht="68.25" customHeight="1">
      <c r="A5" s="169"/>
      <c r="B5" s="169"/>
      <c r="C5" s="169"/>
      <c r="D5" s="169"/>
      <c r="E5" s="169"/>
      <c r="F5" s="169"/>
      <c r="G5" s="5" t="s">
        <v>18</v>
      </c>
      <c r="H5" s="5" t="s">
        <v>19</v>
      </c>
      <c r="I5" s="169"/>
      <c r="J5" s="5" t="s">
        <v>571</v>
      </c>
      <c r="K5" s="5" t="s">
        <v>20</v>
      </c>
      <c r="L5" s="5" t="s">
        <v>21</v>
      </c>
      <c r="M5" s="169"/>
      <c r="N5" s="169"/>
      <c r="O5" s="169"/>
      <c r="P5" s="169"/>
      <c r="Q5" s="169"/>
      <c r="R5" s="169"/>
      <c r="S5" s="169"/>
      <c r="T5" s="5" t="s">
        <v>22</v>
      </c>
      <c r="U5" s="169"/>
      <c r="V5" s="1"/>
      <c r="W5" s="1"/>
      <c r="X5" s="1"/>
      <c r="Y5" s="1"/>
      <c r="Z5" s="1"/>
    </row>
    <row r="6" spans="1:26" ht="24.75" customHeight="1">
      <c r="A6" s="175" t="s">
        <v>23</v>
      </c>
      <c r="B6" s="168" t="s">
        <v>24</v>
      </c>
      <c r="C6" s="168" t="s">
        <v>25</v>
      </c>
      <c r="D6" s="5">
        <v>1</v>
      </c>
      <c r="E6" s="5" t="s">
        <v>26</v>
      </c>
      <c r="F6" s="5"/>
      <c r="G6" s="5"/>
      <c r="H6" s="5"/>
      <c r="I6" s="5"/>
      <c r="J6" s="5"/>
      <c r="K6" s="5"/>
      <c r="L6" s="5"/>
      <c r="M6" s="5"/>
      <c r="N6" s="5"/>
      <c r="O6" s="5"/>
      <c r="P6" s="5"/>
      <c r="Q6" s="5"/>
      <c r="R6" s="5"/>
      <c r="S6" s="5"/>
      <c r="T6" s="6">
        <f t="shared" ref="T6:T69" si="0">SUM(F6:S6)</f>
        <v>0</v>
      </c>
      <c r="U6" s="9"/>
      <c r="V6" s="1"/>
      <c r="W6" s="1"/>
      <c r="X6" s="1"/>
      <c r="Y6" s="1"/>
      <c r="Z6" s="1"/>
    </row>
    <row r="7" spans="1:26" ht="24.75" customHeight="1">
      <c r="A7" s="171"/>
      <c r="B7" s="171"/>
      <c r="C7" s="171"/>
      <c r="D7" s="5">
        <v>2</v>
      </c>
      <c r="E7" s="5" t="s">
        <v>27</v>
      </c>
      <c r="F7" s="5"/>
      <c r="G7" s="5"/>
      <c r="H7" s="5"/>
      <c r="I7" s="5"/>
      <c r="J7" s="5"/>
      <c r="K7" s="6">
        <v>67.92</v>
      </c>
      <c r="L7" s="5"/>
      <c r="M7" s="5"/>
      <c r="N7" s="5"/>
      <c r="O7" s="5"/>
      <c r="P7" s="8">
        <v>1.75</v>
      </c>
      <c r="Q7" s="5"/>
      <c r="R7" s="5"/>
      <c r="S7" s="5"/>
      <c r="T7" s="6">
        <f t="shared" si="0"/>
        <v>69.67</v>
      </c>
      <c r="U7" s="9" t="s">
        <v>28</v>
      </c>
      <c r="V7" s="1"/>
      <c r="W7" s="1"/>
      <c r="X7" s="1"/>
      <c r="Y7" s="1"/>
      <c r="Z7" s="1"/>
    </row>
    <row r="8" spans="1:26" ht="24.75" customHeight="1">
      <c r="A8" s="171"/>
      <c r="B8" s="171"/>
      <c r="C8" s="171"/>
      <c r="D8" s="5">
        <v>3</v>
      </c>
      <c r="E8" s="5" t="s">
        <v>29</v>
      </c>
      <c r="F8" s="8">
        <v>46.11</v>
      </c>
      <c r="G8" s="5"/>
      <c r="H8" s="5"/>
      <c r="I8" s="5"/>
      <c r="J8" s="5"/>
      <c r="K8" s="5"/>
      <c r="L8" s="5"/>
      <c r="M8" s="5"/>
      <c r="N8" s="5"/>
      <c r="O8" s="8">
        <v>36.85</v>
      </c>
      <c r="P8" s="5"/>
      <c r="Q8" s="5"/>
      <c r="R8" s="8">
        <v>2.12</v>
      </c>
      <c r="S8" s="5"/>
      <c r="T8" s="6">
        <f t="shared" si="0"/>
        <v>85.080000000000013</v>
      </c>
      <c r="U8" s="9" t="s">
        <v>30</v>
      </c>
      <c r="V8" s="1"/>
      <c r="W8" s="1"/>
      <c r="X8" s="1"/>
      <c r="Y8" s="1"/>
      <c r="Z8" s="1"/>
    </row>
    <row r="9" spans="1:26" ht="24.75" customHeight="1">
      <c r="A9" s="171"/>
      <c r="B9" s="171"/>
      <c r="C9" s="171"/>
      <c r="D9" s="5">
        <v>4</v>
      </c>
      <c r="E9" s="5" t="s">
        <v>31</v>
      </c>
      <c r="F9" s="5"/>
      <c r="G9" s="5"/>
      <c r="H9" s="5"/>
      <c r="I9" s="5"/>
      <c r="J9" s="5"/>
      <c r="K9" s="5"/>
      <c r="L9" s="5"/>
      <c r="M9" s="6">
        <v>23.15</v>
      </c>
      <c r="N9" s="5"/>
      <c r="O9" s="5"/>
      <c r="P9" s="8">
        <v>1.1599999999999999</v>
      </c>
      <c r="Q9" s="5"/>
      <c r="R9" s="5"/>
      <c r="S9" s="5"/>
      <c r="T9" s="6">
        <f t="shared" si="0"/>
        <v>24.31</v>
      </c>
      <c r="U9" s="9" t="s">
        <v>32</v>
      </c>
      <c r="V9" s="1"/>
      <c r="W9" s="1"/>
      <c r="X9" s="1"/>
      <c r="Y9" s="1"/>
      <c r="Z9" s="1"/>
    </row>
    <row r="10" spans="1:26" ht="24.75" customHeight="1">
      <c r="A10" s="171"/>
      <c r="B10" s="171"/>
      <c r="C10" s="171"/>
      <c r="D10" s="5">
        <v>5</v>
      </c>
      <c r="E10" s="5" t="s">
        <v>33</v>
      </c>
      <c r="F10" s="5"/>
      <c r="G10" s="5"/>
      <c r="H10" s="5"/>
      <c r="I10" s="5"/>
      <c r="J10" s="5"/>
      <c r="K10" s="5"/>
      <c r="L10" s="5"/>
      <c r="M10" s="5"/>
      <c r="N10" s="5"/>
      <c r="O10" s="5"/>
      <c r="P10" s="6">
        <v>38.590000000000003</v>
      </c>
      <c r="Q10" s="5"/>
      <c r="R10" s="5"/>
      <c r="S10" s="5"/>
      <c r="T10" s="6">
        <f t="shared" si="0"/>
        <v>38.590000000000003</v>
      </c>
      <c r="U10" s="9" t="s">
        <v>34</v>
      </c>
      <c r="V10" s="1"/>
      <c r="W10" s="1"/>
      <c r="X10" s="1"/>
      <c r="Y10" s="1"/>
      <c r="Z10" s="1"/>
    </row>
    <row r="11" spans="1:26" ht="24.75" customHeight="1">
      <c r="A11" s="171"/>
      <c r="B11" s="171"/>
      <c r="C11" s="171"/>
      <c r="D11" s="5">
        <v>6</v>
      </c>
      <c r="E11" s="5" t="s">
        <v>35</v>
      </c>
      <c r="F11" s="5"/>
      <c r="G11" s="5"/>
      <c r="H11" s="5"/>
      <c r="I11" s="5"/>
      <c r="J11" s="5"/>
      <c r="K11" s="5"/>
      <c r="L11" s="5"/>
      <c r="M11" s="5"/>
      <c r="N11" s="8"/>
      <c r="O11" s="5"/>
      <c r="P11" s="8">
        <v>1.6</v>
      </c>
      <c r="Q11" s="5"/>
      <c r="R11" s="5"/>
      <c r="S11" s="5"/>
      <c r="T11" s="6">
        <f t="shared" si="0"/>
        <v>1.6</v>
      </c>
      <c r="U11" s="9" t="s">
        <v>36</v>
      </c>
      <c r="V11" s="1"/>
      <c r="W11" s="1"/>
      <c r="X11" s="1"/>
      <c r="Y11" s="1"/>
      <c r="Z11" s="1"/>
    </row>
    <row r="12" spans="1:26" ht="24.75" customHeight="1">
      <c r="A12" s="171"/>
      <c r="B12" s="171"/>
      <c r="C12" s="171"/>
      <c r="D12" s="5">
        <v>7</v>
      </c>
      <c r="E12" s="5" t="s">
        <v>37</v>
      </c>
      <c r="F12" s="5"/>
      <c r="G12" s="5"/>
      <c r="H12" s="5"/>
      <c r="I12" s="5"/>
      <c r="J12" s="5"/>
      <c r="K12" s="5"/>
      <c r="L12" s="5"/>
      <c r="M12" s="5"/>
      <c r="N12" s="5"/>
      <c r="O12" s="5"/>
      <c r="P12" s="8">
        <v>0.06</v>
      </c>
      <c r="Q12" s="8"/>
      <c r="R12" s="5"/>
      <c r="S12" s="5"/>
      <c r="T12" s="6">
        <f t="shared" si="0"/>
        <v>0.06</v>
      </c>
      <c r="U12" s="9" t="s">
        <v>38</v>
      </c>
      <c r="V12" s="1"/>
      <c r="W12" s="1"/>
      <c r="X12" s="1"/>
      <c r="Y12" s="1"/>
      <c r="Z12" s="1"/>
    </row>
    <row r="13" spans="1:26" ht="24.75" customHeight="1">
      <c r="A13" s="171"/>
      <c r="B13" s="171"/>
      <c r="C13" s="171"/>
      <c r="D13" s="5">
        <v>8</v>
      </c>
      <c r="E13" s="5" t="s">
        <v>39</v>
      </c>
      <c r="F13" s="5"/>
      <c r="G13" s="5"/>
      <c r="H13" s="5"/>
      <c r="I13" s="5"/>
      <c r="J13" s="5"/>
      <c r="K13" s="5"/>
      <c r="L13" s="5"/>
      <c r="M13" s="5"/>
      <c r="N13" s="6"/>
      <c r="O13" s="5"/>
      <c r="P13" s="5"/>
      <c r="Q13" s="5"/>
      <c r="R13" s="5"/>
      <c r="S13" s="5"/>
      <c r="T13" s="6">
        <f t="shared" si="0"/>
        <v>0</v>
      </c>
      <c r="U13" s="9"/>
      <c r="V13" s="1"/>
      <c r="W13" s="1"/>
      <c r="X13" s="1"/>
      <c r="Y13" s="1"/>
      <c r="Z13" s="1"/>
    </row>
    <row r="14" spans="1:26" ht="24.75" customHeight="1">
      <c r="A14" s="171"/>
      <c r="B14" s="171"/>
      <c r="C14" s="171"/>
      <c r="D14" s="5">
        <v>9</v>
      </c>
      <c r="E14" s="5" t="s">
        <v>40</v>
      </c>
      <c r="F14" s="5"/>
      <c r="G14" s="5"/>
      <c r="H14" s="5"/>
      <c r="I14" s="5"/>
      <c r="J14" s="5"/>
      <c r="K14" s="5"/>
      <c r="L14" s="5"/>
      <c r="M14" s="5"/>
      <c r="N14" s="6">
        <v>0.18</v>
      </c>
      <c r="O14" s="5"/>
      <c r="P14" s="5"/>
      <c r="Q14" s="8"/>
      <c r="R14" s="5"/>
      <c r="S14" s="8">
        <v>0.35</v>
      </c>
      <c r="T14" s="6">
        <f t="shared" si="0"/>
        <v>0.53</v>
      </c>
      <c r="U14" s="9" t="s">
        <v>41</v>
      </c>
      <c r="V14" s="1"/>
      <c r="W14" s="1"/>
      <c r="X14" s="1"/>
      <c r="Y14" s="1"/>
      <c r="Z14" s="1"/>
    </row>
    <row r="15" spans="1:26" ht="24.75" customHeight="1">
      <c r="A15" s="171"/>
      <c r="B15" s="171"/>
      <c r="C15" s="171"/>
      <c r="D15" s="5">
        <v>10</v>
      </c>
      <c r="E15" s="5" t="s">
        <v>42</v>
      </c>
      <c r="F15" s="5"/>
      <c r="G15" s="5"/>
      <c r="H15" s="5"/>
      <c r="I15" s="6"/>
      <c r="J15" s="5"/>
      <c r="K15" s="5"/>
      <c r="L15" s="5"/>
      <c r="M15" s="5"/>
      <c r="N15" s="6">
        <v>0.45750000000000002</v>
      </c>
      <c r="O15" s="5"/>
      <c r="P15" s="5"/>
      <c r="Q15" s="5"/>
      <c r="R15" s="5"/>
      <c r="S15" s="5"/>
      <c r="T15" s="6">
        <f t="shared" si="0"/>
        <v>0.45750000000000002</v>
      </c>
      <c r="U15" s="10" t="s">
        <v>43</v>
      </c>
      <c r="V15" s="1"/>
      <c r="W15" s="1"/>
      <c r="X15" s="1"/>
      <c r="Y15" s="1"/>
      <c r="Z15" s="1"/>
    </row>
    <row r="16" spans="1:26" ht="24.75" customHeight="1">
      <c r="A16" s="171"/>
      <c r="B16" s="171"/>
      <c r="C16" s="171"/>
      <c r="D16" s="5">
        <v>11</v>
      </c>
      <c r="E16" s="5" t="s">
        <v>44</v>
      </c>
      <c r="F16" s="5"/>
      <c r="G16" s="8"/>
      <c r="H16" s="8"/>
      <c r="I16" s="5"/>
      <c r="J16" s="5"/>
      <c r="K16" s="5"/>
      <c r="L16" s="5"/>
      <c r="M16" s="5"/>
      <c r="N16" s="5"/>
      <c r="O16" s="5"/>
      <c r="P16" s="5"/>
      <c r="Q16" s="5"/>
      <c r="R16" s="5"/>
      <c r="S16" s="5"/>
      <c r="T16" s="6">
        <f t="shared" si="0"/>
        <v>0</v>
      </c>
      <c r="U16" s="9"/>
      <c r="V16" s="1"/>
      <c r="W16" s="1"/>
      <c r="X16" s="1"/>
      <c r="Y16" s="1"/>
      <c r="Z16" s="1"/>
    </row>
    <row r="17" spans="1:26" ht="24.75" customHeight="1">
      <c r="A17" s="171"/>
      <c r="B17" s="171"/>
      <c r="C17" s="171"/>
      <c r="D17" s="5">
        <v>12</v>
      </c>
      <c r="E17" s="5" t="s">
        <v>45</v>
      </c>
      <c r="F17" s="5"/>
      <c r="G17" s="5"/>
      <c r="H17" s="5"/>
      <c r="I17" s="5"/>
      <c r="J17" s="5"/>
      <c r="K17" s="5"/>
      <c r="L17" s="5"/>
      <c r="M17" s="5"/>
      <c r="N17" s="6">
        <v>3.4950000000000001</v>
      </c>
      <c r="O17" s="5"/>
      <c r="P17" s="5"/>
      <c r="Q17" s="5"/>
      <c r="R17" s="5"/>
      <c r="S17" s="5"/>
      <c r="T17" s="6">
        <f t="shared" si="0"/>
        <v>3.4950000000000001</v>
      </c>
      <c r="U17" s="9" t="s">
        <v>46</v>
      </c>
      <c r="V17" s="1"/>
      <c r="W17" s="1"/>
      <c r="X17" s="1"/>
      <c r="Y17" s="1"/>
      <c r="Z17" s="1"/>
    </row>
    <row r="18" spans="1:26" ht="24.75" customHeight="1">
      <c r="A18" s="171"/>
      <c r="B18" s="171"/>
      <c r="C18" s="171"/>
      <c r="D18" s="5">
        <v>13</v>
      </c>
      <c r="E18" s="5" t="s">
        <v>47</v>
      </c>
      <c r="F18" s="5"/>
      <c r="G18" s="5"/>
      <c r="H18" s="5"/>
      <c r="I18" s="5"/>
      <c r="J18" s="5"/>
      <c r="K18" s="5"/>
      <c r="L18" s="5"/>
      <c r="M18" s="5"/>
      <c r="N18" s="5"/>
      <c r="O18" s="5"/>
      <c r="P18" s="8"/>
      <c r="Q18" s="5"/>
      <c r="R18" s="5"/>
      <c r="S18" s="5"/>
      <c r="T18" s="6">
        <f t="shared" si="0"/>
        <v>0</v>
      </c>
      <c r="U18" s="9"/>
      <c r="V18" s="1"/>
      <c r="W18" s="1"/>
      <c r="X18" s="1"/>
      <c r="Y18" s="1"/>
      <c r="Z18" s="1"/>
    </row>
    <row r="19" spans="1:26" ht="24.75" customHeight="1">
      <c r="A19" s="171"/>
      <c r="B19" s="171"/>
      <c r="C19" s="171"/>
      <c r="D19" s="5">
        <v>14</v>
      </c>
      <c r="E19" s="5" t="s">
        <v>48</v>
      </c>
      <c r="F19" s="5"/>
      <c r="G19" s="5"/>
      <c r="H19" s="5"/>
      <c r="I19" s="5"/>
      <c r="J19" s="5"/>
      <c r="K19" s="5"/>
      <c r="L19" s="5"/>
      <c r="M19" s="5"/>
      <c r="N19" s="5"/>
      <c r="O19" s="5"/>
      <c r="P19" s="5"/>
      <c r="Q19" s="5"/>
      <c r="R19" s="5"/>
      <c r="S19" s="5"/>
      <c r="T19" s="6">
        <f t="shared" si="0"/>
        <v>0</v>
      </c>
      <c r="U19" s="9"/>
      <c r="V19" s="1"/>
      <c r="W19" s="1"/>
      <c r="X19" s="1"/>
      <c r="Y19" s="1"/>
      <c r="Z19" s="1"/>
    </row>
    <row r="20" spans="1:26" ht="24.75" customHeight="1">
      <c r="A20" s="171"/>
      <c r="B20" s="171"/>
      <c r="C20" s="171"/>
      <c r="D20" s="5">
        <v>15</v>
      </c>
      <c r="E20" s="5" t="s">
        <v>49</v>
      </c>
      <c r="F20" s="5"/>
      <c r="G20" s="5"/>
      <c r="H20" s="5"/>
      <c r="I20" s="8">
        <v>8</v>
      </c>
      <c r="J20" s="5"/>
      <c r="K20" s="5"/>
      <c r="L20" s="5"/>
      <c r="M20" s="5"/>
      <c r="N20" s="6">
        <v>0.74785000000000001</v>
      </c>
      <c r="O20" s="5"/>
      <c r="P20" s="8"/>
      <c r="Q20" s="8"/>
      <c r="R20" s="5"/>
      <c r="S20" s="5"/>
      <c r="T20" s="6">
        <f t="shared" si="0"/>
        <v>8.7478499999999997</v>
      </c>
      <c r="U20" s="9" t="s">
        <v>50</v>
      </c>
      <c r="V20" s="1"/>
      <c r="W20" s="1"/>
      <c r="X20" s="1"/>
      <c r="Y20" s="1"/>
      <c r="Z20" s="1"/>
    </row>
    <row r="21" spans="1:26" ht="24.75" customHeight="1">
      <c r="A21" s="171"/>
      <c r="B21" s="171"/>
      <c r="C21" s="171"/>
      <c r="D21" s="5">
        <v>16</v>
      </c>
      <c r="E21" s="5" t="s">
        <v>51</v>
      </c>
      <c r="F21" s="5"/>
      <c r="G21" s="5"/>
      <c r="H21" s="5"/>
      <c r="I21" s="5"/>
      <c r="J21" s="5"/>
      <c r="K21" s="5"/>
      <c r="L21" s="5"/>
      <c r="M21" s="5"/>
      <c r="N21" s="5"/>
      <c r="O21" s="5"/>
      <c r="P21" s="5"/>
      <c r="Q21" s="5"/>
      <c r="R21" s="5"/>
      <c r="S21" s="5"/>
      <c r="T21" s="6">
        <f t="shared" si="0"/>
        <v>0</v>
      </c>
      <c r="U21" s="9"/>
      <c r="V21" s="1"/>
      <c r="W21" s="1"/>
      <c r="X21" s="1"/>
      <c r="Y21" s="1"/>
      <c r="Z21" s="1"/>
    </row>
    <row r="22" spans="1:26" ht="24.75" customHeight="1">
      <c r="A22" s="171"/>
      <c r="B22" s="171"/>
      <c r="C22" s="171"/>
      <c r="D22" s="5">
        <v>17</v>
      </c>
      <c r="E22" s="5" t="s">
        <v>52</v>
      </c>
      <c r="F22" s="5"/>
      <c r="G22" s="5"/>
      <c r="H22" s="5"/>
      <c r="I22" s="6"/>
      <c r="J22" s="5"/>
      <c r="K22" s="5"/>
      <c r="L22" s="5"/>
      <c r="M22" s="5"/>
      <c r="N22" s="6">
        <v>0.92100000000000004</v>
      </c>
      <c r="O22" s="5"/>
      <c r="P22" s="8">
        <v>0.6</v>
      </c>
      <c r="Q22" s="6">
        <v>2</v>
      </c>
      <c r="R22" s="5"/>
      <c r="S22" s="8"/>
      <c r="T22" s="6">
        <f t="shared" si="0"/>
        <v>3.5209999999999999</v>
      </c>
      <c r="U22" s="9" t="s">
        <v>358</v>
      </c>
      <c r="V22" s="1"/>
      <c r="W22" s="1"/>
      <c r="X22" s="1"/>
      <c r="Y22" s="1"/>
      <c r="Z22" s="1"/>
    </row>
    <row r="23" spans="1:26" ht="24.75" customHeight="1">
      <c r="A23" s="171"/>
      <c r="B23" s="169"/>
      <c r="C23" s="169"/>
      <c r="D23" s="5">
        <v>18</v>
      </c>
      <c r="E23" s="5" t="s">
        <v>54</v>
      </c>
      <c r="F23" s="5"/>
      <c r="G23" s="5"/>
      <c r="H23" s="5"/>
      <c r="I23" s="5"/>
      <c r="J23" s="5"/>
      <c r="K23" s="5"/>
      <c r="L23" s="5"/>
      <c r="M23" s="5"/>
      <c r="N23" s="5"/>
      <c r="O23" s="5"/>
      <c r="P23" s="8">
        <f>0.76+0.15</f>
        <v>0.91</v>
      </c>
      <c r="Q23" s="8"/>
      <c r="R23" s="5"/>
      <c r="S23" s="8"/>
      <c r="T23" s="6">
        <f t="shared" si="0"/>
        <v>0.91</v>
      </c>
      <c r="U23" s="9" t="s">
        <v>55</v>
      </c>
      <c r="V23" s="1"/>
      <c r="W23" s="1"/>
      <c r="X23" s="1"/>
      <c r="Y23" s="1"/>
      <c r="Z23" s="1"/>
    </row>
    <row r="24" spans="1:26" ht="24.75" customHeight="1">
      <c r="A24" s="171"/>
      <c r="B24" s="168" t="s">
        <v>56</v>
      </c>
      <c r="C24" s="168" t="s">
        <v>57</v>
      </c>
      <c r="D24" s="5">
        <v>19</v>
      </c>
      <c r="E24" s="5" t="s">
        <v>57</v>
      </c>
      <c r="F24" s="5"/>
      <c r="G24" s="5"/>
      <c r="H24" s="5"/>
      <c r="I24" s="5"/>
      <c r="J24" s="5"/>
      <c r="K24" s="5"/>
      <c r="L24" s="5"/>
      <c r="M24" s="5"/>
      <c r="N24" s="5"/>
      <c r="O24" s="5"/>
      <c r="P24" s="5"/>
      <c r="Q24" s="5"/>
      <c r="R24" s="5"/>
      <c r="S24" s="5"/>
      <c r="T24" s="6">
        <f t="shared" si="0"/>
        <v>0</v>
      </c>
      <c r="U24" s="9"/>
      <c r="V24" s="1"/>
      <c r="W24" s="1"/>
      <c r="X24" s="1"/>
      <c r="Y24" s="1"/>
      <c r="Z24" s="1"/>
    </row>
    <row r="25" spans="1:26" ht="24.75" customHeight="1">
      <c r="A25" s="171"/>
      <c r="B25" s="169"/>
      <c r="C25" s="169"/>
      <c r="D25" s="5">
        <v>20</v>
      </c>
      <c r="E25" s="5" t="s">
        <v>58</v>
      </c>
      <c r="F25" s="5"/>
      <c r="G25" s="5"/>
      <c r="H25" s="5"/>
      <c r="I25" s="5"/>
      <c r="J25" s="5"/>
      <c r="K25" s="5"/>
      <c r="L25" s="5"/>
      <c r="M25" s="5"/>
      <c r="N25" s="5"/>
      <c r="O25" s="5"/>
      <c r="P25" s="5"/>
      <c r="Q25" s="6">
        <v>0.6</v>
      </c>
      <c r="R25" s="5"/>
      <c r="S25" s="5"/>
      <c r="T25" s="6">
        <f t="shared" si="0"/>
        <v>0.6</v>
      </c>
      <c r="U25" s="9" t="s">
        <v>359</v>
      </c>
      <c r="V25" s="1"/>
      <c r="W25" s="1"/>
      <c r="X25" s="1"/>
      <c r="Y25" s="1"/>
      <c r="Z25" s="1"/>
    </row>
    <row r="26" spans="1:26" ht="24.75" customHeight="1">
      <c r="A26" s="171"/>
      <c r="B26" s="168" t="s">
        <v>60</v>
      </c>
      <c r="C26" s="168" t="s">
        <v>61</v>
      </c>
      <c r="D26" s="5">
        <v>21</v>
      </c>
      <c r="E26" s="5" t="s">
        <v>62</v>
      </c>
      <c r="F26" s="123"/>
      <c r="G26" s="123"/>
      <c r="H26" s="124"/>
      <c r="I26" s="125">
        <f>2.975</f>
        <v>2.9750000000000001</v>
      </c>
      <c r="J26" s="123"/>
      <c r="K26" s="125"/>
      <c r="L26" s="123"/>
      <c r="M26" s="123"/>
      <c r="N26" s="125">
        <f>0.992+0.4565+0.4+1</f>
        <v>2.8485</v>
      </c>
      <c r="O26" s="123"/>
      <c r="P26" s="124">
        <f>17.28+3.276</f>
        <v>20.556000000000001</v>
      </c>
      <c r="Q26" s="124">
        <f>0.2125</f>
        <v>0.21249999999999999</v>
      </c>
      <c r="R26" s="125">
        <f>0.5+0.2975</f>
        <v>0.79749999999999999</v>
      </c>
      <c r="S26" s="123"/>
      <c r="T26" s="125">
        <f t="shared" ref="T26:T36" si="1">SUM(F26:S26)</f>
        <v>27.389499999999998</v>
      </c>
      <c r="U26" s="9" t="s">
        <v>65</v>
      </c>
      <c r="V26" s="1"/>
      <c r="W26" s="1"/>
      <c r="X26" s="1"/>
      <c r="Y26" s="1"/>
      <c r="Z26" s="1"/>
    </row>
    <row r="27" spans="1:26" ht="24.75" customHeight="1">
      <c r="A27" s="171"/>
      <c r="B27" s="171"/>
      <c r="C27" s="171"/>
      <c r="D27" s="5">
        <v>22</v>
      </c>
      <c r="E27" s="5" t="s">
        <v>64</v>
      </c>
      <c r="F27" s="124"/>
      <c r="G27" s="123"/>
      <c r="H27" s="124"/>
      <c r="I27" s="125"/>
      <c r="J27" s="123"/>
      <c r="K27" s="123"/>
      <c r="L27" s="123"/>
      <c r="M27" s="124">
        <v>0.75</v>
      </c>
      <c r="N27" s="123"/>
      <c r="O27" s="123"/>
      <c r="P27" s="124">
        <f>175+1.2</f>
        <v>176.2</v>
      </c>
      <c r="Q27" s="124"/>
      <c r="R27" s="125"/>
      <c r="S27" s="123"/>
      <c r="T27" s="125">
        <f t="shared" si="1"/>
        <v>176.95</v>
      </c>
      <c r="U27" s="9" t="s">
        <v>65</v>
      </c>
      <c r="V27" s="1"/>
      <c r="W27" s="1"/>
      <c r="X27" s="1"/>
      <c r="Y27" s="1"/>
      <c r="Z27" s="1"/>
    </row>
    <row r="28" spans="1:26" ht="24.75" customHeight="1">
      <c r="A28" s="171"/>
      <c r="B28" s="171"/>
      <c r="C28" s="171"/>
      <c r="D28" s="5">
        <v>23</v>
      </c>
      <c r="E28" s="5" t="s">
        <v>66</v>
      </c>
      <c r="F28" s="123"/>
      <c r="G28" s="123"/>
      <c r="H28" s="123"/>
      <c r="I28" s="123"/>
      <c r="J28" s="123"/>
      <c r="K28" s="125"/>
      <c r="L28" s="123"/>
      <c r="M28" s="123"/>
      <c r="N28" s="123"/>
      <c r="O28" s="124">
        <f>23.86425+3.39</f>
        <v>27.254249999999999</v>
      </c>
      <c r="P28" s="123"/>
      <c r="Q28" s="124"/>
      <c r="R28" s="123"/>
      <c r="S28" s="123"/>
      <c r="T28" s="125">
        <f t="shared" si="1"/>
        <v>27.254249999999999</v>
      </c>
      <c r="U28" s="9" t="s">
        <v>65</v>
      </c>
      <c r="V28" s="1"/>
      <c r="W28" s="1"/>
      <c r="X28" s="1"/>
      <c r="Y28" s="1"/>
      <c r="Z28" s="1"/>
    </row>
    <row r="29" spans="1:26" ht="24.75" customHeight="1">
      <c r="A29" s="171"/>
      <c r="B29" s="171"/>
      <c r="C29" s="171"/>
      <c r="D29" s="5">
        <v>24</v>
      </c>
      <c r="E29" s="5" t="s">
        <v>67</v>
      </c>
      <c r="F29" s="123"/>
      <c r="G29" s="123"/>
      <c r="H29" s="124"/>
      <c r="I29" s="123"/>
      <c r="J29" s="123"/>
      <c r="K29" s="123"/>
      <c r="L29" s="123"/>
      <c r="M29" s="123"/>
      <c r="N29" s="125">
        <f>1.72+1.72+1+1</f>
        <v>5.4399999999999995</v>
      </c>
      <c r="O29" s="124"/>
      <c r="P29" s="123">
        <f>2+10+0.9+5.25</f>
        <v>18.149999999999999</v>
      </c>
      <c r="Q29" s="125"/>
      <c r="R29" s="123"/>
      <c r="S29" s="123"/>
      <c r="T29" s="125">
        <f t="shared" si="1"/>
        <v>23.589999999999996</v>
      </c>
      <c r="U29" s="9" t="s">
        <v>360</v>
      </c>
      <c r="V29" s="1"/>
      <c r="W29" s="1"/>
      <c r="X29" s="1"/>
      <c r="Y29" s="1"/>
      <c r="Z29" s="1"/>
    </row>
    <row r="30" spans="1:26" ht="24.75" customHeight="1">
      <c r="A30" s="171"/>
      <c r="B30" s="171"/>
      <c r="C30" s="171"/>
      <c r="D30" s="5">
        <v>25</v>
      </c>
      <c r="E30" s="5" t="s">
        <v>69</v>
      </c>
      <c r="F30" s="123"/>
      <c r="G30" s="123"/>
      <c r="H30" s="123"/>
      <c r="I30" s="123"/>
      <c r="J30" s="123"/>
      <c r="K30" s="123"/>
      <c r="L30" s="123"/>
      <c r="M30" s="123"/>
      <c r="N30" s="125">
        <v>0.5</v>
      </c>
      <c r="O30" s="123"/>
      <c r="P30" s="123"/>
      <c r="Q30" s="123"/>
      <c r="R30" s="123"/>
      <c r="S30" s="123"/>
      <c r="T30" s="125">
        <f t="shared" si="1"/>
        <v>0.5</v>
      </c>
      <c r="U30" s="9" t="s">
        <v>65</v>
      </c>
      <c r="V30" s="1"/>
      <c r="W30" s="1"/>
      <c r="X30" s="1"/>
      <c r="Y30" s="1"/>
      <c r="Z30" s="1"/>
    </row>
    <row r="31" spans="1:26" ht="24.75" customHeight="1">
      <c r="A31" s="171"/>
      <c r="B31" s="171"/>
      <c r="C31" s="171"/>
      <c r="D31" s="5">
        <v>26</v>
      </c>
      <c r="E31" s="5" t="s">
        <v>70</v>
      </c>
      <c r="F31" s="123"/>
      <c r="G31" s="123"/>
      <c r="H31" s="123"/>
      <c r="I31" s="125"/>
      <c r="J31" s="123"/>
      <c r="K31" s="123"/>
      <c r="L31" s="123"/>
      <c r="M31" s="123"/>
      <c r="N31" s="125">
        <v>4.29</v>
      </c>
      <c r="O31" s="123"/>
      <c r="P31" s="123"/>
      <c r="Q31" s="125">
        <v>0</v>
      </c>
      <c r="R31" s="124"/>
      <c r="S31" s="123"/>
      <c r="T31" s="125">
        <f t="shared" si="1"/>
        <v>4.29</v>
      </c>
      <c r="U31" s="9" t="s">
        <v>360</v>
      </c>
      <c r="V31" s="1"/>
      <c r="W31" s="1"/>
      <c r="X31" s="1"/>
      <c r="Y31" s="1"/>
      <c r="Z31" s="1"/>
    </row>
    <row r="32" spans="1:26" ht="105.75" customHeight="1">
      <c r="A32" s="171"/>
      <c r="B32" s="171"/>
      <c r="C32" s="171"/>
      <c r="D32" s="5">
        <v>27</v>
      </c>
      <c r="E32" s="5" t="s">
        <v>72</v>
      </c>
      <c r="F32" s="123"/>
      <c r="G32" s="123"/>
      <c r="H32" s="124"/>
      <c r="I32" s="125"/>
      <c r="J32" s="123"/>
      <c r="K32" s="123"/>
      <c r="L32" s="123"/>
      <c r="M32" s="123"/>
      <c r="N32" s="125"/>
      <c r="O32" s="124"/>
      <c r="P32" s="124"/>
      <c r="Q32" s="123"/>
      <c r="R32" s="123"/>
      <c r="S32" s="123"/>
      <c r="T32" s="125">
        <f t="shared" si="1"/>
        <v>0</v>
      </c>
      <c r="U32" s="9"/>
      <c r="V32" s="1"/>
      <c r="W32" s="1"/>
      <c r="X32" s="1"/>
      <c r="Y32" s="1"/>
      <c r="Z32" s="1"/>
    </row>
    <row r="33" spans="1:26" ht="24.75" customHeight="1">
      <c r="A33" s="171"/>
      <c r="B33" s="171"/>
      <c r="C33" s="171"/>
      <c r="D33" s="5">
        <v>28</v>
      </c>
      <c r="E33" s="5" t="s">
        <v>31</v>
      </c>
      <c r="F33" s="123"/>
      <c r="G33" s="123"/>
      <c r="H33" s="123"/>
      <c r="I33" s="123"/>
      <c r="J33" s="123"/>
      <c r="K33" s="125">
        <v>2.3159999999999998</v>
      </c>
      <c r="L33" s="123"/>
      <c r="M33" s="125">
        <v>2.3159999999999998</v>
      </c>
      <c r="N33" s="123"/>
      <c r="O33" s="123"/>
      <c r="P33" s="123"/>
      <c r="Q33" s="123"/>
      <c r="R33" s="123"/>
      <c r="S33" s="123"/>
      <c r="T33" s="125">
        <f t="shared" si="1"/>
        <v>4.6319999999999997</v>
      </c>
      <c r="U33" s="9" t="s">
        <v>65</v>
      </c>
      <c r="V33" s="1"/>
      <c r="W33" s="1"/>
      <c r="X33" s="1"/>
      <c r="Y33" s="1"/>
      <c r="Z33" s="1"/>
    </row>
    <row r="34" spans="1:26" ht="24.75" customHeight="1">
      <c r="A34" s="171"/>
      <c r="B34" s="171"/>
      <c r="C34" s="171"/>
      <c r="D34" s="5">
        <v>29</v>
      </c>
      <c r="E34" s="5" t="s">
        <v>33</v>
      </c>
      <c r="F34" s="123"/>
      <c r="G34" s="123"/>
      <c r="H34" s="123"/>
      <c r="I34" s="123"/>
      <c r="J34" s="123"/>
      <c r="K34" s="123"/>
      <c r="L34" s="123"/>
      <c r="M34" s="123"/>
      <c r="N34" s="123"/>
      <c r="O34" s="123"/>
      <c r="P34" s="125">
        <v>5.79</v>
      </c>
      <c r="Q34" s="123"/>
      <c r="R34" s="123"/>
      <c r="S34" s="123"/>
      <c r="T34" s="125">
        <f t="shared" si="1"/>
        <v>5.79</v>
      </c>
      <c r="U34" s="9" t="s">
        <v>65</v>
      </c>
      <c r="V34" s="1"/>
      <c r="W34" s="1"/>
      <c r="X34" s="1"/>
      <c r="Y34" s="1"/>
      <c r="Z34" s="1"/>
    </row>
    <row r="35" spans="1:26" ht="24.75" customHeight="1">
      <c r="A35" s="171"/>
      <c r="B35" s="171"/>
      <c r="C35" s="171"/>
      <c r="D35" s="5">
        <v>30</v>
      </c>
      <c r="E35" s="5" t="s">
        <v>73</v>
      </c>
      <c r="F35" s="123"/>
      <c r="G35" s="123"/>
      <c r="H35" s="123"/>
      <c r="I35" s="125"/>
      <c r="J35" s="123"/>
      <c r="K35" s="123"/>
      <c r="L35" s="123"/>
      <c r="M35" s="123"/>
      <c r="N35" s="123"/>
      <c r="O35" s="123"/>
      <c r="P35" s="123"/>
      <c r="Q35" s="125">
        <v>2.5</v>
      </c>
      <c r="R35" s="124">
        <v>1.57</v>
      </c>
      <c r="S35" s="123"/>
      <c r="T35" s="125">
        <f t="shared" si="1"/>
        <v>4.07</v>
      </c>
      <c r="U35" s="9" t="s">
        <v>360</v>
      </c>
      <c r="V35" s="1"/>
      <c r="W35" s="1"/>
      <c r="X35" s="1"/>
      <c r="Y35" s="1"/>
      <c r="Z35" s="1"/>
    </row>
    <row r="36" spans="1:26" ht="24.75" customHeight="1">
      <c r="A36" s="171"/>
      <c r="B36" s="169"/>
      <c r="C36" s="169"/>
      <c r="D36" s="5">
        <v>31</v>
      </c>
      <c r="E36" s="5" t="s">
        <v>54</v>
      </c>
      <c r="F36" s="123"/>
      <c r="G36" s="123"/>
      <c r="H36" s="123"/>
      <c r="I36" s="123"/>
      <c r="J36" s="123"/>
      <c r="K36" s="123"/>
      <c r="L36" s="123"/>
      <c r="M36" s="123"/>
      <c r="N36" s="123"/>
      <c r="O36" s="123"/>
      <c r="P36" s="123"/>
      <c r="Q36" s="123"/>
      <c r="R36" s="123"/>
      <c r="S36" s="123"/>
      <c r="T36" s="125">
        <f t="shared" si="1"/>
        <v>0</v>
      </c>
      <c r="U36" s="9"/>
      <c r="V36" s="1"/>
      <c r="W36" s="1"/>
      <c r="X36" s="1"/>
      <c r="Y36" s="1"/>
      <c r="Z36" s="1"/>
    </row>
    <row r="37" spans="1:26" ht="24.75" customHeight="1">
      <c r="A37" s="171"/>
      <c r="B37" s="168" t="s">
        <v>75</v>
      </c>
      <c r="C37" s="168" t="s">
        <v>76</v>
      </c>
      <c r="D37" s="5">
        <v>32</v>
      </c>
      <c r="E37" s="5" t="s">
        <v>77</v>
      </c>
      <c r="F37" s="5"/>
      <c r="G37" s="5"/>
      <c r="H37" s="5"/>
      <c r="I37" s="6"/>
      <c r="J37" s="5"/>
      <c r="K37" s="5"/>
      <c r="L37" s="5"/>
      <c r="M37" s="6"/>
      <c r="N37" s="6">
        <v>2.37</v>
      </c>
      <c r="O37" s="8">
        <v>93.41</v>
      </c>
      <c r="P37" s="8">
        <v>21.31</v>
      </c>
      <c r="Q37" s="6">
        <v>1.5</v>
      </c>
      <c r="R37" s="8">
        <v>5.1210000000000004</v>
      </c>
      <c r="S37" s="5"/>
      <c r="T37" s="6">
        <f t="shared" si="0"/>
        <v>123.711</v>
      </c>
      <c r="U37" s="9" t="s">
        <v>361</v>
      </c>
      <c r="V37" s="1"/>
      <c r="W37" s="1"/>
      <c r="X37" s="1"/>
      <c r="Y37" s="1"/>
      <c r="Z37" s="1"/>
    </row>
    <row r="38" spans="1:26" ht="24.75" customHeight="1">
      <c r="A38" s="171"/>
      <c r="B38" s="171"/>
      <c r="C38" s="171"/>
      <c r="D38" s="5">
        <v>33</v>
      </c>
      <c r="E38" s="5" t="s">
        <v>79</v>
      </c>
      <c r="F38" s="5"/>
      <c r="G38" s="5"/>
      <c r="H38" s="5"/>
      <c r="I38" s="5"/>
      <c r="J38" s="5"/>
      <c r="K38" s="5"/>
      <c r="L38" s="5"/>
      <c r="M38" s="5"/>
      <c r="N38" s="5"/>
      <c r="O38" s="5"/>
      <c r="P38" s="5"/>
      <c r="Q38" s="5"/>
      <c r="R38" s="5"/>
      <c r="S38" s="5"/>
      <c r="T38" s="6">
        <f t="shared" si="0"/>
        <v>0</v>
      </c>
      <c r="U38" s="9"/>
      <c r="V38" s="1"/>
      <c r="W38" s="1"/>
      <c r="X38" s="1"/>
      <c r="Y38" s="1"/>
      <c r="Z38" s="1"/>
    </row>
    <row r="39" spans="1:26" ht="24.75" customHeight="1">
      <c r="A39" s="171"/>
      <c r="B39" s="169"/>
      <c r="C39" s="169"/>
      <c r="D39" s="5">
        <v>34</v>
      </c>
      <c r="E39" s="5" t="s">
        <v>80</v>
      </c>
      <c r="F39" s="5"/>
      <c r="G39" s="5"/>
      <c r="H39" s="5"/>
      <c r="I39" s="5"/>
      <c r="J39" s="5"/>
      <c r="K39" s="5"/>
      <c r="L39" s="5"/>
      <c r="M39" s="5"/>
      <c r="N39" s="6"/>
      <c r="O39" s="5"/>
      <c r="P39" s="8"/>
      <c r="Q39" s="5"/>
      <c r="R39" s="5"/>
      <c r="S39" s="5"/>
      <c r="T39" s="6">
        <f t="shared" si="0"/>
        <v>0</v>
      </c>
      <c r="U39" s="9"/>
      <c r="V39" s="1"/>
      <c r="W39" s="1"/>
      <c r="X39" s="1"/>
      <c r="Y39" s="1"/>
      <c r="Z39" s="1"/>
    </row>
    <row r="40" spans="1:26" ht="24.75" customHeight="1">
      <c r="A40" s="171"/>
      <c r="B40" s="168" t="s">
        <v>81</v>
      </c>
      <c r="C40" s="168" t="s">
        <v>82</v>
      </c>
      <c r="D40" s="5">
        <v>35</v>
      </c>
      <c r="E40" s="5" t="s">
        <v>83</v>
      </c>
      <c r="F40" s="5"/>
      <c r="G40" s="5"/>
      <c r="H40" s="5"/>
      <c r="I40" s="6"/>
      <c r="J40" s="5"/>
      <c r="K40" s="5"/>
      <c r="L40" s="5"/>
      <c r="M40" s="5"/>
      <c r="N40" s="6">
        <v>2.75</v>
      </c>
      <c r="O40" s="5"/>
      <c r="P40" s="8">
        <v>2.04</v>
      </c>
      <c r="Q40" s="8"/>
      <c r="R40" s="5">
        <v>0.1</v>
      </c>
      <c r="S40" s="5"/>
      <c r="T40" s="6">
        <f t="shared" si="0"/>
        <v>4.8899999999999997</v>
      </c>
      <c r="U40" s="9" t="s">
        <v>582</v>
      </c>
      <c r="V40" s="1"/>
      <c r="W40" s="1"/>
      <c r="X40" s="1"/>
      <c r="Y40" s="1"/>
      <c r="Z40" s="1"/>
    </row>
    <row r="41" spans="1:26" ht="24.75" customHeight="1">
      <c r="A41" s="171"/>
      <c r="B41" s="171"/>
      <c r="C41" s="171"/>
      <c r="D41" s="5">
        <v>36</v>
      </c>
      <c r="E41" s="5" t="s">
        <v>84</v>
      </c>
      <c r="F41" s="5"/>
      <c r="G41" s="5"/>
      <c r="H41" s="5"/>
      <c r="I41" s="5"/>
      <c r="J41" s="5"/>
      <c r="K41" s="6"/>
      <c r="L41" s="5"/>
      <c r="M41" s="5"/>
      <c r="N41" s="6">
        <v>0.8</v>
      </c>
      <c r="O41" s="5"/>
      <c r="P41" s="5"/>
      <c r="Q41" s="5"/>
      <c r="R41" s="5"/>
      <c r="S41" s="5"/>
      <c r="T41" s="6">
        <f t="shared" si="0"/>
        <v>0.8</v>
      </c>
      <c r="U41" s="9" t="s">
        <v>362</v>
      </c>
      <c r="V41" s="1"/>
      <c r="W41" s="1"/>
      <c r="X41" s="1"/>
      <c r="Y41" s="1"/>
      <c r="Z41" s="1"/>
    </row>
    <row r="42" spans="1:26" ht="24.75" customHeight="1">
      <c r="A42" s="171"/>
      <c r="B42" s="171"/>
      <c r="C42" s="171"/>
      <c r="D42" s="5">
        <v>37</v>
      </c>
      <c r="E42" s="5" t="s">
        <v>86</v>
      </c>
      <c r="F42" s="5"/>
      <c r="G42" s="5"/>
      <c r="H42" s="5"/>
      <c r="I42" s="5"/>
      <c r="J42" s="5"/>
      <c r="K42" s="6"/>
      <c r="L42" s="5"/>
      <c r="M42" s="5"/>
      <c r="N42" s="5"/>
      <c r="O42" s="5"/>
      <c r="P42" s="5"/>
      <c r="Q42" s="5"/>
      <c r="R42" s="5"/>
      <c r="S42" s="5"/>
      <c r="T42" s="6">
        <f t="shared" si="0"/>
        <v>0</v>
      </c>
      <c r="U42" s="9"/>
      <c r="V42" s="1"/>
      <c r="W42" s="1"/>
      <c r="X42" s="1"/>
      <c r="Y42" s="1"/>
      <c r="Z42" s="1"/>
    </row>
    <row r="43" spans="1:26" ht="24.75" customHeight="1">
      <c r="A43" s="171"/>
      <c r="B43" s="171"/>
      <c r="C43" s="171"/>
      <c r="D43" s="5">
        <v>38</v>
      </c>
      <c r="E43" s="5" t="s">
        <v>87</v>
      </c>
      <c r="F43" s="5"/>
      <c r="G43" s="5"/>
      <c r="H43" s="5"/>
      <c r="I43" s="5"/>
      <c r="J43" s="5"/>
      <c r="K43" s="5"/>
      <c r="L43" s="5"/>
      <c r="M43" s="5"/>
      <c r="N43" s="6">
        <v>3.9249999999999998</v>
      </c>
      <c r="O43" s="8">
        <v>0.16</v>
      </c>
      <c r="P43" s="8">
        <v>6.8</v>
      </c>
      <c r="Q43" s="8">
        <v>0.7</v>
      </c>
      <c r="R43" s="5">
        <v>1</v>
      </c>
      <c r="S43" s="5"/>
      <c r="T43" s="6">
        <f t="shared" si="0"/>
        <v>12.584999999999999</v>
      </c>
      <c r="U43" s="9" t="s">
        <v>583</v>
      </c>
      <c r="V43" s="1"/>
      <c r="W43" s="1"/>
      <c r="X43" s="1"/>
      <c r="Y43" s="1"/>
      <c r="Z43" s="1"/>
    </row>
    <row r="44" spans="1:26" ht="24.75" customHeight="1">
      <c r="A44" s="171"/>
      <c r="B44" s="171"/>
      <c r="C44" s="171"/>
      <c r="D44" s="5">
        <v>39</v>
      </c>
      <c r="E44" s="5" t="s">
        <v>88</v>
      </c>
      <c r="F44" s="5"/>
      <c r="G44" s="5"/>
      <c r="H44" s="5"/>
      <c r="I44" s="5"/>
      <c r="J44" s="5"/>
      <c r="K44" s="5"/>
      <c r="L44" s="5"/>
      <c r="M44" s="5"/>
      <c r="N44" s="5"/>
      <c r="O44" s="5"/>
      <c r="P44" s="8">
        <v>0.87</v>
      </c>
      <c r="Q44" s="8">
        <v>15.5</v>
      </c>
      <c r="R44" s="5"/>
      <c r="S44" s="5"/>
      <c r="T44" s="6">
        <f t="shared" si="0"/>
        <v>16.37</v>
      </c>
      <c r="U44" s="9" t="s">
        <v>584</v>
      </c>
      <c r="V44" s="1"/>
      <c r="W44" s="1"/>
      <c r="X44" s="1"/>
      <c r="Y44" s="1"/>
      <c r="Z44" s="1"/>
    </row>
    <row r="45" spans="1:26" ht="188.25" customHeight="1">
      <c r="A45" s="171"/>
      <c r="B45" s="171"/>
      <c r="C45" s="171"/>
      <c r="D45" s="5">
        <v>40</v>
      </c>
      <c r="E45" s="5" t="s">
        <v>89</v>
      </c>
      <c r="F45" s="5"/>
      <c r="G45" s="5"/>
      <c r="H45" s="5"/>
      <c r="I45" s="5"/>
      <c r="J45" s="5"/>
      <c r="K45" s="5"/>
      <c r="L45" s="5"/>
      <c r="M45" s="5"/>
      <c r="N45" s="6">
        <v>0.10920000000000001</v>
      </c>
      <c r="O45" s="5"/>
      <c r="P45" s="8">
        <v>0.15</v>
      </c>
      <c r="Q45" s="6">
        <v>0.56999999999999995</v>
      </c>
      <c r="R45" s="8">
        <v>2</v>
      </c>
      <c r="S45" s="5"/>
      <c r="T45" s="6">
        <f t="shared" si="0"/>
        <v>2.8292000000000002</v>
      </c>
      <c r="U45" s="9" t="s">
        <v>822</v>
      </c>
      <c r="V45" s="1"/>
      <c r="W45" s="1"/>
      <c r="X45" s="1"/>
      <c r="Y45" s="1"/>
      <c r="Z45" s="1"/>
    </row>
    <row r="46" spans="1:26" ht="24.75" customHeight="1">
      <c r="A46" s="171"/>
      <c r="B46" s="169"/>
      <c r="C46" s="169"/>
      <c r="D46" s="5">
        <v>41</v>
      </c>
      <c r="E46" s="5" t="s">
        <v>54</v>
      </c>
      <c r="F46" s="5"/>
      <c r="G46" s="5"/>
      <c r="H46" s="5"/>
      <c r="I46" s="5"/>
      <c r="J46" s="5"/>
      <c r="K46" s="5"/>
      <c r="L46" s="5"/>
      <c r="M46" s="5"/>
      <c r="N46" s="5"/>
      <c r="O46" s="5"/>
      <c r="P46" s="5"/>
      <c r="Q46" s="5"/>
      <c r="R46" s="5"/>
      <c r="S46" s="5"/>
      <c r="T46" s="6">
        <f t="shared" si="0"/>
        <v>0</v>
      </c>
      <c r="U46" s="9"/>
      <c r="V46" s="1"/>
      <c r="W46" s="1"/>
      <c r="X46" s="1"/>
      <c r="Y46" s="1"/>
      <c r="Z46" s="1"/>
    </row>
    <row r="47" spans="1:26" ht="24.75" customHeight="1">
      <c r="A47" s="171"/>
      <c r="B47" s="168" t="s">
        <v>90</v>
      </c>
      <c r="C47" s="168" t="s">
        <v>91</v>
      </c>
      <c r="D47" s="5">
        <v>42</v>
      </c>
      <c r="E47" s="5" t="s">
        <v>92</v>
      </c>
      <c r="F47" s="8">
        <v>17.12</v>
      </c>
      <c r="G47" s="5"/>
      <c r="H47" s="5"/>
      <c r="I47" s="6"/>
      <c r="J47" s="5"/>
      <c r="K47" s="5"/>
      <c r="L47" s="5"/>
      <c r="M47" s="5"/>
      <c r="N47" s="6">
        <v>1.37</v>
      </c>
      <c r="O47" s="5"/>
      <c r="P47" s="8">
        <v>0.9</v>
      </c>
      <c r="Q47" s="5"/>
      <c r="R47" s="5"/>
      <c r="S47" s="5"/>
      <c r="T47" s="6">
        <f t="shared" si="0"/>
        <v>19.39</v>
      </c>
      <c r="U47" s="9"/>
      <c r="V47" s="1"/>
      <c r="W47" s="1"/>
      <c r="X47" s="1"/>
      <c r="Y47" s="1"/>
      <c r="Z47" s="1"/>
    </row>
    <row r="48" spans="1:26" ht="24.75" customHeight="1">
      <c r="A48" s="171"/>
      <c r="B48" s="171"/>
      <c r="C48" s="171"/>
      <c r="D48" s="5">
        <v>43</v>
      </c>
      <c r="E48" s="5" t="s">
        <v>93</v>
      </c>
      <c r="F48" s="8">
        <v>0.23</v>
      </c>
      <c r="G48" s="5"/>
      <c r="H48" s="5"/>
      <c r="I48" s="6"/>
      <c r="J48" s="5"/>
      <c r="K48" s="5"/>
      <c r="L48" s="5"/>
      <c r="M48" s="5"/>
      <c r="N48" s="6">
        <v>0.45750000000000002</v>
      </c>
      <c r="O48" s="5"/>
      <c r="P48" s="8">
        <v>0.6</v>
      </c>
      <c r="Q48" s="5"/>
      <c r="R48" s="5"/>
      <c r="S48" s="5"/>
      <c r="T48" s="6">
        <f t="shared" si="0"/>
        <v>1.2875000000000001</v>
      </c>
      <c r="U48" s="9"/>
      <c r="V48" s="1"/>
      <c r="W48" s="1"/>
      <c r="X48" s="1"/>
      <c r="Y48" s="1"/>
      <c r="Z48" s="1"/>
    </row>
    <row r="49" spans="1:26" ht="24.75" customHeight="1">
      <c r="A49" s="171"/>
      <c r="B49" s="171"/>
      <c r="C49" s="171"/>
      <c r="D49" s="5">
        <v>44</v>
      </c>
      <c r="E49" s="5" t="s">
        <v>94</v>
      </c>
      <c r="F49" s="8">
        <v>0.35</v>
      </c>
      <c r="G49" s="5"/>
      <c r="H49" s="5"/>
      <c r="I49" s="6"/>
      <c r="J49" s="5"/>
      <c r="K49" s="5"/>
      <c r="L49" s="5"/>
      <c r="M49" s="5"/>
      <c r="N49" s="6">
        <v>3.28</v>
      </c>
      <c r="O49" s="8">
        <v>0.38</v>
      </c>
      <c r="P49" s="8">
        <v>0.5</v>
      </c>
      <c r="Q49" s="5"/>
      <c r="R49" s="5"/>
      <c r="S49" s="5"/>
      <c r="T49" s="6">
        <f t="shared" si="0"/>
        <v>4.51</v>
      </c>
      <c r="U49" s="9" t="s">
        <v>363</v>
      </c>
      <c r="V49" s="1"/>
      <c r="W49" s="1"/>
      <c r="X49" s="1"/>
      <c r="Y49" s="1"/>
      <c r="Z49" s="1"/>
    </row>
    <row r="50" spans="1:26" ht="24.75" customHeight="1">
      <c r="A50" s="171"/>
      <c r="B50" s="171"/>
      <c r="C50" s="171"/>
      <c r="D50" s="5">
        <v>45</v>
      </c>
      <c r="E50" s="5" t="s">
        <v>96</v>
      </c>
      <c r="F50" s="8">
        <v>0.1</v>
      </c>
      <c r="G50" s="5"/>
      <c r="H50" s="5"/>
      <c r="I50" s="5"/>
      <c r="J50" s="5"/>
      <c r="K50" s="5"/>
      <c r="L50" s="5"/>
      <c r="M50" s="5"/>
      <c r="N50" s="6">
        <v>1</v>
      </c>
      <c r="O50" s="8">
        <v>0.1</v>
      </c>
      <c r="P50" s="5"/>
      <c r="Q50" s="5"/>
      <c r="R50" s="5"/>
      <c r="S50" s="5"/>
      <c r="T50" s="6">
        <f t="shared" si="0"/>
        <v>1.2000000000000002</v>
      </c>
      <c r="U50" s="9"/>
      <c r="V50" s="1"/>
      <c r="W50" s="1"/>
      <c r="X50" s="1"/>
      <c r="Y50" s="1"/>
      <c r="Z50" s="1"/>
    </row>
    <row r="51" spans="1:26" ht="24.75" customHeight="1">
      <c r="A51" s="171"/>
      <c r="B51" s="171"/>
      <c r="C51" s="171"/>
      <c r="D51" s="5">
        <v>46</v>
      </c>
      <c r="E51" s="5" t="s">
        <v>97</v>
      </c>
      <c r="F51" s="5"/>
      <c r="G51" s="5"/>
      <c r="H51" s="5"/>
      <c r="I51" s="5"/>
      <c r="J51" s="5"/>
      <c r="K51" s="5"/>
      <c r="L51" s="5"/>
      <c r="M51" s="5"/>
      <c r="N51" s="5"/>
      <c r="O51" s="5"/>
      <c r="P51" s="5"/>
      <c r="Q51" s="5"/>
      <c r="R51" s="5"/>
      <c r="S51" s="5"/>
      <c r="T51" s="6">
        <f t="shared" si="0"/>
        <v>0</v>
      </c>
      <c r="U51" s="9"/>
      <c r="V51" s="1"/>
      <c r="W51" s="1"/>
      <c r="X51" s="1"/>
      <c r="Y51" s="1"/>
      <c r="Z51" s="1"/>
    </row>
    <row r="52" spans="1:26" ht="24.75" customHeight="1">
      <c r="A52" s="171"/>
      <c r="B52" s="171"/>
      <c r="C52" s="171"/>
      <c r="D52" s="5">
        <v>47</v>
      </c>
      <c r="E52" s="5" t="s">
        <v>98</v>
      </c>
      <c r="F52" s="8">
        <v>3.4</v>
      </c>
      <c r="G52" s="5"/>
      <c r="H52" s="5"/>
      <c r="I52" s="5"/>
      <c r="J52" s="5"/>
      <c r="K52" s="5"/>
      <c r="L52" s="5"/>
      <c r="M52" s="5"/>
      <c r="N52" s="5"/>
      <c r="O52" s="5"/>
      <c r="P52" s="5"/>
      <c r="Q52" s="5"/>
      <c r="R52" s="5"/>
      <c r="S52" s="5"/>
      <c r="T52" s="6">
        <f t="shared" si="0"/>
        <v>3.4</v>
      </c>
      <c r="U52" s="9"/>
      <c r="V52" s="1"/>
      <c r="W52" s="1"/>
      <c r="X52" s="1"/>
      <c r="Y52" s="1"/>
      <c r="Z52" s="1"/>
    </row>
    <row r="53" spans="1:26" ht="24.75" customHeight="1">
      <c r="A53" s="171"/>
      <c r="B53" s="171"/>
      <c r="C53" s="171"/>
      <c r="D53" s="5">
        <v>48</v>
      </c>
      <c r="E53" s="5" t="s">
        <v>99</v>
      </c>
      <c r="F53" s="5"/>
      <c r="G53" s="5"/>
      <c r="H53" s="5"/>
      <c r="I53" s="5"/>
      <c r="J53" s="5"/>
      <c r="K53" s="5"/>
      <c r="L53" s="5"/>
      <c r="M53" s="5"/>
      <c r="N53" s="6">
        <v>0.1</v>
      </c>
      <c r="O53" s="5"/>
      <c r="P53" s="8"/>
      <c r="Q53" s="5"/>
      <c r="R53" s="5"/>
      <c r="S53" s="5"/>
      <c r="T53" s="6">
        <f t="shared" si="0"/>
        <v>0.1</v>
      </c>
      <c r="U53" s="9"/>
      <c r="V53" s="1"/>
      <c r="W53" s="1"/>
      <c r="X53" s="1"/>
      <c r="Y53" s="1"/>
      <c r="Z53" s="1"/>
    </row>
    <row r="54" spans="1:26" ht="24.75" customHeight="1">
      <c r="A54" s="171"/>
      <c r="B54" s="171"/>
      <c r="C54" s="171"/>
      <c r="D54" s="5">
        <v>49</v>
      </c>
      <c r="E54" s="5" t="s">
        <v>100</v>
      </c>
      <c r="F54" s="5"/>
      <c r="G54" s="5"/>
      <c r="H54" s="5"/>
      <c r="I54" s="5"/>
      <c r="J54" s="5"/>
      <c r="K54" s="5"/>
      <c r="L54" s="5"/>
      <c r="M54" s="5"/>
      <c r="N54" s="5"/>
      <c r="O54" s="5"/>
      <c r="P54" s="5"/>
      <c r="Q54" s="6">
        <v>1.25</v>
      </c>
      <c r="R54" s="8">
        <v>1.49</v>
      </c>
      <c r="S54" s="5"/>
      <c r="T54" s="6">
        <f t="shared" si="0"/>
        <v>2.74</v>
      </c>
      <c r="U54" s="9" t="s">
        <v>310</v>
      </c>
      <c r="V54" s="1"/>
      <c r="W54" s="1"/>
      <c r="X54" s="1"/>
      <c r="Y54" s="1"/>
      <c r="Z54" s="1"/>
    </row>
    <row r="55" spans="1:26" ht="24.75" customHeight="1">
      <c r="A55" s="171"/>
      <c r="B55" s="171"/>
      <c r="C55" s="171"/>
      <c r="D55" s="5">
        <v>50</v>
      </c>
      <c r="E55" s="5" t="s">
        <v>102</v>
      </c>
      <c r="F55" s="5"/>
      <c r="G55" s="5"/>
      <c r="H55" s="5"/>
      <c r="I55" s="6"/>
      <c r="J55" s="5"/>
      <c r="K55" s="5"/>
      <c r="L55" s="5"/>
      <c r="M55" s="5"/>
      <c r="N55" s="6">
        <v>1.1399999999999999</v>
      </c>
      <c r="O55" s="5"/>
      <c r="P55" s="8">
        <v>0.78</v>
      </c>
      <c r="Q55" s="6">
        <v>0.5</v>
      </c>
      <c r="R55" s="8">
        <v>0.113</v>
      </c>
      <c r="S55" s="5"/>
      <c r="T55" s="6">
        <f t="shared" si="0"/>
        <v>2.5329999999999999</v>
      </c>
      <c r="U55" s="9" t="s">
        <v>310</v>
      </c>
      <c r="V55" s="1"/>
      <c r="W55" s="1"/>
      <c r="X55" s="1"/>
      <c r="Y55" s="1"/>
      <c r="Z55" s="1"/>
    </row>
    <row r="56" spans="1:26" ht="24.75" customHeight="1">
      <c r="A56" s="171"/>
      <c r="B56" s="169"/>
      <c r="C56" s="169"/>
      <c r="D56" s="5">
        <v>51</v>
      </c>
      <c r="E56" s="5" t="s">
        <v>54</v>
      </c>
      <c r="F56" s="5"/>
      <c r="G56" s="5"/>
      <c r="H56" s="5"/>
      <c r="I56" s="5"/>
      <c r="J56" s="5"/>
      <c r="K56" s="5"/>
      <c r="L56" s="5"/>
      <c r="M56" s="5"/>
      <c r="N56" s="8"/>
      <c r="O56" s="5"/>
      <c r="P56" s="5">
        <v>1</v>
      </c>
      <c r="Q56" s="5"/>
      <c r="R56" s="5"/>
      <c r="S56" s="5"/>
      <c r="T56" s="6">
        <f t="shared" si="0"/>
        <v>1</v>
      </c>
      <c r="U56" s="9"/>
      <c r="V56" s="1"/>
      <c r="W56" s="1"/>
      <c r="X56" s="1"/>
      <c r="Y56" s="1"/>
      <c r="Z56" s="1"/>
    </row>
    <row r="57" spans="1:26" ht="24.75" customHeight="1">
      <c r="A57" s="171"/>
      <c r="B57" s="168" t="s">
        <v>103</v>
      </c>
      <c r="C57" s="168" t="s">
        <v>104</v>
      </c>
      <c r="D57" s="5">
        <v>52</v>
      </c>
      <c r="E57" s="5" t="s">
        <v>105</v>
      </c>
      <c r="F57" s="123"/>
      <c r="G57" s="123"/>
      <c r="H57" s="123"/>
      <c r="I57" s="125"/>
      <c r="J57" s="123"/>
      <c r="K57" s="125"/>
      <c r="L57" s="123"/>
      <c r="M57" s="123"/>
      <c r="N57" s="125">
        <v>2</v>
      </c>
      <c r="O57" s="124">
        <v>36.341999999999999</v>
      </c>
      <c r="P57" s="123"/>
      <c r="Q57" s="123"/>
      <c r="R57" s="123"/>
      <c r="S57" s="123"/>
      <c r="T57" s="125">
        <f t="shared" ref="T57:T66" si="2">SUM(F57:S57)</f>
        <v>38.341999999999999</v>
      </c>
      <c r="U57" s="9" t="s">
        <v>65</v>
      </c>
      <c r="V57" s="1"/>
      <c r="W57" s="1"/>
      <c r="X57" s="1"/>
      <c r="Y57" s="1"/>
      <c r="Z57" s="1"/>
    </row>
    <row r="58" spans="1:26" ht="24.75" customHeight="1">
      <c r="A58" s="171"/>
      <c r="B58" s="171"/>
      <c r="C58" s="171"/>
      <c r="D58" s="5">
        <v>53</v>
      </c>
      <c r="E58" s="5" t="s">
        <v>106</v>
      </c>
      <c r="F58" s="123"/>
      <c r="G58" s="123"/>
      <c r="H58" s="123"/>
      <c r="I58" s="123"/>
      <c r="J58" s="123"/>
      <c r="K58" s="125"/>
      <c r="L58" s="123"/>
      <c r="M58" s="123"/>
      <c r="N58" s="125"/>
      <c r="O58" s="124">
        <v>4.04</v>
      </c>
      <c r="P58" s="123"/>
      <c r="Q58" s="124">
        <v>3</v>
      </c>
      <c r="R58" s="123"/>
      <c r="S58" s="123"/>
      <c r="T58" s="125">
        <f t="shared" si="2"/>
        <v>7.04</v>
      </c>
      <c r="U58" s="9" t="s">
        <v>65</v>
      </c>
      <c r="V58" s="1"/>
      <c r="W58" s="1"/>
      <c r="X58" s="1"/>
      <c r="Y58" s="1"/>
      <c r="Z58" s="1"/>
    </row>
    <row r="59" spans="1:26" ht="24.75" customHeight="1">
      <c r="A59" s="171"/>
      <c r="B59" s="171"/>
      <c r="C59" s="171"/>
      <c r="D59" s="5">
        <v>54</v>
      </c>
      <c r="E59" s="5" t="s">
        <v>107</v>
      </c>
      <c r="F59" s="123"/>
      <c r="G59" s="123"/>
      <c r="H59" s="124"/>
      <c r="I59" s="123"/>
      <c r="J59" s="123"/>
      <c r="K59" s="123"/>
      <c r="L59" s="123"/>
      <c r="M59" s="123"/>
      <c r="N59" s="123"/>
      <c r="O59" s="124"/>
      <c r="P59" s="124"/>
      <c r="Q59" s="123"/>
      <c r="R59" s="123"/>
      <c r="S59" s="123"/>
      <c r="T59" s="125">
        <f t="shared" si="2"/>
        <v>0</v>
      </c>
      <c r="U59" s="9"/>
      <c r="V59" s="1"/>
      <c r="W59" s="1"/>
      <c r="X59" s="1"/>
      <c r="Y59" s="1"/>
      <c r="Z59" s="1"/>
    </row>
    <row r="60" spans="1:26" ht="24.75" customHeight="1">
      <c r="A60" s="171"/>
      <c r="B60" s="171"/>
      <c r="C60" s="171"/>
      <c r="D60" s="5">
        <v>55</v>
      </c>
      <c r="E60" s="5" t="s">
        <v>108</v>
      </c>
      <c r="F60" s="123"/>
      <c r="G60" s="123"/>
      <c r="H60" s="123"/>
      <c r="I60" s="123"/>
      <c r="J60" s="123"/>
      <c r="K60" s="125"/>
      <c r="L60" s="123"/>
      <c r="M60" s="123"/>
      <c r="N60" s="123"/>
      <c r="O60" s="123"/>
      <c r="P60" s="123"/>
      <c r="Q60" s="123"/>
      <c r="R60" s="123"/>
      <c r="S60" s="123"/>
      <c r="T60" s="125">
        <f t="shared" si="2"/>
        <v>0</v>
      </c>
      <c r="U60" s="9"/>
      <c r="V60" s="1"/>
      <c r="W60" s="1"/>
      <c r="X60" s="1"/>
      <c r="Y60" s="1"/>
      <c r="Z60" s="1"/>
    </row>
    <row r="61" spans="1:26" ht="24.75" customHeight="1">
      <c r="A61" s="171"/>
      <c r="B61" s="171"/>
      <c r="C61" s="171"/>
      <c r="D61" s="5">
        <v>56</v>
      </c>
      <c r="E61" s="5" t="s">
        <v>109</v>
      </c>
      <c r="F61" s="123"/>
      <c r="G61" s="123"/>
      <c r="H61" s="123"/>
      <c r="I61" s="123"/>
      <c r="J61" s="123"/>
      <c r="K61" s="123"/>
      <c r="L61" s="123"/>
      <c r="M61" s="123"/>
      <c r="N61" s="123"/>
      <c r="O61" s="124">
        <v>8.08</v>
      </c>
      <c r="P61" s="123"/>
      <c r="Q61" s="123"/>
      <c r="R61" s="123"/>
      <c r="S61" s="123"/>
      <c r="T61" s="125">
        <f t="shared" si="2"/>
        <v>8.08</v>
      </c>
      <c r="U61" s="9" t="s">
        <v>65</v>
      </c>
      <c r="V61" s="1"/>
      <c r="W61" s="1"/>
      <c r="X61" s="1"/>
      <c r="Y61" s="1"/>
      <c r="Z61" s="1"/>
    </row>
    <row r="62" spans="1:26" ht="24.75" customHeight="1">
      <c r="A62" s="171"/>
      <c r="B62" s="171"/>
      <c r="C62" s="171"/>
      <c r="D62" s="5">
        <v>57</v>
      </c>
      <c r="E62" s="5" t="s">
        <v>110</v>
      </c>
      <c r="F62" s="123"/>
      <c r="G62" s="123"/>
      <c r="H62" s="124"/>
      <c r="I62" s="123"/>
      <c r="J62" s="123"/>
      <c r="K62" s="123"/>
      <c r="L62" s="123"/>
      <c r="M62" s="124">
        <f>1.05*2</f>
        <v>2.1</v>
      </c>
      <c r="N62" s="123"/>
      <c r="O62" s="123"/>
      <c r="P62" s="123"/>
      <c r="Q62" s="123"/>
      <c r="R62" s="123"/>
      <c r="S62" s="123"/>
      <c r="T62" s="125">
        <f t="shared" si="2"/>
        <v>2.1</v>
      </c>
      <c r="U62" s="9" t="s">
        <v>65</v>
      </c>
      <c r="V62" s="1"/>
      <c r="W62" s="1"/>
      <c r="X62" s="1"/>
      <c r="Y62" s="1"/>
      <c r="Z62" s="1"/>
    </row>
    <row r="63" spans="1:26" ht="24.75" customHeight="1">
      <c r="A63" s="171"/>
      <c r="B63" s="171"/>
      <c r="C63" s="171"/>
      <c r="D63" s="5">
        <v>58</v>
      </c>
      <c r="E63" s="5" t="s">
        <v>111</v>
      </c>
      <c r="F63" s="123"/>
      <c r="G63" s="123"/>
      <c r="H63" s="123"/>
      <c r="I63" s="123"/>
      <c r="J63" s="123"/>
      <c r="K63" s="125"/>
      <c r="L63" s="123"/>
      <c r="M63" s="123"/>
      <c r="N63" s="123"/>
      <c r="O63" s="124">
        <v>2.0190000000000001</v>
      </c>
      <c r="P63" s="123"/>
      <c r="Q63" s="124">
        <v>0.75</v>
      </c>
      <c r="R63" s="123"/>
      <c r="S63" s="123"/>
      <c r="T63" s="125">
        <f t="shared" si="2"/>
        <v>2.7690000000000001</v>
      </c>
      <c r="U63" s="9" t="s">
        <v>65</v>
      </c>
      <c r="V63" s="1"/>
      <c r="W63" s="1"/>
      <c r="X63" s="1"/>
      <c r="Y63" s="1"/>
      <c r="Z63" s="1"/>
    </row>
    <row r="64" spans="1:26" ht="24.75" customHeight="1">
      <c r="A64" s="171"/>
      <c r="B64" s="171"/>
      <c r="C64" s="171"/>
      <c r="D64" s="5">
        <v>59</v>
      </c>
      <c r="E64" s="5" t="s">
        <v>112</v>
      </c>
      <c r="F64" s="123"/>
      <c r="G64" s="123"/>
      <c r="H64" s="123"/>
      <c r="I64" s="123"/>
      <c r="J64" s="123"/>
      <c r="K64" s="123"/>
      <c r="L64" s="123"/>
      <c r="M64" s="123"/>
      <c r="N64" s="123"/>
      <c r="O64" s="123"/>
      <c r="P64" s="123"/>
      <c r="Q64" s="123"/>
      <c r="R64" s="123"/>
      <c r="S64" s="123"/>
      <c r="T64" s="125">
        <f t="shared" si="2"/>
        <v>0</v>
      </c>
      <c r="U64" s="9"/>
      <c r="V64" s="1"/>
      <c r="W64" s="1"/>
      <c r="X64" s="1"/>
      <c r="Y64" s="1"/>
      <c r="Z64" s="1"/>
    </row>
    <row r="65" spans="1:26" ht="24.75" customHeight="1">
      <c r="A65" s="171"/>
      <c r="B65" s="171"/>
      <c r="C65" s="171"/>
      <c r="D65" s="5">
        <v>60</v>
      </c>
      <c r="E65" s="5" t="s">
        <v>113</v>
      </c>
      <c r="F65" s="123"/>
      <c r="G65" s="123"/>
      <c r="H65" s="123"/>
      <c r="I65" s="123"/>
      <c r="J65" s="123"/>
      <c r="K65" s="123"/>
      <c r="L65" s="123"/>
      <c r="M65" s="123"/>
      <c r="N65" s="123"/>
      <c r="O65" s="123"/>
      <c r="P65" s="123"/>
      <c r="Q65" s="123"/>
      <c r="R65" s="123"/>
      <c r="S65" s="123"/>
      <c r="T65" s="125">
        <f t="shared" si="2"/>
        <v>0</v>
      </c>
      <c r="U65" s="9"/>
      <c r="V65" s="1"/>
      <c r="W65" s="1"/>
      <c r="X65" s="1"/>
      <c r="Y65" s="1"/>
      <c r="Z65" s="1"/>
    </row>
    <row r="66" spans="1:26" ht="24.75" customHeight="1">
      <c r="A66" s="171"/>
      <c r="B66" s="169"/>
      <c r="C66" s="169"/>
      <c r="D66" s="5">
        <v>61</v>
      </c>
      <c r="E66" s="5" t="s">
        <v>54</v>
      </c>
      <c r="F66" s="123"/>
      <c r="G66" s="123"/>
      <c r="H66" s="123"/>
      <c r="I66" s="123"/>
      <c r="J66" s="123"/>
      <c r="K66" s="123"/>
      <c r="L66" s="123"/>
      <c r="M66" s="123"/>
      <c r="N66" s="123"/>
      <c r="O66" s="123"/>
      <c r="P66" s="123"/>
      <c r="Q66" s="123"/>
      <c r="R66" s="123"/>
      <c r="S66" s="123"/>
      <c r="T66" s="125">
        <f t="shared" si="2"/>
        <v>0</v>
      </c>
      <c r="U66" s="9"/>
      <c r="V66" s="1"/>
      <c r="W66" s="1"/>
      <c r="X66" s="1"/>
      <c r="Y66" s="1"/>
      <c r="Z66" s="1"/>
    </row>
    <row r="67" spans="1:26" ht="24.75" customHeight="1">
      <c r="A67" s="171"/>
      <c r="B67" s="5" t="s">
        <v>114</v>
      </c>
      <c r="C67" s="5" t="s">
        <v>115</v>
      </c>
      <c r="D67" s="5">
        <v>62</v>
      </c>
      <c r="E67" s="5" t="s">
        <v>116</v>
      </c>
      <c r="F67" s="5"/>
      <c r="G67" s="5"/>
      <c r="H67" s="5"/>
      <c r="I67" s="5"/>
      <c r="J67" s="5"/>
      <c r="K67" s="5"/>
      <c r="L67" s="5"/>
      <c r="M67" s="6"/>
      <c r="N67" s="5"/>
      <c r="O67" s="8"/>
      <c r="P67" s="8"/>
      <c r="Q67" s="6">
        <v>0.25</v>
      </c>
      <c r="R67" s="5"/>
      <c r="S67" s="8"/>
      <c r="T67" s="6">
        <f t="shared" si="0"/>
        <v>0.25</v>
      </c>
      <c r="U67" s="53" t="s">
        <v>577</v>
      </c>
      <c r="V67" s="1"/>
      <c r="W67" s="1"/>
      <c r="X67" s="1"/>
      <c r="Y67" s="1"/>
      <c r="Z67" s="1"/>
    </row>
    <row r="68" spans="1:26" ht="24.75" customHeight="1">
      <c r="A68" s="169"/>
      <c r="B68" s="176" t="s">
        <v>117</v>
      </c>
      <c r="C68" s="177"/>
      <c r="D68" s="178"/>
      <c r="E68" s="51"/>
      <c r="F68" s="51">
        <f t="shared" ref="F68:S68" si="3">SUM(F6:F67)</f>
        <v>67.31</v>
      </c>
      <c r="G68" s="51">
        <f t="shared" si="3"/>
        <v>0</v>
      </c>
      <c r="H68" s="51">
        <f t="shared" si="3"/>
        <v>0</v>
      </c>
      <c r="I68" s="51">
        <f t="shared" si="3"/>
        <v>10.975</v>
      </c>
      <c r="J68" s="51">
        <f t="shared" si="3"/>
        <v>0</v>
      </c>
      <c r="K68" s="51">
        <f t="shared" si="3"/>
        <v>70.236000000000004</v>
      </c>
      <c r="L68" s="51">
        <f t="shared" si="3"/>
        <v>0</v>
      </c>
      <c r="M68" s="51">
        <f t="shared" si="3"/>
        <v>28.315999999999999</v>
      </c>
      <c r="N68" s="51">
        <f t="shared" si="3"/>
        <v>38.181550000000009</v>
      </c>
      <c r="O68" s="51">
        <f t="shared" si="3"/>
        <v>208.63524999999998</v>
      </c>
      <c r="P68" s="51">
        <f t="shared" si="3"/>
        <v>300.31599999999997</v>
      </c>
      <c r="Q68" s="51">
        <f t="shared" si="3"/>
        <v>29.3325</v>
      </c>
      <c r="R68" s="51">
        <f t="shared" si="3"/>
        <v>14.311499999999999</v>
      </c>
      <c r="S68" s="51">
        <f t="shared" si="3"/>
        <v>0.35</v>
      </c>
      <c r="T68" s="6">
        <f t="shared" si="0"/>
        <v>767.96380000000011</v>
      </c>
      <c r="U68" s="9"/>
      <c r="V68" s="1"/>
      <c r="W68" s="1"/>
      <c r="X68" s="1"/>
      <c r="Y68" s="1"/>
      <c r="Z68" s="1"/>
    </row>
    <row r="69" spans="1:26" ht="39.75" customHeight="1">
      <c r="A69" s="175" t="s">
        <v>118</v>
      </c>
      <c r="B69" s="5" t="s">
        <v>119</v>
      </c>
      <c r="C69" s="5" t="s">
        <v>120</v>
      </c>
      <c r="D69" s="5">
        <v>63</v>
      </c>
      <c r="E69" s="5" t="s">
        <v>121</v>
      </c>
      <c r="F69" s="5"/>
      <c r="G69" s="5"/>
      <c r="H69" s="5"/>
      <c r="I69" s="5"/>
      <c r="J69" s="5"/>
      <c r="K69" s="5"/>
      <c r="L69" s="5"/>
      <c r="M69" s="8"/>
      <c r="N69" s="6">
        <v>8.65</v>
      </c>
      <c r="O69" s="5"/>
      <c r="P69" s="6"/>
      <c r="Q69" s="5"/>
      <c r="R69" s="8">
        <v>5</v>
      </c>
      <c r="S69" s="8">
        <v>2</v>
      </c>
      <c r="T69" s="6">
        <f t="shared" si="0"/>
        <v>15.65</v>
      </c>
      <c r="U69" s="9" t="s">
        <v>364</v>
      </c>
      <c r="V69" s="1"/>
      <c r="W69" s="1"/>
      <c r="X69" s="1"/>
      <c r="Y69" s="1"/>
      <c r="Z69" s="1"/>
    </row>
    <row r="70" spans="1:26" ht="39.75" customHeight="1">
      <c r="A70" s="171"/>
      <c r="B70" s="168" t="s">
        <v>122</v>
      </c>
      <c r="C70" s="168" t="s">
        <v>123</v>
      </c>
      <c r="D70" s="5">
        <v>64</v>
      </c>
      <c r="E70" s="5" t="s">
        <v>124</v>
      </c>
      <c r="F70" s="15"/>
      <c r="G70" s="15"/>
      <c r="H70" s="16"/>
      <c r="I70" s="17"/>
      <c r="J70" s="15"/>
      <c r="K70" s="17"/>
      <c r="L70" s="15"/>
      <c r="M70" s="15"/>
      <c r="N70" s="17">
        <v>12.68</v>
      </c>
      <c r="O70" s="16">
        <v>0.52500000000000002</v>
      </c>
      <c r="P70" s="17">
        <f>33.84+1.28</f>
        <v>35.120000000000005</v>
      </c>
      <c r="Q70" s="17">
        <f>0.61+0.5</f>
        <v>1.1099999999999999</v>
      </c>
      <c r="R70" s="16">
        <v>2</v>
      </c>
      <c r="S70" s="16">
        <v>5</v>
      </c>
      <c r="T70" s="6">
        <f t="shared" ref="T70:T133" si="4">SUM(F70:S70)</f>
        <v>56.435000000000002</v>
      </c>
      <c r="U70" s="33" t="s">
        <v>365</v>
      </c>
      <c r="V70" s="1"/>
      <c r="W70" s="1"/>
      <c r="X70" s="1"/>
      <c r="Y70" s="1"/>
      <c r="Z70" s="1"/>
    </row>
    <row r="71" spans="1:26" ht="39.75" customHeight="1">
      <c r="A71" s="171"/>
      <c r="B71" s="171"/>
      <c r="C71" s="171"/>
      <c r="D71" s="5">
        <v>65</v>
      </c>
      <c r="E71" s="5" t="s">
        <v>126</v>
      </c>
      <c r="F71" s="15"/>
      <c r="G71" s="15"/>
      <c r="H71" s="15"/>
      <c r="I71" s="15"/>
      <c r="J71" s="15"/>
      <c r="K71" s="15"/>
      <c r="L71" s="15"/>
      <c r="M71" s="15"/>
      <c r="N71" s="17"/>
      <c r="O71" s="15"/>
      <c r="P71" s="16">
        <v>0.17</v>
      </c>
      <c r="Q71" s="15"/>
      <c r="R71" s="15"/>
      <c r="S71" s="16"/>
      <c r="T71" s="6">
        <f t="shared" si="4"/>
        <v>0.17</v>
      </c>
      <c r="U71" s="9" t="s">
        <v>366</v>
      </c>
      <c r="V71" s="1"/>
      <c r="W71" s="1"/>
      <c r="X71" s="1"/>
      <c r="Y71" s="1"/>
      <c r="Z71" s="1"/>
    </row>
    <row r="72" spans="1:26" ht="39.75" customHeight="1">
      <c r="A72" s="171"/>
      <c r="B72" s="171"/>
      <c r="C72" s="171"/>
      <c r="D72" s="5">
        <v>66</v>
      </c>
      <c r="E72" s="5" t="s">
        <v>128</v>
      </c>
      <c r="F72" s="15"/>
      <c r="G72" s="15"/>
      <c r="H72" s="15"/>
      <c r="I72" s="15"/>
      <c r="J72" s="15"/>
      <c r="K72" s="17"/>
      <c r="L72" s="15"/>
      <c r="M72" s="15"/>
      <c r="N72" s="17">
        <v>0.2</v>
      </c>
      <c r="O72" s="15"/>
      <c r="P72" s="16"/>
      <c r="Q72" s="17">
        <v>0.05</v>
      </c>
      <c r="R72" s="34">
        <v>0.15</v>
      </c>
      <c r="S72" s="15"/>
      <c r="T72" s="6">
        <f t="shared" si="4"/>
        <v>0.4</v>
      </c>
      <c r="U72" s="9" t="s">
        <v>129</v>
      </c>
      <c r="V72" s="1"/>
      <c r="W72" s="1"/>
      <c r="X72" s="1"/>
      <c r="Y72" s="1"/>
      <c r="Z72" s="1"/>
    </row>
    <row r="73" spans="1:26" ht="39.75" customHeight="1">
      <c r="A73" s="171"/>
      <c r="B73" s="171"/>
      <c r="C73" s="171"/>
      <c r="D73" s="5">
        <v>67</v>
      </c>
      <c r="E73" s="5" t="s">
        <v>131</v>
      </c>
      <c r="F73" s="15"/>
      <c r="G73" s="15"/>
      <c r="H73" s="15"/>
      <c r="I73" s="15">
        <v>1.325</v>
      </c>
      <c r="J73" s="15"/>
      <c r="K73" s="17"/>
      <c r="L73" s="15"/>
      <c r="M73" s="15"/>
      <c r="N73" s="17">
        <v>0.6</v>
      </c>
      <c r="O73" s="15">
        <v>1.5</v>
      </c>
      <c r="P73" s="16">
        <v>2</v>
      </c>
      <c r="Q73" s="17">
        <v>0.94499999999999995</v>
      </c>
      <c r="R73" s="16">
        <v>3.75</v>
      </c>
      <c r="S73" s="16"/>
      <c r="T73" s="6">
        <f t="shared" si="4"/>
        <v>10.120000000000001</v>
      </c>
      <c r="U73" s="9" t="s">
        <v>367</v>
      </c>
      <c r="V73" s="1"/>
      <c r="W73" s="1"/>
      <c r="X73" s="1"/>
      <c r="Y73" s="1"/>
      <c r="Z73" s="1"/>
    </row>
    <row r="74" spans="1:26" ht="39.75" customHeight="1">
      <c r="A74" s="171"/>
      <c r="B74" s="169"/>
      <c r="C74" s="169"/>
      <c r="D74" s="5">
        <v>68</v>
      </c>
      <c r="E74" s="5" t="s">
        <v>133</v>
      </c>
      <c r="F74" s="16"/>
      <c r="G74" s="15"/>
      <c r="H74" s="15"/>
      <c r="I74" s="17"/>
      <c r="J74" s="15"/>
      <c r="K74" s="17"/>
      <c r="L74" s="15"/>
      <c r="M74" s="15"/>
      <c r="N74" s="17">
        <v>1.1000000000000001</v>
      </c>
      <c r="O74" s="16"/>
      <c r="P74" s="16">
        <v>2.65</v>
      </c>
      <c r="Q74" s="17">
        <v>3</v>
      </c>
      <c r="R74" s="16">
        <v>5.9</v>
      </c>
      <c r="S74" s="16">
        <v>1.4</v>
      </c>
      <c r="T74" s="6">
        <f t="shared" si="4"/>
        <v>14.05</v>
      </c>
      <c r="U74" s="9" t="s">
        <v>368</v>
      </c>
      <c r="V74" s="1"/>
      <c r="W74" s="1"/>
      <c r="X74" s="1"/>
      <c r="Y74" s="1"/>
      <c r="Z74" s="1"/>
    </row>
    <row r="75" spans="1:26" ht="39.75" customHeight="1">
      <c r="A75" s="171"/>
      <c r="B75" s="168" t="s">
        <v>136</v>
      </c>
      <c r="C75" s="168" t="s">
        <v>137</v>
      </c>
      <c r="D75" s="5">
        <v>69</v>
      </c>
      <c r="E75" s="5" t="s">
        <v>138</v>
      </c>
      <c r="F75" s="20"/>
      <c r="G75" s="20"/>
      <c r="H75" s="20"/>
      <c r="I75" s="20"/>
      <c r="J75" s="20"/>
      <c r="K75" s="20"/>
      <c r="L75" s="20"/>
      <c r="M75" s="20">
        <v>0.68</v>
      </c>
      <c r="N75" s="20"/>
      <c r="O75" s="20">
        <v>88.509</v>
      </c>
      <c r="P75" s="20">
        <v>0.6</v>
      </c>
      <c r="Q75" s="20"/>
      <c r="R75" s="20"/>
      <c r="S75" s="20"/>
      <c r="T75" s="6">
        <f t="shared" si="4"/>
        <v>89.789000000000001</v>
      </c>
      <c r="U75" s="10" t="s">
        <v>369</v>
      </c>
      <c r="V75" s="1"/>
      <c r="W75" s="1"/>
      <c r="X75" s="1"/>
      <c r="Y75" s="1"/>
      <c r="Z75" s="1"/>
    </row>
    <row r="76" spans="1:26" ht="39.75" customHeight="1">
      <c r="A76" s="171"/>
      <c r="B76" s="171"/>
      <c r="C76" s="171"/>
      <c r="D76" s="5">
        <v>70</v>
      </c>
      <c r="E76" s="5" t="s">
        <v>140</v>
      </c>
      <c r="F76" s="20"/>
      <c r="G76" s="20"/>
      <c r="H76" s="20"/>
      <c r="I76" s="20">
        <v>0.34</v>
      </c>
      <c r="J76" s="20"/>
      <c r="K76" s="20"/>
      <c r="L76" s="20"/>
      <c r="M76" s="20"/>
      <c r="N76" s="20"/>
      <c r="O76" s="20"/>
      <c r="P76" s="20">
        <v>0.3</v>
      </c>
      <c r="Q76" s="20"/>
      <c r="R76" s="35"/>
      <c r="S76" s="20"/>
      <c r="T76" s="6">
        <f t="shared" si="4"/>
        <v>0.64</v>
      </c>
      <c r="U76" s="46" t="s">
        <v>370</v>
      </c>
      <c r="V76" s="1"/>
      <c r="W76" s="1"/>
      <c r="X76" s="1"/>
      <c r="Y76" s="1"/>
      <c r="Z76" s="1"/>
    </row>
    <row r="77" spans="1:26" ht="39.75" customHeight="1">
      <c r="A77" s="171"/>
      <c r="B77" s="171"/>
      <c r="C77" s="171"/>
      <c r="D77" s="5">
        <v>71</v>
      </c>
      <c r="E77" s="5" t="s">
        <v>142</v>
      </c>
      <c r="F77" s="20"/>
      <c r="G77" s="20"/>
      <c r="H77" s="20"/>
      <c r="I77" s="20"/>
      <c r="J77" s="20"/>
      <c r="K77" s="20"/>
      <c r="L77" s="20"/>
      <c r="M77" s="20"/>
      <c r="N77" s="20"/>
      <c r="O77" s="20"/>
      <c r="P77" s="20"/>
      <c r="Q77" s="20"/>
      <c r="R77" s="20"/>
      <c r="S77" s="20"/>
      <c r="T77" s="6">
        <f t="shared" si="4"/>
        <v>0</v>
      </c>
      <c r="U77" s="46"/>
      <c r="V77" s="1"/>
      <c r="W77" s="1"/>
      <c r="X77" s="1"/>
      <c r="Y77" s="1"/>
      <c r="Z77" s="1"/>
    </row>
    <row r="78" spans="1:26" ht="39.75" customHeight="1">
      <c r="A78" s="171"/>
      <c r="B78" s="169"/>
      <c r="C78" s="169"/>
      <c r="D78" s="5">
        <v>72</v>
      </c>
      <c r="E78" s="5" t="s">
        <v>143</v>
      </c>
      <c r="F78" s="23"/>
      <c r="G78" s="23"/>
      <c r="H78" s="23"/>
      <c r="I78" s="23"/>
      <c r="J78" s="23"/>
      <c r="K78" s="23"/>
      <c r="L78" s="23"/>
      <c r="M78" s="23"/>
      <c r="N78" s="23">
        <v>5.2469999999999999</v>
      </c>
      <c r="O78" s="23"/>
      <c r="P78" s="23"/>
      <c r="Q78" s="23">
        <v>3.3740000000000001</v>
      </c>
      <c r="R78" s="23">
        <v>2.7949999999999999</v>
      </c>
      <c r="S78" s="23"/>
      <c r="T78" s="6">
        <f t="shared" si="4"/>
        <v>11.416</v>
      </c>
      <c r="U78" s="46" t="s">
        <v>371</v>
      </c>
      <c r="V78" s="1"/>
      <c r="W78" s="1"/>
      <c r="X78" s="1"/>
      <c r="Y78" s="1"/>
      <c r="Z78" s="1"/>
    </row>
    <row r="79" spans="1:26" ht="39.75" customHeight="1">
      <c r="A79" s="171"/>
      <c r="B79" s="168" t="s">
        <v>145</v>
      </c>
      <c r="C79" s="168" t="s">
        <v>146</v>
      </c>
      <c r="D79" s="5">
        <v>73</v>
      </c>
      <c r="E79" s="5" t="s">
        <v>147</v>
      </c>
      <c r="F79" s="128">
        <v>6.7</v>
      </c>
      <c r="G79" s="128"/>
      <c r="H79" s="128">
        <v>2.5</v>
      </c>
      <c r="I79" s="128">
        <f>2.5+2.4+2+1.5</f>
        <v>8.4</v>
      </c>
      <c r="J79" s="112"/>
      <c r="K79" s="128">
        <v>2.8</v>
      </c>
      <c r="L79" s="112"/>
      <c r="M79" s="128">
        <f>5.4+5.3</f>
        <v>10.7</v>
      </c>
      <c r="N79" s="128">
        <f>4.4+2+0.7</f>
        <v>7.1000000000000005</v>
      </c>
      <c r="O79" s="128"/>
      <c r="P79" s="128">
        <f>1.2+0.25+1.5</f>
        <v>2.95</v>
      </c>
      <c r="Q79" s="112"/>
      <c r="R79" s="128">
        <f>4.1+2.3+2.5+2+3.3+1.2</f>
        <v>15.399999999999999</v>
      </c>
      <c r="S79" s="128">
        <f>0.6</f>
        <v>0.6</v>
      </c>
      <c r="T79" s="129">
        <f>SUM(F79:S79)</f>
        <v>57.150000000000006</v>
      </c>
      <c r="U79" s="130" t="s">
        <v>744</v>
      </c>
      <c r="V79" s="1"/>
      <c r="W79" s="1"/>
      <c r="X79" s="1"/>
      <c r="Y79" s="1"/>
      <c r="Z79" s="1"/>
    </row>
    <row r="80" spans="1:26" ht="39.75" customHeight="1">
      <c r="A80" s="171"/>
      <c r="B80" s="171"/>
      <c r="C80" s="171"/>
      <c r="D80" s="5">
        <v>74</v>
      </c>
      <c r="E80" s="5" t="s">
        <v>148</v>
      </c>
      <c r="F80" s="128">
        <f>59+4.1</f>
        <v>63.1</v>
      </c>
      <c r="G80" s="128"/>
      <c r="H80" s="112"/>
      <c r="I80" s="112"/>
      <c r="J80" s="112"/>
      <c r="K80" s="112"/>
      <c r="L80" s="112"/>
      <c r="M80" s="112"/>
      <c r="N80" s="112"/>
      <c r="O80" s="112"/>
      <c r="P80" s="112"/>
      <c r="Q80" s="112"/>
      <c r="R80" s="112"/>
      <c r="S80" s="112"/>
      <c r="T80" s="129">
        <f t="shared" ref="T80:T84" si="5">SUM(F80:S80)</f>
        <v>63.1</v>
      </c>
      <c r="U80" s="130" t="s">
        <v>745</v>
      </c>
      <c r="V80" s="1"/>
      <c r="W80" s="1"/>
      <c r="X80" s="1"/>
      <c r="Y80" s="1"/>
      <c r="Z80" s="1"/>
    </row>
    <row r="81" spans="1:26" ht="39.75" customHeight="1">
      <c r="A81" s="171"/>
      <c r="B81" s="171"/>
      <c r="C81" s="171"/>
      <c r="D81" s="5">
        <v>75</v>
      </c>
      <c r="E81" s="5" t="s">
        <v>149</v>
      </c>
      <c r="F81" s="128">
        <f>3.9+1.7</f>
        <v>5.6</v>
      </c>
      <c r="G81" s="128"/>
      <c r="H81" s="112"/>
      <c r="I81" s="112"/>
      <c r="J81" s="112"/>
      <c r="K81" s="112"/>
      <c r="L81" s="112"/>
      <c r="M81" s="112"/>
      <c r="N81" s="112"/>
      <c r="O81" s="112"/>
      <c r="P81" s="128">
        <f>5.5</f>
        <v>5.5</v>
      </c>
      <c r="Q81" s="112"/>
      <c r="R81" s="112"/>
      <c r="S81" s="112"/>
      <c r="T81" s="129">
        <f t="shared" si="5"/>
        <v>11.1</v>
      </c>
      <c r="U81" s="130" t="s">
        <v>746</v>
      </c>
      <c r="V81" s="1"/>
      <c r="W81" s="1"/>
      <c r="X81" s="1"/>
      <c r="Y81" s="1"/>
      <c r="Z81" s="1"/>
    </row>
    <row r="82" spans="1:26" ht="39.75" customHeight="1">
      <c r="A82" s="171"/>
      <c r="B82" s="171"/>
      <c r="C82" s="171"/>
      <c r="D82" s="5">
        <v>76</v>
      </c>
      <c r="E82" s="5" t="s">
        <v>150</v>
      </c>
      <c r="F82" s="112"/>
      <c r="G82" s="112"/>
      <c r="H82" s="112"/>
      <c r="I82" s="112"/>
      <c r="J82" s="112"/>
      <c r="K82" s="128"/>
      <c r="L82" s="112"/>
      <c r="M82" s="128">
        <f>2.2</f>
        <v>2.2000000000000002</v>
      </c>
      <c r="N82" s="112"/>
      <c r="O82" s="112"/>
      <c r="P82" s="112"/>
      <c r="Q82" s="112"/>
      <c r="R82" s="112"/>
      <c r="S82" s="112"/>
      <c r="T82" s="129">
        <f t="shared" si="5"/>
        <v>2.2000000000000002</v>
      </c>
      <c r="U82" s="131" t="s">
        <v>747</v>
      </c>
      <c r="V82" s="1"/>
      <c r="W82" s="1"/>
      <c r="X82" s="1"/>
      <c r="Y82" s="1"/>
      <c r="Z82" s="1"/>
    </row>
    <row r="83" spans="1:26" ht="39.75" customHeight="1">
      <c r="A83" s="171"/>
      <c r="B83" s="171"/>
      <c r="C83" s="171"/>
      <c r="D83" s="5">
        <v>77</v>
      </c>
      <c r="E83" s="5" t="s">
        <v>151</v>
      </c>
      <c r="F83" s="128">
        <f>2.1</f>
        <v>2.1</v>
      </c>
      <c r="G83" s="128"/>
      <c r="H83" s="128">
        <v>1.5</v>
      </c>
      <c r="I83" s="128">
        <f>1+1</f>
        <v>2</v>
      </c>
      <c r="J83" s="112"/>
      <c r="K83" s="128">
        <f>1.4</f>
        <v>1.4</v>
      </c>
      <c r="L83" s="112"/>
      <c r="M83" s="128"/>
      <c r="N83" s="128">
        <f>0.4</f>
        <v>0.4</v>
      </c>
      <c r="O83" s="112"/>
      <c r="P83" s="112"/>
      <c r="Q83" s="112"/>
      <c r="R83" s="112"/>
      <c r="S83" s="128">
        <f>0.5</f>
        <v>0.5</v>
      </c>
      <c r="T83" s="129">
        <f t="shared" si="5"/>
        <v>7.9</v>
      </c>
      <c r="U83" s="130" t="s">
        <v>748</v>
      </c>
      <c r="V83" s="1"/>
      <c r="W83" s="1"/>
      <c r="X83" s="1"/>
      <c r="Y83" s="1"/>
      <c r="Z83" s="1"/>
    </row>
    <row r="84" spans="1:26" ht="39.75" customHeight="1">
      <c r="A84" s="171"/>
      <c r="B84" s="171"/>
      <c r="C84" s="171"/>
      <c r="D84" s="5">
        <v>78</v>
      </c>
      <c r="E84" s="5" t="s">
        <v>152</v>
      </c>
      <c r="F84" s="112"/>
      <c r="G84" s="112"/>
      <c r="H84" s="112"/>
      <c r="I84" s="112"/>
      <c r="J84" s="112"/>
      <c r="K84" s="112"/>
      <c r="L84" s="112"/>
      <c r="M84" s="112"/>
      <c r="N84" s="112"/>
      <c r="O84" s="112"/>
      <c r="P84" s="112"/>
      <c r="Q84" s="128">
        <f>10.29+1</f>
        <v>11.29</v>
      </c>
      <c r="R84" s="112"/>
      <c r="S84" s="112"/>
      <c r="T84" s="129">
        <f t="shared" si="5"/>
        <v>11.29</v>
      </c>
      <c r="U84" s="130" t="s">
        <v>749</v>
      </c>
      <c r="V84" s="1"/>
      <c r="W84" s="1"/>
      <c r="X84" s="1"/>
      <c r="Y84" s="1"/>
      <c r="Z84" s="1"/>
    </row>
    <row r="85" spans="1:26" ht="39.75" customHeight="1">
      <c r="A85" s="171"/>
      <c r="B85" s="169"/>
      <c r="C85" s="169"/>
      <c r="D85" s="5">
        <v>79</v>
      </c>
      <c r="E85" s="5" t="s">
        <v>54</v>
      </c>
      <c r="F85" s="112"/>
      <c r="G85" s="112"/>
      <c r="H85" s="112"/>
      <c r="I85" s="112"/>
      <c r="J85" s="112"/>
      <c r="K85" s="112"/>
      <c r="L85" s="112"/>
      <c r="M85" s="112"/>
      <c r="N85" s="112"/>
      <c r="O85" s="112"/>
      <c r="P85" s="112"/>
      <c r="Q85" s="112"/>
      <c r="R85" s="112"/>
      <c r="S85" s="112"/>
      <c r="T85" s="129"/>
      <c r="U85" s="112"/>
      <c r="V85" s="1"/>
      <c r="W85" s="1"/>
      <c r="X85" s="1"/>
      <c r="Y85" s="1"/>
      <c r="Z85" s="1"/>
    </row>
    <row r="86" spans="1:26" ht="39.75" customHeight="1">
      <c r="A86" s="171"/>
      <c r="B86" s="168" t="s">
        <v>153</v>
      </c>
      <c r="C86" s="168" t="s">
        <v>154</v>
      </c>
      <c r="D86" s="5">
        <v>80</v>
      </c>
      <c r="E86" s="5" t="s">
        <v>155</v>
      </c>
      <c r="F86" s="5"/>
      <c r="G86" s="5"/>
      <c r="H86" s="5"/>
      <c r="I86" s="5"/>
      <c r="J86" s="5"/>
      <c r="K86" s="25"/>
      <c r="L86" s="5"/>
      <c r="M86" s="6"/>
      <c r="N86" s="5"/>
      <c r="O86" s="5"/>
      <c r="P86" s="8">
        <v>3.6</v>
      </c>
      <c r="Q86" s="6">
        <v>1</v>
      </c>
      <c r="R86" s="8"/>
      <c r="S86" s="5"/>
      <c r="T86" s="6">
        <f t="shared" si="4"/>
        <v>4.5999999999999996</v>
      </c>
      <c r="U86" s="148" t="s">
        <v>869</v>
      </c>
      <c r="V86" s="1"/>
      <c r="W86" s="1"/>
      <c r="X86" s="1"/>
      <c r="Y86" s="1"/>
      <c r="Z86" s="1"/>
    </row>
    <row r="87" spans="1:26" ht="39.75" customHeight="1">
      <c r="A87" s="171"/>
      <c r="B87" s="171"/>
      <c r="C87" s="171"/>
      <c r="D87" s="5">
        <v>81</v>
      </c>
      <c r="E87" s="5" t="s">
        <v>156</v>
      </c>
      <c r="F87" s="5"/>
      <c r="G87" s="5"/>
      <c r="H87" s="5"/>
      <c r="I87" s="5"/>
      <c r="J87" s="5"/>
      <c r="K87" s="5"/>
      <c r="L87" s="5"/>
      <c r="M87" s="6"/>
      <c r="N87" s="6"/>
      <c r="O87" s="5"/>
      <c r="P87" s="8"/>
      <c r="Q87" s="8"/>
      <c r="R87" s="5"/>
      <c r="S87" s="5"/>
      <c r="T87" s="6">
        <f t="shared" si="4"/>
        <v>0</v>
      </c>
      <c r="U87" s="149" t="s">
        <v>870</v>
      </c>
      <c r="V87" s="1"/>
      <c r="W87" s="1"/>
      <c r="X87" s="1"/>
      <c r="Y87" s="1"/>
      <c r="Z87" s="1"/>
    </row>
    <row r="88" spans="1:26" ht="39.75" customHeight="1">
      <c r="A88" s="171"/>
      <c r="B88" s="171"/>
      <c r="C88" s="171"/>
      <c r="D88" s="5">
        <v>82</v>
      </c>
      <c r="E88" s="5" t="s">
        <v>157</v>
      </c>
      <c r="F88" s="5"/>
      <c r="G88" s="5"/>
      <c r="H88" s="5"/>
      <c r="I88" s="5"/>
      <c r="J88" s="5"/>
      <c r="K88" s="5"/>
      <c r="L88" s="5"/>
      <c r="M88" s="5"/>
      <c r="N88" s="5"/>
      <c r="O88" s="5"/>
      <c r="P88" s="8"/>
      <c r="Q88" s="5"/>
      <c r="R88" s="5"/>
      <c r="S88" s="5"/>
      <c r="T88" s="6">
        <f t="shared" si="4"/>
        <v>0</v>
      </c>
      <c r="U88" s="150"/>
      <c r="V88" s="1"/>
      <c r="W88" s="1"/>
      <c r="X88" s="1"/>
      <c r="Y88" s="1"/>
      <c r="Z88" s="1"/>
    </row>
    <row r="89" spans="1:26" ht="39.75" customHeight="1">
      <c r="A89" s="171"/>
      <c r="B89" s="169"/>
      <c r="C89" s="169"/>
      <c r="D89" s="5">
        <v>83</v>
      </c>
      <c r="E89" s="5" t="s">
        <v>158</v>
      </c>
      <c r="F89" s="5"/>
      <c r="G89" s="5"/>
      <c r="H89" s="5"/>
      <c r="I89" s="5"/>
      <c r="J89" s="5"/>
      <c r="K89" s="6">
        <v>3</v>
      </c>
      <c r="L89" s="5"/>
      <c r="M89" s="8"/>
      <c r="N89" s="6"/>
      <c r="O89" s="5"/>
      <c r="P89" s="8">
        <v>1.54</v>
      </c>
      <c r="Q89" s="6"/>
      <c r="R89" s="8"/>
      <c r="S89" s="5"/>
      <c r="T89" s="6">
        <f t="shared" si="4"/>
        <v>4.54</v>
      </c>
      <c r="U89" s="149" t="s">
        <v>871</v>
      </c>
      <c r="V89" s="1"/>
      <c r="W89" s="1"/>
      <c r="X89" s="1"/>
      <c r="Y89" s="1"/>
      <c r="Z89" s="1"/>
    </row>
    <row r="90" spans="1:26" ht="39.75" customHeight="1">
      <c r="A90" s="171"/>
      <c r="B90" s="5" t="s">
        <v>159</v>
      </c>
      <c r="C90" s="5" t="s">
        <v>160</v>
      </c>
      <c r="D90" s="5">
        <v>84</v>
      </c>
      <c r="E90" s="5" t="s">
        <v>161</v>
      </c>
      <c r="F90" s="5"/>
      <c r="G90" s="5"/>
      <c r="H90" s="5"/>
      <c r="I90" s="6"/>
      <c r="J90" s="5"/>
      <c r="K90" s="6"/>
      <c r="L90" s="5"/>
      <c r="M90" s="5"/>
      <c r="N90" s="6">
        <v>0.78</v>
      </c>
      <c r="O90" s="5"/>
      <c r="P90" s="5"/>
      <c r="Q90" s="6">
        <v>2.5</v>
      </c>
      <c r="R90" s="8">
        <v>0.2</v>
      </c>
      <c r="S90" s="5"/>
      <c r="T90" s="6">
        <f t="shared" si="4"/>
        <v>3.4800000000000004</v>
      </c>
      <c r="U90" s="9" t="s">
        <v>581</v>
      </c>
      <c r="V90" s="1"/>
      <c r="W90" s="1"/>
      <c r="X90" s="1"/>
      <c r="Y90" s="1"/>
      <c r="Z90" s="1"/>
    </row>
    <row r="91" spans="1:26" ht="39.75" customHeight="1">
      <c r="A91" s="171"/>
      <c r="B91" s="5" t="s">
        <v>162</v>
      </c>
      <c r="C91" s="5" t="s">
        <v>163</v>
      </c>
      <c r="D91" s="5">
        <v>85</v>
      </c>
      <c r="E91" s="5" t="s">
        <v>164</v>
      </c>
      <c r="F91" s="5"/>
      <c r="G91" s="5"/>
      <c r="H91" s="5"/>
      <c r="I91" s="5"/>
      <c r="J91" s="5"/>
      <c r="K91" s="6"/>
      <c r="L91" s="5"/>
      <c r="M91" s="5"/>
      <c r="N91" s="6">
        <v>0.25</v>
      </c>
      <c r="O91" s="5"/>
      <c r="P91" s="5"/>
      <c r="Q91" s="6">
        <v>1</v>
      </c>
      <c r="R91" s="8"/>
      <c r="S91" s="5"/>
      <c r="T91" s="6">
        <f t="shared" si="4"/>
        <v>1.25</v>
      </c>
      <c r="U91" s="9" t="s">
        <v>165</v>
      </c>
      <c r="V91" s="1"/>
      <c r="W91" s="1"/>
      <c r="X91" s="1"/>
      <c r="Y91" s="1"/>
      <c r="Z91" s="1"/>
    </row>
    <row r="92" spans="1:26" ht="39.75" customHeight="1">
      <c r="A92" s="171"/>
      <c r="B92" s="5" t="s">
        <v>166</v>
      </c>
      <c r="C92" s="5" t="s">
        <v>54</v>
      </c>
      <c r="D92" s="5">
        <v>86</v>
      </c>
      <c r="E92" s="5" t="s">
        <v>167</v>
      </c>
      <c r="F92" s="5"/>
      <c r="G92" s="5"/>
      <c r="H92" s="5"/>
      <c r="I92" s="5"/>
      <c r="J92" s="5"/>
      <c r="K92" s="5"/>
      <c r="L92" s="5"/>
      <c r="M92" s="5"/>
      <c r="N92" s="5"/>
      <c r="O92" s="5"/>
      <c r="P92" s="5"/>
      <c r="Q92" s="5"/>
      <c r="R92" s="5"/>
      <c r="S92" s="5"/>
      <c r="T92" s="6">
        <f t="shared" si="4"/>
        <v>0</v>
      </c>
      <c r="U92" s="9"/>
      <c r="V92" s="1"/>
      <c r="W92" s="1"/>
      <c r="X92" s="1"/>
      <c r="Y92" s="1"/>
      <c r="Z92" s="1"/>
    </row>
    <row r="93" spans="1:26" ht="39.75" customHeight="1">
      <c r="A93" s="169"/>
      <c r="B93" s="176" t="s">
        <v>168</v>
      </c>
      <c r="C93" s="177"/>
      <c r="D93" s="178"/>
      <c r="E93" s="51"/>
      <c r="F93" s="51">
        <f t="shared" ref="F93:S93" si="6">SUM(F69:F92)</f>
        <v>77.499999999999986</v>
      </c>
      <c r="G93" s="51">
        <f t="shared" si="6"/>
        <v>0</v>
      </c>
      <c r="H93" s="51">
        <f t="shared" si="6"/>
        <v>4</v>
      </c>
      <c r="I93" s="51">
        <f t="shared" si="6"/>
        <v>12.065000000000001</v>
      </c>
      <c r="J93" s="51">
        <f t="shared" si="6"/>
        <v>0</v>
      </c>
      <c r="K93" s="51">
        <f t="shared" si="6"/>
        <v>7.1999999999999993</v>
      </c>
      <c r="L93" s="51">
        <f t="shared" si="6"/>
        <v>0</v>
      </c>
      <c r="M93" s="56">
        <f t="shared" si="6"/>
        <v>13.579999999999998</v>
      </c>
      <c r="N93" s="52">
        <f t="shared" si="6"/>
        <v>37.006999999999998</v>
      </c>
      <c r="O93" s="51">
        <f t="shared" si="6"/>
        <v>90.534000000000006</v>
      </c>
      <c r="P93" s="52">
        <f t="shared" si="6"/>
        <v>54.430000000000007</v>
      </c>
      <c r="Q93" s="51">
        <f t="shared" si="6"/>
        <v>24.268999999999998</v>
      </c>
      <c r="R93" s="56">
        <f t="shared" si="6"/>
        <v>35.195</v>
      </c>
      <c r="S93" s="56">
        <f t="shared" si="6"/>
        <v>9.5</v>
      </c>
      <c r="T93" s="6">
        <f t="shared" si="4"/>
        <v>365.28</v>
      </c>
      <c r="U93" s="9"/>
      <c r="V93" s="1"/>
      <c r="W93" s="1"/>
      <c r="X93" s="1"/>
      <c r="Y93" s="1"/>
      <c r="Z93" s="1"/>
    </row>
    <row r="94" spans="1:26" ht="39.75" customHeight="1">
      <c r="A94" s="175" t="s">
        <v>169</v>
      </c>
      <c r="B94" s="168" t="s">
        <v>170</v>
      </c>
      <c r="C94" s="168" t="s">
        <v>171</v>
      </c>
      <c r="D94" s="5">
        <v>87</v>
      </c>
      <c r="E94" s="5" t="s">
        <v>172</v>
      </c>
      <c r="F94" s="114"/>
      <c r="G94" s="114"/>
      <c r="H94" s="114"/>
      <c r="I94" s="114"/>
      <c r="J94" s="114"/>
      <c r="K94" s="115">
        <v>14</v>
      </c>
      <c r="L94" s="114"/>
      <c r="M94" s="114"/>
      <c r="N94" s="114"/>
      <c r="O94" s="114"/>
      <c r="P94" s="114"/>
      <c r="Q94" s="114"/>
      <c r="R94" s="114"/>
      <c r="S94" s="116"/>
      <c r="T94" s="117">
        <f>SUM(F94:S94)</f>
        <v>14</v>
      </c>
      <c r="U94" s="88" t="s">
        <v>700</v>
      </c>
      <c r="V94" s="1"/>
      <c r="W94" s="1"/>
      <c r="X94" s="1"/>
      <c r="Y94" s="1"/>
      <c r="Z94" s="1"/>
    </row>
    <row r="95" spans="1:26" ht="39.75" customHeight="1">
      <c r="A95" s="171"/>
      <c r="B95" s="171"/>
      <c r="C95" s="171"/>
      <c r="D95" s="5">
        <v>88</v>
      </c>
      <c r="E95" s="5" t="s">
        <v>173</v>
      </c>
      <c r="F95" s="114"/>
      <c r="G95" s="114"/>
      <c r="H95" s="114"/>
      <c r="I95" s="114"/>
      <c r="J95" s="114"/>
      <c r="K95" s="114"/>
      <c r="L95" s="114"/>
      <c r="M95" s="114"/>
      <c r="N95" s="114"/>
      <c r="O95" s="114"/>
      <c r="P95" s="118">
        <v>9</v>
      </c>
      <c r="Q95" s="114"/>
      <c r="R95" s="114"/>
      <c r="S95" s="116"/>
      <c r="T95" s="117">
        <f t="shared" ref="T95:T103" si="7">SUM(F95:S95)</f>
        <v>9</v>
      </c>
      <c r="U95" s="88" t="s">
        <v>701</v>
      </c>
      <c r="V95" s="1"/>
      <c r="W95" s="1"/>
      <c r="X95" s="1"/>
      <c r="Y95" s="1"/>
      <c r="Z95" s="1"/>
    </row>
    <row r="96" spans="1:26" ht="39.75" customHeight="1">
      <c r="A96" s="171"/>
      <c r="B96" s="171"/>
      <c r="C96" s="171"/>
      <c r="D96" s="5">
        <v>89</v>
      </c>
      <c r="E96" s="5" t="s">
        <v>174</v>
      </c>
      <c r="F96" s="114"/>
      <c r="G96" s="114"/>
      <c r="H96" s="114"/>
      <c r="I96" s="114"/>
      <c r="J96" s="114"/>
      <c r="K96" s="114"/>
      <c r="L96" s="114"/>
      <c r="M96" s="114"/>
      <c r="N96" s="114"/>
      <c r="O96" s="114"/>
      <c r="P96" s="114"/>
      <c r="Q96" s="114"/>
      <c r="R96" s="114"/>
      <c r="S96" s="116"/>
      <c r="T96" s="117">
        <f t="shared" si="7"/>
        <v>0</v>
      </c>
      <c r="U96" s="88"/>
      <c r="V96" s="1"/>
      <c r="W96" s="1"/>
      <c r="X96" s="1"/>
      <c r="Y96" s="1"/>
      <c r="Z96" s="1"/>
    </row>
    <row r="97" spans="1:26" ht="39.75" customHeight="1">
      <c r="A97" s="171"/>
      <c r="B97" s="171"/>
      <c r="C97" s="171"/>
      <c r="D97" s="5">
        <v>90</v>
      </c>
      <c r="E97" s="5" t="s">
        <v>175</v>
      </c>
      <c r="F97" s="114"/>
      <c r="G97" s="114"/>
      <c r="H97" s="114"/>
      <c r="I97" s="114"/>
      <c r="J97" s="114"/>
      <c r="K97" s="114"/>
      <c r="L97" s="114"/>
      <c r="M97" s="114"/>
      <c r="N97" s="114"/>
      <c r="O97" s="114"/>
      <c r="P97" s="118"/>
      <c r="Q97" s="114"/>
      <c r="R97" s="114"/>
      <c r="S97" s="116"/>
      <c r="T97" s="117">
        <f t="shared" si="7"/>
        <v>0</v>
      </c>
      <c r="U97" s="88"/>
      <c r="V97" s="1"/>
      <c r="W97" s="1"/>
      <c r="X97" s="1"/>
      <c r="Y97" s="1"/>
      <c r="Z97" s="1"/>
    </row>
    <row r="98" spans="1:26" ht="39.75" customHeight="1">
      <c r="A98" s="171"/>
      <c r="B98" s="171"/>
      <c r="C98" s="171"/>
      <c r="D98" s="5">
        <v>91</v>
      </c>
      <c r="E98" s="5" t="s">
        <v>176</v>
      </c>
      <c r="F98" s="114"/>
      <c r="G98" s="114"/>
      <c r="H98" s="114"/>
      <c r="I98" s="114"/>
      <c r="J98" s="114"/>
      <c r="K98" s="115"/>
      <c r="L98" s="114"/>
      <c r="M98" s="114"/>
      <c r="N98" s="114"/>
      <c r="O98" s="114"/>
      <c r="P98" s="118">
        <v>2</v>
      </c>
      <c r="Q98" s="114"/>
      <c r="R98" s="114"/>
      <c r="S98" s="116"/>
      <c r="T98" s="117">
        <f t="shared" si="7"/>
        <v>2</v>
      </c>
      <c r="U98" s="119" t="s">
        <v>469</v>
      </c>
      <c r="V98" s="1"/>
      <c r="W98" s="1"/>
      <c r="X98" s="1"/>
      <c r="Y98" s="1"/>
      <c r="Z98" s="1"/>
    </row>
    <row r="99" spans="1:26" ht="39.75" customHeight="1">
      <c r="A99" s="171"/>
      <c r="B99" s="171"/>
      <c r="C99" s="171"/>
      <c r="D99" s="5">
        <v>92</v>
      </c>
      <c r="E99" s="5" t="s">
        <v>178</v>
      </c>
      <c r="F99" s="114"/>
      <c r="G99" s="114"/>
      <c r="H99" s="114"/>
      <c r="I99" s="114"/>
      <c r="J99" s="114"/>
      <c r="K99" s="114"/>
      <c r="L99" s="114"/>
      <c r="M99" s="114"/>
      <c r="N99" s="114"/>
      <c r="O99" s="114"/>
      <c r="P99" s="118">
        <v>0</v>
      </c>
      <c r="Q99" s="114"/>
      <c r="R99" s="114"/>
      <c r="S99" s="116"/>
      <c r="T99" s="117">
        <f t="shared" si="7"/>
        <v>0</v>
      </c>
      <c r="U99" s="120"/>
      <c r="V99" s="1"/>
      <c r="W99" s="1"/>
      <c r="X99" s="1"/>
      <c r="Y99" s="1"/>
      <c r="Z99" s="1"/>
    </row>
    <row r="100" spans="1:26" ht="39.75" customHeight="1">
      <c r="A100" s="171"/>
      <c r="B100" s="171"/>
      <c r="C100" s="171"/>
      <c r="D100" s="5">
        <v>93</v>
      </c>
      <c r="E100" s="5" t="s">
        <v>180</v>
      </c>
      <c r="F100" s="114"/>
      <c r="G100" s="114"/>
      <c r="H100" s="114"/>
      <c r="I100" s="118"/>
      <c r="J100" s="114"/>
      <c r="K100" s="114"/>
      <c r="L100" s="114"/>
      <c r="M100" s="114"/>
      <c r="N100" s="114"/>
      <c r="O100" s="114"/>
      <c r="P100" s="114"/>
      <c r="Q100" s="114"/>
      <c r="R100" s="114"/>
      <c r="S100" s="116"/>
      <c r="T100" s="117">
        <f t="shared" si="7"/>
        <v>0</v>
      </c>
      <c r="U100" s="119"/>
      <c r="V100" s="1"/>
      <c r="W100" s="1"/>
      <c r="X100" s="1"/>
      <c r="Y100" s="1"/>
      <c r="Z100" s="1"/>
    </row>
    <row r="101" spans="1:26" ht="39.75" customHeight="1">
      <c r="A101" s="171"/>
      <c r="B101" s="171"/>
      <c r="C101" s="171"/>
      <c r="D101" s="5">
        <v>94</v>
      </c>
      <c r="E101" s="5" t="s">
        <v>181</v>
      </c>
      <c r="F101" s="114"/>
      <c r="G101" s="114"/>
      <c r="H101" s="114"/>
      <c r="I101" s="118"/>
      <c r="J101" s="114"/>
      <c r="K101" s="114"/>
      <c r="L101" s="114"/>
      <c r="M101" s="114"/>
      <c r="N101" s="114"/>
      <c r="O101" s="114"/>
      <c r="P101" s="114"/>
      <c r="Q101" s="114"/>
      <c r="R101" s="114"/>
      <c r="S101" s="116"/>
      <c r="T101" s="117">
        <f t="shared" si="7"/>
        <v>0</v>
      </c>
      <c r="U101" s="120"/>
      <c r="V101" s="1"/>
      <c r="W101" s="1"/>
      <c r="X101" s="1"/>
      <c r="Y101" s="1"/>
      <c r="Z101" s="1"/>
    </row>
    <row r="102" spans="1:26" ht="39.75" customHeight="1">
      <c r="A102" s="171"/>
      <c r="B102" s="171"/>
      <c r="C102" s="171"/>
      <c r="D102" s="5">
        <v>95</v>
      </c>
      <c r="E102" s="5" t="s">
        <v>182</v>
      </c>
      <c r="F102" s="114"/>
      <c r="G102" s="114"/>
      <c r="H102" s="118"/>
      <c r="I102" s="115">
        <v>3</v>
      </c>
      <c r="J102" s="114"/>
      <c r="K102" s="114"/>
      <c r="L102" s="114"/>
      <c r="M102" s="114"/>
      <c r="N102" s="114"/>
      <c r="O102" s="114"/>
      <c r="P102" s="114"/>
      <c r="Q102" s="114"/>
      <c r="R102" s="114"/>
      <c r="S102" s="116"/>
      <c r="T102" s="117">
        <f t="shared" si="7"/>
        <v>3</v>
      </c>
      <c r="U102" s="88" t="s">
        <v>702</v>
      </c>
      <c r="V102" s="1"/>
      <c r="W102" s="1"/>
      <c r="X102" s="1"/>
      <c r="Y102" s="1"/>
      <c r="Z102" s="1"/>
    </row>
    <row r="103" spans="1:26" ht="39.75" customHeight="1">
      <c r="A103" s="171"/>
      <c r="B103" s="169"/>
      <c r="C103" s="169"/>
      <c r="D103" s="5">
        <v>96</v>
      </c>
      <c r="E103" s="5" t="s">
        <v>183</v>
      </c>
      <c r="F103" s="114"/>
      <c r="G103" s="114"/>
      <c r="H103" s="114"/>
      <c r="I103" s="114"/>
      <c r="J103" s="114"/>
      <c r="K103" s="114"/>
      <c r="L103" s="114"/>
      <c r="M103" s="114"/>
      <c r="N103" s="115"/>
      <c r="O103" s="114"/>
      <c r="P103" s="114"/>
      <c r="Q103" s="115">
        <v>1</v>
      </c>
      <c r="R103" s="118">
        <v>1</v>
      </c>
      <c r="S103" s="116"/>
      <c r="T103" s="117">
        <f t="shared" si="7"/>
        <v>2</v>
      </c>
      <c r="U103" s="88" t="s">
        <v>421</v>
      </c>
      <c r="V103" s="1"/>
      <c r="W103" s="1"/>
      <c r="X103" s="1"/>
      <c r="Y103" s="1"/>
      <c r="Z103" s="1"/>
    </row>
    <row r="104" spans="1:26" ht="39.75" customHeight="1">
      <c r="A104" s="171"/>
      <c r="B104" s="168" t="s">
        <v>184</v>
      </c>
      <c r="C104" s="168" t="s">
        <v>185</v>
      </c>
      <c r="D104" s="5">
        <v>97</v>
      </c>
      <c r="E104" s="5" t="s">
        <v>186</v>
      </c>
      <c r="F104" s="5"/>
      <c r="G104" s="5"/>
      <c r="H104" s="5"/>
      <c r="I104" s="6"/>
      <c r="J104" s="5"/>
      <c r="K104" s="6"/>
      <c r="L104" s="5"/>
      <c r="M104" s="6">
        <v>2.86</v>
      </c>
      <c r="N104" s="6">
        <v>5.5</v>
      </c>
      <c r="O104" s="5"/>
      <c r="P104" s="8">
        <v>23.9</v>
      </c>
      <c r="Q104" s="6">
        <v>4</v>
      </c>
      <c r="R104" s="8">
        <v>23.55</v>
      </c>
      <c r="S104" s="5"/>
      <c r="T104" s="6">
        <f t="shared" si="4"/>
        <v>59.81</v>
      </c>
      <c r="U104" s="10" t="s">
        <v>373</v>
      </c>
      <c r="V104" s="1"/>
      <c r="W104" s="1"/>
      <c r="X104" s="1"/>
      <c r="Y104" s="1"/>
      <c r="Z104" s="1"/>
    </row>
    <row r="105" spans="1:26" ht="39.75" customHeight="1">
      <c r="A105" s="171"/>
      <c r="B105" s="169"/>
      <c r="C105" s="169"/>
      <c r="D105" s="5">
        <v>98</v>
      </c>
      <c r="E105" s="5" t="s">
        <v>54</v>
      </c>
      <c r="F105" s="5"/>
      <c r="G105" s="5"/>
      <c r="H105" s="5"/>
      <c r="I105" s="5"/>
      <c r="J105" s="5"/>
      <c r="K105" s="5"/>
      <c r="L105" s="5"/>
      <c r="M105" s="5"/>
      <c r="N105" s="5"/>
      <c r="O105" s="5"/>
      <c r="P105" s="5"/>
      <c r="Q105" s="5"/>
      <c r="R105" s="5"/>
      <c r="S105" s="5"/>
      <c r="T105" s="6">
        <f t="shared" si="4"/>
        <v>0</v>
      </c>
      <c r="U105" s="46"/>
      <c r="V105" s="1"/>
      <c r="W105" s="1"/>
      <c r="X105" s="1"/>
      <c r="Y105" s="1"/>
      <c r="Z105" s="1"/>
    </row>
    <row r="106" spans="1:26" ht="39.75" customHeight="1">
      <c r="A106" s="171"/>
      <c r="B106" s="168" t="s">
        <v>188</v>
      </c>
      <c r="C106" s="168" t="s">
        <v>189</v>
      </c>
      <c r="D106" s="5">
        <v>99</v>
      </c>
      <c r="E106" s="5" t="s">
        <v>190</v>
      </c>
      <c r="F106" s="5"/>
      <c r="G106" s="5"/>
      <c r="H106" s="8"/>
      <c r="I106" s="6">
        <v>2</v>
      </c>
      <c r="J106" s="5"/>
      <c r="K106" s="6"/>
      <c r="L106" s="5"/>
      <c r="M106" s="5"/>
      <c r="N106" s="6">
        <v>0.8</v>
      </c>
      <c r="O106" s="5"/>
      <c r="P106" s="5"/>
      <c r="Q106" s="6">
        <v>2</v>
      </c>
      <c r="R106" s="5"/>
      <c r="S106" s="5"/>
      <c r="T106" s="6">
        <f t="shared" si="4"/>
        <v>4.8</v>
      </c>
      <c r="U106" s="46" t="s">
        <v>374</v>
      </c>
      <c r="V106" s="1"/>
      <c r="W106" s="1"/>
      <c r="X106" s="1"/>
      <c r="Y106" s="1"/>
      <c r="Z106" s="1"/>
    </row>
    <row r="107" spans="1:26" ht="39.75" customHeight="1">
      <c r="A107" s="171"/>
      <c r="B107" s="171"/>
      <c r="C107" s="171"/>
      <c r="D107" s="5">
        <v>100</v>
      </c>
      <c r="E107" s="5" t="s">
        <v>192</v>
      </c>
      <c r="F107" s="5"/>
      <c r="G107" s="5"/>
      <c r="H107" s="5"/>
      <c r="I107" s="6">
        <v>0.8</v>
      </c>
      <c r="J107" s="5"/>
      <c r="K107" s="6"/>
      <c r="L107" s="5"/>
      <c r="M107" s="5"/>
      <c r="N107" s="5"/>
      <c r="O107" s="5"/>
      <c r="P107" s="5"/>
      <c r="Q107" s="5"/>
      <c r="R107" s="5"/>
      <c r="S107" s="5"/>
      <c r="T107" s="6">
        <f t="shared" si="4"/>
        <v>0.8</v>
      </c>
      <c r="U107" s="46" t="s">
        <v>193</v>
      </c>
      <c r="V107" s="1"/>
      <c r="W107" s="1"/>
      <c r="X107" s="1"/>
      <c r="Y107" s="1"/>
      <c r="Z107" s="1"/>
    </row>
    <row r="108" spans="1:26" ht="39.75" customHeight="1">
      <c r="A108" s="171"/>
      <c r="B108" s="171"/>
      <c r="C108" s="171"/>
      <c r="D108" s="5">
        <v>101</v>
      </c>
      <c r="E108" s="5" t="s">
        <v>194</v>
      </c>
      <c r="F108" s="5"/>
      <c r="G108" s="5"/>
      <c r="H108" s="5"/>
      <c r="I108" s="5"/>
      <c r="J108" s="5"/>
      <c r="K108" s="5"/>
      <c r="L108" s="5"/>
      <c r="M108" s="5"/>
      <c r="N108" s="5"/>
      <c r="O108" s="5"/>
      <c r="P108" s="5"/>
      <c r="Q108" s="5"/>
      <c r="R108" s="5"/>
      <c r="S108" s="5"/>
      <c r="T108" s="6">
        <f t="shared" si="4"/>
        <v>0</v>
      </c>
      <c r="U108" s="9"/>
      <c r="V108" s="1"/>
      <c r="W108" s="1"/>
      <c r="X108" s="1"/>
      <c r="Y108" s="1"/>
      <c r="Z108" s="1"/>
    </row>
    <row r="109" spans="1:26" ht="39.75" customHeight="1">
      <c r="A109" s="171"/>
      <c r="B109" s="171"/>
      <c r="C109" s="171"/>
      <c r="D109" s="5">
        <v>102</v>
      </c>
      <c r="E109" s="5" t="s">
        <v>195</v>
      </c>
      <c r="F109" s="5"/>
      <c r="G109" s="5"/>
      <c r="H109" s="5"/>
      <c r="I109" s="5"/>
      <c r="J109" s="5"/>
      <c r="K109" s="5"/>
      <c r="L109" s="5"/>
      <c r="M109" s="5"/>
      <c r="N109" s="5"/>
      <c r="O109" s="5"/>
      <c r="P109" s="5"/>
      <c r="Q109" s="6"/>
      <c r="R109" s="5"/>
      <c r="S109" s="5"/>
      <c r="T109" s="6">
        <f t="shared" si="4"/>
        <v>0</v>
      </c>
      <c r="U109" s="9"/>
      <c r="V109" s="1"/>
      <c r="W109" s="1"/>
      <c r="X109" s="1"/>
      <c r="Y109" s="1"/>
      <c r="Z109" s="1"/>
    </row>
    <row r="110" spans="1:26" ht="39.75" customHeight="1">
      <c r="A110" s="171"/>
      <c r="B110" s="169"/>
      <c r="C110" s="169"/>
      <c r="D110" s="5">
        <v>103</v>
      </c>
      <c r="E110" s="5" t="s">
        <v>54</v>
      </c>
      <c r="F110" s="5"/>
      <c r="G110" s="5"/>
      <c r="H110" s="5"/>
      <c r="I110" s="5"/>
      <c r="J110" s="5"/>
      <c r="K110" s="5"/>
      <c r="L110" s="5"/>
      <c r="M110" s="5"/>
      <c r="N110" s="5"/>
      <c r="O110" s="5"/>
      <c r="P110" s="8">
        <v>4.2</v>
      </c>
      <c r="Q110" s="5"/>
      <c r="R110" s="8"/>
      <c r="S110" s="8"/>
      <c r="T110" s="6">
        <f t="shared" si="4"/>
        <v>4.2</v>
      </c>
      <c r="U110" s="10" t="s">
        <v>196</v>
      </c>
      <c r="V110" s="1"/>
      <c r="W110" s="1"/>
      <c r="X110" s="1"/>
      <c r="Y110" s="1"/>
      <c r="Z110" s="1"/>
    </row>
    <row r="111" spans="1:26" ht="39.75" customHeight="1">
      <c r="A111" s="171"/>
      <c r="B111" s="168" t="s">
        <v>197</v>
      </c>
      <c r="C111" s="168" t="s">
        <v>198</v>
      </c>
      <c r="D111" s="5">
        <v>104</v>
      </c>
      <c r="E111" s="5" t="s">
        <v>199</v>
      </c>
      <c r="F111" s="5"/>
      <c r="G111" s="5"/>
      <c r="H111" s="5"/>
      <c r="I111" s="5"/>
      <c r="J111" s="5"/>
      <c r="K111" s="5"/>
      <c r="L111" s="5"/>
      <c r="M111" s="5"/>
      <c r="N111" s="8">
        <v>2</v>
      </c>
      <c r="O111" s="5"/>
      <c r="P111" s="8">
        <v>3</v>
      </c>
      <c r="Q111" s="8">
        <v>1</v>
      </c>
      <c r="R111" s="8"/>
      <c r="S111" s="8"/>
      <c r="T111" s="6">
        <f t="shared" si="4"/>
        <v>6</v>
      </c>
      <c r="U111" s="113" t="s">
        <v>691</v>
      </c>
      <c r="V111" s="1"/>
      <c r="W111" s="1"/>
      <c r="X111" s="1"/>
      <c r="Y111" s="1"/>
      <c r="Z111" s="1"/>
    </row>
    <row r="112" spans="1:26" ht="39.75" customHeight="1">
      <c r="A112" s="171"/>
      <c r="B112" s="171"/>
      <c r="C112" s="171"/>
      <c r="D112" s="5">
        <v>105</v>
      </c>
      <c r="E112" s="5" t="s">
        <v>200</v>
      </c>
      <c r="F112" s="5"/>
      <c r="G112" s="5"/>
      <c r="H112" s="5"/>
      <c r="I112" s="5"/>
      <c r="J112" s="5"/>
      <c r="K112" s="5"/>
      <c r="L112" s="5"/>
      <c r="M112" s="5"/>
      <c r="N112" s="5"/>
      <c r="O112" s="5"/>
      <c r="P112" s="5"/>
      <c r="Q112" s="5"/>
      <c r="R112" s="5"/>
      <c r="S112" s="5"/>
      <c r="T112" s="6">
        <f t="shared" si="4"/>
        <v>0</v>
      </c>
      <c r="U112" s="9"/>
      <c r="V112" s="1"/>
      <c r="W112" s="1"/>
      <c r="X112" s="1"/>
      <c r="Y112" s="1"/>
      <c r="Z112" s="1"/>
    </row>
    <row r="113" spans="1:26" ht="39.75" customHeight="1">
      <c r="A113" s="171"/>
      <c r="B113" s="169"/>
      <c r="C113" s="169"/>
      <c r="D113" s="5">
        <v>106</v>
      </c>
      <c r="E113" s="5" t="s">
        <v>201</v>
      </c>
      <c r="F113" s="5"/>
      <c r="G113" s="5"/>
      <c r="H113" s="5"/>
      <c r="I113" s="6"/>
      <c r="J113" s="5"/>
      <c r="K113" s="6"/>
      <c r="L113" s="5"/>
      <c r="M113" s="5"/>
      <c r="N113" s="112"/>
      <c r="O113" s="112"/>
      <c r="P113" s="112"/>
      <c r="Q113" s="112">
        <v>2</v>
      </c>
      <c r="R113" s="112">
        <v>3</v>
      </c>
      <c r="S113" s="112"/>
      <c r="T113" s="6">
        <f t="shared" si="4"/>
        <v>5</v>
      </c>
      <c r="U113" s="113" t="s">
        <v>689</v>
      </c>
      <c r="V113" s="1"/>
      <c r="W113" s="1"/>
      <c r="X113" s="1"/>
      <c r="Y113" s="1"/>
      <c r="Z113" s="1"/>
    </row>
    <row r="114" spans="1:26" ht="39.75" customHeight="1">
      <c r="A114" s="171"/>
      <c r="B114" s="168" t="s">
        <v>202</v>
      </c>
      <c r="C114" s="168" t="s">
        <v>203</v>
      </c>
      <c r="D114" s="5">
        <v>107</v>
      </c>
      <c r="E114" s="5" t="s">
        <v>204</v>
      </c>
      <c r="F114" s="5"/>
      <c r="G114" s="5"/>
      <c r="H114" s="5"/>
      <c r="I114" s="6"/>
      <c r="J114" s="5"/>
      <c r="K114" s="6"/>
      <c r="L114" s="5"/>
      <c r="M114" s="5"/>
      <c r="N114" s="6"/>
      <c r="O114" s="5"/>
      <c r="P114" s="8">
        <v>3.5</v>
      </c>
      <c r="Q114" s="5"/>
      <c r="R114" s="8"/>
      <c r="S114" s="5"/>
      <c r="T114" s="6">
        <f t="shared" si="4"/>
        <v>3.5</v>
      </c>
      <c r="U114" s="46" t="s">
        <v>205</v>
      </c>
      <c r="V114" s="1"/>
      <c r="W114" s="1"/>
      <c r="X114" s="1"/>
      <c r="Y114" s="1"/>
      <c r="Z114" s="1"/>
    </row>
    <row r="115" spans="1:26" ht="39.75" customHeight="1">
      <c r="A115" s="171"/>
      <c r="B115" s="171"/>
      <c r="C115" s="171"/>
      <c r="D115" s="5">
        <v>108</v>
      </c>
      <c r="E115" s="5" t="s">
        <v>206</v>
      </c>
      <c r="F115" s="5"/>
      <c r="G115" s="5"/>
      <c r="H115" s="5"/>
      <c r="I115" s="6"/>
      <c r="J115" s="5"/>
      <c r="K115" s="6"/>
      <c r="L115" s="5"/>
      <c r="M115" s="5"/>
      <c r="N115" s="5"/>
      <c r="O115" s="5"/>
      <c r="P115" s="8">
        <v>12.8</v>
      </c>
      <c r="Q115" s="5"/>
      <c r="R115" s="5"/>
      <c r="S115" s="5"/>
      <c r="T115" s="6">
        <f t="shared" si="4"/>
        <v>12.8</v>
      </c>
      <c r="U115" s="46" t="s">
        <v>207</v>
      </c>
      <c r="V115" s="1"/>
      <c r="W115" s="1"/>
      <c r="X115" s="1"/>
      <c r="Y115" s="1"/>
      <c r="Z115" s="1"/>
    </row>
    <row r="116" spans="1:26" ht="39.75" customHeight="1">
      <c r="A116" s="171"/>
      <c r="B116" s="171"/>
      <c r="C116" s="171"/>
      <c r="D116" s="5">
        <v>109</v>
      </c>
      <c r="E116" s="5" t="s">
        <v>208</v>
      </c>
      <c r="F116" s="5"/>
      <c r="G116" s="5"/>
      <c r="H116" s="8"/>
      <c r="I116" s="6"/>
      <c r="J116" s="5"/>
      <c r="K116" s="6"/>
      <c r="L116" s="5"/>
      <c r="M116" s="5"/>
      <c r="N116" s="5"/>
      <c r="O116" s="5"/>
      <c r="P116" s="5"/>
      <c r="Q116" s="5"/>
      <c r="R116" s="5"/>
      <c r="S116" s="5"/>
      <c r="T116" s="6">
        <f t="shared" si="4"/>
        <v>0</v>
      </c>
      <c r="U116" s="9"/>
      <c r="V116" s="1"/>
      <c r="W116" s="1"/>
      <c r="X116" s="1"/>
      <c r="Y116" s="1"/>
      <c r="Z116" s="1"/>
    </row>
    <row r="117" spans="1:26" ht="39.75" customHeight="1">
      <c r="A117" s="171"/>
      <c r="B117" s="171"/>
      <c r="C117" s="171"/>
      <c r="D117" s="5">
        <v>110</v>
      </c>
      <c r="E117" s="5" t="s">
        <v>209</v>
      </c>
      <c r="F117" s="5"/>
      <c r="G117" s="5"/>
      <c r="H117" s="5"/>
      <c r="I117" s="6"/>
      <c r="J117" s="5"/>
      <c r="K117" s="6"/>
      <c r="L117" s="5"/>
      <c r="M117" s="8"/>
      <c r="N117" s="6">
        <v>3</v>
      </c>
      <c r="O117" s="8">
        <v>12.114000000000001</v>
      </c>
      <c r="P117" s="6"/>
      <c r="Q117" s="8">
        <v>6.45</v>
      </c>
      <c r="R117" s="8">
        <v>8.8000000000000007</v>
      </c>
      <c r="S117" s="5"/>
      <c r="T117" s="6">
        <f t="shared" si="4"/>
        <v>30.364000000000001</v>
      </c>
      <c r="U117" s="9" t="s">
        <v>375</v>
      </c>
      <c r="V117" s="1"/>
      <c r="W117" s="1"/>
      <c r="X117" s="1"/>
      <c r="Y117" s="1"/>
      <c r="Z117" s="1"/>
    </row>
    <row r="118" spans="1:26" ht="39.75" customHeight="1">
      <c r="A118" s="171"/>
      <c r="B118" s="169"/>
      <c r="C118" s="169"/>
      <c r="D118" s="5">
        <v>111</v>
      </c>
      <c r="E118" s="5" t="s">
        <v>54</v>
      </c>
      <c r="F118" s="5"/>
      <c r="G118" s="5"/>
      <c r="H118" s="5"/>
      <c r="I118" s="8"/>
      <c r="J118" s="5"/>
      <c r="K118" s="8"/>
      <c r="L118" s="5"/>
      <c r="M118" s="5">
        <v>6</v>
      </c>
      <c r="N118" s="5"/>
      <c r="O118" s="5"/>
      <c r="P118" s="8"/>
      <c r="Q118" s="6"/>
      <c r="R118" s="5"/>
      <c r="S118" s="8"/>
      <c r="T118" s="6">
        <f t="shared" si="4"/>
        <v>6</v>
      </c>
      <c r="U118" s="113" t="s">
        <v>683</v>
      </c>
      <c r="V118" s="1"/>
      <c r="W118" s="1"/>
      <c r="X118" s="1"/>
      <c r="Y118" s="1"/>
      <c r="Z118" s="1"/>
    </row>
    <row r="119" spans="1:26" ht="39.75" customHeight="1">
      <c r="A119" s="171"/>
      <c r="B119" s="168" t="s">
        <v>211</v>
      </c>
      <c r="C119" s="168" t="s">
        <v>212</v>
      </c>
      <c r="D119" s="5">
        <v>112</v>
      </c>
      <c r="E119" s="5" t="s">
        <v>213</v>
      </c>
      <c r="F119" s="5"/>
      <c r="G119" s="5"/>
      <c r="H119" s="5"/>
      <c r="I119" s="6"/>
      <c r="J119" s="5"/>
      <c r="K119" s="6"/>
      <c r="L119" s="5"/>
      <c r="M119" s="5"/>
      <c r="N119" s="5"/>
      <c r="O119" s="5"/>
      <c r="P119" s="5"/>
      <c r="Q119" s="6"/>
      <c r="R119" s="5"/>
      <c r="S119" s="5"/>
      <c r="T119" s="6">
        <f t="shared" si="4"/>
        <v>0</v>
      </c>
      <c r="U119" s="9"/>
      <c r="V119" s="1"/>
      <c r="W119" s="1"/>
      <c r="X119" s="1"/>
      <c r="Y119" s="1"/>
      <c r="Z119" s="1"/>
    </row>
    <row r="120" spans="1:26" ht="39.75" customHeight="1">
      <c r="A120" s="171"/>
      <c r="B120" s="169"/>
      <c r="C120" s="169"/>
      <c r="D120" s="5">
        <v>113</v>
      </c>
      <c r="E120" s="5" t="s">
        <v>214</v>
      </c>
      <c r="F120" s="5"/>
      <c r="G120" s="5"/>
      <c r="H120" s="5"/>
      <c r="I120" s="6"/>
      <c r="J120" s="5"/>
      <c r="K120" s="6"/>
      <c r="L120" s="5"/>
      <c r="M120" s="6"/>
      <c r="N120" s="6">
        <v>0.5</v>
      </c>
      <c r="O120" s="5"/>
      <c r="P120" s="5"/>
      <c r="Q120" s="6">
        <v>0.5</v>
      </c>
      <c r="R120" s="5"/>
      <c r="S120" s="5"/>
      <c r="T120" s="6">
        <f t="shared" si="4"/>
        <v>1</v>
      </c>
      <c r="U120" s="10" t="s">
        <v>215</v>
      </c>
      <c r="V120" s="1"/>
      <c r="W120" s="1"/>
      <c r="X120" s="1"/>
      <c r="Y120" s="1"/>
      <c r="Z120" s="1"/>
    </row>
    <row r="121" spans="1:26" ht="39.75" customHeight="1">
      <c r="A121" s="171"/>
      <c r="B121" s="5" t="s">
        <v>216</v>
      </c>
      <c r="C121" s="5" t="s">
        <v>217</v>
      </c>
      <c r="D121" s="5">
        <v>114</v>
      </c>
      <c r="E121" s="5" t="s">
        <v>218</v>
      </c>
      <c r="F121" s="5"/>
      <c r="G121" s="5"/>
      <c r="H121" s="8"/>
      <c r="I121" s="5"/>
      <c r="J121" s="5"/>
      <c r="K121" s="5"/>
      <c r="L121" s="5"/>
      <c r="M121" s="5"/>
      <c r="N121" s="8">
        <v>1.5</v>
      </c>
      <c r="O121" s="5"/>
      <c r="P121" s="8">
        <v>6.5</v>
      </c>
      <c r="Q121" s="6">
        <v>2</v>
      </c>
      <c r="R121" s="8">
        <v>1</v>
      </c>
      <c r="S121" s="8"/>
      <c r="T121" s="6">
        <f t="shared" si="4"/>
        <v>11</v>
      </c>
      <c r="U121" s="113" t="s">
        <v>681</v>
      </c>
      <c r="V121" s="1"/>
      <c r="W121" s="1"/>
      <c r="X121" s="1"/>
      <c r="Y121" s="1"/>
      <c r="Z121" s="1"/>
    </row>
    <row r="122" spans="1:26" ht="39.75" customHeight="1">
      <c r="A122" s="171"/>
      <c r="B122" s="168" t="s">
        <v>219</v>
      </c>
      <c r="C122" s="168" t="s">
        <v>220</v>
      </c>
      <c r="D122" s="5">
        <v>115</v>
      </c>
      <c r="E122" s="5" t="s">
        <v>221</v>
      </c>
      <c r="F122" s="5"/>
      <c r="G122" s="5"/>
      <c r="H122" s="5"/>
      <c r="I122" s="5"/>
      <c r="J122" s="5"/>
      <c r="K122" s="5"/>
      <c r="L122" s="5"/>
      <c r="M122" s="6"/>
      <c r="N122" s="5"/>
      <c r="O122" s="5"/>
      <c r="P122" s="5"/>
      <c r="Q122" s="5"/>
      <c r="R122" s="5"/>
      <c r="S122" s="5"/>
      <c r="T122" s="6">
        <f t="shared" si="4"/>
        <v>0</v>
      </c>
      <c r="U122" s="9"/>
      <c r="V122" s="1"/>
      <c r="W122" s="1"/>
      <c r="X122" s="1"/>
      <c r="Y122" s="1"/>
      <c r="Z122" s="1"/>
    </row>
    <row r="123" spans="1:26" ht="39.75" customHeight="1">
      <c r="A123" s="171"/>
      <c r="B123" s="171"/>
      <c r="C123" s="171"/>
      <c r="D123" s="5">
        <v>116</v>
      </c>
      <c r="E123" s="5" t="s">
        <v>222</v>
      </c>
      <c r="F123" s="5"/>
      <c r="G123" s="5"/>
      <c r="H123" s="5"/>
      <c r="I123" s="5"/>
      <c r="J123" s="5"/>
      <c r="K123" s="5"/>
      <c r="L123" s="5"/>
      <c r="M123" s="6">
        <v>13.33</v>
      </c>
      <c r="N123" s="5"/>
      <c r="O123" s="5"/>
      <c r="P123" s="5"/>
      <c r="Q123" s="6">
        <v>6.7</v>
      </c>
      <c r="R123" s="5"/>
      <c r="S123" s="5"/>
      <c r="T123" s="6">
        <f t="shared" si="4"/>
        <v>20.03</v>
      </c>
      <c r="U123" s="113" t="s">
        <v>679</v>
      </c>
      <c r="V123" s="1"/>
      <c r="W123" s="1"/>
      <c r="X123" s="1"/>
      <c r="Y123" s="1"/>
      <c r="Z123" s="1"/>
    </row>
    <row r="124" spans="1:26" ht="39.75" customHeight="1">
      <c r="A124" s="171"/>
      <c r="B124" s="171"/>
      <c r="C124" s="171"/>
      <c r="D124" s="5">
        <v>117</v>
      </c>
      <c r="E124" s="5" t="s">
        <v>224</v>
      </c>
      <c r="F124" s="5"/>
      <c r="G124" s="5"/>
      <c r="H124" s="5"/>
      <c r="I124" s="5"/>
      <c r="J124" s="5"/>
      <c r="K124" s="5"/>
      <c r="L124" s="5"/>
      <c r="M124" s="5"/>
      <c r="N124" s="5"/>
      <c r="O124" s="5"/>
      <c r="P124" s="5"/>
      <c r="Q124" s="5"/>
      <c r="R124" s="5"/>
      <c r="S124" s="5"/>
      <c r="T124" s="6">
        <f t="shared" si="4"/>
        <v>0</v>
      </c>
      <c r="U124" s="46"/>
      <c r="V124" s="1"/>
      <c r="W124" s="1"/>
      <c r="X124" s="1"/>
      <c r="Y124" s="1"/>
      <c r="Z124" s="1"/>
    </row>
    <row r="125" spans="1:26" ht="39.75" customHeight="1">
      <c r="A125" s="171"/>
      <c r="B125" s="169"/>
      <c r="C125" s="169"/>
      <c r="D125" s="5">
        <v>118</v>
      </c>
      <c r="E125" s="5" t="s">
        <v>54</v>
      </c>
      <c r="F125" s="5"/>
      <c r="G125" s="5"/>
      <c r="H125" s="5"/>
      <c r="I125" s="5"/>
      <c r="J125" s="5"/>
      <c r="K125" s="5"/>
      <c r="L125" s="5"/>
      <c r="M125" s="5"/>
      <c r="N125" s="5"/>
      <c r="O125" s="5"/>
      <c r="P125" s="5"/>
      <c r="Q125" s="6"/>
      <c r="R125" s="5"/>
      <c r="S125" s="5"/>
      <c r="T125" s="6">
        <f t="shared" si="4"/>
        <v>0</v>
      </c>
      <c r="U125" s="9"/>
      <c r="V125" s="1"/>
      <c r="W125" s="1"/>
      <c r="X125" s="1"/>
      <c r="Y125" s="1"/>
      <c r="Z125" s="1"/>
    </row>
    <row r="126" spans="1:26" ht="39.75" customHeight="1">
      <c r="A126" s="171"/>
      <c r="B126" s="5" t="s">
        <v>225</v>
      </c>
      <c r="C126" s="5" t="s">
        <v>226</v>
      </c>
      <c r="D126" s="5">
        <v>119</v>
      </c>
      <c r="E126" s="5" t="s">
        <v>227</v>
      </c>
      <c r="F126" s="5"/>
      <c r="G126" s="5"/>
      <c r="H126" s="8">
        <v>6</v>
      </c>
      <c r="I126" s="6">
        <v>1</v>
      </c>
      <c r="J126" s="5"/>
      <c r="K126" s="5"/>
      <c r="L126" s="5"/>
      <c r="M126" s="5"/>
      <c r="N126" s="6">
        <v>1</v>
      </c>
      <c r="O126" s="5"/>
      <c r="P126" s="8">
        <v>8</v>
      </c>
      <c r="Q126" s="6">
        <v>2</v>
      </c>
      <c r="R126" s="5"/>
      <c r="S126" s="5"/>
      <c r="T126" s="6">
        <f t="shared" si="4"/>
        <v>18</v>
      </c>
      <c r="U126" s="113" t="s">
        <v>678</v>
      </c>
      <c r="V126" s="1"/>
      <c r="W126" s="1"/>
      <c r="X126" s="1"/>
      <c r="Y126" s="1"/>
      <c r="Z126" s="1"/>
    </row>
    <row r="127" spans="1:26" ht="39.75" customHeight="1">
      <c r="A127" s="171"/>
      <c r="B127" s="5" t="s">
        <v>228</v>
      </c>
      <c r="C127" s="5" t="s">
        <v>229</v>
      </c>
      <c r="D127" s="5">
        <v>120</v>
      </c>
      <c r="E127" s="5" t="s">
        <v>230</v>
      </c>
      <c r="F127" s="5"/>
      <c r="G127" s="5"/>
      <c r="H127" s="5"/>
      <c r="I127" s="5"/>
      <c r="J127" s="5"/>
      <c r="K127" s="8"/>
      <c r="L127" s="5"/>
      <c r="M127" s="8"/>
      <c r="N127" s="6"/>
      <c r="O127" s="5"/>
      <c r="P127" s="8"/>
      <c r="Q127" s="6"/>
      <c r="R127" s="8"/>
      <c r="S127" s="5"/>
      <c r="T127" s="6">
        <f t="shared" si="4"/>
        <v>0</v>
      </c>
      <c r="U127" s="9"/>
      <c r="V127" s="1"/>
      <c r="W127" s="1"/>
      <c r="X127" s="1"/>
      <c r="Y127" s="1"/>
      <c r="Z127" s="1"/>
    </row>
    <row r="128" spans="1:26" ht="39.75" customHeight="1">
      <c r="A128" s="171"/>
      <c r="B128" s="168" t="s">
        <v>231</v>
      </c>
      <c r="C128" s="168" t="s">
        <v>232</v>
      </c>
      <c r="D128" s="5">
        <v>121</v>
      </c>
      <c r="E128" s="5" t="s">
        <v>233</v>
      </c>
      <c r="F128" s="5"/>
      <c r="G128" s="5"/>
      <c r="H128" s="5"/>
      <c r="I128" s="6"/>
      <c r="J128" s="5"/>
      <c r="K128" s="5"/>
      <c r="L128" s="5"/>
      <c r="M128" s="5"/>
      <c r="N128" s="5"/>
      <c r="O128" s="5"/>
      <c r="P128" s="5"/>
      <c r="Q128" s="5"/>
      <c r="R128" s="5"/>
      <c r="S128" s="5"/>
      <c r="T128" s="6">
        <f t="shared" si="4"/>
        <v>0</v>
      </c>
      <c r="U128" s="10"/>
      <c r="V128" s="1"/>
      <c r="W128" s="1"/>
      <c r="X128" s="1"/>
      <c r="Y128" s="1"/>
      <c r="Z128" s="1"/>
    </row>
    <row r="129" spans="1:26" ht="39.75" customHeight="1">
      <c r="A129" s="171"/>
      <c r="B129" s="171"/>
      <c r="C129" s="171"/>
      <c r="D129" s="5">
        <v>122</v>
      </c>
      <c r="E129" s="5" t="s">
        <v>234</v>
      </c>
      <c r="F129" s="5"/>
      <c r="G129" s="5"/>
      <c r="H129" s="5"/>
      <c r="I129" s="5"/>
      <c r="J129" s="5"/>
      <c r="K129" s="5"/>
      <c r="L129" s="5"/>
      <c r="M129" s="5"/>
      <c r="N129" s="5"/>
      <c r="O129" s="5"/>
      <c r="P129" s="5"/>
      <c r="Q129" s="5"/>
      <c r="R129" s="5"/>
      <c r="S129" s="5"/>
      <c r="T129" s="6">
        <f t="shared" si="4"/>
        <v>0</v>
      </c>
      <c r="U129" s="46"/>
      <c r="V129" s="1"/>
      <c r="W129" s="1"/>
      <c r="X129" s="1"/>
      <c r="Y129" s="1"/>
      <c r="Z129" s="1"/>
    </row>
    <row r="130" spans="1:26" ht="39.75" customHeight="1">
      <c r="A130" s="171"/>
      <c r="B130" s="169"/>
      <c r="C130" s="169"/>
      <c r="D130" s="5">
        <v>123</v>
      </c>
      <c r="E130" s="5" t="s">
        <v>235</v>
      </c>
      <c r="F130" s="5"/>
      <c r="G130" s="5"/>
      <c r="H130" s="5"/>
      <c r="I130" s="5"/>
      <c r="J130" s="5"/>
      <c r="K130" s="5"/>
      <c r="L130" s="5"/>
      <c r="M130" s="5"/>
      <c r="N130" s="5"/>
      <c r="O130" s="5"/>
      <c r="P130" s="8">
        <v>0</v>
      </c>
      <c r="Q130" s="6">
        <v>2</v>
      </c>
      <c r="R130" s="5"/>
      <c r="S130" s="5"/>
      <c r="T130" s="6">
        <f t="shared" si="4"/>
        <v>2</v>
      </c>
      <c r="U130" s="46" t="s">
        <v>236</v>
      </c>
      <c r="V130" s="1"/>
      <c r="W130" s="1"/>
      <c r="X130" s="1"/>
      <c r="Y130" s="1"/>
      <c r="Z130" s="1"/>
    </row>
    <row r="131" spans="1:26" ht="39.75" customHeight="1">
      <c r="A131" s="171"/>
      <c r="B131" s="168" t="s">
        <v>237</v>
      </c>
      <c r="C131" s="168" t="s">
        <v>238</v>
      </c>
      <c r="D131" s="5">
        <v>124</v>
      </c>
      <c r="E131" s="5" t="s">
        <v>239</v>
      </c>
      <c r="F131" s="5"/>
      <c r="G131" s="5"/>
      <c r="H131" s="8"/>
      <c r="I131" s="5"/>
      <c r="J131" s="5"/>
      <c r="K131" s="5"/>
      <c r="L131" s="5"/>
      <c r="M131" s="5"/>
      <c r="N131" s="5"/>
      <c r="O131" s="5"/>
      <c r="P131" s="5"/>
      <c r="Q131" s="8">
        <v>2</v>
      </c>
      <c r="R131" s="5"/>
      <c r="S131" s="5"/>
      <c r="T131" s="6">
        <f t="shared" si="4"/>
        <v>2</v>
      </c>
      <c r="U131" s="10" t="s">
        <v>240</v>
      </c>
      <c r="V131" s="1"/>
      <c r="W131" s="1"/>
      <c r="X131" s="1"/>
      <c r="Y131" s="1"/>
      <c r="Z131" s="1"/>
    </row>
    <row r="132" spans="1:26" ht="39.75" customHeight="1">
      <c r="A132" s="171"/>
      <c r="B132" s="169"/>
      <c r="C132" s="169"/>
      <c r="D132" s="5">
        <v>125</v>
      </c>
      <c r="E132" s="5" t="s">
        <v>241</v>
      </c>
      <c r="F132" s="5"/>
      <c r="G132" s="5"/>
      <c r="H132" s="8"/>
      <c r="I132" s="5"/>
      <c r="J132" s="5"/>
      <c r="K132" s="5"/>
      <c r="L132" s="5"/>
      <c r="M132" s="5"/>
      <c r="N132" s="5"/>
      <c r="O132" s="5"/>
      <c r="P132" s="5"/>
      <c r="Q132" s="5"/>
      <c r="R132" s="5"/>
      <c r="S132" s="5"/>
      <c r="T132" s="6">
        <f t="shared" si="4"/>
        <v>0</v>
      </c>
      <c r="U132" s="9"/>
      <c r="V132" s="1"/>
      <c r="W132" s="1"/>
      <c r="X132" s="1"/>
      <c r="Y132" s="1"/>
      <c r="Z132" s="1"/>
    </row>
    <row r="133" spans="1:26" ht="39.75" customHeight="1">
      <c r="A133" s="171"/>
      <c r="B133" s="5" t="s">
        <v>242</v>
      </c>
      <c r="C133" s="5" t="s">
        <v>243</v>
      </c>
      <c r="D133" s="5">
        <v>126</v>
      </c>
      <c r="E133" s="5" t="s">
        <v>167</v>
      </c>
      <c r="F133" s="5"/>
      <c r="G133" s="5"/>
      <c r="H133" s="5"/>
      <c r="I133" s="5"/>
      <c r="J133" s="5"/>
      <c r="K133" s="5"/>
      <c r="L133" s="5"/>
      <c r="M133" s="5"/>
      <c r="N133" s="5"/>
      <c r="O133" s="5"/>
      <c r="P133" s="5"/>
      <c r="Q133" s="5"/>
      <c r="R133" s="5"/>
      <c r="S133" s="5"/>
      <c r="T133" s="6">
        <f t="shared" si="4"/>
        <v>0</v>
      </c>
      <c r="U133" s="9"/>
      <c r="V133" s="1"/>
      <c r="W133" s="1"/>
      <c r="X133" s="1"/>
      <c r="Y133" s="1"/>
      <c r="Z133" s="1"/>
    </row>
    <row r="134" spans="1:26" ht="39.75" customHeight="1">
      <c r="A134" s="169"/>
      <c r="B134" s="176" t="s">
        <v>244</v>
      </c>
      <c r="C134" s="177"/>
      <c r="D134" s="178"/>
      <c r="E134" s="51"/>
      <c r="F134" s="51">
        <f t="shared" ref="F134:S134" si="8">SUM(F94:F133)</f>
        <v>0</v>
      </c>
      <c r="G134" s="51">
        <f t="shared" si="8"/>
        <v>0</v>
      </c>
      <c r="H134" s="51">
        <f t="shared" si="8"/>
        <v>6</v>
      </c>
      <c r="I134" s="51">
        <f t="shared" si="8"/>
        <v>6.8</v>
      </c>
      <c r="J134" s="51">
        <f t="shared" si="8"/>
        <v>0</v>
      </c>
      <c r="K134" s="52">
        <f t="shared" si="8"/>
        <v>14</v>
      </c>
      <c r="L134" s="51">
        <f t="shared" si="8"/>
        <v>0</v>
      </c>
      <c r="M134" s="51">
        <f t="shared" si="8"/>
        <v>22.189999999999998</v>
      </c>
      <c r="N134" s="51">
        <f t="shared" si="8"/>
        <v>14.3</v>
      </c>
      <c r="O134" s="51">
        <f t="shared" si="8"/>
        <v>12.114000000000001</v>
      </c>
      <c r="P134" s="51">
        <f t="shared" si="8"/>
        <v>72.900000000000006</v>
      </c>
      <c r="Q134" s="51">
        <f t="shared" si="8"/>
        <v>31.65</v>
      </c>
      <c r="R134" s="51">
        <f t="shared" si="8"/>
        <v>37.35</v>
      </c>
      <c r="S134" s="51">
        <f t="shared" si="8"/>
        <v>0</v>
      </c>
      <c r="T134" s="6">
        <f t="shared" ref="T134:T197" si="9">SUM(F134:S134)</f>
        <v>217.304</v>
      </c>
      <c r="U134" s="9"/>
      <c r="V134" s="1"/>
      <c r="W134" s="1"/>
      <c r="X134" s="1"/>
      <c r="Y134" s="1"/>
      <c r="Z134" s="1"/>
    </row>
    <row r="135" spans="1:26" ht="39.75" customHeight="1">
      <c r="A135" s="175" t="s">
        <v>245</v>
      </c>
      <c r="B135" s="168" t="s">
        <v>246</v>
      </c>
      <c r="C135" s="168" t="s">
        <v>247</v>
      </c>
      <c r="D135" s="5">
        <v>127</v>
      </c>
      <c r="E135" s="5" t="s">
        <v>248</v>
      </c>
      <c r="F135" s="98"/>
      <c r="G135" s="98"/>
      <c r="H135" s="98"/>
      <c r="I135" s="98"/>
      <c r="J135" s="98"/>
      <c r="K135" s="98"/>
      <c r="L135" s="98"/>
      <c r="M135" s="98"/>
      <c r="N135" s="98"/>
      <c r="O135" s="98"/>
      <c r="P135" s="98"/>
      <c r="Q135" s="98"/>
      <c r="R135" s="98"/>
      <c r="S135" s="98"/>
      <c r="T135" s="99">
        <f t="shared" ref="T135:T157" si="10">SUM(F135:S135)</f>
        <v>0</v>
      </c>
      <c r="U135" s="100"/>
      <c r="V135" s="1"/>
      <c r="W135" s="1"/>
      <c r="X135" s="1"/>
      <c r="Y135" s="1"/>
      <c r="Z135" s="1"/>
    </row>
    <row r="136" spans="1:26" ht="39.75" customHeight="1">
      <c r="A136" s="171"/>
      <c r="B136" s="169"/>
      <c r="C136" s="169"/>
      <c r="D136" s="5">
        <v>128</v>
      </c>
      <c r="E136" s="5" t="s">
        <v>249</v>
      </c>
      <c r="F136" s="98"/>
      <c r="G136" s="98"/>
      <c r="H136" s="98"/>
      <c r="I136" s="98"/>
      <c r="J136" s="98"/>
      <c r="K136" s="99"/>
      <c r="L136" s="98"/>
      <c r="M136" s="98"/>
      <c r="N136" s="99"/>
      <c r="O136" s="98"/>
      <c r="P136" s="99"/>
      <c r="Q136" s="99">
        <f>(5*0.75)+(5*0.1)</f>
        <v>4.25</v>
      </c>
      <c r="R136" s="98"/>
      <c r="S136" s="98"/>
      <c r="T136" s="99">
        <f t="shared" si="10"/>
        <v>4.25</v>
      </c>
      <c r="U136" s="101" t="s">
        <v>662</v>
      </c>
      <c r="V136" s="1"/>
      <c r="W136" s="1"/>
      <c r="X136" s="1"/>
      <c r="Y136" s="1"/>
      <c r="Z136" s="1"/>
    </row>
    <row r="137" spans="1:26" ht="39.75" customHeight="1">
      <c r="A137" s="171"/>
      <c r="B137" s="28"/>
      <c r="C137" s="28"/>
      <c r="D137" s="5">
        <v>129</v>
      </c>
      <c r="E137" s="5" t="s">
        <v>250</v>
      </c>
      <c r="F137" s="98"/>
      <c r="G137" s="98"/>
      <c r="H137" s="98"/>
      <c r="I137" s="98"/>
      <c r="J137" s="98"/>
      <c r="K137" s="98"/>
      <c r="L137" s="98"/>
      <c r="M137" s="98"/>
      <c r="N137" s="98"/>
      <c r="O137" s="98"/>
      <c r="P137" s="98"/>
      <c r="Q137" s="98"/>
      <c r="R137" s="98"/>
      <c r="S137" s="98"/>
      <c r="T137" s="99">
        <f t="shared" si="10"/>
        <v>0</v>
      </c>
      <c r="U137" s="100"/>
      <c r="V137" s="1"/>
      <c r="W137" s="1"/>
      <c r="X137" s="1"/>
      <c r="Y137" s="1"/>
      <c r="Z137" s="1"/>
    </row>
    <row r="138" spans="1:26" ht="39.75" customHeight="1">
      <c r="A138" s="171"/>
      <c r="B138" s="168" t="s">
        <v>251</v>
      </c>
      <c r="C138" s="168" t="s">
        <v>252</v>
      </c>
      <c r="D138" s="5">
        <v>130</v>
      </c>
      <c r="E138" s="5" t="s">
        <v>253</v>
      </c>
      <c r="F138" s="98"/>
      <c r="G138" s="98"/>
      <c r="H138" s="98"/>
      <c r="I138" s="98"/>
      <c r="J138" s="98"/>
      <c r="K138" s="98"/>
      <c r="L138" s="98"/>
      <c r="M138" s="98"/>
      <c r="N138" s="98"/>
      <c r="O138" s="98"/>
      <c r="P138" s="98"/>
      <c r="Q138" s="98"/>
      <c r="R138" s="98"/>
      <c r="S138" s="98"/>
      <c r="T138" s="99">
        <f t="shared" si="10"/>
        <v>0</v>
      </c>
      <c r="U138" s="100"/>
      <c r="V138" s="1"/>
      <c r="W138" s="1"/>
      <c r="X138" s="1"/>
      <c r="Y138" s="1"/>
      <c r="Z138" s="1"/>
    </row>
    <row r="139" spans="1:26" ht="39.75" customHeight="1">
      <c r="A139" s="171"/>
      <c r="B139" s="171"/>
      <c r="C139" s="171"/>
      <c r="D139" s="5">
        <v>131</v>
      </c>
      <c r="E139" s="5" t="s">
        <v>254</v>
      </c>
      <c r="F139" s="98"/>
      <c r="G139" s="98"/>
      <c r="H139" s="98"/>
      <c r="I139" s="98"/>
      <c r="J139" s="98"/>
      <c r="K139" s="98"/>
      <c r="L139" s="98"/>
      <c r="M139" s="98"/>
      <c r="N139" s="99">
        <f>0.01*26</f>
        <v>0.26</v>
      </c>
      <c r="O139" s="98"/>
      <c r="P139" s="98"/>
      <c r="Q139" s="98"/>
      <c r="R139" s="98"/>
      <c r="S139" s="98"/>
      <c r="T139" s="99">
        <f t="shared" si="10"/>
        <v>0.26</v>
      </c>
      <c r="U139" s="102" t="s">
        <v>667</v>
      </c>
      <c r="V139" s="1"/>
      <c r="W139" s="1"/>
      <c r="X139" s="1"/>
      <c r="Y139" s="1"/>
      <c r="Z139" s="1"/>
    </row>
    <row r="140" spans="1:26" ht="39.75" customHeight="1">
      <c r="A140" s="171"/>
      <c r="B140" s="171"/>
      <c r="C140" s="171"/>
      <c r="D140" s="5">
        <v>132</v>
      </c>
      <c r="E140" s="5" t="s">
        <v>255</v>
      </c>
      <c r="F140" s="98"/>
      <c r="G140" s="98"/>
      <c r="H140" s="98"/>
      <c r="I140" s="98"/>
      <c r="J140" s="98"/>
      <c r="K140" s="98"/>
      <c r="L140" s="98"/>
      <c r="M140" s="98"/>
      <c r="N140" s="98"/>
      <c r="O140" s="98"/>
      <c r="P140" s="98"/>
      <c r="Q140" s="98"/>
      <c r="R140" s="98"/>
      <c r="S140" s="98"/>
      <c r="T140" s="99">
        <f t="shared" si="10"/>
        <v>0</v>
      </c>
      <c r="U140" s="100"/>
      <c r="V140" s="1"/>
      <c r="W140" s="1"/>
      <c r="X140" s="1"/>
      <c r="Y140" s="1"/>
      <c r="Z140" s="1"/>
    </row>
    <row r="141" spans="1:26" ht="39.75" customHeight="1">
      <c r="A141" s="171"/>
      <c r="B141" s="171"/>
      <c r="C141" s="171"/>
      <c r="D141" s="5">
        <v>133</v>
      </c>
      <c r="E141" s="5" t="s">
        <v>256</v>
      </c>
      <c r="F141" s="98"/>
      <c r="G141" s="98"/>
      <c r="H141" s="98"/>
      <c r="I141" s="98"/>
      <c r="J141" s="98"/>
      <c r="K141" s="98"/>
      <c r="L141" s="98"/>
      <c r="M141" s="98"/>
      <c r="N141" s="98"/>
      <c r="O141" s="98"/>
      <c r="P141" s="110"/>
      <c r="Q141" s="98"/>
      <c r="R141" s="98"/>
      <c r="S141" s="98"/>
      <c r="T141" s="99">
        <f t="shared" si="10"/>
        <v>0</v>
      </c>
      <c r="U141" s="100"/>
      <c r="V141" s="1"/>
      <c r="W141" s="1"/>
      <c r="X141" s="1"/>
      <c r="Y141" s="1"/>
      <c r="Z141" s="1"/>
    </row>
    <row r="142" spans="1:26" ht="39.75" customHeight="1">
      <c r="A142" s="171"/>
      <c r="B142" s="171"/>
      <c r="C142" s="171"/>
      <c r="D142" s="5">
        <v>134</v>
      </c>
      <c r="E142" s="5" t="s">
        <v>257</v>
      </c>
      <c r="F142" s="98"/>
      <c r="G142" s="98"/>
      <c r="H142" s="98"/>
      <c r="I142" s="98"/>
      <c r="J142" s="98"/>
      <c r="K142" s="98"/>
      <c r="L142" s="98"/>
      <c r="M142" s="98"/>
      <c r="N142" s="98"/>
      <c r="O142" s="98"/>
      <c r="P142" s="99">
        <f>(20*0.005*12)+(20*0.0025*12)+(5*4*0.1)</f>
        <v>3.8000000000000003</v>
      </c>
      <c r="Q142" s="98"/>
      <c r="R142" s="98"/>
      <c r="S142" s="98"/>
      <c r="T142" s="99">
        <f t="shared" si="10"/>
        <v>3.8000000000000003</v>
      </c>
      <c r="U142" s="100" t="s">
        <v>258</v>
      </c>
      <c r="V142" s="1"/>
      <c r="W142" s="1"/>
      <c r="X142" s="1"/>
      <c r="Y142" s="1"/>
      <c r="Z142" s="1"/>
    </row>
    <row r="143" spans="1:26" ht="39.75" customHeight="1">
      <c r="A143" s="171"/>
      <c r="B143" s="171"/>
      <c r="C143" s="171"/>
      <c r="D143" s="5">
        <v>135</v>
      </c>
      <c r="E143" s="5" t="s">
        <v>259</v>
      </c>
      <c r="F143" s="98"/>
      <c r="G143" s="98"/>
      <c r="H143" s="98"/>
      <c r="I143" s="98"/>
      <c r="J143" s="98"/>
      <c r="K143" s="98"/>
      <c r="L143" s="98"/>
      <c r="M143" s="98"/>
      <c r="N143" s="98"/>
      <c r="O143" s="98"/>
      <c r="P143" s="98"/>
      <c r="Q143" s="98"/>
      <c r="R143" s="98"/>
      <c r="S143" s="98"/>
      <c r="T143" s="99">
        <f t="shared" si="10"/>
        <v>0</v>
      </c>
      <c r="U143" s="100"/>
      <c r="V143" s="1"/>
      <c r="W143" s="1"/>
      <c r="X143" s="1"/>
      <c r="Y143" s="1"/>
      <c r="Z143" s="1"/>
    </row>
    <row r="144" spans="1:26" ht="39.75" customHeight="1">
      <c r="A144" s="171"/>
      <c r="B144" s="169"/>
      <c r="C144" s="169"/>
      <c r="D144" s="5">
        <v>136</v>
      </c>
      <c r="E144" s="5" t="s">
        <v>260</v>
      </c>
      <c r="F144" s="98"/>
      <c r="G144" s="98"/>
      <c r="H144" s="98"/>
      <c r="I144" s="98"/>
      <c r="J144" s="98"/>
      <c r="K144" s="98"/>
      <c r="L144" s="98"/>
      <c r="M144" s="98"/>
      <c r="N144" s="98"/>
      <c r="O144" s="98"/>
      <c r="P144" s="99"/>
      <c r="Q144" s="98"/>
      <c r="R144" s="98"/>
      <c r="S144" s="98"/>
      <c r="T144" s="99">
        <f t="shared" si="10"/>
        <v>0</v>
      </c>
      <c r="U144" s="101"/>
      <c r="V144" s="1"/>
      <c r="W144" s="1"/>
      <c r="X144" s="1"/>
      <c r="Y144" s="1"/>
      <c r="Z144" s="1"/>
    </row>
    <row r="145" spans="1:26" ht="39.75" customHeight="1">
      <c r="A145" s="171"/>
      <c r="B145" s="168" t="s">
        <v>261</v>
      </c>
      <c r="C145" s="168" t="s">
        <v>262</v>
      </c>
      <c r="D145" s="5">
        <v>137</v>
      </c>
      <c r="E145" s="5" t="s">
        <v>263</v>
      </c>
      <c r="F145" s="98"/>
      <c r="G145" s="98"/>
      <c r="H145" s="98"/>
      <c r="I145" s="98"/>
      <c r="J145" s="98"/>
      <c r="K145" s="98"/>
      <c r="L145" s="98"/>
      <c r="M145" s="99"/>
      <c r="N145" s="98"/>
      <c r="O145" s="98"/>
      <c r="P145" s="99">
        <f>0.24*5</f>
        <v>1.2</v>
      </c>
      <c r="Q145" s="98"/>
      <c r="R145" s="98"/>
      <c r="S145" s="98"/>
      <c r="T145" s="99">
        <f t="shared" si="10"/>
        <v>1.2</v>
      </c>
      <c r="U145" s="101" t="s">
        <v>264</v>
      </c>
      <c r="V145" s="1"/>
      <c r="W145" s="1"/>
      <c r="X145" s="1"/>
      <c r="Y145" s="1"/>
      <c r="Z145" s="1"/>
    </row>
    <row r="146" spans="1:26" ht="39.75" customHeight="1">
      <c r="A146" s="171"/>
      <c r="B146" s="169"/>
      <c r="C146" s="169"/>
      <c r="D146" s="5">
        <v>138</v>
      </c>
      <c r="E146" s="5" t="s">
        <v>265</v>
      </c>
      <c r="F146" s="103"/>
      <c r="G146" s="103"/>
      <c r="H146" s="104"/>
      <c r="I146" s="104"/>
      <c r="J146" s="103"/>
      <c r="K146" s="104"/>
      <c r="L146" s="103"/>
      <c r="M146" s="104"/>
      <c r="N146" s="103"/>
      <c r="O146" s="103"/>
      <c r="P146" s="103"/>
      <c r="Q146" s="103"/>
      <c r="R146" s="103"/>
      <c r="S146" s="103"/>
      <c r="T146" s="104">
        <f t="shared" si="10"/>
        <v>0</v>
      </c>
      <c r="U146" s="105"/>
      <c r="V146" s="1"/>
      <c r="W146" s="1"/>
      <c r="X146" s="1"/>
      <c r="Y146" s="1"/>
      <c r="Z146" s="1"/>
    </row>
    <row r="147" spans="1:26" ht="39.75" customHeight="1">
      <c r="A147" s="171"/>
      <c r="B147" s="168" t="s">
        <v>266</v>
      </c>
      <c r="C147" s="168" t="s">
        <v>267</v>
      </c>
      <c r="D147" s="5">
        <v>139</v>
      </c>
      <c r="E147" s="5" t="s">
        <v>268</v>
      </c>
      <c r="F147" s="98"/>
      <c r="G147" s="98"/>
      <c r="H147" s="98"/>
      <c r="I147" s="98"/>
      <c r="J147" s="98"/>
      <c r="K147" s="98"/>
      <c r="L147" s="98"/>
      <c r="M147" s="98"/>
      <c r="N147" s="99"/>
      <c r="O147" s="98"/>
      <c r="P147" s="99">
        <v>5</v>
      </c>
      <c r="Q147" s="98"/>
      <c r="R147" s="99"/>
      <c r="S147" s="98"/>
      <c r="T147" s="99">
        <f t="shared" si="10"/>
        <v>5</v>
      </c>
      <c r="U147" s="101" t="s">
        <v>668</v>
      </c>
      <c r="V147" s="1"/>
      <c r="W147" s="1"/>
      <c r="X147" s="1"/>
      <c r="Y147" s="1"/>
      <c r="Z147" s="1"/>
    </row>
    <row r="148" spans="1:26" ht="39.75" customHeight="1">
      <c r="A148" s="171"/>
      <c r="B148" s="171"/>
      <c r="C148" s="171"/>
      <c r="D148" s="5">
        <v>140</v>
      </c>
      <c r="E148" s="5" t="s">
        <v>269</v>
      </c>
      <c r="F148" s="98"/>
      <c r="G148" s="98"/>
      <c r="H148" s="98"/>
      <c r="I148" s="98"/>
      <c r="J148" s="98"/>
      <c r="K148" s="98"/>
      <c r="L148" s="98"/>
      <c r="M148" s="98"/>
      <c r="N148" s="98"/>
      <c r="O148" s="98"/>
      <c r="P148" s="99">
        <f>5+(5*0.055)+(0.08*2)</f>
        <v>5.4350000000000005</v>
      </c>
      <c r="Q148" s="98"/>
      <c r="R148" s="98"/>
      <c r="S148" s="98"/>
      <c r="T148" s="99">
        <f t="shared" si="10"/>
        <v>5.4350000000000005</v>
      </c>
      <c r="U148" s="101" t="s">
        <v>666</v>
      </c>
      <c r="V148" s="1"/>
      <c r="W148" s="1"/>
      <c r="X148" s="1"/>
      <c r="Y148" s="1"/>
      <c r="Z148" s="1"/>
    </row>
    <row r="149" spans="1:26" ht="39.75" customHeight="1">
      <c r="A149" s="171"/>
      <c r="B149" s="169"/>
      <c r="C149" s="169"/>
      <c r="D149" s="5">
        <v>141</v>
      </c>
      <c r="E149" s="5" t="s">
        <v>270</v>
      </c>
      <c r="F149" s="98"/>
      <c r="G149" s="98"/>
      <c r="H149" s="98"/>
      <c r="I149" s="98"/>
      <c r="J149" s="98"/>
      <c r="K149" s="98"/>
      <c r="L149" s="98"/>
      <c r="M149" s="98"/>
      <c r="N149" s="98"/>
      <c r="O149" s="98"/>
      <c r="P149" s="98"/>
      <c r="Q149" s="98"/>
      <c r="R149" s="98"/>
      <c r="S149" s="98"/>
      <c r="T149" s="99">
        <f t="shared" si="10"/>
        <v>0</v>
      </c>
      <c r="U149" s="100"/>
      <c r="V149" s="1"/>
      <c r="W149" s="1"/>
      <c r="X149" s="1"/>
      <c r="Y149" s="1"/>
      <c r="Z149" s="1"/>
    </row>
    <row r="150" spans="1:26" ht="39.75" customHeight="1">
      <c r="A150" s="171"/>
      <c r="B150" s="168" t="s">
        <v>271</v>
      </c>
      <c r="C150" s="168" t="s">
        <v>272</v>
      </c>
      <c r="D150" s="5">
        <v>142</v>
      </c>
      <c r="E150" s="5" t="s">
        <v>273</v>
      </c>
      <c r="F150" s="98"/>
      <c r="G150" s="98"/>
      <c r="H150" s="98"/>
      <c r="I150" s="98"/>
      <c r="J150" s="98"/>
      <c r="K150" s="98"/>
      <c r="L150" s="98"/>
      <c r="M150" s="98"/>
      <c r="N150" s="98"/>
      <c r="O150" s="98"/>
      <c r="P150" s="98"/>
      <c r="Q150" s="98"/>
      <c r="R150" s="98">
        <v>241.67786477999999</v>
      </c>
      <c r="S150" s="98"/>
      <c r="T150" s="99">
        <f t="shared" si="10"/>
        <v>241.67786477999999</v>
      </c>
      <c r="U150" s="100"/>
      <c r="V150" s="1"/>
      <c r="W150" s="1"/>
      <c r="X150" s="1"/>
      <c r="Y150" s="1"/>
      <c r="Z150" s="1"/>
    </row>
    <row r="151" spans="1:26" ht="39.75" customHeight="1">
      <c r="A151" s="171"/>
      <c r="B151" s="171"/>
      <c r="C151" s="171"/>
      <c r="D151" s="5">
        <v>143</v>
      </c>
      <c r="E151" s="5" t="s">
        <v>274</v>
      </c>
      <c r="F151" s="98"/>
      <c r="G151" s="98"/>
      <c r="H151" s="98"/>
      <c r="I151" s="98"/>
      <c r="J151" s="98"/>
      <c r="K151" s="98"/>
      <c r="L151" s="98"/>
      <c r="M151" s="98"/>
      <c r="N151" s="98"/>
      <c r="O151" s="98"/>
      <c r="P151" s="98"/>
      <c r="Q151" s="98"/>
      <c r="R151" s="98"/>
      <c r="S151" s="98"/>
      <c r="T151" s="99">
        <f t="shared" si="10"/>
        <v>0</v>
      </c>
      <c r="U151" s="100"/>
      <c r="V151" s="1"/>
      <c r="W151" s="1"/>
      <c r="X151" s="1"/>
      <c r="Y151" s="1"/>
      <c r="Z151" s="1"/>
    </row>
    <row r="152" spans="1:26" ht="39.75" customHeight="1">
      <c r="A152" s="171"/>
      <c r="B152" s="171"/>
      <c r="C152" s="171"/>
      <c r="D152" s="5">
        <v>144</v>
      </c>
      <c r="E152" s="5" t="s">
        <v>275</v>
      </c>
      <c r="F152" s="98"/>
      <c r="G152" s="98"/>
      <c r="H152" s="98"/>
      <c r="I152" s="98"/>
      <c r="J152" s="98"/>
      <c r="K152" s="98"/>
      <c r="L152" s="98"/>
      <c r="M152" s="98"/>
      <c r="N152" s="98"/>
      <c r="O152" s="98"/>
      <c r="P152" s="98"/>
      <c r="Q152" s="98"/>
      <c r="R152" s="98"/>
      <c r="S152" s="98"/>
      <c r="T152" s="99">
        <f t="shared" si="10"/>
        <v>0</v>
      </c>
      <c r="U152" s="100"/>
      <c r="V152" s="1"/>
      <c r="W152" s="1"/>
      <c r="X152" s="1"/>
      <c r="Y152" s="1"/>
      <c r="Z152" s="1"/>
    </row>
    <row r="153" spans="1:26" ht="39.75" customHeight="1">
      <c r="A153" s="171"/>
      <c r="B153" s="169"/>
      <c r="C153" s="169"/>
      <c r="D153" s="5">
        <v>145</v>
      </c>
      <c r="E153" s="5" t="s">
        <v>276</v>
      </c>
      <c r="F153" s="98"/>
      <c r="G153" s="98"/>
      <c r="H153" s="98"/>
      <c r="I153" s="98"/>
      <c r="J153" s="98"/>
      <c r="K153" s="98"/>
      <c r="L153" s="98"/>
      <c r="M153" s="98"/>
      <c r="N153" s="98"/>
      <c r="O153" s="98"/>
      <c r="P153" s="98"/>
      <c r="Q153" s="98"/>
      <c r="R153" s="98"/>
      <c r="S153" s="98"/>
      <c r="T153" s="99">
        <f t="shared" si="10"/>
        <v>0</v>
      </c>
      <c r="U153" s="100"/>
      <c r="V153" s="1"/>
      <c r="W153" s="1"/>
      <c r="X153" s="1"/>
      <c r="Y153" s="1"/>
      <c r="Z153" s="1"/>
    </row>
    <row r="154" spans="1:26" ht="39.75" customHeight="1">
      <c r="A154" s="171"/>
      <c r="B154" s="5" t="s">
        <v>277</v>
      </c>
      <c r="C154" s="5" t="s">
        <v>278</v>
      </c>
      <c r="D154" s="5">
        <v>146</v>
      </c>
      <c r="E154" s="5" t="s">
        <v>279</v>
      </c>
      <c r="F154" s="98"/>
      <c r="G154" s="98"/>
      <c r="H154" s="98"/>
      <c r="I154" s="98"/>
      <c r="J154" s="98"/>
      <c r="K154" s="98"/>
      <c r="L154" s="98"/>
      <c r="M154" s="98"/>
      <c r="N154" s="98"/>
      <c r="O154" s="98"/>
      <c r="P154" s="98"/>
      <c r="Q154" s="98"/>
      <c r="R154" s="99">
        <v>5.4</v>
      </c>
      <c r="S154" s="98"/>
      <c r="T154" s="99">
        <f t="shared" si="10"/>
        <v>5.4</v>
      </c>
      <c r="U154" s="102" t="s">
        <v>280</v>
      </c>
      <c r="V154" s="1"/>
      <c r="W154" s="1"/>
      <c r="X154" s="1"/>
      <c r="Y154" s="1"/>
      <c r="Z154" s="1"/>
    </row>
    <row r="155" spans="1:26" ht="39.75" customHeight="1">
      <c r="A155" s="171"/>
      <c r="B155" s="5" t="s">
        <v>281</v>
      </c>
      <c r="C155" s="5" t="s">
        <v>282</v>
      </c>
      <c r="D155" s="5">
        <v>147</v>
      </c>
      <c r="E155" s="5" t="s">
        <v>149</v>
      </c>
      <c r="F155" s="98"/>
      <c r="G155" s="98"/>
      <c r="H155" s="98"/>
      <c r="I155" s="98"/>
      <c r="J155" s="98"/>
      <c r="K155" s="98"/>
      <c r="L155" s="98"/>
      <c r="M155" s="98"/>
      <c r="N155" s="98"/>
      <c r="O155" s="98"/>
      <c r="P155" s="98"/>
      <c r="Q155" s="98"/>
      <c r="R155" s="98"/>
      <c r="S155" s="98"/>
      <c r="T155" s="99">
        <f t="shared" si="10"/>
        <v>0</v>
      </c>
      <c r="U155" s="100"/>
      <c r="V155" s="1"/>
      <c r="W155" s="1"/>
      <c r="X155" s="1"/>
      <c r="Y155" s="1"/>
      <c r="Z155" s="1"/>
    </row>
    <row r="156" spans="1:26" ht="39.75" customHeight="1">
      <c r="A156" s="171"/>
      <c r="B156" s="5" t="s">
        <v>283</v>
      </c>
      <c r="C156" s="5" t="s">
        <v>284</v>
      </c>
      <c r="D156" s="5">
        <v>148</v>
      </c>
      <c r="E156" s="5" t="s">
        <v>285</v>
      </c>
      <c r="F156" s="98"/>
      <c r="G156" s="98"/>
      <c r="H156" s="98"/>
      <c r="I156" s="98"/>
      <c r="J156" s="98"/>
      <c r="K156" s="98"/>
      <c r="L156" s="98"/>
      <c r="M156" s="98"/>
      <c r="N156" s="99"/>
      <c r="O156" s="98"/>
      <c r="P156" s="99"/>
      <c r="Q156" s="98"/>
      <c r="R156" s="98"/>
      <c r="S156" s="98"/>
      <c r="T156" s="99">
        <f t="shared" si="10"/>
        <v>0</v>
      </c>
      <c r="U156" s="101"/>
      <c r="V156" s="1"/>
      <c r="W156" s="1"/>
      <c r="X156" s="1"/>
      <c r="Y156" s="1"/>
      <c r="Z156" s="1"/>
    </row>
    <row r="157" spans="1:26" ht="39.75" customHeight="1">
      <c r="A157" s="171"/>
      <c r="B157" s="5" t="s">
        <v>286</v>
      </c>
      <c r="C157" s="5" t="s">
        <v>287</v>
      </c>
      <c r="D157" s="5">
        <v>149</v>
      </c>
      <c r="E157" s="5" t="s">
        <v>288</v>
      </c>
      <c r="F157" s="106"/>
      <c r="G157" s="106"/>
      <c r="H157" s="106"/>
      <c r="I157" s="106"/>
      <c r="J157" s="106"/>
      <c r="K157" s="106"/>
      <c r="L157" s="106"/>
      <c r="M157" s="106"/>
      <c r="N157" s="106"/>
      <c r="O157" s="106"/>
      <c r="P157" s="99">
        <f>(4*1.75)+(1*1)+(0.05*26)</f>
        <v>9.3000000000000007</v>
      </c>
      <c r="Q157" s="106"/>
      <c r="R157" s="106"/>
      <c r="S157" s="106"/>
      <c r="T157" s="99">
        <f t="shared" si="10"/>
        <v>9.3000000000000007</v>
      </c>
      <c r="U157" s="101"/>
      <c r="V157" s="1"/>
      <c r="W157" s="1"/>
      <c r="X157" s="1"/>
      <c r="Y157" s="1"/>
      <c r="Z157" s="1"/>
    </row>
    <row r="158" spans="1:26" ht="39.75" customHeight="1">
      <c r="A158" s="169"/>
      <c r="B158" s="176" t="s">
        <v>289</v>
      </c>
      <c r="C158" s="177"/>
      <c r="D158" s="178"/>
      <c r="E158" s="51"/>
      <c r="F158" s="107">
        <f t="shared" ref="F158:K158" si="11">SUM(F135:F157)</f>
        <v>0</v>
      </c>
      <c r="G158" s="107">
        <f t="shared" si="11"/>
        <v>0</v>
      </c>
      <c r="H158" s="107">
        <f t="shared" si="11"/>
        <v>0</v>
      </c>
      <c r="I158" s="107">
        <f t="shared" si="11"/>
        <v>0</v>
      </c>
      <c r="J158" s="107">
        <f t="shared" si="11"/>
        <v>0</v>
      </c>
      <c r="K158" s="107">
        <f t="shared" si="11"/>
        <v>0</v>
      </c>
      <c r="L158" s="107">
        <f>SUM(L135:L157)</f>
        <v>0</v>
      </c>
      <c r="M158" s="107">
        <f t="shared" ref="M158:S158" si="12">SUM(M135:M157)</f>
        <v>0</v>
      </c>
      <c r="N158" s="107">
        <f t="shared" si="12"/>
        <v>0.26</v>
      </c>
      <c r="O158" s="107">
        <f t="shared" si="12"/>
        <v>0</v>
      </c>
      <c r="P158" s="107">
        <f t="shared" si="12"/>
        <v>24.734999999999999</v>
      </c>
      <c r="Q158" s="107">
        <f t="shared" si="12"/>
        <v>4.25</v>
      </c>
      <c r="R158" s="107">
        <f t="shared" si="12"/>
        <v>247.07786478</v>
      </c>
      <c r="S158" s="107">
        <f t="shared" si="12"/>
        <v>0</v>
      </c>
      <c r="T158" s="108">
        <f>SUM(T135:T157)</f>
        <v>276.32286477999997</v>
      </c>
      <c r="U158" s="109"/>
      <c r="V158" s="29"/>
      <c r="W158" s="29"/>
      <c r="X158" s="29"/>
      <c r="Y158" s="29"/>
      <c r="Z158" s="29"/>
    </row>
    <row r="159" spans="1:26" ht="39.75" customHeight="1">
      <c r="A159" s="175" t="s">
        <v>290</v>
      </c>
      <c r="B159" s="168" t="s">
        <v>291</v>
      </c>
      <c r="C159" s="168" t="s">
        <v>247</v>
      </c>
      <c r="D159" s="5">
        <v>150</v>
      </c>
      <c r="E159" s="5" t="s">
        <v>292</v>
      </c>
      <c r="F159" s="5"/>
      <c r="G159" s="8">
        <v>535.5</v>
      </c>
      <c r="H159" s="8">
        <v>714</v>
      </c>
      <c r="I159" s="5"/>
      <c r="J159" s="5"/>
      <c r="K159" s="5"/>
      <c r="L159" s="5"/>
      <c r="M159" s="5"/>
      <c r="N159" s="6">
        <v>2.5</v>
      </c>
      <c r="O159" s="5"/>
      <c r="P159" s="8"/>
      <c r="Q159" s="5"/>
      <c r="R159" s="5"/>
      <c r="S159" s="5"/>
      <c r="T159" s="6">
        <f t="shared" si="9"/>
        <v>1252</v>
      </c>
      <c r="U159" s="62" t="s">
        <v>376</v>
      </c>
      <c r="V159" s="1"/>
      <c r="W159" s="1"/>
      <c r="X159" s="1"/>
      <c r="Y159" s="1"/>
      <c r="Z159" s="1"/>
    </row>
    <row r="160" spans="1:26" ht="39.75" customHeight="1">
      <c r="A160" s="171"/>
      <c r="B160" s="171"/>
      <c r="C160" s="171"/>
      <c r="D160" s="5">
        <v>151</v>
      </c>
      <c r="E160" s="5" t="s">
        <v>294</v>
      </c>
      <c r="F160" s="5"/>
      <c r="G160" s="8"/>
      <c r="H160" s="8"/>
      <c r="I160" s="6"/>
      <c r="J160" s="5"/>
      <c r="K160" s="5"/>
      <c r="L160" s="5"/>
      <c r="M160" s="5"/>
      <c r="N160" s="6"/>
      <c r="O160" s="8"/>
      <c r="P160" s="8"/>
      <c r="Q160" s="6"/>
      <c r="R160" s="8">
        <v>6</v>
      </c>
      <c r="S160" s="5"/>
      <c r="T160" s="6">
        <f t="shared" si="9"/>
        <v>6</v>
      </c>
      <c r="U160" s="9" t="s">
        <v>640</v>
      </c>
      <c r="V160" s="1"/>
      <c r="W160" s="1"/>
      <c r="X160" s="1"/>
      <c r="Y160" s="1"/>
      <c r="Z160" s="1"/>
    </row>
    <row r="161" spans="1:26" ht="39.75" customHeight="1">
      <c r="A161" s="171"/>
      <c r="B161" s="171"/>
      <c r="C161" s="171"/>
      <c r="D161" s="5">
        <v>152</v>
      </c>
      <c r="E161" s="5" t="s">
        <v>295</v>
      </c>
      <c r="F161" s="5"/>
      <c r="G161" s="5"/>
      <c r="H161" s="5"/>
      <c r="I161" s="5"/>
      <c r="J161" s="5"/>
      <c r="K161" s="5"/>
      <c r="L161" s="5"/>
      <c r="M161" s="5"/>
      <c r="N161" s="5"/>
      <c r="O161" s="5"/>
      <c r="P161" s="8">
        <v>25</v>
      </c>
      <c r="Q161" s="5"/>
      <c r="R161" s="5"/>
      <c r="S161" s="5"/>
      <c r="T161" s="6">
        <f t="shared" si="9"/>
        <v>25</v>
      </c>
      <c r="U161" s="9" t="s">
        <v>296</v>
      </c>
      <c r="V161" s="1"/>
      <c r="W161" s="1"/>
      <c r="X161" s="1"/>
      <c r="Y161" s="1"/>
      <c r="Z161" s="1"/>
    </row>
    <row r="162" spans="1:26" ht="39.75" customHeight="1">
      <c r="A162" s="171"/>
      <c r="B162" s="179"/>
      <c r="C162" s="179"/>
      <c r="D162" s="5">
        <v>153</v>
      </c>
      <c r="E162" s="5" t="s">
        <v>297</v>
      </c>
      <c r="F162" s="24"/>
      <c r="G162" s="24"/>
      <c r="H162" s="24"/>
      <c r="I162" s="24"/>
      <c r="J162" s="24"/>
      <c r="K162" s="24"/>
      <c r="L162" s="24"/>
      <c r="M162" s="24"/>
      <c r="N162" s="6"/>
      <c r="O162" s="24"/>
      <c r="P162" s="24"/>
      <c r="Q162" s="24"/>
      <c r="R162" s="24"/>
      <c r="S162" s="24"/>
      <c r="T162" s="6">
        <f t="shared" si="9"/>
        <v>0</v>
      </c>
      <c r="U162" s="9" t="s">
        <v>298</v>
      </c>
      <c r="V162" s="1"/>
      <c r="W162" s="1"/>
      <c r="X162" s="1"/>
      <c r="Y162" s="1"/>
      <c r="Z162" s="1"/>
    </row>
    <row r="163" spans="1:26" ht="39.75" customHeight="1">
      <c r="A163" s="171"/>
      <c r="B163" s="168" t="s">
        <v>299</v>
      </c>
      <c r="C163" s="168" t="s">
        <v>300</v>
      </c>
      <c r="D163" s="5">
        <v>154</v>
      </c>
      <c r="E163" s="5" t="s">
        <v>301</v>
      </c>
      <c r="F163" s="5"/>
      <c r="G163" s="5"/>
      <c r="H163" s="5"/>
      <c r="I163" s="5"/>
      <c r="J163" s="5"/>
      <c r="K163" s="6"/>
      <c r="L163" s="5"/>
      <c r="M163" s="6"/>
      <c r="N163" s="5"/>
      <c r="O163" s="5"/>
      <c r="P163" s="5"/>
      <c r="Q163" s="8"/>
      <c r="R163" s="5"/>
      <c r="S163" s="5"/>
      <c r="T163" s="6">
        <f t="shared" si="9"/>
        <v>0</v>
      </c>
      <c r="U163" s="9"/>
      <c r="V163" s="1"/>
      <c r="W163" s="1"/>
      <c r="X163" s="1"/>
      <c r="Y163" s="1"/>
      <c r="Z163" s="1"/>
    </row>
    <row r="164" spans="1:26" ht="39.75" customHeight="1">
      <c r="A164" s="171"/>
      <c r="B164" s="171"/>
      <c r="C164" s="171"/>
      <c r="D164" s="5">
        <v>155</v>
      </c>
      <c r="E164" s="5" t="s">
        <v>302</v>
      </c>
      <c r="F164" s="5"/>
      <c r="G164" s="5"/>
      <c r="H164" s="5"/>
      <c r="I164" s="5"/>
      <c r="J164" s="5"/>
      <c r="K164" s="5"/>
      <c r="L164" s="5"/>
      <c r="M164" s="5"/>
      <c r="N164" s="5"/>
      <c r="O164" s="5"/>
      <c r="P164" s="8"/>
      <c r="Q164" s="5"/>
      <c r="R164" s="5"/>
      <c r="S164" s="5"/>
      <c r="T164" s="6">
        <f t="shared" si="9"/>
        <v>0</v>
      </c>
      <c r="U164" s="9"/>
      <c r="V164" s="1"/>
      <c r="W164" s="1"/>
      <c r="X164" s="1"/>
      <c r="Y164" s="1"/>
      <c r="Z164" s="1"/>
    </row>
    <row r="165" spans="1:26" ht="39.75" customHeight="1">
      <c r="A165" s="171"/>
      <c r="B165" s="171"/>
      <c r="C165" s="171"/>
      <c r="D165" s="5">
        <v>156</v>
      </c>
      <c r="E165" s="5" t="s">
        <v>303</v>
      </c>
      <c r="F165" s="5"/>
      <c r="G165" s="5"/>
      <c r="H165" s="8"/>
      <c r="I165" s="6"/>
      <c r="J165" s="5"/>
      <c r="K165" s="5"/>
      <c r="L165" s="5"/>
      <c r="M165" s="5"/>
      <c r="N165" s="5"/>
      <c r="O165" s="5"/>
      <c r="P165" s="8">
        <v>1.6</v>
      </c>
      <c r="Q165" s="5"/>
      <c r="R165" s="5"/>
      <c r="S165" s="5"/>
      <c r="T165" s="6">
        <f t="shared" si="9"/>
        <v>1.6</v>
      </c>
      <c r="U165" s="9"/>
      <c r="V165" s="1"/>
      <c r="W165" s="1"/>
      <c r="X165" s="1"/>
      <c r="Y165" s="1"/>
      <c r="Z165" s="1"/>
    </row>
    <row r="166" spans="1:26" ht="39.75" customHeight="1">
      <c r="A166" s="171"/>
      <c r="B166" s="171"/>
      <c r="C166" s="171"/>
      <c r="D166" s="5">
        <v>157</v>
      </c>
      <c r="E166" s="5" t="s">
        <v>304</v>
      </c>
      <c r="F166" s="5"/>
      <c r="G166" s="5"/>
      <c r="H166" s="5"/>
      <c r="I166" s="5"/>
      <c r="J166" s="5"/>
      <c r="K166" s="5"/>
      <c r="L166" s="5"/>
      <c r="M166" s="5"/>
      <c r="N166" s="5"/>
      <c r="O166" s="5"/>
      <c r="P166" s="5"/>
      <c r="Q166" s="5"/>
      <c r="R166" s="5"/>
      <c r="S166" s="5"/>
      <c r="T166" s="6">
        <f t="shared" si="9"/>
        <v>0</v>
      </c>
      <c r="U166" s="9"/>
      <c r="V166" s="1"/>
      <c r="W166" s="1"/>
      <c r="X166" s="1"/>
      <c r="Y166" s="1"/>
      <c r="Z166" s="1"/>
    </row>
    <row r="167" spans="1:26" ht="39.75" customHeight="1">
      <c r="A167" s="171"/>
      <c r="B167" s="169"/>
      <c r="C167" s="169"/>
      <c r="D167" s="5">
        <v>158</v>
      </c>
      <c r="E167" s="5" t="s">
        <v>305</v>
      </c>
      <c r="F167" s="5"/>
      <c r="G167" s="5"/>
      <c r="H167" s="5"/>
      <c r="I167" s="5"/>
      <c r="J167" s="5"/>
      <c r="K167" s="5"/>
      <c r="L167" s="5"/>
      <c r="M167" s="5"/>
      <c r="N167" s="5"/>
      <c r="O167" s="5"/>
      <c r="P167" s="5"/>
      <c r="Q167" s="6"/>
      <c r="R167" s="5"/>
      <c r="S167" s="5"/>
      <c r="T167" s="6">
        <f t="shared" si="9"/>
        <v>0</v>
      </c>
      <c r="U167" s="9"/>
      <c r="V167" s="1"/>
      <c r="W167" s="1"/>
      <c r="X167" s="1"/>
      <c r="Y167" s="1"/>
      <c r="Z167" s="1"/>
    </row>
    <row r="168" spans="1:26" ht="39.75" customHeight="1">
      <c r="A168" s="171"/>
      <c r="B168" s="168" t="s">
        <v>306</v>
      </c>
      <c r="C168" s="168" t="s">
        <v>252</v>
      </c>
      <c r="D168" s="5">
        <v>159</v>
      </c>
      <c r="E168" s="5" t="s">
        <v>253</v>
      </c>
      <c r="F168" s="5"/>
      <c r="G168" s="5"/>
      <c r="H168" s="5"/>
      <c r="I168" s="5"/>
      <c r="J168" s="5"/>
      <c r="K168" s="6"/>
      <c r="L168" s="5"/>
      <c r="M168" s="5"/>
      <c r="N168" s="8">
        <v>30</v>
      </c>
      <c r="O168" s="8">
        <v>533.02</v>
      </c>
      <c r="P168" s="8">
        <v>53.87</v>
      </c>
      <c r="Q168" s="6">
        <v>3.02</v>
      </c>
      <c r="R168" s="5"/>
      <c r="S168" s="5"/>
      <c r="T168" s="6">
        <f t="shared" si="9"/>
        <v>619.91</v>
      </c>
      <c r="U168" s="9" t="s">
        <v>377</v>
      </c>
      <c r="V168" s="1"/>
      <c r="W168" s="1"/>
      <c r="X168" s="1"/>
      <c r="Y168" s="1"/>
      <c r="Z168" s="1"/>
    </row>
    <row r="169" spans="1:26" ht="39.75" customHeight="1">
      <c r="A169" s="171"/>
      <c r="B169" s="171"/>
      <c r="C169" s="171"/>
      <c r="D169" s="5">
        <v>160</v>
      </c>
      <c r="E169" s="5" t="s">
        <v>308</v>
      </c>
      <c r="F169" s="5"/>
      <c r="G169" s="5"/>
      <c r="H169" s="5"/>
      <c r="I169" s="5"/>
      <c r="J169" s="5"/>
      <c r="K169" s="5"/>
      <c r="L169" s="5"/>
      <c r="M169" s="5"/>
      <c r="N169" s="5"/>
      <c r="O169" s="5"/>
      <c r="P169" s="5"/>
      <c r="Q169" s="5"/>
      <c r="R169" s="5"/>
      <c r="S169" s="5"/>
      <c r="T169" s="6">
        <f t="shared" si="9"/>
        <v>0</v>
      </c>
      <c r="U169" s="9"/>
      <c r="V169" s="1"/>
      <c r="W169" s="1"/>
      <c r="X169" s="1"/>
      <c r="Y169" s="1"/>
      <c r="Z169" s="1"/>
    </row>
    <row r="170" spans="1:26" ht="39.75" customHeight="1">
      <c r="A170" s="171"/>
      <c r="B170" s="171"/>
      <c r="C170" s="171"/>
      <c r="D170" s="5">
        <v>161</v>
      </c>
      <c r="E170" s="5" t="s">
        <v>255</v>
      </c>
      <c r="F170" s="5"/>
      <c r="G170" s="5"/>
      <c r="H170" s="5"/>
      <c r="I170" s="5"/>
      <c r="J170" s="5"/>
      <c r="K170" s="5"/>
      <c r="L170" s="5"/>
      <c r="M170" s="5"/>
      <c r="N170" s="5"/>
      <c r="O170" s="5"/>
      <c r="P170" s="5"/>
      <c r="Q170" s="5"/>
      <c r="R170" s="5"/>
      <c r="S170" s="5"/>
      <c r="T170" s="6">
        <f t="shared" si="9"/>
        <v>0</v>
      </c>
      <c r="U170" s="9"/>
      <c r="V170" s="1"/>
      <c r="W170" s="1"/>
      <c r="X170" s="1"/>
      <c r="Y170" s="1"/>
      <c r="Z170" s="1"/>
    </row>
    <row r="171" spans="1:26" ht="39.75" customHeight="1">
      <c r="A171" s="171"/>
      <c r="B171" s="171"/>
      <c r="C171" s="171"/>
      <c r="D171" s="5">
        <v>162</v>
      </c>
      <c r="E171" s="5" t="s">
        <v>256</v>
      </c>
      <c r="F171" s="5"/>
      <c r="G171" s="5"/>
      <c r="H171" s="5"/>
      <c r="I171" s="5"/>
      <c r="J171" s="5"/>
      <c r="K171" s="5"/>
      <c r="L171" s="5"/>
      <c r="M171" s="5"/>
      <c r="N171" s="5"/>
      <c r="O171" s="5"/>
      <c r="P171" s="5"/>
      <c r="Q171" s="5"/>
      <c r="R171" s="5"/>
      <c r="S171" s="5"/>
      <c r="T171" s="6">
        <f t="shared" si="9"/>
        <v>0</v>
      </c>
      <c r="U171" s="9"/>
      <c r="V171" s="1"/>
      <c r="W171" s="1"/>
      <c r="X171" s="1"/>
      <c r="Y171" s="1"/>
      <c r="Z171" s="1"/>
    </row>
    <row r="172" spans="1:26" ht="39.75" customHeight="1">
      <c r="A172" s="171"/>
      <c r="B172" s="169"/>
      <c r="C172" s="169"/>
      <c r="D172" s="5">
        <v>163</v>
      </c>
      <c r="E172" s="5" t="s">
        <v>309</v>
      </c>
      <c r="F172" s="5"/>
      <c r="G172" s="5"/>
      <c r="H172" s="5"/>
      <c r="I172" s="5"/>
      <c r="J172" s="5"/>
      <c r="K172" s="5"/>
      <c r="L172" s="5"/>
      <c r="M172" s="5"/>
      <c r="N172" s="5"/>
      <c r="O172" s="8"/>
      <c r="P172" s="8">
        <v>2.1</v>
      </c>
      <c r="Q172" s="6">
        <v>2.5</v>
      </c>
      <c r="R172" s="5"/>
      <c r="S172" s="5"/>
      <c r="T172" s="6">
        <f t="shared" si="9"/>
        <v>4.5999999999999996</v>
      </c>
      <c r="U172" s="9" t="s">
        <v>310</v>
      </c>
      <c r="V172" s="1"/>
      <c r="W172" s="1"/>
      <c r="X172" s="1"/>
      <c r="Y172" s="1"/>
      <c r="Z172" s="1"/>
    </row>
    <row r="173" spans="1:26" ht="39.75" customHeight="1">
      <c r="A173" s="171"/>
      <c r="B173" s="168" t="s">
        <v>311</v>
      </c>
      <c r="C173" s="168" t="s">
        <v>312</v>
      </c>
      <c r="D173" s="5">
        <v>164</v>
      </c>
      <c r="E173" s="5" t="s">
        <v>313</v>
      </c>
      <c r="F173" s="5"/>
      <c r="G173" s="8"/>
      <c r="H173" s="8"/>
      <c r="I173" s="5"/>
      <c r="J173" s="5"/>
      <c r="K173" s="5"/>
      <c r="L173" s="5"/>
      <c r="M173" s="5"/>
      <c r="N173" s="5"/>
      <c r="O173" s="5"/>
      <c r="P173" s="5"/>
      <c r="Q173" s="5"/>
      <c r="R173" s="5"/>
      <c r="S173" s="5"/>
      <c r="T173" s="6">
        <f t="shared" si="9"/>
        <v>0</v>
      </c>
      <c r="U173" s="9"/>
      <c r="V173" s="1"/>
      <c r="W173" s="1"/>
      <c r="X173" s="1"/>
      <c r="Y173" s="1"/>
      <c r="Z173" s="1"/>
    </row>
    <row r="174" spans="1:26" ht="39.75" customHeight="1">
      <c r="A174" s="171"/>
      <c r="B174" s="171"/>
      <c r="C174" s="171"/>
      <c r="D174" s="5">
        <v>165</v>
      </c>
      <c r="E174" s="5" t="s">
        <v>314</v>
      </c>
      <c r="F174" s="5"/>
      <c r="G174" s="8"/>
      <c r="H174" s="8"/>
      <c r="I174" s="5"/>
      <c r="J174" s="5"/>
      <c r="K174" s="5"/>
      <c r="L174" s="5"/>
      <c r="M174" s="5"/>
      <c r="N174" s="5"/>
      <c r="O174" s="5"/>
      <c r="P174" s="5"/>
      <c r="Q174" s="5"/>
      <c r="R174" s="5"/>
      <c r="S174" s="5"/>
      <c r="T174" s="6">
        <f t="shared" si="9"/>
        <v>0</v>
      </c>
      <c r="U174" s="9"/>
      <c r="V174" s="1"/>
      <c r="W174" s="1"/>
      <c r="X174" s="1"/>
      <c r="Y174" s="1"/>
      <c r="Z174" s="1"/>
    </row>
    <row r="175" spans="1:26" ht="39.75" customHeight="1">
      <c r="A175" s="171"/>
      <c r="B175" s="171"/>
      <c r="C175" s="171"/>
      <c r="D175" s="5">
        <v>166</v>
      </c>
      <c r="E175" s="5" t="s">
        <v>315</v>
      </c>
      <c r="F175" s="5"/>
      <c r="G175" s="8"/>
      <c r="H175" s="8"/>
      <c r="I175" s="5"/>
      <c r="J175" s="5"/>
      <c r="K175" s="5"/>
      <c r="L175" s="5"/>
      <c r="M175" s="5"/>
      <c r="N175" s="5"/>
      <c r="O175" s="5"/>
      <c r="P175" s="5"/>
      <c r="Q175" s="5"/>
      <c r="R175" s="5"/>
      <c r="S175" s="5"/>
      <c r="T175" s="6">
        <f t="shared" si="9"/>
        <v>0</v>
      </c>
      <c r="U175" s="9"/>
      <c r="V175" s="1"/>
      <c r="W175" s="1"/>
      <c r="X175" s="1"/>
      <c r="Y175" s="1"/>
      <c r="Z175" s="1"/>
    </row>
    <row r="176" spans="1:26" ht="39.75" customHeight="1">
      <c r="A176" s="171"/>
      <c r="B176" s="171"/>
      <c r="C176" s="171"/>
      <c r="D176" s="5">
        <v>167</v>
      </c>
      <c r="E176" s="5" t="s">
        <v>316</v>
      </c>
      <c r="F176" s="5"/>
      <c r="G176" s="8"/>
      <c r="H176" s="8"/>
      <c r="I176" s="5"/>
      <c r="J176" s="5"/>
      <c r="K176" s="5"/>
      <c r="L176" s="5"/>
      <c r="M176" s="5"/>
      <c r="N176" s="5"/>
      <c r="O176" s="5"/>
      <c r="P176" s="5"/>
      <c r="Q176" s="5"/>
      <c r="R176" s="5"/>
      <c r="S176" s="5"/>
      <c r="T176" s="6">
        <f t="shared" si="9"/>
        <v>0</v>
      </c>
      <c r="U176" s="9"/>
      <c r="V176" s="1"/>
      <c r="W176" s="1"/>
      <c r="X176" s="1"/>
      <c r="Y176" s="1"/>
      <c r="Z176" s="1"/>
    </row>
    <row r="177" spans="1:26" ht="39.75" customHeight="1">
      <c r="A177" s="171"/>
      <c r="B177" s="171"/>
      <c r="C177" s="171"/>
      <c r="D177" s="5">
        <v>168</v>
      </c>
      <c r="E177" s="5" t="s">
        <v>317</v>
      </c>
      <c r="F177" s="5"/>
      <c r="G177" s="8"/>
      <c r="H177" s="8"/>
      <c r="I177" s="5"/>
      <c r="J177" s="5"/>
      <c r="K177" s="5"/>
      <c r="L177" s="5"/>
      <c r="M177" s="5"/>
      <c r="N177" s="5"/>
      <c r="O177" s="5"/>
      <c r="P177" s="5"/>
      <c r="Q177" s="5"/>
      <c r="R177" s="5"/>
      <c r="S177" s="5"/>
      <c r="T177" s="6">
        <f t="shared" si="9"/>
        <v>0</v>
      </c>
      <c r="U177" s="9"/>
      <c r="V177" s="1"/>
      <c r="W177" s="1"/>
      <c r="X177" s="1"/>
      <c r="Y177" s="1"/>
      <c r="Z177" s="1"/>
    </row>
    <row r="178" spans="1:26" ht="39.75" customHeight="1">
      <c r="A178" s="171"/>
      <c r="B178" s="171"/>
      <c r="C178" s="171"/>
      <c r="D178" s="5">
        <v>169</v>
      </c>
      <c r="E178" s="5" t="s">
        <v>318</v>
      </c>
      <c r="F178" s="5"/>
      <c r="G178" s="8"/>
      <c r="H178" s="8"/>
      <c r="I178" s="6"/>
      <c r="J178" s="5"/>
      <c r="K178" s="5"/>
      <c r="L178" s="5"/>
      <c r="M178" s="5"/>
      <c r="N178" s="5"/>
      <c r="O178" s="5"/>
      <c r="P178" s="5"/>
      <c r="Q178" s="5"/>
      <c r="R178" s="5"/>
      <c r="S178" s="5"/>
      <c r="T178" s="6">
        <f t="shared" si="9"/>
        <v>0</v>
      </c>
      <c r="U178" s="9"/>
      <c r="V178" s="1"/>
      <c r="W178" s="1"/>
      <c r="X178" s="1"/>
      <c r="Y178" s="1"/>
      <c r="Z178" s="1"/>
    </row>
    <row r="179" spans="1:26" ht="39.75" customHeight="1">
      <c r="A179" s="171"/>
      <c r="B179" s="169"/>
      <c r="C179" s="169"/>
      <c r="D179" s="5">
        <v>170</v>
      </c>
      <c r="E179" s="5" t="s">
        <v>319</v>
      </c>
      <c r="F179" s="5"/>
      <c r="G179" s="5"/>
      <c r="H179" s="5"/>
      <c r="I179" s="5"/>
      <c r="J179" s="5"/>
      <c r="K179" s="5"/>
      <c r="L179" s="5"/>
      <c r="M179" s="5"/>
      <c r="N179" s="5"/>
      <c r="O179" s="5"/>
      <c r="P179" s="5"/>
      <c r="Q179" s="5"/>
      <c r="R179" s="5"/>
      <c r="S179" s="5"/>
      <c r="T179" s="6">
        <f t="shared" si="9"/>
        <v>0</v>
      </c>
      <c r="U179" s="9"/>
      <c r="V179" s="1"/>
      <c r="W179" s="1"/>
      <c r="X179" s="1"/>
      <c r="Y179" s="1"/>
      <c r="Z179" s="1"/>
    </row>
    <row r="180" spans="1:26" ht="39.75" customHeight="1">
      <c r="A180" s="171"/>
      <c r="B180" s="168" t="s">
        <v>320</v>
      </c>
      <c r="C180" s="168" t="s">
        <v>321</v>
      </c>
      <c r="D180" s="5">
        <v>171</v>
      </c>
      <c r="E180" s="5" t="s">
        <v>322</v>
      </c>
      <c r="F180" s="5"/>
      <c r="G180" s="5"/>
      <c r="H180" s="5"/>
      <c r="I180" s="5"/>
      <c r="J180" s="5"/>
      <c r="K180" s="5"/>
      <c r="L180" s="5"/>
      <c r="M180" s="5"/>
      <c r="N180" s="5"/>
      <c r="O180" s="5"/>
      <c r="P180" s="5"/>
      <c r="Q180" s="5"/>
      <c r="R180" s="5"/>
      <c r="S180" s="5"/>
      <c r="T180" s="6">
        <f t="shared" si="9"/>
        <v>0</v>
      </c>
      <c r="U180" s="9"/>
      <c r="V180" s="1"/>
      <c r="W180" s="1"/>
      <c r="X180" s="1"/>
      <c r="Y180" s="1"/>
      <c r="Z180" s="1"/>
    </row>
    <row r="181" spans="1:26" ht="39.75" customHeight="1">
      <c r="A181" s="171"/>
      <c r="B181" s="171"/>
      <c r="C181" s="171"/>
      <c r="D181" s="5">
        <v>172</v>
      </c>
      <c r="E181" s="5" t="s">
        <v>323</v>
      </c>
      <c r="F181" s="5"/>
      <c r="G181" s="5"/>
      <c r="H181" s="5"/>
      <c r="I181" s="5"/>
      <c r="J181" s="5"/>
      <c r="K181" s="5"/>
      <c r="L181" s="5"/>
      <c r="M181" s="5"/>
      <c r="N181" s="5"/>
      <c r="O181" s="5"/>
      <c r="P181" s="6"/>
      <c r="Q181" s="5"/>
      <c r="R181" s="5"/>
      <c r="S181" s="5"/>
      <c r="T181" s="6">
        <f t="shared" si="9"/>
        <v>0</v>
      </c>
      <c r="U181" s="9"/>
      <c r="V181" s="1"/>
      <c r="W181" s="1"/>
      <c r="X181" s="1"/>
      <c r="Y181" s="1"/>
      <c r="Z181" s="1"/>
    </row>
    <row r="182" spans="1:26" ht="39.75" customHeight="1">
      <c r="A182" s="171"/>
      <c r="B182" s="171"/>
      <c r="C182" s="171"/>
      <c r="D182" s="5">
        <v>173</v>
      </c>
      <c r="E182" s="5" t="s">
        <v>324</v>
      </c>
      <c r="F182" s="5"/>
      <c r="G182" s="5"/>
      <c r="H182" s="5"/>
      <c r="I182" s="5"/>
      <c r="J182" s="5"/>
      <c r="K182" s="5"/>
      <c r="L182" s="5"/>
      <c r="M182" s="5"/>
      <c r="N182" s="5"/>
      <c r="O182" s="5"/>
      <c r="P182" s="5"/>
      <c r="Q182" s="5"/>
      <c r="R182" s="5"/>
      <c r="S182" s="5"/>
      <c r="T182" s="6">
        <f t="shared" si="9"/>
        <v>0</v>
      </c>
      <c r="U182" s="9"/>
      <c r="V182" s="1"/>
      <c r="W182" s="1"/>
      <c r="X182" s="1"/>
      <c r="Y182" s="1"/>
      <c r="Z182" s="1"/>
    </row>
    <row r="183" spans="1:26" ht="39.75" customHeight="1">
      <c r="A183" s="171"/>
      <c r="B183" s="169"/>
      <c r="C183" s="169"/>
      <c r="D183" s="5">
        <v>174</v>
      </c>
      <c r="E183" s="5" t="s">
        <v>325</v>
      </c>
      <c r="F183" s="5"/>
      <c r="G183" s="5"/>
      <c r="H183" s="5"/>
      <c r="I183" s="5"/>
      <c r="J183" s="5"/>
      <c r="K183" s="5"/>
      <c r="L183" s="5"/>
      <c r="M183" s="5"/>
      <c r="N183" s="5"/>
      <c r="O183" s="5"/>
      <c r="P183" s="6"/>
      <c r="Q183" s="5"/>
      <c r="R183" s="5"/>
      <c r="S183" s="5"/>
      <c r="T183" s="6">
        <f t="shared" si="9"/>
        <v>0</v>
      </c>
      <c r="U183" s="9"/>
      <c r="V183" s="1"/>
      <c r="W183" s="1"/>
      <c r="X183" s="1"/>
      <c r="Y183" s="1"/>
      <c r="Z183" s="1"/>
    </row>
    <row r="184" spans="1:26" ht="168" customHeight="1">
      <c r="A184" s="171"/>
      <c r="B184" s="168" t="s">
        <v>326</v>
      </c>
      <c r="C184" s="168" t="s">
        <v>267</v>
      </c>
      <c r="D184" s="5">
        <v>175</v>
      </c>
      <c r="E184" s="5" t="s">
        <v>268</v>
      </c>
      <c r="F184" s="134"/>
      <c r="G184" s="134"/>
      <c r="H184" s="134"/>
      <c r="I184" s="140">
        <v>9.5</v>
      </c>
      <c r="J184" s="134"/>
      <c r="K184" s="134"/>
      <c r="L184" s="134"/>
      <c r="M184" s="134"/>
      <c r="N184" s="136">
        <f>8.13+1.5</f>
        <v>9.6300000000000008</v>
      </c>
      <c r="O184" s="134"/>
      <c r="P184" s="135">
        <v>4</v>
      </c>
      <c r="Q184" s="137">
        <v>4.2857000000000003</v>
      </c>
      <c r="R184" s="135">
        <f>0.504+0.252</f>
        <v>0.75600000000000001</v>
      </c>
      <c r="S184" s="135"/>
      <c r="T184" s="136">
        <f t="shared" ref="T184:T186" si="13">SUM(F184:S184)</f>
        <v>28.171700000000001</v>
      </c>
      <c r="U184" s="138" t="s">
        <v>840</v>
      </c>
      <c r="V184" s="1"/>
      <c r="W184" s="1"/>
      <c r="X184" s="1"/>
      <c r="Y184" s="1"/>
      <c r="Z184" s="1"/>
    </row>
    <row r="185" spans="1:26" ht="39.75" customHeight="1">
      <c r="A185" s="171"/>
      <c r="B185" s="171"/>
      <c r="C185" s="171"/>
      <c r="D185" s="5">
        <v>176</v>
      </c>
      <c r="E185" s="5" t="s">
        <v>269</v>
      </c>
      <c r="F185" s="134"/>
      <c r="G185" s="134"/>
      <c r="H185" s="134"/>
      <c r="I185" s="134"/>
      <c r="J185" s="134"/>
      <c r="K185" s="134"/>
      <c r="L185" s="134"/>
      <c r="M185" s="140">
        <v>29</v>
      </c>
      <c r="N185" s="134"/>
      <c r="O185" s="134"/>
      <c r="P185" s="140">
        <v>49.68</v>
      </c>
      <c r="Q185" s="140">
        <v>5.54</v>
      </c>
      <c r="R185" s="134"/>
      <c r="S185" s="134"/>
      <c r="T185" s="136">
        <f t="shared" si="13"/>
        <v>84.220000000000013</v>
      </c>
      <c r="U185" s="138" t="s">
        <v>841</v>
      </c>
      <c r="V185" s="1"/>
      <c r="W185" s="1"/>
      <c r="X185" s="1"/>
      <c r="Y185" s="1"/>
      <c r="Z185" s="1"/>
    </row>
    <row r="186" spans="1:26" ht="39.75" customHeight="1">
      <c r="A186" s="171"/>
      <c r="B186" s="169"/>
      <c r="C186" s="169"/>
      <c r="D186" s="5">
        <v>177</v>
      </c>
      <c r="E186" s="5" t="s">
        <v>270</v>
      </c>
      <c r="F186" s="134"/>
      <c r="G186" s="134"/>
      <c r="H186" s="134"/>
      <c r="I186" s="134"/>
      <c r="J186" s="134"/>
      <c r="K186" s="134"/>
      <c r="L186" s="134"/>
      <c r="M186" s="134"/>
      <c r="N186" s="136">
        <v>1</v>
      </c>
      <c r="O186" s="134"/>
      <c r="P186" s="134"/>
      <c r="Q186" s="134"/>
      <c r="R186" s="134"/>
      <c r="S186" s="134"/>
      <c r="T186" s="136">
        <f t="shared" si="13"/>
        <v>1</v>
      </c>
      <c r="U186" s="138" t="s">
        <v>839</v>
      </c>
      <c r="V186" s="1"/>
      <c r="W186" s="1"/>
      <c r="X186" s="1"/>
      <c r="Y186" s="1"/>
      <c r="Z186" s="1"/>
    </row>
    <row r="187" spans="1:26" ht="39.75" customHeight="1">
      <c r="A187" s="171"/>
      <c r="B187" s="168" t="s">
        <v>327</v>
      </c>
      <c r="C187" s="168" t="s">
        <v>328</v>
      </c>
      <c r="D187" s="5">
        <v>178</v>
      </c>
      <c r="E187" s="5" t="s">
        <v>329</v>
      </c>
      <c r="F187" s="5"/>
      <c r="G187" s="5"/>
      <c r="H187" s="5"/>
      <c r="I187" s="5"/>
      <c r="J187" s="5"/>
      <c r="K187" s="5"/>
      <c r="L187" s="5"/>
      <c r="M187" s="5"/>
      <c r="N187" s="5"/>
      <c r="O187" s="5"/>
      <c r="P187" s="5"/>
      <c r="Q187" s="5"/>
      <c r="R187" s="5"/>
      <c r="S187" s="5"/>
      <c r="T187" s="6">
        <f t="shared" si="9"/>
        <v>0</v>
      </c>
      <c r="U187" s="9"/>
      <c r="V187" s="1"/>
      <c r="W187" s="1"/>
      <c r="X187" s="1"/>
      <c r="Y187" s="1"/>
      <c r="Z187" s="1"/>
    </row>
    <row r="188" spans="1:26" ht="39.75" customHeight="1">
      <c r="A188" s="171"/>
      <c r="B188" s="171"/>
      <c r="C188" s="171"/>
      <c r="D188" s="5">
        <v>179</v>
      </c>
      <c r="E188" s="5" t="s">
        <v>149</v>
      </c>
      <c r="F188" s="5"/>
      <c r="G188" s="5"/>
      <c r="H188" s="5"/>
      <c r="I188" s="5"/>
      <c r="J188" s="5"/>
      <c r="K188" s="5"/>
      <c r="L188" s="5"/>
      <c r="M188" s="5"/>
      <c r="N188" s="5"/>
      <c r="O188" s="5"/>
      <c r="P188" s="5"/>
      <c r="Q188" s="5"/>
      <c r="R188" s="5"/>
      <c r="S188" s="5"/>
      <c r="T188" s="6">
        <f t="shared" si="9"/>
        <v>0</v>
      </c>
      <c r="U188" s="9"/>
      <c r="V188" s="1"/>
      <c r="W188" s="1"/>
      <c r="X188" s="1"/>
      <c r="Y188" s="1"/>
      <c r="Z188" s="1"/>
    </row>
    <row r="189" spans="1:26" ht="39.75" customHeight="1">
      <c r="A189" s="171"/>
      <c r="B189" s="171"/>
      <c r="C189" s="171"/>
      <c r="D189" s="5">
        <v>180</v>
      </c>
      <c r="E189" s="5" t="s">
        <v>330</v>
      </c>
      <c r="F189" s="5"/>
      <c r="G189" s="5"/>
      <c r="H189" s="5"/>
      <c r="I189" s="5"/>
      <c r="J189" s="5"/>
      <c r="K189" s="6"/>
      <c r="L189" s="5"/>
      <c r="M189" s="5"/>
      <c r="N189" s="5"/>
      <c r="O189" s="5"/>
      <c r="P189" s="8"/>
      <c r="Q189" s="5"/>
      <c r="R189" s="5"/>
      <c r="S189" s="5"/>
      <c r="T189" s="6">
        <f t="shared" si="9"/>
        <v>0</v>
      </c>
      <c r="U189" s="9"/>
      <c r="V189" s="1"/>
      <c r="W189" s="1"/>
      <c r="X189" s="1"/>
      <c r="Y189" s="1"/>
      <c r="Z189" s="1"/>
    </row>
    <row r="190" spans="1:26" ht="39.75" customHeight="1">
      <c r="A190" s="171"/>
      <c r="B190" s="171"/>
      <c r="C190" s="171"/>
      <c r="D190" s="5">
        <v>181</v>
      </c>
      <c r="E190" s="5" t="s">
        <v>331</v>
      </c>
      <c r="F190" s="5"/>
      <c r="G190" s="5"/>
      <c r="H190" s="5"/>
      <c r="I190" s="5"/>
      <c r="J190" s="5"/>
      <c r="K190" s="5"/>
      <c r="L190" s="5"/>
      <c r="M190" s="5"/>
      <c r="N190" s="5"/>
      <c r="O190" s="5"/>
      <c r="P190" s="5"/>
      <c r="Q190" s="5"/>
      <c r="R190" s="5"/>
      <c r="S190" s="5"/>
      <c r="T190" s="6">
        <f t="shared" si="9"/>
        <v>0</v>
      </c>
      <c r="U190" s="9"/>
      <c r="V190" s="1"/>
      <c r="W190" s="1"/>
      <c r="X190" s="1"/>
      <c r="Y190" s="1"/>
      <c r="Z190" s="1"/>
    </row>
    <row r="191" spans="1:26" ht="39.75" customHeight="1">
      <c r="A191" s="171"/>
      <c r="B191" s="171"/>
      <c r="C191" s="171"/>
      <c r="D191" s="5">
        <v>182</v>
      </c>
      <c r="E191" s="5" t="s">
        <v>332</v>
      </c>
      <c r="F191" s="5"/>
      <c r="G191" s="5"/>
      <c r="H191" s="5"/>
      <c r="I191" s="5"/>
      <c r="J191" s="5"/>
      <c r="K191" s="5"/>
      <c r="L191" s="5"/>
      <c r="M191" s="5"/>
      <c r="N191" s="5"/>
      <c r="O191" s="5"/>
      <c r="P191" s="6">
        <v>6</v>
      </c>
      <c r="Q191" s="5"/>
      <c r="R191" s="5"/>
      <c r="S191" s="5"/>
      <c r="T191" s="6">
        <f t="shared" si="9"/>
        <v>6</v>
      </c>
      <c r="U191" s="9" t="s">
        <v>378</v>
      </c>
      <c r="V191" s="1"/>
      <c r="W191" s="1"/>
      <c r="X191" s="1"/>
      <c r="Y191" s="1"/>
      <c r="Z191" s="1"/>
    </row>
    <row r="192" spans="1:26" ht="39.75" customHeight="1">
      <c r="A192" s="171"/>
      <c r="B192" s="169"/>
      <c r="C192" s="169"/>
      <c r="D192" s="5">
        <v>183</v>
      </c>
      <c r="E192" s="5" t="s">
        <v>334</v>
      </c>
      <c r="F192" s="5"/>
      <c r="G192" s="5"/>
      <c r="H192" s="5"/>
      <c r="I192" s="5"/>
      <c r="J192" s="5"/>
      <c r="K192" s="5"/>
      <c r="L192" s="5"/>
      <c r="M192" s="5"/>
      <c r="N192" s="5"/>
      <c r="O192" s="5"/>
      <c r="P192" s="8"/>
      <c r="Q192" s="5"/>
      <c r="R192" s="5"/>
      <c r="S192" s="5"/>
      <c r="T192" s="6">
        <f t="shared" si="9"/>
        <v>0</v>
      </c>
      <c r="U192" s="9"/>
      <c r="V192" s="1"/>
      <c r="W192" s="1"/>
      <c r="X192" s="1"/>
      <c r="Y192" s="1"/>
      <c r="Z192" s="1"/>
    </row>
    <row r="193" spans="1:26" ht="39.75" customHeight="1">
      <c r="A193" s="171"/>
      <c r="B193" s="5" t="s">
        <v>335</v>
      </c>
      <c r="C193" s="5" t="s">
        <v>336</v>
      </c>
      <c r="D193" s="5">
        <v>184</v>
      </c>
      <c r="E193" s="5" t="s">
        <v>337</v>
      </c>
      <c r="F193" s="5"/>
      <c r="G193" s="5"/>
      <c r="H193" s="5"/>
      <c r="I193" s="5"/>
      <c r="J193" s="5"/>
      <c r="K193" s="5"/>
      <c r="L193" s="5"/>
      <c r="M193" s="5"/>
      <c r="N193" s="5"/>
      <c r="O193" s="5"/>
      <c r="P193" s="6"/>
      <c r="Q193" s="5"/>
      <c r="R193" s="5"/>
      <c r="S193" s="5"/>
      <c r="T193" s="6">
        <f t="shared" si="9"/>
        <v>0</v>
      </c>
      <c r="U193" s="9"/>
      <c r="V193" s="1"/>
      <c r="W193" s="1"/>
      <c r="X193" s="1"/>
      <c r="Y193" s="1"/>
      <c r="Z193" s="1"/>
    </row>
    <row r="194" spans="1:26" ht="39.75" customHeight="1">
      <c r="A194" s="171"/>
      <c r="B194" s="168" t="s">
        <v>338</v>
      </c>
      <c r="C194" s="168" t="s">
        <v>272</v>
      </c>
      <c r="D194" s="5">
        <v>185</v>
      </c>
      <c r="E194" s="5" t="s">
        <v>273</v>
      </c>
      <c r="F194" s="5"/>
      <c r="G194" s="5"/>
      <c r="H194" s="5"/>
      <c r="I194" s="5"/>
      <c r="J194" s="5"/>
      <c r="K194" s="5"/>
      <c r="L194" s="5"/>
      <c r="M194" s="5"/>
      <c r="N194" s="5"/>
      <c r="O194" s="5"/>
      <c r="P194" s="5"/>
      <c r="Q194" s="5"/>
      <c r="R194" s="5">
        <v>2248.58</v>
      </c>
      <c r="S194" s="5"/>
      <c r="T194" s="6">
        <f t="shared" si="9"/>
        <v>2248.58</v>
      </c>
      <c r="U194" s="9" t="s">
        <v>639</v>
      </c>
      <c r="V194" s="1"/>
      <c r="W194" s="1"/>
      <c r="X194" s="1"/>
      <c r="Y194" s="1"/>
      <c r="Z194" s="1"/>
    </row>
    <row r="195" spans="1:26" ht="39.75" customHeight="1">
      <c r="A195" s="171"/>
      <c r="B195" s="171"/>
      <c r="C195" s="171"/>
      <c r="D195" s="5">
        <v>186</v>
      </c>
      <c r="E195" s="5" t="s">
        <v>274</v>
      </c>
      <c r="F195" s="5"/>
      <c r="G195" s="5"/>
      <c r="H195" s="5"/>
      <c r="I195" s="5"/>
      <c r="J195" s="5"/>
      <c r="K195" s="5"/>
      <c r="L195" s="5"/>
      <c r="M195" s="5"/>
      <c r="N195" s="5"/>
      <c r="O195" s="5"/>
      <c r="P195" s="8">
        <v>25.38</v>
      </c>
      <c r="Q195" s="6"/>
      <c r="R195" s="5"/>
      <c r="S195" s="5"/>
      <c r="T195" s="6">
        <f t="shared" si="9"/>
        <v>25.38</v>
      </c>
      <c r="U195" s="76" t="s">
        <v>636</v>
      </c>
      <c r="V195" s="1"/>
      <c r="W195" s="1"/>
      <c r="X195" s="1"/>
      <c r="Y195" s="1"/>
      <c r="Z195" s="1"/>
    </row>
    <row r="196" spans="1:26" ht="39.75" customHeight="1">
      <c r="A196" s="171"/>
      <c r="B196" s="171"/>
      <c r="C196" s="171"/>
      <c r="D196" s="5">
        <v>187</v>
      </c>
      <c r="E196" s="5" t="s">
        <v>339</v>
      </c>
      <c r="F196" s="5"/>
      <c r="G196" s="5"/>
      <c r="H196" s="5"/>
      <c r="I196" s="5"/>
      <c r="J196" s="5"/>
      <c r="K196" s="5"/>
      <c r="L196" s="5"/>
      <c r="M196" s="5"/>
      <c r="N196" s="5"/>
      <c r="O196" s="5"/>
      <c r="P196" s="5"/>
      <c r="Q196" s="5"/>
      <c r="R196" s="5"/>
      <c r="S196" s="5"/>
      <c r="T196" s="6">
        <f t="shared" si="9"/>
        <v>0</v>
      </c>
      <c r="U196" s="9"/>
      <c r="V196" s="1"/>
      <c r="W196" s="1"/>
      <c r="X196" s="1"/>
      <c r="Y196" s="1"/>
      <c r="Z196" s="1"/>
    </row>
    <row r="197" spans="1:26" ht="39.75" customHeight="1">
      <c r="A197" s="171"/>
      <c r="B197" s="171"/>
      <c r="C197" s="171"/>
      <c r="D197" s="5">
        <v>188</v>
      </c>
      <c r="E197" s="5" t="s">
        <v>275</v>
      </c>
      <c r="F197" s="5"/>
      <c r="G197" s="5"/>
      <c r="H197" s="5"/>
      <c r="I197" s="5"/>
      <c r="J197" s="5"/>
      <c r="K197" s="5"/>
      <c r="L197" s="5"/>
      <c r="M197" s="5"/>
      <c r="N197" s="5"/>
      <c r="O197" s="5"/>
      <c r="P197" s="5"/>
      <c r="Q197" s="5"/>
      <c r="R197" s="5"/>
      <c r="S197" s="5"/>
      <c r="T197" s="6">
        <f t="shared" si="9"/>
        <v>0</v>
      </c>
      <c r="U197" s="9"/>
      <c r="V197" s="1"/>
      <c r="W197" s="1"/>
      <c r="X197" s="1"/>
      <c r="Y197" s="1"/>
      <c r="Z197" s="1"/>
    </row>
    <row r="198" spans="1:26" ht="39.75" customHeight="1">
      <c r="A198" s="171"/>
      <c r="B198" s="171"/>
      <c r="C198" s="171"/>
      <c r="D198" s="5">
        <v>189</v>
      </c>
      <c r="E198" s="5" t="s">
        <v>276</v>
      </c>
      <c r="F198" s="5"/>
      <c r="G198" s="5"/>
      <c r="H198" s="5"/>
      <c r="I198" s="5"/>
      <c r="J198" s="5"/>
      <c r="K198" s="5"/>
      <c r="L198" s="5"/>
      <c r="M198" s="5"/>
      <c r="N198" s="5"/>
      <c r="O198" s="5"/>
      <c r="P198" s="5"/>
      <c r="Q198" s="5"/>
      <c r="R198" s="5"/>
      <c r="S198" s="5"/>
      <c r="T198" s="6">
        <f t="shared" ref="T198:T208" si="14">SUM(F198:S198)</f>
        <v>0</v>
      </c>
      <c r="U198" s="9"/>
      <c r="V198" s="1"/>
      <c r="W198" s="1"/>
      <c r="X198" s="1"/>
      <c r="Y198" s="1"/>
      <c r="Z198" s="1"/>
    </row>
    <row r="199" spans="1:26" ht="39.75" customHeight="1">
      <c r="A199" s="171"/>
      <c r="B199" s="169"/>
      <c r="C199" s="169"/>
      <c r="D199" s="5">
        <v>190</v>
      </c>
      <c r="E199" s="5" t="s">
        <v>340</v>
      </c>
      <c r="F199" s="5"/>
      <c r="G199" s="5"/>
      <c r="H199" s="5"/>
      <c r="I199" s="5"/>
      <c r="J199" s="5"/>
      <c r="K199" s="5"/>
      <c r="L199" s="5"/>
      <c r="M199" s="5"/>
      <c r="N199" s="5"/>
      <c r="O199" s="5"/>
      <c r="P199" s="8"/>
      <c r="Q199" s="5">
        <v>0.5</v>
      </c>
      <c r="R199" s="5"/>
      <c r="S199" s="5"/>
      <c r="T199" s="6">
        <f t="shared" si="14"/>
        <v>0.5</v>
      </c>
      <c r="U199" s="9" t="s">
        <v>633</v>
      </c>
      <c r="V199" s="1"/>
      <c r="W199" s="1"/>
      <c r="X199" s="1"/>
      <c r="Y199" s="1"/>
      <c r="Z199" s="1"/>
    </row>
    <row r="200" spans="1:26" ht="39.75" customHeight="1">
      <c r="A200" s="171"/>
      <c r="B200" s="168" t="s">
        <v>341</v>
      </c>
      <c r="C200" s="168" t="s">
        <v>342</v>
      </c>
      <c r="D200" s="5">
        <v>191</v>
      </c>
      <c r="E200" s="5" t="s">
        <v>343</v>
      </c>
      <c r="F200" s="5"/>
      <c r="G200" s="5"/>
      <c r="H200" s="5"/>
      <c r="I200" s="5"/>
      <c r="J200" s="5"/>
      <c r="K200" s="5"/>
      <c r="L200" s="5"/>
      <c r="M200" s="5"/>
      <c r="N200" s="6"/>
      <c r="O200" s="5"/>
      <c r="P200" s="5"/>
      <c r="Q200" s="5"/>
      <c r="R200" s="5"/>
      <c r="S200" s="5"/>
      <c r="T200" s="6">
        <f t="shared" si="14"/>
        <v>0</v>
      </c>
      <c r="U200" s="9"/>
      <c r="V200" s="1"/>
      <c r="W200" s="1"/>
      <c r="X200" s="1"/>
      <c r="Y200" s="1"/>
      <c r="Z200" s="1"/>
    </row>
    <row r="201" spans="1:26" ht="39.75" customHeight="1">
      <c r="A201" s="171"/>
      <c r="B201" s="169"/>
      <c r="C201" s="169"/>
      <c r="D201" s="5">
        <v>192</v>
      </c>
      <c r="E201" s="5" t="s">
        <v>345</v>
      </c>
      <c r="F201" s="5"/>
      <c r="G201" s="5"/>
      <c r="H201" s="8"/>
      <c r="I201" s="5"/>
      <c r="J201" s="5"/>
      <c r="K201" s="5"/>
      <c r="L201" s="5"/>
      <c r="M201" s="5"/>
      <c r="N201" s="6">
        <v>0.5</v>
      </c>
      <c r="O201" s="5"/>
      <c r="P201" s="6"/>
      <c r="Q201" s="8"/>
      <c r="R201" s="5"/>
      <c r="S201" s="5"/>
      <c r="T201" s="6">
        <f t="shared" si="14"/>
        <v>0.5</v>
      </c>
      <c r="U201" s="61" t="s">
        <v>651</v>
      </c>
      <c r="V201" s="1"/>
      <c r="W201" s="1"/>
      <c r="X201" s="1"/>
      <c r="Y201" s="1"/>
      <c r="Z201" s="1"/>
    </row>
    <row r="202" spans="1:26" ht="39.75" customHeight="1">
      <c r="A202" s="171"/>
      <c r="B202" s="168" t="s">
        <v>346</v>
      </c>
      <c r="C202" s="168" t="s">
        <v>278</v>
      </c>
      <c r="D202" s="5">
        <v>193</v>
      </c>
      <c r="E202" s="5" t="s">
        <v>347</v>
      </c>
      <c r="F202" s="5"/>
      <c r="G202" s="5"/>
      <c r="H202" s="5"/>
      <c r="I202" s="5"/>
      <c r="J202" s="5"/>
      <c r="K202" s="5"/>
      <c r="L202" s="5"/>
      <c r="M202" s="5"/>
      <c r="N202" s="5"/>
      <c r="O202" s="5"/>
      <c r="P202" s="6"/>
      <c r="Q202" s="5"/>
      <c r="R202" s="5"/>
      <c r="S202" s="8"/>
      <c r="T202" s="6">
        <f t="shared" si="14"/>
        <v>0</v>
      </c>
      <c r="U202" s="9"/>
      <c r="V202" s="1"/>
      <c r="W202" s="1"/>
      <c r="X202" s="1"/>
      <c r="Y202" s="1"/>
      <c r="Z202" s="1"/>
    </row>
    <row r="203" spans="1:26" ht="39.75" customHeight="1">
      <c r="A203" s="171"/>
      <c r="B203" s="169"/>
      <c r="C203" s="169"/>
      <c r="D203" s="5">
        <v>194</v>
      </c>
      <c r="E203" s="5" t="s">
        <v>279</v>
      </c>
      <c r="F203" s="5"/>
      <c r="G203" s="5"/>
      <c r="H203" s="5"/>
      <c r="I203" s="5"/>
      <c r="J203" s="5"/>
      <c r="K203" s="5"/>
      <c r="L203" s="5"/>
      <c r="M203" s="5"/>
      <c r="N203" s="6"/>
      <c r="O203" s="5"/>
      <c r="P203" s="5"/>
      <c r="Q203" s="6"/>
      <c r="R203" s="6">
        <v>36.64</v>
      </c>
      <c r="S203" s="5"/>
      <c r="T203" s="6">
        <f t="shared" si="14"/>
        <v>36.64</v>
      </c>
      <c r="U203" s="9" t="s">
        <v>629</v>
      </c>
      <c r="V203" s="1"/>
      <c r="W203" s="1"/>
      <c r="X203" s="1"/>
      <c r="Y203" s="1"/>
      <c r="Z203" s="1"/>
    </row>
    <row r="204" spans="1:26" ht="39.75" customHeight="1">
      <c r="A204" s="171"/>
      <c r="B204" s="168" t="s">
        <v>348</v>
      </c>
      <c r="C204" s="168" t="s">
        <v>349</v>
      </c>
      <c r="D204" s="5">
        <v>195</v>
      </c>
      <c r="E204" s="5" t="s">
        <v>350</v>
      </c>
      <c r="F204" s="5"/>
      <c r="G204" s="5"/>
      <c r="H204" s="5"/>
      <c r="I204" s="5"/>
      <c r="J204" s="5"/>
      <c r="K204" s="5"/>
      <c r="L204" s="5"/>
      <c r="M204" s="5"/>
      <c r="N204" s="5"/>
      <c r="O204" s="5"/>
      <c r="P204" s="6">
        <v>0.7</v>
      </c>
      <c r="Q204" s="8">
        <v>1.26</v>
      </c>
      <c r="R204" s="6">
        <v>2.1</v>
      </c>
      <c r="S204" s="5"/>
      <c r="T204" s="6">
        <f t="shared" si="14"/>
        <v>4.0600000000000005</v>
      </c>
      <c r="U204" s="53" t="s">
        <v>351</v>
      </c>
      <c r="V204" s="1"/>
      <c r="W204" s="1"/>
      <c r="X204" s="1"/>
      <c r="Y204" s="1"/>
      <c r="Z204" s="1"/>
    </row>
    <row r="205" spans="1:26" ht="39.75" customHeight="1">
      <c r="A205" s="171"/>
      <c r="B205" s="171"/>
      <c r="C205" s="171"/>
      <c r="D205" s="5">
        <v>196</v>
      </c>
      <c r="E205" s="5" t="s">
        <v>352</v>
      </c>
      <c r="F205" s="5"/>
      <c r="G205" s="5"/>
      <c r="H205" s="5"/>
      <c r="I205" s="5"/>
      <c r="J205" s="5"/>
      <c r="K205" s="5"/>
      <c r="L205" s="5"/>
      <c r="M205" s="5"/>
      <c r="N205" s="5"/>
      <c r="O205" s="5"/>
      <c r="P205" s="5"/>
      <c r="Q205" s="5"/>
      <c r="R205" s="5"/>
      <c r="S205" s="5"/>
      <c r="T205" s="6">
        <f t="shared" si="14"/>
        <v>0</v>
      </c>
      <c r="U205" s="9"/>
      <c r="V205" s="1"/>
      <c r="W205" s="1"/>
      <c r="X205" s="1"/>
      <c r="Y205" s="1"/>
      <c r="Z205" s="1"/>
    </row>
    <row r="206" spans="1:26" ht="39.75" customHeight="1">
      <c r="A206" s="171"/>
      <c r="B206" s="169"/>
      <c r="C206" s="169"/>
      <c r="D206" s="5">
        <v>197</v>
      </c>
      <c r="E206" s="5" t="s">
        <v>353</v>
      </c>
      <c r="F206" s="5"/>
      <c r="G206" s="5"/>
      <c r="H206" s="5"/>
      <c r="I206" s="5"/>
      <c r="J206" s="5"/>
      <c r="K206" s="5"/>
      <c r="L206" s="5"/>
      <c r="M206" s="5"/>
      <c r="N206" s="5"/>
      <c r="O206" s="5"/>
      <c r="P206" s="6"/>
      <c r="Q206" s="5"/>
      <c r="R206" s="5"/>
      <c r="S206" s="5"/>
      <c r="T206" s="6">
        <f t="shared" si="14"/>
        <v>0</v>
      </c>
      <c r="U206" s="9"/>
      <c r="V206" s="1"/>
      <c r="W206" s="1"/>
      <c r="X206" s="1"/>
      <c r="Y206" s="1"/>
      <c r="Z206" s="1"/>
    </row>
    <row r="207" spans="1:26" ht="39.75" customHeight="1">
      <c r="A207" s="171"/>
      <c r="B207" s="5" t="s">
        <v>354</v>
      </c>
      <c r="C207" s="5" t="s">
        <v>284</v>
      </c>
      <c r="D207" s="5">
        <v>198</v>
      </c>
      <c r="E207" s="5" t="s">
        <v>285</v>
      </c>
      <c r="F207" s="5"/>
      <c r="G207" s="5"/>
      <c r="H207" s="5"/>
      <c r="I207" s="5"/>
      <c r="J207" s="5"/>
      <c r="K207" s="5"/>
      <c r="L207" s="5"/>
      <c r="M207" s="5"/>
      <c r="N207" s="5"/>
      <c r="O207" s="5"/>
      <c r="P207" s="5"/>
      <c r="Q207" s="5"/>
      <c r="R207" s="5"/>
      <c r="S207" s="5"/>
      <c r="T207" s="6">
        <f t="shared" si="14"/>
        <v>0</v>
      </c>
      <c r="U207" s="9"/>
      <c r="V207" s="1"/>
      <c r="W207" s="1"/>
      <c r="X207" s="1"/>
      <c r="Y207" s="1"/>
      <c r="Z207" s="1"/>
    </row>
    <row r="208" spans="1:26" ht="39.75" customHeight="1">
      <c r="A208" s="171"/>
      <c r="B208" s="5" t="s">
        <v>355</v>
      </c>
      <c r="C208" s="5" t="s">
        <v>287</v>
      </c>
      <c r="D208" s="5">
        <v>199</v>
      </c>
      <c r="E208" s="5" t="s">
        <v>288</v>
      </c>
      <c r="F208" s="24"/>
      <c r="G208" s="24"/>
      <c r="H208" s="24"/>
      <c r="I208" s="24"/>
      <c r="J208" s="24"/>
      <c r="K208" s="24"/>
      <c r="L208" s="24"/>
      <c r="M208" s="24"/>
      <c r="N208" s="24"/>
      <c r="O208" s="24"/>
      <c r="P208" s="24">
        <v>215.8</v>
      </c>
      <c r="Q208" s="24"/>
      <c r="R208" s="24"/>
      <c r="S208" s="24"/>
      <c r="T208" s="6">
        <f t="shared" si="14"/>
        <v>215.8</v>
      </c>
      <c r="U208" s="76" t="s">
        <v>631</v>
      </c>
      <c r="V208" s="1"/>
      <c r="W208" s="1"/>
      <c r="X208" s="1"/>
      <c r="Y208" s="1"/>
      <c r="Z208" s="1"/>
    </row>
    <row r="209" spans="1:26" ht="39.75" customHeight="1">
      <c r="A209" s="169"/>
      <c r="B209" s="176" t="s">
        <v>356</v>
      </c>
      <c r="C209" s="177"/>
      <c r="D209" s="178"/>
      <c r="E209" s="51"/>
      <c r="F209" s="54">
        <f t="shared" ref="F209:T209" si="15">SUM(F159:F208)</f>
        <v>0</v>
      </c>
      <c r="G209" s="57">
        <f t="shared" si="15"/>
        <v>535.5</v>
      </c>
      <c r="H209" s="57">
        <f t="shared" si="15"/>
        <v>714</v>
      </c>
      <c r="I209" s="54">
        <f t="shared" si="15"/>
        <v>9.5</v>
      </c>
      <c r="J209" s="54">
        <f t="shared" si="15"/>
        <v>0</v>
      </c>
      <c r="K209" s="54">
        <f t="shared" si="15"/>
        <v>0</v>
      </c>
      <c r="L209" s="54">
        <f t="shared" si="15"/>
        <v>0</v>
      </c>
      <c r="M209" s="54">
        <f t="shared" si="15"/>
        <v>29</v>
      </c>
      <c r="N209" s="55">
        <f t="shared" si="15"/>
        <v>43.63</v>
      </c>
      <c r="O209" s="54">
        <f t="shared" si="15"/>
        <v>533.02</v>
      </c>
      <c r="P209" s="57">
        <f t="shared" si="15"/>
        <v>384.13</v>
      </c>
      <c r="Q209" s="54">
        <f t="shared" si="15"/>
        <v>17.105700000000002</v>
      </c>
      <c r="R209" s="54">
        <f t="shared" si="15"/>
        <v>2294.0759999999996</v>
      </c>
      <c r="S209" s="54">
        <f t="shared" si="15"/>
        <v>0</v>
      </c>
      <c r="T209" s="54">
        <f t="shared" si="15"/>
        <v>4559.9617000000007</v>
      </c>
      <c r="U209" s="9"/>
      <c r="V209" s="1"/>
      <c r="W209" s="1"/>
      <c r="X209" s="1"/>
      <c r="Y209" s="1"/>
      <c r="Z209" s="1"/>
    </row>
    <row r="210" spans="1:26" ht="39.75" customHeight="1">
      <c r="A210" s="180" t="s">
        <v>357</v>
      </c>
      <c r="B210" s="181"/>
      <c r="C210" s="181"/>
      <c r="D210" s="182"/>
      <c r="E210" s="64"/>
      <c r="F210" s="65">
        <f t="shared" ref="F210:T210" si="16">F209+F158+F134+F93+F68</f>
        <v>144.81</v>
      </c>
      <c r="G210" s="66">
        <f t="shared" si="16"/>
        <v>535.5</v>
      </c>
      <c r="H210" s="66">
        <f t="shared" si="16"/>
        <v>724</v>
      </c>
      <c r="I210" s="65">
        <f t="shared" si="16"/>
        <v>39.340000000000003</v>
      </c>
      <c r="J210" s="65">
        <f t="shared" si="16"/>
        <v>0</v>
      </c>
      <c r="K210" s="67">
        <f t="shared" si="16"/>
        <v>91.436000000000007</v>
      </c>
      <c r="L210" s="65">
        <f t="shared" si="16"/>
        <v>0</v>
      </c>
      <c r="M210" s="66">
        <f t="shared" si="16"/>
        <v>93.085999999999999</v>
      </c>
      <c r="N210" s="67">
        <f t="shared" si="16"/>
        <v>133.37855000000002</v>
      </c>
      <c r="O210" s="65">
        <f t="shared" si="16"/>
        <v>844.30324999999993</v>
      </c>
      <c r="P210" s="66">
        <f t="shared" si="16"/>
        <v>836.51099999999997</v>
      </c>
      <c r="Q210" s="65">
        <f t="shared" si="16"/>
        <v>106.60719999999999</v>
      </c>
      <c r="R210" s="66">
        <f t="shared" si="16"/>
        <v>2628.0103647799992</v>
      </c>
      <c r="S210" s="66">
        <f t="shared" si="16"/>
        <v>9.85</v>
      </c>
      <c r="T210" s="67">
        <f t="shared" si="16"/>
        <v>6186.8323647800007</v>
      </c>
      <c r="U210" s="9"/>
      <c r="V210" s="1"/>
      <c r="W210" s="1"/>
      <c r="X210" s="1"/>
      <c r="Y210" s="1"/>
      <c r="Z210" s="1"/>
    </row>
    <row r="211" spans="1:26" ht="24.75" customHeight="1">
      <c r="A211" s="1"/>
      <c r="B211" s="1"/>
      <c r="C211" s="1"/>
      <c r="D211" s="1"/>
      <c r="E211" s="1"/>
      <c r="F211" s="1"/>
      <c r="G211" s="1"/>
      <c r="H211" s="1"/>
      <c r="I211" s="1"/>
      <c r="J211" s="1"/>
      <c r="K211" s="1"/>
      <c r="L211" s="1"/>
      <c r="M211" s="1"/>
      <c r="N211" s="1"/>
      <c r="O211" s="1"/>
      <c r="P211" s="1"/>
      <c r="Q211" s="1"/>
      <c r="R211" s="1"/>
      <c r="S211" s="1"/>
      <c r="T211" s="32"/>
      <c r="U211" s="2"/>
      <c r="V211" s="1"/>
      <c r="W211" s="1"/>
      <c r="X211" s="1"/>
      <c r="Y211" s="1"/>
      <c r="Z211" s="1"/>
    </row>
    <row r="212" spans="1:26" ht="24.75" customHeight="1">
      <c r="A212" s="1"/>
      <c r="B212" s="1"/>
      <c r="C212" s="1"/>
      <c r="D212" s="1"/>
      <c r="E212" s="1"/>
      <c r="F212" s="1"/>
      <c r="G212" s="1"/>
      <c r="H212" s="1"/>
      <c r="I212" s="1"/>
      <c r="J212" s="1"/>
      <c r="K212" s="1"/>
      <c r="L212" s="1"/>
      <c r="M212" s="1"/>
      <c r="N212" s="1"/>
      <c r="O212" s="1"/>
      <c r="P212" s="1"/>
      <c r="Q212" s="1"/>
      <c r="R212" s="1"/>
      <c r="S212" s="1"/>
      <c r="T212" s="1"/>
      <c r="U212" s="2"/>
      <c r="V212" s="1"/>
      <c r="W212" s="1"/>
      <c r="X212" s="1"/>
      <c r="Y212" s="1"/>
      <c r="Z212" s="1"/>
    </row>
    <row r="213" spans="1:26" ht="24.75" customHeight="1">
      <c r="A213" s="1"/>
      <c r="B213" s="1"/>
      <c r="C213" s="1"/>
      <c r="D213" s="1"/>
      <c r="E213" s="1"/>
      <c r="F213" s="1"/>
      <c r="G213" s="1"/>
      <c r="H213" s="1"/>
      <c r="I213" s="1"/>
      <c r="J213" s="1"/>
      <c r="K213" s="1"/>
      <c r="L213" s="1"/>
      <c r="M213" s="1"/>
      <c r="N213" s="1"/>
      <c r="O213" s="1"/>
      <c r="P213" s="1"/>
      <c r="Q213" s="1"/>
      <c r="R213" s="1"/>
      <c r="S213" s="1"/>
      <c r="T213" s="1"/>
      <c r="U213" s="2"/>
      <c r="V213" s="1"/>
      <c r="W213" s="1"/>
      <c r="X213" s="1"/>
      <c r="Y213" s="1"/>
      <c r="Z213" s="1"/>
    </row>
    <row r="214" spans="1:26" ht="24.75" customHeight="1">
      <c r="A214" s="1"/>
      <c r="B214" s="1"/>
      <c r="C214" s="1"/>
      <c r="D214" s="1"/>
      <c r="E214" s="1"/>
      <c r="F214" s="1"/>
      <c r="G214" s="1"/>
      <c r="H214" s="1"/>
      <c r="I214" s="1"/>
      <c r="J214" s="1"/>
      <c r="K214" s="1"/>
      <c r="L214" s="1"/>
      <c r="M214" s="1"/>
      <c r="N214" s="1"/>
      <c r="O214" s="1"/>
      <c r="P214" s="1"/>
      <c r="Q214" s="1"/>
      <c r="R214" s="1"/>
      <c r="S214" s="1"/>
      <c r="T214" s="1"/>
      <c r="U214" s="2"/>
      <c r="V214" s="1"/>
      <c r="W214" s="1"/>
      <c r="X214" s="1"/>
      <c r="Y214" s="1"/>
      <c r="Z214" s="1"/>
    </row>
    <row r="215" spans="1:26" ht="24.75" customHeight="1">
      <c r="A215" s="1"/>
      <c r="B215" s="1"/>
      <c r="C215" s="1"/>
      <c r="D215" s="1"/>
      <c r="E215" s="1"/>
      <c r="F215" s="1"/>
      <c r="G215" s="1"/>
      <c r="H215" s="1"/>
      <c r="I215" s="1"/>
      <c r="J215" s="1"/>
      <c r="K215" s="1"/>
      <c r="L215" s="1"/>
      <c r="M215" s="1"/>
      <c r="N215" s="1"/>
      <c r="O215" s="1"/>
      <c r="P215" s="1"/>
      <c r="Q215" s="1"/>
      <c r="R215" s="1"/>
      <c r="S215" s="1"/>
      <c r="T215" s="1"/>
      <c r="U215" s="2"/>
      <c r="V215" s="1"/>
      <c r="W215" s="1"/>
      <c r="X215" s="1"/>
      <c r="Y215" s="1"/>
      <c r="Z215" s="1"/>
    </row>
    <row r="216" spans="1:26" ht="24.75" customHeight="1">
      <c r="A216" s="1"/>
      <c r="B216" s="1"/>
      <c r="C216" s="1"/>
      <c r="D216" s="1"/>
      <c r="E216" s="1"/>
      <c r="F216" s="1"/>
      <c r="G216" s="1"/>
      <c r="H216" s="1"/>
      <c r="I216" s="1"/>
      <c r="J216" s="1"/>
      <c r="K216" s="1"/>
      <c r="L216" s="1"/>
      <c r="M216" s="1"/>
      <c r="N216" s="1"/>
      <c r="O216" s="1"/>
      <c r="P216" s="1"/>
      <c r="Q216" s="1"/>
      <c r="R216" s="1"/>
      <c r="S216" s="1"/>
      <c r="T216" s="1"/>
      <c r="U216" s="2"/>
      <c r="V216" s="1"/>
      <c r="W216" s="1"/>
      <c r="X216" s="1"/>
      <c r="Y216" s="1"/>
      <c r="Z216" s="1"/>
    </row>
    <row r="217" spans="1:26" ht="24.75" customHeight="1">
      <c r="A217" s="1"/>
      <c r="B217" s="1"/>
      <c r="C217" s="1"/>
      <c r="D217" s="1"/>
      <c r="E217" s="1"/>
      <c r="F217" s="1"/>
      <c r="G217" s="1"/>
      <c r="H217" s="1"/>
      <c r="I217" s="1"/>
      <c r="J217" s="1"/>
      <c r="K217" s="1"/>
      <c r="L217" s="1"/>
      <c r="M217" s="1"/>
      <c r="N217" s="1"/>
      <c r="O217" s="1"/>
      <c r="P217" s="1"/>
      <c r="Q217" s="1"/>
      <c r="R217" s="1"/>
      <c r="S217" s="1"/>
      <c r="T217" s="1"/>
      <c r="U217" s="2"/>
      <c r="V217" s="1"/>
      <c r="W217" s="1"/>
      <c r="X217" s="1"/>
      <c r="Y217" s="1"/>
      <c r="Z217" s="1"/>
    </row>
    <row r="218" spans="1:26" ht="24.75" customHeight="1">
      <c r="A218" s="1"/>
      <c r="B218" s="1"/>
      <c r="C218" s="1"/>
      <c r="D218" s="1"/>
      <c r="E218" s="1"/>
      <c r="F218" s="1"/>
      <c r="G218" s="1"/>
      <c r="H218" s="1"/>
      <c r="I218" s="1"/>
      <c r="J218" s="1"/>
      <c r="K218" s="1"/>
      <c r="L218" s="1"/>
      <c r="M218" s="1"/>
      <c r="N218" s="1"/>
      <c r="O218" s="1"/>
      <c r="P218" s="1"/>
      <c r="Q218" s="1"/>
      <c r="R218" s="1"/>
      <c r="S218" s="1"/>
      <c r="T218" s="1"/>
      <c r="U218" s="2"/>
      <c r="V218" s="1"/>
      <c r="W218" s="1"/>
      <c r="X218" s="1"/>
      <c r="Y218" s="1"/>
      <c r="Z218" s="1"/>
    </row>
    <row r="219" spans="1:26" ht="24.75" customHeight="1">
      <c r="A219" s="1"/>
      <c r="B219" s="1"/>
      <c r="C219" s="1"/>
      <c r="D219" s="1"/>
      <c r="E219" s="1"/>
      <c r="F219" s="1"/>
      <c r="G219" s="1"/>
      <c r="H219" s="1"/>
      <c r="I219" s="1"/>
      <c r="J219" s="1"/>
      <c r="K219" s="1"/>
      <c r="L219" s="1"/>
      <c r="M219" s="1"/>
      <c r="N219" s="1"/>
      <c r="O219" s="1"/>
      <c r="P219" s="1"/>
      <c r="Q219" s="1"/>
      <c r="R219" s="1"/>
      <c r="S219" s="1"/>
      <c r="T219" s="1"/>
      <c r="U219" s="2"/>
      <c r="V219" s="1"/>
      <c r="W219" s="1"/>
      <c r="X219" s="1"/>
      <c r="Y219" s="1"/>
      <c r="Z219" s="1"/>
    </row>
    <row r="220" spans="1:26" ht="24.75" customHeight="1">
      <c r="A220" s="1"/>
      <c r="B220" s="1"/>
      <c r="C220" s="1"/>
      <c r="D220" s="1"/>
      <c r="E220" s="1"/>
      <c r="F220" s="1"/>
      <c r="G220" s="1"/>
      <c r="H220" s="1"/>
      <c r="I220" s="1"/>
      <c r="J220" s="1"/>
      <c r="K220" s="1"/>
      <c r="L220" s="1"/>
      <c r="M220" s="1"/>
      <c r="N220" s="1"/>
      <c r="O220" s="1"/>
      <c r="P220" s="1"/>
      <c r="Q220" s="1"/>
      <c r="R220" s="1"/>
      <c r="S220" s="1"/>
      <c r="T220" s="1"/>
      <c r="U220" s="2"/>
      <c r="V220" s="1"/>
      <c r="W220" s="1"/>
      <c r="X220" s="1"/>
      <c r="Y220" s="1"/>
      <c r="Z220" s="1"/>
    </row>
    <row r="221" spans="1:26" ht="24.75" customHeight="1">
      <c r="A221" s="1"/>
      <c r="B221" s="1"/>
      <c r="C221" s="1"/>
      <c r="D221" s="1"/>
      <c r="E221" s="1"/>
      <c r="F221" s="1"/>
      <c r="G221" s="1"/>
      <c r="H221" s="1"/>
      <c r="I221" s="1"/>
      <c r="J221" s="1"/>
      <c r="K221" s="1"/>
      <c r="L221" s="1"/>
      <c r="M221" s="1"/>
      <c r="N221" s="1"/>
      <c r="O221" s="1"/>
      <c r="P221" s="1"/>
      <c r="Q221" s="1"/>
      <c r="R221" s="1"/>
      <c r="S221" s="1"/>
      <c r="T221" s="1"/>
      <c r="U221" s="2"/>
      <c r="V221" s="1"/>
      <c r="W221" s="1"/>
      <c r="X221" s="1"/>
      <c r="Y221" s="1"/>
      <c r="Z221" s="1"/>
    </row>
    <row r="222" spans="1:26" ht="24.75" customHeight="1">
      <c r="A222" s="1"/>
      <c r="B222" s="1"/>
      <c r="C222" s="1"/>
      <c r="D222" s="1"/>
      <c r="E222" s="1"/>
      <c r="F222" s="1"/>
      <c r="G222" s="1"/>
      <c r="H222" s="1"/>
      <c r="I222" s="1"/>
      <c r="J222" s="1"/>
      <c r="K222" s="1"/>
      <c r="L222" s="1"/>
      <c r="M222" s="1"/>
      <c r="N222" s="1"/>
      <c r="O222" s="1"/>
      <c r="P222" s="1"/>
      <c r="Q222" s="1"/>
      <c r="R222" s="1"/>
      <c r="S222" s="1"/>
      <c r="T222" s="1"/>
      <c r="U222" s="2"/>
      <c r="V222" s="1"/>
      <c r="W222" s="1"/>
      <c r="X222" s="1"/>
      <c r="Y222" s="1"/>
      <c r="Z222" s="1"/>
    </row>
    <row r="223" spans="1:26" ht="24.75" customHeight="1">
      <c r="A223" s="1"/>
      <c r="B223" s="1"/>
      <c r="C223" s="1"/>
      <c r="D223" s="1"/>
      <c r="E223" s="1"/>
      <c r="F223" s="1"/>
      <c r="G223" s="1"/>
      <c r="H223" s="1"/>
      <c r="I223" s="1"/>
      <c r="J223" s="1"/>
      <c r="K223" s="1"/>
      <c r="L223" s="1"/>
      <c r="M223" s="1"/>
      <c r="N223" s="1"/>
      <c r="O223" s="1"/>
      <c r="P223" s="1"/>
      <c r="Q223" s="1"/>
      <c r="R223" s="1"/>
      <c r="S223" s="1"/>
      <c r="T223" s="1"/>
      <c r="U223" s="2"/>
      <c r="V223" s="1"/>
      <c r="W223" s="1"/>
      <c r="X223" s="1"/>
      <c r="Y223" s="1"/>
      <c r="Z223" s="1"/>
    </row>
    <row r="224" spans="1:26" ht="24.75" customHeight="1">
      <c r="A224" s="1"/>
      <c r="B224" s="1"/>
      <c r="C224" s="1"/>
      <c r="D224" s="1"/>
      <c r="E224" s="1"/>
      <c r="F224" s="1"/>
      <c r="G224" s="1"/>
      <c r="H224" s="1"/>
      <c r="I224" s="1"/>
      <c r="J224" s="1"/>
      <c r="K224" s="1"/>
      <c r="L224" s="1"/>
      <c r="M224" s="1"/>
      <c r="N224" s="1"/>
      <c r="O224" s="1"/>
      <c r="P224" s="1"/>
      <c r="Q224" s="1"/>
      <c r="R224" s="1"/>
      <c r="S224" s="1"/>
      <c r="T224" s="1"/>
      <c r="U224" s="2"/>
      <c r="V224" s="1"/>
      <c r="W224" s="1"/>
      <c r="X224" s="1"/>
      <c r="Y224" s="1"/>
      <c r="Z224" s="1"/>
    </row>
    <row r="225" spans="1:26" ht="24.75" customHeight="1">
      <c r="A225" s="1"/>
      <c r="B225" s="1"/>
      <c r="C225" s="1"/>
      <c r="D225" s="1"/>
      <c r="E225" s="1"/>
      <c r="F225" s="1"/>
      <c r="G225" s="1"/>
      <c r="H225" s="1"/>
      <c r="I225" s="1"/>
      <c r="J225" s="1"/>
      <c r="K225" s="1"/>
      <c r="L225" s="1"/>
      <c r="M225" s="1"/>
      <c r="N225" s="1"/>
      <c r="O225" s="1"/>
      <c r="P225" s="1"/>
      <c r="Q225" s="1"/>
      <c r="R225" s="1"/>
      <c r="S225" s="1"/>
      <c r="T225" s="1"/>
      <c r="U225" s="2"/>
      <c r="V225" s="1"/>
      <c r="W225" s="1"/>
      <c r="X225" s="1"/>
      <c r="Y225" s="1"/>
      <c r="Z225" s="1"/>
    </row>
    <row r="226" spans="1:26" ht="24.75" customHeight="1">
      <c r="A226" s="1"/>
      <c r="B226" s="1"/>
      <c r="C226" s="1"/>
      <c r="D226" s="1"/>
      <c r="E226" s="1"/>
      <c r="F226" s="1"/>
      <c r="G226" s="1"/>
      <c r="H226" s="1"/>
      <c r="I226" s="1"/>
      <c r="J226" s="1"/>
      <c r="K226" s="1"/>
      <c r="L226" s="1"/>
      <c r="M226" s="1"/>
      <c r="N226" s="1"/>
      <c r="O226" s="1"/>
      <c r="P226" s="1"/>
      <c r="Q226" s="1"/>
      <c r="R226" s="1"/>
      <c r="S226" s="1"/>
      <c r="T226" s="1"/>
      <c r="U226" s="2"/>
      <c r="V226" s="1"/>
      <c r="W226" s="1"/>
      <c r="X226" s="1"/>
      <c r="Y226" s="1"/>
      <c r="Z226" s="1"/>
    </row>
    <row r="227" spans="1:26" ht="24.75" customHeight="1">
      <c r="A227" s="1"/>
      <c r="B227" s="1"/>
      <c r="C227" s="1"/>
      <c r="D227" s="1"/>
      <c r="E227" s="1"/>
      <c r="F227" s="1"/>
      <c r="G227" s="1"/>
      <c r="H227" s="1"/>
      <c r="I227" s="1"/>
      <c r="J227" s="1"/>
      <c r="K227" s="1"/>
      <c r="L227" s="1"/>
      <c r="M227" s="1"/>
      <c r="N227" s="1"/>
      <c r="O227" s="1"/>
      <c r="P227" s="1"/>
      <c r="Q227" s="1"/>
      <c r="R227" s="1"/>
      <c r="S227" s="1"/>
      <c r="T227" s="1"/>
      <c r="U227" s="2"/>
      <c r="V227" s="1"/>
      <c r="W227" s="1"/>
      <c r="X227" s="1"/>
      <c r="Y227" s="1"/>
      <c r="Z227" s="1"/>
    </row>
    <row r="228" spans="1:26" ht="24.75" customHeight="1">
      <c r="A228" s="1"/>
      <c r="B228" s="1"/>
      <c r="C228" s="1"/>
      <c r="D228" s="1"/>
      <c r="E228" s="1"/>
      <c r="F228" s="1"/>
      <c r="G228" s="1"/>
      <c r="H228" s="1"/>
      <c r="I228" s="1"/>
      <c r="J228" s="1"/>
      <c r="K228" s="1"/>
      <c r="L228" s="1"/>
      <c r="M228" s="1"/>
      <c r="N228" s="1"/>
      <c r="O228" s="1"/>
      <c r="P228" s="1"/>
      <c r="Q228" s="1"/>
      <c r="R228" s="1"/>
      <c r="S228" s="1"/>
      <c r="T228" s="1"/>
      <c r="U228" s="2"/>
      <c r="V228" s="1"/>
      <c r="W228" s="1"/>
      <c r="X228" s="1"/>
      <c r="Y228" s="1"/>
      <c r="Z228" s="1"/>
    </row>
    <row r="229" spans="1:26" ht="24.75" customHeight="1">
      <c r="A229" s="1"/>
      <c r="B229" s="1"/>
      <c r="C229" s="1"/>
      <c r="D229" s="1"/>
      <c r="E229" s="1"/>
      <c r="F229" s="1"/>
      <c r="G229" s="1"/>
      <c r="H229" s="1"/>
      <c r="I229" s="1"/>
      <c r="J229" s="1"/>
      <c r="K229" s="1"/>
      <c r="L229" s="1"/>
      <c r="M229" s="1"/>
      <c r="N229" s="1"/>
      <c r="O229" s="1"/>
      <c r="P229" s="1"/>
      <c r="Q229" s="1"/>
      <c r="R229" s="1"/>
      <c r="S229" s="1"/>
      <c r="T229" s="1"/>
      <c r="U229" s="2"/>
      <c r="V229" s="1"/>
      <c r="W229" s="1"/>
      <c r="X229" s="1"/>
      <c r="Y229" s="1"/>
      <c r="Z229" s="1"/>
    </row>
    <row r="230" spans="1:26" ht="24.75" customHeight="1">
      <c r="A230" s="1"/>
      <c r="B230" s="1"/>
      <c r="C230" s="1"/>
      <c r="D230" s="1"/>
      <c r="E230" s="1"/>
      <c r="F230" s="1"/>
      <c r="G230" s="1"/>
      <c r="H230" s="1"/>
      <c r="I230" s="1"/>
      <c r="J230" s="1"/>
      <c r="K230" s="1"/>
      <c r="L230" s="1"/>
      <c r="M230" s="1"/>
      <c r="N230" s="1"/>
      <c r="O230" s="1"/>
      <c r="P230" s="1"/>
      <c r="Q230" s="1"/>
      <c r="R230" s="1"/>
      <c r="S230" s="1"/>
      <c r="T230" s="1"/>
      <c r="U230" s="2"/>
      <c r="V230" s="1"/>
      <c r="W230" s="1"/>
      <c r="X230" s="1"/>
      <c r="Y230" s="1"/>
      <c r="Z230" s="1"/>
    </row>
    <row r="231" spans="1:26" ht="24.75" customHeight="1">
      <c r="A231" s="1"/>
      <c r="B231" s="1"/>
      <c r="C231" s="1"/>
      <c r="D231" s="1"/>
      <c r="E231" s="1"/>
      <c r="F231" s="1"/>
      <c r="G231" s="1"/>
      <c r="H231" s="1"/>
      <c r="I231" s="1"/>
      <c r="J231" s="1"/>
      <c r="K231" s="1"/>
      <c r="L231" s="1"/>
      <c r="M231" s="1"/>
      <c r="N231" s="1"/>
      <c r="O231" s="1"/>
      <c r="P231" s="1"/>
      <c r="Q231" s="1"/>
      <c r="R231" s="1"/>
      <c r="S231" s="1"/>
      <c r="T231" s="1"/>
      <c r="U231" s="2"/>
      <c r="V231" s="1"/>
      <c r="W231" s="1"/>
      <c r="X231" s="1"/>
      <c r="Y231" s="1"/>
      <c r="Z231" s="1"/>
    </row>
    <row r="232" spans="1:26" ht="24.75" customHeight="1">
      <c r="A232" s="1"/>
      <c r="B232" s="1"/>
      <c r="C232" s="1"/>
      <c r="D232" s="1"/>
      <c r="E232" s="1"/>
      <c r="F232" s="1"/>
      <c r="G232" s="1"/>
      <c r="H232" s="1"/>
      <c r="I232" s="1"/>
      <c r="J232" s="1"/>
      <c r="K232" s="1"/>
      <c r="L232" s="1"/>
      <c r="M232" s="1"/>
      <c r="N232" s="1"/>
      <c r="O232" s="1"/>
      <c r="P232" s="1"/>
      <c r="Q232" s="1"/>
      <c r="R232" s="1"/>
      <c r="S232" s="1"/>
      <c r="T232" s="1"/>
      <c r="U232" s="2"/>
      <c r="V232" s="1"/>
      <c r="W232" s="1"/>
      <c r="X232" s="1"/>
      <c r="Y232" s="1"/>
      <c r="Z232" s="1"/>
    </row>
    <row r="233" spans="1:26" ht="24.75" customHeight="1">
      <c r="A233" s="1"/>
      <c r="B233" s="1"/>
      <c r="C233" s="1"/>
      <c r="D233" s="1"/>
      <c r="E233" s="1"/>
      <c r="F233" s="1"/>
      <c r="G233" s="1"/>
      <c r="H233" s="1"/>
      <c r="I233" s="1"/>
      <c r="J233" s="1"/>
      <c r="K233" s="1"/>
      <c r="L233" s="1"/>
      <c r="M233" s="1"/>
      <c r="N233" s="1"/>
      <c r="O233" s="1"/>
      <c r="P233" s="1"/>
      <c r="Q233" s="1"/>
      <c r="R233" s="1"/>
      <c r="S233" s="1"/>
      <c r="T233" s="1"/>
      <c r="U233" s="2"/>
      <c r="V233" s="1"/>
      <c r="W233" s="1"/>
      <c r="X233" s="1"/>
      <c r="Y233" s="1"/>
      <c r="Z233" s="1"/>
    </row>
    <row r="234" spans="1:26" ht="24.75" customHeight="1">
      <c r="A234" s="1"/>
      <c r="B234" s="1"/>
      <c r="C234" s="1"/>
      <c r="D234" s="1"/>
      <c r="E234" s="1"/>
      <c r="F234" s="1"/>
      <c r="G234" s="1"/>
      <c r="H234" s="1"/>
      <c r="I234" s="1"/>
      <c r="J234" s="1"/>
      <c r="K234" s="1"/>
      <c r="L234" s="1"/>
      <c r="M234" s="1"/>
      <c r="N234" s="1"/>
      <c r="O234" s="1"/>
      <c r="P234" s="1"/>
      <c r="Q234" s="1"/>
      <c r="R234" s="1"/>
      <c r="S234" s="1"/>
      <c r="T234" s="1"/>
      <c r="U234" s="2"/>
      <c r="V234" s="1"/>
      <c r="W234" s="1"/>
      <c r="X234" s="1"/>
      <c r="Y234" s="1"/>
      <c r="Z234" s="1"/>
    </row>
    <row r="235" spans="1:26" ht="24.75" customHeight="1">
      <c r="A235" s="1"/>
      <c r="B235" s="1"/>
      <c r="C235" s="1"/>
      <c r="D235" s="1"/>
      <c r="E235" s="1"/>
      <c r="F235" s="1"/>
      <c r="G235" s="1"/>
      <c r="H235" s="1"/>
      <c r="I235" s="1"/>
      <c r="J235" s="1"/>
      <c r="K235" s="1"/>
      <c r="L235" s="1"/>
      <c r="M235" s="1"/>
      <c r="N235" s="1"/>
      <c r="O235" s="1"/>
      <c r="P235" s="1"/>
      <c r="Q235" s="1"/>
      <c r="R235" s="1"/>
      <c r="S235" s="1"/>
      <c r="T235" s="1"/>
      <c r="U235" s="2"/>
      <c r="V235" s="1"/>
      <c r="W235" s="1"/>
      <c r="X235" s="1"/>
      <c r="Y235" s="1"/>
      <c r="Z235" s="1"/>
    </row>
    <row r="236" spans="1:26" ht="24.75" customHeight="1">
      <c r="A236" s="1"/>
      <c r="B236" s="1"/>
      <c r="C236" s="1"/>
      <c r="D236" s="1"/>
      <c r="E236" s="1"/>
      <c r="F236" s="1"/>
      <c r="G236" s="1"/>
      <c r="H236" s="1"/>
      <c r="I236" s="1"/>
      <c r="J236" s="1"/>
      <c r="K236" s="1"/>
      <c r="L236" s="1"/>
      <c r="M236" s="1"/>
      <c r="N236" s="1"/>
      <c r="O236" s="1"/>
      <c r="P236" s="1"/>
      <c r="Q236" s="1"/>
      <c r="R236" s="1"/>
      <c r="S236" s="1"/>
      <c r="T236" s="1"/>
      <c r="U236" s="2"/>
      <c r="V236" s="1"/>
      <c r="W236" s="1"/>
      <c r="X236" s="1"/>
      <c r="Y236" s="1"/>
      <c r="Z236" s="1"/>
    </row>
    <row r="237" spans="1:26" ht="24.75" customHeight="1">
      <c r="A237" s="1"/>
      <c r="B237" s="1"/>
      <c r="C237" s="1"/>
      <c r="D237" s="1"/>
      <c r="E237" s="1"/>
      <c r="F237" s="1"/>
      <c r="G237" s="1"/>
      <c r="H237" s="1"/>
      <c r="I237" s="1"/>
      <c r="J237" s="1"/>
      <c r="K237" s="1"/>
      <c r="L237" s="1"/>
      <c r="M237" s="1"/>
      <c r="N237" s="1"/>
      <c r="O237" s="1"/>
      <c r="P237" s="1"/>
      <c r="Q237" s="1"/>
      <c r="R237" s="1"/>
      <c r="S237" s="1"/>
      <c r="T237" s="1"/>
      <c r="U237" s="2"/>
      <c r="V237" s="1"/>
      <c r="W237" s="1"/>
      <c r="X237" s="1"/>
      <c r="Y237" s="1"/>
      <c r="Z237" s="1"/>
    </row>
    <row r="238" spans="1:26" ht="24.75" customHeight="1">
      <c r="A238" s="1"/>
      <c r="B238" s="1"/>
      <c r="C238" s="1"/>
      <c r="D238" s="1"/>
      <c r="E238" s="1"/>
      <c r="F238" s="1"/>
      <c r="G238" s="1"/>
      <c r="H238" s="1"/>
      <c r="I238" s="1"/>
      <c r="J238" s="1"/>
      <c r="K238" s="1"/>
      <c r="L238" s="1"/>
      <c r="M238" s="1"/>
      <c r="N238" s="1"/>
      <c r="O238" s="1"/>
      <c r="P238" s="1"/>
      <c r="Q238" s="1"/>
      <c r="R238" s="1"/>
      <c r="S238" s="1"/>
      <c r="T238" s="1"/>
      <c r="U238" s="2"/>
      <c r="V238" s="1"/>
      <c r="W238" s="1"/>
      <c r="X238" s="1"/>
      <c r="Y238" s="1"/>
      <c r="Z238" s="1"/>
    </row>
    <row r="239" spans="1:26" ht="24.75" customHeight="1">
      <c r="A239" s="1"/>
      <c r="B239" s="1"/>
      <c r="C239" s="1"/>
      <c r="D239" s="1"/>
      <c r="E239" s="1"/>
      <c r="F239" s="1"/>
      <c r="G239" s="1"/>
      <c r="H239" s="1"/>
      <c r="I239" s="1"/>
      <c r="J239" s="1"/>
      <c r="K239" s="1"/>
      <c r="L239" s="1"/>
      <c r="M239" s="1"/>
      <c r="N239" s="1"/>
      <c r="O239" s="1"/>
      <c r="P239" s="1"/>
      <c r="Q239" s="1"/>
      <c r="R239" s="1"/>
      <c r="S239" s="1"/>
      <c r="T239" s="1"/>
      <c r="U239" s="2"/>
      <c r="V239" s="1"/>
      <c r="W239" s="1"/>
      <c r="X239" s="1"/>
      <c r="Y239" s="1"/>
      <c r="Z239" s="1"/>
    </row>
    <row r="240" spans="1:26" ht="24.75" customHeight="1">
      <c r="A240" s="1"/>
      <c r="B240" s="1"/>
      <c r="C240" s="1"/>
      <c r="D240" s="1"/>
      <c r="E240" s="1"/>
      <c r="F240" s="1"/>
      <c r="G240" s="1"/>
      <c r="H240" s="1"/>
      <c r="I240" s="1"/>
      <c r="J240" s="1"/>
      <c r="K240" s="1"/>
      <c r="L240" s="1"/>
      <c r="M240" s="1"/>
      <c r="N240" s="1"/>
      <c r="O240" s="1"/>
      <c r="P240" s="1"/>
      <c r="Q240" s="1"/>
      <c r="R240" s="1"/>
      <c r="S240" s="1"/>
      <c r="T240" s="1"/>
      <c r="U240" s="2"/>
      <c r="V240" s="1"/>
      <c r="W240" s="1"/>
      <c r="X240" s="1"/>
      <c r="Y240" s="1"/>
      <c r="Z240" s="1"/>
    </row>
    <row r="241" spans="1:26" ht="24.75" customHeight="1">
      <c r="A241" s="1"/>
      <c r="B241" s="1"/>
      <c r="C241" s="1"/>
      <c r="D241" s="1"/>
      <c r="E241" s="1"/>
      <c r="F241" s="1"/>
      <c r="G241" s="1"/>
      <c r="H241" s="1"/>
      <c r="I241" s="1"/>
      <c r="J241" s="1"/>
      <c r="K241" s="1"/>
      <c r="L241" s="1"/>
      <c r="M241" s="1"/>
      <c r="N241" s="1"/>
      <c r="O241" s="1"/>
      <c r="P241" s="1"/>
      <c r="Q241" s="1"/>
      <c r="R241" s="1"/>
      <c r="S241" s="1"/>
      <c r="T241" s="1"/>
      <c r="U241" s="2"/>
      <c r="V241" s="1"/>
      <c r="W241" s="1"/>
      <c r="X241" s="1"/>
      <c r="Y241" s="1"/>
      <c r="Z241" s="1"/>
    </row>
    <row r="242" spans="1:26" ht="24.75" customHeight="1">
      <c r="A242" s="1"/>
      <c r="B242" s="1"/>
      <c r="C242" s="1"/>
      <c r="D242" s="1"/>
      <c r="E242" s="1"/>
      <c r="F242" s="1"/>
      <c r="G242" s="1"/>
      <c r="H242" s="1"/>
      <c r="I242" s="1"/>
      <c r="J242" s="1"/>
      <c r="K242" s="1"/>
      <c r="L242" s="1"/>
      <c r="M242" s="1"/>
      <c r="N242" s="1"/>
      <c r="O242" s="1"/>
      <c r="P242" s="1"/>
      <c r="Q242" s="1"/>
      <c r="R242" s="1"/>
      <c r="S242" s="1"/>
      <c r="T242" s="1"/>
      <c r="U242" s="2"/>
      <c r="V242" s="1"/>
      <c r="W242" s="1"/>
      <c r="X242" s="1"/>
      <c r="Y242" s="1"/>
      <c r="Z242" s="1"/>
    </row>
    <row r="243" spans="1:26" ht="24.75" customHeight="1">
      <c r="A243" s="1"/>
      <c r="B243" s="1"/>
      <c r="C243" s="1"/>
      <c r="D243" s="1"/>
      <c r="E243" s="1"/>
      <c r="F243" s="1"/>
      <c r="G243" s="1"/>
      <c r="H243" s="1"/>
      <c r="I243" s="1"/>
      <c r="J243" s="1"/>
      <c r="K243" s="1"/>
      <c r="L243" s="1"/>
      <c r="M243" s="1"/>
      <c r="N243" s="1"/>
      <c r="O243" s="1"/>
      <c r="P243" s="1"/>
      <c r="Q243" s="1"/>
      <c r="R243" s="1"/>
      <c r="S243" s="1"/>
      <c r="T243" s="1"/>
      <c r="U243" s="2"/>
      <c r="V243" s="1"/>
      <c r="W243" s="1"/>
      <c r="X243" s="1"/>
      <c r="Y243" s="1"/>
      <c r="Z243" s="1"/>
    </row>
    <row r="244" spans="1:26" ht="24.75" customHeight="1">
      <c r="A244" s="1"/>
      <c r="B244" s="1"/>
      <c r="C244" s="1"/>
      <c r="D244" s="1"/>
      <c r="E244" s="1"/>
      <c r="F244" s="1"/>
      <c r="G244" s="1"/>
      <c r="H244" s="1"/>
      <c r="I244" s="1"/>
      <c r="J244" s="1"/>
      <c r="K244" s="1"/>
      <c r="L244" s="1"/>
      <c r="M244" s="1"/>
      <c r="N244" s="1"/>
      <c r="O244" s="1"/>
      <c r="P244" s="1"/>
      <c r="Q244" s="1"/>
      <c r="R244" s="1"/>
      <c r="S244" s="1"/>
      <c r="T244" s="1"/>
      <c r="U244" s="2"/>
      <c r="V244" s="1"/>
      <c r="W244" s="1"/>
      <c r="X244" s="1"/>
      <c r="Y244" s="1"/>
      <c r="Z244" s="1"/>
    </row>
    <row r="245" spans="1:26" ht="24.75" customHeight="1">
      <c r="A245" s="1"/>
      <c r="B245" s="1"/>
      <c r="C245" s="1"/>
      <c r="D245" s="1"/>
      <c r="E245" s="1"/>
      <c r="F245" s="1"/>
      <c r="G245" s="1"/>
      <c r="H245" s="1"/>
      <c r="I245" s="1"/>
      <c r="J245" s="1"/>
      <c r="K245" s="1"/>
      <c r="L245" s="1"/>
      <c r="M245" s="1"/>
      <c r="N245" s="1"/>
      <c r="O245" s="1"/>
      <c r="P245" s="1"/>
      <c r="Q245" s="1"/>
      <c r="R245" s="1"/>
      <c r="S245" s="1"/>
      <c r="T245" s="1"/>
      <c r="U245" s="2"/>
      <c r="V245" s="1"/>
      <c r="W245" s="1"/>
      <c r="X245" s="1"/>
      <c r="Y245" s="1"/>
      <c r="Z245" s="1"/>
    </row>
    <row r="246" spans="1:26" ht="24.75" customHeight="1">
      <c r="A246" s="1"/>
      <c r="B246" s="1"/>
      <c r="C246" s="1"/>
      <c r="D246" s="1"/>
      <c r="E246" s="1"/>
      <c r="F246" s="1"/>
      <c r="G246" s="1"/>
      <c r="H246" s="1"/>
      <c r="I246" s="1"/>
      <c r="J246" s="1"/>
      <c r="K246" s="1"/>
      <c r="L246" s="1"/>
      <c r="M246" s="1"/>
      <c r="N246" s="1"/>
      <c r="O246" s="1"/>
      <c r="P246" s="1"/>
      <c r="Q246" s="1"/>
      <c r="R246" s="1"/>
      <c r="S246" s="1"/>
      <c r="T246" s="1"/>
      <c r="U246" s="2"/>
      <c r="V246" s="1"/>
      <c r="W246" s="1"/>
      <c r="X246" s="1"/>
      <c r="Y246" s="1"/>
      <c r="Z246" s="1"/>
    </row>
    <row r="247" spans="1:26" ht="24.75" customHeight="1">
      <c r="A247" s="1"/>
      <c r="B247" s="1"/>
      <c r="C247" s="1"/>
      <c r="D247" s="1"/>
      <c r="E247" s="1"/>
      <c r="F247" s="1"/>
      <c r="G247" s="1"/>
      <c r="H247" s="1"/>
      <c r="I247" s="1"/>
      <c r="J247" s="1"/>
      <c r="K247" s="1"/>
      <c r="L247" s="1"/>
      <c r="M247" s="1"/>
      <c r="N247" s="1"/>
      <c r="O247" s="1"/>
      <c r="P247" s="1"/>
      <c r="Q247" s="1"/>
      <c r="R247" s="1"/>
      <c r="S247" s="1"/>
      <c r="T247" s="1"/>
      <c r="U247" s="2"/>
      <c r="V247" s="1"/>
      <c r="W247" s="1"/>
      <c r="X247" s="1"/>
      <c r="Y247" s="1"/>
      <c r="Z247" s="1"/>
    </row>
    <row r="248" spans="1:26" ht="24.75" customHeight="1">
      <c r="A248" s="1"/>
      <c r="B248" s="1"/>
      <c r="C248" s="1"/>
      <c r="D248" s="1"/>
      <c r="E248" s="1"/>
      <c r="F248" s="1"/>
      <c r="G248" s="1"/>
      <c r="H248" s="1"/>
      <c r="I248" s="1"/>
      <c r="J248" s="1"/>
      <c r="K248" s="1"/>
      <c r="L248" s="1"/>
      <c r="M248" s="1"/>
      <c r="N248" s="1"/>
      <c r="O248" s="1"/>
      <c r="P248" s="1"/>
      <c r="Q248" s="1"/>
      <c r="R248" s="1"/>
      <c r="S248" s="1"/>
      <c r="T248" s="1"/>
      <c r="U248" s="2"/>
      <c r="V248" s="1"/>
      <c r="W248" s="1"/>
      <c r="X248" s="1"/>
      <c r="Y248" s="1"/>
      <c r="Z248" s="1"/>
    </row>
    <row r="249" spans="1:26" ht="24.75" customHeight="1">
      <c r="A249" s="1"/>
      <c r="B249" s="1"/>
      <c r="C249" s="1"/>
      <c r="D249" s="1"/>
      <c r="E249" s="1"/>
      <c r="F249" s="1"/>
      <c r="G249" s="1"/>
      <c r="H249" s="1"/>
      <c r="I249" s="1"/>
      <c r="J249" s="1"/>
      <c r="K249" s="1"/>
      <c r="L249" s="1"/>
      <c r="M249" s="1"/>
      <c r="N249" s="1"/>
      <c r="O249" s="1"/>
      <c r="P249" s="1"/>
      <c r="Q249" s="1"/>
      <c r="R249" s="1"/>
      <c r="S249" s="1"/>
      <c r="T249" s="1"/>
      <c r="U249" s="2"/>
      <c r="V249" s="1"/>
      <c r="W249" s="1"/>
      <c r="X249" s="1"/>
      <c r="Y249" s="1"/>
      <c r="Z249" s="1"/>
    </row>
    <row r="250" spans="1:26" ht="24.75" customHeight="1">
      <c r="A250" s="1"/>
      <c r="B250" s="1"/>
      <c r="C250" s="1"/>
      <c r="D250" s="1"/>
      <c r="E250" s="1"/>
      <c r="F250" s="1"/>
      <c r="G250" s="1"/>
      <c r="H250" s="1"/>
      <c r="I250" s="1"/>
      <c r="J250" s="1"/>
      <c r="K250" s="1"/>
      <c r="L250" s="1"/>
      <c r="M250" s="1"/>
      <c r="N250" s="1"/>
      <c r="O250" s="1"/>
      <c r="P250" s="1"/>
      <c r="Q250" s="1"/>
      <c r="R250" s="1"/>
      <c r="S250" s="1"/>
      <c r="T250" s="1"/>
      <c r="U250" s="2"/>
      <c r="V250" s="1"/>
      <c r="W250" s="1"/>
      <c r="X250" s="1"/>
      <c r="Y250" s="1"/>
      <c r="Z250" s="1"/>
    </row>
    <row r="251" spans="1:26" ht="24.75" customHeight="1">
      <c r="A251" s="1"/>
      <c r="B251" s="1"/>
      <c r="C251" s="1"/>
      <c r="D251" s="1"/>
      <c r="E251" s="1"/>
      <c r="F251" s="1"/>
      <c r="G251" s="1"/>
      <c r="H251" s="1"/>
      <c r="I251" s="1"/>
      <c r="J251" s="1"/>
      <c r="K251" s="1"/>
      <c r="L251" s="1"/>
      <c r="M251" s="1"/>
      <c r="N251" s="1"/>
      <c r="O251" s="1"/>
      <c r="P251" s="1"/>
      <c r="Q251" s="1"/>
      <c r="R251" s="1"/>
      <c r="S251" s="1"/>
      <c r="T251" s="1"/>
      <c r="U251" s="2"/>
      <c r="V251" s="1"/>
      <c r="W251" s="1"/>
      <c r="X251" s="1"/>
      <c r="Y251" s="1"/>
      <c r="Z251" s="1"/>
    </row>
    <row r="252" spans="1:26" ht="24.75" customHeight="1">
      <c r="A252" s="1"/>
      <c r="B252" s="1"/>
      <c r="C252" s="1"/>
      <c r="D252" s="1"/>
      <c r="E252" s="1"/>
      <c r="F252" s="1"/>
      <c r="G252" s="1"/>
      <c r="H252" s="1"/>
      <c r="I252" s="1"/>
      <c r="J252" s="1"/>
      <c r="K252" s="1"/>
      <c r="L252" s="1"/>
      <c r="M252" s="1"/>
      <c r="N252" s="1"/>
      <c r="O252" s="1"/>
      <c r="P252" s="1"/>
      <c r="Q252" s="1"/>
      <c r="R252" s="1"/>
      <c r="S252" s="1"/>
      <c r="T252" s="1"/>
      <c r="U252" s="2"/>
      <c r="V252" s="1"/>
      <c r="W252" s="1"/>
      <c r="X252" s="1"/>
      <c r="Y252" s="1"/>
      <c r="Z252" s="1"/>
    </row>
    <row r="253" spans="1:26" ht="24.75" customHeight="1">
      <c r="A253" s="1"/>
      <c r="B253" s="1"/>
      <c r="C253" s="1"/>
      <c r="D253" s="1"/>
      <c r="E253" s="1"/>
      <c r="F253" s="1"/>
      <c r="G253" s="1"/>
      <c r="H253" s="1"/>
      <c r="I253" s="1"/>
      <c r="J253" s="1"/>
      <c r="K253" s="1"/>
      <c r="L253" s="1"/>
      <c r="M253" s="1"/>
      <c r="N253" s="1"/>
      <c r="O253" s="1"/>
      <c r="P253" s="1"/>
      <c r="Q253" s="1"/>
      <c r="R253" s="1"/>
      <c r="S253" s="1"/>
      <c r="T253" s="1"/>
      <c r="U253" s="2"/>
      <c r="V253" s="1"/>
      <c r="W253" s="1"/>
      <c r="X253" s="1"/>
      <c r="Y253" s="1"/>
      <c r="Z253" s="1"/>
    </row>
    <row r="254" spans="1:26" ht="24.75" customHeight="1">
      <c r="A254" s="1"/>
      <c r="B254" s="1"/>
      <c r="C254" s="1"/>
      <c r="D254" s="1"/>
      <c r="E254" s="1"/>
      <c r="F254" s="1"/>
      <c r="G254" s="1"/>
      <c r="H254" s="1"/>
      <c r="I254" s="1"/>
      <c r="J254" s="1"/>
      <c r="K254" s="1"/>
      <c r="L254" s="1"/>
      <c r="M254" s="1"/>
      <c r="N254" s="1"/>
      <c r="O254" s="1"/>
      <c r="P254" s="1"/>
      <c r="Q254" s="1"/>
      <c r="R254" s="1"/>
      <c r="S254" s="1"/>
      <c r="T254" s="1"/>
      <c r="U254" s="2"/>
      <c r="V254" s="1"/>
      <c r="W254" s="1"/>
      <c r="X254" s="1"/>
      <c r="Y254" s="1"/>
      <c r="Z254" s="1"/>
    </row>
    <row r="255" spans="1:26" ht="24.75" customHeight="1">
      <c r="A255" s="1"/>
      <c r="B255" s="1"/>
      <c r="C255" s="1"/>
      <c r="D255" s="1"/>
      <c r="E255" s="1"/>
      <c r="F255" s="1"/>
      <c r="G255" s="1"/>
      <c r="H255" s="1"/>
      <c r="I255" s="1"/>
      <c r="J255" s="1"/>
      <c r="K255" s="1"/>
      <c r="L255" s="1"/>
      <c r="M255" s="1"/>
      <c r="N255" s="1"/>
      <c r="O255" s="1"/>
      <c r="P255" s="1"/>
      <c r="Q255" s="1"/>
      <c r="R255" s="1"/>
      <c r="S255" s="1"/>
      <c r="T255" s="1"/>
      <c r="U255" s="2"/>
      <c r="V255" s="1"/>
      <c r="W255" s="1"/>
      <c r="X255" s="1"/>
      <c r="Y255" s="1"/>
      <c r="Z255" s="1"/>
    </row>
    <row r="256" spans="1:26" ht="24.75" customHeight="1">
      <c r="A256" s="1"/>
      <c r="B256" s="1"/>
      <c r="C256" s="1"/>
      <c r="D256" s="1"/>
      <c r="E256" s="1"/>
      <c r="F256" s="1"/>
      <c r="G256" s="1"/>
      <c r="H256" s="1"/>
      <c r="I256" s="1"/>
      <c r="J256" s="1"/>
      <c r="K256" s="1"/>
      <c r="L256" s="1"/>
      <c r="M256" s="1"/>
      <c r="N256" s="1"/>
      <c r="O256" s="1"/>
      <c r="P256" s="1"/>
      <c r="Q256" s="1"/>
      <c r="R256" s="1"/>
      <c r="S256" s="1"/>
      <c r="T256" s="1"/>
      <c r="U256" s="2"/>
      <c r="V256" s="1"/>
      <c r="W256" s="1"/>
      <c r="X256" s="1"/>
      <c r="Y256" s="1"/>
      <c r="Z256" s="1"/>
    </row>
    <row r="257" spans="1:26" ht="24.75" customHeight="1">
      <c r="A257" s="1"/>
      <c r="B257" s="1"/>
      <c r="C257" s="1"/>
      <c r="D257" s="1"/>
      <c r="E257" s="1"/>
      <c r="F257" s="1"/>
      <c r="G257" s="1"/>
      <c r="H257" s="1"/>
      <c r="I257" s="1"/>
      <c r="J257" s="1"/>
      <c r="K257" s="1"/>
      <c r="L257" s="1"/>
      <c r="M257" s="1"/>
      <c r="N257" s="1"/>
      <c r="O257" s="1"/>
      <c r="P257" s="1"/>
      <c r="Q257" s="1"/>
      <c r="R257" s="1"/>
      <c r="S257" s="1"/>
      <c r="T257" s="1"/>
      <c r="U257" s="2"/>
      <c r="V257" s="1"/>
      <c r="W257" s="1"/>
      <c r="X257" s="1"/>
      <c r="Y257" s="1"/>
      <c r="Z257" s="1"/>
    </row>
    <row r="258" spans="1:26" ht="24.75" customHeight="1">
      <c r="A258" s="1"/>
      <c r="B258" s="1"/>
      <c r="C258" s="1"/>
      <c r="D258" s="1"/>
      <c r="E258" s="1"/>
      <c r="F258" s="1"/>
      <c r="G258" s="1"/>
      <c r="H258" s="1"/>
      <c r="I258" s="1"/>
      <c r="J258" s="1"/>
      <c r="K258" s="1"/>
      <c r="L258" s="1"/>
      <c r="M258" s="1"/>
      <c r="N258" s="1"/>
      <c r="O258" s="1"/>
      <c r="P258" s="1"/>
      <c r="Q258" s="1"/>
      <c r="R258" s="1"/>
      <c r="S258" s="1"/>
      <c r="T258" s="1"/>
      <c r="U258" s="2"/>
      <c r="V258" s="1"/>
      <c r="W258" s="1"/>
      <c r="X258" s="1"/>
      <c r="Y258" s="1"/>
      <c r="Z258" s="1"/>
    </row>
    <row r="259" spans="1:26" ht="24.75" customHeight="1">
      <c r="A259" s="1"/>
      <c r="B259" s="1"/>
      <c r="C259" s="1"/>
      <c r="D259" s="1"/>
      <c r="E259" s="1"/>
      <c r="F259" s="1"/>
      <c r="G259" s="1"/>
      <c r="H259" s="1"/>
      <c r="I259" s="1"/>
      <c r="J259" s="1"/>
      <c r="K259" s="1"/>
      <c r="L259" s="1"/>
      <c r="M259" s="1"/>
      <c r="N259" s="1"/>
      <c r="O259" s="1"/>
      <c r="P259" s="1"/>
      <c r="Q259" s="1"/>
      <c r="R259" s="1"/>
      <c r="S259" s="1"/>
      <c r="T259" s="1"/>
      <c r="U259" s="2"/>
      <c r="V259" s="1"/>
      <c r="W259" s="1"/>
      <c r="X259" s="1"/>
      <c r="Y259" s="1"/>
      <c r="Z259" s="1"/>
    </row>
    <row r="260" spans="1:26" ht="24.75" customHeight="1">
      <c r="A260" s="1"/>
      <c r="B260" s="1"/>
      <c r="C260" s="1"/>
      <c r="D260" s="1"/>
      <c r="E260" s="1"/>
      <c r="F260" s="1"/>
      <c r="G260" s="1"/>
      <c r="H260" s="1"/>
      <c r="I260" s="1"/>
      <c r="J260" s="1"/>
      <c r="K260" s="1"/>
      <c r="L260" s="1"/>
      <c r="M260" s="1"/>
      <c r="N260" s="1"/>
      <c r="O260" s="1"/>
      <c r="P260" s="1"/>
      <c r="Q260" s="1"/>
      <c r="R260" s="1"/>
      <c r="S260" s="1"/>
      <c r="T260" s="1"/>
      <c r="U260" s="2"/>
      <c r="V260" s="1"/>
      <c r="W260" s="1"/>
      <c r="X260" s="1"/>
      <c r="Y260" s="1"/>
      <c r="Z260" s="1"/>
    </row>
    <row r="261" spans="1:26" ht="24.75" customHeight="1">
      <c r="A261" s="1"/>
      <c r="B261" s="1"/>
      <c r="C261" s="1"/>
      <c r="D261" s="1"/>
      <c r="E261" s="1"/>
      <c r="F261" s="1"/>
      <c r="G261" s="1"/>
      <c r="H261" s="1"/>
      <c r="I261" s="1"/>
      <c r="J261" s="1"/>
      <c r="K261" s="1"/>
      <c r="L261" s="1"/>
      <c r="M261" s="1"/>
      <c r="N261" s="1"/>
      <c r="O261" s="1"/>
      <c r="P261" s="1"/>
      <c r="Q261" s="1"/>
      <c r="R261" s="1"/>
      <c r="S261" s="1"/>
      <c r="T261" s="1"/>
      <c r="U261" s="2"/>
      <c r="V261" s="1"/>
      <c r="W261" s="1"/>
      <c r="X261" s="1"/>
      <c r="Y261" s="1"/>
      <c r="Z261" s="1"/>
    </row>
    <row r="262" spans="1:26" ht="24.75" customHeight="1">
      <c r="A262" s="1"/>
      <c r="B262" s="1"/>
      <c r="C262" s="1"/>
      <c r="D262" s="1"/>
      <c r="E262" s="1"/>
      <c r="F262" s="1"/>
      <c r="G262" s="1"/>
      <c r="H262" s="1"/>
      <c r="I262" s="1"/>
      <c r="J262" s="1"/>
      <c r="K262" s="1"/>
      <c r="L262" s="1"/>
      <c r="M262" s="1"/>
      <c r="N262" s="1"/>
      <c r="O262" s="1"/>
      <c r="P262" s="1"/>
      <c r="Q262" s="1"/>
      <c r="R262" s="1"/>
      <c r="S262" s="1"/>
      <c r="T262" s="1"/>
      <c r="U262" s="2"/>
      <c r="V262" s="1"/>
      <c r="W262" s="1"/>
      <c r="X262" s="1"/>
      <c r="Y262" s="1"/>
      <c r="Z262" s="1"/>
    </row>
    <row r="263" spans="1:26" ht="24.75" customHeight="1">
      <c r="A263" s="1"/>
      <c r="B263" s="1"/>
      <c r="C263" s="1"/>
      <c r="D263" s="1"/>
      <c r="E263" s="1"/>
      <c r="F263" s="1"/>
      <c r="G263" s="1"/>
      <c r="H263" s="1"/>
      <c r="I263" s="1"/>
      <c r="J263" s="1"/>
      <c r="K263" s="1"/>
      <c r="L263" s="1"/>
      <c r="M263" s="1"/>
      <c r="N263" s="1"/>
      <c r="O263" s="1"/>
      <c r="P263" s="1"/>
      <c r="Q263" s="1"/>
      <c r="R263" s="1"/>
      <c r="S263" s="1"/>
      <c r="T263" s="1"/>
      <c r="U263" s="2"/>
      <c r="V263" s="1"/>
      <c r="W263" s="1"/>
      <c r="X263" s="1"/>
      <c r="Y263" s="1"/>
      <c r="Z263" s="1"/>
    </row>
    <row r="264" spans="1:26" ht="24.75" customHeight="1">
      <c r="A264" s="1"/>
      <c r="B264" s="1"/>
      <c r="C264" s="1"/>
      <c r="D264" s="1"/>
      <c r="E264" s="1"/>
      <c r="F264" s="1"/>
      <c r="G264" s="1"/>
      <c r="H264" s="1"/>
      <c r="I264" s="1"/>
      <c r="J264" s="1"/>
      <c r="K264" s="1"/>
      <c r="L264" s="1"/>
      <c r="M264" s="1"/>
      <c r="N264" s="1"/>
      <c r="O264" s="1"/>
      <c r="P264" s="1"/>
      <c r="Q264" s="1"/>
      <c r="R264" s="1"/>
      <c r="S264" s="1"/>
      <c r="T264" s="1"/>
      <c r="U264" s="2"/>
      <c r="V264" s="1"/>
      <c r="W264" s="1"/>
      <c r="X264" s="1"/>
      <c r="Y264" s="1"/>
      <c r="Z264" s="1"/>
    </row>
    <row r="265" spans="1:26" ht="24.75" customHeight="1">
      <c r="A265" s="1"/>
      <c r="B265" s="1"/>
      <c r="C265" s="1"/>
      <c r="D265" s="1"/>
      <c r="E265" s="1"/>
      <c r="F265" s="1"/>
      <c r="G265" s="1"/>
      <c r="H265" s="1"/>
      <c r="I265" s="1"/>
      <c r="J265" s="1"/>
      <c r="K265" s="1"/>
      <c r="L265" s="1"/>
      <c r="M265" s="1"/>
      <c r="N265" s="1"/>
      <c r="O265" s="1"/>
      <c r="P265" s="1"/>
      <c r="Q265" s="1"/>
      <c r="R265" s="1"/>
      <c r="S265" s="1"/>
      <c r="T265" s="1"/>
      <c r="U265" s="2"/>
      <c r="V265" s="1"/>
      <c r="W265" s="1"/>
      <c r="X265" s="1"/>
      <c r="Y265" s="1"/>
      <c r="Z265" s="1"/>
    </row>
    <row r="266" spans="1:26" ht="24.75" customHeight="1">
      <c r="A266" s="1"/>
      <c r="B266" s="1"/>
      <c r="C266" s="1"/>
      <c r="D266" s="1"/>
      <c r="E266" s="1"/>
      <c r="F266" s="1"/>
      <c r="G266" s="1"/>
      <c r="H266" s="1"/>
      <c r="I266" s="1"/>
      <c r="J266" s="1"/>
      <c r="K266" s="1"/>
      <c r="L266" s="1"/>
      <c r="M266" s="1"/>
      <c r="N266" s="1"/>
      <c r="O266" s="1"/>
      <c r="P266" s="1"/>
      <c r="Q266" s="1"/>
      <c r="R266" s="1"/>
      <c r="S266" s="1"/>
      <c r="T266" s="1"/>
      <c r="U266" s="2"/>
      <c r="V266" s="1"/>
      <c r="W266" s="1"/>
      <c r="X266" s="1"/>
      <c r="Y266" s="1"/>
      <c r="Z266" s="1"/>
    </row>
    <row r="267" spans="1:26" ht="24.75" customHeight="1">
      <c r="A267" s="1"/>
      <c r="B267" s="1"/>
      <c r="C267" s="1"/>
      <c r="D267" s="1"/>
      <c r="E267" s="1"/>
      <c r="F267" s="1"/>
      <c r="G267" s="1"/>
      <c r="H267" s="1"/>
      <c r="I267" s="1"/>
      <c r="J267" s="1"/>
      <c r="K267" s="1"/>
      <c r="L267" s="1"/>
      <c r="M267" s="1"/>
      <c r="N267" s="1"/>
      <c r="O267" s="1"/>
      <c r="P267" s="1"/>
      <c r="Q267" s="1"/>
      <c r="R267" s="1"/>
      <c r="S267" s="1"/>
      <c r="T267" s="1"/>
      <c r="U267" s="2"/>
      <c r="V267" s="1"/>
      <c r="W267" s="1"/>
      <c r="X267" s="1"/>
      <c r="Y267" s="1"/>
      <c r="Z267" s="1"/>
    </row>
    <row r="268" spans="1:26" ht="24.75" customHeight="1">
      <c r="A268" s="1"/>
      <c r="B268" s="1"/>
      <c r="C268" s="1"/>
      <c r="D268" s="1"/>
      <c r="E268" s="1"/>
      <c r="F268" s="1"/>
      <c r="G268" s="1"/>
      <c r="H268" s="1"/>
      <c r="I268" s="1"/>
      <c r="J268" s="1"/>
      <c r="K268" s="1"/>
      <c r="L268" s="1"/>
      <c r="M268" s="1"/>
      <c r="N268" s="1"/>
      <c r="O268" s="1"/>
      <c r="P268" s="1"/>
      <c r="Q268" s="1"/>
      <c r="R268" s="1"/>
      <c r="S268" s="1"/>
      <c r="T268" s="1"/>
      <c r="U268" s="2"/>
      <c r="V268" s="1"/>
      <c r="W268" s="1"/>
      <c r="X268" s="1"/>
      <c r="Y268" s="1"/>
      <c r="Z268" s="1"/>
    </row>
    <row r="269" spans="1:26" ht="24.75" customHeight="1">
      <c r="A269" s="1"/>
      <c r="B269" s="1"/>
      <c r="C269" s="1"/>
      <c r="D269" s="1"/>
      <c r="E269" s="1"/>
      <c r="F269" s="1"/>
      <c r="G269" s="1"/>
      <c r="H269" s="1"/>
      <c r="I269" s="1"/>
      <c r="J269" s="1"/>
      <c r="K269" s="1"/>
      <c r="L269" s="1"/>
      <c r="M269" s="1"/>
      <c r="N269" s="1"/>
      <c r="O269" s="1"/>
      <c r="P269" s="1"/>
      <c r="Q269" s="1"/>
      <c r="R269" s="1"/>
      <c r="S269" s="1"/>
      <c r="T269" s="1"/>
      <c r="U269" s="2"/>
      <c r="V269" s="1"/>
      <c r="W269" s="1"/>
      <c r="X269" s="1"/>
      <c r="Y269" s="1"/>
      <c r="Z269" s="1"/>
    </row>
    <row r="270" spans="1:26" ht="24.75" customHeight="1">
      <c r="A270" s="1"/>
      <c r="B270" s="1"/>
      <c r="C270" s="1"/>
      <c r="D270" s="1"/>
      <c r="E270" s="1"/>
      <c r="F270" s="1"/>
      <c r="G270" s="1"/>
      <c r="H270" s="1"/>
      <c r="I270" s="1"/>
      <c r="J270" s="1"/>
      <c r="K270" s="1"/>
      <c r="L270" s="1"/>
      <c r="M270" s="1"/>
      <c r="N270" s="1"/>
      <c r="O270" s="1"/>
      <c r="P270" s="1"/>
      <c r="Q270" s="1"/>
      <c r="R270" s="1"/>
      <c r="S270" s="1"/>
      <c r="T270" s="1"/>
      <c r="U270" s="2"/>
      <c r="V270" s="1"/>
      <c r="W270" s="1"/>
      <c r="X270" s="1"/>
      <c r="Y270" s="1"/>
      <c r="Z270" s="1"/>
    </row>
    <row r="271" spans="1:26" ht="24.75" customHeight="1">
      <c r="A271" s="1"/>
      <c r="B271" s="1"/>
      <c r="C271" s="1"/>
      <c r="D271" s="1"/>
      <c r="E271" s="1"/>
      <c r="F271" s="1"/>
      <c r="G271" s="1"/>
      <c r="H271" s="1"/>
      <c r="I271" s="1"/>
      <c r="J271" s="1"/>
      <c r="K271" s="1"/>
      <c r="L271" s="1"/>
      <c r="M271" s="1"/>
      <c r="N271" s="1"/>
      <c r="O271" s="1"/>
      <c r="P271" s="1"/>
      <c r="Q271" s="1"/>
      <c r="R271" s="1"/>
      <c r="S271" s="1"/>
      <c r="T271" s="1"/>
      <c r="U271" s="2"/>
      <c r="V271" s="1"/>
      <c r="W271" s="1"/>
      <c r="X271" s="1"/>
      <c r="Y271" s="1"/>
      <c r="Z271" s="1"/>
    </row>
    <row r="272" spans="1:26" ht="24.75" customHeight="1">
      <c r="A272" s="1"/>
      <c r="B272" s="1"/>
      <c r="C272" s="1"/>
      <c r="D272" s="1"/>
      <c r="E272" s="1"/>
      <c r="F272" s="1"/>
      <c r="G272" s="1"/>
      <c r="H272" s="1"/>
      <c r="I272" s="1"/>
      <c r="J272" s="1"/>
      <c r="K272" s="1"/>
      <c r="L272" s="1"/>
      <c r="M272" s="1"/>
      <c r="N272" s="1"/>
      <c r="O272" s="1"/>
      <c r="P272" s="1"/>
      <c r="Q272" s="1"/>
      <c r="R272" s="1"/>
      <c r="S272" s="1"/>
      <c r="T272" s="1"/>
      <c r="U272" s="2"/>
      <c r="V272" s="1"/>
      <c r="W272" s="1"/>
      <c r="X272" s="1"/>
      <c r="Y272" s="1"/>
      <c r="Z272" s="1"/>
    </row>
    <row r="273" spans="1:26" ht="24.75" customHeight="1">
      <c r="A273" s="1"/>
      <c r="B273" s="1"/>
      <c r="C273" s="1"/>
      <c r="D273" s="1"/>
      <c r="E273" s="1"/>
      <c r="F273" s="1"/>
      <c r="G273" s="1"/>
      <c r="H273" s="1"/>
      <c r="I273" s="1"/>
      <c r="J273" s="1"/>
      <c r="K273" s="1"/>
      <c r="L273" s="1"/>
      <c r="M273" s="1"/>
      <c r="N273" s="1"/>
      <c r="O273" s="1"/>
      <c r="P273" s="1"/>
      <c r="Q273" s="1"/>
      <c r="R273" s="1"/>
      <c r="S273" s="1"/>
      <c r="T273" s="1"/>
      <c r="U273" s="2"/>
      <c r="V273" s="1"/>
      <c r="W273" s="1"/>
      <c r="X273" s="1"/>
      <c r="Y273" s="1"/>
      <c r="Z273" s="1"/>
    </row>
    <row r="274" spans="1:26" ht="24.75" customHeight="1">
      <c r="A274" s="1"/>
      <c r="B274" s="1"/>
      <c r="C274" s="1"/>
      <c r="D274" s="1"/>
      <c r="E274" s="1"/>
      <c r="F274" s="1"/>
      <c r="G274" s="1"/>
      <c r="H274" s="1"/>
      <c r="I274" s="1"/>
      <c r="J274" s="1"/>
      <c r="K274" s="1"/>
      <c r="L274" s="1"/>
      <c r="M274" s="1"/>
      <c r="N274" s="1"/>
      <c r="O274" s="1"/>
      <c r="P274" s="1"/>
      <c r="Q274" s="1"/>
      <c r="R274" s="1"/>
      <c r="S274" s="1"/>
      <c r="T274" s="1"/>
      <c r="U274" s="2"/>
      <c r="V274" s="1"/>
      <c r="W274" s="1"/>
      <c r="X274" s="1"/>
      <c r="Y274" s="1"/>
      <c r="Z274" s="1"/>
    </row>
    <row r="275" spans="1:26" ht="24.75" customHeight="1">
      <c r="A275" s="1"/>
      <c r="B275" s="1"/>
      <c r="C275" s="1"/>
      <c r="D275" s="1"/>
      <c r="E275" s="1"/>
      <c r="F275" s="1"/>
      <c r="G275" s="1"/>
      <c r="H275" s="1"/>
      <c r="I275" s="1"/>
      <c r="J275" s="1"/>
      <c r="K275" s="1"/>
      <c r="L275" s="1"/>
      <c r="M275" s="1"/>
      <c r="N275" s="1"/>
      <c r="O275" s="1"/>
      <c r="P275" s="1"/>
      <c r="Q275" s="1"/>
      <c r="R275" s="1"/>
      <c r="S275" s="1"/>
      <c r="T275" s="1"/>
      <c r="U275" s="2"/>
      <c r="V275" s="1"/>
      <c r="W275" s="1"/>
      <c r="X275" s="1"/>
      <c r="Y275" s="1"/>
      <c r="Z275" s="1"/>
    </row>
    <row r="276" spans="1:26" ht="24.75" customHeight="1">
      <c r="A276" s="1"/>
      <c r="B276" s="1"/>
      <c r="C276" s="1"/>
      <c r="D276" s="1"/>
      <c r="E276" s="1"/>
      <c r="F276" s="1"/>
      <c r="G276" s="1"/>
      <c r="H276" s="1"/>
      <c r="I276" s="1"/>
      <c r="J276" s="1"/>
      <c r="K276" s="1"/>
      <c r="L276" s="1"/>
      <c r="M276" s="1"/>
      <c r="N276" s="1"/>
      <c r="O276" s="1"/>
      <c r="P276" s="1"/>
      <c r="Q276" s="1"/>
      <c r="R276" s="1"/>
      <c r="S276" s="1"/>
      <c r="T276" s="1"/>
      <c r="U276" s="2"/>
      <c r="V276" s="1"/>
      <c r="W276" s="1"/>
      <c r="X276" s="1"/>
      <c r="Y276" s="1"/>
      <c r="Z276" s="1"/>
    </row>
    <row r="277" spans="1:26" ht="24.75" customHeight="1">
      <c r="A277" s="1"/>
      <c r="B277" s="1"/>
      <c r="C277" s="1"/>
      <c r="D277" s="1"/>
      <c r="E277" s="1"/>
      <c r="F277" s="1"/>
      <c r="G277" s="1"/>
      <c r="H277" s="1"/>
      <c r="I277" s="1"/>
      <c r="J277" s="1"/>
      <c r="K277" s="1"/>
      <c r="L277" s="1"/>
      <c r="M277" s="1"/>
      <c r="N277" s="1"/>
      <c r="O277" s="1"/>
      <c r="P277" s="1"/>
      <c r="Q277" s="1"/>
      <c r="R277" s="1"/>
      <c r="S277" s="1"/>
      <c r="T277" s="1"/>
      <c r="U277" s="2"/>
      <c r="V277" s="1"/>
      <c r="W277" s="1"/>
      <c r="X277" s="1"/>
      <c r="Y277" s="1"/>
      <c r="Z277" s="1"/>
    </row>
    <row r="278" spans="1:26" ht="24.75" customHeight="1">
      <c r="A278" s="1"/>
      <c r="B278" s="1"/>
      <c r="C278" s="1"/>
      <c r="D278" s="1"/>
      <c r="E278" s="1"/>
      <c r="F278" s="1"/>
      <c r="G278" s="1"/>
      <c r="H278" s="1"/>
      <c r="I278" s="1"/>
      <c r="J278" s="1"/>
      <c r="K278" s="1"/>
      <c r="L278" s="1"/>
      <c r="M278" s="1"/>
      <c r="N278" s="1"/>
      <c r="O278" s="1"/>
      <c r="P278" s="1"/>
      <c r="Q278" s="1"/>
      <c r="R278" s="1"/>
      <c r="S278" s="1"/>
      <c r="T278" s="1"/>
      <c r="U278" s="2"/>
      <c r="V278" s="1"/>
      <c r="W278" s="1"/>
      <c r="X278" s="1"/>
      <c r="Y278" s="1"/>
      <c r="Z278" s="1"/>
    </row>
    <row r="279" spans="1:26" ht="24.75" customHeight="1">
      <c r="A279" s="1"/>
      <c r="B279" s="1"/>
      <c r="C279" s="1"/>
      <c r="D279" s="1"/>
      <c r="E279" s="1"/>
      <c r="F279" s="1"/>
      <c r="G279" s="1"/>
      <c r="H279" s="1"/>
      <c r="I279" s="1"/>
      <c r="J279" s="1"/>
      <c r="K279" s="1"/>
      <c r="L279" s="1"/>
      <c r="M279" s="1"/>
      <c r="N279" s="1"/>
      <c r="O279" s="1"/>
      <c r="P279" s="1"/>
      <c r="Q279" s="1"/>
      <c r="R279" s="1"/>
      <c r="S279" s="1"/>
      <c r="T279" s="1"/>
      <c r="U279" s="2"/>
      <c r="V279" s="1"/>
      <c r="W279" s="1"/>
      <c r="X279" s="1"/>
      <c r="Y279" s="1"/>
      <c r="Z279" s="1"/>
    </row>
    <row r="280" spans="1:26" ht="24.75" customHeight="1">
      <c r="A280" s="1"/>
      <c r="B280" s="1"/>
      <c r="C280" s="1"/>
      <c r="D280" s="1"/>
      <c r="E280" s="1"/>
      <c r="F280" s="1"/>
      <c r="G280" s="1"/>
      <c r="H280" s="1"/>
      <c r="I280" s="1"/>
      <c r="J280" s="1"/>
      <c r="K280" s="1"/>
      <c r="L280" s="1"/>
      <c r="M280" s="1"/>
      <c r="N280" s="1"/>
      <c r="O280" s="1"/>
      <c r="P280" s="1"/>
      <c r="Q280" s="1"/>
      <c r="R280" s="1"/>
      <c r="S280" s="1"/>
      <c r="T280" s="1"/>
      <c r="U280" s="2"/>
      <c r="V280" s="1"/>
      <c r="W280" s="1"/>
      <c r="X280" s="1"/>
      <c r="Y280" s="1"/>
      <c r="Z280" s="1"/>
    </row>
    <row r="281" spans="1:26" ht="24.75" customHeight="1">
      <c r="A281" s="1"/>
      <c r="B281" s="1"/>
      <c r="C281" s="1"/>
      <c r="D281" s="1"/>
      <c r="E281" s="1"/>
      <c r="F281" s="1"/>
      <c r="G281" s="1"/>
      <c r="H281" s="1"/>
      <c r="I281" s="1"/>
      <c r="J281" s="1"/>
      <c r="K281" s="1"/>
      <c r="L281" s="1"/>
      <c r="M281" s="1"/>
      <c r="N281" s="1"/>
      <c r="O281" s="1"/>
      <c r="P281" s="1"/>
      <c r="Q281" s="1"/>
      <c r="R281" s="1"/>
      <c r="S281" s="1"/>
      <c r="T281" s="1"/>
      <c r="U281" s="2"/>
      <c r="V281" s="1"/>
      <c r="W281" s="1"/>
      <c r="X281" s="1"/>
      <c r="Y281" s="1"/>
      <c r="Z281" s="1"/>
    </row>
    <row r="282" spans="1:26" ht="24.75" customHeight="1">
      <c r="A282" s="1"/>
      <c r="B282" s="1"/>
      <c r="C282" s="1"/>
      <c r="D282" s="1"/>
      <c r="E282" s="1"/>
      <c r="F282" s="1"/>
      <c r="G282" s="1"/>
      <c r="H282" s="1"/>
      <c r="I282" s="1"/>
      <c r="J282" s="1"/>
      <c r="K282" s="1"/>
      <c r="L282" s="1"/>
      <c r="M282" s="1"/>
      <c r="N282" s="1"/>
      <c r="O282" s="1"/>
      <c r="P282" s="1"/>
      <c r="Q282" s="1"/>
      <c r="R282" s="1"/>
      <c r="S282" s="1"/>
      <c r="T282" s="1"/>
      <c r="U282" s="2"/>
      <c r="V282" s="1"/>
      <c r="W282" s="1"/>
      <c r="X282" s="1"/>
      <c r="Y282" s="1"/>
      <c r="Z282" s="1"/>
    </row>
    <row r="283" spans="1:26" ht="24.75" customHeight="1">
      <c r="A283" s="1"/>
      <c r="B283" s="1"/>
      <c r="C283" s="1"/>
      <c r="D283" s="1"/>
      <c r="E283" s="1"/>
      <c r="F283" s="1"/>
      <c r="G283" s="1"/>
      <c r="H283" s="1"/>
      <c r="I283" s="1"/>
      <c r="J283" s="1"/>
      <c r="K283" s="1"/>
      <c r="L283" s="1"/>
      <c r="M283" s="1"/>
      <c r="N283" s="1"/>
      <c r="O283" s="1"/>
      <c r="P283" s="1"/>
      <c r="Q283" s="1"/>
      <c r="R283" s="1"/>
      <c r="S283" s="1"/>
      <c r="T283" s="1"/>
      <c r="U283" s="2"/>
      <c r="V283" s="1"/>
      <c r="W283" s="1"/>
      <c r="X283" s="1"/>
      <c r="Y283" s="1"/>
      <c r="Z283" s="1"/>
    </row>
    <row r="284" spans="1:26" ht="24.75" customHeight="1">
      <c r="A284" s="1"/>
      <c r="B284" s="1"/>
      <c r="C284" s="1"/>
      <c r="D284" s="1"/>
      <c r="E284" s="1"/>
      <c r="F284" s="1"/>
      <c r="G284" s="1"/>
      <c r="H284" s="1"/>
      <c r="I284" s="1"/>
      <c r="J284" s="1"/>
      <c r="K284" s="1"/>
      <c r="L284" s="1"/>
      <c r="M284" s="1"/>
      <c r="N284" s="1"/>
      <c r="O284" s="1"/>
      <c r="P284" s="1"/>
      <c r="Q284" s="1"/>
      <c r="R284" s="1"/>
      <c r="S284" s="1"/>
      <c r="T284" s="1"/>
      <c r="U284" s="2"/>
      <c r="V284" s="1"/>
      <c r="W284" s="1"/>
      <c r="X284" s="1"/>
      <c r="Y284" s="1"/>
      <c r="Z284" s="1"/>
    </row>
    <row r="285" spans="1:26" ht="24.75" customHeight="1">
      <c r="A285" s="1"/>
      <c r="B285" s="1"/>
      <c r="C285" s="1"/>
      <c r="D285" s="1"/>
      <c r="E285" s="1"/>
      <c r="F285" s="1"/>
      <c r="G285" s="1"/>
      <c r="H285" s="1"/>
      <c r="I285" s="1"/>
      <c r="J285" s="1"/>
      <c r="K285" s="1"/>
      <c r="L285" s="1"/>
      <c r="M285" s="1"/>
      <c r="N285" s="1"/>
      <c r="O285" s="1"/>
      <c r="P285" s="1"/>
      <c r="Q285" s="1"/>
      <c r="R285" s="1"/>
      <c r="S285" s="1"/>
      <c r="T285" s="1"/>
      <c r="U285" s="2"/>
      <c r="V285" s="1"/>
      <c r="W285" s="1"/>
      <c r="X285" s="1"/>
      <c r="Y285" s="1"/>
      <c r="Z285" s="1"/>
    </row>
    <row r="286" spans="1:26" ht="24.75" customHeight="1">
      <c r="A286" s="1"/>
      <c r="B286" s="1"/>
      <c r="C286" s="1"/>
      <c r="D286" s="1"/>
      <c r="E286" s="1"/>
      <c r="F286" s="1"/>
      <c r="G286" s="1"/>
      <c r="H286" s="1"/>
      <c r="I286" s="1"/>
      <c r="J286" s="1"/>
      <c r="K286" s="1"/>
      <c r="L286" s="1"/>
      <c r="M286" s="1"/>
      <c r="N286" s="1"/>
      <c r="O286" s="1"/>
      <c r="P286" s="1"/>
      <c r="Q286" s="1"/>
      <c r="R286" s="1"/>
      <c r="S286" s="1"/>
      <c r="T286" s="1"/>
      <c r="U286" s="2"/>
      <c r="V286" s="1"/>
      <c r="W286" s="1"/>
      <c r="X286" s="1"/>
      <c r="Y286" s="1"/>
      <c r="Z286" s="1"/>
    </row>
    <row r="287" spans="1:26" ht="24.75" customHeight="1">
      <c r="A287" s="1"/>
      <c r="B287" s="1"/>
      <c r="C287" s="1"/>
      <c r="D287" s="1"/>
      <c r="E287" s="1"/>
      <c r="F287" s="1"/>
      <c r="G287" s="1"/>
      <c r="H287" s="1"/>
      <c r="I287" s="1"/>
      <c r="J287" s="1"/>
      <c r="K287" s="1"/>
      <c r="L287" s="1"/>
      <c r="M287" s="1"/>
      <c r="N287" s="1"/>
      <c r="O287" s="1"/>
      <c r="P287" s="1"/>
      <c r="Q287" s="1"/>
      <c r="R287" s="1"/>
      <c r="S287" s="1"/>
      <c r="T287" s="1"/>
      <c r="U287" s="2"/>
      <c r="V287" s="1"/>
      <c r="W287" s="1"/>
      <c r="X287" s="1"/>
      <c r="Y287" s="1"/>
      <c r="Z287" s="1"/>
    </row>
    <row r="288" spans="1:26" ht="24.75" customHeight="1">
      <c r="A288" s="1"/>
      <c r="B288" s="1"/>
      <c r="C288" s="1"/>
      <c r="D288" s="1"/>
      <c r="E288" s="1"/>
      <c r="F288" s="1"/>
      <c r="G288" s="1"/>
      <c r="H288" s="1"/>
      <c r="I288" s="1"/>
      <c r="J288" s="1"/>
      <c r="K288" s="1"/>
      <c r="L288" s="1"/>
      <c r="M288" s="1"/>
      <c r="N288" s="1"/>
      <c r="O288" s="1"/>
      <c r="P288" s="1"/>
      <c r="Q288" s="1"/>
      <c r="R288" s="1"/>
      <c r="S288" s="1"/>
      <c r="T288" s="1"/>
      <c r="U288" s="2"/>
      <c r="V288" s="1"/>
      <c r="W288" s="1"/>
      <c r="X288" s="1"/>
      <c r="Y288" s="1"/>
      <c r="Z288" s="1"/>
    </row>
    <row r="289" spans="1:26" ht="24.75" customHeight="1">
      <c r="A289" s="1"/>
      <c r="B289" s="1"/>
      <c r="C289" s="1"/>
      <c r="D289" s="1"/>
      <c r="E289" s="1"/>
      <c r="F289" s="1"/>
      <c r="G289" s="1"/>
      <c r="H289" s="1"/>
      <c r="I289" s="1"/>
      <c r="J289" s="1"/>
      <c r="K289" s="1"/>
      <c r="L289" s="1"/>
      <c r="M289" s="1"/>
      <c r="N289" s="1"/>
      <c r="O289" s="1"/>
      <c r="P289" s="1"/>
      <c r="Q289" s="1"/>
      <c r="R289" s="1"/>
      <c r="S289" s="1"/>
      <c r="T289" s="1"/>
      <c r="U289" s="2"/>
      <c r="V289" s="1"/>
      <c r="W289" s="1"/>
      <c r="X289" s="1"/>
      <c r="Y289" s="1"/>
      <c r="Z289" s="1"/>
    </row>
    <row r="290" spans="1:26" ht="24.75" customHeight="1">
      <c r="A290" s="1"/>
      <c r="B290" s="1"/>
      <c r="C290" s="1"/>
      <c r="D290" s="1"/>
      <c r="E290" s="1"/>
      <c r="F290" s="1"/>
      <c r="G290" s="1"/>
      <c r="H290" s="1"/>
      <c r="I290" s="1"/>
      <c r="J290" s="1"/>
      <c r="K290" s="1"/>
      <c r="L290" s="1"/>
      <c r="M290" s="1"/>
      <c r="N290" s="1"/>
      <c r="O290" s="1"/>
      <c r="P290" s="1"/>
      <c r="Q290" s="1"/>
      <c r="R290" s="1"/>
      <c r="S290" s="1"/>
      <c r="T290" s="1"/>
      <c r="U290" s="2"/>
      <c r="V290" s="1"/>
      <c r="W290" s="1"/>
      <c r="X290" s="1"/>
      <c r="Y290" s="1"/>
      <c r="Z290" s="1"/>
    </row>
    <row r="291" spans="1:26" ht="24.75" customHeight="1">
      <c r="A291" s="1"/>
      <c r="B291" s="1"/>
      <c r="C291" s="1"/>
      <c r="D291" s="1"/>
      <c r="E291" s="1"/>
      <c r="F291" s="1"/>
      <c r="G291" s="1"/>
      <c r="H291" s="1"/>
      <c r="I291" s="1"/>
      <c r="J291" s="1"/>
      <c r="K291" s="1"/>
      <c r="L291" s="1"/>
      <c r="M291" s="1"/>
      <c r="N291" s="1"/>
      <c r="O291" s="1"/>
      <c r="P291" s="1"/>
      <c r="Q291" s="1"/>
      <c r="R291" s="1"/>
      <c r="S291" s="1"/>
      <c r="T291" s="1"/>
      <c r="U291" s="2"/>
      <c r="V291" s="1"/>
      <c r="W291" s="1"/>
      <c r="X291" s="1"/>
      <c r="Y291" s="1"/>
      <c r="Z291" s="1"/>
    </row>
    <row r="292" spans="1:26" ht="24.75" customHeight="1">
      <c r="A292" s="1"/>
      <c r="B292" s="1"/>
      <c r="C292" s="1"/>
      <c r="D292" s="1"/>
      <c r="E292" s="1"/>
      <c r="F292" s="1"/>
      <c r="G292" s="1"/>
      <c r="H292" s="1"/>
      <c r="I292" s="1"/>
      <c r="J292" s="1"/>
      <c r="K292" s="1"/>
      <c r="L292" s="1"/>
      <c r="M292" s="1"/>
      <c r="N292" s="1"/>
      <c r="O292" s="1"/>
      <c r="P292" s="1"/>
      <c r="Q292" s="1"/>
      <c r="R292" s="1"/>
      <c r="S292" s="1"/>
      <c r="T292" s="1"/>
      <c r="U292" s="2"/>
      <c r="V292" s="1"/>
      <c r="W292" s="1"/>
      <c r="X292" s="1"/>
      <c r="Y292" s="1"/>
      <c r="Z292" s="1"/>
    </row>
    <row r="293" spans="1:26" ht="24.75" customHeight="1">
      <c r="A293" s="1"/>
      <c r="B293" s="1"/>
      <c r="C293" s="1"/>
      <c r="D293" s="1"/>
      <c r="E293" s="1"/>
      <c r="F293" s="1"/>
      <c r="G293" s="1"/>
      <c r="H293" s="1"/>
      <c r="I293" s="1"/>
      <c r="J293" s="1"/>
      <c r="K293" s="1"/>
      <c r="L293" s="1"/>
      <c r="M293" s="1"/>
      <c r="N293" s="1"/>
      <c r="O293" s="1"/>
      <c r="P293" s="1"/>
      <c r="Q293" s="1"/>
      <c r="R293" s="1"/>
      <c r="S293" s="1"/>
      <c r="T293" s="1"/>
      <c r="U293" s="2"/>
      <c r="V293" s="1"/>
      <c r="W293" s="1"/>
      <c r="X293" s="1"/>
      <c r="Y293" s="1"/>
      <c r="Z293" s="1"/>
    </row>
    <row r="294" spans="1:26" ht="24.75" customHeight="1">
      <c r="A294" s="1"/>
      <c r="B294" s="1"/>
      <c r="C294" s="1"/>
      <c r="D294" s="1"/>
      <c r="E294" s="1"/>
      <c r="F294" s="1"/>
      <c r="G294" s="1"/>
      <c r="H294" s="1"/>
      <c r="I294" s="1"/>
      <c r="J294" s="1"/>
      <c r="K294" s="1"/>
      <c r="L294" s="1"/>
      <c r="M294" s="1"/>
      <c r="N294" s="1"/>
      <c r="O294" s="1"/>
      <c r="P294" s="1"/>
      <c r="Q294" s="1"/>
      <c r="R294" s="1"/>
      <c r="S294" s="1"/>
      <c r="T294" s="1"/>
      <c r="U294" s="2"/>
      <c r="V294" s="1"/>
      <c r="W294" s="1"/>
      <c r="X294" s="1"/>
      <c r="Y294" s="1"/>
      <c r="Z294" s="1"/>
    </row>
    <row r="295" spans="1:26" ht="24.75" customHeight="1">
      <c r="A295" s="1"/>
      <c r="B295" s="1"/>
      <c r="C295" s="1"/>
      <c r="D295" s="1"/>
      <c r="E295" s="1"/>
      <c r="F295" s="1"/>
      <c r="G295" s="1"/>
      <c r="H295" s="1"/>
      <c r="I295" s="1"/>
      <c r="J295" s="1"/>
      <c r="K295" s="1"/>
      <c r="L295" s="1"/>
      <c r="M295" s="1"/>
      <c r="N295" s="1"/>
      <c r="O295" s="1"/>
      <c r="P295" s="1"/>
      <c r="Q295" s="1"/>
      <c r="R295" s="1"/>
      <c r="S295" s="1"/>
      <c r="T295" s="1"/>
      <c r="U295" s="2"/>
      <c r="V295" s="1"/>
      <c r="W295" s="1"/>
      <c r="X295" s="1"/>
      <c r="Y295" s="1"/>
      <c r="Z295" s="1"/>
    </row>
    <row r="296" spans="1:26" ht="24.75" customHeight="1">
      <c r="A296" s="1"/>
      <c r="B296" s="1"/>
      <c r="C296" s="1"/>
      <c r="D296" s="1"/>
      <c r="E296" s="1"/>
      <c r="F296" s="1"/>
      <c r="G296" s="1"/>
      <c r="H296" s="1"/>
      <c r="I296" s="1"/>
      <c r="J296" s="1"/>
      <c r="K296" s="1"/>
      <c r="L296" s="1"/>
      <c r="M296" s="1"/>
      <c r="N296" s="1"/>
      <c r="O296" s="1"/>
      <c r="P296" s="1"/>
      <c r="Q296" s="1"/>
      <c r="R296" s="1"/>
      <c r="S296" s="1"/>
      <c r="T296" s="1"/>
      <c r="U296" s="2"/>
      <c r="V296" s="1"/>
      <c r="W296" s="1"/>
      <c r="X296" s="1"/>
      <c r="Y296" s="1"/>
      <c r="Z296" s="1"/>
    </row>
    <row r="297" spans="1:26" ht="24.75" customHeight="1">
      <c r="A297" s="1"/>
      <c r="B297" s="1"/>
      <c r="C297" s="1"/>
      <c r="D297" s="1"/>
      <c r="E297" s="1"/>
      <c r="F297" s="1"/>
      <c r="G297" s="1"/>
      <c r="H297" s="1"/>
      <c r="I297" s="1"/>
      <c r="J297" s="1"/>
      <c r="K297" s="1"/>
      <c r="L297" s="1"/>
      <c r="M297" s="1"/>
      <c r="N297" s="1"/>
      <c r="O297" s="1"/>
      <c r="P297" s="1"/>
      <c r="Q297" s="1"/>
      <c r="R297" s="1"/>
      <c r="S297" s="1"/>
      <c r="T297" s="1"/>
      <c r="U297" s="2"/>
      <c r="V297" s="1"/>
      <c r="W297" s="1"/>
      <c r="X297" s="1"/>
      <c r="Y297" s="1"/>
      <c r="Z297" s="1"/>
    </row>
    <row r="298" spans="1:26" ht="24.75" customHeight="1">
      <c r="A298" s="1"/>
      <c r="B298" s="1"/>
      <c r="C298" s="1"/>
      <c r="D298" s="1"/>
      <c r="E298" s="1"/>
      <c r="F298" s="1"/>
      <c r="G298" s="1"/>
      <c r="H298" s="1"/>
      <c r="I298" s="1"/>
      <c r="J298" s="1"/>
      <c r="K298" s="1"/>
      <c r="L298" s="1"/>
      <c r="M298" s="1"/>
      <c r="N298" s="1"/>
      <c r="O298" s="1"/>
      <c r="P298" s="1"/>
      <c r="Q298" s="1"/>
      <c r="R298" s="1"/>
      <c r="S298" s="1"/>
      <c r="T298" s="1"/>
      <c r="U298" s="2"/>
      <c r="V298" s="1"/>
      <c r="W298" s="1"/>
      <c r="X298" s="1"/>
      <c r="Y298" s="1"/>
      <c r="Z298" s="1"/>
    </row>
    <row r="299" spans="1:26" ht="24.75" customHeight="1">
      <c r="A299" s="1"/>
      <c r="B299" s="1"/>
      <c r="C299" s="1"/>
      <c r="D299" s="1"/>
      <c r="E299" s="1"/>
      <c r="F299" s="1"/>
      <c r="G299" s="1"/>
      <c r="H299" s="1"/>
      <c r="I299" s="1"/>
      <c r="J299" s="1"/>
      <c r="K299" s="1"/>
      <c r="L299" s="1"/>
      <c r="M299" s="1"/>
      <c r="N299" s="1"/>
      <c r="O299" s="1"/>
      <c r="P299" s="1"/>
      <c r="Q299" s="1"/>
      <c r="R299" s="1"/>
      <c r="S299" s="1"/>
      <c r="T299" s="1"/>
      <c r="U299" s="2"/>
      <c r="V299" s="1"/>
      <c r="W299" s="1"/>
      <c r="X299" s="1"/>
      <c r="Y299" s="1"/>
      <c r="Z299" s="1"/>
    </row>
    <row r="300" spans="1:26" ht="24.75" customHeight="1">
      <c r="A300" s="1"/>
      <c r="B300" s="1"/>
      <c r="C300" s="1"/>
      <c r="D300" s="1"/>
      <c r="E300" s="1"/>
      <c r="F300" s="1"/>
      <c r="G300" s="1"/>
      <c r="H300" s="1"/>
      <c r="I300" s="1"/>
      <c r="J300" s="1"/>
      <c r="K300" s="1"/>
      <c r="L300" s="1"/>
      <c r="M300" s="1"/>
      <c r="N300" s="1"/>
      <c r="O300" s="1"/>
      <c r="P300" s="1"/>
      <c r="Q300" s="1"/>
      <c r="R300" s="1"/>
      <c r="S300" s="1"/>
      <c r="T300" s="1"/>
      <c r="U300" s="2"/>
      <c r="V300" s="1"/>
      <c r="W300" s="1"/>
      <c r="X300" s="1"/>
      <c r="Y300" s="1"/>
      <c r="Z300" s="1"/>
    </row>
    <row r="301" spans="1:26" ht="24.75" customHeight="1">
      <c r="A301" s="1"/>
      <c r="B301" s="1"/>
      <c r="C301" s="1"/>
      <c r="D301" s="1"/>
      <c r="E301" s="1"/>
      <c r="F301" s="1"/>
      <c r="G301" s="1"/>
      <c r="H301" s="1"/>
      <c r="I301" s="1"/>
      <c r="J301" s="1"/>
      <c r="K301" s="1"/>
      <c r="L301" s="1"/>
      <c r="M301" s="1"/>
      <c r="N301" s="1"/>
      <c r="O301" s="1"/>
      <c r="P301" s="1"/>
      <c r="Q301" s="1"/>
      <c r="R301" s="1"/>
      <c r="S301" s="1"/>
      <c r="T301" s="1"/>
      <c r="U301" s="2"/>
      <c r="V301" s="1"/>
      <c r="W301" s="1"/>
      <c r="X301" s="1"/>
      <c r="Y301" s="1"/>
      <c r="Z301" s="1"/>
    </row>
    <row r="302" spans="1:26" ht="24.75" customHeight="1">
      <c r="A302" s="1"/>
      <c r="B302" s="1"/>
      <c r="C302" s="1"/>
      <c r="D302" s="1"/>
      <c r="E302" s="1"/>
      <c r="F302" s="1"/>
      <c r="G302" s="1"/>
      <c r="H302" s="1"/>
      <c r="I302" s="1"/>
      <c r="J302" s="1"/>
      <c r="K302" s="1"/>
      <c r="L302" s="1"/>
      <c r="M302" s="1"/>
      <c r="N302" s="1"/>
      <c r="O302" s="1"/>
      <c r="P302" s="1"/>
      <c r="Q302" s="1"/>
      <c r="R302" s="1"/>
      <c r="S302" s="1"/>
      <c r="T302" s="1"/>
      <c r="U302" s="2"/>
      <c r="V302" s="1"/>
      <c r="W302" s="1"/>
      <c r="X302" s="1"/>
      <c r="Y302" s="1"/>
      <c r="Z302" s="1"/>
    </row>
    <row r="303" spans="1:26" ht="24.75" customHeight="1">
      <c r="A303" s="1"/>
      <c r="B303" s="1"/>
      <c r="C303" s="1"/>
      <c r="D303" s="1"/>
      <c r="E303" s="1"/>
      <c r="F303" s="1"/>
      <c r="G303" s="1"/>
      <c r="H303" s="1"/>
      <c r="I303" s="1"/>
      <c r="J303" s="1"/>
      <c r="K303" s="1"/>
      <c r="L303" s="1"/>
      <c r="M303" s="1"/>
      <c r="N303" s="1"/>
      <c r="O303" s="1"/>
      <c r="P303" s="1"/>
      <c r="Q303" s="1"/>
      <c r="R303" s="1"/>
      <c r="S303" s="1"/>
      <c r="T303" s="1"/>
      <c r="U303" s="2"/>
      <c r="V303" s="1"/>
      <c r="W303" s="1"/>
      <c r="X303" s="1"/>
      <c r="Y303" s="1"/>
      <c r="Z303" s="1"/>
    </row>
    <row r="304" spans="1:26" ht="24.75" customHeight="1">
      <c r="A304" s="1"/>
      <c r="B304" s="1"/>
      <c r="C304" s="1"/>
      <c r="D304" s="1"/>
      <c r="E304" s="1"/>
      <c r="F304" s="1"/>
      <c r="G304" s="1"/>
      <c r="H304" s="1"/>
      <c r="I304" s="1"/>
      <c r="J304" s="1"/>
      <c r="K304" s="1"/>
      <c r="L304" s="1"/>
      <c r="M304" s="1"/>
      <c r="N304" s="1"/>
      <c r="O304" s="1"/>
      <c r="P304" s="1"/>
      <c r="Q304" s="1"/>
      <c r="R304" s="1"/>
      <c r="S304" s="1"/>
      <c r="T304" s="1"/>
      <c r="U304" s="2"/>
      <c r="V304" s="1"/>
      <c r="W304" s="1"/>
      <c r="X304" s="1"/>
      <c r="Y304" s="1"/>
      <c r="Z304" s="1"/>
    </row>
    <row r="305" spans="1:26" ht="24.75" customHeight="1">
      <c r="A305" s="1"/>
      <c r="B305" s="1"/>
      <c r="C305" s="1"/>
      <c r="D305" s="1"/>
      <c r="E305" s="1"/>
      <c r="F305" s="1"/>
      <c r="G305" s="1"/>
      <c r="H305" s="1"/>
      <c r="I305" s="1"/>
      <c r="J305" s="1"/>
      <c r="K305" s="1"/>
      <c r="L305" s="1"/>
      <c r="M305" s="1"/>
      <c r="N305" s="1"/>
      <c r="O305" s="1"/>
      <c r="P305" s="1"/>
      <c r="Q305" s="1"/>
      <c r="R305" s="1"/>
      <c r="S305" s="1"/>
      <c r="T305" s="1"/>
      <c r="U305" s="2"/>
      <c r="V305" s="1"/>
      <c r="W305" s="1"/>
      <c r="X305" s="1"/>
      <c r="Y305" s="1"/>
      <c r="Z305" s="1"/>
    </row>
    <row r="306" spans="1:26" ht="24.75" customHeight="1">
      <c r="A306" s="1"/>
      <c r="B306" s="1"/>
      <c r="C306" s="1"/>
      <c r="D306" s="1"/>
      <c r="E306" s="1"/>
      <c r="F306" s="1"/>
      <c r="G306" s="1"/>
      <c r="H306" s="1"/>
      <c r="I306" s="1"/>
      <c r="J306" s="1"/>
      <c r="K306" s="1"/>
      <c r="L306" s="1"/>
      <c r="M306" s="1"/>
      <c r="N306" s="1"/>
      <c r="O306" s="1"/>
      <c r="P306" s="1"/>
      <c r="Q306" s="1"/>
      <c r="R306" s="1"/>
      <c r="S306" s="1"/>
      <c r="T306" s="1"/>
      <c r="U306" s="2"/>
      <c r="V306" s="1"/>
      <c r="W306" s="1"/>
      <c r="X306" s="1"/>
      <c r="Y306" s="1"/>
      <c r="Z306" s="1"/>
    </row>
    <row r="307" spans="1:26" ht="24.75" customHeight="1">
      <c r="A307" s="1"/>
      <c r="B307" s="1"/>
      <c r="C307" s="1"/>
      <c r="D307" s="1"/>
      <c r="E307" s="1"/>
      <c r="F307" s="1"/>
      <c r="G307" s="1"/>
      <c r="H307" s="1"/>
      <c r="I307" s="1"/>
      <c r="J307" s="1"/>
      <c r="K307" s="1"/>
      <c r="L307" s="1"/>
      <c r="M307" s="1"/>
      <c r="N307" s="1"/>
      <c r="O307" s="1"/>
      <c r="P307" s="1"/>
      <c r="Q307" s="1"/>
      <c r="R307" s="1"/>
      <c r="S307" s="1"/>
      <c r="T307" s="1"/>
      <c r="U307" s="2"/>
      <c r="V307" s="1"/>
      <c r="W307" s="1"/>
      <c r="X307" s="1"/>
      <c r="Y307" s="1"/>
      <c r="Z307" s="1"/>
    </row>
    <row r="308" spans="1:26" ht="24.75" customHeight="1">
      <c r="A308" s="1"/>
      <c r="B308" s="1"/>
      <c r="C308" s="1"/>
      <c r="D308" s="1"/>
      <c r="E308" s="1"/>
      <c r="F308" s="1"/>
      <c r="G308" s="1"/>
      <c r="H308" s="1"/>
      <c r="I308" s="1"/>
      <c r="J308" s="1"/>
      <c r="K308" s="1"/>
      <c r="L308" s="1"/>
      <c r="M308" s="1"/>
      <c r="N308" s="1"/>
      <c r="O308" s="1"/>
      <c r="P308" s="1"/>
      <c r="Q308" s="1"/>
      <c r="R308" s="1"/>
      <c r="S308" s="1"/>
      <c r="T308" s="1"/>
      <c r="U308" s="2"/>
      <c r="V308" s="1"/>
      <c r="W308" s="1"/>
      <c r="X308" s="1"/>
      <c r="Y308" s="1"/>
      <c r="Z308" s="1"/>
    </row>
    <row r="309" spans="1:26" ht="24.75" customHeight="1">
      <c r="A309" s="1"/>
      <c r="B309" s="1"/>
      <c r="C309" s="1"/>
      <c r="D309" s="1"/>
      <c r="E309" s="1"/>
      <c r="F309" s="1"/>
      <c r="G309" s="1"/>
      <c r="H309" s="1"/>
      <c r="I309" s="1"/>
      <c r="J309" s="1"/>
      <c r="K309" s="1"/>
      <c r="L309" s="1"/>
      <c r="M309" s="1"/>
      <c r="N309" s="1"/>
      <c r="O309" s="1"/>
      <c r="P309" s="1"/>
      <c r="Q309" s="1"/>
      <c r="R309" s="1"/>
      <c r="S309" s="1"/>
      <c r="T309" s="1"/>
      <c r="U309" s="2"/>
      <c r="V309" s="1"/>
      <c r="W309" s="1"/>
      <c r="X309" s="1"/>
      <c r="Y309" s="1"/>
      <c r="Z309" s="1"/>
    </row>
    <row r="310" spans="1:26" ht="24.75" customHeight="1">
      <c r="A310" s="1"/>
      <c r="B310" s="1"/>
      <c r="C310" s="1"/>
      <c r="D310" s="1"/>
      <c r="E310" s="1"/>
      <c r="F310" s="1"/>
      <c r="G310" s="1"/>
      <c r="H310" s="1"/>
      <c r="I310" s="1"/>
      <c r="J310" s="1"/>
      <c r="K310" s="1"/>
      <c r="L310" s="1"/>
      <c r="M310" s="1"/>
      <c r="N310" s="1"/>
      <c r="O310" s="1"/>
      <c r="P310" s="1"/>
      <c r="Q310" s="1"/>
      <c r="R310" s="1"/>
      <c r="S310" s="1"/>
      <c r="T310" s="1"/>
      <c r="U310" s="2"/>
      <c r="V310" s="1"/>
      <c r="W310" s="1"/>
      <c r="X310" s="1"/>
      <c r="Y310" s="1"/>
      <c r="Z310" s="1"/>
    </row>
    <row r="311" spans="1:26" ht="24.75" customHeight="1">
      <c r="A311" s="1"/>
      <c r="B311" s="1"/>
      <c r="C311" s="1"/>
      <c r="D311" s="1"/>
      <c r="E311" s="1"/>
      <c r="F311" s="1"/>
      <c r="G311" s="1"/>
      <c r="H311" s="1"/>
      <c r="I311" s="1"/>
      <c r="J311" s="1"/>
      <c r="K311" s="1"/>
      <c r="L311" s="1"/>
      <c r="M311" s="1"/>
      <c r="N311" s="1"/>
      <c r="O311" s="1"/>
      <c r="P311" s="1"/>
      <c r="Q311" s="1"/>
      <c r="R311" s="1"/>
      <c r="S311" s="1"/>
      <c r="T311" s="1"/>
      <c r="U311" s="2"/>
      <c r="V311" s="1"/>
      <c r="W311" s="1"/>
      <c r="X311" s="1"/>
      <c r="Y311" s="1"/>
      <c r="Z311" s="1"/>
    </row>
    <row r="312" spans="1:26" ht="24.75" customHeight="1">
      <c r="A312" s="1"/>
      <c r="B312" s="1"/>
      <c r="C312" s="1"/>
      <c r="D312" s="1"/>
      <c r="E312" s="1"/>
      <c r="F312" s="1"/>
      <c r="G312" s="1"/>
      <c r="H312" s="1"/>
      <c r="I312" s="1"/>
      <c r="J312" s="1"/>
      <c r="K312" s="1"/>
      <c r="L312" s="1"/>
      <c r="M312" s="1"/>
      <c r="N312" s="1"/>
      <c r="O312" s="1"/>
      <c r="P312" s="1"/>
      <c r="Q312" s="1"/>
      <c r="R312" s="1"/>
      <c r="S312" s="1"/>
      <c r="T312" s="1"/>
      <c r="U312" s="2"/>
      <c r="V312" s="1"/>
      <c r="W312" s="1"/>
      <c r="X312" s="1"/>
      <c r="Y312" s="1"/>
      <c r="Z312" s="1"/>
    </row>
    <row r="313" spans="1:26" ht="24.75" customHeight="1">
      <c r="A313" s="1"/>
      <c r="B313" s="1"/>
      <c r="C313" s="1"/>
      <c r="D313" s="1"/>
      <c r="E313" s="1"/>
      <c r="F313" s="1"/>
      <c r="G313" s="1"/>
      <c r="H313" s="1"/>
      <c r="I313" s="1"/>
      <c r="J313" s="1"/>
      <c r="K313" s="1"/>
      <c r="L313" s="1"/>
      <c r="M313" s="1"/>
      <c r="N313" s="1"/>
      <c r="O313" s="1"/>
      <c r="P313" s="1"/>
      <c r="Q313" s="1"/>
      <c r="R313" s="1"/>
      <c r="S313" s="1"/>
      <c r="T313" s="1"/>
      <c r="U313" s="2"/>
      <c r="V313" s="1"/>
      <c r="W313" s="1"/>
      <c r="X313" s="1"/>
      <c r="Y313" s="1"/>
      <c r="Z313" s="1"/>
    </row>
    <row r="314" spans="1:26" ht="24.75" customHeight="1">
      <c r="A314" s="1"/>
      <c r="B314" s="1"/>
      <c r="C314" s="1"/>
      <c r="D314" s="1"/>
      <c r="E314" s="1"/>
      <c r="F314" s="1"/>
      <c r="G314" s="1"/>
      <c r="H314" s="1"/>
      <c r="I314" s="1"/>
      <c r="J314" s="1"/>
      <c r="K314" s="1"/>
      <c r="L314" s="1"/>
      <c r="M314" s="1"/>
      <c r="N314" s="1"/>
      <c r="O314" s="1"/>
      <c r="P314" s="1"/>
      <c r="Q314" s="1"/>
      <c r="R314" s="1"/>
      <c r="S314" s="1"/>
      <c r="T314" s="1"/>
      <c r="U314" s="2"/>
      <c r="V314" s="1"/>
      <c r="W314" s="1"/>
      <c r="X314" s="1"/>
      <c r="Y314" s="1"/>
      <c r="Z314" s="1"/>
    </row>
    <row r="315" spans="1:26" ht="24.75" customHeight="1">
      <c r="A315" s="1"/>
      <c r="B315" s="1"/>
      <c r="C315" s="1"/>
      <c r="D315" s="1"/>
      <c r="E315" s="1"/>
      <c r="F315" s="1"/>
      <c r="G315" s="1"/>
      <c r="H315" s="1"/>
      <c r="I315" s="1"/>
      <c r="J315" s="1"/>
      <c r="K315" s="1"/>
      <c r="L315" s="1"/>
      <c r="M315" s="1"/>
      <c r="N315" s="1"/>
      <c r="O315" s="1"/>
      <c r="P315" s="1"/>
      <c r="Q315" s="1"/>
      <c r="R315" s="1"/>
      <c r="S315" s="1"/>
      <c r="T315" s="1"/>
      <c r="U315" s="2"/>
      <c r="V315" s="1"/>
      <c r="W315" s="1"/>
      <c r="X315" s="1"/>
      <c r="Y315" s="1"/>
      <c r="Z315" s="1"/>
    </row>
    <row r="316" spans="1:26" ht="24.75" customHeight="1">
      <c r="A316" s="1"/>
      <c r="B316" s="1"/>
      <c r="C316" s="1"/>
      <c r="D316" s="1"/>
      <c r="E316" s="1"/>
      <c r="F316" s="1"/>
      <c r="G316" s="1"/>
      <c r="H316" s="1"/>
      <c r="I316" s="1"/>
      <c r="J316" s="1"/>
      <c r="K316" s="1"/>
      <c r="L316" s="1"/>
      <c r="M316" s="1"/>
      <c r="N316" s="1"/>
      <c r="O316" s="1"/>
      <c r="P316" s="1"/>
      <c r="Q316" s="1"/>
      <c r="R316" s="1"/>
      <c r="S316" s="1"/>
      <c r="T316" s="1"/>
      <c r="U316" s="2"/>
      <c r="V316" s="1"/>
      <c r="W316" s="1"/>
      <c r="X316" s="1"/>
      <c r="Y316" s="1"/>
      <c r="Z316" s="1"/>
    </row>
    <row r="317" spans="1:26" ht="24.75" customHeight="1">
      <c r="A317" s="1"/>
      <c r="B317" s="1"/>
      <c r="C317" s="1"/>
      <c r="D317" s="1"/>
      <c r="E317" s="1"/>
      <c r="F317" s="1"/>
      <c r="G317" s="1"/>
      <c r="H317" s="1"/>
      <c r="I317" s="1"/>
      <c r="J317" s="1"/>
      <c r="K317" s="1"/>
      <c r="L317" s="1"/>
      <c r="M317" s="1"/>
      <c r="N317" s="1"/>
      <c r="O317" s="1"/>
      <c r="P317" s="1"/>
      <c r="Q317" s="1"/>
      <c r="R317" s="1"/>
      <c r="S317" s="1"/>
      <c r="T317" s="1"/>
      <c r="U317" s="2"/>
      <c r="V317" s="1"/>
      <c r="W317" s="1"/>
      <c r="X317" s="1"/>
      <c r="Y317" s="1"/>
      <c r="Z317" s="1"/>
    </row>
    <row r="318" spans="1:26" ht="24.75" customHeight="1">
      <c r="A318" s="1"/>
      <c r="B318" s="1"/>
      <c r="C318" s="1"/>
      <c r="D318" s="1"/>
      <c r="E318" s="1"/>
      <c r="F318" s="1"/>
      <c r="G318" s="1"/>
      <c r="H318" s="1"/>
      <c r="I318" s="1"/>
      <c r="J318" s="1"/>
      <c r="K318" s="1"/>
      <c r="L318" s="1"/>
      <c r="M318" s="1"/>
      <c r="N318" s="1"/>
      <c r="O318" s="1"/>
      <c r="P318" s="1"/>
      <c r="Q318" s="1"/>
      <c r="R318" s="1"/>
      <c r="S318" s="1"/>
      <c r="T318" s="1"/>
      <c r="U318" s="2"/>
      <c r="V318" s="1"/>
      <c r="W318" s="1"/>
      <c r="X318" s="1"/>
      <c r="Y318" s="1"/>
      <c r="Z318" s="1"/>
    </row>
    <row r="319" spans="1:26" ht="24.75" customHeight="1">
      <c r="A319" s="1"/>
      <c r="B319" s="1"/>
      <c r="C319" s="1"/>
      <c r="D319" s="1"/>
      <c r="E319" s="1"/>
      <c r="F319" s="1"/>
      <c r="G319" s="1"/>
      <c r="H319" s="1"/>
      <c r="I319" s="1"/>
      <c r="J319" s="1"/>
      <c r="K319" s="1"/>
      <c r="L319" s="1"/>
      <c r="M319" s="1"/>
      <c r="N319" s="1"/>
      <c r="O319" s="1"/>
      <c r="P319" s="1"/>
      <c r="Q319" s="1"/>
      <c r="R319" s="1"/>
      <c r="S319" s="1"/>
      <c r="T319" s="1"/>
      <c r="U319" s="2"/>
      <c r="V319" s="1"/>
      <c r="W319" s="1"/>
      <c r="X319" s="1"/>
      <c r="Y319" s="1"/>
      <c r="Z319" s="1"/>
    </row>
    <row r="320" spans="1:26" ht="24.75" customHeight="1">
      <c r="A320" s="1"/>
      <c r="B320" s="1"/>
      <c r="C320" s="1"/>
      <c r="D320" s="1"/>
      <c r="E320" s="1"/>
      <c r="F320" s="1"/>
      <c r="G320" s="1"/>
      <c r="H320" s="1"/>
      <c r="I320" s="1"/>
      <c r="J320" s="1"/>
      <c r="K320" s="1"/>
      <c r="L320" s="1"/>
      <c r="M320" s="1"/>
      <c r="N320" s="1"/>
      <c r="O320" s="1"/>
      <c r="P320" s="1"/>
      <c r="Q320" s="1"/>
      <c r="R320" s="1"/>
      <c r="S320" s="1"/>
      <c r="T320" s="1"/>
      <c r="U320" s="2"/>
      <c r="V320" s="1"/>
      <c r="W320" s="1"/>
      <c r="X320" s="1"/>
      <c r="Y320" s="1"/>
      <c r="Z320" s="1"/>
    </row>
    <row r="321" spans="1:26" ht="24.75" customHeight="1">
      <c r="A321" s="1"/>
      <c r="B321" s="1"/>
      <c r="C321" s="1"/>
      <c r="D321" s="1"/>
      <c r="E321" s="1"/>
      <c r="F321" s="1"/>
      <c r="G321" s="1"/>
      <c r="H321" s="1"/>
      <c r="I321" s="1"/>
      <c r="J321" s="1"/>
      <c r="K321" s="1"/>
      <c r="L321" s="1"/>
      <c r="M321" s="1"/>
      <c r="N321" s="1"/>
      <c r="O321" s="1"/>
      <c r="P321" s="1"/>
      <c r="Q321" s="1"/>
      <c r="R321" s="1"/>
      <c r="S321" s="1"/>
      <c r="T321" s="1"/>
      <c r="U321" s="2"/>
      <c r="V321" s="1"/>
      <c r="W321" s="1"/>
      <c r="X321" s="1"/>
      <c r="Y321" s="1"/>
      <c r="Z321" s="1"/>
    </row>
    <row r="322" spans="1:26" ht="24.75" customHeight="1">
      <c r="A322" s="1"/>
      <c r="B322" s="1"/>
      <c r="C322" s="1"/>
      <c r="D322" s="1"/>
      <c r="E322" s="1"/>
      <c r="F322" s="1"/>
      <c r="G322" s="1"/>
      <c r="H322" s="1"/>
      <c r="I322" s="1"/>
      <c r="J322" s="1"/>
      <c r="K322" s="1"/>
      <c r="L322" s="1"/>
      <c r="M322" s="1"/>
      <c r="N322" s="1"/>
      <c r="O322" s="1"/>
      <c r="P322" s="1"/>
      <c r="Q322" s="1"/>
      <c r="R322" s="1"/>
      <c r="S322" s="1"/>
      <c r="T322" s="1"/>
      <c r="U322" s="2"/>
      <c r="V322" s="1"/>
      <c r="W322" s="1"/>
      <c r="X322" s="1"/>
      <c r="Y322" s="1"/>
      <c r="Z322" s="1"/>
    </row>
    <row r="323" spans="1:26" ht="24.75" customHeight="1">
      <c r="A323" s="1"/>
      <c r="B323" s="1"/>
      <c r="C323" s="1"/>
      <c r="D323" s="1"/>
      <c r="E323" s="1"/>
      <c r="F323" s="1"/>
      <c r="G323" s="1"/>
      <c r="H323" s="1"/>
      <c r="I323" s="1"/>
      <c r="J323" s="1"/>
      <c r="K323" s="1"/>
      <c r="L323" s="1"/>
      <c r="M323" s="1"/>
      <c r="N323" s="1"/>
      <c r="O323" s="1"/>
      <c r="P323" s="1"/>
      <c r="Q323" s="1"/>
      <c r="R323" s="1"/>
      <c r="S323" s="1"/>
      <c r="T323" s="1"/>
      <c r="U323" s="2"/>
      <c r="V323" s="1"/>
      <c r="W323" s="1"/>
      <c r="X323" s="1"/>
      <c r="Y323" s="1"/>
      <c r="Z323" s="1"/>
    </row>
    <row r="324" spans="1:26" ht="24.75" customHeight="1">
      <c r="A324" s="1"/>
      <c r="B324" s="1"/>
      <c r="C324" s="1"/>
      <c r="D324" s="1"/>
      <c r="E324" s="1"/>
      <c r="F324" s="1"/>
      <c r="G324" s="1"/>
      <c r="H324" s="1"/>
      <c r="I324" s="1"/>
      <c r="J324" s="1"/>
      <c r="K324" s="1"/>
      <c r="L324" s="1"/>
      <c r="M324" s="1"/>
      <c r="N324" s="1"/>
      <c r="O324" s="1"/>
      <c r="P324" s="1"/>
      <c r="Q324" s="1"/>
      <c r="R324" s="1"/>
      <c r="S324" s="1"/>
      <c r="T324" s="1"/>
      <c r="U324" s="2"/>
      <c r="V324" s="1"/>
      <c r="W324" s="1"/>
      <c r="X324" s="1"/>
      <c r="Y324" s="1"/>
      <c r="Z324" s="1"/>
    </row>
    <row r="325" spans="1:26" ht="24.75" customHeight="1">
      <c r="A325" s="1"/>
      <c r="B325" s="1"/>
      <c r="C325" s="1"/>
      <c r="D325" s="1"/>
      <c r="E325" s="1"/>
      <c r="F325" s="1"/>
      <c r="G325" s="1"/>
      <c r="H325" s="1"/>
      <c r="I325" s="1"/>
      <c r="J325" s="1"/>
      <c r="K325" s="1"/>
      <c r="L325" s="1"/>
      <c r="M325" s="1"/>
      <c r="N325" s="1"/>
      <c r="O325" s="1"/>
      <c r="P325" s="1"/>
      <c r="Q325" s="1"/>
      <c r="R325" s="1"/>
      <c r="S325" s="1"/>
      <c r="T325" s="1"/>
      <c r="U325" s="2"/>
      <c r="V325" s="1"/>
      <c r="W325" s="1"/>
      <c r="X325" s="1"/>
      <c r="Y325" s="1"/>
      <c r="Z325" s="1"/>
    </row>
    <row r="326" spans="1:26" ht="24.75" customHeight="1">
      <c r="A326" s="1"/>
      <c r="B326" s="1"/>
      <c r="C326" s="1"/>
      <c r="D326" s="1"/>
      <c r="E326" s="1"/>
      <c r="F326" s="1"/>
      <c r="G326" s="1"/>
      <c r="H326" s="1"/>
      <c r="I326" s="1"/>
      <c r="J326" s="1"/>
      <c r="K326" s="1"/>
      <c r="L326" s="1"/>
      <c r="M326" s="1"/>
      <c r="N326" s="1"/>
      <c r="O326" s="1"/>
      <c r="P326" s="1"/>
      <c r="Q326" s="1"/>
      <c r="R326" s="1"/>
      <c r="S326" s="1"/>
      <c r="T326" s="1"/>
      <c r="U326" s="2"/>
      <c r="V326" s="1"/>
      <c r="W326" s="1"/>
      <c r="X326" s="1"/>
      <c r="Y326" s="1"/>
      <c r="Z326" s="1"/>
    </row>
    <row r="327" spans="1:26" ht="24.75" customHeight="1">
      <c r="A327" s="1"/>
      <c r="B327" s="1"/>
      <c r="C327" s="1"/>
      <c r="D327" s="1"/>
      <c r="E327" s="1"/>
      <c r="F327" s="1"/>
      <c r="G327" s="1"/>
      <c r="H327" s="1"/>
      <c r="I327" s="1"/>
      <c r="J327" s="1"/>
      <c r="K327" s="1"/>
      <c r="L327" s="1"/>
      <c r="M327" s="1"/>
      <c r="N327" s="1"/>
      <c r="O327" s="1"/>
      <c r="P327" s="1"/>
      <c r="Q327" s="1"/>
      <c r="R327" s="1"/>
      <c r="S327" s="1"/>
      <c r="T327" s="1"/>
      <c r="U327" s="2"/>
      <c r="V327" s="1"/>
      <c r="W327" s="1"/>
      <c r="X327" s="1"/>
      <c r="Y327" s="1"/>
      <c r="Z327" s="1"/>
    </row>
    <row r="328" spans="1:26" ht="24.75" customHeight="1">
      <c r="A328" s="1"/>
      <c r="B328" s="1"/>
      <c r="C328" s="1"/>
      <c r="D328" s="1"/>
      <c r="E328" s="1"/>
      <c r="F328" s="1"/>
      <c r="G328" s="1"/>
      <c r="H328" s="1"/>
      <c r="I328" s="1"/>
      <c r="J328" s="1"/>
      <c r="K328" s="1"/>
      <c r="L328" s="1"/>
      <c r="M328" s="1"/>
      <c r="N328" s="1"/>
      <c r="O328" s="1"/>
      <c r="P328" s="1"/>
      <c r="Q328" s="1"/>
      <c r="R328" s="1"/>
      <c r="S328" s="1"/>
      <c r="T328" s="1"/>
      <c r="U328" s="2"/>
      <c r="V328" s="1"/>
      <c r="W328" s="1"/>
      <c r="X328" s="1"/>
      <c r="Y328" s="1"/>
      <c r="Z328" s="1"/>
    </row>
    <row r="329" spans="1:26" ht="24.75" customHeight="1">
      <c r="A329" s="1"/>
      <c r="B329" s="1"/>
      <c r="C329" s="1"/>
      <c r="D329" s="1"/>
      <c r="E329" s="1"/>
      <c r="F329" s="1"/>
      <c r="G329" s="1"/>
      <c r="H329" s="1"/>
      <c r="I329" s="1"/>
      <c r="J329" s="1"/>
      <c r="K329" s="1"/>
      <c r="L329" s="1"/>
      <c r="M329" s="1"/>
      <c r="N329" s="1"/>
      <c r="O329" s="1"/>
      <c r="P329" s="1"/>
      <c r="Q329" s="1"/>
      <c r="R329" s="1"/>
      <c r="S329" s="1"/>
      <c r="T329" s="1"/>
      <c r="U329" s="2"/>
      <c r="V329" s="1"/>
      <c r="W329" s="1"/>
      <c r="X329" s="1"/>
      <c r="Y329" s="1"/>
      <c r="Z329" s="1"/>
    </row>
    <row r="330" spans="1:26" ht="24.75" customHeight="1">
      <c r="A330" s="1"/>
      <c r="B330" s="1"/>
      <c r="C330" s="1"/>
      <c r="D330" s="1"/>
      <c r="E330" s="1"/>
      <c r="F330" s="1"/>
      <c r="G330" s="1"/>
      <c r="H330" s="1"/>
      <c r="I330" s="1"/>
      <c r="J330" s="1"/>
      <c r="K330" s="1"/>
      <c r="L330" s="1"/>
      <c r="M330" s="1"/>
      <c r="N330" s="1"/>
      <c r="O330" s="1"/>
      <c r="P330" s="1"/>
      <c r="Q330" s="1"/>
      <c r="R330" s="1"/>
      <c r="S330" s="1"/>
      <c r="T330" s="1"/>
      <c r="U330" s="2"/>
      <c r="V330" s="1"/>
      <c r="W330" s="1"/>
      <c r="X330" s="1"/>
      <c r="Y330" s="1"/>
      <c r="Z330" s="1"/>
    </row>
    <row r="331" spans="1:26" ht="24.75" customHeight="1">
      <c r="A331" s="1"/>
      <c r="B331" s="1"/>
      <c r="C331" s="1"/>
      <c r="D331" s="1"/>
      <c r="E331" s="1"/>
      <c r="F331" s="1"/>
      <c r="G331" s="1"/>
      <c r="H331" s="1"/>
      <c r="I331" s="1"/>
      <c r="J331" s="1"/>
      <c r="K331" s="1"/>
      <c r="L331" s="1"/>
      <c r="M331" s="1"/>
      <c r="N331" s="1"/>
      <c r="O331" s="1"/>
      <c r="P331" s="1"/>
      <c r="Q331" s="1"/>
      <c r="R331" s="1"/>
      <c r="S331" s="1"/>
      <c r="T331" s="1"/>
      <c r="U331" s="2"/>
      <c r="V331" s="1"/>
      <c r="W331" s="1"/>
      <c r="X331" s="1"/>
      <c r="Y331" s="1"/>
      <c r="Z331" s="1"/>
    </row>
    <row r="332" spans="1:26" ht="24.75" customHeight="1">
      <c r="A332" s="1"/>
      <c r="B332" s="1"/>
      <c r="C332" s="1"/>
      <c r="D332" s="1"/>
      <c r="E332" s="1"/>
      <c r="F332" s="1"/>
      <c r="G332" s="1"/>
      <c r="H332" s="1"/>
      <c r="I332" s="1"/>
      <c r="J332" s="1"/>
      <c r="K332" s="1"/>
      <c r="L332" s="1"/>
      <c r="M332" s="1"/>
      <c r="N332" s="1"/>
      <c r="O332" s="1"/>
      <c r="P332" s="1"/>
      <c r="Q332" s="1"/>
      <c r="R332" s="1"/>
      <c r="S332" s="1"/>
      <c r="T332" s="1"/>
      <c r="U332" s="2"/>
      <c r="V332" s="1"/>
      <c r="W332" s="1"/>
      <c r="X332" s="1"/>
      <c r="Y332" s="1"/>
      <c r="Z332" s="1"/>
    </row>
    <row r="333" spans="1:26" ht="24.75" customHeight="1">
      <c r="A333" s="1"/>
      <c r="B333" s="1"/>
      <c r="C333" s="1"/>
      <c r="D333" s="1"/>
      <c r="E333" s="1"/>
      <c r="F333" s="1"/>
      <c r="G333" s="1"/>
      <c r="H333" s="1"/>
      <c r="I333" s="1"/>
      <c r="J333" s="1"/>
      <c r="K333" s="1"/>
      <c r="L333" s="1"/>
      <c r="M333" s="1"/>
      <c r="N333" s="1"/>
      <c r="O333" s="1"/>
      <c r="P333" s="1"/>
      <c r="Q333" s="1"/>
      <c r="R333" s="1"/>
      <c r="S333" s="1"/>
      <c r="T333" s="1"/>
      <c r="U333" s="2"/>
      <c r="V333" s="1"/>
      <c r="W333" s="1"/>
      <c r="X333" s="1"/>
      <c r="Y333" s="1"/>
      <c r="Z333" s="1"/>
    </row>
    <row r="334" spans="1:26" ht="24.75" customHeight="1">
      <c r="A334" s="1"/>
      <c r="B334" s="1"/>
      <c r="C334" s="1"/>
      <c r="D334" s="1"/>
      <c r="E334" s="1"/>
      <c r="F334" s="1"/>
      <c r="G334" s="1"/>
      <c r="H334" s="1"/>
      <c r="I334" s="1"/>
      <c r="J334" s="1"/>
      <c r="K334" s="1"/>
      <c r="L334" s="1"/>
      <c r="M334" s="1"/>
      <c r="N334" s="1"/>
      <c r="O334" s="1"/>
      <c r="P334" s="1"/>
      <c r="Q334" s="1"/>
      <c r="R334" s="1"/>
      <c r="S334" s="1"/>
      <c r="T334" s="1"/>
      <c r="U334" s="2"/>
      <c r="V334" s="1"/>
      <c r="W334" s="1"/>
      <c r="X334" s="1"/>
      <c r="Y334" s="1"/>
      <c r="Z334" s="1"/>
    </row>
    <row r="335" spans="1:26" ht="24.75" customHeight="1">
      <c r="A335" s="1"/>
      <c r="B335" s="1"/>
      <c r="C335" s="1"/>
      <c r="D335" s="1"/>
      <c r="E335" s="1"/>
      <c r="F335" s="1"/>
      <c r="G335" s="1"/>
      <c r="H335" s="1"/>
      <c r="I335" s="1"/>
      <c r="J335" s="1"/>
      <c r="K335" s="1"/>
      <c r="L335" s="1"/>
      <c r="M335" s="1"/>
      <c r="N335" s="1"/>
      <c r="O335" s="1"/>
      <c r="P335" s="1"/>
      <c r="Q335" s="1"/>
      <c r="R335" s="1"/>
      <c r="S335" s="1"/>
      <c r="T335" s="1"/>
      <c r="U335" s="2"/>
      <c r="V335" s="1"/>
      <c r="W335" s="1"/>
      <c r="X335" s="1"/>
      <c r="Y335" s="1"/>
      <c r="Z335" s="1"/>
    </row>
    <row r="336" spans="1:26" ht="24.75" customHeight="1">
      <c r="A336" s="1"/>
      <c r="B336" s="1"/>
      <c r="C336" s="1"/>
      <c r="D336" s="1"/>
      <c r="E336" s="1"/>
      <c r="F336" s="1"/>
      <c r="G336" s="1"/>
      <c r="H336" s="1"/>
      <c r="I336" s="1"/>
      <c r="J336" s="1"/>
      <c r="K336" s="1"/>
      <c r="L336" s="1"/>
      <c r="M336" s="1"/>
      <c r="N336" s="1"/>
      <c r="O336" s="1"/>
      <c r="P336" s="1"/>
      <c r="Q336" s="1"/>
      <c r="R336" s="1"/>
      <c r="S336" s="1"/>
      <c r="T336" s="1"/>
      <c r="U336" s="2"/>
      <c r="V336" s="1"/>
      <c r="W336" s="1"/>
      <c r="X336" s="1"/>
      <c r="Y336" s="1"/>
      <c r="Z336" s="1"/>
    </row>
    <row r="337" spans="1:26" ht="24.75" customHeight="1">
      <c r="A337" s="1"/>
      <c r="B337" s="1"/>
      <c r="C337" s="1"/>
      <c r="D337" s="1"/>
      <c r="E337" s="1"/>
      <c r="F337" s="1"/>
      <c r="G337" s="1"/>
      <c r="H337" s="1"/>
      <c r="I337" s="1"/>
      <c r="J337" s="1"/>
      <c r="K337" s="1"/>
      <c r="L337" s="1"/>
      <c r="M337" s="1"/>
      <c r="N337" s="1"/>
      <c r="O337" s="1"/>
      <c r="P337" s="1"/>
      <c r="Q337" s="1"/>
      <c r="R337" s="1"/>
      <c r="S337" s="1"/>
      <c r="T337" s="1"/>
      <c r="U337" s="2"/>
      <c r="V337" s="1"/>
      <c r="W337" s="1"/>
      <c r="X337" s="1"/>
      <c r="Y337" s="1"/>
      <c r="Z337" s="1"/>
    </row>
    <row r="338" spans="1:26" ht="24.75" customHeight="1">
      <c r="A338" s="1"/>
      <c r="B338" s="1"/>
      <c r="C338" s="1"/>
      <c r="D338" s="1"/>
      <c r="E338" s="1"/>
      <c r="F338" s="1"/>
      <c r="G338" s="1"/>
      <c r="H338" s="1"/>
      <c r="I338" s="1"/>
      <c r="J338" s="1"/>
      <c r="K338" s="1"/>
      <c r="L338" s="1"/>
      <c r="M338" s="1"/>
      <c r="N338" s="1"/>
      <c r="O338" s="1"/>
      <c r="P338" s="1"/>
      <c r="Q338" s="1"/>
      <c r="R338" s="1"/>
      <c r="S338" s="1"/>
      <c r="T338" s="1"/>
      <c r="U338" s="2"/>
      <c r="V338" s="1"/>
      <c r="W338" s="1"/>
      <c r="X338" s="1"/>
      <c r="Y338" s="1"/>
      <c r="Z338" s="1"/>
    </row>
    <row r="339" spans="1:26" ht="24.75" customHeight="1">
      <c r="A339" s="1"/>
      <c r="B339" s="1"/>
      <c r="C339" s="1"/>
      <c r="D339" s="1"/>
      <c r="E339" s="1"/>
      <c r="F339" s="1"/>
      <c r="G339" s="1"/>
      <c r="H339" s="1"/>
      <c r="I339" s="1"/>
      <c r="J339" s="1"/>
      <c r="K339" s="1"/>
      <c r="L339" s="1"/>
      <c r="M339" s="1"/>
      <c r="N339" s="1"/>
      <c r="O339" s="1"/>
      <c r="P339" s="1"/>
      <c r="Q339" s="1"/>
      <c r="R339" s="1"/>
      <c r="S339" s="1"/>
      <c r="T339" s="1"/>
      <c r="U339" s="2"/>
      <c r="V339" s="1"/>
      <c r="W339" s="1"/>
      <c r="X339" s="1"/>
      <c r="Y339" s="1"/>
      <c r="Z339" s="1"/>
    </row>
    <row r="340" spans="1:26" ht="24.75" customHeight="1">
      <c r="A340" s="1"/>
      <c r="B340" s="1"/>
      <c r="C340" s="1"/>
      <c r="D340" s="1"/>
      <c r="E340" s="1"/>
      <c r="F340" s="1"/>
      <c r="G340" s="1"/>
      <c r="H340" s="1"/>
      <c r="I340" s="1"/>
      <c r="J340" s="1"/>
      <c r="K340" s="1"/>
      <c r="L340" s="1"/>
      <c r="M340" s="1"/>
      <c r="N340" s="1"/>
      <c r="O340" s="1"/>
      <c r="P340" s="1"/>
      <c r="Q340" s="1"/>
      <c r="R340" s="1"/>
      <c r="S340" s="1"/>
      <c r="T340" s="1"/>
      <c r="U340" s="2"/>
      <c r="V340" s="1"/>
      <c r="W340" s="1"/>
      <c r="X340" s="1"/>
      <c r="Y340" s="1"/>
      <c r="Z340" s="1"/>
    </row>
    <row r="341" spans="1:26" ht="24.75" customHeight="1">
      <c r="A341" s="1"/>
      <c r="B341" s="1"/>
      <c r="C341" s="1"/>
      <c r="D341" s="1"/>
      <c r="E341" s="1"/>
      <c r="F341" s="1"/>
      <c r="G341" s="1"/>
      <c r="H341" s="1"/>
      <c r="I341" s="1"/>
      <c r="J341" s="1"/>
      <c r="K341" s="1"/>
      <c r="L341" s="1"/>
      <c r="M341" s="1"/>
      <c r="N341" s="1"/>
      <c r="O341" s="1"/>
      <c r="P341" s="1"/>
      <c r="Q341" s="1"/>
      <c r="R341" s="1"/>
      <c r="S341" s="1"/>
      <c r="T341" s="1"/>
      <c r="U341" s="2"/>
      <c r="V341" s="1"/>
      <c r="W341" s="1"/>
      <c r="X341" s="1"/>
      <c r="Y341" s="1"/>
      <c r="Z341" s="1"/>
    </row>
    <row r="342" spans="1:26" ht="24.75" customHeight="1">
      <c r="A342" s="1"/>
      <c r="B342" s="1"/>
      <c r="C342" s="1"/>
      <c r="D342" s="1"/>
      <c r="E342" s="1"/>
      <c r="F342" s="1"/>
      <c r="G342" s="1"/>
      <c r="H342" s="1"/>
      <c r="I342" s="1"/>
      <c r="J342" s="1"/>
      <c r="K342" s="1"/>
      <c r="L342" s="1"/>
      <c r="M342" s="1"/>
      <c r="N342" s="1"/>
      <c r="O342" s="1"/>
      <c r="P342" s="1"/>
      <c r="Q342" s="1"/>
      <c r="R342" s="1"/>
      <c r="S342" s="1"/>
      <c r="T342" s="1"/>
      <c r="U342" s="2"/>
      <c r="V342" s="1"/>
      <c r="W342" s="1"/>
      <c r="X342" s="1"/>
      <c r="Y342" s="1"/>
      <c r="Z342" s="1"/>
    </row>
    <row r="343" spans="1:26" ht="24.75" customHeight="1">
      <c r="A343" s="1"/>
      <c r="B343" s="1"/>
      <c r="C343" s="1"/>
      <c r="D343" s="1"/>
      <c r="E343" s="1"/>
      <c r="F343" s="1"/>
      <c r="G343" s="1"/>
      <c r="H343" s="1"/>
      <c r="I343" s="1"/>
      <c r="J343" s="1"/>
      <c r="K343" s="1"/>
      <c r="L343" s="1"/>
      <c r="M343" s="1"/>
      <c r="N343" s="1"/>
      <c r="O343" s="1"/>
      <c r="P343" s="1"/>
      <c r="Q343" s="1"/>
      <c r="R343" s="1"/>
      <c r="S343" s="1"/>
      <c r="T343" s="1"/>
      <c r="U343" s="2"/>
      <c r="V343" s="1"/>
      <c r="W343" s="1"/>
      <c r="X343" s="1"/>
      <c r="Y343" s="1"/>
      <c r="Z343" s="1"/>
    </row>
    <row r="344" spans="1:26" ht="24.75" customHeight="1">
      <c r="A344" s="1"/>
      <c r="B344" s="1"/>
      <c r="C344" s="1"/>
      <c r="D344" s="1"/>
      <c r="E344" s="1"/>
      <c r="F344" s="1"/>
      <c r="G344" s="1"/>
      <c r="H344" s="1"/>
      <c r="I344" s="1"/>
      <c r="J344" s="1"/>
      <c r="K344" s="1"/>
      <c r="L344" s="1"/>
      <c r="M344" s="1"/>
      <c r="N344" s="1"/>
      <c r="O344" s="1"/>
      <c r="P344" s="1"/>
      <c r="Q344" s="1"/>
      <c r="R344" s="1"/>
      <c r="S344" s="1"/>
      <c r="T344" s="1"/>
      <c r="U344" s="2"/>
      <c r="V344" s="1"/>
      <c r="W344" s="1"/>
      <c r="X344" s="1"/>
      <c r="Y344" s="1"/>
      <c r="Z344" s="1"/>
    </row>
    <row r="345" spans="1:26" ht="24.75" customHeight="1">
      <c r="A345" s="1"/>
      <c r="B345" s="1"/>
      <c r="C345" s="1"/>
      <c r="D345" s="1"/>
      <c r="E345" s="1"/>
      <c r="F345" s="1"/>
      <c r="G345" s="1"/>
      <c r="H345" s="1"/>
      <c r="I345" s="1"/>
      <c r="J345" s="1"/>
      <c r="K345" s="1"/>
      <c r="L345" s="1"/>
      <c r="M345" s="1"/>
      <c r="N345" s="1"/>
      <c r="O345" s="1"/>
      <c r="P345" s="1"/>
      <c r="Q345" s="1"/>
      <c r="R345" s="1"/>
      <c r="S345" s="1"/>
      <c r="T345" s="1"/>
      <c r="U345" s="2"/>
      <c r="V345" s="1"/>
      <c r="W345" s="1"/>
      <c r="X345" s="1"/>
      <c r="Y345" s="1"/>
      <c r="Z345" s="1"/>
    </row>
    <row r="346" spans="1:26" ht="24.75" customHeight="1">
      <c r="A346" s="1"/>
      <c r="B346" s="1"/>
      <c r="C346" s="1"/>
      <c r="D346" s="1"/>
      <c r="E346" s="1"/>
      <c r="F346" s="1"/>
      <c r="G346" s="1"/>
      <c r="H346" s="1"/>
      <c r="I346" s="1"/>
      <c r="J346" s="1"/>
      <c r="K346" s="1"/>
      <c r="L346" s="1"/>
      <c r="M346" s="1"/>
      <c r="N346" s="1"/>
      <c r="O346" s="1"/>
      <c r="P346" s="1"/>
      <c r="Q346" s="1"/>
      <c r="R346" s="1"/>
      <c r="S346" s="1"/>
      <c r="T346" s="1"/>
      <c r="U346" s="2"/>
      <c r="V346" s="1"/>
      <c r="W346" s="1"/>
      <c r="X346" s="1"/>
      <c r="Y346" s="1"/>
      <c r="Z346" s="1"/>
    </row>
    <row r="347" spans="1:26" ht="24.75" customHeight="1">
      <c r="A347" s="1"/>
      <c r="B347" s="1"/>
      <c r="C347" s="1"/>
      <c r="D347" s="1"/>
      <c r="E347" s="1"/>
      <c r="F347" s="1"/>
      <c r="G347" s="1"/>
      <c r="H347" s="1"/>
      <c r="I347" s="1"/>
      <c r="J347" s="1"/>
      <c r="K347" s="1"/>
      <c r="L347" s="1"/>
      <c r="M347" s="1"/>
      <c r="N347" s="1"/>
      <c r="O347" s="1"/>
      <c r="P347" s="1"/>
      <c r="Q347" s="1"/>
      <c r="R347" s="1"/>
      <c r="S347" s="1"/>
      <c r="T347" s="1"/>
      <c r="U347" s="2"/>
      <c r="V347" s="1"/>
      <c r="W347" s="1"/>
      <c r="X347" s="1"/>
      <c r="Y347" s="1"/>
      <c r="Z347" s="1"/>
    </row>
    <row r="348" spans="1:26" ht="24.75" customHeight="1">
      <c r="A348" s="1"/>
      <c r="B348" s="1"/>
      <c r="C348" s="1"/>
      <c r="D348" s="1"/>
      <c r="E348" s="1"/>
      <c r="F348" s="1"/>
      <c r="G348" s="1"/>
      <c r="H348" s="1"/>
      <c r="I348" s="1"/>
      <c r="J348" s="1"/>
      <c r="K348" s="1"/>
      <c r="L348" s="1"/>
      <c r="M348" s="1"/>
      <c r="N348" s="1"/>
      <c r="O348" s="1"/>
      <c r="P348" s="1"/>
      <c r="Q348" s="1"/>
      <c r="R348" s="1"/>
      <c r="S348" s="1"/>
      <c r="T348" s="1"/>
      <c r="U348" s="2"/>
      <c r="V348" s="1"/>
      <c r="W348" s="1"/>
      <c r="X348" s="1"/>
      <c r="Y348" s="1"/>
      <c r="Z348" s="1"/>
    </row>
    <row r="349" spans="1:26" ht="24.75" customHeight="1">
      <c r="A349" s="1"/>
      <c r="B349" s="1"/>
      <c r="C349" s="1"/>
      <c r="D349" s="1"/>
      <c r="E349" s="1"/>
      <c r="F349" s="1"/>
      <c r="G349" s="1"/>
      <c r="H349" s="1"/>
      <c r="I349" s="1"/>
      <c r="J349" s="1"/>
      <c r="K349" s="1"/>
      <c r="L349" s="1"/>
      <c r="M349" s="1"/>
      <c r="N349" s="1"/>
      <c r="O349" s="1"/>
      <c r="P349" s="1"/>
      <c r="Q349" s="1"/>
      <c r="R349" s="1"/>
      <c r="S349" s="1"/>
      <c r="T349" s="1"/>
      <c r="U349" s="2"/>
      <c r="V349" s="1"/>
      <c r="W349" s="1"/>
      <c r="X349" s="1"/>
      <c r="Y349" s="1"/>
      <c r="Z349" s="1"/>
    </row>
    <row r="350" spans="1:26" ht="24.75" customHeight="1">
      <c r="A350" s="1"/>
      <c r="B350" s="1"/>
      <c r="C350" s="1"/>
      <c r="D350" s="1"/>
      <c r="E350" s="1"/>
      <c r="F350" s="1"/>
      <c r="G350" s="1"/>
      <c r="H350" s="1"/>
      <c r="I350" s="1"/>
      <c r="J350" s="1"/>
      <c r="K350" s="1"/>
      <c r="L350" s="1"/>
      <c r="M350" s="1"/>
      <c r="N350" s="1"/>
      <c r="O350" s="1"/>
      <c r="P350" s="1"/>
      <c r="Q350" s="1"/>
      <c r="R350" s="1"/>
      <c r="S350" s="1"/>
      <c r="T350" s="1"/>
      <c r="U350" s="2"/>
      <c r="V350" s="1"/>
      <c r="W350" s="1"/>
      <c r="X350" s="1"/>
      <c r="Y350" s="1"/>
      <c r="Z350" s="1"/>
    </row>
    <row r="351" spans="1:26" ht="24.75" customHeight="1">
      <c r="A351" s="1"/>
      <c r="B351" s="1"/>
      <c r="C351" s="1"/>
      <c r="D351" s="1"/>
      <c r="E351" s="1"/>
      <c r="F351" s="1"/>
      <c r="G351" s="1"/>
      <c r="H351" s="1"/>
      <c r="I351" s="1"/>
      <c r="J351" s="1"/>
      <c r="K351" s="1"/>
      <c r="L351" s="1"/>
      <c r="M351" s="1"/>
      <c r="N351" s="1"/>
      <c r="O351" s="1"/>
      <c r="P351" s="1"/>
      <c r="Q351" s="1"/>
      <c r="R351" s="1"/>
      <c r="S351" s="1"/>
      <c r="T351" s="1"/>
      <c r="U351" s="2"/>
      <c r="V351" s="1"/>
      <c r="W351" s="1"/>
      <c r="X351" s="1"/>
      <c r="Y351" s="1"/>
      <c r="Z351" s="1"/>
    </row>
    <row r="352" spans="1:26" ht="24.75" customHeight="1">
      <c r="A352" s="1"/>
      <c r="B352" s="1"/>
      <c r="C352" s="1"/>
      <c r="D352" s="1"/>
      <c r="E352" s="1"/>
      <c r="F352" s="1"/>
      <c r="G352" s="1"/>
      <c r="H352" s="1"/>
      <c r="I352" s="1"/>
      <c r="J352" s="1"/>
      <c r="K352" s="1"/>
      <c r="L352" s="1"/>
      <c r="M352" s="1"/>
      <c r="N352" s="1"/>
      <c r="O352" s="1"/>
      <c r="P352" s="1"/>
      <c r="Q352" s="1"/>
      <c r="R352" s="1"/>
      <c r="S352" s="1"/>
      <c r="T352" s="1"/>
      <c r="U352" s="2"/>
      <c r="V352" s="1"/>
      <c r="W352" s="1"/>
      <c r="X352" s="1"/>
      <c r="Y352" s="1"/>
      <c r="Z352" s="1"/>
    </row>
    <row r="353" spans="1:26" ht="24.75" customHeight="1">
      <c r="A353" s="1"/>
      <c r="B353" s="1"/>
      <c r="C353" s="1"/>
      <c r="D353" s="1"/>
      <c r="E353" s="1"/>
      <c r="F353" s="1"/>
      <c r="G353" s="1"/>
      <c r="H353" s="1"/>
      <c r="I353" s="1"/>
      <c r="J353" s="1"/>
      <c r="K353" s="1"/>
      <c r="L353" s="1"/>
      <c r="M353" s="1"/>
      <c r="N353" s="1"/>
      <c r="O353" s="1"/>
      <c r="P353" s="1"/>
      <c r="Q353" s="1"/>
      <c r="R353" s="1"/>
      <c r="S353" s="1"/>
      <c r="T353" s="1"/>
      <c r="U353" s="2"/>
      <c r="V353" s="1"/>
      <c r="W353" s="1"/>
      <c r="X353" s="1"/>
      <c r="Y353" s="1"/>
      <c r="Z353" s="1"/>
    </row>
    <row r="354" spans="1:26" ht="24.75" customHeight="1">
      <c r="A354" s="1"/>
      <c r="B354" s="1"/>
      <c r="C354" s="1"/>
      <c r="D354" s="1"/>
      <c r="E354" s="1"/>
      <c r="F354" s="1"/>
      <c r="G354" s="1"/>
      <c r="H354" s="1"/>
      <c r="I354" s="1"/>
      <c r="J354" s="1"/>
      <c r="K354" s="1"/>
      <c r="L354" s="1"/>
      <c r="M354" s="1"/>
      <c r="N354" s="1"/>
      <c r="O354" s="1"/>
      <c r="P354" s="1"/>
      <c r="Q354" s="1"/>
      <c r="R354" s="1"/>
      <c r="S354" s="1"/>
      <c r="T354" s="1"/>
      <c r="U354" s="2"/>
      <c r="V354" s="1"/>
      <c r="W354" s="1"/>
      <c r="X354" s="1"/>
      <c r="Y354" s="1"/>
      <c r="Z354" s="1"/>
    </row>
    <row r="355" spans="1:26" ht="24.75" customHeight="1">
      <c r="A355" s="1"/>
      <c r="B355" s="1"/>
      <c r="C355" s="1"/>
      <c r="D355" s="1"/>
      <c r="E355" s="1"/>
      <c r="F355" s="1"/>
      <c r="G355" s="1"/>
      <c r="H355" s="1"/>
      <c r="I355" s="1"/>
      <c r="J355" s="1"/>
      <c r="K355" s="1"/>
      <c r="L355" s="1"/>
      <c r="M355" s="1"/>
      <c r="N355" s="1"/>
      <c r="O355" s="1"/>
      <c r="P355" s="1"/>
      <c r="Q355" s="1"/>
      <c r="R355" s="1"/>
      <c r="S355" s="1"/>
      <c r="T355" s="1"/>
      <c r="U355" s="2"/>
      <c r="V355" s="1"/>
      <c r="W355" s="1"/>
      <c r="X355" s="1"/>
      <c r="Y355" s="1"/>
      <c r="Z355" s="1"/>
    </row>
    <row r="356" spans="1:26" ht="24.75" customHeight="1">
      <c r="A356" s="1"/>
      <c r="B356" s="1"/>
      <c r="C356" s="1"/>
      <c r="D356" s="1"/>
      <c r="E356" s="1"/>
      <c r="F356" s="1"/>
      <c r="G356" s="1"/>
      <c r="H356" s="1"/>
      <c r="I356" s="1"/>
      <c r="J356" s="1"/>
      <c r="K356" s="1"/>
      <c r="L356" s="1"/>
      <c r="M356" s="1"/>
      <c r="N356" s="1"/>
      <c r="O356" s="1"/>
      <c r="P356" s="1"/>
      <c r="Q356" s="1"/>
      <c r="R356" s="1"/>
      <c r="S356" s="1"/>
      <c r="T356" s="1"/>
      <c r="U356" s="2"/>
      <c r="V356" s="1"/>
      <c r="W356" s="1"/>
      <c r="X356" s="1"/>
      <c r="Y356" s="1"/>
      <c r="Z356" s="1"/>
    </row>
    <row r="357" spans="1:26" ht="24.75" customHeight="1">
      <c r="A357" s="1"/>
      <c r="B357" s="1"/>
      <c r="C357" s="1"/>
      <c r="D357" s="1"/>
      <c r="E357" s="1"/>
      <c r="F357" s="1"/>
      <c r="G357" s="1"/>
      <c r="H357" s="1"/>
      <c r="I357" s="1"/>
      <c r="J357" s="1"/>
      <c r="K357" s="1"/>
      <c r="L357" s="1"/>
      <c r="M357" s="1"/>
      <c r="N357" s="1"/>
      <c r="O357" s="1"/>
      <c r="P357" s="1"/>
      <c r="Q357" s="1"/>
      <c r="R357" s="1"/>
      <c r="S357" s="1"/>
      <c r="T357" s="1"/>
      <c r="U357" s="2"/>
      <c r="V357" s="1"/>
      <c r="W357" s="1"/>
      <c r="X357" s="1"/>
      <c r="Y357" s="1"/>
      <c r="Z357" s="1"/>
    </row>
    <row r="358" spans="1:26" ht="24.75" customHeight="1">
      <c r="A358" s="1"/>
      <c r="B358" s="1"/>
      <c r="C358" s="1"/>
      <c r="D358" s="1"/>
      <c r="E358" s="1"/>
      <c r="F358" s="1"/>
      <c r="G358" s="1"/>
      <c r="H358" s="1"/>
      <c r="I358" s="1"/>
      <c r="J358" s="1"/>
      <c r="K358" s="1"/>
      <c r="L358" s="1"/>
      <c r="M358" s="1"/>
      <c r="N358" s="1"/>
      <c r="O358" s="1"/>
      <c r="P358" s="1"/>
      <c r="Q358" s="1"/>
      <c r="R358" s="1"/>
      <c r="S358" s="1"/>
      <c r="T358" s="1"/>
      <c r="U358" s="2"/>
      <c r="V358" s="1"/>
      <c r="W358" s="1"/>
      <c r="X358" s="1"/>
      <c r="Y358" s="1"/>
      <c r="Z358" s="1"/>
    </row>
    <row r="359" spans="1:26" ht="24.75" customHeight="1">
      <c r="A359" s="1"/>
      <c r="B359" s="1"/>
      <c r="C359" s="1"/>
      <c r="D359" s="1"/>
      <c r="E359" s="1"/>
      <c r="F359" s="1"/>
      <c r="G359" s="1"/>
      <c r="H359" s="1"/>
      <c r="I359" s="1"/>
      <c r="J359" s="1"/>
      <c r="K359" s="1"/>
      <c r="L359" s="1"/>
      <c r="M359" s="1"/>
      <c r="N359" s="1"/>
      <c r="O359" s="1"/>
      <c r="P359" s="1"/>
      <c r="Q359" s="1"/>
      <c r="R359" s="1"/>
      <c r="S359" s="1"/>
      <c r="T359" s="1"/>
      <c r="U359" s="2"/>
      <c r="V359" s="1"/>
      <c r="W359" s="1"/>
      <c r="X359" s="1"/>
      <c r="Y359" s="1"/>
      <c r="Z359" s="1"/>
    </row>
    <row r="360" spans="1:26" ht="24.75" customHeight="1">
      <c r="A360" s="1"/>
      <c r="B360" s="1"/>
      <c r="C360" s="1"/>
      <c r="D360" s="1"/>
      <c r="E360" s="1"/>
      <c r="F360" s="1"/>
      <c r="G360" s="1"/>
      <c r="H360" s="1"/>
      <c r="I360" s="1"/>
      <c r="J360" s="1"/>
      <c r="K360" s="1"/>
      <c r="L360" s="1"/>
      <c r="M360" s="1"/>
      <c r="N360" s="1"/>
      <c r="O360" s="1"/>
      <c r="P360" s="1"/>
      <c r="Q360" s="1"/>
      <c r="R360" s="1"/>
      <c r="S360" s="1"/>
      <c r="T360" s="1"/>
      <c r="U360" s="2"/>
      <c r="V360" s="1"/>
      <c r="W360" s="1"/>
      <c r="X360" s="1"/>
      <c r="Y360" s="1"/>
      <c r="Z360" s="1"/>
    </row>
    <row r="361" spans="1:26" ht="24.75" customHeight="1">
      <c r="A361" s="1"/>
      <c r="B361" s="1"/>
      <c r="C361" s="1"/>
      <c r="D361" s="1"/>
      <c r="E361" s="1"/>
      <c r="F361" s="1"/>
      <c r="G361" s="1"/>
      <c r="H361" s="1"/>
      <c r="I361" s="1"/>
      <c r="J361" s="1"/>
      <c r="K361" s="1"/>
      <c r="L361" s="1"/>
      <c r="M361" s="1"/>
      <c r="N361" s="1"/>
      <c r="O361" s="1"/>
      <c r="P361" s="1"/>
      <c r="Q361" s="1"/>
      <c r="R361" s="1"/>
      <c r="S361" s="1"/>
      <c r="T361" s="1"/>
      <c r="U361" s="2"/>
      <c r="V361" s="1"/>
      <c r="W361" s="1"/>
      <c r="X361" s="1"/>
      <c r="Y361" s="1"/>
      <c r="Z361" s="1"/>
    </row>
    <row r="362" spans="1:26" ht="24.75" customHeight="1">
      <c r="A362" s="1"/>
      <c r="B362" s="1"/>
      <c r="C362" s="1"/>
      <c r="D362" s="1"/>
      <c r="E362" s="1"/>
      <c r="F362" s="1"/>
      <c r="G362" s="1"/>
      <c r="H362" s="1"/>
      <c r="I362" s="1"/>
      <c r="J362" s="1"/>
      <c r="K362" s="1"/>
      <c r="L362" s="1"/>
      <c r="M362" s="1"/>
      <c r="N362" s="1"/>
      <c r="O362" s="1"/>
      <c r="P362" s="1"/>
      <c r="Q362" s="1"/>
      <c r="R362" s="1"/>
      <c r="S362" s="1"/>
      <c r="T362" s="1"/>
      <c r="U362" s="2"/>
      <c r="V362" s="1"/>
      <c r="W362" s="1"/>
      <c r="X362" s="1"/>
      <c r="Y362" s="1"/>
      <c r="Z362" s="1"/>
    </row>
    <row r="363" spans="1:26" ht="24.75" customHeight="1">
      <c r="A363" s="1"/>
      <c r="B363" s="1"/>
      <c r="C363" s="1"/>
      <c r="D363" s="1"/>
      <c r="E363" s="1"/>
      <c r="F363" s="1"/>
      <c r="G363" s="1"/>
      <c r="H363" s="1"/>
      <c r="I363" s="1"/>
      <c r="J363" s="1"/>
      <c r="K363" s="1"/>
      <c r="L363" s="1"/>
      <c r="M363" s="1"/>
      <c r="N363" s="1"/>
      <c r="O363" s="1"/>
      <c r="P363" s="1"/>
      <c r="Q363" s="1"/>
      <c r="R363" s="1"/>
      <c r="S363" s="1"/>
      <c r="T363" s="1"/>
      <c r="U363" s="2"/>
      <c r="V363" s="1"/>
      <c r="W363" s="1"/>
      <c r="X363" s="1"/>
      <c r="Y363" s="1"/>
      <c r="Z363" s="1"/>
    </row>
    <row r="364" spans="1:26" ht="24.75" customHeight="1">
      <c r="A364" s="1"/>
      <c r="B364" s="1"/>
      <c r="C364" s="1"/>
      <c r="D364" s="1"/>
      <c r="E364" s="1"/>
      <c r="F364" s="1"/>
      <c r="G364" s="1"/>
      <c r="H364" s="1"/>
      <c r="I364" s="1"/>
      <c r="J364" s="1"/>
      <c r="K364" s="1"/>
      <c r="L364" s="1"/>
      <c r="M364" s="1"/>
      <c r="N364" s="1"/>
      <c r="O364" s="1"/>
      <c r="P364" s="1"/>
      <c r="Q364" s="1"/>
      <c r="R364" s="1"/>
      <c r="S364" s="1"/>
      <c r="T364" s="1"/>
      <c r="U364" s="2"/>
      <c r="V364" s="1"/>
      <c r="W364" s="1"/>
      <c r="X364" s="1"/>
      <c r="Y364" s="1"/>
      <c r="Z364" s="1"/>
    </row>
    <row r="365" spans="1:26" ht="24.75" customHeight="1">
      <c r="A365" s="1"/>
      <c r="B365" s="1"/>
      <c r="C365" s="1"/>
      <c r="D365" s="1"/>
      <c r="E365" s="1"/>
      <c r="F365" s="1"/>
      <c r="G365" s="1"/>
      <c r="H365" s="1"/>
      <c r="I365" s="1"/>
      <c r="J365" s="1"/>
      <c r="K365" s="1"/>
      <c r="L365" s="1"/>
      <c r="M365" s="1"/>
      <c r="N365" s="1"/>
      <c r="O365" s="1"/>
      <c r="P365" s="1"/>
      <c r="Q365" s="1"/>
      <c r="R365" s="1"/>
      <c r="S365" s="1"/>
      <c r="T365" s="1"/>
      <c r="U365" s="2"/>
      <c r="V365" s="1"/>
      <c r="W365" s="1"/>
      <c r="X365" s="1"/>
      <c r="Y365" s="1"/>
      <c r="Z365" s="1"/>
    </row>
    <row r="366" spans="1:26" ht="24.75" customHeight="1">
      <c r="A366" s="1"/>
      <c r="B366" s="1"/>
      <c r="C366" s="1"/>
      <c r="D366" s="1"/>
      <c r="E366" s="1"/>
      <c r="F366" s="1"/>
      <c r="G366" s="1"/>
      <c r="H366" s="1"/>
      <c r="I366" s="1"/>
      <c r="J366" s="1"/>
      <c r="K366" s="1"/>
      <c r="L366" s="1"/>
      <c r="M366" s="1"/>
      <c r="N366" s="1"/>
      <c r="O366" s="1"/>
      <c r="P366" s="1"/>
      <c r="Q366" s="1"/>
      <c r="R366" s="1"/>
      <c r="S366" s="1"/>
      <c r="T366" s="1"/>
      <c r="U366" s="2"/>
      <c r="V366" s="1"/>
      <c r="W366" s="1"/>
      <c r="X366" s="1"/>
      <c r="Y366" s="1"/>
      <c r="Z366" s="1"/>
    </row>
    <row r="367" spans="1:26" ht="24.75" customHeight="1">
      <c r="A367" s="1"/>
      <c r="B367" s="1"/>
      <c r="C367" s="1"/>
      <c r="D367" s="1"/>
      <c r="E367" s="1"/>
      <c r="F367" s="1"/>
      <c r="G367" s="1"/>
      <c r="H367" s="1"/>
      <c r="I367" s="1"/>
      <c r="J367" s="1"/>
      <c r="K367" s="1"/>
      <c r="L367" s="1"/>
      <c r="M367" s="1"/>
      <c r="N367" s="1"/>
      <c r="O367" s="1"/>
      <c r="P367" s="1"/>
      <c r="Q367" s="1"/>
      <c r="R367" s="1"/>
      <c r="S367" s="1"/>
      <c r="T367" s="1"/>
      <c r="U367" s="2"/>
      <c r="V367" s="1"/>
      <c r="W367" s="1"/>
      <c r="X367" s="1"/>
      <c r="Y367" s="1"/>
      <c r="Z367" s="1"/>
    </row>
    <row r="368" spans="1:26" ht="24.75" customHeight="1">
      <c r="A368" s="1"/>
      <c r="B368" s="1"/>
      <c r="C368" s="1"/>
      <c r="D368" s="1"/>
      <c r="E368" s="1"/>
      <c r="F368" s="1"/>
      <c r="G368" s="1"/>
      <c r="H368" s="1"/>
      <c r="I368" s="1"/>
      <c r="J368" s="1"/>
      <c r="K368" s="1"/>
      <c r="L368" s="1"/>
      <c r="M368" s="1"/>
      <c r="N368" s="1"/>
      <c r="O368" s="1"/>
      <c r="P368" s="1"/>
      <c r="Q368" s="1"/>
      <c r="R368" s="1"/>
      <c r="S368" s="1"/>
      <c r="T368" s="1"/>
      <c r="U368" s="2"/>
      <c r="V368" s="1"/>
      <c r="W368" s="1"/>
      <c r="X368" s="1"/>
      <c r="Y368" s="1"/>
      <c r="Z368" s="1"/>
    </row>
    <row r="369" spans="1:26" ht="24.75" customHeight="1">
      <c r="A369" s="1"/>
      <c r="B369" s="1"/>
      <c r="C369" s="1"/>
      <c r="D369" s="1"/>
      <c r="E369" s="1"/>
      <c r="F369" s="1"/>
      <c r="G369" s="1"/>
      <c r="H369" s="1"/>
      <c r="I369" s="1"/>
      <c r="J369" s="1"/>
      <c r="K369" s="1"/>
      <c r="L369" s="1"/>
      <c r="M369" s="1"/>
      <c r="N369" s="1"/>
      <c r="O369" s="1"/>
      <c r="P369" s="1"/>
      <c r="Q369" s="1"/>
      <c r="R369" s="1"/>
      <c r="S369" s="1"/>
      <c r="T369" s="1"/>
      <c r="U369" s="2"/>
      <c r="V369" s="1"/>
      <c r="W369" s="1"/>
      <c r="X369" s="1"/>
      <c r="Y369" s="1"/>
      <c r="Z369" s="1"/>
    </row>
    <row r="370" spans="1:26" ht="24.75" customHeight="1">
      <c r="A370" s="1"/>
      <c r="B370" s="1"/>
      <c r="C370" s="1"/>
      <c r="D370" s="1"/>
      <c r="E370" s="1"/>
      <c r="F370" s="1"/>
      <c r="G370" s="1"/>
      <c r="H370" s="1"/>
      <c r="I370" s="1"/>
      <c r="J370" s="1"/>
      <c r="K370" s="1"/>
      <c r="L370" s="1"/>
      <c r="M370" s="1"/>
      <c r="N370" s="1"/>
      <c r="O370" s="1"/>
      <c r="P370" s="1"/>
      <c r="Q370" s="1"/>
      <c r="R370" s="1"/>
      <c r="S370" s="1"/>
      <c r="T370" s="1"/>
      <c r="U370" s="2"/>
      <c r="V370" s="1"/>
      <c r="W370" s="1"/>
      <c r="X370" s="1"/>
      <c r="Y370" s="1"/>
      <c r="Z370" s="1"/>
    </row>
    <row r="371" spans="1:26" ht="24.75" customHeight="1">
      <c r="A371" s="1"/>
      <c r="B371" s="1"/>
      <c r="C371" s="1"/>
      <c r="D371" s="1"/>
      <c r="E371" s="1"/>
      <c r="F371" s="1"/>
      <c r="G371" s="1"/>
      <c r="H371" s="1"/>
      <c r="I371" s="1"/>
      <c r="J371" s="1"/>
      <c r="K371" s="1"/>
      <c r="L371" s="1"/>
      <c r="M371" s="1"/>
      <c r="N371" s="1"/>
      <c r="O371" s="1"/>
      <c r="P371" s="1"/>
      <c r="Q371" s="1"/>
      <c r="R371" s="1"/>
      <c r="S371" s="1"/>
      <c r="T371" s="1"/>
      <c r="U371" s="2"/>
      <c r="V371" s="1"/>
      <c r="W371" s="1"/>
      <c r="X371" s="1"/>
      <c r="Y371" s="1"/>
      <c r="Z371" s="1"/>
    </row>
    <row r="372" spans="1:26" ht="24.75" customHeight="1">
      <c r="A372" s="1"/>
      <c r="B372" s="1"/>
      <c r="C372" s="1"/>
      <c r="D372" s="1"/>
      <c r="E372" s="1"/>
      <c r="F372" s="1"/>
      <c r="G372" s="1"/>
      <c r="H372" s="1"/>
      <c r="I372" s="1"/>
      <c r="J372" s="1"/>
      <c r="K372" s="1"/>
      <c r="L372" s="1"/>
      <c r="M372" s="1"/>
      <c r="N372" s="1"/>
      <c r="O372" s="1"/>
      <c r="P372" s="1"/>
      <c r="Q372" s="1"/>
      <c r="R372" s="1"/>
      <c r="S372" s="1"/>
      <c r="T372" s="1"/>
      <c r="U372" s="2"/>
      <c r="V372" s="1"/>
      <c r="W372" s="1"/>
      <c r="X372" s="1"/>
      <c r="Y372" s="1"/>
      <c r="Z372" s="1"/>
    </row>
    <row r="373" spans="1:26" ht="24.75" customHeight="1">
      <c r="A373" s="1"/>
      <c r="B373" s="1"/>
      <c r="C373" s="1"/>
      <c r="D373" s="1"/>
      <c r="E373" s="1"/>
      <c r="F373" s="1"/>
      <c r="G373" s="1"/>
      <c r="H373" s="1"/>
      <c r="I373" s="1"/>
      <c r="J373" s="1"/>
      <c r="K373" s="1"/>
      <c r="L373" s="1"/>
      <c r="M373" s="1"/>
      <c r="N373" s="1"/>
      <c r="O373" s="1"/>
      <c r="P373" s="1"/>
      <c r="Q373" s="1"/>
      <c r="R373" s="1"/>
      <c r="S373" s="1"/>
      <c r="T373" s="1"/>
      <c r="U373" s="2"/>
      <c r="V373" s="1"/>
      <c r="W373" s="1"/>
      <c r="X373" s="1"/>
      <c r="Y373" s="1"/>
      <c r="Z373" s="1"/>
    </row>
    <row r="374" spans="1:26" ht="24.75" customHeight="1">
      <c r="A374" s="1"/>
      <c r="B374" s="1"/>
      <c r="C374" s="1"/>
      <c r="D374" s="1"/>
      <c r="E374" s="1"/>
      <c r="F374" s="1"/>
      <c r="G374" s="1"/>
      <c r="H374" s="1"/>
      <c r="I374" s="1"/>
      <c r="J374" s="1"/>
      <c r="K374" s="1"/>
      <c r="L374" s="1"/>
      <c r="M374" s="1"/>
      <c r="N374" s="1"/>
      <c r="O374" s="1"/>
      <c r="P374" s="1"/>
      <c r="Q374" s="1"/>
      <c r="R374" s="1"/>
      <c r="S374" s="1"/>
      <c r="T374" s="1"/>
      <c r="U374" s="2"/>
      <c r="V374" s="1"/>
      <c r="W374" s="1"/>
      <c r="X374" s="1"/>
      <c r="Y374" s="1"/>
      <c r="Z374" s="1"/>
    </row>
    <row r="375" spans="1:26" ht="24.75" customHeight="1">
      <c r="A375" s="1"/>
      <c r="B375" s="1"/>
      <c r="C375" s="1"/>
      <c r="D375" s="1"/>
      <c r="E375" s="1"/>
      <c r="F375" s="1"/>
      <c r="G375" s="1"/>
      <c r="H375" s="1"/>
      <c r="I375" s="1"/>
      <c r="J375" s="1"/>
      <c r="K375" s="1"/>
      <c r="L375" s="1"/>
      <c r="M375" s="1"/>
      <c r="N375" s="1"/>
      <c r="O375" s="1"/>
      <c r="P375" s="1"/>
      <c r="Q375" s="1"/>
      <c r="R375" s="1"/>
      <c r="S375" s="1"/>
      <c r="T375" s="1"/>
      <c r="U375" s="2"/>
      <c r="V375" s="1"/>
      <c r="W375" s="1"/>
      <c r="X375" s="1"/>
      <c r="Y375" s="1"/>
      <c r="Z375" s="1"/>
    </row>
    <row r="376" spans="1:26" ht="24.75" customHeight="1">
      <c r="A376" s="1"/>
      <c r="B376" s="1"/>
      <c r="C376" s="1"/>
      <c r="D376" s="1"/>
      <c r="E376" s="1"/>
      <c r="F376" s="1"/>
      <c r="G376" s="1"/>
      <c r="H376" s="1"/>
      <c r="I376" s="1"/>
      <c r="J376" s="1"/>
      <c r="K376" s="1"/>
      <c r="L376" s="1"/>
      <c r="M376" s="1"/>
      <c r="N376" s="1"/>
      <c r="O376" s="1"/>
      <c r="P376" s="1"/>
      <c r="Q376" s="1"/>
      <c r="R376" s="1"/>
      <c r="S376" s="1"/>
      <c r="T376" s="1"/>
      <c r="U376" s="2"/>
      <c r="V376" s="1"/>
      <c r="W376" s="1"/>
      <c r="X376" s="1"/>
      <c r="Y376" s="1"/>
      <c r="Z376" s="1"/>
    </row>
    <row r="377" spans="1:26" ht="24.75" customHeight="1">
      <c r="A377" s="1"/>
      <c r="B377" s="1"/>
      <c r="C377" s="1"/>
      <c r="D377" s="1"/>
      <c r="E377" s="1"/>
      <c r="F377" s="1"/>
      <c r="G377" s="1"/>
      <c r="H377" s="1"/>
      <c r="I377" s="1"/>
      <c r="J377" s="1"/>
      <c r="K377" s="1"/>
      <c r="L377" s="1"/>
      <c r="M377" s="1"/>
      <c r="N377" s="1"/>
      <c r="O377" s="1"/>
      <c r="P377" s="1"/>
      <c r="Q377" s="1"/>
      <c r="R377" s="1"/>
      <c r="S377" s="1"/>
      <c r="T377" s="1"/>
      <c r="U377" s="2"/>
      <c r="V377" s="1"/>
      <c r="W377" s="1"/>
      <c r="X377" s="1"/>
      <c r="Y377" s="1"/>
      <c r="Z377" s="1"/>
    </row>
    <row r="378" spans="1:26" ht="24.75" customHeight="1">
      <c r="A378" s="1"/>
      <c r="B378" s="1"/>
      <c r="C378" s="1"/>
      <c r="D378" s="1"/>
      <c r="E378" s="1"/>
      <c r="F378" s="1"/>
      <c r="G378" s="1"/>
      <c r="H378" s="1"/>
      <c r="I378" s="1"/>
      <c r="J378" s="1"/>
      <c r="K378" s="1"/>
      <c r="L378" s="1"/>
      <c r="M378" s="1"/>
      <c r="N378" s="1"/>
      <c r="O378" s="1"/>
      <c r="P378" s="1"/>
      <c r="Q378" s="1"/>
      <c r="R378" s="1"/>
      <c r="S378" s="1"/>
      <c r="T378" s="1"/>
      <c r="U378" s="2"/>
      <c r="V378" s="1"/>
      <c r="W378" s="1"/>
      <c r="X378" s="1"/>
      <c r="Y378" s="1"/>
      <c r="Z378" s="1"/>
    </row>
    <row r="379" spans="1:26" ht="24.75" customHeight="1">
      <c r="A379" s="1"/>
      <c r="B379" s="1"/>
      <c r="C379" s="1"/>
      <c r="D379" s="1"/>
      <c r="E379" s="1"/>
      <c r="F379" s="1"/>
      <c r="G379" s="1"/>
      <c r="H379" s="1"/>
      <c r="I379" s="1"/>
      <c r="J379" s="1"/>
      <c r="K379" s="1"/>
      <c r="L379" s="1"/>
      <c r="M379" s="1"/>
      <c r="N379" s="1"/>
      <c r="O379" s="1"/>
      <c r="P379" s="1"/>
      <c r="Q379" s="1"/>
      <c r="R379" s="1"/>
      <c r="S379" s="1"/>
      <c r="T379" s="1"/>
      <c r="U379" s="2"/>
      <c r="V379" s="1"/>
      <c r="W379" s="1"/>
      <c r="X379" s="1"/>
      <c r="Y379" s="1"/>
      <c r="Z379" s="1"/>
    </row>
    <row r="380" spans="1:26" ht="24.75" customHeight="1">
      <c r="A380" s="1"/>
      <c r="B380" s="1"/>
      <c r="C380" s="1"/>
      <c r="D380" s="1"/>
      <c r="E380" s="1"/>
      <c r="F380" s="1"/>
      <c r="G380" s="1"/>
      <c r="H380" s="1"/>
      <c r="I380" s="1"/>
      <c r="J380" s="1"/>
      <c r="K380" s="1"/>
      <c r="L380" s="1"/>
      <c r="M380" s="1"/>
      <c r="N380" s="1"/>
      <c r="O380" s="1"/>
      <c r="P380" s="1"/>
      <c r="Q380" s="1"/>
      <c r="R380" s="1"/>
      <c r="S380" s="1"/>
      <c r="T380" s="1"/>
      <c r="U380" s="2"/>
      <c r="V380" s="1"/>
      <c r="W380" s="1"/>
      <c r="X380" s="1"/>
      <c r="Y380" s="1"/>
      <c r="Z380" s="1"/>
    </row>
    <row r="381" spans="1:26" ht="24.75" customHeight="1">
      <c r="A381" s="1"/>
      <c r="B381" s="1"/>
      <c r="C381" s="1"/>
      <c r="D381" s="1"/>
      <c r="E381" s="1"/>
      <c r="F381" s="1"/>
      <c r="G381" s="1"/>
      <c r="H381" s="1"/>
      <c r="I381" s="1"/>
      <c r="J381" s="1"/>
      <c r="K381" s="1"/>
      <c r="L381" s="1"/>
      <c r="M381" s="1"/>
      <c r="N381" s="1"/>
      <c r="O381" s="1"/>
      <c r="P381" s="1"/>
      <c r="Q381" s="1"/>
      <c r="R381" s="1"/>
      <c r="S381" s="1"/>
      <c r="T381" s="1"/>
      <c r="U381" s="2"/>
      <c r="V381" s="1"/>
      <c r="W381" s="1"/>
      <c r="X381" s="1"/>
      <c r="Y381" s="1"/>
      <c r="Z381" s="1"/>
    </row>
    <row r="382" spans="1:26" ht="24.75" customHeight="1">
      <c r="A382" s="1"/>
      <c r="B382" s="1"/>
      <c r="C382" s="1"/>
      <c r="D382" s="1"/>
      <c r="E382" s="1"/>
      <c r="F382" s="1"/>
      <c r="G382" s="1"/>
      <c r="H382" s="1"/>
      <c r="I382" s="1"/>
      <c r="J382" s="1"/>
      <c r="K382" s="1"/>
      <c r="L382" s="1"/>
      <c r="M382" s="1"/>
      <c r="N382" s="1"/>
      <c r="O382" s="1"/>
      <c r="P382" s="1"/>
      <c r="Q382" s="1"/>
      <c r="R382" s="1"/>
      <c r="S382" s="1"/>
      <c r="T382" s="1"/>
      <c r="U382" s="2"/>
      <c r="V382" s="1"/>
      <c r="W382" s="1"/>
      <c r="X382" s="1"/>
      <c r="Y382" s="1"/>
      <c r="Z382" s="1"/>
    </row>
    <row r="383" spans="1:26" ht="24.75" customHeight="1">
      <c r="A383" s="1"/>
      <c r="B383" s="1"/>
      <c r="C383" s="1"/>
      <c r="D383" s="1"/>
      <c r="E383" s="1"/>
      <c r="F383" s="1"/>
      <c r="G383" s="1"/>
      <c r="H383" s="1"/>
      <c r="I383" s="1"/>
      <c r="J383" s="1"/>
      <c r="K383" s="1"/>
      <c r="L383" s="1"/>
      <c r="M383" s="1"/>
      <c r="N383" s="1"/>
      <c r="O383" s="1"/>
      <c r="P383" s="1"/>
      <c r="Q383" s="1"/>
      <c r="R383" s="1"/>
      <c r="S383" s="1"/>
      <c r="T383" s="1"/>
      <c r="U383" s="2"/>
      <c r="V383" s="1"/>
      <c r="W383" s="1"/>
      <c r="X383" s="1"/>
      <c r="Y383" s="1"/>
      <c r="Z383" s="1"/>
    </row>
    <row r="384" spans="1:26" ht="24.75" customHeight="1">
      <c r="A384" s="1"/>
      <c r="B384" s="1"/>
      <c r="C384" s="1"/>
      <c r="D384" s="1"/>
      <c r="E384" s="1"/>
      <c r="F384" s="1"/>
      <c r="G384" s="1"/>
      <c r="H384" s="1"/>
      <c r="I384" s="1"/>
      <c r="J384" s="1"/>
      <c r="K384" s="1"/>
      <c r="L384" s="1"/>
      <c r="M384" s="1"/>
      <c r="N384" s="1"/>
      <c r="O384" s="1"/>
      <c r="P384" s="1"/>
      <c r="Q384" s="1"/>
      <c r="R384" s="1"/>
      <c r="S384" s="1"/>
      <c r="T384" s="1"/>
      <c r="U384" s="2"/>
      <c r="V384" s="1"/>
      <c r="W384" s="1"/>
      <c r="X384" s="1"/>
      <c r="Y384" s="1"/>
      <c r="Z384" s="1"/>
    </row>
    <row r="385" spans="1:26" ht="24.75" customHeight="1">
      <c r="A385" s="1"/>
      <c r="B385" s="1"/>
      <c r="C385" s="1"/>
      <c r="D385" s="1"/>
      <c r="E385" s="1"/>
      <c r="F385" s="1"/>
      <c r="G385" s="1"/>
      <c r="H385" s="1"/>
      <c r="I385" s="1"/>
      <c r="J385" s="1"/>
      <c r="K385" s="1"/>
      <c r="L385" s="1"/>
      <c r="M385" s="1"/>
      <c r="N385" s="1"/>
      <c r="O385" s="1"/>
      <c r="P385" s="1"/>
      <c r="Q385" s="1"/>
      <c r="R385" s="1"/>
      <c r="S385" s="1"/>
      <c r="T385" s="1"/>
      <c r="U385" s="2"/>
      <c r="V385" s="1"/>
      <c r="W385" s="1"/>
      <c r="X385" s="1"/>
      <c r="Y385" s="1"/>
      <c r="Z385" s="1"/>
    </row>
    <row r="386" spans="1:26" ht="24.75" customHeight="1">
      <c r="A386" s="1"/>
      <c r="B386" s="1"/>
      <c r="C386" s="1"/>
      <c r="D386" s="1"/>
      <c r="E386" s="1"/>
      <c r="F386" s="1"/>
      <c r="G386" s="1"/>
      <c r="H386" s="1"/>
      <c r="I386" s="1"/>
      <c r="J386" s="1"/>
      <c r="K386" s="1"/>
      <c r="L386" s="1"/>
      <c r="M386" s="1"/>
      <c r="N386" s="1"/>
      <c r="O386" s="1"/>
      <c r="P386" s="1"/>
      <c r="Q386" s="1"/>
      <c r="R386" s="1"/>
      <c r="S386" s="1"/>
      <c r="T386" s="1"/>
      <c r="U386" s="2"/>
      <c r="V386" s="1"/>
      <c r="W386" s="1"/>
      <c r="X386" s="1"/>
      <c r="Y386" s="1"/>
      <c r="Z386" s="1"/>
    </row>
    <row r="387" spans="1:26" ht="24.75" customHeight="1">
      <c r="A387" s="1"/>
      <c r="B387" s="1"/>
      <c r="C387" s="1"/>
      <c r="D387" s="1"/>
      <c r="E387" s="1"/>
      <c r="F387" s="1"/>
      <c r="G387" s="1"/>
      <c r="H387" s="1"/>
      <c r="I387" s="1"/>
      <c r="J387" s="1"/>
      <c r="K387" s="1"/>
      <c r="L387" s="1"/>
      <c r="M387" s="1"/>
      <c r="N387" s="1"/>
      <c r="O387" s="1"/>
      <c r="P387" s="1"/>
      <c r="Q387" s="1"/>
      <c r="R387" s="1"/>
      <c r="S387" s="1"/>
      <c r="T387" s="1"/>
      <c r="U387" s="2"/>
      <c r="V387" s="1"/>
      <c r="W387" s="1"/>
      <c r="X387" s="1"/>
      <c r="Y387" s="1"/>
      <c r="Z387" s="1"/>
    </row>
    <row r="388" spans="1:26" ht="24.75" customHeight="1">
      <c r="A388" s="1"/>
      <c r="B388" s="1"/>
      <c r="C388" s="1"/>
      <c r="D388" s="1"/>
      <c r="E388" s="1"/>
      <c r="F388" s="1"/>
      <c r="G388" s="1"/>
      <c r="H388" s="1"/>
      <c r="I388" s="1"/>
      <c r="J388" s="1"/>
      <c r="K388" s="1"/>
      <c r="L388" s="1"/>
      <c r="M388" s="1"/>
      <c r="N388" s="1"/>
      <c r="O388" s="1"/>
      <c r="P388" s="1"/>
      <c r="Q388" s="1"/>
      <c r="R388" s="1"/>
      <c r="S388" s="1"/>
      <c r="T388" s="1"/>
      <c r="U388" s="2"/>
      <c r="V388" s="1"/>
      <c r="W388" s="1"/>
      <c r="X388" s="1"/>
      <c r="Y388" s="1"/>
      <c r="Z388" s="1"/>
    </row>
    <row r="389" spans="1:26" ht="24.75" customHeight="1">
      <c r="A389" s="1"/>
      <c r="B389" s="1"/>
      <c r="C389" s="1"/>
      <c r="D389" s="1"/>
      <c r="E389" s="1"/>
      <c r="F389" s="1"/>
      <c r="G389" s="1"/>
      <c r="H389" s="1"/>
      <c r="I389" s="1"/>
      <c r="J389" s="1"/>
      <c r="K389" s="1"/>
      <c r="L389" s="1"/>
      <c r="M389" s="1"/>
      <c r="N389" s="1"/>
      <c r="O389" s="1"/>
      <c r="P389" s="1"/>
      <c r="Q389" s="1"/>
      <c r="R389" s="1"/>
      <c r="S389" s="1"/>
      <c r="T389" s="1"/>
      <c r="U389" s="2"/>
      <c r="V389" s="1"/>
      <c r="W389" s="1"/>
      <c r="X389" s="1"/>
      <c r="Y389" s="1"/>
      <c r="Z389" s="1"/>
    </row>
    <row r="390" spans="1:26" ht="24.75" customHeight="1">
      <c r="A390" s="1"/>
      <c r="B390" s="1"/>
      <c r="C390" s="1"/>
      <c r="D390" s="1"/>
      <c r="E390" s="1"/>
      <c r="F390" s="1"/>
      <c r="G390" s="1"/>
      <c r="H390" s="1"/>
      <c r="I390" s="1"/>
      <c r="J390" s="1"/>
      <c r="K390" s="1"/>
      <c r="L390" s="1"/>
      <c r="M390" s="1"/>
      <c r="N390" s="1"/>
      <c r="O390" s="1"/>
      <c r="P390" s="1"/>
      <c r="Q390" s="1"/>
      <c r="R390" s="1"/>
      <c r="S390" s="1"/>
      <c r="T390" s="1"/>
      <c r="U390" s="2"/>
      <c r="V390" s="1"/>
      <c r="W390" s="1"/>
      <c r="X390" s="1"/>
      <c r="Y390" s="1"/>
      <c r="Z390" s="1"/>
    </row>
    <row r="391" spans="1:26" ht="24.75" customHeight="1">
      <c r="A391" s="1"/>
      <c r="B391" s="1"/>
      <c r="C391" s="1"/>
      <c r="D391" s="1"/>
      <c r="E391" s="1"/>
      <c r="F391" s="1"/>
      <c r="G391" s="1"/>
      <c r="H391" s="1"/>
      <c r="I391" s="1"/>
      <c r="J391" s="1"/>
      <c r="K391" s="1"/>
      <c r="L391" s="1"/>
      <c r="M391" s="1"/>
      <c r="N391" s="1"/>
      <c r="O391" s="1"/>
      <c r="P391" s="1"/>
      <c r="Q391" s="1"/>
      <c r="R391" s="1"/>
      <c r="S391" s="1"/>
      <c r="T391" s="1"/>
      <c r="U391" s="2"/>
      <c r="V391" s="1"/>
      <c r="W391" s="1"/>
      <c r="X391" s="1"/>
      <c r="Y391" s="1"/>
      <c r="Z391" s="1"/>
    </row>
    <row r="392" spans="1:26" ht="24.75" customHeight="1">
      <c r="A392" s="1"/>
      <c r="B392" s="1"/>
      <c r="C392" s="1"/>
      <c r="D392" s="1"/>
      <c r="E392" s="1"/>
      <c r="F392" s="1"/>
      <c r="G392" s="1"/>
      <c r="H392" s="1"/>
      <c r="I392" s="1"/>
      <c r="J392" s="1"/>
      <c r="K392" s="1"/>
      <c r="L392" s="1"/>
      <c r="M392" s="1"/>
      <c r="N392" s="1"/>
      <c r="O392" s="1"/>
      <c r="P392" s="1"/>
      <c r="Q392" s="1"/>
      <c r="R392" s="1"/>
      <c r="S392" s="1"/>
      <c r="T392" s="1"/>
      <c r="U392" s="2"/>
      <c r="V392" s="1"/>
      <c r="W392" s="1"/>
      <c r="X392" s="1"/>
      <c r="Y392" s="1"/>
      <c r="Z392" s="1"/>
    </row>
    <row r="393" spans="1:26" ht="24.75" customHeight="1">
      <c r="A393" s="1"/>
      <c r="B393" s="1"/>
      <c r="C393" s="1"/>
      <c r="D393" s="1"/>
      <c r="E393" s="1"/>
      <c r="F393" s="1"/>
      <c r="G393" s="1"/>
      <c r="H393" s="1"/>
      <c r="I393" s="1"/>
      <c r="J393" s="1"/>
      <c r="K393" s="1"/>
      <c r="L393" s="1"/>
      <c r="M393" s="1"/>
      <c r="N393" s="1"/>
      <c r="O393" s="1"/>
      <c r="P393" s="1"/>
      <c r="Q393" s="1"/>
      <c r="R393" s="1"/>
      <c r="S393" s="1"/>
      <c r="T393" s="1"/>
      <c r="U393" s="2"/>
      <c r="V393" s="1"/>
      <c r="W393" s="1"/>
      <c r="X393" s="1"/>
      <c r="Y393" s="1"/>
      <c r="Z393" s="1"/>
    </row>
    <row r="394" spans="1:26" ht="24.75" customHeight="1">
      <c r="A394" s="1"/>
      <c r="B394" s="1"/>
      <c r="C394" s="1"/>
      <c r="D394" s="1"/>
      <c r="E394" s="1"/>
      <c r="F394" s="1"/>
      <c r="G394" s="1"/>
      <c r="H394" s="1"/>
      <c r="I394" s="1"/>
      <c r="J394" s="1"/>
      <c r="K394" s="1"/>
      <c r="L394" s="1"/>
      <c r="M394" s="1"/>
      <c r="N394" s="1"/>
      <c r="O394" s="1"/>
      <c r="P394" s="1"/>
      <c r="Q394" s="1"/>
      <c r="R394" s="1"/>
      <c r="S394" s="1"/>
      <c r="T394" s="1"/>
      <c r="U394" s="2"/>
      <c r="V394" s="1"/>
      <c r="W394" s="1"/>
      <c r="X394" s="1"/>
      <c r="Y394" s="1"/>
      <c r="Z394" s="1"/>
    </row>
    <row r="395" spans="1:26" ht="24.75" customHeight="1">
      <c r="A395" s="1"/>
      <c r="B395" s="1"/>
      <c r="C395" s="1"/>
      <c r="D395" s="1"/>
      <c r="E395" s="1"/>
      <c r="F395" s="1"/>
      <c r="G395" s="1"/>
      <c r="H395" s="1"/>
      <c r="I395" s="1"/>
      <c r="J395" s="1"/>
      <c r="K395" s="1"/>
      <c r="L395" s="1"/>
      <c r="M395" s="1"/>
      <c r="N395" s="1"/>
      <c r="O395" s="1"/>
      <c r="P395" s="1"/>
      <c r="Q395" s="1"/>
      <c r="R395" s="1"/>
      <c r="S395" s="1"/>
      <c r="T395" s="1"/>
      <c r="U395" s="2"/>
      <c r="V395" s="1"/>
      <c r="W395" s="1"/>
      <c r="X395" s="1"/>
      <c r="Y395" s="1"/>
      <c r="Z395" s="1"/>
    </row>
    <row r="396" spans="1:26" ht="24.75" customHeight="1">
      <c r="A396" s="1"/>
      <c r="B396" s="1"/>
      <c r="C396" s="1"/>
      <c r="D396" s="1"/>
      <c r="E396" s="1"/>
      <c r="F396" s="1"/>
      <c r="G396" s="1"/>
      <c r="H396" s="1"/>
      <c r="I396" s="1"/>
      <c r="J396" s="1"/>
      <c r="K396" s="1"/>
      <c r="L396" s="1"/>
      <c r="M396" s="1"/>
      <c r="N396" s="1"/>
      <c r="O396" s="1"/>
      <c r="P396" s="1"/>
      <c r="Q396" s="1"/>
      <c r="R396" s="1"/>
      <c r="S396" s="1"/>
      <c r="T396" s="1"/>
      <c r="U396" s="2"/>
      <c r="V396" s="1"/>
      <c r="W396" s="1"/>
      <c r="X396" s="1"/>
      <c r="Y396" s="1"/>
      <c r="Z396" s="1"/>
    </row>
    <row r="397" spans="1:26" ht="24.75" customHeight="1">
      <c r="A397" s="1"/>
      <c r="B397" s="1"/>
      <c r="C397" s="1"/>
      <c r="D397" s="1"/>
      <c r="E397" s="1"/>
      <c r="F397" s="1"/>
      <c r="G397" s="1"/>
      <c r="H397" s="1"/>
      <c r="I397" s="1"/>
      <c r="J397" s="1"/>
      <c r="K397" s="1"/>
      <c r="L397" s="1"/>
      <c r="M397" s="1"/>
      <c r="N397" s="1"/>
      <c r="O397" s="1"/>
      <c r="P397" s="1"/>
      <c r="Q397" s="1"/>
      <c r="R397" s="1"/>
      <c r="S397" s="1"/>
      <c r="T397" s="1"/>
      <c r="U397" s="2"/>
      <c r="V397" s="1"/>
      <c r="W397" s="1"/>
      <c r="X397" s="1"/>
      <c r="Y397" s="1"/>
      <c r="Z397" s="1"/>
    </row>
    <row r="398" spans="1:26" ht="24.75" customHeight="1">
      <c r="A398" s="1"/>
      <c r="B398" s="1"/>
      <c r="C398" s="1"/>
      <c r="D398" s="1"/>
      <c r="E398" s="1"/>
      <c r="F398" s="1"/>
      <c r="G398" s="1"/>
      <c r="H398" s="1"/>
      <c r="I398" s="1"/>
      <c r="J398" s="1"/>
      <c r="K398" s="1"/>
      <c r="L398" s="1"/>
      <c r="M398" s="1"/>
      <c r="N398" s="1"/>
      <c r="O398" s="1"/>
      <c r="P398" s="1"/>
      <c r="Q398" s="1"/>
      <c r="R398" s="1"/>
      <c r="S398" s="1"/>
      <c r="T398" s="1"/>
      <c r="U398" s="2"/>
      <c r="V398" s="1"/>
      <c r="W398" s="1"/>
      <c r="X398" s="1"/>
      <c r="Y398" s="1"/>
      <c r="Z398" s="1"/>
    </row>
    <row r="399" spans="1:26" ht="24.75" customHeight="1">
      <c r="A399" s="1"/>
      <c r="B399" s="1"/>
      <c r="C399" s="1"/>
      <c r="D399" s="1"/>
      <c r="E399" s="1"/>
      <c r="F399" s="1"/>
      <c r="G399" s="1"/>
      <c r="H399" s="1"/>
      <c r="I399" s="1"/>
      <c r="J399" s="1"/>
      <c r="K399" s="1"/>
      <c r="L399" s="1"/>
      <c r="M399" s="1"/>
      <c r="N399" s="1"/>
      <c r="O399" s="1"/>
      <c r="P399" s="1"/>
      <c r="Q399" s="1"/>
      <c r="R399" s="1"/>
      <c r="S399" s="1"/>
      <c r="T399" s="1"/>
      <c r="U399" s="2"/>
      <c r="V399" s="1"/>
      <c r="W399" s="1"/>
      <c r="X399" s="1"/>
      <c r="Y399" s="1"/>
      <c r="Z399" s="1"/>
    </row>
    <row r="400" spans="1:26" ht="24.75" customHeight="1">
      <c r="A400" s="1"/>
      <c r="B400" s="1"/>
      <c r="C400" s="1"/>
      <c r="D400" s="1"/>
      <c r="E400" s="1"/>
      <c r="F400" s="1"/>
      <c r="G400" s="1"/>
      <c r="H400" s="1"/>
      <c r="I400" s="1"/>
      <c r="J400" s="1"/>
      <c r="K400" s="1"/>
      <c r="L400" s="1"/>
      <c r="M400" s="1"/>
      <c r="N400" s="1"/>
      <c r="O400" s="1"/>
      <c r="P400" s="1"/>
      <c r="Q400" s="1"/>
      <c r="R400" s="1"/>
      <c r="S400" s="1"/>
      <c r="T400" s="1"/>
      <c r="U400" s="2"/>
      <c r="V400" s="1"/>
      <c r="W400" s="1"/>
      <c r="X400" s="1"/>
      <c r="Y400" s="1"/>
      <c r="Z400" s="1"/>
    </row>
    <row r="401" spans="1:26" ht="24.75" customHeight="1">
      <c r="A401" s="1"/>
      <c r="B401" s="1"/>
      <c r="C401" s="1"/>
      <c r="D401" s="1"/>
      <c r="E401" s="1"/>
      <c r="F401" s="1"/>
      <c r="G401" s="1"/>
      <c r="H401" s="1"/>
      <c r="I401" s="1"/>
      <c r="J401" s="1"/>
      <c r="K401" s="1"/>
      <c r="L401" s="1"/>
      <c r="M401" s="1"/>
      <c r="N401" s="1"/>
      <c r="O401" s="1"/>
      <c r="P401" s="1"/>
      <c r="Q401" s="1"/>
      <c r="R401" s="1"/>
      <c r="S401" s="1"/>
      <c r="T401" s="1"/>
      <c r="U401" s="2"/>
      <c r="V401" s="1"/>
      <c r="W401" s="1"/>
      <c r="X401" s="1"/>
      <c r="Y401" s="1"/>
      <c r="Z401" s="1"/>
    </row>
    <row r="402" spans="1:26" ht="24.75" customHeight="1">
      <c r="A402" s="1"/>
      <c r="B402" s="1"/>
      <c r="C402" s="1"/>
      <c r="D402" s="1"/>
      <c r="E402" s="1"/>
      <c r="F402" s="1"/>
      <c r="G402" s="1"/>
      <c r="H402" s="1"/>
      <c r="I402" s="1"/>
      <c r="J402" s="1"/>
      <c r="K402" s="1"/>
      <c r="L402" s="1"/>
      <c r="M402" s="1"/>
      <c r="N402" s="1"/>
      <c r="O402" s="1"/>
      <c r="P402" s="1"/>
      <c r="Q402" s="1"/>
      <c r="R402" s="1"/>
      <c r="S402" s="1"/>
      <c r="T402" s="1"/>
      <c r="U402" s="2"/>
      <c r="V402" s="1"/>
      <c r="W402" s="1"/>
      <c r="X402" s="1"/>
      <c r="Y402" s="1"/>
      <c r="Z402" s="1"/>
    </row>
    <row r="403" spans="1:26" ht="24.75" customHeight="1">
      <c r="A403" s="1"/>
      <c r="B403" s="1"/>
      <c r="C403" s="1"/>
      <c r="D403" s="1"/>
      <c r="E403" s="1"/>
      <c r="F403" s="1"/>
      <c r="G403" s="1"/>
      <c r="H403" s="1"/>
      <c r="I403" s="1"/>
      <c r="J403" s="1"/>
      <c r="K403" s="1"/>
      <c r="L403" s="1"/>
      <c r="M403" s="1"/>
      <c r="N403" s="1"/>
      <c r="O403" s="1"/>
      <c r="P403" s="1"/>
      <c r="Q403" s="1"/>
      <c r="R403" s="1"/>
      <c r="S403" s="1"/>
      <c r="T403" s="1"/>
      <c r="U403" s="2"/>
      <c r="V403" s="1"/>
      <c r="W403" s="1"/>
      <c r="X403" s="1"/>
      <c r="Y403" s="1"/>
      <c r="Z403" s="1"/>
    </row>
    <row r="404" spans="1:26" ht="24.75" customHeight="1">
      <c r="A404" s="1"/>
      <c r="B404" s="1"/>
      <c r="C404" s="1"/>
      <c r="D404" s="1"/>
      <c r="E404" s="1"/>
      <c r="F404" s="1"/>
      <c r="G404" s="1"/>
      <c r="H404" s="1"/>
      <c r="I404" s="1"/>
      <c r="J404" s="1"/>
      <c r="K404" s="1"/>
      <c r="L404" s="1"/>
      <c r="M404" s="1"/>
      <c r="N404" s="1"/>
      <c r="O404" s="1"/>
      <c r="P404" s="1"/>
      <c r="Q404" s="1"/>
      <c r="R404" s="1"/>
      <c r="S404" s="1"/>
      <c r="T404" s="1"/>
      <c r="U404" s="2"/>
      <c r="V404" s="1"/>
      <c r="W404" s="1"/>
      <c r="X404" s="1"/>
      <c r="Y404" s="1"/>
      <c r="Z404" s="1"/>
    </row>
    <row r="405" spans="1:26" ht="24.75" customHeight="1">
      <c r="A405" s="1"/>
      <c r="B405" s="1"/>
      <c r="C405" s="1"/>
      <c r="D405" s="1"/>
      <c r="E405" s="1"/>
      <c r="F405" s="1"/>
      <c r="G405" s="1"/>
      <c r="H405" s="1"/>
      <c r="I405" s="1"/>
      <c r="J405" s="1"/>
      <c r="K405" s="1"/>
      <c r="L405" s="1"/>
      <c r="M405" s="1"/>
      <c r="N405" s="1"/>
      <c r="O405" s="1"/>
      <c r="P405" s="1"/>
      <c r="Q405" s="1"/>
      <c r="R405" s="1"/>
      <c r="S405" s="1"/>
      <c r="T405" s="1"/>
      <c r="U405" s="2"/>
      <c r="V405" s="1"/>
      <c r="W405" s="1"/>
      <c r="X405" s="1"/>
      <c r="Y405" s="1"/>
      <c r="Z405" s="1"/>
    </row>
    <row r="406" spans="1:26" ht="24.75" customHeight="1">
      <c r="A406" s="1"/>
      <c r="B406" s="1"/>
      <c r="C406" s="1"/>
      <c r="D406" s="1"/>
      <c r="E406" s="1"/>
      <c r="F406" s="1"/>
      <c r="G406" s="1"/>
      <c r="H406" s="1"/>
      <c r="I406" s="1"/>
      <c r="J406" s="1"/>
      <c r="K406" s="1"/>
      <c r="L406" s="1"/>
      <c r="M406" s="1"/>
      <c r="N406" s="1"/>
      <c r="O406" s="1"/>
      <c r="P406" s="1"/>
      <c r="Q406" s="1"/>
      <c r="R406" s="1"/>
      <c r="S406" s="1"/>
      <c r="T406" s="1"/>
      <c r="U406" s="2"/>
      <c r="V406" s="1"/>
      <c r="W406" s="1"/>
      <c r="X406" s="1"/>
      <c r="Y406" s="1"/>
      <c r="Z406" s="1"/>
    </row>
    <row r="407" spans="1:26" ht="24.75" customHeight="1">
      <c r="A407" s="1"/>
      <c r="B407" s="1"/>
      <c r="C407" s="1"/>
      <c r="D407" s="1"/>
      <c r="E407" s="1"/>
      <c r="F407" s="1"/>
      <c r="G407" s="1"/>
      <c r="H407" s="1"/>
      <c r="I407" s="1"/>
      <c r="J407" s="1"/>
      <c r="K407" s="1"/>
      <c r="L407" s="1"/>
      <c r="M407" s="1"/>
      <c r="N407" s="1"/>
      <c r="O407" s="1"/>
      <c r="P407" s="1"/>
      <c r="Q407" s="1"/>
      <c r="R407" s="1"/>
      <c r="S407" s="1"/>
      <c r="T407" s="1"/>
      <c r="U407" s="2"/>
      <c r="V407" s="1"/>
      <c r="W407" s="1"/>
      <c r="X407" s="1"/>
      <c r="Y407" s="1"/>
      <c r="Z407" s="1"/>
    </row>
    <row r="408" spans="1:26" ht="24.75" customHeight="1">
      <c r="A408" s="1"/>
      <c r="B408" s="1"/>
      <c r="C408" s="1"/>
      <c r="D408" s="1"/>
      <c r="E408" s="1"/>
      <c r="F408" s="1"/>
      <c r="G408" s="1"/>
      <c r="H408" s="1"/>
      <c r="I408" s="1"/>
      <c r="J408" s="1"/>
      <c r="K408" s="1"/>
      <c r="L408" s="1"/>
      <c r="M408" s="1"/>
      <c r="N408" s="1"/>
      <c r="O408" s="1"/>
      <c r="P408" s="1"/>
      <c r="Q408" s="1"/>
      <c r="R408" s="1"/>
      <c r="S408" s="1"/>
      <c r="T408" s="1"/>
      <c r="U408" s="2"/>
      <c r="V408" s="1"/>
      <c r="W408" s="1"/>
      <c r="X408" s="1"/>
      <c r="Y408" s="1"/>
      <c r="Z408" s="1"/>
    </row>
    <row r="409" spans="1:26" ht="24.75" customHeight="1">
      <c r="A409" s="1"/>
      <c r="B409" s="1"/>
      <c r="C409" s="1"/>
      <c r="D409" s="1"/>
      <c r="E409" s="1"/>
      <c r="F409" s="1"/>
      <c r="G409" s="1"/>
      <c r="H409" s="1"/>
      <c r="I409" s="1"/>
      <c r="J409" s="1"/>
      <c r="K409" s="1"/>
      <c r="L409" s="1"/>
      <c r="M409" s="1"/>
      <c r="N409" s="1"/>
      <c r="O409" s="1"/>
      <c r="P409" s="1"/>
      <c r="Q409" s="1"/>
      <c r="R409" s="1"/>
      <c r="S409" s="1"/>
      <c r="T409" s="1"/>
      <c r="U409" s="2"/>
      <c r="V409" s="1"/>
      <c r="W409" s="1"/>
      <c r="X409" s="1"/>
      <c r="Y409" s="1"/>
      <c r="Z409" s="1"/>
    </row>
    <row r="410" spans="1:26" ht="24.75" customHeight="1">
      <c r="A410" s="1"/>
      <c r="B410" s="1"/>
      <c r="C410" s="1"/>
      <c r="D410" s="1"/>
      <c r="E410" s="1"/>
      <c r="F410" s="1"/>
      <c r="G410" s="1"/>
      <c r="H410" s="1"/>
      <c r="I410" s="1"/>
      <c r="J410" s="1"/>
      <c r="K410" s="1"/>
      <c r="L410" s="1"/>
      <c r="M410" s="1"/>
      <c r="N410" s="1"/>
      <c r="O410" s="1"/>
      <c r="P410" s="1"/>
      <c r="Q410" s="1"/>
      <c r="R410" s="1"/>
      <c r="S410" s="1"/>
      <c r="T410" s="1"/>
      <c r="U410" s="2"/>
      <c r="V410" s="1"/>
      <c r="W410" s="1"/>
      <c r="X410" s="1"/>
      <c r="Y410" s="1"/>
      <c r="Z410" s="1"/>
    </row>
    <row r="411" spans="1:26" ht="24.75" customHeight="1">
      <c r="A411" s="1"/>
      <c r="B411" s="1"/>
      <c r="C411" s="1"/>
      <c r="D411" s="1"/>
      <c r="E411" s="1"/>
      <c r="F411" s="1"/>
      <c r="G411" s="1"/>
      <c r="H411" s="1"/>
      <c r="I411" s="1"/>
      <c r="J411" s="1"/>
      <c r="K411" s="1"/>
      <c r="L411" s="1"/>
      <c r="M411" s="1"/>
      <c r="N411" s="1"/>
      <c r="O411" s="1"/>
      <c r="P411" s="1"/>
      <c r="Q411" s="1"/>
      <c r="R411" s="1"/>
      <c r="S411" s="1"/>
      <c r="T411" s="1"/>
      <c r="U411" s="2"/>
      <c r="V411" s="1"/>
      <c r="W411" s="1"/>
      <c r="X411" s="1"/>
      <c r="Y411" s="1"/>
      <c r="Z411" s="1"/>
    </row>
    <row r="412" spans="1:26" ht="24.75" customHeight="1">
      <c r="A412" s="1"/>
      <c r="B412" s="1"/>
      <c r="C412" s="1"/>
      <c r="D412" s="1"/>
      <c r="E412" s="1"/>
      <c r="F412" s="1"/>
      <c r="G412" s="1"/>
      <c r="H412" s="1"/>
      <c r="I412" s="1"/>
      <c r="J412" s="1"/>
      <c r="K412" s="1"/>
      <c r="L412" s="1"/>
      <c r="M412" s="1"/>
      <c r="N412" s="1"/>
      <c r="O412" s="1"/>
      <c r="P412" s="1"/>
      <c r="Q412" s="1"/>
      <c r="R412" s="1"/>
      <c r="S412" s="1"/>
      <c r="T412" s="1"/>
      <c r="U412" s="2"/>
      <c r="V412" s="1"/>
      <c r="W412" s="1"/>
      <c r="X412" s="1"/>
      <c r="Y412" s="1"/>
      <c r="Z412" s="1"/>
    </row>
    <row r="413" spans="1:26" ht="24.75" customHeight="1">
      <c r="A413" s="1"/>
      <c r="B413" s="1"/>
      <c r="C413" s="1"/>
      <c r="D413" s="1"/>
      <c r="E413" s="1"/>
      <c r="F413" s="1"/>
      <c r="G413" s="1"/>
      <c r="H413" s="1"/>
      <c r="I413" s="1"/>
      <c r="J413" s="1"/>
      <c r="K413" s="1"/>
      <c r="L413" s="1"/>
      <c r="M413" s="1"/>
      <c r="N413" s="1"/>
      <c r="O413" s="1"/>
      <c r="P413" s="1"/>
      <c r="Q413" s="1"/>
      <c r="R413" s="1"/>
      <c r="S413" s="1"/>
      <c r="T413" s="1"/>
      <c r="U413" s="2"/>
      <c r="V413" s="1"/>
      <c r="W413" s="1"/>
      <c r="X413" s="1"/>
      <c r="Y413" s="1"/>
      <c r="Z413" s="1"/>
    </row>
    <row r="414" spans="1:26" ht="24.75" customHeight="1">
      <c r="A414" s="1"/>
      <c r="B414" s="1"/>
      <c r="C414" s="1"/>
      <c r="D414" s="1"/>
      <c r="E414" s="1"/>
      <c r="F414" s="1"/>
      <c r="G414" s="1"/>
      <c r="H414" s="1"/>
      <c r="I414" s="1"/>
      <c r="J414" s="1"/>
      <c r="K414" s="1"/>
      <c r="L414" s="1"/>
      <c r="M414" s="1"/>
      <c r="N414" s="1"/>
      <c r="O414" s="1"/>
      <c r="P414" s="1"/>
      <c r="Q414" s="1"/>
      <c r="R414" s="1"/>
      <c r="S414" s="1"/>
      <c r="T414" s="1"/>
      <c r="U414" s="2"/>
      <c r="V414" s="1"/>
      <c r="W414" s="1"/>
      <c r="X414" s="1"/>
      <c r="Y414" s="1"/>
      <c r="Z414" s="1"/>
    </row>
    <row r="415" spans="1:26" ht="24.75" customHeight="1">
      <c r="A415" s="1"/>
      <c r="B415" s="1"/>
      <c r="C415" s="1"/>
      <c r="D415" s="1"/>
      <c r="E415" s="1"/>
      <c r="F415" s="1"/>
      <c r="G415" s="1"/>
      <c r="H415" s="1"/>
      <c r="I415" s="1"/>
      <c r="J415" s="1"/>
      <c r="K415" s="1"/>
      <c r="L415" s="1"/>
      <c r="M415" s="1"/>
      <c r="N415" s="1"/>
      <c r="O415" s="1"/>
      <c r="P415" s="1"/>
      <c r="Q415" s="1"/>
      <c r="R415" s="1"/>
      <c r="S415" s="1"/>
      <c r="T415" s="1"/>
      <c r="U415" s="2"/>
      <c r="V415" s="1"/>
      <c r="W415" s="1"/>
      <c r="X415" s="1"/>
      <c r="Y415" s="1"/>
      <c r="Z415" s="1"/>
    </row>
    <row r="416" spans="1:26" ht="24.75" customHeight="1">
      <c r="A416" s="1"/>
      <c r="B416" s="1"/>
      <c r="C416" s="1"/>
      <c r="D416" s="1"/>
      <c r="E416" s="1"/>
      <c r="F416" s="1"/>
      <c r="G416" s="1"/>
      <c r="H416" s="1"/>
      <c r="I416" s="1"/>
      <c r="J416" s="1"/>
      <c r="K416" s="1"/>
      <c r="L416" s="1"/>
      <c r="M416" s="1"/>
      <c r="N416" s="1"/>
      <c r="O416" s="1"/>
      <c r="P416" s="1"/>
      <c r="Q416" s="1"/>
      <c r="R416" s="1"/>
      <c r="S416" s="1"/>
      <c r="T416" s="1"/>
      <c r="U416" s="2"/>
      <c r="V416" s="1"/>
      <c r="W416" s="1"/>
      <c r="X416" s="1"/>
      <c r="Y416" s="1"/>
      <c r="Z416" s="1"/>
    </row>
    <row r="417" spans="1:26" ht="24.75" customHeight="1">
      <c r="A417" s="1"/>
      <c r="B417" s="1"/>
      <c r="C417" s="1"/>
      <c r="D417" s="1"/>
      <c r="E417" s="1"/>
      <c r="F417" s="1"/>
      <c r="G417" s="1"/>
      <c r="H417" s="1"/>
      <c r="I417" s="1"/>
      <c r="J417" s="1"/>
      <c r="K417" s="1"/>
      <c r="L417" s="1"/>
      <c r="M417" s="1"/>
      <c r="N417" s="1"/>
      <c r="O417" s="1"/>
      <c r="P417" s="1"/>
      <c r="Q417" s="1"/>
      <c r="R417" s="1"/>
      <c r="S417" s="1"/>
      <c r="T417" s="1"/>
      <c r="U417" s="2"/>
      <c r="V417" s="1"/>
      <c r="W417" s="1"/>
      <c r="X417" s="1"/>
      <c r="Y417" s="1"/>
      <c r="Z417" s="1"/>
    </row>
    <row r="418" spans="1:26" ht="24.75" customHeight="1">
      <c r="A418" s="1"/>
      <c r="B418" s="1"/>
      <c r="C418" s="1"/>
      <c r="D418" s="1"/>
      <c r="E418" s="1"/>
      <c r="F418" s="1"/>
      <c r="G418" s="1"/>
      <c r="H418" s="1"/>
      <c r="I418" s="1"/>
      <c r="J418" s="1"/>
      <c r="K418" s="1"/>
      <c r="L418" s="1"/>
      <c r="M418" s="1"/>
      <c r="N418" s="1"/>
      <c r="O418" s="1"/>
      <c r="P418" s="1"/>
      <c r="Q418" s="1"/>
      <c r="R418" s="1"/>
      <c r="S418" s="1"/>
      <c r="T418" s="1"/>
      <c r="U418" s="2"/>
      <c r="V418" s="1"/>
      <c r="W418" s="1"/>
      <c r="X418" s="1"/>
      <c r="Y418" s="1"/>
      <c r="Z418" s="1"/>
    </row>
    <row r="419" spans="1:26" ht="24.75" customHeight="1">
      <c r="A419" s="1"/>
      <c r="B419" s="1"/>
      <c r="C419" s="1"/>
      <c r="D419" s="1"/>
      <c r="E419" s="1"/>
      <c r="F419" s="1"/>
      <c r="G419" s="1"/>
      <c r="H419" s="1"/>
      <c r="I419" s="1"/>
      <c r="J419" s="1"/>
      <c r="K419" s="1"/>
      <c r="L419" s="1"/>
      <c r="M419" s="1"/>
      <c r="N419" s="1"/>
      <c r="O419" s="1"/>
      <c r="P419" s="1"/>
      <c r="Q419" s="1"/>
      <c r="R419" s="1"/>
      <c r="S419" s="1"/>
      <c r="T419" s="1"/>
      <c r="U419" s="2"/>
      <c r="V419" s="1"/>
      <c r="W419" s="1"/>
      <c r="X419" s="1"/>
      <c r="Y419" s="1"/>
      <c r="Z419" s="1"/>
    </row>
    <row r="420" spans="1:26" ht="24.75" customHeight="1">
      <c r="A420" s="1"/>
      <c r="B420" s="1"/>
      <c r="C420" s="1"/>
      <c r="D420" s="1"/>
      <c r="E420" s="1"/>
      <c r="F420" s="1"/>
      <c r="G420" s="1"/>
      <c r="H420" s="1"/>
      <c r="I420" s="1"/>
      <c r="J420" s="1"/>
      <c r="K420" s="1"/>
      <c r="L420" s="1"/>
      <c r="M420" s="1"/>
      <c r="N420" s="1"/>
      <c r="O420" s="1"/>
      <c r="P420" s="1"/>
      <c r="Q420" s="1"/>
      <c r="R420" s="1"/>
      <c r="S420" s="1"/>
      <c r="T420" s="1"/>
      <c r="U420" s="2"/>
      <c r="V420" s="1"/>
      <c r="W420" s="1"/>
      <c r="X420" s="1"/>
      <c r="Y420" s="1"/>
      <c r="Z420" s="1"/>
    </row>
    <row r="421" spans="1:26" ht="24.75" customHeight="1">
      <c r="A421" s="1"/>
      <c r="B421" s="1"/>
      <c r="C421" s="1"/>
      <c r="D421" s="1"/>
      <c r="E421" s="1"/>
      <c r="F421" s="1"/>
      <c r="G421" s="1"/>
      <c r="H421" s="1"/>
      <c r="I421" s="1"/>
      <c r="J421" s="1"/>
      <c r="K421" s="1"/>
      <c r="L421" s="1"/>
      <c r="M421" s="1"/>
      <c r="N421" s="1"/>
      <c r="O421" s="1"/>
      <c r="P421" s="1"/>
      <c r="Q421" s="1"/>
      <c r="R421" s="1"/>
      <c r="S421" s="1"/>
      <c r="T421" s="1"/>
      <c r="U421" s="2"/>
      <c r="V421" s="1"/>
      <c r="W421" s="1"/>
      <c r="X421" s="1"/>
      <c r="Y421" s="1"/>
      <c r="Z421" s="1"/>
    </row>
    <row r="422" spans="1:26" ht="24.75" customHeight="1">
      <c r="A422" s="1"/>
      <c r="B422" s="1"/>
      <c r="C422" s="1"/>
      <c r="D422" s="1"/>
      <c r="E422" s="1"/>
      <c r="F422" s="1"/>
      <c r="G422" s="1"/>
      <c r="H422" s="1"/>
      <c r="I422" s="1"/>
      <c r="J422" s="1"/>
      <c r="K422" s="1"/>
      <c r="L422" s="1"/>
      <c r="M422" s="1"/>
      <c r="N422" s="1"/>
      <c r="O422" s="1"/>
      <c r="P422" s="1"/>
      <c r="Q422" s="1"/>
      <c r="R422" s="1"/>
      <c r="S422" s="1"/>
      <c r="T422" s="1"/>
      <c r="U422" s="2"/>
      <c r="V422" s="1"/>
      <c r="W422" s="1"/>
      <c r="X422" s="1"/>
      <c r="Y422" s="1"/>
      <c r="Z422" s="1"/>
    </row>
    <row r="423" spans="1:26" ht="24.75" customHeight="1">
      <c r="A423" s="1"/>
      <c r="B423" s="1"/>
      <c r="C423" s="1"/>
      <c r="D423" s="1"/>
      <c r="E423" s="1"/>
      <c r="F423" s="1"/>
      <c r="G423" s="1"/>
      <c r="H423" s="1"/>
      <c r="I423" s="1"/>
      <c r="J423" s="1"/>
      <c r="K423" s="1"/>
      <c r="L423" s="1"/>
      <c r="M423" s="1"/>
      <c r="N423" s="1"/>
      <c r="O423" s="1"/>
      <c r="P423" s="1"/>
      <c r="Q423" s="1"/>
      <c r="R423" s="1"/>
      <c r="S423" s="1"/>
      <c r="T423" s="1"/>
      <c r="U423" s="2"/>
      <c r="V423" s="1"/>
      <c r="W423" s="1"/>
      <c r="X423" s="1"/>
      <c r="Y423" s="1"/>
      <c r="Z423" s="1"/>
    </row>
    <row r="424" spans="1:26" ht="24.75" customHeight="1">
      <c r="A424" s="1"/>
      <c r="B424" s="1"/>
      <c r="C424" s="1"/>
      <c r="D424" s="1"/>
      <c r="E424" s="1"/>
      <c r="F424" s="1"/>
      <c r="G424" s="1"/>
      <c r="H424" s="1"/>
      <c r="I424" s="1"/>
      <c r="J424" s="1"/>
      <c r="K424" s="1"/>
      <c r="L424" s="1"/>
      <c r="M424" s="1"/>
      <c r="N424" s="1"/>
      <c r="O424" s="1"/>
      <c r="P424" s="1"/>
      <c r="Q424" s="1"/>
      <c r="R424" s="1"/>
      <c r="S424" s="1"/>
      <c r="T424" s="1"/>
      <c r="U424" s="2"/>
      <c r="V424" s="1"/>
      <c r="W424" s="1"/>
      <c r="X424" s="1"/>
      <c r="Y424" s="1"/>
      <c r="Z424" s="1"/>
    </row>
    <row r="425" spans="1:26" ht="24.75" customHeight="1">
      <c r="A425" s="1"/>
      <c r="B425" s="1"/>
      <c r="C425" s="1"/>
      <c r="D425" s="1"/>
      <c r="E425" s="1"/>
      <c r="F425" s="1"/>
      <c r="G425" s="1"/>
      <c r="H425" s="1"/>
      <c r="I425" s="1"/>
      <c r="J425" s="1"/>
      <c r="K425" s="1"/>
      <c r="L425" s="1"/>
      <c r="M425" s="1"/>
      <c r="N425" s="1"/>
      <c r="O425" s="1"/>
      <c r="P425" s="1"/>
      <c r="Q425" s="1"/>
      <c r="R425" s="1"/>
      <c r="S425" s="1"/>
      <c r="T425" s="1"/>
      <c r="U425" s="2"/>
      <c r="V425" s="1"/>
      <c r="W425" s="1"/>
      <c r="X425" s="1"/>
      <c r="Y425" s="1"/>
      <c r="Z425" s="1"/>
    </row>
    <row r="426" spans="1:26" ht="24.75" customHeight="1">
      <c r="A426" s="1"/>
      <c r="B426" s="1"/>
      <c r="C426" s="1"/>
      <c r="D426" s="1"/>
      <c r="E426" s="1"/>
      <c r="F426" s="1"/>
      <c r="G426" s="1"/>
      <c r="H426" s="1"/>
      <c r="I426" s="1"/>
      <c r="J426" s="1"/>
      <c r="K426" s="1"/>
      <c r="L426" s="1"/>
      <c r="M426" s="1"/>
      <c r="N426" s="1"/>
      <c r="O426" s="1"/>
      <c r="P426" s="1"/>
      <c r="Q426" s="1"/>
      <c r="R426" s="1"/>
      <c r="S426" s="1"/>
      <c r="T426" s="1"/>
      <c r="U426" s="2"/>
      <c r="V426" s="1"/>
      <c r="W426" s="1"/>
      <c r="X426" s="1"/>
      <c r="Y426" s="1"/>
      <c r="Z426" s="1"/>
    </row>
    <row r="427" spans="1:26" ht="24.75" customHeight="1">
      <c r="A427" s="1"/>
      <c r="B427" s="1"/>
      <c r="C427" s="1"/>
      <c r="D427" s="1"/>
      <c r="E427" s="1"/>
      <c r="F427" s="1"/>
      <c r="G427" s="1"/>
      <c r="H427" s="1"/>
      <c r="I427" s="1"/>
      <c r="J427" s="1"/>
      <c r="K427" s="1"/>
      <c r="L427" s="1"/>
      <c r="M427" s="1"/>
      <c r="N427" s="1"/>
      <c r="O427" s="1"/>
      <c r="P427" s="1"/>
      <c r="Q427" s="1"/>
      <c r="R427" s="1"/>
      <c r="S427" s="1"/>
      <c r="T427" s="1"/>
      <c r="U427" s="2"/>
      <c r="V427" s="1"/>
      <c r="W427" s="1"/>
      <c r="X427" s="1"/>
      <c r="Y427" s="1"/>
      <c r="Z427" s="1"/>
    </row>
    <row r="428" spans="1:26" ht="24.75" customHeight="1">
      <c r="A428" s="1"/>
      <c r="B428" s="1"/>
      <c r="C428" s="1"/>
      <c r="D428" s="1"/>
      <c r="E428" s="1"/>
      <c r="F428" s="1"/>
      <c r="G428" s="1"/>
      <c r="H428" s="1"/>
      <c r="I428" s="1"/>
      <c r="J428" s="1"/>
      <c r="K428" s="1"/>
      <c r="L428" s="1"/>
      <c r="M428" s="1"/>
      <c r="N428" s="1"/>
      <c r="O428" s="1"/>
      <c r="P428" s="1"/>
      <c r="Q428" s="1"/>
      <c r="R428" s="1"/>
      <c r="S428" s="1"/>
      <c r="T428" s="1"/>
      <c r="U428" s="2"/>
      <c r="V428" s="1"/>
      <c r="W428" s="1"/>
      <c r="X428" s="1"/>
      <c r="Y428" s="1"/>
      <c r="Z428" s="1"/>
    </row>
    <row r="429" spans="1:26" ht="24.75" customHeight="1">
      <c r="A429" s="1"/>
      <c r="B429" s="1"/>
      <c r="C429" s="1"/>
      <c r="D429" s="1"/>
      <c r="E429" s="1"/>
      <c r="F429" s="1"/>
      <c r="G429" s="1"/>
      <c r="H429" s="1"/>
      <c r="I429" s="1"/>
      <c r="J429" s="1"/>
      <c r="K429" s="1"/>
      <c r="L429" s="1"/>
      <c r="M429" s="1"/>
      <c r="N429" s="1"/>
      <c r="O429" s="1"/>
      <c r="P429" s="1"/>
      <c r="Q429" s="1"/>
      <c r="R429" s="1"/>
      <c r="S429" s="1"/>
      <c r="T429" s="1"/>
      <c r="U429" s="2"/>
      <c r="V429" s="1"/>
      <c r="W429" s="1"/>
      <c r="X429" s="1"/>
      <c r="Y429" s="1"/>
      <c r="Z429" s="1"/>
    </row>
    <row r="430" spans="1:26" ht="24.75" customHeight="1">
      <c r="A430" s="1"/>
      <c r="B430" s="1"/>
      <c r="C430" s="1"/>
      <c r="D430" s="1"/>
      <c r="E430" s="1"/>
      <c r="F430" s="1"/>
      <c r="G430" s="1"/>
      <c r="H430" s="1"/>
      <c r="I430" s="1"/>
      <c r="J430" s="1"/>
      <c r="K430" s="1"/>
      <c r="L430" s="1"/>
      <c r="M430" s="1"/>
      <c r="N430" s="1"/>
      <c r="O430" s="1"/>
      <c r="P430" s="1"/>
      <c r="Q430" s="1"/>
      <c r="R430" s="1"/>
      <c r="S430" s="1"/>
      <c r="T430" s="1"/>
      <c r="U430" s="2"/>
      <c r="V430" s="1"/>
      <c r="W430" s="1"/>
      <c r="X430" s="1"/>
      <c r="Y430" s="1"/>
      <c r="Z430" s="1"/>
    </row>
    <row r="431" spans="1:26" ht="24.75" customHeight="1">
      <c r="A431" s="1"/>
      <c r="B431" s="1"/>
      <c r="C431" s="1"/>
      <c r="D431" s="1"/>
      <c r="E431" s="1"/>
      <c r="F431" s="1"/>
      <c r="G431" s="1"/>
      <c r="H431" s="1"/>
      <c r="I431" s="1"/>
      <c r="J431" s="1"/>
      <c r="K431" s="1"/>
      <c r="L431" s="1"/>
      <c r="M431" s="1"/>
      <c r="N431" s="1"/>
      <c r="O431" s="1"/>
      <c r="P431" s="1"/>
      <c r="Q431" s="1"/>
      <c r="R431" s="1"/>
      <c r="S431" s="1"/>
      <c r="T431" s="1"/>
      <c r="U431" s="2"/>
      <c r="V431" s="1"/>
      <c r="W431" s="1"/>
      <c r="X431" s="1"/>
      <c r="Y431" s="1"/>
      <c r="Z431" s="1"/>
    </row>
    <row r="432" spans="1:26" ht="24.75" customHeight="1">
      <c r="A432" s="1"/>
      <c r="B432" s="1"/>
      <c r="C432" s="1"/>
      <c r="D432" s="1"/>
      <c r="E432" s="1"/>
      <c r="F432" s="1"/>
      <c r="G432" s="1"/>
      <c r="H432" s="1"/>
      <c r="I432" s="1"/>
      <c r="J432" s="1"/>
      <c r="K432" s="1"/>
      <c r="L432" s="1"/>
      <c r="M432" s="1"/>
      <c r="N432" s="1"/>
      <c r="O432" s="1"/>
      <c r="P432" s="1"/>
      <c r="Q432" s="1"/>
      <c r="R432" s="1"/>
      <c r="S432" s="1"/>
      <c r="T432" s="1"/>
      <c r="U432" s="2"/>
      <c r="V432" s="1"/>
      <c r="W432" s="1"/>
      <c r="X432" s="1"/>
      <c r="Y432" s="1"/>
      <c r="Z432" s="1"/>
    </row>
    <row r="433" spans="1:26" ht="24.75" customHeight="1">
      <c r="A433" s="1"/>
      <c r="B433" s="1"/>
      <c r="C433" s="1"/>
      <c r="D433" s="1"/>
      <c r="E433" s="1"/>
      <c r="F433" s="1"/>
      <c r="G433" s="1"/>
      <c r="H433" s="1"/>
      <c r="I433" s="1"/>
      <c r="J433" s="1"/>
      <c r="K433" s="1"/>
      <c r="L433" s="1"/>
      <c r="M433" s="1"/>
      <c r="N433" s="1"/>
      <c r="O433" s="1"/>
      <c r="P433" s="1"/>
      <c r="Q433" s="1"/>
      <c r="R433" s="1"/>
      <c r="S433" s="1"/>
      <c r="T433" s="1"/>
      <c r="U433" s="2"/>
      <c r="V433" s="1"/>
      <c r="W433" s="1"/>
      <c r="X433" s="1"/>
      <c r="Y433" s="1"/>
      <c r="Z433" s="1"/>
    </row>
    <row r="434" spans="1:26" ht="24.75" customHeight="1">
      <c r="A434" s="1"/>
      <c r="B434" s="1"/>
      <c r="C434" s="1"/>
      <c r="D434" s="1"/>
      <c r="E434" s="1"/>
      <c r="F434" s="1"/>
      <c r="G434" s="1"/>
      <c r="H434" s="1"/>
      <c r="I434" s="1"/>
      <c r="J434" s="1"/>
      <c r="K434" s="1"/>
      <c r="L434" s="1"/>
      <c r="M434" s="1"/>
      <c r="N434" s="1"/>
      <c r="O434" s="1"/>
      <c r="P434" s="1"/>
      <c r="Q434" s="1"/>
      <c r="R434" s="1"/>
      <c r="S434" s="1"/>
      <c r="T434" s="1"/>
      <c r="U434" s="2"/>
      <c r="V434" s="1"/>
      <c r="W434" s="1"/>
      <c r="X434" s="1"/>
      <c r="Y434" s="1"/>
      <c r="Z434" s="1"/>
    </row>
    <row r="435" spans="1:26" ht="24.75" customHeight="1">
      <c r="A435" s="1"/>
      <c r="B435" s="1"/>
      <c r="C435" s="1"/>
      <c r="D435" s="1"/>
      <c r="E435" s="1"/>
      <c r="F435" s="1"/>
      <c r="G435" s="1"/>
      <c r="H435" s="1"/>
      <c r="I435" s="1"/>
      <c r="J435" s="1"/>
      <c r="K435" s="1"/>
      <c r="L435" s="1"/>
      <c r="M435" s="1"/>
      <c r="N435" s="1"/>
      <c r="O435" s="1"/>
      <c r="P435" s="1"/>
      <c r="Q435" s="1"/>
      <c r="R435" s="1"/>
      <c r="S435" s="1"/>
      <c r="T435" s="1"/>
      <c r="U435" s="2"/>
      <c r="V435" s="1"/>
      <c r="W435" s="1"/>
      <c r="X435" s="1"/>
      <c r="Y435" s="1"/>
      <c r="Z435" s="1"/>
    </row>
    <row r="436" spans="1:26" ht="24.75" customHeight="1">
      <c r="A436" s="1"/>
      <c r="B436" s="1"/>
      <c r="C436" s="1"/>
      <c r="D436" s="1"/>
      <c r="E436" s="1"/>
      <c r="F436" s="1"/>
      <c r="G436" s="1"/>
      <c r="H436" s="1"/>
      <c r="I436" s="1"/>
      <c r="J436" s="1"/>
      <c r="K436" s="1"/>
      <c r="L436" s="1"/>
      <c r="M436" s="1"/>
      <c r="N436" s="1"/>
      <c r="O436" s="1"/>
      <c r="P436" s="1"/>
      <c r="Q436" s="1"/>
      <c r="R436" s="1"/>
      <c r="S436" s="1"/>
      <c r="T436" s="1"/>
      <c r="U436" s="2"/>
      <c r="V436" s="1"/>
      <c r="W436" s="1"/>
      <c r="X436" s="1"/>
      <c r="Y436" s="1"/>
      <c r="Z436" s="1"/>
    </row>
    <row r="437" spans="1:26" ht="24.75" customHeight="1">
      <c r="A437" s="1"/>
      <c r="B437" s="1"/>
      <c r="C437" s="1"/>
      <c r="D437" s="1"/>
      <c r="E437" s="1"/>
      <c r="F437" s="1"/>
      <c r="G437" s="1"/>
      <c r="H437" s="1"/>
      <c r="I437" s="1"/>
      <c r="J437" s="1"/>
      <c r="K437" s="1"/>
      <c r="L437" s="1"/>
      <c r="M437" s="1"/>
      <c r="N437" s="1"/>
      <c r="O437" s="1"/>
      <c r="P437" s="1"/>
      <c r="Q437" s="1"/>
      <c r="R437" s="1"/>
      <c r="S437" s="1"/>
      <c r="T437" s="1"/>
      <c r="U437" s="2"/>
      <c r="V437" s="1"/>
      <c r="W437" s="1"/>
      <c r="X437" s="1"/>
      <c r="Y437" s="1"/>
      <c r="Z437" s="1"/>
    </row>
    <row r="438" spans="1:26" ht="24.75" customHeight="1">
      <c r="A438" s="1"/>
      <c r="B438" s="1"/>
      <c r="C438" s="1"/>
      <c r="D438" s="1"/>
      <c r="E438" s="1"/>
      <c r="F438" s="1"/>
      <c r="G438" s="1"/>
      <c r="H438" s="1"/>
      <c r="I438" s="1"/>
      <c r="J438" s="1"/>
      <c r="K438" s="1"/>
      <c r="L438" s="1"/>
      <c r="M438" s="1"/>
      <c r="N438" s="1"/>
      <c r="O438" s="1"/>
      <c r="P438" s="1"/>
      <c r="Q438" s="1"/>
      <c r="R438" s="1"/>
      <c r="S438" s="1"/>
      <c r="T438" s="1"/>
      <c r="U438" s="2"/>
      <c r="V438" s="1"/>
      <c r="W438" s="1"/>
      <c r="X438" s="1"/>
      <c r="Y438" s="1"/>
      <c r="Z438" s="1"/>
    </row>
    <row r="439" spans="1:26" ht="24.75" customHeight="1">
      <c r="A439" s="1"/>
      <c r="B439" s="1"/>
      <c r="C439" s="1"/>
      <c r="D439" s="1"/>
      <c r="E439" s="1"/>
      <c r="F439" s="1"/>
      <c r="G439" s="1"/>
      <c r="H439" s="1"/>
      <c r="I439" s="1"/>
      <c r="J439" s="1"/>
      <c r="K439" s="1"/>
      <c r="L439" s="1"/>
      <c r="M439" s="1"/>
      <c r="N439" s="1"/>
      <c r="O439" s="1"/>
      <c r="P439" s="1"/>
      <c r="Q439" s="1"/>
      <c r="R439" s="1"/>
      <c r="S439" s="1"/>
      <c r="T439" s="1"/>
      <c r="U439" s="2"/>
      <c r="V439" s="1"/>
      <c r="W439" s="1"/>
      <c r="X439" s="1"/>
      <c r="Y439" s="1"/>
      <c r="Z439" s="1"/>
    </row>
    <row r="440" spans="1:26" ht="24.75" customHeight="1">
      <c r="A440" s="1"/>
      <c r="B440" s="1"/>
      <c r="C440" s="1"/>
      <c r="D440" s="1"/>
      <c r="E440" s="1"/>
      <c r="F440" s="1"/>
      <c r="G440" s="1"/>
      <c r="H440" s="1"/>
      <c r="I440" s="1"/>
      <c r="J440" s="1"/>
      <c r="K440" s="1"/>
      <c r="L440" s="1"/>
      <c r="M440" s="1"/>
      <c r="N440" s="1"/>
      <c r="O440" s="1"/>
      <c r="P440" s="1"/>
      <c r="Q440" s="1"/>
      <c r="R440" s="1"/>
      <c r="S440" s="1"/>
      <c r="T440" s="1"/>
      <c r="U440" s="2"/>
      <c r="V440" s="1"/>
      <c r="W440" s="1"/>
      <c r="X440" s="1"/>
      <c r="Y440" s="1"/>
      <c r="Z440" s="1"/>
    </row>
    <row r="441" spans="1:26" ht="24.75" customHeight="1">
      <c r="A441" s="1"/>
      <c r="B441" s="1"/>
      <c r="C441" s="1"/>
      <c r="D441" s="1"/>
      <c r="E441" s="1"/>
      <c r="F441" s="1"/>
      <c r="G441" s="1"/>
      <c r="H441" s="1"/>
      <c r="I441" s="1"/>
      <c r="J441" s="1"/>
      <c r="K441" s="1"/>
      <c r="L441" s="1"/>
      <c r="M441" s="1"/>
      <c r="N441" s="1"/>
      <c r="O441" s="1"/>
      <c r="P441" s="1"/>
      <c r="Q441" s="1"/>
      <c r="R441" s="1"/>
      <c r="S441" s="1"/>
      <c r="T441" s="1"/>
      <c r="U441" s="2"/>
      <c r="V441" s="1"/>
      <c r="W441" s="1"/>
      <c r="X441" s="1"/>
      <c r="Y441" s="1"/>
      <c r="Z441" s="1"/>
    </row>
    <row r="442" spans="1:26" ht="24.75" customHeight="1">
      <c r="A442" s="1"/>
      <c r="B442" s="1"/>
      <c r="C442" s="1"/>
      <c r="D442" s="1"/>
      <c r="E442" s="1"/>
      <c r="F442" s="1"/>
      <c r="G442" s="1"/>
      <c r="H442" s="1"/>
      <c r="I442" s="1"/>
      <c r="J442" s="1"/>
      <c r="K442" s="1"/>
      <c r="L442" s="1"/>
      <c r="M442" s="1"/>
      <c r="N442" s="1"/>
      <c r="O442" s="1"/>
      <c r="P442" s="1"/>
      <c r="Q442" s="1"/>
      <c r="R442" s="1"/>
      <c r="S442" s="1"/>
      <c r="T442" s="1"/>
      <c r="U442" s="2"/>
      <c r="V442" s="1"/>
      <c r="W442" s="1"/>
      <c r="X442" s="1"/>
      <c r="Y442" s="1"/>
      <c r="Z442" s="1"/>
    </row>
    <row r="443" spans="1:26" ht="24.75" customHeight="1">
      <c r="A443" s="1"/>
      <c r="B443" s="1"/>
      <c r="C443" s="1"/>
      <c r="D443" s="1"/>
      <c r="E443" s="1"/>
      <c r="F443" s="1"/>
      <c r="G443" s="1"/>
      <c r="H443" s="1"/>
      <c r="I443" s="1"/>
      <c r="J443" s="1"/>
      <c r="K443" s="1"/>
      <c r="L443" s="1"/>
      <c r="M443" s="1"/>
      <c r="N443" s="1"/>
      <c r="O443" s="1"/>
      <c r="P443" s="1"/>
      <c r="Q443" s="1"/>
      <c r="R443" s="1"/>
      <c r="S443" s="1"/>
      <c r="T443" s="1"/>
      <c r="U443" s="2"/>
      <c r="V443" s="1"/>
      <c r="W443" s="1"/>
      <c r="X443" s="1"/>
      <c r="Y443" s="1"/>
      <c r="Z443" s="1"/>
    </row>
    <row r="444" spans="1:26" ht="24.75" customHeight="1">
      <c r="A444" s="1"/>
      <c r="B444" s="1"/>
      <c r="C444" s="1"/>
      <c r="D444" s="1"/>
      <c r="E444" s="1"/>
      <c r="F444" s="1"/>
      <c r="G444" s="1"/>
      <c r="H444" s="1"/>
      <c r="I444" s="1"/>
      <c r="J444" s="1"/>
      <c r="K444" s="1"/>
      <c r="L444" s="1"/>
      <c r="M444" s="1"/>
      <c r="N444" s="1"/>
      <c r="O444" s="1"/>
      <c r="P444" s="1"/>
      <c r="Q444" s="1"/>
      <c r="R444" s="1"/>
      <c r="S444" s="1"/>
      <c r="T444" s="1"/>
      <c r="U444" s="2"/>
      <c r="V444" s="1"/>
      <c r="W444" s="1"/>
      <c r="X444" s="1"/>
      <c r="Y444" s="1"/>
      <c r="Z444" s="1"/>
    </row>
    <row r="445" spans="1:26" ht="24.75" customHeight="1">
      <c r="A445" s="1"/>
      <c r="B445" s="1"/>
      <c r="C445" s="1"/>
      <c r="D445" s="1"/>
      <c r="E445" s="1"/>
      <c r="F445" s="1"/>
      <c r="G445" s="1"/>
      <c r="H445" s="1"/>
      <c r="I445" s="1"/>
      <c r="J445" s="1"/>
      <c r="K445" s="1"/>
      <c r="L445" s="1"/>
      <c r="M445" s="1"/>
      <c r="N445" s="1"/>
      <c r="O445" s="1"/>
      <c r="P445" s="1"/>
      <c r="Q445" s="1"/>
      <c r="R445" s="1"/>
      <c r="S445" s="1"/>
      <c r="T445" s="1"/>
      <c r="U445" s="2"/>
      <c r="V445" s="1"/>
      <c r="W445" s="1"/>
      <c r="X445" s="1"/>
      <c r="Y445" s="1"/>
      <c r="Z445" s="1"/>
    </row>
    <row r="446" spans="1:26" ht="24.75" customHeight="1">
      <c r="A446" s="1"/>
      <c r="B446" s="1"/>
      <c r="C446" s="1"/>
      <c r="D446" s="1"/>
      <c r="E446" s="1"/>
      <c r="F446" s="1"/>
      <c r="G446" s="1"/>
      <c r="H446" s="1"/>
      <c r="I446" s="1"/>
      <c r="J446" s="1"/>
      <c r="K446" s="1"/>
      <c r="L446" s="1"/>
      <c r="M446" s="1"/>
      <c r="N446" s="1"/>
      <c r="O446" s="1"/>
      <c r="P446" s="1"/>
      <c r="Q446" s="1"/>
      <c r="R446" s="1"/>
      <c r="S446" s="1"/>
      <c r="T446" s="1"/>
      <c r="U446" s="2"/>
      <c r="V446" s="1"/>
      <c r="W446" s="1"/>
      <c r="X446" s="1"/>
      <c r="Y446" s="1"/>
      <c r="Z446" s="1"/>
    </row>
    <row r="447" spans="1:26" ht="24.75" customHeight="1">
      <c r="A447" s="1"/>
      <c r="B447" s="1"/>
      <c r="C447" s="1"/>
      <c r="D447" s="1"/>
      <c r="E447" s="1"/>
      <c r="F447" s="1"/>
      <c r="G447" s="1"/>
      <c r="H447" s="1"/>
      <c r="I447" s="1"/>
      <c r="J447" s="1"/>
      <c r="K447" s="1"/>
      <c r="L447" s="1"/>
      <c r="M447" s="1"/>
      <c r="N447" s="1"/>
      <c r="O447" s="1"/>
      <c r="P447" s="1"/>
      <c r="Q447" s="1"/>
      <c r="R447" s="1"/>
      <c r="S447" s="1"/>
      <c r="T447" s="1"/>
      <c r="U447" s="2"/>
      <c r="V447" s="1"/>
      <c r="W447" s="1"/>
      <c r="X447" s="1"/>
      <c r="Y447" s="1"/>
      <c r="Z447" s="1"/>
    </row>
    <row r="448" spans="1:26" ht="24.75" customHeight="1">
      <c r="A448" s="1"/>
      <c r="B448" s="1"/>
      <c r="C448" s="1"/>
      <c r="D448" s="1"/>
      <c r="E448" s="1"/>
      <c r="F448" s="1"/>
      <c r="G448" s="1"/>
      <c r="H448" s="1"/>
      <c r="I448" s="1"/>
      <c r="J448" s="1"/>
      <c r="K448" s="1"/>
      <c r="L448" s="1"/>
      <c r="M448" s="1"/>
      <c r="N448" s="1"/>
      <c r="O448" s="1"/>
      <c r="P448" s="1"/>
      <c r="Q448" s="1"/>
      <c r="R448" s="1"/>
      <c r="S448" s="1"/>
      <c r="T448" s="1"/>
      <c r="U448" s="2"/>
      <c r="V448" s="1"/>
      <c r="W448" s="1"/>
      <c r="X448" s="1"/>
      <c r="Y448" s="1"/>
      <c r="Z448" s="1"/>
    </row>
    <row r="449" spans="1:26" ht="24.75" customHeight="1">
      <c r="A449" s="1"/>
      <c r="B449" s="1"/>
      <c r="C449" s="1"/>
      <c r="D449" s="1"/>
      <c r="E449" s="1"/>
      <c r="F449" s="1"/>
      <c r="G449" s="1"/>
      <c r="H449" s="1"/>
      <c r="I449" s="1"/>
      <c r="J449" s="1"/>
      <c r="K449" s="1"/>
      <c r="L449" s="1"/>
      <c r="M449" s="1"/>
      <c r="N449" s="1"/>
      <c r="O449" s="1"/>
      <c r="P449" s="1"/>
      <c r="Q449" s="1"/>
      <c r="R449" s="1"/>
      <c r="S449" s="1"/>
      <c r="T449" s="1"/>
      <c r="U449" s="2"/>
      <c r="V449" s="1"/>
      <c r="W449" s="1"/>
      <c r="X449" s="1"/>
      <c r="Y449" s="1"/>
      <c r="Z449" s="1"/>
    </row>
    <row r="450" spans="1:26" ht="24.75" customHeight="1">
      <c r="A450" s="1"/>
      <c r="B450" s="1"/>
      <c r="C450" s="1"/>
      <c r="D450" s="1"/>
      <c r="E450" s="1"/>
      <c r="F450" s="1"/>
      <c r="G450" s="1"/>
      <c r="H450" s="1"/>
      <c r="I450" s="1"/>
      <c r="J450" s="1"/>
      <c r="K450" s="1"/>
      <c r="L450" s="1"/>
      <c r="M450" s="1"/>
      <c r="N450" s="1"/>
      <c r="O450" s="1"/>
      <c r="P450" s="1"/>
      <c r="Q450" s="1"/>
      <c r="R450" s="1"/>
      <c r="S450" s="1"/>
      <c r="T450" s="1"/>
      <c r="U450" s="2"/>
      <c r="V450" s="1"/>
      <c r="W450" s="1"/>
      <c r="X450" s="1"/>
      <c r="Y450" s="1"/>
      <c r="Z450" s="1"/>
    </row>
    <row r="451" spans="1:26" ht="24.75" customHeight="1">
      <c r="A451" s="1"/>
      <c r="B451" s="1"/>
      <c r="C451" s="1"/>
      <c r="D451" s="1"/>
      <c r="E451" s="1"/>
      <c r="F451" s="1"/>
      <c r="G451" s="1"/>
      <c r="H451" s="1"/>
      <c r="I451" s="1"/>
      <c r="J451" s="1"/>
      <c r="K451" s="1"/>
      <c r="L451" s="1"/>
      <c r="M451" s="1"/>
      <c r="N451" s="1"/>
      <c r="O451" s="1"/>
      <c r="P451" s="1"/>
      <c r="Q451" s="1"/>
      <c r="R451" s="1"/>
      <c r="S451" s="1"/>
      <c r="T451" s="1"/>
      <c r="U451" s="2"/>
      <c r="V451" s="1"/>
      <c r="W451" s="1"/>
      <c r="X451" s="1"/>
      <c r="Y451" s="1"/>
      <c r="Z451" s="1"/>
    </row>
    <row r="452" spans="1:26" ht="24.75" customHeight="1">
      <c r="A452" s="1"/>
      <c r="B452" s="1"/>
      <c r="C452" s="1"/>
      <c r="D452" s="1"/>
      <c r="E452" s="1"/>
      <c r="F452" s="1"/>
      <c r="G452" s="1"/>
      <c r="H452" s="1"/>
      <c r="I452" s="1"/>
      <c r="J452" s="1"/>
      <c r="K452" s="1"/>
      <c r="L452" s="1"/>
      <c r="M452" s="1"/>
      <c r="N452" s="1"/>
      <c r="O452" s="1"/>
      <c r="P452" s="1"/>
      <c r="Q452" s="1"/>
      <c r="R452" s="1"/>
      <c r="S452" s="1"/>
      <c r="T452" s="1"/>
      <c r="U452" s="2"/>
      <c r="V452" s="1"/>
      <c r="W452" s="1"/>
      <c r="X452" s="1"/>
      <c r="Y452" s="1"/>
      <c r="Z452" s="1"/>
    </row>
    <row r="453" spans="1:26" ht="24.75" customHeight="1">
      <c r="A453" s="1"/>
      <c r="B453" s="1"/>
      <c r="C453" s="1"/>
      <c r="D453" s="1"/>
      <c r="E453" s="1"/>
      <c r="F453" s="1"/>
      <c r="G453" s="1"/>
      <c r="H453" s="1"/>
      <c r="I453" s="1"/>
      <c r="J453" s="1"/>
      <c r="K453" s="1"/>
      <c r="L453" s="1"/>
      <c r="M453" s="1"/>
      <c r="N453" s="1"/>
      <c r="O453" s="1"/>
      <c r="P453" s="1"/>
      <c r="Q453" s="1"/>
      <c r="R453" s="1"/>
      <c r="S453" s="1"/>
      <c r="T453" s="1"/>
      <c r="U453" s="2"/>
      <c r="V453" s="1"/>
      <c r="W453" s="1"/>
      <c r="X453" s="1"/>
      <c r="Y453" s="1"/>
      <c r="Z453" s="1"/>
    </row>
    <row r="454" spans="1:26" ht="24.75" customHeight="1">
      <c r="A454" s="1"/>
      <c r="B454" s="1"/>
      <c r="C454" s="1"/>
      <c r="D454" s="1"/>
      <c r="E454" s="1"/>
      <c r="F454" s="1"/>
      <c r="G454" s="1"/>
      <c r="H454" s="1"/>
      <c r="I454" s="1"/>
      <c r="J454" s="1"/>
      <c r="K454" s="1"/>
      <c r="L454" s="1"/>
      <c r="M454" s="1"/>
      <c r="N454" s="1"/>
      <c r="O454" s="1"/>
      <c r="P454" s="1"/>
      <c r="Q454" s="1"/>
      <c r="R454" s="1"/>
      <c r="S454" s="1"/>
      <c r="T454" s="1"/>
      <c r="U454" s="2"/>
      <c r="V454" s="1"/>
      <c r="W454" s="1"/>
      <c r="X454" s="1"/>
      <c r="Y454" s="1"/>
      <c r="Z454" s="1"/>
    </row>
    <row r="455" spans="1:26" ht="24.75" customHeight="1">
      <c r="A455" s="1"/>
      <c r="B455" s="1"/>
      <c r="C455" s="1"/>
      <c r="D455" s="1"/>
      <c r="E455" s="1"/>
      <c r="F455" s="1"/>
      <c r="G455" s="1"/>
      <c r="H455" s="1"/>
      <c r="I455" s="1"/>
      <c r="J455" s="1"/>
      <c r="K455" s="1"/>
      <c r="L455" s="1"/>
      <c r="M455" s="1"/>
      <c r="N455" s="1"/>
      <c r="O455" s="1"/>
      <c r="P455" s="1"/>
      <c r="Q455" s="1"/>
      <c r="R455" s="1"/>
      <c r="S455" s="1"/>
      <c r="T455" s="1"/>
      <c r="U455" s="2"/>
      <c r="V455" s="1"/>
      <c r="W455" s="1"/>
      <c r="X455" s="1"/>
      <c r="Y455" s="1"/>
      <c r="Z455" s="1"/>
    </row>
    <row r="456" spans="1:26" ht="24.75" customHeight="1">
      <c r="A456" s="1"/>
      <c r="B456" s="1"/>
      <c r="C456" s="1"/>
      <c r="D456" s="1"/>
      <c r="E456" s="1"/>
      <c r="F456" s="1"/>
      <c r="G456" s="1"/>
      <c r="H456" s="1"/>
      <c r="I456" s="1"/>
      <c r="J456" s="1"/>
      <c r="K456" s="1"/>
      <c r="L456" s="1"/>
      <c r="M456" s="1"/>
      <c r="N456" s="1"/>
      <c r="O456" s="1"/>
      <c r="P456" s="1"/>
      <c r="Q456" s="1"/>
      <c r="R456" s="1"/>
      <c r="S456" s="1"/>
      <c r="T456" s="1"/>
      <c r="U456" s="2"/>
      <c r="V456" s="1"/>
      <c r="W456" s="1"/>
      <c r="X456" s="1"/>
      <c r="Y456" s="1"/>
      <c r="Z456" s="1"/>
    </row>
    <row r="457" spans="1:26" ht="24.75" customHeight="1">
      <c r="A457" s="1"/>
      <c r="B457" s="1"/>
      <c r="C457" s="1"/>
      <c r="D457" s="1"/>
      <c r="E457" s="1"/>
      <c r="F457" s="1"/>
      <c r="G457" s="1"/>
      <c r="H457" s="1"/>
      <c r="I457" s="1"/>
      <c r="J457" s="1"/>
      <c r="K457" s="1"/>
      <c r="L457" s="1"/>
      <c r="M457" s="1"/>
      <c r="N457" s="1"/>
      <c r="O457" s="1"/>
      <c r="P457" s="1"/>
      <c r="Q457" s="1"/>
      <c r="R457" s="1"/>
      <c r="S457" s="1"/>
      <c r="T457" s="1"/>
      <c r="U457" s="2"/>
      <c r="V457" s="1"/>
      <c r="W457" s="1"/>
      <c r="X457" s="1"/>
      <c r="Y457" s="1"/>
      <c r="Z457" s="1"/>
    </row>
    <row r="458" spans="1:26" ht="24.75" customHeight="1">
      <c r="A458" s="1"/>
      <c r="B458" s="1"/>
      <c r="C458" s="1"/>
      <c r="D458" s="1"/>
      <c r="E458" s="1"/>
      <c r="F458" s="1"/>
      <c r="G458" s="1"/>
      <c r="H458" s="1"/>
      <c r="I458" s="1"/>
      <c r="J458" s="1"/>
      <c r="K458" s="1"/>
      <c r="L458" s="1"/>
      <c r="M458" s="1"/>
      <c r="N458" s="1"/>
      <c r="O458" s="1"/>
      <c r="P458" s="1"/>
      <c r="Q458" s="1"/>
      <c r="R458" s="1"/>
      <c r="S458" s="1"/>
      <c r="T458" s="1"/>
      <c r="U458" s="2"/>
      <c r="V458" s="1"/>
      <c r="W458" s="1"/>
      <c r="X458" s="1"/>
      <c r="Y458" s="1"/>
      <c r="Z458" s="1"/>
    </row>
    <row r="459" spans="1:26" ht="24.75" customHeight="1">
      <c r="A459" s="1"/>
      <c r="B459" s="1"/>
      <c r="C459" s="1"/>
      <c r="D459" s="1"/>
      <c r="E459" s="1"/>
      <c r="F459" s="1"/>
      <c r="G459" s="1"/>
      <c r="H459" s="1"/>
      <c r="I459" s="1"/>
      <c r="J459" s="1"/>
      <c r="K459" s="1"/>
      <c r="L459" s="1"/>
      <c r="M459" s="1"/>
      <c r="N459" s="1"/>
      <c r="O459" s="1"/>
      <c r="P459" s="1"/>
      <c r="Q459" s="1"/>
      <c r="R459" s="1"/>
      <c r="S459" s="1"/>
      <c r="T459" s="1"/>
      <c r="U459" s="2"/>
      <c r="V459" s="1"/>
      <c r="W459" s="1"/>
      <c r="X459" s="1"/>
      <c r="Y459" s="1"/>
      <c r="Z459" s="1"/>
    </row>
    <row r="460" spans="1:26" ht="24.75" customHeight="1">
      <c r="A460" s="1"/>
      <c r="B460" s="1"/>
      <c r="C460" s="1"/>
      <c r="D460" s="1"/>
      <c r="E460" s="1"/>
      <c r="F460" s="1"/>
      <c r="G460" s="1"/>
      <c r="H460" s="1"/>
      <c r="I460" s="1"/>
      <c r="J460" s="1"/>
      <c r="K460" s="1"/>
      <c r="L460" s="1"/>
      <c r="M460" s="1"/>
      <c r="N460" s="1"/>
      <c r="O460" s="1"/>
      <c r="P460" s="1"/>
      <c r="Q460" s="1"/>
      <c r="R460" s="1"/>
      <c r="S460" s="1"/>
      <c r="T460" s="1"/>
      <c r="U460" s="2"/>
      <c r="V460" s="1"/>
      <c r="W460" s="1"/>
      <c r="X460" s="1"/>
      <c r="Y460" s="1"/>
      <c r="Z460" s="1"/>
    </row>
    <row r="461" spans="1:26" ht="24.75" customHeight="1">
      <c r="A461" s="1"/>
      <c r="B461" s="1"/>
      <c r="C461" s="1"/>
      <c r="D461" s="1"/>
      <c r="E461" s="1"/>
      <c r="F461" s="1"/>
      <c r="G461" s="1"/>
      <c r="H461" s="1"/>
      <c r="I461" s="1"/>
      <c r="J461" s="1"/>
      <c r="K461" s="1"/>
      <c r="L461" s="1"/>
      <c r="M461" s="1"/>
      <c r="N461" s="1"/>
      <c r="O461" s="1"/>
      <c r="P461" s="1"/>
      <c r="Q461" s="1"/>
      <c r="R461" s="1"/>
      <c r="S461" s="1"/>
      <c r="T461" s="1"/>
      <c r="U461" s="2"/>
      <c r="V461" s="1"/>
      <c r="W461" s="1"/>
      <c r="X461" s="1"/>
      <c r="Y461" s="1"/>
      <c r="Z461" s="1"/>
    </row>
    <row r="462" spans="1:26" ht="24.75" customHeight="1">
      <c r="A462" s="1"/>
      <c r="B462" s="1"/>
      <c r="C462" s="1"/>
      <c r="D462" s="1"/>
      <c r="E462" s="1"/>
      <c r="F462" s="1"/>
      <c r="G462" s="1"/>
      <c r="H462" s="1"/>
      <c r="I462" s="1"/>
      <c r="J462" s="1"/>
      <c r="K462" s="1"/>
      <c r="L462" s="1"/>
      <c r="M462" s="1"/>
      <c r="N462" s="1"/>
      <c r="O462" s="1"/>
      <c r="P462" s="1"/>
      <c r="Q462" s="1"/>
      <c r="R462" s="1"/>
      <c r="S462" s="1"/>
      <c r="T462" s="1"/>
      <c r="U462" s="2"/>
      <c r="V462" s="1"/>
      <c r="W462" s="1"/>
      <c r="X462" s="1"/>
      <c r="Y462" s="1"/>
      <c r="Z462" s="1"/>
    </row>
    <row r="463" spans="1:26" ht="24.75" customHeight="1">
      <c r="A463" s="1"/>
      <c r="B463" s="1"/>
      <c r="C463" s="1"/>
      <c r="D463" s="1"/>
      <c r="E463" s="1"/>
      <c r="F463" s="1"/>
      <c r="G463" s="1"/>
      <c r="H463" s="1"/>
      <c r="I463" s="1"/>
      <c r="J463" s="1"/>
      <c r="K463" s="1"/>
      <c r="L463" s="1"/>
      <c r="M463" s="1"/>
      <c r="N463" s="1"/>
      <c r="O463" s="1"/>
      <c r="P463" s="1"/>
      <c r="Q463" s="1"/>
      <c r="R463" s="1"/>
      <c r="S463" s="1"/>
      <c r="T463" s="1"/>
      <c r="U463" s="2"/>
      <c r="V463" s="1"/>
      <c r="W463" s="1"/>
      <c r="X463" s="1"/>
      <c r="Y463" s="1"/>
      <c r="Z463" s="1"/>
    </row>
    <row r="464" spans="1:26" ht="24.75" customHeight="1">
      <c r="A464" s="1"/>
      <c r="B464" s="1"/>
      <c r="C464" s="1"/>
      <c r="D464" s="1"/>
      <c r="E464" s="1"/>
      <c r="F464" s="1"/>
      <c r="G464" s="1"/>
      <c r="H464" s="1"/>
      <c r="I464" s="1"/>
      <c r="J464" s="1"/>
      <c r="K464" s="1"/>
      <c r="L464" s="1"/>
      <c r="M464" s="1"/>
      <c r="N464" s="1"/>
      <c r="O464" s="1"/>
      <c r="P464" s="1"/>
      <c r="Q464" s="1"/>
      <c r="R464" s="1"/>
      <c r="S464" s="1"/>
      <c r="T464" s="1"/>
      <c r="U464" s="2"/>
      <c r="V464" s="1"/>
      <c r="W464" s="1"/>
      <c r="X464" s="1"/>
      <c r="Y464" s="1"/>
      <c r="Z464" s="1"/>
    </row>
    <row r="465" spans="1:26" ht="24.75" customHeight="1">
      <c r="A465" s="1"/>
      <c r="B465" s="1"/>
      <c r="C465" s="1"/>
      <c r="D465" s="1"/>
      <c r="E465" s="1"/>
      <c r="F465" s="1"/>
      <c r="G465" s="1"/>
      <c r="H465" s="1"/>
      <c r="I465" s="1"/>
      <c r="J465" s="1"/>
      <c r="K465" s="1"/>
      <c r="L465" s="1"/>
      <c r="M465" s="1"/>
      <c r="N465" s="1"/>
      <c r="O465" s="1"/>
      <c r="P465" s="1"/>
      <c r="Q465" s="1"/>
      <c r="R465" s="1"/>
      <c r="S465" s="1"/>
      <c r="T465" s="1"/>
      <c r="U465" s="2"/>
      <c r="V465" s="1"/>
      <c r="W465" s="1"/>
      <c r="X465" s="1"/>
      <c r="Y465" s="1"/>
      <c r="Z465" s="1"/>
    </row>
    <row r="466" spans="1:26" ht="24.75" customHeight="1">
      <c r="A466" s="1"/>
      <c r="B466" s="1"/>
      <c r="C466" s="1"/>
      <c r="D466" s="1"/>
      <c r="E466" s="1"/>
      <c r="F466" s="1"/>
      <c r="G466" s="1"/>
      <c r="H466" s="1"/>
      <c r="I466" s="1"/>
      <c r="J466" s="1"/>
      <c r="K466" s="1"/>
      <c r="L466" s="1"/>
      <c r="M466" s="1"/>
      <c r="N466" s="1"/>
      <c r="O466" s="1"/>
      <c r="P466" s="1"/>
      <c r="Q466" s="1"/>
      <c r="R466" s="1"/>
      <c r="S466" s="1"/>
      <c r="T466" s="1"/>
      <c r="U466" s="2"/>
      <c r="V466" s="1"/>
      <c r="W466" s="1"/>
      <c r="X466" s="1"/>
      <c r="Y466" s="1"/>
      <c r="Z466" s="1"/>
    </row>
    <row r="467" spans="1:26" ht="24.75" customHeight="1">
      <c r="A467" s="1"/>
      <c r="B467" s="1"/>
      <c r="C467" s="1"/>
      <c r="D467" s="1"/>
      <c r="E467" s="1"/>
      <c r="F467" s="1"/>
      <c r="G467" s="1"/>
      <c r="H467" s="1"/>
      <c r="I467" s="1"/>
      <c r="J467" s="1"/>
      <c r="K467" s="1"/>
      <c r="L467" s="1"/>
      <c r="M467" s="1"/>
      <c r="N467" s="1"/>
      <c r="O467" s="1"/>
      <c r="P467" s="1"/>
      <c r="Q467" s="1"/>
      <c r="R467" s="1"/>
      <c r="S467" s="1"/>
      <c r="T467" s="1"/>
      <c r="U467" s="2"/>
      <c r="V467" s="1"/>
      <c r="W467" s="1"/>
      <c r="X467" s="1"/>
      <c r="Y467" s="1"/>
      <c r="Z467" s="1"/>
    </row>
    <row r="468" spans="1:26" ht="24.75" customHeight="1">
      <c r="A468" s="1"/>
      <c r="B468" s="1"/>
      <c r="C468" s="1"/>
      <c r="D468" s="1"/>
      <c r="E468" s="1"/>
      <c r="F468" s="1"/>
      <c r="G468" s="1"/>
      <c r="H468" s="1"/>
      <c r="I468" s="1"/>
      <c r="J468" s="1"/>
      <c r="K468" s="1"/>
      <c r="L468" s="1"/>
      <c r="M468" s="1"/>
      <c r="N468" s="1"/>
      <c r="O468" s="1"/>
      <c r="P468" s="1"/>
      <c r="Q468" s="1"/>
      <c r="R468" s="1"/>
      <c r="S468" s="1"/>
      <c r="T468" s="1"/>
      <c r="U468" s="2"/>
      <c r="V468" s="1"/>
      <c r="W468" s="1"/>
      <c r="X468" s="1"/>
      <c r="Y468" s="1"/>
      <c r="Z468" s="1"/>
    </row>
    <row r="469" spans="1:26" ht="24.75" customHeight="1">
      <c r="A469" s="1"/>
      <c r="B469" s="1"/>
      <c r="C469" s="1"/>
      <c r="D469" s="1"/>
      <c r="E469" s="1"/>
      <c r="F469" s="1"/>
      <c r="G469" s="1"/>
      <c r="H469" s="1"/>
      <c r="I469" s="1"/>
      <c r="J469" s="1"/>
      <c r="K469" s="1"/>
      <c r="L469" s="1"/>
      <c r="M469" s="1"/>
      <c r="N469" s="1"/>
      <c r="O469" s="1"/>
      <c r="P469" s="1"/>
      <c r="Q469" s="1"/>
      <c r="R469" s="1"/>
      <c r="S469" s="1"/>
      <c r="T469" s="1"/>
      <c r="U469" s="2"/>
      <c r="V469" s="1"/>
      <c r="W469" s="1"/>
      <c r="X469" s="1"/>
      <c r="Y469" s="1"/>
      <c r="Z469" s="1"/>
    </row>
    <row r="470" spans="1:26" ht="24.75" customHeight="1">
      <c r="A470" s="1"/>
      <c r="B470" s="1"/>
      <c r="C470" s="1"/>
      <c r="D470" s="1"/>
      <c r="E470" s="1"/>
      <c r="F470" s="1"/>
      <c r="G470" s="1"/>
      <c r="H470" s="1"/>
      <c r="I470" s="1"/>
      <c r="J470" s="1"/>
      <c r="K470" s="1"/>
      <c r="L470" s="1"/>
      <c r="M470" s="1"/>
      <c r="N470" s="1"/>
      <c r="O470" s="1"/>
      <c r="P470" s="1"/>
      <c r="Q470" s="1"/>
      <c r="R470" s="1"/>
      <c r="S470" s="1"/>
      <c r="T470" s="1"/>
      <c r="U470" s="2"/>
      <c r="V470" s="1"/>
      <c r="W470" s="1"/>
      <c r="X470" s="1"/>
      <c r="Y470" s="1"/>
      <c r="Z470" s="1"/>
    </row>
    <row r="471" spans="1:26" ht="24.75" customHeight="1">
      <c r="A471" s="1"/>
      <c r="B471" s="1"/>
      <c r="C471" s="1"/>
      <c r="D471" s="1"/>
      <c r="E471" s="1"/>
      <c r="F471" s="1"/>
      <c r="G471" s="1"/>
      <c r="H471" s="1"/>
      <c r="I471" s="1"/>
      <c r="J471" s="1"/>
      <c r="K471" s="1"/>
      <c r="L471" s="1"/>
      <c r="M471" s="1"/>
      <c r="N471" s="1"/>
      <c r="O471" s="1"/>
      <c r="P471" s="1"/>
      <c r="Q471" s="1"/>
      <c r="R471" s="1"/>
      <c r="S471" s="1"/>
      <c r="T471" s="1"/>
      <c r="U471" s="2"/>
      <c r="V471" s="1"/>
      <c r="W471" s="1"/>
      <c r="X471" s="1"/>
      <c r="Y471" s="1"/>
      <c r="Z471" s="1"/>
    </row>
    <row r="472" spans="1:26" ht="24.75" customHeight="1">
      <c r="A472" s="1"/>
      <c r="B472" s="1"/>
      <c r="C472" s="1"/>
      <c r="D472" s="1"/>
      <c r="E472" s="1"/>
      <c r="F472" s="1"/>
      <c r="G472" s="1"/>
      <c r="H472" s="1"/>
      <c r="I472" s="1"/>
      <c r="J472" s="1"/>
      <c r="K472" s="1"/>
      <c r="L472" s="1"/>
      <c r="M472" s="1"/>
      <c r="N472" s="1"/>
      <c r="O472" s="1"/>
      <c r="P472" s="1"/>
      <c r="Q472" s="1"/>
      <c r="R472" s="1"/>
      <c r="S472" s="1"/>
      <c r="T472" s="1"/>
      <c r="U472" s="2"/>
      <c r="V472" s="1"/>
      <c r="W472" s="1"/>
      <c r="X472" s="1"/>
      <c r="Y472" s="1"/>
      <c r="Z472" s="1"/>
    </row>
    <row r="473" spans="1:26" ht="24.75" customHeight="1">
      <c r="A473" s="1"/>
      <c r="B473" s="1"/>
      <c r="C473" s="1"/>
      <c r="D473" s="1"/>
      <c r="E473" s="1"/>
      <c r="F473" s="1"/>
      <c r="G473" s="1"/>
      <c r="H473" s="1"/>
      <c r="I473" s="1"/>
      <c r="J473" s="1"/>
      <c r="K473" s="1"/>
      <c r="L473" s="1"/>
      <c r="M473" s="1"/>
      <c r="N473" s="1"/>
      <c r="O473" s="1"/>
      <c r="P473" s="1"/>
      <c r="Q473" s="1"/>
      <c r="R473" s="1"/>
      <c r="S473" s="1"/>
      <c r="T473" s="1"/>
      <c r="U473" s="2"/>
      <c r="V473" s="1"/>
      <c r="W473" s="1"/>
      <c r="X473" s="1"/>
      <c r="Y473" s="1"/>
      <c r="Z473" s="1"/>
    </row>
    <row r="474" spans="1:26" ht="24.75" customHeight="1">
      <c r="A474" s="1"/>
      <c r="B474" s="1"/>
      <c r="C474" s="1"/>
      <c r="D474" s="1"/>
      <c r="E474" s="1"/>
      <c r="F474" s="1"/>
      <c r="G474" s="1"/>
      <c r="H474" s="1"/>
      <c r="I474" s="1"/>
      <c r="J474" s="1"/>
      <c r="K474" s="1"/>
      <c r="L474" s="1"/>
      <c r="M474" s="1"/>
      <c r="N474" s="1"/>
      <c r="O474" s="1"/>
      <c r="P474" s="1"/>
      <c r="Q474" s="1"/>
      <c r="R474" s="1"/>
      <c r="S474" s="1"/>
      <c r="T474" s="1"/>
      <c r="U474" s="2"/>
      <c r="V474" s="1"/>
      <c r="W474" s="1"/>
      <c r="X474" s="1"/>
      <c r="Y474" s="1"/>
      <c r="Z474" s="1"/>
    </row>
    <row r="475" spans="1:26" ht="24.75" customHeight="1">
      <c r="A475" s="1"/>
      <c r="B475" s="1"/>
      <c r="C475" s="1"/>
      <c r="D475" s="1"/>
      <c r="E475" s="1"/>
      <c r="F475" s="1"/>
      <c r="G475" s="1"/>
      <c r="H475" s="1"/>
      <c r="I475" s="1"/>
      <c r="J475" s="1"/>
      <c r="K475" s="1"/>
      <c r="L475" s="1"/>
      <c r="M475" s="1"/>
      <c r="N475" s="1"/>
      <c r="O475" s="1"/>
      <c r="P475" s="1"/>
      <c r="Q475" s="1"/>
      <c r="R475" s="1"/>
      <c r="S475" s="1"/>
      <c r="T475" s="1"/>
      <c r="U475" s="2"/>
      <c r="V475" s="1"/>
      <c r="W475" s="1"/>
      <c r="X475" s="1"/>
      <c r="Y475" s="1"/>
      <c r="Z475" s="1"/>
    </row>
    <row r="476" spans="1:26" ht="24.75" customHeight="1">
      <c r="A476" s="1"/>
      <c r="B476" s="1"/>
      <c r="C476" s="1"/>
      <c r="D476" s="1"/>
      <c r="E476" s="1"/>
      <c r="F476" s="1"/>
      <c r="G476" s="1"/>
      <c r="H476" s="1"/>
      <c r="I476" s="1"/>
      <c r="J476" s="1"/>
      <c r="K476" s="1"/>
      <c r="L476" s="1"/>
      <c r="M476" s="1"/>
      <c r="N476" s="1"/>
      <c r="O476" s="1"/>
      <c r="P476" s="1"/>
      <c r="Q476" s="1"/>
      <c r="R476" s="1"/>
      <c r="S476" s="1"/>
      <c r="T476" s="1"/>
      <c r="U476" s="2"/>
      <c r="V476" s="1"/>
      <c r="W476" s="1"/>
      <c r="X476" s="1"/>
      <c r="Y476" s="1"/>
      <c r="Z476" s="1"/>
    </row>
    <row r="477" spans="1:26" ht="24.75" customHeight="1">
      <c r="A477" s="1"/>
      <c r="B477" s="1"/>
      <c r="C477" s="1"/>
      <c r="D477" s="1"/>
      <c r="E477" s="1"/>
      <c r="F477" s="1"/>
      <c r="G477" s="1"/>
      <c r="H477" s="1"/>
      <c r="I477" s="1"/>
      <c r="J477" s="1"/>
      <c r="K477" s="1"/>
      <c r="L477" s="1"/>
      <c r="M477" s="1"/>
      <c r="N477" s="1"/>
      <c r="O477" s="1"/>
      <c r="P477" s="1"/>
      <c r="Q477" s="1"/>
      <c r="R477" s="1"/>
      <c r="S477" s="1"/>
      <c r="T477" s="1"/>
      <c r="U477" s="2"/>
      <c r="V477" s="1"/>
      <c r="W477" s="1"/>
      <c r="X477" s="1"/>
      <c r="Y477" s="1"/>
      <c r="Z477" s="1"/>
    </row>
    <row r="478" spans="1:26" ht="24.75" customHeight="1">
      <c r="A478" s="1"/>
      <c r="B478" s="1"/>
      <c r="C478" s="1"/>
      <c r="D478" s="1"/>
      <c r="E478" s="1"/>
      <c r="F478" s="1"/>
      <c r="G478" s="1"/>
      <c r="H478" s="1"/>
      <c r="I478" s="1"/>
      <c r="J478" s="1"/>
      <c r="K478" s="1"/>
      <c r="L478" s="1"/>
      <c r="M478" s="1"/>
      <c r="N478" s="1"/>
      <c r="O478" s="1"/>
      <c r="P478" s="1"/>
      <c r="Q478" s="1"/>
      <c r="R478" s="1"/>
      <c r="S478" s="1"/>
      <c r="T478" s="1"/>
      <c r="U478" s="2"/>
      <c r="V478" s="1"/>
      <c r="W478" s="1"/>
      <c r="X478" s="1"/>
      <c r="Y478" s="1"/>
      <c r="Z478" s="1"/>
    </row>
    <row r="479" spans="1:26" ht="24.75" customHeight="1">
      <c r="A479" s="1"/>
      <c r="B479" s="1"/>
      <c r="C479" s="1"/>
      <c r="D479" s="1"/>
      <c r="E479" s="1"/>
      <c r="F479" s="1"/>
      <c r="G479" s="1"/>
      <c r="H479" s="1"/>
      <c r="I479" s="1"/>
      <c r="J479" s="1"/>
      <c r="K479" s="1"/>
      <c r="L479" s="1"/>
      <c r="M479" s="1"/>
      <c r="N479" s="1"/>
      <c r="O479" s="1"/>
      <c r="P479" s="1"/>
      <c r="Q479" s="1"/>
      <c r="R479" s="1"/>
      <c r="S479" s="1"/>
      <c r="T479" s="1"/>
      <c r="U479" s="2"/>
      <c r="V479" s="1"/>
      <c r="W479" s="1"/>
      <c r="X479" s="1"/>
      <c r="Y479" s="1"/>
      <c r="Z479" s="1"/>
    </row>
    <row r="480" spans="1:26" ht="24.75" customHeight="1">
      <c r="A480" s="1"/>
      <c r="B480" s="1"/>
      <c r="C480" s="1"/>
      <c r="D480" s="1"/>
      <c r="E480" s="1"/>
      <c r="F480" s="1"/>
      <c r="G480" s="1"/>
      <c r="H480" s="1"/>
      <c r="I480" s="1"/>
      <c r="J480" s="1"/>
      <c r="K480" s="1"/>
      <c r="L480" s="1"/>
      <c r="M480" s="1"/>
      <c r="N480" s="1"/>
      <c r="O480" s="1"/>
      <c r="P480" s="1"/>
      <c r="Q480" s="1"/>
      <c r="R480" s="1"/>
      <c r="S480" s="1"/>
      <c r="T480" s="1"/>
      <c r="U480" s="2"/>
      <c r="V480" s="1"/>
      <c r="W480" s="1"/>
      <c r="X480" s="1"/>
      <c r="Y480" s="1"/>
      <c r="Z480" s="1"/>
    </row>
    <row r="481" spans="1:26" ht="24.75" customHeight="1">
      <c r="A481" s="1"/>
      <c r="B481" s="1"/>
      <c r="C481" s="1"/>
      <c r="D481" s="1"/>
      <c r="E481" s="1"/>
      <c r="F481" s="1"/>
      <c r="G481" s="1"/>
      <c r="H481" s="1"/>
      <c r="I481" s="1"/>
      <c r="J481" s="1"/>
      <c r="K481" s="1"/>
      <c r="L481" s="1"/>
      <c r="M481" s="1"/>
      <c r="N481" s="1"/>
      <c r="O481" s="1"/>
      <c r="P481" s="1"/>
      <c r="Q481" s="1"/>
      <c r="R481" s="1"/>
      <c r="S481" s="1"/>
      <c r="T481" s="1"/>
      <c r="U481" s="2"/>
      <c r="V481" s="1"/>
      <c r="W481" s="1"/>
      <c r="X481" s="1"/>
      <c r="Y481" s="1"/>
      <c r="Z481" s="1"/>
    </row>
    <row r="482" spans="1:26" ht="24.75" customHeight="1">
      <c r="A482" s="1"/>
      <c r="B482" s="1"/>
      <c r="C482" s="1"/>
      <c r="D482" s="1"/>
      <c r="E482" s="1"/>
      <c r="F482" s="1"/>
      <c r="G482" s="1"/>
      <c r="H482" s="1"/>
      <c r="I482" s="1"/>
      <c r="J482" s="1"/>
      <c r="K482" s="1"/>
      <c r="L482" s="1"/>
      <c r="M482" s="1"/>
      <c r="N482" s="1"/>
      <c r="O482" s="1"/>
      <c r="P482" s="1"/>
      <c r="Q482" s="1"/>
      <c r="R482" s="1"/>
      <c r="S482" s="1"/>
      <c r="T482" s="1"/>
      <c r="U482" s="2"/>
      <c r="V482" s="1"/>
      <c r="W482" s="1"/>
      <c r="X482" s="1"/>
      <c r="Y482" s="1"/>
      <c r="Z482" s="1"/>
    </row>
    <row r="483" spans="1:26" ht="24.75" customHeight="1">
      <c r="A483" s="1"/>
      <c r="B483" s="1"/>
      <c r="C483" s="1"/>
      <c r="D483" s="1"/>
      <c r="E483" s="1"/>
      <c r="F483" s="1"/>
      <c r="G483" s="1"/>
      <c r="H483" s="1"/>
      <c r="I483" s="1"/>
      <c r="J483" s="1"/>
      <c r="K483" s="1"/>
      <c r="L483" s="1"/>
      <c r="M483" s="1"/>
      <c r="N483" s="1"/>
      <c r="O483" s="1"/>
      <c r="P483" s="1"/>
      <c r="Q483" s="1"/>
      <c r="R483" s="1"/>
      <c r="S483" s="1"/>
      <c r="T483" s="1"/>
      <c r="U483" s="2"/>
      <c r="V483" s="1"/>
      <c r="W483" s="1"/>
      <c r="X483" s="1"/>
      <c r="Y483" s="1"/>
      <c r="Z483" s="1"/>
    </row>
    <row r="484" spans="1:26" ht="24.75" customHeight="1">
      <c r="A484" s="1"/>
      <c r="B484" s="1"/>
      <c r="C484" s="1"/>
      <c r="D484" s="1"/>
      <c r="E484" s="1"/>
      <c r="F484" s="1"/>
      <c r="G484" s="1"/>
      <c r="H484" s="1"/>
      <c r="I484" s="1"/>
      <c r="J484" s="1"/>
      <c r="K484" s="1"/>
      <c r="L484" s="1"/>
      <c r="M484" s="1"/>
      <c r="N484" s="1"/>
      <c r="O484" s="1"/>
      <c r="P484" s="1"/>
      <c r="Q484" s="1"/>
      <c r="R484" s="1"/>
      <c r="S484" s="1"/>
      <c r="T484" s="1"/>
      <c r="U484" s="2"/>
      <c r="V484" s="1"/>
      <c r="W484" s="1"/>
      <c r="X484" s="1"/>
      <c r="Y484" s="1"/>
      <c r="Z484" s="1"/>
    </row>
    <row r="485" spans="1:26" ht="24.75" customHeight="1">
      <c r="A485" s="1"/>
      <c r="B485" s="1"/>
      <c r="C485" s="1"/>
      <c r="D485" s="1"/>
      <c r="E485" s="1"/>
      <c r="F485" s="1"/>
      <c r="G485" s="1"/>
      <c r="H485" s="1"/>
      <c r="I485" s="1"/>
      <c r="J485" s="1"/>
      <c r="K485" s="1"/>
      <c r="L485" s="1"/>
      <c r="M485" s="1"/>
      <c r="N485" s="1"/>
      <c r="O485" s="1"/>
      <c r="P485" s="1"/>
      <c r="Q485" s="1"/>
      <c r="R485" s="1"/>
      <c r="S485" s="1"/>
      <c r="T485" s="1"/>
      <c r="U485" s="2"/>
      <c r="V485" s="1"/>
      <c r="W485" s="1"/>
      <c r="X485" s="1"/>
      <c r="Y485" s="1"/>
      <c r="Z485" s="1"/>
    </row>
    <row r="486" spans="1:26" ht="24.75" customHeight="1">
      <c r="A486" s="1"/>
      <c r="B486" s="1"/>
      <c r="C486" s="1"/>
      <c r="D486" s="1"/>
      <c r="E486" s="1"/>
      <c r="F486" s="1"/>
      <c r="G486" s="1"/>
      <c r="H486" s="1"/>
      <c r="I486" s="1"/>
      <c r="J486" s="1"/>
      <c r="K486" s="1"/>
      <c r="L486" s="1"/>
      <c r="M486" s="1"/>
      <c r="N486" s="1"/>
      <c r="O486" s="1"/>
      <c r="P486" s="1"/>
      <c r="Q486" s="1"/>
      <c r="R486" s="1"/>
      <c r="S486" s="1"/>
      <c r="T486" s="1"/>
      <c r="U486" s="2"/>
      <c r="V486" s="1"/>
      <c r="W486" s="1"/>
      <c r="X486" s="1"/>
      <c r="Y486" s="1"/>
      <c r="Z486" s="1"/>
    </row>
    <row r="487" spans="1:26" ht="24.75" customHeight="1">
      <c r="A487" s="1"/>
      <c r="B487" s="1"/>
      <c r="C487" s="1"/>
      <c r="D487" s="1"/>
      <c r="E487" s="1"/>
      <c r="F487" s="1"/>
      <c r="G487" s="1"/>
      <c r="H487" s="1"/>
      <c r="I487" s="1"/>
      <c r="J487" s="1"/>
      <c r="K487" s="1"/>
      <c r="L487" s="1"/>
      <c r="M487" s="1"/>
      <c r="N487" s="1"/>
      <c r="O487" s="1"/>
      <c r="P487" s="1"/>
      <c r="Q487" s="1"/>
      <c r="R487" s="1"/>
      <c r="S487" s="1"/>
      <c r="T487" s="1"/>
      <c r="U487" s="2"/>
      <c r="V487" s="1"/>
      <c r="W487" s="1"/>
      <c r="X487" s="1"/>
      <c r="Y487" s="1"/>
      <c r="Z487" s="1"/>
    </row>
    <row r="488" spans="1:26" ht="24.75" customHeight="1">
      <c r="A488" s="1"/>
      <c r="B488" s="1"/>
      <c r="C488" s="1"/>
      <c r="D488" s="1"/>
      <c r="E488" s="1"/>
      <c r="F488" s="1"/>
      <c r="G488" s="1"/>
      <c r="H488" s="1"/>
      <c r="I488" s="1"/>
      <c r="J488" s="1"/>
      <c r="K488" s="1"/>
      <c r="L488" s="1"/>
      <c r="M488" s="1"/>
      <c r="N488" s="1"/>
      <c r="O488" s="1"/>
      <c r="P488" s="1"/>
      <c r="Q488" s="1"/>
      <c r="R488" s="1"/>
      <c r="S488" s="1"/>
      <c r="T488" s="1"/>
      <c r="U488" s="2"/>
      <c r="V488" s="1"/>
      <c r="W488" s="1"/>
      <c r="X488" s="1"/>
      <c r="Y488" s="1"/>
      <c r="Z488" s="1"/>
    </row>
    <row r="489" spans="1:26" ht="24.75" customHeight="1">
      <c r="A489" s="1"/>
      <c r="B489" s="1"/>
      <c r="C489" s="1"/>
      <c r="D489" s="1"/>
      <c r="E489" s="1"/>
      <c r="F489" s="1"/>
      <c r="G489" s="1"/>
      <c r="H489" s="1"/>
      <c r="I489" s="1"/>
      <c r="J489" s="1"/>
      <c r="K489" s="1"/>
      <c r="L489" s="1"/>
      <c r="M489" s="1"/>
      <c r="N489" s="1"/>
      <c r="O489" s="1"/>
      <c r="P489" s="1"/>
      <c r="Q489" s="1"/>
      <c r="R489" s="1"/>
      <c r="S489" s="1"/>
      <c r="T489" s="1"/>
      <c r="U489" s="2"/>
      <c r="V489" s="1"/>
      <c r="W489" s="1"/>
      <c r="X489" s="1"/>
      <c r="Y489" s="1"/>
      <c r="Z489" s="1"/>
    </row>
    <row r="490" spans="1:26" ht="24.75" customHeight="1">
      <c r="A490" s="1"/>
      <c r="B490" s="1"/>
      <c r="C490" s="1"/>
      <c r="D490" s="1"/>
      <c r="E490" s="1"/>
      <c r="F490" s="1"/>
      <c r="G490" s="1"/>
      <c r="H490" s="1"/>
      <c r="I490" s="1"/>
      <c r="J490" s="1"/>
      <c r="K490" s="1"/>
      <c r="L490" s="1"/>
      <c r="M490" s="1"/>
      <c r="N490" s="1"/>
      <c r="O490" s="1"/>
      <c r="P490" s="1"/>
      <c r="Q490" s="1"/>
      <c r="R490" s="1"/>
      <c r="S490" s="1"/>
      <c r="T490" s="1"/>
      <c r="U490" s="2"/>
      <c r="V490" s="1"/>
      <c r="W490" s="1"/>
      <c r="X490" s="1"/>
      <c r="Y490" s="1"/>
      <c r="Z490" s="1"/>
    </row>
    <row r="491" spans="1:26" ht="24.75" customHeight="1">
      <c r="A491" s="1"/>
      <c r="B491" s="1"/>
      <c r="C491" s="1"/>
      <c r="D491" s="1"/>
      <c r="E491" s="1"/>
      <c r="F491" s="1"/>
      <c r="G491" s="1"/>
      <c r="H491" s="1"/>
      <c r="I491" s="1"/>
      <c r="J491" s="1"/>
      <c r="K491" s="1"/>
      <c r="L491" s="1"/>
      <c r="M491" s="1"/>
      <c r="N491" s="1"/>
      <c r="O491" s="1"/>
      <c r="P491" s="1"/>
      <c r="Q491" s="1"/>
      <c r="R491" s="1"/>
      <c r="S491" s="1"/>
      <c r="T491" s="1"/>
      <c r="U491" s="2"/>
      <c r="V491" s="1"/>
      <c r="W491" s="1"/>
      <c r="X491" s="1"/>
      <c r="Y491" s="1"/>
      <c r="Z491" s="1"/>
    </row>
    <row r="492" spans="1:26" ht="24.75" customHeight="1">
      <c r="A492" s="1"/>
      <c r="B492" s="1"/>
      <c r="C492" s="1"/>
      <c r="D492" s="1"/>
      <c r="E492" s="1"/>
      <c r="F492" s="1"/>
      <c r="G492" s="1"/>
      <c r="H492" s="1"/>
      <c r="I492" s="1"/>
      <c r="J492" s="1"/>
      <c r="K492" s="1"/>
      <c r="L492" s="1"/>
      <c r="M492" s="1"/>
      <c r="N492" s="1"/>
      <c r="O492" s="1"/>
      <c r="P492" s="1"/>
      <c r="Q492" s="1"/>
      <c r="R492" s="1"/>
      <c r="S492" s="1"/>
      <c r="T492" s="1"/>
      <c r="U492" s="2"/>
      <c r="V492" s="1"/>
      <c r="W492" s="1"/>
      <c r="X492" s="1"/>
      <c r="Y492" s="1"/>
      <c r="Z492" s="1"/>
    </row>
    <row r="493" spans="1:26" ht="24.75" customHeight="1">
      <c r="A493" s="1"/>
      <c r="B493" s="1"/>
      <c r="C493" s="1"/>
      <c r="D493" s="1"/>
      <c r="E493" s="1"/>
      <c r="F493" s="1"/>
      <c r="G493" s="1"/>
      <c r="H493" s="1"/>
      <c r="I493" s="1"/>
      <c r="J493" s="1"/>
      <c r="K493" s="1"/>
      <c r="L493" s="1"/>
      <c r="M493" s="1"/>
      <c r="N493" s="1"/>
      <c r="O493" s="1"/>
      <c r="P493" s="1"/>
      <c r="Q493" s="1"/>
      <c r="R493" s="1"/>
      <c r="S493" s="1"/>
      <c r="T493" s="1"/>
      <c r="U493" s="2"/>
      <c r="V493" s="1"/>
      <c r="W493" s="1"/>
      <c r="X493" s="1"/>
      <c r="Y493" s="1"/>
      <c r="Z493" s="1"/>
    </row>
    <row r="494" spans="1:26" ht="24.75" customHeight="1">
      <c r="A494" s="1"/>
      <c r="B494" s="1"/>
      <c r="C494" s="1"/>
      <c r="D494" s="1"/>
      <c r="E494" s="1"/>
      <c r="F494" s="1"/>
      <c r="G494" s="1"/>
      <c r="H494" s="1"/>
      <c r="I494" s="1"/>
      <c r="J494" s="1"/>
      <c r="K494" s="1"/>
      <c r="L494" s="1"/>
      <c r="M494" s="1"/>
      <c r="N494" s="1"/>
      <c r="O494" s="1"/>
      <c r="P494" s="1"/>
      <c r="Q494" s="1"/>
      <c r="R494" s="1"/>
      <c r="S494" s="1"/>
      <c r="T494" s="1"/>
      <c r="U494" s="2"/>
      <c r="V494" s="1"/>
      <c r="W494" s="1"/>
      <c r="X494" s="1"/>
      <c r="Y494" s="1"/>
      <c r="Z494" s="1"/>
    </row>
    <row r="495" spans="1:26" ht="24.75" customHeight="1">
      <c r="A495" s="1"/>
      <c r="B495" s="1"/>
      <c r="C495" s="1"/>
      <c r="D495" s="1"/>
      <c r="E495" s="1"/>
      <c r="F495" s="1"/>
      <c r="G495" s="1"/>
      <c r="H495" s="1"/>
      <c r="I495" s="1"/>
      <c r="J495" s="1"/>
      <c r="K495" s="1"/>
      <c r="L495" s="1"/>
      <c r="M495" s="1"/>
      <c r="N495" s="1"/>
      <c r="O495" s="1"/>
      <c r="P495" s="1"/>
      <c r="Q495" s="1"/>
      <c r="R495" s="1"/>
      <c r="S495" s="1"/>
      <c r="T495" s="1"/>
      <c r="U495" s="2"/>
      <c r="V495" s="1"/>
      <c r="W495" s="1"/>
      <c r="X495" s="1"/>
      <c r="Y495" s="1"/>
      <c r="Z495" s="1"/>
    </row>
    <row r="496" spans="1:26" ht="24.75" customHeight="1">
      <c r="A496" s="1"/>
      <c r="B496" s="1"/>
      <c r="C496" s="1"/>
      <c r="D496" s="1"/>
      <c r="E496" s="1"/>
      <c r="F496" s="1"/>
      <c r="G496" s="1"/>
      <c r="H496" s="1"/>
      <c r="I496" s="1"/>
      <c r="J496" s="1"/>
      <c r="K496" s="1"/>
      <c r="L496" s="1"/>
      <c r="M496" s="1"/>
      <c r="N496" s="1"/>
      <c r="O496" s="1"/>
      <c r="P496" s="1"/>
      <c r="Q496" s="1"/>
      <c r="R496" s="1"/>
      <c r="S496" s="1"/>
      <c r="T496" s="1"/>
      <c r="U496" s="2"/>
      <c r="V496" s="1"/>
      <c r="W496" s="1"/>
      <c r="X496" s="1"/>
      <c r="Y496" s="1"/>
      <c r="Z496" s="1"/>
    </row>
    <row r="497" spans="1:26" ht="24.75" customHeight="1">
      <c r="A497" s="1"/>
      <c r="B497" s="1"/>
      <c r="C497" s="1"/>
      <c r="D497" s="1"/>
      <c r="E497" s="1"/>
      <c r="F497" s="1"/>
      <c r="G497" s="1"/>
      <c r="H497" s="1"/>
      <c r="I497" s="1"/>
      <c r="J497" s="1"/>
      <c r="K497" s="1"/>
      <c r="L497" s="1"/>
      <c r="M497" s="1"/>
      <c r="N497" s="1"/>
      <c r="O497" s="1"/>
      <c r="P497" s="1"/>
      <c r="Q497" s="1"/>
      <c r="R497" s="1"/>
      <c r="S497" s="1"/>
      <c r="T497" s="1"/>
      <c r="U497" s="2"/>
      <c r="V497" s="1"/>
      <c r="W497" s="1"/>
      <c r="X497" s="1"/>
      <c r="Y497" s="1"/>
      <c r="Z497" s="1"/>
    </row>
    <row r="498" spans="1:26" ht="24.75" customHeight="1">
      <c r="A498" s="1"/>
      <c r="B498" s="1"/>
      <c r="C498" s="1"/>
      <c r="D498" s="1"/>
      <c r="E498" s="1"/>
      <c r="F498" s="1"/>
      <c r="G498" s="1"/>
      <c r="H498" s="1"/>
      <c r="I498" s="1"/>
      <c r="J498" s="1"/>
      <c r="K498" s="1"/>
      <c r="L498" s="1"/>
      <c r="M498" s="1"/>
      <c r="N498" s="1"/>
      <c r="O498" s="1"/>
      <c r="P498" s="1"/>
      <c r="Q498" s="1"/>
      <c r="R498" s="1"/>
      <c r="S498" s="1"/>
      <c r="T498" s="1"/>
      <c r="U498" s="2"/>
      <c r="V498" s="1"/>
      <c r="W498" s="1"/>
      <c r="X498" s="1"/>
      <c r="Y498" s="1"/>
      <c r="Z498" s="1"/>
    </row>
    <row r="499" spans="1:26" ht="24.75" customHeight="1">
      <c r="A499" s="1"/>
      <c r="B499" s="1"/>
      <c r="C499" s="1"/>
      <c r="D499" s="1"/>
      <c r="E499" s="1"/>
      <c r="F499" s="1"/>
      <c r="G499" s="1"/>
      <c r="H499" s="1"/>
      <c r="I499" s="1"/>
      <c r="J499" s="1"/>
      <c r="K499" s="1"/>
      <c r="L499" s="1"/>
      <c r="M499" s="1"/>
      <c r="N499" s="1"/>
      <c r="O499" s="1"/>
      <c r="P499" s="1"/>
      <c r="Q499" s="1"/>
      <c r="R499" s="1"/>
      <c r="S499" s="1"/>
      <c r="T499" s="1"/>
      <c r="U499" s="2"/>
      <c r="V499" s="1"/>
      <c r="W499" s="1"/>
      <c r="X499" s="1"/>
      <c r="Y499" s="1"/>
      <c r="Z499" s="1"/>
    </row>
    <row r="500" spans="1:26" ht="24.75" customHeight="1">
      <c r="A500" s="1"/>
      <c r="B500" s="1"/>
      <c r="C500" s="1"/>
      <c r="D500" s="1"/>
      <c r="E500" s="1"/>
      <c r="F500" s="1"/>
      <c r="G500" s="1"/>
      <c r="H500" s="1"/>
      <c r="I500" s="1"/>
      <c r="J500" s="1"/>
      <c r="K500" s="1"/>
      <c r="L500" s="1"/>
      <c r="M500" s="1"/>
      <c r="N500" s="1"/>
      <c r="O500" s="1"/>
      <c r="P500" s="1"/>
      <c r="Q500" s="1"/>
      <c r="R500" s="1"/>
      <c r="S500" s="1"/>
      <c r="T500" s="1"/>
      <c r="U500" s="2"/>
      <c r="V500" s="1"/>
      <c r="W500" s="1"/>
      <c r="X500" s="1"/>
      <c r="Y500" s="1"/>
      <c r="Z500" s="1"/>
    </row>
    <row r="501" spans="1:26" ht="24.75" customHeight="1">
      <c r="A501" s="1"/>
      <c r="B501" s="1"/>
      <c r="C501" s="1"/>
      <c r="D501" s="1"/>
      <c r="E501" s="1"/>
      <c r="F501" s="1"/>
      <c r="G501" s="1"/>
      <c r="H501" s="1"/>
      <c r="I501" s="1"/>
      <c r="J501" s="1"/>
      <c r="K501" s="1"/>
      <c r="L501" s="1"/>
      <c r="M501" s="1"/>
      <c r="N501" s="1"/>
      <c r="O501" s="1"/>
      <c r="P501" s="1"/>
      <c r="Q501" s="1"/>
      <c r="R501" s="1"/>
      <c r="S501" s="1"/>
      <c r="T501" s="1"/>
      <c r="U501" s="2"/>
      <c r="V501" s="1"/>
      <c r="W501" s="1"/>
      <c r="X501" s="1"/>
      <c r="Y501" s="1"/>
      <c r="Z501" s="1"/>
    </row>
    <row r="502" spans="1:26" ht="24.75" customHeight="1">
      <c r="A502" s="1"/>
      <c r="B502" s="1"/>
      <c r="C502" s="1"/>
      <c r="D502" s="1"/>
      <c r="E502" s="1"/>
      <c r="F502" s="1"/>
      <c r="G502" s="1"/>
      <c r="H502" s="1"/>
      <c r="I502" s="1"/>
      <c r="J502" s="1"/>
      <c r="K502" s="1"/>
      <c r="L502" s="1"/>
      <c r="M502" s="1"/>
      <c r="N502" s="1"/>
      <c r="O502" s="1"/>
      <c r="P502" s="1"/>
      <c r="Q502" s="1"/>
      <c r="R502" s="1"/>
      <c r="S502" s="1"/>
      <c r="T502" s="1"/>
      <c r="U502" s="2"/>
      <c r="V502" s="1"/>
      <c r="W502" s="1"/>
      <c r="X502" s="1"/>
      <c r="Y502" s="1"/>
      <c r="Z502" s="1"/>
    </row>
    <row r="503" spans="1:26" ht="24.75" customHeight="1">
      <c r="A503" s="1"/>
      <c r="B503" s="1"/>
      <c r="C503" s="1"/>
      <c r="D503" s="1"/>
      <c r="E503" s="1"/>
      <c r="F503" s="1"/>
      <c r="G503" s="1"/>
      <c r="H503" s="1"/>
      <c r="I503" s="1"/>
      <c r="J503" s="1"/>
      <c r="K503" s="1"/>
      <c r="L503" s="1"/>
      <c r="M503" s="1"/>
      <c r="N503" s="1"/>
      <c r="O503" s="1"/>
      <c r="P503" s="1"/>
      <c r="Q503" s="1"/>
      <c r="R503" s="1"/>
      <c r="S503" s="1"/>
      <c r="T503" s="1"/>
      <c r="U503" s="2"/>
      <c r="V503" s="1"/>
      <c r="W503" s="1"/>
      <c r="X503" s="1"/>
      <c r="Y503" s="1"/>
      <c r="Z503" s="1"/>
    </row>
    <row r="504" spans="1:26" ht="24.75" customHeight="1">
      <c r="A504" s="1"/>
      <c r="B504" s="1"/>
      <c r="C504" s="1"/>
      <c r="D504" s="1"/>
      <c r="E504" s="1"/>
      <c r="F504" s="1"/>
      <c r="G504" s="1"/>
      <c r="H504" s="1"/>
      <c r="I504" s="1"/>
      <c r="J504" s="1"/>
      <c r="K504" s="1"/>
      <c r="L504" s="1"/>
      <c r="M504" s="1"/>
      <c r="N504" s="1"/>
      <c r="O504" s="1"/>
      <c r="P504" s="1"/>
      <c r="Q504" s="1"/>
      <c r="R504" s="1"/>
      <c r="S504" s="1"/>
      <c r="T504" s="1"/>
      <c r="U504" s="2"/>
      <c r="V504" s="1"/>
      <c r="W504" s="1"/>
      <c r="X504" s="1"/>
      <c r="Y504" s="1"/>
      <c r="Z504" s="1"/>
    </row>
    <row r="505" spans="1:26" ht="24.75" customHeight="1">
      <c r="A505" s="1"/>
      <c r="B505" s="1"/>
      <c r="C505" s="1"/>
      <c r="D505" s="1"/>
      <c r="E505" s="1"/>
      <c r="F505" s="1"/>
      <c r="G505" s="1"/>
      <c r="H505" s="1"/>
      <c r="I505" s="1"/>
      <c r="J505" s="1"/>
      <c r="K505" s="1"/>
      <c r="L505" s="1"/>
      <c r="M505" s="1"/>
      <c r="N505" s="1"/>
      <c r="O505" s="1"/>
      <c r="P505" s="1"/>
      <c r="Q505" s="1"/>
      <c r="R505" s="1"/>
      <c r="S505" s="1"/>
      <c r="T505" s="1"/>
      <c r="U505" s="2"/>
      <c r="V505" s="1"/>
      <c r="W505" s="1"/>
      <c r="X505" s="1"/>
      <c r="Y505" s="1"/>
      <c r="Z505" s="1"/>
    </row>
    <row r="506" spans="1:26" ht="24.75" customHeight="1">
      <c r="A506" s="1"/>
      <c r="B506" s="1"/>
      <c r="C506" s="1"/>
      <c r="D506" s="1"/>
      <c r="E506" s="1"/>
      <c r="F506" s="1"/>
      <c r="G506" s="1"/>
      <c r="H506" s="1"/>
      <c r="I506" s="1"/>
      <c r="J506" s="1"/>
      <c r="K506" s="1"/>
      <c r="L506" s="1"/>
      <c r="M506" s="1"/>
      <c r="N506" s="1"/>
      <c r="O506" s="1"/>
      <c r="P506" s="1"/>
      <c r="Q506" s="1"/>
      <c r="R506" s="1"/>
      <c r="S506" s="1"/>
      <c r="T506" s="1"/>
      <c r="U506" s="2"/>
      <c r="V506" s="1"/>
      <c r="W506" s="1"/>
      <c r="X506" s="1"/>
      <c r="Y506" s="1"/>
      <c r="Z506" s="1"/>
    </row>
    <row r="507" spans="1:26" ht="24.75" customHeight="1">
      <c r="A507" s="1"/>
      <c r="B507" s="1"/>
      <c r="C507" s="1"/>
      <c r="D507" s="1"/>
      <c r="E507" s="1"/>
      <c r="F507" s="1"/>
      <c r="G507" s="1"/>
      <c r="H507" s="1"/>
      <c r="I507" s="1"/>
      <c r="J507" s="1"/>
      <c r="K507" s="1"/>
      <c r="L507" s="1"/>
      <c r="M507" s="1"/>
      <c r="N507" s="1"/>
      <c r="O507" s="1"/>
      <c r="P507" s="1"/>
      <c r="Q507" s="1"/>
      <c r="R507" s="1"/>
      <c r="S507" s="1"/>
      <c r="T507" s="1"/>
      <c r="U507" s="2"/>
      <c r="V507" s="1"/>
      <c r="W507" s="1"/>
      <c r="X507" s="1"/>
      <c r="Y507" s="1"/>
      <c r="Z507" s="1"/>
    </row>
    <row r="508" spans="1:26" ht="24.75" customHeight="1">
      <c r="A508" s="1"/>
      <c r="B508" s="1"/>
      <c r="C508" s="1"/>
      <c r="D508" s="1"/>
      <c r="E508" s="1"/>
      <c r="F508" s="1"/>
      <c r="G508" s="1"/>
      <c r="H508" s="1"/>
      <c r="I508" s="1"/>
      <c r="J508" s="1"/>
      <c r="K508" s="1"/>
      <c r="L508" s="1"/>
      <c r="M508" s="1"/>
      <c r="N508" s="1"/>
      <c r="O508" s="1"/>
      <c r="P508" s="1"/>
      <c r="Q508" s="1"/>
      <c r="R508" s="1"/>
      <c r="S508" s="1"/>
      <c r="T508" s="1"/>
      <c r="U508" s="2"/>
      <c r="V508" s="1"/>
      <c r="W508" s="1"/>
      <c r="X508" s="1"/>
      <c r="Y508" s="1"/>
      <c r="Z508" s="1"/>
    </row>
    <row r="509" spans="1:26" ht="24.75" customHeight="1">
      <c r="A509" s="1"/>
      <c r="B509" s="1"/>
      <c r="C509" s="1"/>
      <c r="D509" s="1"/>
      <c r="E509" s="1"/>
      <c r="F509" s="1"/>
      <c r="G509" s="1"/>
      <c r="H509" s="1"/>
      <c r="I509" s="1"/>
      <c r="J509" s="1"/>
      <c r="K509" s="1"/>
      <c r="L509" s="1"/>
      <c r="M509" s="1"/>
      <c r="N509" s="1"/>
      <c r="O509" s="1"/>
      <c r="P509" s="1"/>
      <c r="Q509" s="1"/>
      <c r="R509" s="1"/>
      <c r="S509" s="1"/>
      <c r="T509" s="1"/>
      <c r="U509" s="2"/>
      <c r="V509" s="1"/>
      <c r="W509" s="1"/>
      <c r="X509" s="1"/>
      <c r="Y509" s="1"/>
      <c r="Z509" s="1"/>
    </row>
    <row r="510" spans="1:26" ht="24.75" customHeight="1">
      <c r="A510" s="1"/>
      <c r="B510" s="1"/>
      <c r="C510" s="1"/>
      <c r="D510" s="1"/>
      <c r="E510" s="1"/>
      <c r="F510" s="1"/>
      <c r="G510" s="1"/>
      <c r="H510" s="1"/>
      <c r="I510" s="1"/>
      <c r="J510" s="1"/>
      <c r="K510" s="1"/>
      <c r="L510" s="1"/>
      <c r="M510" s="1"/>
      <c r="N510" s="1"/>
      <c r="O510" s="1"/>
      <c r="P510" s="1"/>
      <c r="Q510" s="1"/>
      <c r="R510" s="1"/>
      <c r="S510" s="1"/>
      <c r="T510" s="1"/>
      <c r="U510" s="2"/>
      <c r="V510" s="1"/>
      <c r="W510" s="1"/>
      <c r="X510" s="1"/>
      <c r="Y510" s="1"/>
      <c r="Z510" s="1"/>
    </row>
    <row r="511" spans="1:26" ht="24.75" customHeight="1">
      <c r="A511" s="1"/>
      <c r="B511" s="1"/>
      <c r="C511" s="1"/>
      <c r="D511" s="1"/>
      <c r="E511" s="1"/>
      <c r="F511" s="1"/>
      <c r="G511" s="1"/>
      <c r="H511" s="1"/>
      <c r="I511" s="1"/>
      <c r="J511" s="1"/>
      <c r="K511" s="1"/>
      <c r="L511" s="1"/>
      <c r="M511" s="1"/>
      <c r="N511" s="1"/>
      <c r="O511" s="1"/>
      <c r="P511" s="1"/>
      <c r="Q511" s="1"/>
      <c r="R511" s="1"/>
      <c r="S511" s="1"/>
      <c r="T511" s="1"/>
      <c r="U511" s="2"/>
      <c r="V511" s="1"/>
      <c r="W511" s="1"/>
      <c r="X511" s="1"/>
      <c r="Y511" s="1"/>
      <c r="Z511" s="1"/>
    </row>
    <row r="512" spans="1:26" ht="24.75" customHeight="1">
      <c r="A512" s="1"/>
      <c r="B512" s="1"/>
      <c r="C512" s="1"/>
      <c r="D512" s="1"/>
      <c r="E512" s="1"/>
      <c r="F512" s="1"/>
      <c r="G512" s="1"/>
      <c r="H512" s="1"/>
      <c r="I512" s="1"/>
      <c r="J512" s="1"/>
      <c r="K512" s="1"/>
      <c r="L512" s="1"/>
      <c r="M512" s="1"/>
      <c r="N512" s="1"/>
      <c r="O512" s="1"/>
      <c r="P512" s="1"/>
      <c r="Q512" s="1"/>
      <c r="R512" s="1"/>
      <c r="S512" s="1"/>
      <c r="T512" s="1"/>
      <c r="U512" s="2"/>
      <c r="V512" s="1"/>
      <c r="W512" s="1"/>
      <c r="X512" s="1"/>
      <c r="Y512" s="1"/>
      <c r="Z512" s="1"/>
    </row>
    <row r="513" spans="1:26" ht="24.75" customHeight="1">
      <c r="A513" s="1"/>
      <c r="B513" s="1"/>
      <c r="C513" s="1"/>
      <c r="D513" s="1"/>
      <c r="E513" s="1"/>
      <c r="F513" s="1"/>
      <c r="G513" s="1"/>
      <c r="H513" s="1"/>
      <c r="I513" s="1"/>
      <c r="J513" s="1"/>
      <c r="K513" s="1"/>
      <c r="L513" s="1"/>
      <c r="M513" s="1"/>
      <c r="N513" s="1"/>
      <c r="O513" s="1"/>
      <c r="P513" s="1"/>
      <c r="Q513" s="1"/>
      <c r="R513" s="1"/>
      <c r="S513" s="1"/>
      <c r="T513" s="1"/>
      <c r="U513" s="2"/>
      <c r="V513" s="1"/>
      <c r="W513" s="1"/>
      <c r="X513" s="1"/>
      <c r="Y513" s="1"/>
      <c r="Z513" s="1"/>
    </row>
    <row r="514" spans="1:26" ht="24.75" customHeight="1">
      <c r="A514" s="1"/>
      <c r="B514" s="1"/>
      <c r="C514" s="1"/>
      <c r="D514" s="1"/>
      <c r="E514" s="1"/>
      <c r="F514" s="1"/>
      <c r="G514" s="1"/>
      <c r="H514" s="1"/>
      <c r="I514" s="1"/>
      <c r="J514" s="1"/>
      <c r="K514" s="1"/>
      <c r="L514" s="1"/>
      <c r="M514" s="1"/>
      <c r="N514" s="1"/>
      <c r="O514" s="1"/>
      <c r="P514" s="1"/>
      <c r="Q514" s="1"/>
      <c r="R514" s="1"/>
      <c r="S514" s="1"/>
      <c r="T514" s="1"/>
      <c r="U514" s="2"/>
      <c r="V514" s="1"/>
      <c r="W514" s="1"/>
      <c r="X514" s="1"/>
      <c r="Y514" s="1"/>
      <c r="Z514" s="1"/>
    </row>
    <row r="515" spans="1:26" ht="24.75" customHeight="1">
      <c r="A515" s="1"/>
      <c r="B515" s="1"/>
      <c r="C515" s="1"/>
      <c r="D515" s="1"/>
      <c r="E515" s="1"/>
      <c r="F515" s="1"/>
      <c r="G515" s="1"/>
      <c r="H515" s="1"/>
      <c r="I515" s="1"/>
      <c r="J515" s="1"/>
      <c r="K515" s="1"/>
      <c r="L515" s="1"/>
      <c r="M515" s="1"/>
      <c r="N515" s="1"/>
      <c r="O515" s="1"/>
      <c r="P515" s="1"/>
      <c r="Q515" s="1"/>
      <c r="R515" s="1"/>
      <c r="S515" s="1"/>
      <c r="T515" s="1"/>
      <c r="U515" s="2"/>
      <c r="V515" s="1"/>
      <c r="W515" s="1"/>
      <c r="X515" s="1"/>
      <c r="Y515" s="1"/>
      <c r="Z515" s="1"/>
    </row>
    <row r="516" spans="1:26" ht="24.75" customHeight="1">
      <c r="A516" s="1"/>
      <c r="B516" s="1"/>
      <c r="C516" s="1"/>
      <c r="D516" s="1"/>
      <c r="E516" s="1"/>
      <c r="F516" s="1"/>
      <c r="G516" s="1"/>
      <c r="H516" s="1"/>
      <c r="I516" s="1"/>
      <c r="J516" s="1"/>
      <c r="K516" s="1"/>
      <c r="L516" s="1"/>
      <c r="M516" s="1"/>
      <c r="N516" s="1"/>
      <c r="O516" s="1"/>
      <c r="P516" s="1"/>
      <c r="Q516" s="1"/>
      <c r="R516" s="1"/>
      <c r="S516" s="1"/>
      <c r="T516" s="1"/>
      <c r="U516" s="2"/>
      <c r="V516" s="1"/>
      <c r="W516" s="1"/>
      <c r="X516" s="1"/>
      <c r="Y516" s="1"/>
      <c r="Z516" s="1"/>
    </row>
    <row r="517" spans="1:26" ht="24.75" customHeight="1">
      <c r="A517" s="1"/>
      <c r="B517" s="1"/>
      <c r="C517" s="1"/>
      <c r="D517" s="1"/>
      <c r="E517" s="1"/>
      <c r="F517" s="1"/>
      <c r="G517" s="1"/>
      <c r="H517" s="1"/>
      <c r="I517" s="1"/>
      <c r="J517" s="1"/>
      <c r="K517" s="1"/>
      <c r="L517" s="1"/>
      <c r="M517" s="1"/>
      <c r="N517" s="1"/>
      <c r="O517" s="1"/>
      <c r="P517" s="1"/>
      <c r="Q517" s="1"/>
      <c r="R517" s="1"/>
      <c r="S517" s="1"/>
      <c r="T517" s="1"/>
      <c r="U517" s="2"/>
      <c r="V517" s="1"/>
      <c r="W517" s="1"/>
      <c r="X517" s="1"/>
      <c r="Y517" s="1"/>
      <c r="Z517" s="1"/>
    </row>
    <row r="518" spans="1:26" ht="24.75" customHeight="1">
      <c r="A518" s="1"/>
      <c r="B518" s="1"/>
      <c r="C518" s="1"/>
      <c r="D518" s="1"/>
      <c r="E518" s="1"/>
      <c r="F518" s="1"/>
      <c r="G518" s="1"/>
      <c r="H518" s="1"/>
      <c r="I518" s="1"/>
      <c r="J518" s="1"/>
      <c r="K518" s="1"/>
      <c r="L518" s="1"/>
      <c r="M518" s="1"/>
      <c r="N518" s="1"/>
      <c r="O518" s="1"/>
      <c r="P518" s="1"/>
      <c r="Q518" s="1"/>
      <c r="R518" s="1"/>
      <c r="S518" s="1"/>
      <c r="T518" s="1"/>
      <c r="U518" s="2"/>
      <c r="V518" s="1"/>
      <c r="W518" s="1"/>
      <c r="X518" s="1"/>
      <c r="Y518" s="1"/>
      <c r="Z518" s="1"/>
    </row>
    <row r="519" spans="1:26" ht="24.75" customHeight="1">
      <c r="A519" s="1"/>
      <c r="B519" s="1"/>
      <c r="C519" s="1"/>
      <c r="D519" s="1"/>
      <c r="E519" s="1"/>
      <c r="F519" s="1"/>
      <c r="G519" s="1"/>
      <c r="H519" s="1"/>
      <c r="I519" s="1"/>
      <c r="J519" s="1"/>
      <c r="K519" s="1"/>
      <c r="L519" s="1"/>
      <c r="M519" s="1"/>
      <c r="N519" s="1"/>
      <c r="O519" s="1"/>
      <c r="P519" s="1"/>
      <c r="Q519" s="1"/>
      <c r="R519" s="1"/>
      <c r="S519" s="1"/>
      <c r="T519" s="1"/>
      <c r="U519" s="2"/>
      <c r="V519" s="1"/>
      <c r="W519" s="1"/>
      <c r="X519" s="1"/>
      <c r="Y519" s="1"/>
      <c r="Z519" s="1"/>
    </row>
    <row r="520" spans="1:26" ht="24.75" customHeight="1">
      <c r="A520" s="1"/>
      <c r="B520" s="1"/>
      <c r="C520" s="1"/>
      <c r="D520" s="1"/>
      <c r="E520" s="1"/>
      <c r="F520" s="1"/>
      <c r="G520" s="1"/>
      <c r="H520" s="1"/>
      <c r="I520" s="1"/>
      <c r="J520" s="1"/>
      <c r="K520" s="1"/>
      <c r="L520" s="1"/>
      <c r="M520" s="1"/>
      <c r="N520" s="1"/>
      <c r="O520" s="1"/>
      <c r="P520" s="1"/>
      <c r="Q520" s="1"/>
      <c r="R520" s="1"/>
      <c r="S520" s="1"/>
      <c r="T520" s="1"/>
      <c r="U520" s="2"/>
      <c r="V520" s="1"/>
      <c r="W520" s="1"/>
      <c r="X520" s="1"/>
      <c r="Y520" s="1"/>
      <c r="Z520" s="1"/>
    </row>
    <row r="521" spans="1:26" ht="24.75" customHeight="1">
      <c r="A521" s="1"/>
      <c r="B521" s="1"/>
      <c r="C521" s="1"/>
      <c r="D521" s="1"/>
      <c r="E521" s="1"/>
      <c r="F521" s="1"/>
      <c r="G521" s="1"/>
      <c r="H521" s="1"/>
      <c r="I521" s="1"/>
      <c r="J521" s="1"/>
      <c r="K521" s="1"/>
      <c r="L521" s="1"/>
      <c r="M521" s="1"/>
      <c r="N521" s="1"/>
      <c r="O521" s="1"/>
      <c r="P521" s="1"/>
      <c r="Q521" s="1"/>
      <c r="R521" s="1"/>
      <c r="S521" s="1"/>
      <c r="T521" s="1"/>
      <c r="U521" s="2"/>
      <c r="V521" s="1"/>
      <c r="W521" s="1"/>
      <c r="X521" s="1"/>
      <c r="Y521" s="1"/>
      <c r="Z521" s="1"/>
    </row>
    <row r="522" spans="1:26" ht="24.75" customHeight="1">
      <c r="A522" s="1"/>
      <c r="B522" s="1"/>
      <c r="C522" s="1"/>
      <c r="D522" s="1"/>
      <c r="E522" s="1"/>
      <c r="F522" s="1"/>
      <c r="G522" s="1"/>
      <c r="H522" s="1"/>
      <c r="I522" s="1"/>
      <c r="J522" s="1"/>
      <c r="K522" s="1"/>
      <c r="L522" s="1"/>
      <c r="M522" s="1"/>
      <c r="N522" s="1"/>
      <c r="O522" s="1"/>
      <c r="P522" s="1"/>
      <c r="Q522" s="1"/>
      <c r="R522" s="1"/>
      <c r="S522" s="1"/>
      <c r="T522" s="1"/>
      <c r="U522" s="2"/>
      <c r="V522" s="1"/>
      <c r="W522" s="1"/>
      <c r="X522" s="1"/>
      <c r="Y522" s="1"/>
      <c r="Z522" s="1"/>
    </row>
    <row r="523" spans="1:26" ht="24.75" customHeight="1">
      <c r="A523" s="1"/>
      <c r="B523" s="1"/>
      <c r="C523" s="1"/>
      <c r="D523" s="1"/>
      <c r="E523" s="1"/>
      <c r="F523" s="1"/>
      <c r="G523" s="1"/>
      <c r="H523" s="1"/>
      <c r="I523" s="1"/>
      <c r="J523" s="1"/>
      <c r="K523" s="1"/>
      <c r="L523" s="1"/>
      <c r="M523" s="1"/>
      <c r="N523" s="1"/>
      <c r="O523" s="1"/>
      <c r="P523" s="1"/>
      <c r="Q523" s="1"/>
      <c r="R523" s="1"/>
      <c r="S523" s="1"/>
      <c r="T523" s="1"/>
      <c r="U523" s="2"/>
      <c r="V523" s="1"/>
      <c r="W523" s="1"/>
      <c r="X523" s="1"/>
      <c r="Y523" s="1"/>
      <c r="Z523" s="1"/>
    </row>
    <row r="524" spans="1:26" ht="24.75" customHeight="1">
      <c r="A524" s="1"/>
      <c r="B524" s="1"/>
      <c r="C524" s="1"/>
      <c r="D524" s="1"/>
      <c r="E524" s="1"/>
      <c r="F524" s="1"/>
      <c r="G524" s="1"/>
      <c r="H524" s="1"/>
      <c r="I524" s="1"/>
      <c r="J524" s="1"/>
      <c r="K524" s="1"/>
      <c r="L524" s="1"/>
      <c r="M524" s="1"/>
      <c r="N524" s="1"/>
      <c r="O524" s="1"/>
      <c r="P524" s="1"/>
      <c r="Q524" s="1"/>
      <c r="R524" s="1"/>
      <c r="S524" s="1"/>
      <c r="T524" s="1"/>
      <c r="U524" s="2"/>
      <c r="V524" s="1"/>
      <c r="W524" s="1"/>
      <c r="X524" s="1"/>
      <c r="Y524" s="1"/>
      <c r="Z524" s="1"/>
    </row>
    <row r="525" spans="1:26" ht="24.75" customHeight="1">
      <c r="A525" s="1"/>
      <c r="B525" s="1"/>
      <c r="C525" s="1"/>
      <c r="D525" s="1"/>
      <c r="E525" s="1"/>
      <c r="F525" s="1"/>
      <c r="G525" s="1"/>
      <c r="H525" s="1"/>
      <c r="I525" s="1"/>
      <c r="J525" s="1"/>
      <c r="K525" s="1"/>
      <c r="L525" s="1"/>
      <c r="M525" s="1"/>
      <c r="N525" s="1"/>
      <c r="O525" s="1"/>
      <c r="P525" s="1"/>
      <c r="Q525" s="1"/>
      <c r="R525" s="1"/>
      <c r="S525" s="1"/>
      <c r="T525" s="1"/>
      <c r="U525" s="2"/>
      <c r="V525" s="1"/>
      <c r="W525" s="1"/>
      <c r="X525" s="1"/>
      <c r="Y525" s="1"/>
      <c r="Z525" s="1"/>
    </row>
    <row r="526" spans="1:26" ht="24.75" customHeight="1">
      <c r="A526" s="1"/>
      <c r="B526" s="1"/>
      <c r="C526" s="1"/>
      <c r="D526" s="1"/>
      <c r="E526" s="1"/>
      <c r="F526" s="1"/>
      <c r="G526" s="1"/>
      <c r="H526" s="1"/>
      <c r="I526" s="1"/>
      <c r="J526" s="1"/>
      <c r="K526" s="1"/>
      <c r="L526" s="1"/>
      <c r="M526" s="1"/>
      <c r="N526" s="1"/>
      <c r="O526" s="1"/>
      <c r="P526" s="1"/>
      <c r="Q526" s="1"/>
      <c r="R526" s="1"/>
      <c r="S526" s="1"/>
      <c r="T526" s="1"/>
      <c r="U526" s="2"/>
      <c r="V526" s="1"/>
      <c r="W526" s="1"/>
      <c r="X526" s="1"/>
      <c r="Y526" s="1"/>
      <c r="Z526" s="1"/>
    </row>
    <row r="527" spans="1:26" ht="24.75" customHeight="1">
      <c r="A527" s="1"/>
      <c r="B527" s="1"/>
      <c r="C527" s="1"/>
      <c r="D527" s="1"/>
      <c r="E527" s="1"/>
      <c r="F527" s="1"/>
      <c r="G527" s="1"/>
      <c r="H527" s="1"/>
      <c r="I527" s="1"/>
      <c r="J527" s="1"/>
      <c r="K527" s="1"/>
      <c r="L527" s="1"/>
      <c r="M527" s="1"/>
      <c r="N527" s="1"/>
      <c r="O527" s="1"/>
      <c r="P527" s="1"/>
      <c r="Q527" s="1"/>
      <c r="R527" s="1"/>
      <c r="S527" s="1"/>
      <c r="T527" s="1"/>
      <c r="U527" s="2"/>
      <c r="V527" s="1"/>
      <c r="W527" s="1"/>
      <c r="X527" s="1"/>
      <c r="Y527" s="1"/>
      <c r="Z527" s="1"/>
    </row>
    <row r="528" spans="1:26" ht="24.75" customHeight="1">
      <c r="A528" s="1"/>
      <c r="B528" s="1"/>
      <c r="C528" s="1"/>
      <c r="D528" s="1"/>
      <c r="E528" s="1"/>
      <c r="F528" s="1"/>
      <c r="G528" s="1"/>
      <c r="H528" s="1"/>
      <c r="I528" s="1"/>
      <c r="J528" s="1"/>
      <c r="K528" s="1"/>
      <c r="L528" s="1"/>
      <c r="M528" s="1"/>
      <c r="N528" s="1"/>
      <c r="O528" s="1"/>
      <c r="P528" s="1"/>
      <c r="Q528" s="1"/>
      <c r="R528" s="1"/>
      <c r="S528" s="1"/>
      <c r="T528" s="1"/>
      <c r="U528" s="2"/>
      <c r="V528" s="1"/>
      <c r="W528" s="1"/>
      <c r="X528" s="1"/>
      <c r="Y528" s="1"/>
      <c r="Z528" s="1"/>
    </row>
    <row r="529" spans="1:26" ht="24.75" customHeight="1">
      <c r="A529" s="1"/>
      <c r="B529" s="1"/>
      <c r="C529" s="1"/>
      <c r="D529" s="1"/>
      <c r="E529" s="1"/>
      <c r="F529" s="1"/>
      <c r="G529" s="1"/>
      <c r="H529" s="1"/>
      <c r="I529" s="1"/>
      <c r="J529" s="1"/>
      <c r="K529" s="1"/>
      <c r="L529" s="1"/>
      <c r="M529" s="1"/>
      <c r="N529" s="1"/>
      <c r="O529" s="1"/>
      <c r="P529" s="1"/>
      <c r="Q529" s="1"/>
      <c r="R529" s="1"/>
      <c r="S529" s="1"/>
      <c r="T529" s="1"/>
      <c r="U529" s="2"/>
      <c r="V529" s="1"/>
      <c r="W529" s="1"/>
      <c r="X529" s="1"/>
      <c r="Y529" s="1"/>
      <c r="Z529" s="1"/>
    </row>
    <row r="530" spans="1:26" ht="24.75" customHeight="1">
      <c r="A530" s="1"/>
      <c r="B530" s="1"/>
      <c r="C530" s="1"/>
      <c r="D530" s="1"/>
      <c r="E530" s="1"/>
      <c r="F530" s="1"/>
      <c r="G530" s="1"/>
      <c r="H530" s="1"/>
      <c r="I530" s="1"/>
      <c r="J530" s="1"/>
      <c r="K530" s="1"/>
      <c r="L530" s="1"/>
      <c r="M530" s="1"/>
      <c r="N530" s="1"/>
      <c r="O530" s="1"/>
      <c r="P530" s="1"/>
      <c r="Q530" s="1"/>
      <c r="R530" s="1"/>
      <c r="S530" s="1"/>
      <c r="T530" s="1"/>
      <c r="U530" s="2"/>
      <c r="V530" s="1"/>
      <c r="W530" s="1"/>
      <c r="X530" s="1"/>
      <c r="Y530" s="1"/>
      <c r="Z530" s="1"/>
    </row>
    <row r="531" spans="1:26" ht="24.75" customHeight="1">
      <c r="A531" s="1"/>
      <c r="B531" s="1"/>
      <c r="C531" s="1"/>
      <c r="D531" s="1"/>
      <c r="E531" s="1"/>
      <c r="F531" s="1"/>
      <c r="G531" s="1"/>
      <c r="H531" s="1"/>
      <c r="I531" s="1"/>
      <c r="J531" s="1"/>
      <c r="K531" s="1"/>
      <c r="L531" s="1"/>
      <c r="M531" s="1"/>
      <c r="N531" s="1"/>
      <c r="O531" s="1"/>
      <c r="P531" s="1"/>
      <c r="Q531" s="1"/>
      <c r="R531" s="1"/>
      <c r="S531" s="1"/>
      <c r="T531" s="1"/>
      <c r="U531" s="2"/>
      <c r="V531" s="1"/>
      <c r="W531" s="1"/>
      <c r="X531" s="1"/>
      <c r="Y531" s="1"/>
      <c r="Z531" s="1"/>
    </row>
    <row r="532" spans="1:26" ht="24.75" customHeight="1">
      <c r="A532" s="1"/>
      <c r="B532" s="1"/>
      <c r="C532" s="1"/>
      <c r="D532" s="1"/>
      <c r="E532" s="1"/>
      <c r="F532" s="1"/>
      <c r="G532" s="1"/>
      <c r="H532" s="1"/>
      <c r="I532" s="1"/>
      <c r="J532" s="1"/>
      <c r="K532" s="1"/>
      <c r="L532" s="1"/>
      <c r="M532" s="1"/>
      <c r="N532" s="1"/>
      <c r="O532" s="1"/>
      <c r="P532" s="1"/>
      <c r="Q532" s="1"/>
      <c r="R532" s="1"/>
      <c r="S532" s="1"/>
      <c r="T532" s="1"/>
      <c r="U532" s="2"/>
      <c r="V532" s="1"/>
      <c r="W532" s="1"/>
      <c r="X532" s="1"/>
      <c r="Y532" s="1"/>
      <c r="Z532" s="1"/>
    </row>
    <row r="533" spans="1:26" ht="24.75" customHeight="1">
      <c r="A533" s="1"/>
      <c r="B533" s="1"/>
      <c r="C533" s="1"/>
      <c r="D533" s="1"/>
      <c r="E533" s="1"/>
      <c r="F533" s="1"/>
      <c r="G533" s="1"/>
      <c r="H533" s="1"/>
      <c r="I533" s="1"/>
      <c r="J533" s="1"/>
      <c r="K533" s="1"/>
      <c r="L533" s="1"/>
      <c r="M533" s="1"/>
      <c r="N533" s="1"/>
      <c r="O533" s="1"/>
      <c r="P533" s="1"/>
      <c r="Q533" s="1"/>
      <c r="R533" s="1"/>
      <c r="S533" s="1"/>
      <c r="T533" s="1"/>
      <c r="U533" s="2"/>
      <c r="V533" s="1"/>
      <c r="W533" s="1"/>
      <c r="X533" s="1"/>
      <c r="Y533" s="1"/>
      <c r="Z533" s="1"/>
    </row>
    <row r="534" spans="1:26" ht="24.75" customHeight="1">
      <c r="A534" s="1"/>
      <c r="B534" s="1"/>
      <c r="C534" s="1"/>
      <c r="D534" s="1"/>
      <c r="E534" s="1"/>
      <c r="F534" s="1"/>
      <c r="G534" s="1"/>
      <c r="H534" s="1"/>
      <c r="I534" s="1"/>
      <c r="J534" s="1"/>
      <c r="K534" s="1"/>
      <c r="L534" s="1"/>
      <c r="M534" s="1"/>
      <c r="N534" s="1"/>
      <c r="O534" s="1"/>
      <c r="P534" s="1"/>
      <c r="Q534" s="1"/>
      <c r="R534" s="1"/>
      <c r="S534" s="1"/>
      <c r="T534" s="1"/>
      <c r="U534" s="2"/>
      <c r="V534" s="1"/>
      <c r="W534" s="1"/>
      <c r="X534" s="1"/>
      <c r="Y534" s="1"/>
      <c r="Z534" s="1"/>
    </row>
    <row r="535" spans="1:26" ht="24.75" customHeight="1">
      <c r="A535" s="1"/>
      <c r="B535" s="1"/>
      <c r="C535" s="1"/>
      <c r="D535" s="1"/>
      <c r="E535" s="1"/>
      <c r="F535" s="1"/>
      <c r="G535" s="1"/>
      <c r="H535" s="1"/>
      <c r="I535" s="1"/>
      <c r="J535" s="1"/>
      <c r="K535" s="1"/>
      <c r="L535" s="1"/>
      <c r="M535" s="1"/>
      <c r="N535" s="1"/>
      <c r="O535" s="1"/>
      <c r="P535" s="1"/>
      <c r="Q535" s="1"/>
      <c r="R535" s="1"/>
      <c r="S535" s="1"/>
      <c r="T535" s="1"/>
      <c r="U535" s="2"/>
      <c r="V535" s="1"/>
      <c r="W535" s="1"/>
      <c r="X535" s="1"/>
      <c r="Y535" s="1"/>
      <c r="Z535" s="1"/>
    </row>
    <row r="536" spans="1:26" ht="24.75" customHeight="1">
      <c r="A536" s="1"/>
      <c r="B536" s="1"/>
      <c r="C536" s="1"/>
      <c r="D536" s="1"/>
      <c r="E536" s="1"/>
      <c r="F536" s="1"/>
      <c r="G536" s="1"/>
      <c r="H536" s="1"/>
      <c r="I536" s="1"/>
      <c r="J536" s="1"/>
      <c r="K536" s="1"/>
      <c r="L536" s="1"/>
      <c r="M536" s="1"/>
      <c r="N536" s="1"/>
      <c r="O536" s="1"/>
      <c r="P536" s="1"/>
      <c r="Q536" s="1"/>
      <c r="R536" s="1"/>
      <c r="S536" s="1"/>
      <c r="T536" s="1"/>
      <c r="U536" s="2"/>
      <c r="V536" s="1"/>
      <c r="W536" s="1"/>
      <c r="X536" s="1"/>
      <c r="Y536" s="1"/>
      <c r="Z536" s="1"/>
    </row>
    <row r="537" spans="1:26" ht="24.75" customHeight="1">
      <c r="A537" s="1"/>
      <c r="B537" s="1"/>
      <c r="C537" s="1"/>
      <c r="D537" s="1"/>
      <c r="E537" s="1"/>
      <c r="F537" s="1"/>
      <c r="G537" s="1"/>
      <c r="H537" s="1"/>
      <c r="I537" s="1"/>
      <c r="J537" s="1"/>
      <c r="K537" s="1"/>
      <c r="L537" s="1"/>
      <c r="M537" s="1"/>
      <c r="N537" s="1"/>
      <c r="O537" s="1"/>
      <c r="P537" s="1"/>
      <c r="Q537" s="1"/>
      <c r="R537" s="1"/>
      <c r="S537" s="1"/>
      <c r="T537" s="1"/>
      <c r="U537" s="2"/>
      <c r="V537" s="1"/>
      <c r="W537" s="1"/>
      <c r="X537" s="1"/>
      <c r="Y537" s="1"/>
      <c r="Z537" s="1"/>
    </row>
    <row r="538" spans="1:26" ht="24.75" customHeight="1">
      <c r="A538" s="1"/>
      <c r="B538" s="1"/>
      <c r="C538" s="1"/>
      <c r="D538" s="1"/>
      <c r="E538" s="1"/>
      <c r="F538" s="1"/>
      <c r="G538" s="1"/>
      <c r="H538" s="1"/>
      <c r="I538" s="1"/>
      <c r="J538" s="1"/>
      <c r="K538" s="1"/>
      <c r="L538" s="1"/>
      <c r="M538" s="1"/>
      <c r="N538" s="1"/>
      <c r="O538" s="1"/>
      <c r="P538" s="1"/>
      <c r="Q538" s="1"/>
      <c r="R538" s="1"/>
      <c r="S538" s="1"/>
      <c r="T538" s="1"/>
      <c r="U538" s="2"/>
      <c r="V538" s="1"/>
      <c r="W538" s="1"/>
      <c r="X538" s="1"/>
      <c r="Y538" s="1"/>
      <c r="Z538" s="1"/>
    </row>
    <row r="539" spans="1:26" ht="24.75" customHeight="1">
      <c r="A539" s="1"/>
      <c r="B539" s="1"/>
      <c r="C539" s="1"/>
      <c r="D539" s="1"/>
      <c r="E539" s="1"/>
      <c r="F539" s="1"/>
      <c r="G539" s="1"/>
      <c r="H539" s="1"/>
      <c r="I539" s="1"/>
      <c r="J539" s="1"/>
      <c r="K539" s="1"/>
      <c r="L539" s="1"/>
      <c r="M539" s="1"/>
      <c r="N539" s="1"/>
      <c r="O539" s="1"/>
      <c r="P539" s="1"/>
      <c r="Q539" s="1"/>
      <c r="R539" s="1"/>
      <c r="S539" s="1"/>
      <c r="T539" s="1"/>
      <c r="U539" s="2"/>
      <c r="V539" s="1"/>
      <c r="W539" s="1"/>
      <c r="X539" s="1"/>
      <c r="Y539" s="1"/>
      <c r="Z539" s="1"/>
    </row>
    <row r="540" spans="1:26" ht="24.75" customHeight="1">
      <c r="A540" s="1"/>
      <c r="B540" s="1"/>
      <c r="C540" s="1"/>
      <c r="D540" s="1"/>
      <c r="E540" s="1"/>
      <c r="F540" s="1"/>
      <c r="G540" s="1"/>
      <c r="H540" s="1"/>
      <c r="I540" s="1"/>
      <c r="J540" s="1"/>
      <c r="K540" s="1"/>
      <c r="L540" s="1"/>
      <c r="M540" s="1"/>
      <c r="N540" s="1"/>
      <c r="O540" s="1"/>
      <c r="P540" s="1"/>
      <c r="Q540" s="1"/>
      <c r="R540" s="1"/>
      <c r="S540" s="1"/>
      <c r="T540" s="1"/>
      <c r="U540" s="2"/>
      <c r="V540" s="1"/>
      <c r="W540" s="1"/>
      <c r="X540" s="1"/>
      <c r="Y540" s="1"/>
      <c r="Z540" s="1"/>
    </row>
    <row r="541" spans="1:26" ht="24.75" customHeight="1">
      <c r="A541" s="1"/>
      <c r="B541" s="1"/>
      <c r="C541" s="1"/>
      <c r="D541" s="1"/>
      <c r="E541" s="1"/>
      <c r="F541" s="1"/>
      <c r="G541" s="1"/>
      <c r="H541" s="1"/>
      <c r="I541" s="1"/>
      <c r="J541" s="1"/>
      <c r="K541" s="1"/>
      <c r="L541" s="1"/>
      <c r="M541" s="1"/>
      <c r="N541" s="1"/>
      <c r="O541" s="1"/>
      <c r="P541" s="1"/>
      <c r="Q541" s="1"/>
      <c r="R541" s="1"/>
      <c r="S541" s="1"/>
      <c r="T541" s="1"/>
      <c r="U541" s="2"/>
      <c r="V541" s="1"/>
      <c r="W541" s="1"/>
      <c r="X541" s="1"/>
      <c r="Y541" s="1"/>
      <c r="Z541" s="1"/>
    </row>
    <row r="542" spans="1:26" ht="24.75" customHeight="1">
      <c r="A542" s="1"/>
      <c r="B542" s="1"/>
      <c r="C542" s="1"/>
      <c r="D542" s="1"/>
      <c r="E542" s="1"/>
      <c r="F542" s="1"/>
      <c r="G542" s="1"/>
      <c r="H542" s="1"/>
      <c r="I542" s="1"/>
      <c r="J542" s="1"/>
      <c r="K542" s="1"/>
      <c r="L542" s="1"/>
      <c r="M542" s="1"/>
      <c r="N542" s="1"/>
      <c r="O542" s="1"/>
      <c r="P542" s="1"/>
      <c r="Q542" s="1"/>
      <c r="R542" s="1"/>
      <c r="S542" s="1"/>
      <c r="T542" s="1"/>
      <c r="U542" s="2"/>
      <c r="V542" s="1"/>
      <c r="W542" s="1"/>
      <c r="X542" s="1"/>
      <c r="Y542" s="1"/>
      <c r="Z542" s="1"/>
    </row>
    <row r="543" spans="1:26" ht="24.75" customHeight="1">
      <c r="A543" s="1"/>
      <c r="B543" s="1"/>
      <c r="C543" s="1"/>
      <c r="D543" s="1"/>
      <c r="E543" s="1"/>
      <c r="F543" s="1"/>
      <c r="G543" s="1"/>
      <c r="H543" s="1"/>
      <c r="I543" s="1"/>
      <c r="J543" s="1"/>
      <c r="K543" s="1"/>
      <c r="L543" s="1"/>
      <c r="M543" s="1"/>
      <c r="N543" s="1"/>
      <c r="O543" s="1"/>
      <c r="P543" s="1"/>
      <c r="Q543" s="1"/>
      <c r="R543" s="1"/>
      <c r="S543" s="1"/>
      <c r="T543" s="1"/>
      <c r="U543" s="2"/>
      <c r="V543" s="1"/>
      <c r="W543" s="1"/>
      <c r="X543" s="1"/>
      <c r="Y543" s="1"/>
      <c r="Z543" s="1"/>
    </row>
    <row r="544" spans="1:26" ht="24.75" customHeight="1">
      <c r="A544" s="1"/>
      <c r="B544" s="1"/>
      <c r="C544" s="1"/>
      <c r="D544" s="1"/>
      <c r="E544" s="1"/>
      <c r="F544" s="1"/>
      <c r="G544" s="1"/>
      <c r="H544" s="1"/>
      <c r="I544" s="1"/>
      <c r="J544" s="1"/>
      <c r="K544" s="1"/>
      <c r="L544" s="1"/>
      <c r="M544" s="1"/>
      <c r="N544" s="1"/>
      <c r="O544" s="1"/>
      <c r="P544" s="1"/>
      <c r="Q544" s="1"/>
      <c r="R544" s="1"/>
      <c r="S544" s="1"/>
      <c r="T544" s="1"/>
      <c r="U544" s="2"/>
      <c r="V544" s="1"/>
      <c r="W544" s="1"/>
      <c r="X544" s="1"/>
      <c r="Y544" s="1"/>
      <c r="Z544" s="1"/>
    </row>
    <row r="545" spans="1:26" ht="24.75" customHeight="1">
      <c r="A545" s="1"/>
      <c r="B545" s="1"/>
      <c r="C545" s="1"/>
      <c r="D545" s="1"/>
      <c r="E545" s="1"/>
      <c r="F545" s="1"/>
      <c r="G545" s="1"/>
      <c r="H545" s="1"/>
      <c r="I545" s="1"/>
      <c r="J545" s="1"/>
      <c r="K545" s="1"/>
      <c r="L545" s="1"/>
      <c r="M545" s="1"/>
      <c r="N545" s="1"/>
      <c r="O545" s="1"/>
      <c r="P545" s="1"/>
      <c r="Q545" s="1"/>
      <c r="R545" s="1"/>
      <c r="S545" s="1"/>
      <c r="T545" s="1"/>
      <c r="U545" s="2"/>
      <c r="V545" s="1"/>
      <c r="W545" s="1"/>
      <c r="X545" s="1"/>
      <c r="Y545" s="1"/>
      <c r="Z545" s="1"/>
    </row>
    <row r="546" spans="1:26" ht="24.75" customHeight="1">
      <c r="A546" s="1"/>
      <c r="B546" s="1"/>
      <c r="C546" s="1"/>
      <c r="D546" s="1"/>
      <c r="E546" s="1"/>
      <c r="F546" s="1"/>
      <c r="G546" s="1"/>
      <c r="H546" s="1"/>
      <c r="I546" s="1"/>
      <c r="J546" s="1"/>
      <c r="K546" s="1"/>
      <c r="L546" s="1"/>
      <c r="M546" s="1"/>
      <c r="N546" s="1"/>
      <c r="O546" s="1"/>
      <c r="P546" s="1"/>
      <c r="Q546" s="1"/>
      <c r="R546" s="1"/>
      <c r="S546" s="1"/>
      <c r="T546" s="1"/>
      <c r="U546" s="2"/>
      <c r="V546" s="1"/>
      <c r="W546" s="1"/>
      <c r="X546" s="1"/>
      <c r="Y546" s="1"/>
      <c r="Z546" s="1"/>
    </row>
    <row r="547" spans="1:26" ht="24.75" customHeight="1">
      <c r="A547" s="1"/>
      <c r="B547" s="1"/>
      <c r="C547" s="1"/>
      <c r="D547" s="1"/>
      <c r="E547" s="1"/>
      <c r="F547" s="1"/>
      <c r="G547" s="1"/>
      <c r="H547" s="1"/>
      <c r="I547" s="1"/>
      <c r="J547" s="1"/>
      <c r="K547" s="1"/>
      <c r="L547" s="1"/>
      <c r="M547" s="1"/>
      <c r="N547" s="1"/>
      <c r="O547" s="1"/>
      <c r="P547" s="1"/>
      <c r="Q547" s="1"/>
      <c r="R547" s="1"/>
      <c r="S547" s="1"/>
      <c r="T547" s="1"/>
      <c r="U547" s="2"/>
      <c r="V547" s="1"/>
      <c r="W547" s="1"/>
      <c r="X547" s="1"/>
      <c r="Y547" s="1"/>
      <c r="Z547" s="1"/>
    </row>
    <row r="548" spans="1:26" ht="24.75" customHeight="1">
      <c r="A548" s="1"/>
      <c r="B548" s="1"/>
      <c r="C548" s="1"/>
      <c r="D548" s="1"/>
      <c r="E548" s="1"/>
      <c r="F548" s="1"/>
      <c r="G548" s="1"/>
      <c r="H548" s="1"/>
      <c r="I548" s="1"/>
      <c r="J548" s="1"/>
      <c r="K548" s="1"/>
      <c r="L548" s="1"/>
      <c r="M548" s="1"/>
      <c r="N548" s="1"/>
      <c r="O548" s="1"/>
      <c r="P548" s="1"/>
      <c r="Q548" s="1"/>
      <c r="R548" s="1"/>
      <c r="S548" s="1"/>
      <c r="T548" s="1"/>
      <c r="U548" s="2"/>
      <c r="V548" s="1"/>
      <c r="W548" s="1"/>
      <c r="X548" s="1"/>
      <c r="Y548" s="1"/>
      <c r="Z548" s="1"/>
    </row>
    <row r="549" spans="1:26" ht="24.75" customHeight="1">
      <c r="A549" s="1"/>
      <c r="B549" s="1"/>
      <c r="C549" s="1"/>
      <c r="D549" s="1"/>
      <c r="E549" s="1"/>
      <c r="F549" s="1"/>
      <c r="G549" s="1"/>
      <c r="H549" s="1"/>
      <c r="I549" s="1"/>
      <c r="J549" s="1"/>
      <c r="K549" s="1"/>
      <c r="L549" s="1"/>
      <c r="M549" s="1"/>
      <c r="N549" s="1"/>
      <c r="O549" s="1"/>
      <c r="P549" s="1"/>
      <c r="Q549" s="1"/>
      <c r="R549" s="1"/>
      <c r="S549" s="1"/>
      <c r="T549" s="1"/>
      <c r="U549" s="2"/>
      <c r="V549" s="1"/>
      <c r="W549" s="1"/>
      <c r="X549" s="1"/>
      <c r="Y549" s="1"/>
      <c r="Z549" s="1"/>
    </row>
    <row r="550" spans="1:26" ht="24.75" customHeight="1">
      <c r="A550" s="1"/>
      <c r="B550" s="1"/>
      <c r="C550" s="1"/>
      <c r="D550" s="1"/>
      <c r="E550" s="1"/>
      <c r="F550" s="1"/>
      <c r="G550" s="1"/>
      <c r="H550" s="1"/>
      <c r="I550" s="1"/>
      <c r="J550" s="1"/>
      <c r="K550" s="1"/>
      <c r="L550" s="1"/>
      <c r="M550" s="1"/>
      <c r="N550" s="1"/>
      <c r="O550" s="1"/>
      <c r="P550" s="1"/>
      <c r="Q550" s="1"/>
      <c r="R550" s="1"/>
      <c r="S550" s="1"/>
      <c r="T550" s="1"/>
      <c r="U550" s="2"/>
      <c r="V550" s="1"/>
      <c r="W550" s="1"/>
      <c r="X550" s="1"/>
      <c r="Y550" s="1"/>
      <c r="Z550" s="1"/>
    </row>
    <row r="551" spans="1:26" ht="24.75" customHeight="1">
      <c r="A551" s="1"/>
      <c r="B551" s="1"/>
      <c r="C551" s="1"/>
      <c r="D551" s="1"/>
      <c r="E551" s="1"/>
      <c r="F551" s="1"/>
      <c r="G551" s="1"/>
      <c r="H551" s="1"/>
      <c r="I551" s="1"/>
      <c r="J551" s="1"/>
      <c r="K551" s="1"/>
      <c r="L551" s="1"/>
      <c r="M551" s="1"/>
      <c r="N551" s="1"/>
      <c r="O551" s="1"/>
      <c r="P551" s="1"/>
      <c r="Q551" s="1"/>
      <c r="R551" s="1"/>
      <c r="S551" s="1"/>
      <c r="T551" s="1"/>
      <c r="U551" s="2"/>
      <c r="V551" s="1"/>
      <c r="W551" s="1"/>
      <c r="X551" s="1"/>
      <c r="Y551" s="1"/>
      <c r="Z551" s="1"/>
    </row>
    <row r="552" spans="1:26" ht="24.75" customHeight="1">
      <c r="A552" s="1"/>
      <c r="B552" s="1"/>
      <c r="C552" s="1"/>
      <c r="D552" s="1"/>
      <c r="E552" s="1"/>
      <c r="F552" s="1"/>
      <c r="G552" s="1"/>
      <c r="H552" s="1"/>
      <c r="I552" s="1"/>
      <c r="J552" s="1"/>
      <c r="K552" s="1"/>
      <c r="L552" s="1"/>
      <c r="M552" s="1"/>
      <c r="N552" s="1"/>
      <c r="O552" s="1"/>
      <c r="P552" s="1"/>
      <c r="Q552" s="1"/>
      <c r="R552" s="1"/>
      <c r="S552" s="1"/>
      <c r="T552" s="1"/>
      <c r="U552" s="2"/>
      <c r="V552" s="1"/>
      <c r="W552" s="1"/>
      <c r="X552" s="1"/>
      <c r="Y552" s="1"/>
      <c r="Z552" s="1"/>
    </row>
    <row r="553" spans="1:26" ht="24.75" customHeight="1">
      <c r="A553" s="1"/>
      <c r="B553" s="1"/>
      <c r="C553" s="1"/>
      <c r="D553" s="1"/>
      <c r="E553" s="1"/>
      <c r="F553" s="1"/>
      <c r="G553" s="1"/>
      <c r="H553" s="1"/>
      <c r="I553" s="1"/>
      <c r="J553" s="1"/>
      <c r="K553" s="1"/>
      <c r="L553" s="1"/>
      <c r="M553" s="1"/>
      <c r="N553" s="1"/>
      <c r="O553" s="1"/>
      <c r="P553" s="1"/>
      <c r="Q553" s="1"/>
      <c r="R553" s="1"/>
      <c r="S553" s="1"/>
      <c r="T553" s="1"/>
      <c r="U553" s="2"/>
      <c r="V553" s="1"/>
      <c r="W553" s="1"/>
      <c r="X553" s="1"/>
      <c r="Y553" s="1"/>
      <c r="Z553" s="1"/>
    </row>
    <row r="554" spans="1:26" ht="24.75" customHeight="1">
      <c r="A554" s="1"/>
      <c r="B554" s="1"/>
      <c r="C554" s="1"/>
      <c r="D554" s="1"/>
      <c r="E554" s="1"/>
      <c r="F554" s="1"/>
      <c r="G554" s="1"/>
      <c r="H554" s="1"/>
      <c r="I554" s="1"/>
      <c r="J554" s="1"/>
      <c r="K554" s="1"/>
      <c r="L554" s="1"/>
      <c r="M554" s="1"/>
      <c r="N554" s="1"/>
      <c r="O554" s="1"/>
      <c r="P554" s="1"/>
      <c r="Q554" s="1"/>
      <c r="R554" s="1"/>
      <c r="S554" s="1"/>
      <c r="T554" s="1"/>
      <c r="U554" s="2"/>
      <c r="V554" s="1"/>
      <c r="W554" s="1"/>
      <c r="X554" s="1"/>
      <c r="Y554" s="1"/>
      <c r="Z554" s="1"/>
    </row>
    <row r="555" spans="1:26" ht="24.75" customHeight="1">
      <c r="A555" s="1"/>
      <c r="B555" s="1"/>
      <c r="C555" s="1"/>
      <c r="D555" s="1"/>
      <c r="E555" s="1"/>
      <c r="F555" s="1"/>
      <c r="G555" s="1"/>
      <c r="H555" s="1"/>
      <c r="I555" s="1"/>
      <c r="J555" s="1"/>
      <c r="K555" s="1"/>
      <c r="L555" s="1"/>
      <c r="M555" s="1"/>
      <c r="N555" s="1"/>
      <c r="O555" s="1"/>
      <c r="P555" s="1"/>
      <c r="Q555" s="1"/>
      <c r="R555" s="1"/>
      <c r="S555" s="1"/>
      <c r="T555" s="1"/>
      <c r="U555" s="2"/>
      <c r="V555" s="1"/>
      <c r="W555" s="1"/>
      <c r="X555" s="1"/>
      <c r="Y555" s="1"/>
      <c r="Z555" s="1"/>
    </row>
    <row r="556" spans="1:26" ht="24.75" customHeight="1">
      <c r="A556" s="1"/>
      <c r="B556" s="1"/>
      <c r="C556" s="1"/>
      <c r="D556" s="1"/>
      <c r="E556" s="1"/>
      <c r="F556" s="1"/>
      <c r="G556" s="1"/>
      <c r="H556" s="1"/>
      <c r="I556" s="1"/>
      <c r="J556" s="1"/>
      <c r="K556" s="1"/>
      <c r="L556" s="1"/>
      <c r="M556" s="1"/>
      <c r="N556" s="1"/>
      <c r="O556" s="1"/>
      <c r="P556" s="1"/>
      <c r="Q556" s="1"/>
      <c r="R556" s="1"/>
      <c r="S556" s="1"/>
      <c r="T556" s="1"/>
      <c r="U556" s="2"/>
      <c r="V556" s="1"/>
      <c r="W556" s="1"/>
      <c r="X556" s="1"/>
      <c r="Y556" s="1"/>
      <c r="Z556" s="1"/>
    </row>
    <row r="557" spans="1:26" ht="24.75" customHeight="1">
      <c r="A557" s="1"/>
      <c r="B557" s="1"/>
      <c r="C557" s="1"/>
      <c r="D557" s="1"/>
      <c r="E557" s="1"/>
      <c r="F557" s="1"/>
      <c r="G557" s="1"/>
      <c r="H557" s="1"/>
      <c r="I557" s="1"/>
      <c r="J557" s="1"/>
      <c r="K557" s="1"/>
      <c r="L557" s="1"/>
      <c r="M557" s="1"/>
      <c r="N557" s="1"/>
      <c r="O557" s="1"/>
      <c r="P557" s="1"/>
      <c r="Q557" s="1"/>
      <c r="R557" s="1"/>
      <c r="S557" s="1"/>
      <c r="T557" s="1"/>
      <c r="U557" s="2"/>
      <c r="V557" s="1"/>
      <c r="W557" s="1"/>
      <c r="X557" s="1"/>
      <c r="Y557" s="1"/>
      <c r="Z557" s="1"/>
    </row>
    <row r="558" spans="1:26" ht="24.75" customHeight="1">
      <c r="A558" s="1"/>
      <c r="B558" s="1"/>
      <c r="C558" s="1"/>
      <c r="D558" s="1"/>
      <c r="E558" s="1"/>
      <c r="F558" s="1"/>
      <c r="G558" s="1"/>
      <c r="H558" s="1"/>
      <c r="I558" s="1"/>
      <c r="J558" s="1"/>
      <c r="K558" s="1"/>
      <c r="L558" s="1"/>
      <c r="M558" s="1"/>
      <c r="N558" s="1"/>
      <c r="O558" s="1"/>
      <c r="P558" s="1"/>
      <c r="Q558" s="1"/>
      <c r="R558" s="1"/>
      <c r="S558" s="1"/>
      <c r="T558" s="1"/>
      <c r="U558" s="2"/>
      <c r="V558" s="1"/>
      <c r="W558" s="1"/>
      <c r="X558" s="1"/>
      <c r="Y558" s="1"/>
      <c r="Z558" s="1"/>
    </row>
    <row r="559" spans="1:26" ht="24.75" customHeight="1">
      <c r="A559" s="1"/>
      <c r="B559" s="1"/>
      <c r="C559" s="1"/>
      <c r="D559" s="1"/>
      <c r="E559" s="1"/>
      <c r="F559" s="1"/>
      <c r="G559" s="1"/>
      <c r="H559" s="1"/>
      <c r="I559" s="1"/>
      <c r="J559" s="1"/>
      <c r="K559" s="1"/>
      <c r="L559" s="1"/>
      <c r="M559" s="1"/>
      <c r="N559" s="1"/>
      <c r="O559" s="1"/>
      <c r="P559" s="1"/>
      <c r="Q559" s="1"/>
      <c r="R559" s="1"/>
      <c r="S559" s="1"/>
      <c r="T559" s="1"/>
      <c r="U559" s="2"/>
      <c r="V559" s="1"/>
      <c r="W559" s="1"/>
      <c r="X559" s="1"/>
      <c r="Y559" s="1"/>
      <c r="Z559" s="1"/>
    </row>
    <row r="560" spans="1:26" ht="24.75" customHeight="1">
      <c r="A560" s="1"/>
      <c r="B560" s="1"/>
      <c r="C560" s="1"/>
      <c r="D560" s="1"/>
      <c r="E560" s="1"/>
      <c r="F560" s="1"/>
      <c r="G560" s="1"/>
      <c r="H560" s="1"/>
      <c r="I560" s="1"/>
      <c r="J560" s="1"/>
      <c r="K560" s="1"/>
      <c r="L560" s="1"/>
      <c r="M560" s="1"/>
      <c r="N560" s="1"/>
      <c r="O560" s="1"/>
      <c r="P560" s="1"/>
      <c r="Q560" s="1"/>
      <c r="R560" s="1"/>
      <c r="S560" s="1"/>
      <c r="T560" s="1"/>
      <c r="U560" s="2"/>
      <c r="V560" s="1"/>
      <c r="W560" s="1"/>
      <c r="X560" s="1"/>
      <c r="Y560" s="1"/>
      <c r="Z560" s="1"/>
    </row>
    <row r="561" spans="1:26" ht="24.75" customHeight="1">
      <c r="A561" s="1"/>
      <c r="B561" s="1"/>
      <c r="C561" s="1"/>
      <c r="D561" s="1"/>
      <c r="E561" s="1"/>
      <c r="F561" s="1"/>
      <c r="G561" s="1"/>
      <c r="H561" s="1"/>
      <c r="I561" s="1"/>
      <c r="J561" s="1"/>
      <c r="K561" s="1"/>
      <c r="L561" s="1"/>
      <c r="M561" s="1"/>
      <c r="N561" s="1"/>
      <c r="O561" s="1"/>
      <c r="P561" s="1"/>
      <c r="Q561" s="1"/>
      <c r="R561" s="1"/>
      <c r="S561" s="1"/>
      <c r="T561" s="1"/>
      <c r="U561" s="2"/>
      <c r="V561" s="1"/>
      <c r="W561" s="1"/>
      <c r="X561" s="1"/>
      <c r="Y561" s="1"/>
      <c r="Z561" s="1"/>
    </row>
    <row r="562" spans="1:26" ht="24.75" customHeight="1">
      <c r="A562" s="1"/>
      <c r="B562" s="1"/>
      <c r="C562" s="1"/>
      <c r="D562" s="1"/>
      <c r="E562" s="1"/>
      <c r="F562" s="1"/>
      <c r="G562" s="1"/>
      <c r="H562" s="1"/>
      <c r="I562" s="1"/>
      <c r="J562" s="1"/>
      <c r="K562" s="1"/>
      <c r="L562" s="1"/>
      <c r="M562" s="1"/>
      <c r="N562" s="1"/>
      <c r="O562" s="1"/>
      <c r="P562" s="1"/>
      <c r="Q562" s="1"/>
      <c r="R562" s="1"/>
      <c r="S562" s="1"/>
      <c r="T562" s="1"/>
      <c r="U562" s="2"/>
      <c r="V562" s="1"/>
      <c r="W562" s="1"/>
      <c r="X562" s="1"/>
      <c r="Y562" s="1"/>
      <c r="Z562" s="1"/>
    </row>
    <row r="563" spans="1:26" ht="24.75" customHeight="1">
      <c r="A563" s="1"/>
      <c r="B563" s="1"/>
      <c r="C563" s="1"/>
      <c r="D563" s="1"/>
      <c r="E563" s="1"/>
      <c r="F563" s="1"/>
      <c r="G563" s="1"/>
      <c r="H563" s="1"/>
      <c r="I563" s="1"/>
      <c r="J563" s="1"/>
      <c r="K563" s="1"/>
      <c r="L563" s="1"/>
      <c r="M563" s="1"/>
      <c r="N563" s="1"/>
      <c r="O563" s="1"/>
      <c r="P563" s="1"/>
      <c r="Q563" s="1"/>
      <c r="R563" s="1"/>
      <c r="S563" s="1"/>
      <c r="T563" s="1"/>
      <c r="U563" s="2"/>
      <c r="V563" s="1"/>
      <c r="W563" s="1"/>
      <c r="X563" s="1"/>
      <c r="Y563" s="1"/>
      <c r="Z563" s="1"/>
    </row>
    <row r="564" spans="1:26" ht="24.75" customHeight="1">
      <c r="A564" s="1"/>
      <c r="B564" s="1"/>
      <c r="C564" s="1"/>
      <c r="D564" s="1"/>
      <c r="E564" s="1"/>
      <c r="F564" s="1"/>
      <c r="G564" s="1"/>
      <c r="H564" s="1"/>
      <c r="I564" s="1"/>
      <c r="J564" s="1"/>
      <c r="K564" s="1"/>
      <c r="L564" s="1"/>
      <c r="M564" s="1"/>
      <c r="N564" s="1"/>
      <c r="O564" s="1"/>
      <c r="P564" s="1"/>
      <c r="Q564" s="1"/>
      <c r="R564" s="1"/>
      <c r="S564" s="1"/>
      <c r="T564" s="1"/>
      <c r="U564" s="2"/>
      <c r="V564" s="1"/>
      <c r="W564" s="1"/>
      <c r="X564" s="1"/>
      <c r="Y564" s="1"/>
      <c r="Z564" s="1"/>
    </row>
    <row r="565" spans="1:26" ht="24.75" customHeight="1">
      <c r="A565" s="1"/>
      <c r="B565" s="1"/>
      <c r="C565" s="1"/>
      <c r="D565" s="1"/>
      <c r="E565" s="1"/>
      <c r="F565" s="1"/>
      <c r="G565" s="1"/>
      <c r="H565" s="1"/>
      <c r="I565" s="1"/>
      <c r="J565" s="1"/>
      <c r="K565" s="1"/>
      <c r="L565" s="1"/>
      <c r="M565" s="1"/>
      <c r="N565" s="1"/>
      <c r="O565" s="1"/>
      <c r="P565" s="1"/>
      <c r="Q565" s="1"/>
      <c r="R565" s="1"/>
      <c r="S565" s="1"/>
      <c r="T565" s="1"/>
      <c r="U565" s="2"/>
      <c r="V565" s="1"/>
      <c r="W565" s="1"/>
      <c r="X565" s="1"/>
      <c r="Y565" s="1"/>
      <c r="Z565" s="1"/>
    </row>
    <row r="566" spans="1:26" ht="24.75" customHeight="1">
      <c r="A566" s="1"/>
      <c r="B566" s="1"/>
      <c r="C566" s="1"/>
      <c r="D566" s="1"/>
      <c r="E566" s="1"/>
      <c r="F566" s="1"/>
      <c r="G566" s="1"/>
      <c r="H566" s="1"/>
      <c r="I566" s="1"/>
      <c r="J566" s="1"/>
      <c r="K566" s="1"/>
      <c r="L566" s="1"/>
      <c r="M566" s="1"/>
      <c r="N566" s="1"/>
      <c r="O566" s="1"/>
      <c r="P566" s="1"/>
      <c r="Q566" s="1"/>
      <c r="R566" s="1"/>
      <c r="S566" s="1"/>
      <c r="T566" s="1"/>
      <c r="U566" s="2"/>
      <c r="V566" s="1"/>
      <c r="W566" s="1"/>
      <c r="X566" s="1"/>
      <c r="Y566" s="1"/>
      <c r="Z566" s="1"/>
    </row>
    <row r="567" spans="1:26" ht="24.75" customHeight="1">
      <c r="A567" s="1"/>
      <c r="B567" s="1"/>
      <c r="C567" s="1"/>
      <c r="D567" s="1"/>
      <c r="E567" s="1"/>
      <c r="F567" s="1"/>
      <c r="G567" s="1"/>
      <c r="H567" s="1"/>
      <c r="I567" s="1"/>
      <c r="J567" s="1"/>
      <c r="K567" s="1"/>
      <c r="L567" s="1"/>
      <c r="M567" s="1"/>
      <c r="N567" s="1"/>
      <c r="O567" s="1"/>
      <c r="P567" s="1"/>
      <c r="Q567" s="1"/>
      <c r="R567" s="1"/>
      <c r="S567" s="1"/>
      <c r="T567" s="1"/>
      <c r="U567" s="2"/>
      <c r="V567" s="1"/>
      <c r="W567" s="1"/>
      <c r="X567" s="1"/>
      <c r="Y567" s="1"/>
      <c r="Z567" s="1"/>
    </row>
    <row r="568" spans="1:26" ht="24.75" customHeight="1">
      <c r="A568" s="1"/>
      <c r="B568" s="1"/>
      <c r="C568" s="1"/>
      <c r="D568" s="1"/>
      <c r="E568" s="1"/>
      <c r="F568" s="1"/>
      <c r="G568" s="1"/>
      <c r="H568" s="1"/>
      <c r="I568" s="1"/>
      <c r="J568" s="1"/>
      <c r="K568" s="1"/>
      <c r="L568" s="1"/>
      <c r="M568" s="1"/>
      <c r="N568" s="1"/>
      <c r="O568" s="1"/>
      <c r="P568" s="1"/>
      <c r="Q568" s="1"/>
      <c r="R568" s="1"/>
      <c r="S568" s="1"/>
      <c r="T568" s="1"/>
      <c r="U568" s="2"/>
      <c r="V568" s="1"/>
      <c r="W568" s="1"/>
      <c r="X568" s="1"/>
      <c r="Y568" s="1"/>
      <c r="Z568" s="1"/>
    </row>
    <row r="569" spans="1:26" ht="24.75" customHeight="1">
      <c r="A569" s="1"/>
      <c r="B569" s="1"/>
      <c r="C569" s="1"/>
      <c r="D569" s="1"/>
      <c r="E569" s="1"/>
      <c r="F569" s="1"/>
      <c r="G569" s="1"/>
      <c r="H569" s="1"/>
      <c r="I569" s="1"/>
      <c r="J569" s="1"/>
      <c r="K569" s="1"/>
      <c r="L569" s="1"/>
      <c r="M569" s="1"/>
      <c r="N569" s="1"/>
      <c r="O569" s="1"/>
      <c r="P569" s="1"/>
      <c r="Q569" s="1"/>
      <c r="R569" s="1"/>
      <c r="S569" s="1"/>
      <c r="T569" s="1"/>
      <c r="U569" s="2"/>
      <c r="V569" s="1"/>
      <c r="W569" s="1"/>
      <c r="X569" s="1"/>
      <c r="Y569" s="1"/>
      <c r="Z569" s="1"/>
    </row>
    <row r="570" spans="1:26" ht="24.75" customHeight="1">
      <c r="A570" s="1"/>
      <c r="B570" s="1"/>
      <c r="C570" s="1"/>
      <c r="D570" s="1"/>
      <c r="E570" s="1"/>
      <c r="F570" s="1"/>
      <c r="G570" s="1"/>
      <c r="H570" s="1"/>
      <c r="I570" s="1"/>
      <c r="J570" s="1"/>
      <c r="K570" s="1"/>
      <c r="L570" s="1"/>
      <c r="M570" s="1"/>
      <c r="N570" s="1"/>
      <c r="O570" s="1"/>
      <c r="P570" s="1"/>
      <c r="Q570" s="1"/>
      <c r="R570" s="1"/>
      <c r="S570" s="1"/>
      <c r="T570" s="1"/>
      <c r="U570" s="2"/>
      <c r="V570" s="1"/>
      <c r="W570" s="1"/>
      <c r="X570" s="1"/>
      <c r="Y570" s="1"/>
      <c r="Z570" s="1"/>
    </row>
    <row r="571" spans="1:26" ht="24.75" customHeight="1">
      <c r="A571" s="1"/>
      <c r="B571" s="1"/>
      <c r="C571" s="1"/>
      <c r="D571" s="1"/>
      <c r="E571" s="1"/>
      <c r="F571" s="1"/>
      <c r="G571" s="1"/>
      <c r="H571" s="1"/>
      <c r="I571" s="1"/>
      <c r="J571" s="1"/>
      <c r="K571" s="1"/>
      <c r="L571" s="1"/>
      <c r="M571" s="1"/>
      <c r="N571" s="1"/>
      <c r="O571" s="1"/>
      <c r="P571" s="1"/>
      <c r="Q571" s="1"/>
      <c r="R571" s="1"/>
      <c r="S571" s="1"/>
      <c r="T571" s="1"/>
      <c r="U571" s="2"/>
      <c r="V571" s="1"/>
      <c r="W571" s="1"/>
      <c r="X571" s="1"/>
      <c r="Y571" s="1"/>
      <c r="Z571" s="1"/>
    </row>
    <row r="572" spans="1:26" ht="24.75" customHeight="1">
      <c r="A572" s="1"/>
      <c r="B572" s="1"/>
      <c r="C572" s="1"/>
      <c r="D572" s="1"/>
      <c r="E572" s="1"/>
      <c r="F572" s="1"/>
      <c r="G572" s="1"/>
      <c r="H572" s="1"/>
      <c r="I572" s="1"/>
      <c r="J572" s="1"/>
      <c r="K572" s="1"/>
      <c r="L572" s="1"/>
      <c r="M572" s="1"/>
      <c r="N572" s="1"/>
      <c r="O572" s="1"/>
      <c r="P572" s="1"/>
      <c r="Q572" s="1"/>
      <c r="R572" s="1"/>
      <c r="S572" s="1"/>
      <c r="T572" s="1"/>
      <c r="U572" s="2"/>
      <c r="V572" s="1"/>
      <c r="W572" s="1"/>
      <c r="X572" s="1"/>
      <c r="Y572" s="1"/>
      <c r="Z572" s="1"/>
    </row>
    <row r="573" spans="1:26" ht="24.75" customHeight="1">
      <c r="A573" s="1"/>
      <c r="B573" s="1"/>
      <c r="C573" s="1"/>
      <c r="D573" s="1"/>
      <c r="E573" s="1"/>
      <c r="F573" s="1"/>
      <c r="G573" s="1"/>
      <c r="H573" s="1"/>
      <c r="I573" s="1"/>
      <c r="J573" s="1"/>
      <c r="K573" s="1"/>
      <c r="L573" s="1"/>
      <c r="M573" s="1"/>
      <c r="N573" s="1"/>
      <c r="O573" s="1"/>
      <c r="P573" s="1"/>
      <c r="Q573" s="1"/>
      <c r="R573" s="1"/>
      <c r="S573" s="1"/>
      <c r="T573" s="1"/>
      <c r="U573" s="2"/>
      <c r="V573" s="1"/>
      <c r="W573" s="1"/>
      <c r="X573" s="1"/>
      <c r="Y573" s="1"/>
      <c r="Z573" s="1"/>
    </row>
    <row r="574" spans="1:26" ht="24.75" customHeight="1">
      <c r="A574" s="1"/>
      <c r="B574" s="1"/>
      <c r="C574" s="1"/>
      <c r="D574" s="1"/>
      <c r="E574" s="1"/>
      <c r="F574" s="1"/>
      <c r="G574" s="1"/>
      <c r="H574" s="1"/>
      <c r="I574" s="1"/>
      <c r="J574" s="1"/>
      <c r="K574" s="1"/>
      <c r="L574" s="1"/>
      <c r="M574" s="1"/>
      <c r="N574" s="1"/>
      <c r="O574" s="1"/>
      <c r="P574" s="1"/>
      <c r="Q574" s="1"/>
      <c r="R574" s="1"/>
      <c r="S574" s="1"/>
      <c r="T574" s="1"/>
      <c r="U574" s="2"/>
      <c r="V574" s="1"/>
      <c r="W574" s="1"/>
      <c r="X574" s="1"/>
      <c r="Y574" s="1"/>
      <c r="Z574" s="1"/>
    </row>
    <row r="575" spans="1:26" ht="24.75" customHeight="1">
      <c r="A575" s="1"/>
      <c r="B575" s="1"/>
      <c r="C575" s="1"/>
      <c r="D575" s="1"/>
      <c r="E575" s="1"/>
      <c r="F575" s="1"/>
      <c r="G575" s="1"/>
      <c r="H575" s="1"/>
      <c r="I575" s="1"/>
      <c r="J575" s="1"/>
      <c r="K575" s="1"/>
      <c r="L575" s="1"/>
      <c r="M575" s="1"/>
      <c r="N575" s="1"/>
      <c r="O575" s="1"/>
      <c r="P575" s="1"/>
      <c r="Q575" s="1"/>
      <c r="R575" s="1"/>
      <c r="S575" s="1"/>
      <c r="T575" s="1"/>
      <c r="U575" s="2"/>
      <c r="V575" s="1"/>
      <c r="W575" s="1"/>
      <c r="X575" s="1"/>
      <c r="Y575" s="1"/>
      <c r="Z575" s="1"/>
    </row>
    <row r="576" spans="1:26" ht="24.75" customHeight="1">
      <c r="A576" s="1"/>
      <c r="B576" s="1"/>
      <c r="C576" s="1"/>
      <c r="D576" s="1"/>
      <c r="E576" s="1"/>
      <c r="F576" s="1"/>
      <c r="G576" s="1"/>
      <c r="H576" s="1"/>
      <c r="I576" s="1"/>
      <c r="J576" s="1"/>
      <c r="K576" s="1"/>
      <c r="L576" s="1"/>
      <c r="M576" s="1"/>
      <c r="N576" s="1"/>
      <c r="O576" s="1"/>
      <c r="P576" s="1"/>
      <c r="Q576" s="1"/>
      <c r="R576" s="1"/>
      <c r="S576" s="1"/>
      <c r="T576" s="1"/>
      <c r="U576" s="2"/>
      <c r="V576" s="1"/>
      <c r="W576" s="1"/>
      <c r="X576" s="1"/>
      <c r="Y576" s="1"/>
      <c r="Z576" s="1"/>
    </row>
    <row r="577" spans="1:26" ht="24.75" customHeight="1">
      <c r="A577" s="1"/>
      <c r="B577" s="1"/>
      <c r="C577" s="1"/>
      <c r="D577" s="1"/>
      <c r="E577" s="1"/>
      <c r="F577" s="1"/>
      <c r="G577" s="1"/>
      <c r="H577" s="1"/>
      <c r="I577" s="1"/>
      <c r="J577" s="1"/>
      <c r="K577" s="1"/>
      <c r="L577" s="1"/>
      <c r="M577" s="1"/>
      <c r="N577" s="1"/>
      <c r="O577" s="1"/>
      <c r="P577" s="1"/>
      <c r="Q577" s="1"/>
      <c r="R577" s="1"/>
      <c r="S577" s="1"/>
      <c r="T577" s="1"/>
      <c r="U577" s="2"/>
      <c r="V577" s="1"/>
      <c r="W577" s="1"/>
      <c r="X577" s="1"/>
      <c r="Y577" s="1"/>
      <c r="Z577" s="1"/>
    </row>
    <row r="578" spans="1:26" ht="24.75" customHeight="1">
      <c r="A578" s="1"/>
      <c r="B578" s="1"/>
      <c r="C578" s="1"/>
      <c r="D578" s="1"/>
      <c r="E578" s="1"/>
      <c r="F578" s="1"/>
      <c r="G578" s="1"/>
      <c r="H578" s="1"/>
      <c r="I578" s="1"/>
      <c r="J578" s="1"/>
      <c r="K578" s="1"/>
      <c r="L578" s="1"/>
      <c r="M578" s="1"/>
      <c r="N578" s="1"/>
      <c r="O578" s="1"/>
      <c r="P578" s="1"/>
      <c r="Q578" s="1"/>
      <c r="R578" s="1"/>
      <c r="S578" s="1"/>
      <c r="T578" s="1"/>
      <c r="U578" s="2"/>
      <c r="V578" s="1"/>
      <c r="W578" s="1"/>
      <c r="X578" s="1"/>
      <c r="Y578" s="1"/>
      <c r="Z578" s="1"/>
    </row>
    <row r="579" spans="1:26" ht="24.75" customHeight="1">
      <c r="A579" s="1"/>
      <c r="B579" s="1"/>
      <c r="C579" s="1"/>
      <c r="D579" s="1"/>
      <c r="E579" s="1"/>
      <c r="F579" s="1"/>
      <c r="G579" s="1"/>
      <c r="H579" s="1"/>
      <c r="I579" s="1"/>
      <c r="J579" s="1"/>
      <c r="K579" s="1"/>
      <c r="L579" s="1"/>
      <c r="M579" s="1"/>
      <c r="N579" s="1"/>
      <c r="O579" s="1"/>
      <c r="P579" s="1"/>
      <c r="Q579" s="1"/>
      <c r="R579" s="1"/>
      <c r="S579" s="1"/>
      <c r="T579" s="1"/>
      <c r="U579" s="2"/>
      <c r="V579" s="1"/>
      <c r="W579" s="1"/>
      <c r="X579" s="1"/>
      <c r="Y579" s="1"/>
      <c r="Z579" s="1"/>
    </row>
    <row r="580" spans="1:26" ht="24.75" customHeight="1">
      <c r="A580" s="1"/>
      <c r="B580" s="1"/>
      <c r="C580" s="1"/>
      <c r="D580" s="1"/>
      <c r="E580" s="1"/>
      <c r="F580" s="1"/>
      <c r="G580" s="1"/>
      <c r="H580" s="1"/>
      <c r="I580" s="1"/>
      <c r="J580" s="1"/>
      <c r="K580" s="1"/>
      <c r="L580" s="1"/>
      <c r="M580" s="1"/>
      <c r="N580" s="1"/>
      <c r="O580" s="1"/>
      <c r="P580" s="1"/>
      <c r="Q580" s="1"/>
      <c r="R580" s="1"/>
      <c r="S580" s="1"/>
      <c r="T580" s="1"/>
      <c r="U580" s="2"/>
      <c r="V580" s="1"/>
      <c r="W580" s="1"/>
      <c r="X580" s="1"/>
      <c r="Y580" s="1"/>
      <c r="Z580" s="1"/>
    </row>
    <row r="581" spans="1:26" ht="24.75" customHeight="1">
      <c r="A581" s="1"/>
      <c r="B581" s="1"/>
      <c r="C581" s="1"/>
      <c r="D581" s="1"/>
      <c r="E581" s="1"/>
      <c r="F581" s="1"/>
      <c r="G581" s="1"/>
      <c r="H581" s="1"/>
      <c r="I581" s="1"/>
      <c r="J581" s="1"/>
      <c r="K581" s="1"/>
      <c r="L581" s="1"/>
      <c r="M581" s="1"/>
      <c r="N581" s="1"/>
      <c r="O581" s="1"/>
      <c r="P581" s="1"/>
      <c r="Q581" s="1"/>
      <c r="R581" s="1"/>
      <c r="S581" s="1"/>
      <c r="T581" s="1"/>
      <c r="U581" s="2"/>
      <c r="V581" s="1"/>
      <c r="W581" s="1"/>
      <c r="X581" s="1"/>
      <c r="Y581" s="1"/>
      <c r="Z581" s="1"/>
    </row>
    <row r="582" spans="1:26" ht="24.75" customHeight="1">
      <c r="A582" s="1"/>
      <c r="B582" s="1"/>
      <c r="C582" s="1"/>
      <c r="D582" s="1"/>
      <c r="E582" s="1"/>
      <c r="F582" s="1"/>
      <c r="G582" s="1"/>
      <c r="H582" s="1"/>
      <c r="I582" s="1"/>
      <c r="J582" s="1"/>
      <c r="K582" s="1"/>
      <c r="L582" s="1"/>
      <c r="M582" s="1"/>
      <c r="N582" s="1"/>
      <c r="O582" s="1"/>
      <c r="P582" s="1"/>
      <c r="Q582" s="1"/>
      <c r="R582" s="1"/>
      <c r="S582" s="1"/>
      <c r="T582" s="1"/>
      <c r="U582" s="2"/>
      <c r="V582" s="1"/>
      <c r="W582" s="1"/>
      <c r="X582" s="1"/>
      <c r="Y582" s="1"/>
      <c r="Z582" s="1"/>
    </row>
    <row r="583" spans="1:26" ht="24.75" customHeight="1">
      <c r="A583" s="1"/>
      <c r="B583" s="1"/>
      <c r="C583" s="1"/>
      <c r="D583" s="1"/>
      <c r="E583" s="1"/>
      <c r="F583" s="1"/>
      <c r="G583" s="1"/>
      <c r="H583" s="1"/>
      <c r="I583" s="1"/>
      <c r="J583" s="1"/>
      <c r="K583" s="1"/>
      <c r="L583" s="1"/>
      <c r="M583" s="1"/>
      <c r="N583" s="1"/>
      <c r="O583" s="1"/>
      <c r="P583" s="1"/>
      <c r="Q583" s="1"/>
      <c r="R583" s="1"/>
      <c r="S583" s="1"/>
      <c r="T583" s="1"/>
      <c r="U583" s="2"/>
      <c r="V583" s="1"/>
      <c r="W583" s="1"/>
      <c r="X583" s="1"/>
      <c r="Y583" s="1"/>
      <c r="Z583" s="1"/>
    </row>
    <row r="584" spans="1:26" ht="24.75" customHeight="1">
      <c r="A584" s="1"/>
      <c r="B584" s="1"/>
      <c r="C584" s="1"/>
      <c r="D584" s="1"/>
      <c r="E584" s="1"/>
      <c r="F584" s="1"/>
      <c r="G584" s="1"/>
      <c r="H584" s="1"/>
      <c r="I584" s="1"/>
      <c r="J584" s="1"/>
      <c r="K584" s="1"/>
      <c r="L584" s="1"/>
      <c r="M584" s="1"/>
      <c r="N584" s="1"/>
      <c r="O584" s="1"/>
      <c r="P584" s="1"/>
      <c r="Q584" s="1"/>
      <c r="R584" s="1"/>
      <c r="S584" s="1"/>
      <c r="T584" s="1"/>
      <c r="U584" s="2"/>
      <c r="V584" s="1"/>
      <c r="W584" s="1"/>
      <c r="X584" s="1"/>
      <c r="Y584" s="1"/>
      <c r="Z584" s="1"/>
    </row>
    <row r="585" spans="1:26" ht="24.75" customHeight="1">
      <c r="A585" s="1"/>
      <c r="B585" s="1"/>
      <c r="C585" s="1"/>
      <c r="D585" s="1"/>
      <c r="E585" s="1"/>
      <c r="F585" s="1"/>
      <c r="G585" s="1"/>
      <c r="H585" s="1"/>
      <c r="I585" s="1"/>
      <c r="J585" s="1"/>
      <c r="K585" s="1"/>
      <c r="L585" s="1"/>
      <c r="M585" s="1"/>
      <c r="N585" s="1"/>
      <c r="O585" s="1"/>
      <c r="P585" s="1"/>
      <c r="Q585" s="1"/>
      <c r="R585" s="1"/>
      <c r="S585" s="1"/>
      <c r="T585" s="1"/>
      <c r="U585" s="2"/>
      <c r="V585" s="1"/>
      <c r="W585" s="1"/>
      <c r="X585" s="1"/>
      <c r="Y585" s="1"/>
      <c r="Z585" s="1"/>
    </row>
    <row r="586" spans="1:26" ht="24.75" customHeight="1">
      <c r="A586" s="1"/>
      <c r="B586" s="1"/>
      <c r="C586" s="1"/>
      <c r="D586" s="1"/>
      <c r="E586" s="1"/>
      <c r="F586" s="1"/>
      <c r="G586" s="1"/>
      <c r="H586" s="1"/>
      <c r="I586" s="1"/>
      <c r="J586" s="1"/>
      <c r="K586" s="1"/>
      <c r="L586" s="1"/>
      <c r="M586" s="1"/>
      <c r="N586" s="1"/>
      <c r="O586" s="1"/>
      <c r="P586" s="1"/>
      <c r="Q586" s="1"/>
      <c r="R586" s="1"/>
      <c r="S586" s="1"/>
      <c r="T586" s="1"/>
      <c r="U586" s="2"/>
      <c r="V586" s="1"/>
      <c r="W586" s="1"/>
      <c r="X586" s="1"/>
      <c r="Y586" s="1"/>
      <c r="Z586" s="1"/>
    </row>
    <row r="587" spans="1:26" ht="24.75" customHeight="1">
      <c r="A587" s="1"/>
      <c r="B587" s="1"/>
      <c r="C587" s="1"/>
      <c r="D587" s="1"/>
      <c r="E587" s="1"/>
      <c r="F587" s="1"/>
      <c r="G587" s="1"/>
      <c r="H587" s="1"/>
      <c r="I587" s="1"/>
      <c r="J587" s="1"/>
      <c r="K587" s="1"/>
      <c r="L587" s="1"/>
      <c r="M587" s="1"/>
      <c r="N587" s="1"/>
      <c r="O587" s="1"/>
      <c r="P587" s="1"/>
      <c r="Q587" s="1"/>
      <c r="R587" s="1"/>
      <c r="S587" s="1"/>
      <c r="T587" s="1"/>
      <c r="U587" s="2"/>
      <c r="V587" s="1"/>
      <c r="W587" s="1"/>
      <c r="X587" s="1"/>
      <c r="Y587" s="1"/>
      <c r="Z587" s="1"/>
    </row>
    <row r="588" spans="1:26" ht="24.75" customHeight="1">
      <c r="A588" s="1"/>
      <c r="B588" s="1"/>
      <c r="C588" s="1"/>
      <c r="D588" s="1"/>
      <c r="E588" s="1"/>
      <c r="F588" s="1"/>
      <c r="G588" s="1"/>
      <c r="H588" s="1"/>
      <c r="I588" s="1"/>
      <c r="J588" s="1"/>
      <c r="K588" s="1"/>
      <c r="L588" s="1"/>
      <c r="M588" s="1"/>
      <c r="N588" s="1"/>
      <c r="O588" s="1"/>
      <c r="P588" s="1"/>
      <c r="Q588" s="1"/>
      <c r="R588" s="1"/>
      <c r="S588" s="1"/>
      <c r="T588" s="1"/>
      <c r="U588" s="2"/>
      <c r="V588" s="1"/>
      <c r="W588" s="1"/>
      <c r="X588" s="1"/>
      <c r="Y588" s="1"/>
      <c r="Z588" s="1"/>
    </row>
    <row r="589" spans="1:26" ht="24.75" customHeight="1">
      <c r="A589" s="1"/>
      <c r="B589" s="1"/>
      <c r="C589" s="1"/>
      <c r="D589" s="1"/>
      <c r="E589" s="1"/>
      <c r="F589" s="1"/>
      <c r="G589" s="1"/>
      <c r="H589" s="1"/>
      <c r="I589" s="1"/>
      <c r="J589" s="1"/>
      <c r="K589" s="1"/>
      <c r="L589" s="1"/>
      <c r="M589" s="1"/>
      <c r="N589" s="1"/>
      <c r="O589" s="1"/>
      <c r="P589" s="1"/>
      <c r="Q589" s="1"/>
      <c r="R589" s="1"/>
      <c r="S589" s="1"/>
      <c r="T589" s="1"/>
      <c r="U589" s="2"/>
      <c r="V589" s="1"/>
      <c r="W589" s="1"/>
      <c r="X589" s="1"/>
      <c r="Y589" s="1"/>
      <c r="Z589" s="1"/>
    </row>
    <row r="590" spans="1:26" ht="24.75" customHeight="1">
      <c r="A590" s="1"/>
      <c r="B590" s="1"/>
      <c r="C590" s="1"/>
      <c r="D590" s="1"/>
      <c r="E590" s="1"/>
      <c r="F590" s="1"/>
      <c r="G590" s="1"/>
      <c r="H590" s="1"/>
      <c r="I590" s="1"/>
      <c r="J590" s="1"/>
      <c r="K590" s="1"/>
      <c r="L590" s="1"/>
      <c r="M590" s="1"/>
      <c r="N590" s="1"/>
      <c r="O590" s="1"/>
      <c r="P590" s="1"/>
      <c r="Q590" s="1"/>
      <c r="R590" s="1"/>
      <c r="S590" s="1"/>
      <c r="T590" s="1"/>
      <c r="U590" s="2"/>
      <c r="V590" s="1"/>
      <c r="W590" s="1"/>
      <c r="X590" s="1"/>
      <c r="Y590" s="1"/>
      <c r="Z590" s="1"/>
    </row>
    <row r="591" spans="1:26" ht="24.75" customHeight="1">
      <c r="A591" s="1"/>
      <c r="B591" s="1"/>
      <c r="C591" s="1"/>
      <c r="D591" s="1"/>
      <c r="E591" s="1"/>
      <c r="F591" s="1"/>
      <c r="G591" s="1"/>
      <c r="H591" s="1"/>
      <c r="I591" s="1"/>
      <c r="J591" s="1"/>
      <c r="K591" s="1"/>
      <c r="L591" s="1"/>
      <c r="M591" s="1"/>
      <c r="N591" s="1"/>
      <c r="O591" s="1"/>
      <c r="P591" s="1"/>
      <c r="Q591" s="1"/>
      <c r="R591" s="1"/>
      <c r="S591" s="1"/>
      <c r="T591" s="1"/>
      <c r="U591" s="2"/>
      <c r="V591" s="1"/>
      <c r="W591" s="1"/>
      <c r="X591" s="1"/>
      <c r="Y591" s="1"/>
      <c r="Z591" s="1"/>
    </row>
    <row r="592" spans="1:26" ht="24.75" customHeight="1">
      <c r="A592" s="1"/>
      <c r="B592" s="1"/>
      <c r="C592" s="1"/>
      <c r="D592" s="1"/>
      <c r="E592" s="1"/>
      <c r="F592" s="1"/>
      <c r="G592" s="1"/>
      <c r="H592" s="1"/>
      <c r="I592" s="1"/>
      <c r="J592" s="1"/>
      <c r="K592" s="1"/>
      <c r="L592" s="1"/>
      <c r="M592" s="1"/>
      <c r="N592" s="1"/>
      <c r="O592" s="1"/>
      <c r="P592" s="1"/>
      <c r="Q592" s="1"/>
      <c r="R592" s="1"/>
      <c r="S592" s="1"/>
      <c r="T592" s="1"/>
      <c r="U592" s="2"/>
      <c r="V592" s="1"/>
      <c r="W592" s="1"/>
      <c r="X592" s="1"/>
      <c r="Y592" s="1"/>
      <c r="Z592" s="1"/>
    </row>
    <row r="593" spans="1:26" ht="24.75" customHeight="1">
      <c r="A593" s="1"/>
      <c r="B593" s="1"/>
      <c r="C593" s="1"/>
      <c r="D593" s="1"/>
      <c r="E593" s="1"/>
      <c r="F593" s="1"/>
      <c r="G593" s="1"/>
      <c r="H593" s="1"/>
      <c r="I593" s="1"/>
      <c r="J593" s="1"/>
      <c r="K593" s="1"/>
      <c r="L593" s="1"/>
      <c r="M593" s="1"/>
      <c r="N593" s="1"/>
      <c r="O593" s="1"/>
      <c r="P593" s="1"/>
      <c r="Q593" s="1"/>
      <c r="R593" s="1"/>
      <c r="S593" s="1"/>
      <c r="T593" s="1"/>
      <c r="U593" s="2"/>
      <c r="V593" s="1"/>
      <c r="W593" s="1"/>
      <c r="X593" s="1"/>
      <c r="Y593" s="1"/>
      <c r="Z593" s="1"/>
    </row>
    <row r="594" spans="1:26" ht="24.75" customHeight="1">
      <c r="A594" s="1"/>
      <c r="B594" s="1"/>
      <c r="C594" s="1"/>
      <c r="D594" s="1"/>
      <c r="E594" s="1"/>
      <c r="F594" s="1"/>
      <c r="G594" s="1"/>
      <c r="H594" s="1"/>
      <c r="I594" s="1"/>
      <c r="J594" s="1"/>
      <c r="K594" s="1"/>
      <c r="L594" s="1"/>
      <c r="M594" s="1"/>
      <c r="N594" s="1"/>
      <c r="O594" s="1"/>
      <c r="P594" s="1"/>
      <c r="Q594" s="1"/>
      <c r="R594" s="1"/>
      <c r="S594" s="1"/>
      <c r="T594" s="1"/>
      <c r="U594" s="2"/>
      <c r="V594" s="1"/>
      <c r="W594" s="1"/>
      <c r="X594" s="1"/>
      <c r="Y594" s="1"/>
      <c r="Z594" s="1"/>
    </row>
    <row r="595" spans="1:26" ht="24.75" customHeight="1">
      <c r="A595" s="1"/>
      <c r="B595" s="1"/>
      <c r="C595" s="1"/>
      <c r="D595" s="1"/>
      <c r="E595" s="1"/>
      <c r="F595" s="1"/>
      <c r="G595" s="1"/>
      <c r="H595" s="1"/>
      <c r="I595" s="1"/>
      <c r="J595" s="1"/>
      <c r="K595" s="1"/>
      <c r="L595" s="1"/>
      <c r="M595" s="1"/>
      <c r="N595" s="1"/>
      <c r="O595" s="1"/>
      <c r="P595" s="1"/>
      <c r="Q595" s="1"/>
      <c r="R595" s="1"/>
      <c r="S595" s="1"/>
      <c r="T595" s="1"/>
      <c r="U595" s="2"/>
      <c r="V595" s="1"/>
      <c r="W595" s="1"/>
      <c r="X595" s="1"/>
      <c r="Y595" s="1"/>
      <c r="Z595" s="1"/>
    </row>
    <row r="596" spans="1:26" ht="24.75" customHeight="1">
      <c r="A596" s="1"/>
      <c r="B596" s="1"/>
      <c r="C596" s="1"/>
      <c r="D596" s="1"/>
      <c r="E596" s="1"/>
      <c r="F596" s="1"/>
      <c r="G596" s="1"/>
      <c r="H596" s="1"/>
      <c r="I596" s="1"/>
      <c r="J596" s="1"/>
      <c r="K596" s="1"/>
      <c r="L596" s="1"/>
      <c r="M596" s="1"/>
      <c r="N596" s="1"/>
      <c r="O596" s="1"/>
      <c r="P596" s="1"/>
      <c r="Q596" s="1"/>
      <c r="R596" s="1"/>
      <c r="S596" s="1"/>
      <c r="T596" s="1"/>
      <c r="U596" s="2"/>
      <c r="V596" s="1"/>
      <c r="W596" s="1"/>
      <c r="X596" s="1"/>
      <c r="Y596" s="1"/>
      <c r="Z596" s="1"/>
    </row>
    <row r="597" spans="1:26" ht="24.75" customHeight="1">
      <c r="A597" s="1"/>
      <c r="B597" s="1"/>
      <c r="C597" s="1"/>
      <c r="D597" s="1"/>
      <c r="E597" s="1"/>
      <c r="F597" s="1"/>
      <c r="G597" s="1"/>
      <c r="H597" s="1"/>
      <c r="I597" s="1"/>
      <c r="J597" s="1"/>
      <c r="K597" s="1"/>
      <c r="L597" s="1"/>
      <c r="M597" s="1"/>
      <c r="N597" s="1"/>
      <c r="O597" s="1"/>
      <c r="P597" s="1"/>
      <c r="Q597" s="1"/>
      <c r="R597" s="1"/>
      <c r="S597" s="1"/>
      <c r="T597" s="1"/>
      <c r="U597" s="2"/>
      <c r="V597" s="1"/>
      <c r="W597" s="1"/>
      <c r="X597" s="1"/>
      <c r="Y597" s="1"/>
      <c r="Z597" s="1"/>
    </row>
    <row r="598" spans="1:26" ht="24.75" customHeight="1">
      <c r="A598" s="1"/>
      <c r="B598" s="1"/>
      <c r="C598" s="1"/>
      <c r="D598" s="1"/>
      <c r="E598" s="1"/>
      <c r="F598" s="1"/>
      <c r="G598" s="1"/>
      <c r="H598" s="1"/>
      <c r="I598" s="1"/>
      <c r="J598" s="1"/>
      <c r="K598" s="1"/>
      <c r="L598" s="1"/>
      <c r="M598" s="1"/>
      <c r="N598" s="1"/>
      <c r="O598" s="1"/>
      <c r="P598" s="1"/>
      <c r="Q598" s="1"/>
      <c r="R598" s="1"/>
      <c r="S598" s="1"/>
      <c r="T598" s="1"/>
      <c r="U598" s="2"/>
      <c r="V598" s="1"/>
      <c r="W598" s="1"/>
      <c r="X598" s="1"/>
      <c r="Y598" s="1"/>
      <c r="Z598" s="1"/>
    </row>
    <row r="599" spans="1:26" ht="24.75" customHeight="1">
      <c r="A599" s="1"/>
      <c r="B599" s="1"/>
      <c r="C599" s="1"/>
      <c r="D599" s="1"/>
      <c r="E599" s="1"/>
      <c r="F599" s="1"/>
      <c r="G599" s="1"/>
      <c r="H599" s="1"/>
      <c r="I599" s="1"/>
      <c r="J599" s="1"/>
      <c r="K599" s="1"/>
      <c r="L599" s="1"/>
      <c r="M599" s="1"/>
      <c r="N599" s="1"/>
      <c r="O599" s="1"/>
      <c r="P599" s="1"/>
      <c r="Q599" s="1"/>
      <c r="R599" s="1"/>
      <c r="S599" s="1"/>
      <c r="T599" s="1"/>
      <c r="U599" s="2"/>
      <c r="V599" s="1"/>
      <c r="W599" s="1"/>
      <c r="X599" s="1"/>
      <c r="Y599" s="1"/>
      <c r="Z599" s="1"/>
    </row>
    <row r="600" spans="1:26" ht="24.75" customHeight="1">
      <c r="A600" s="1"/>
      <c r="B600" s="1"/>
      <c r="C600" s="1"/>
      <c r="D600" s="1"/>
      <c r="E600" s="1"/>
      <c r="F600" s="1"/>
      <c r="G600" s="1"/>
      <c r="H600" s="1"/>
      <c r="I600" s="1"/>
      <c r="J600" s="1"/>
      <c r="K600" s="1"/>
      <c r="L600" s="1"/>
      <c r="M600" s="1"/>
      <c r="N600" s="1"/>
      <c r="O600" s="1"/>
      <c r="P600" s="1"/>
      <c r="Q600" s="1"/>
      <c r="R600" s="1"/>
      <c r="S600" s="1"/>
      <c r="T600" s="1"/>
      <c r="U600" s="2"/>
      <c r="V600" s="1"/>
      <c r="W600" s="1"/>
      <c r="X600" s="1"/>
      <c r="Y600" s="1"/>
      <c r="Z600" s="1"/>
    </row>
    <row r="601" spans="1:26" ht="24.75" customHeight="1">
      <c r="A601" s="1"/>
      <c r="B601" s="1"/>
      <c r="C601" s="1"/>
      <c r="D601" s="1"/>
      <c r="E601" s="1"/>
      <c r="F601" s="1"/>
      <c r="G601" s="1"/>
      <c r="H601" s="1"/>
      <c r="I601" s="1"/>
      <c r="J601" s="1"/>
      <c r="K601" s="1"/>
      <c r="L601" s="1"/>
      <c r="M601" s="1"/>
      <c r="N601" s="1"/>
      <c r="O601" s="1"/>
      <c r="P601" s="1"/>
      <c r="Q601" s="1"/>
      <c r="R601" s="1"/>
      <c r="S601" s="1"/>
      <c r="T601" s="1"/>
      <c r="U601" s="2"/>
      <c r="V601" s="1"/>
      <c r="W601" s="1"/>
      <c r="X601" s="1"/>
      <c r="Y601" s="1"/>
      <c r="Z601" s="1"/>
    </row>
    <row r="602" spans="1:26" ht="24.75" customHeight="1">
      <c r="A602" s="1"/>
      <c r="B602" s="1"/>
      <c r="C602" s="1"/>
      <c r="D602" s="1"/>
      <c r="E602" s="1"/>
      <c r="F602" s="1"/>
      <c r="G602" s="1"/>
      <c r="H602" s="1"/>
      <c r="I602" s="1"/>
      <c r="J602" s="1"/>
      <c r="K602" s="1"/>
      <c r="L602" s="1"/>
      <c r="M602" s="1"/>
      <c r="N602" s="1"/>
      <c r="O602" s="1"/>
      <c r="P602" s="1"/>
      <c r="Q602" s="1"/>
      <c r="R602" s="1"/>
      <c r="S602" s="1"/>
      <c r="T602" s="1"/>
      <c r="U602" s="2"/>
      <c r="V602" s="1"/>
      <c r="W602" s="1"/>
      <c r="X602" s="1"/>
      <c r="Y602" s="1"/>
      <c r="Z602" s="1"/>
    </row>
    <row r="603" spans="1:26" ht="24.75" customHeight="1">
      <c r="A603" s="1"/>
      <c r="B603" s="1"/>
      <c r="C603" s="1"/>
      <c r="D603" s="1"/>
      <c r="E603" s="1"/>
      <c r="F603" s="1"/>
      <c r="G603" s="1"/>
      <c r="H603" s="1"/>
      <c r="I603" s="1"/>
      <c r="J603" s="1"/>
      <c r="K603" s="1"/>
      <c r="L603" s="1"/>
      <c r="M603" s="1"/>
      <c r="N603" s="1"/>
      <c r="O603" s="1"/>
      <c r="P603" s="1"/>
      <c r="Q603" s="1"/>
      <c r="R603" s="1"/>
      <c r="S603" s="1"/>
      <c r="T603" s="1"/>
      <c r="U603" s="2"/>
      <c r="V603" s="1"/>
      <c r="W603" s="1"/>
      <c r="X603" s="1"/>
      <c r="Y603" s="1"/>
      <c r="Z603" s="1"/>
    </row>
    <row r="604" spans="1:26" ht="24.75" customHeight="1">
      <c r="A604" s="1"/>
      <c r="B604" s="1"/>
      <c r="C604" s="1"/>
      <c r="D604" s="1"/>
      <c r="E604" s="1"/>
      <c r="F604" s="1"/>
      <c r="G604" s="1"/>
      <c r="H604" s="1"/>
      <c r="I604" s="1"/>
      <c r="J604" s="1"/>
      <c r="K604" s="1"/>
      <c r="L604" s="1"/>
      <c r="M604" s="1"/>
      <c r="N604" s="1"/>
      <c r="O604" s="1"/>
      <c r="P604" s="1"/>
      <c r="Q604" s="1"/>
      <c r="R604" s="1"/>
      <c r="S604" s="1"/>
      <c r="T604" s="1"/>
      <c r="U604" s="2"/>
      <c r="V604" s="1"/>
      <c r="W604" s="1"/>
      <c r="X604" s="1"/>
      <c r="Y604" s="1"/>
      <c r="Z604" s="1"/>
    </row>
    <row r="605" spans="1:26" ht="24.75" customHeight="1">
      <c r="A605" s="1"/>
      <c r="B605" s="1"/>
      <c r="C605" s="1"/>
      <c r="D605" s="1"/>
      <c r="E605" s="1"/>
      <c r="F605" s="1"/>
      <c r="G605" s="1"/>
      <c r="H605" s="1"/>
      <c r="I605" s="1"/>
      <c r="J605" s="1"/>
      <c r="K605" s="1"/>
      <c r="L605" s="1"/>
      <c r="M605" s="1"/>
      <c r="N605" s="1"/>
      <c r="O605" s="1"/>
      <c r="P605" s="1"/>
      <c r="Q605" s="1"/>
      <c r="R605" s="1"/>
      <c r="S605" s="1"/>
      <c r="T605" s="1"/>
      <c r="U605" s="2"/>
      <c r="V605" s="1"/>
      <c r="W605" s="1"/>
      <c r="X605" s="1"/>
      <c r="Y605" s="1"/>
      <c r="Z605" s="1"/>
    </row>
    <row r="606" spans="1:26" ht="24.75" customHeight="1">
      <c r="A606" s="1"/>
      <c r="B606" s="1"/>
      <c r="C606" s="1"/>
      <c r="D606" s="1"/>
      <c r="E606" s="1"/>
      <c r="F606" s="1"/>
      <c r="G606" s="1"/>
      <c r="H606" s="1"/>
      <c r="I606" s="1"/>
      <c r="J606" s="1"/>
      <c r="K606" s="1"/>
      <c r="L606" s="1"/>
      <c r="M606" s="1"/>
      <c r="N606" s="1"/>
      <c r="O606" s="1"/>
      <c r="P606" s="1"/>
      <c r="Q606" s="1"/>
      <c r="R606" s="1"/>
      <c r="S606" s="1"/>
      <c r="T606" s="1"/>
      <c r="U606" s="2"/>
      <c r="V606" s="1"/>
      <c r="W606" s="1"/>
      <c r="X606" s="1"/>
      <c r="Y606" s="1"/>
      <c r="Z606" s="1"/>
    </row>
    <row r="607" spans="1:26" ht="24.75" customHeight="1">
      <c r="A607" s="1"/>
      <c r="B607" s="1"/>
      <c r="C607" s="1"/>
      <c r="D607" s="1"/>
      <c r="E607" s="1"/>
      <c r="F607" s="1"/>
      <c r="G607" s="1"/>
      <c r="H607" s="1"/>
      <c r="I607" s="1"/>
      <c r="J607" s="1"/>
      <c r="K607" s="1"/>
      <c r="L607" s="1"/>
      <c r="M607" s="1"/>
      <c r="N607" s="1"/>
      <c r="O607" s="1"/>
      <c r="P607" s="1"/>
      <c r="Q607" s="1"/>
      <c r="R607" s="1"/>
      <c r="S607" s="1"/>
      <c r="T607" s="1"/>
      <c r="U607" s="2"/>
      <c r="V607" s="1"/>
      <c r="W607" s="1"/>
      <c r="X607" s="1"/>
      <c r="Y607" s="1"/>
      <c r="Z607" s="1"/>
    </row>
    <row r="608" spans="1:26" ht="24.75" customHeight="1">
      <c r="A608" s="1"/>
      <c r="B608" s="1"/>
      <c r="C608" s="1"/>
      <c r="D608" s="1"/>
      <c r="E608" s="1"/>
      <c r="F608" s="1"/>
      <c r="G608" s="1"/>
      <c r="H608" s="1"/>
      <c r="I608" s="1"/>
      <c r="J608" s="1"/>
      <c r="K608" s="1"/>
      <c r="L608" s="1"/>
      <c r="M608" s="1"/>
      <c r="N608" s="1"/>
      <c r="O608" s="1"/>
      <c r="P608" s="1"/>
      <c r="Q608" s="1"/>
      <c r="R608" s="1"/>
      <c r="S608" s="1"/>
      <c r="T608" s="1"/>
      <c r="U608" s="2"/>
      <c r="V608" s="1"/>
      <c r="W608" s="1"/>
      <c r="X608" s="1"/>
      <c r="Y608" s="1"/>
      <c r="Z608" s="1"/>
    </row>
    <row r="609" spans="1:26" ht="24.75" customHeight="1">
      <c r="A609" s="1"/>
      <c r="B609" s="1"/>
      <c r="C609" s="1"/>
      <c r="D609" s="1"/>
      <c r="E609" s="1"/>
      <c r="F609" s="1"/>
      <c r="G609" s="1"/>
      <c r="H609" s="1"/>
      <c r="I609" s="1"/>
      <c r="J609" s="1"/>
      <c r="K609" s="1"/>
      <c r="L609" s="1"/>
      <c r="M609" s="1"/>
      <c r="N609" s="1"/>
      <c r="O609" s="1"/>
      <c r="P609" s="1"/>
      <c r="Q609" s="1"/>
      <c r="R609" s="1"/>
      <c r="S609" s="1"/>
      <c r="T609" s="1"/>
      <c r="U609" s="2"/>
      <c r="V609" s="1"/>
      <c r="W609" s="1"/>
      <c r="X609" s="1"/>
      <c r="Y609" s="1"/>
      <c r="Z609" s="1"/>
    </row>
    <row r="610" spans="1:26" ht="24.75" customHeight="1">
      <c r="A610" s="1"/>
      <c r="B610" s="1"/>
      <c r="C610" s="1"/>
      <c r="D610" s="1"/>
      <c r="E610" s="1"/>
      <c r="F610" s="1"/>
      <c r="G610" s="1"/>
      <c r="H610" s="1"/>
      <c r="I610" s="1"/>
      <c r="J610" s="1"/>
      <c r="K610" s="1"/>
      <c r="L610" s="1"/>
      <c r="M610" s="1"/>
      <c r="N610" s="1"/>
      <c r="O610" s="1"/>
      <c r="P610" s="1"/>
      <c r="Q610" s="1"/>
      <c r="R610" s="1"/>
      <c r="S610" s="1"/>
      <c r="T610" s="1"/>
      <c r="U610" s="2"/>
      <c r="V610" s="1"/>
      <c r="W610" s="1"/>
      <c r="X610" s="1"/>
      <c r="Y610" s="1"/>
      <c r="Z610" s="1"/>
    </row>
    <row r="611" spans="1:26" ht="24.75" customHeight="1">
      <c r="A611" s="1"/>
      <c r="B611" s="1"/>
      <c r="C611" s="1"/>
      <c r="D611" s="1"/>
      <c r="E611" s="1"/>
      <c r="F611" s="1"/>
      <c r="G611" s="1"/>
      <c r="H611" s="1"/>
      <c r="I611" s="1"/>
      <c r="J611" s="1"/>
      <c r="K611" s="1"/>
      <c r="L611" s="1"/>
      <c r="M611" s="1"/>
      <c r="N611" s="1"/>
      <c r="O611" s="1"/>
      <c r="P611" s="1"/>
      <c r="Q611" s="1"/>
      <c r="R611" s="1"/>
      <c r="S611" s="1"/>
      <c r="T611" s="1"/>
      <c r="U611" s="2"/>
      <c r="V611" s="1"/>
      <c r="W611" s="1"/>
      <c r="X611" s="1"/>
      <c r="Y611" s="1"/>
      <c r="Z611" s="1"/>
    </row>
    <row r="612" spans="1:26" ht="24.75" customHeight="1">
      <c r="A612" s="1"/>
      <c r="B612" s="1"/>
      <c r="C612" s="1"/>
      <c r="D612" s="1"/>
      <c r="E612" s="1"/>
      <c r="F612" s="1"/>
      <c r="G612" s="1"/>
      <c r="H612" s="1"/>
      <c r="I612" s="1"/>
      <c r="J612" s="1"/>
      <c r="K612" s="1"/>
      <c r="L612" s="1"/>
      <c r="M612" s="1"/>
      <c r="N612" s="1"/>
      <c r="O612" s="1"/>
      <c r="P612" s="1"/>
      <c r="Q612" s="1"/>
      <c r="R612" s="1"/>
      <c r="S612" s="1"/>
      <c r="T612" s="1"/>
      <c r="U612" s="2"/>
      <c r="V612" s="1"/>
      <c r="W612" s="1"/>
      <c r="X612" s="1"/>
      <c r="Y612" s="1"/>
      <c r="Z612" s="1"/>
    </row>
    <row r="613" spans="1:26" ht="24.75" customHeight="1">
      <c r="A613" s="1"/>
      <c r="B613" s="1"/>
      <c r="C613" s="1"/>
      <c r="D613" s="1"/>
      <c r="E613" s="1"/>
      <c r="F613" s="1"/>
      <c r="G613" s="1"/>
      <c r="H613" s="1"/>
      <c r="I613" s="1"/>
      <c r="J613" s="1"/>
      <c r="K613" s="1"/>
      <c r="L613" s="1"/>
      <c r="M613" s="1"/>
      <c r="N613" s="1"/>
      <c r="O613" s="1"/>
      <c r="P613" s="1"/>
      <c r="Q613" s="1"/>
      <c r="R613" s="1"/>
      <c r="S613" s="1"/>
      <c r="T613" s="1"/>
      <c r="U613" s="2"/>
      <c r="V613" s="1"/>
      <c r="W613" s="1"/>
      <c r="X613" s="1"/>
      <c r="Y613" s="1"/>
      <c r="Z613" s="1"/>
    </row>
    <row r="614" spans="1:26" ht="24.75" customHeight="1">
      <c r="A614" s="1"/>
      <c r="B614" s="1"/>
      <c r="C614" s="1"/>
      <c r="D614" s="1"/>
      <c r="E614" s="1"/>
      <c r="F614" s="1"/>
      <c r="G614" s="1"/>
      <c r="H614" s="1"/>
      <c r="I614" s="1"/>
      <c r="J614" s="1"/>
      <c r="K614" s="1"/>
      <c r="L614" s="1"/>
      <c r="M614" s="1"/>
      <c r="N614" s="1"/>
      <c r="O614" s="1"/>
      <c r="P614" s="1"/>
      <c r="Q614" s="1"/>
      <c r="R614" s="1"/>
      <c r="S614" s="1"/>
      <c r="T614" s="1"/>
      <c r="U614" s="2"/>
      <c r="V614" s="1"/>
      <c r="W614" s="1"/>
      <c r="X614" s="1"/>
      <c r="Y614" s="1"/>
      <c r="Z614" s="1"/>
    </row>
    <row r="615" spans="1:26" ht="24.75" customHeight="1">
      <c r="A615" s="1"/>
      <c r="B615" s="1"/>
      <c r="C615" s="1"/>
      <c r="D615" s="1"/>
      <c r="E615" s="1"/>
      <c r="F615" s="1"/>
      <c r="G615" s="1"/>
      <c r="H615" s="1"/>
      <c r="I615" s="1"/>
      <c r="J615" s="1"/>
      <c r="K615" s="1"/>
      <c r="L615" s="1"/>
      <c r="M615" s="1"/>
      <c r="N615" s="1"/>
      <c r="O615" s="1"/>
      <c r="P615" s="1"/>
      <c r="Q615" s="1"/>
      <c r="R615" s="1"/>
      <c r="S615" s="1"/>
      <c r="T615" s="1"/>
      <c r="U615" s="2"/>
      <c r="V615" s="1"/>
      <c r="W615" s="1"/>
      <c r="X615" s="1"/>
      <c r="Y615" s="1"/>
      <c r="Z615" s="1"/>
    </row>
    <row r="616" spans="1:26" ht="24.75" customHeight="1">
      <c r="A616" s="1"/>
      <c r="B616" s="1"/>
      <c r="C616" s="1"/>
      <c r="D616" s="1"/>
      <c r="E616" s="1"/>
      <c r="F616" s="1"/>
      <c r="G616" s="1"/>
      <c r="H616" s="1"/>
      <c r="I616" s="1"/>
      <c r="J616" s="1"/>
      <c r="K616" s="1"/>
      <c r="L616" s="1"/>
      <c r="M616" s="1"/>
      <c r="N616" s="1"/>
      <c r="O616" s="1"/>
      <c r="P616" s="1"/>
      <c r="Q616" s="1"/>
      <c r="R616" s="1"/>
      <c r="S616" s="1"/>
      <c r="T616" s="1"/>
      <c r="U616" s="2"/>
      <c r="V616" s="1"/>
      <c r="W616" s="1"/>
      <c r="X616" s="1"/>
      <c r="Y616" s="1"/>
      <c r="Z616" s="1"/>
    </row>
    <row r="617" spans="1:26" ht="24.75" customHeight="1">
      <c r="A617" s="1"/>
      <c r="B617" s="1"/>
      <c r="C617" s="1"/>
      <c r="D617" s="1"/>
      <c r="E617" s="1"/>
      <c r="F617" s="1"/>
      <c r="G617" s="1"/>
      <c r="H617" s="1"/>
      <c r="I617" s="1"/>
      <c r="J617" s="1"/>
      <c r="K617" s="1"/>
      <c r="L617" s="1"/>
      <c r="M617" s="1"/>
      <c r="N617" s="1"/>
      <c r="O617" s="1"/>
      <c r="P617" s="1"/>
      <c r="Q617" s="1"/>
      <c r="R617" s="1"/>
      <c r="S617" s="1"/>
      <c r="T617" s="1"/>
      <c r="U617" s="2"/>
      <c r="V617" s="1"/>
      <c r="W617" s="1"/>
      <c r="X617" s="1"/>
      <c r="Y617" s="1"/>
      <c r="Z617" s="1"/>
    </row>
    <row r="618" spans="1:26" ht="24.75" customHeight="1">
      <c r="A618" s="1"/>
      <c r="B618" s="1"/>
      <c r="C618" s="1"/>
      <c r="D618" s="1"/>
      <c r="E618" s="1"/>
      <c r="F618" s="1"/>
      <c r="G618" s="1"/>
      <c r="H618" s="1"/>
      <c r="I618" s="1"/>
      <c r="J618" s="1"/>
      <c r="K618" s="1"/>
      <c r="L618" s="1"/>
      <c r="M618" s="1"/>
      <c r="N618" s="1"/>
      <c r="O618" s="1"/>
      <c r="P618" s="1"/>
      <c r="Q618" s="1"/>
      <c r="R618" s="1"/>
      <c r="S618" s="1"/>
      <c r="T618" s="1"/>
      <c r="U618" s="2"/>
      <c r="V618" s="1"/>
      <c r="W618" s="1"/>
      <c r="X618" s="1"/>
      <c r="Y618" s="1"/>
      <c r="Z618" s="1"/>
    </row>
    <row r="619" spans="1:26" ht="24.75" customHeight="1">
      <c r="A619" s="1"/>
      <c r="B619" s="1"/>
      <c r="C619" s="1"/>
      <c r="D619" s="1"/>
      <c r="E619" s="1"/>
      <c r="F619" s="1"/>
      <c r="G619" s="1"/>
      <c r="H619" s="1"/>
      <c r="I619" s="1"/>
      <c r="J619" s="1"/>
      <c r="K619" s="1"/>
      <c r="L619" s="1"/>
      <c r="M619" s="1"/>
      <c r="N619" s="1"/>
      <c r="O619" s="1"/>
      <c r="P619" s="1"/>
      <c r="Q619" s="1"/>
      <c r="R619" s="1"/>
      <c r="S619" s="1"/>
      <c r="T619" s="1"/>
      <c r="U619" s="2"/>
      <c r="V619" s="1"/>
      <c r="W619" s="1"/>
      <c r="X619" s="1"/>
      <c r="Y619" s="1"/>
      <c r="Z619" s="1"/>
    </row>
    <row r="620" spans="1:26" ht="24.75" customHeight="1">
      <c r="A620" s="1"/>
      <c r="B620" s="1"/>
      <c r="C620" s="1"/>
      <c r="D620" s="1"/>
      <c r="E620" s="1"/>
      <c r="F620" s="1"/>
      <c r="G620" s="1"/>
      <c r="H620" s="1"/>
      <c r="I620" s="1"/>
      <c r="J620" s="1"/>
      <c r="K620" s="1"/>
      <c r="L620" s="1"/>
      <c r="M620" s="1"/>
      <c r="N620" s="1"/>
      <c r="O620" s="1"/>
      <c r="P620" s="1"/>
      <c r="Q620" s="1"/>
      <c r="R620" s="1"/>
      <c r="S620" s="1"/>
      <c r="T620" s="1"/>
      <c r="U620" s="2"/>
      <c r="V620" s="1"/>
      <c r="W620" s="1"/>
      <c r="X620" s="1"/>
      <c r="Y620" s="1"/>
      <c r="Z620" s="1"/>
    </row>
    <row r="621" spans="1:26" ht="24.75" customHeight="1">
      <c r="A621" s="1"/>
      <c r="B621" s="1"/>
      <c r="C621" s="1"/>
      <c r="D621" s="1"/>
      <c r="E621" s="1"/>
      <c r="F621" s="1"/>
      <c r="G621" s="1"/>
      <c r="H621" s="1"/>
      <c r="I621" s="1"/>
      <c r="J621" s="1"/>
      <c r="K621" s="1"/>
      <c r="L621" s="1"/>
      <c r="M621" s="1"/>
      <c r="N621" s="1"/>
      <c r="O621" s="1"/>
      <c r="P621" s="1"/>
      <c r="Q621" s="1"/>
      <c r="R621" s="1"/>
      <c r="S621" s="1"/>
      <c r="T621" s="1"/>
      <c r="U621" s="2"/>
      <c r="V621" s="1"/>
      <c r="W621" s="1"/>
      <c r="X621" s="1"/>
      <c r="Y621" s="1"/>
      <c r="Z621" s="1"/>
    </row>
    <row r="622" spans="1:26" ht="24.75" customHeight="1">
      <c r="A622" s="1"/>
      <c r="B622" s="1"/>
      <c r="C622" s="1"/>
      <c r="D622" s="1"/>
      <c r="E622" s="1"/>
      <c r="F622" s="1"/>
      <c r="G622" s="1"/>
      <c r="H622" s="1"/>
      <c r="I622" s="1"/>
      <c r="J622" s="1"/>
      <c r="K622" s="1"/>
      <c r="L622" s="1"/>
      <c r="M622" s="1"/>
      <c r="N622" s="1"/>
      <c r="O622" s="1"/>
      <c r="P622" s="1"/>
      <c r="Q622" s="1"/>
      <c r="R622" s="1"/>
      <c r="S622" s="1"/>
      <c r="T622" s="1"/>
      <c r="U622" s="2"/>
      <c r="V622" s="1"/>
      <c r="W622" s="1"/>
      <c r="X622" s="1"/>
      <c r="Y622" s="1"/>
      <c r="Z622" s="1"/>
    </row>
    <row r="623" spans="1:26" ht="24.75" customHeight="1">
      <c r="A623" s="1"/>
      <c r="B623" s="1"/>
      <c r="C623" s="1"/>
      <c r="D623" s="1"/>
      <c r="E623" s="1"/>
      <c r="F623" s="1"/>
      <c r="G623" s="1"/>
      <c r="H623" s="1"/>
      <c r="I623" s="1"/>
      <c r="J623" s="1"/>
      <c r="K623" s="1"/>
      <c r="L623" s="1"/>
      <c r="M623" s="1"/>
      <c r="N623" s="1"/>
      <c r="O623" s="1"/>
      <c r="P623" s="1"/>
      <c r="Q623" s="1"/>
      <c r="R623" s="1"/>
      <c r="S623" s="1"/>
      <c r="T623" s="1"/>
      <c r="U623" s="2"/>
      <c r="V623" s="1"/>
      <c r="W623" s="1"/>
      <c r="X623" s="1"/>
      <c r="Y623" s="1"/>
      <c r="Z623" s="1"/>
    </row>
    <row r="624" spans="1:26" ht="24.75" customHeight="1">
      <c r="A624" s="1"/>
      <c r="B624" s="1"/>
      <c r="C624" s="1"/>
      <c r="D624" s="1"/>
      <c r="E624" s="1"/>
      <c r="F624" s="1"/>
      <c r="G624" s="1"/>
      <c r="H624" s="1"/>
      <c r="I624" s="1"/>
      <c r="J624" s="1"/>
      <c r="K624" s="1"/>
      <c r="L624" s="1"/>
      <c r="M624" s="1"/>
      <c r="N624" s="1"/>
      <c r="O624" s="1"/>
      <c r="P624" s="1"/>
      <c r="Q624" s="1"/>
      <c r="R624" s="1"/>
      <c r="S624" s="1"/>
      <c r="T624" s="1"/>
      <c r="U624" s="2"/>
      <c r="V624" s="1"/>
      <c r="W624" s="1"/>
      <c r="X624" s="1"/>
      <c r="Y624" s="1"/>
      <c r="Z624" s="1"/>
    </row>
    <row r="625" spans="1:26" ht="24.75" customHeight="1">
      <c r="A625" s="1"/>
      <c r="B625" s="1"/>
      <c r="C625" s="1"/>
      <c r="D625" s="1"/>
      <c r="E625" s="1"/>
      <c r="F625" s="1"/>
      <c r="G625" s="1"/>
      <c r="H625" s="1"/>
      <c r="I625" s="1"/>
      <c r="J625" s="1"/>
      <c r="K625" s="1"/>
      <c r="L625" s="1"/>
      <c r="M625" s="1"/>
      <c r="N625" s="1"/>
      <c r="O625" s="1"/>
      <c r="P625" s="1"/>
      <c r="Q625" s="1"/>
      <c r="R625" s="1"/>
      <c r="S625" s="1"/>
      <c r="T625" s="1"/>
      <c r="U625" s="2"/>
      <c r="V625" s="1"/>
      <c r="W625" s="1"/>
      <c r="X625" s="1"/>
      <c r="Y625" s="1"/>
      <c r="Z625" s="1"/>
    </row>
    <row r="626" spans="1:26" ht="24.75" customHeight="1">
      <c r="A626" s="1"/>
      <c r="B626" s="1"/>
      <c r="C626" s="1"/>
      <c r="D626" s="1"/>
      <c r="E626" s="1"/>
      <c r="F626" s="1"/>
      <c r="G626" s="1"/>
      <c r="H626" s="1"/>
      <c r="I626" s="1"/>
      <c r="J626" s="1"/>
      <c r="K626" s="1"/>
      <c r="L626" s="1"/>
      <c r="M626" s="1"/>
      <c r="N626" s="1"/>
      <c r="O626" s="1"/>
      <c r="P626" s="1"/>
      <c r="Q626" s="1"/>
      <c r="R626" s="1"/>
      <c r="S626" s="1"/>
      <c r="T626" s="1"/>
      <c r="U626" s="2"/>
      <c r="V626" s="1"/>
      <c r="W626" s="1"/>
      <c r="X626" s="1"/>
      <c r="Y626" s="1"/>
      <c r="Z626" s="1"/>
    </row>
    <row r="627" spans="1:26" ht="24.75" customHeight="1">
      <c r="A627" s="1"/>
      <c r="B627" s="1"/>
      <c r="C627" s="1"/>
      <c r="D627" s="1"/>
      <c r="E627" s="1"/>
      <c r="F627" s="1"/>
      <c r="G627" s="1"/>
      <c r="H627" s="1"/>
      <c r="I627" s="1"/>
      <c r="J627" s="1"/>
      <c r="K627" s="1"/>
      <c r="L627" s="1"/>
      <c r="M627" s="1"/>
      <c r="N627" s="1"/>
      <c r="O627" s="1"/>
      <c r="P627" s="1"/>
      <c r="Q627" s="1"/>
      <c r="R627" s="1"/>
      <c r="S627" s="1"/>
      <c r="T627" s="1"/>
      <c r="U627" s="2"/>
      <c r="V627" s="1"/>
      <c r="W627" s="1"/>
      <c r="X627" s="1"/>
      <c r="Y627" s="1"/>
      <c r="Z627" s="1"/>
    </row>
    <row r="628" spans="1:26" ht="24.75" customHeight="1">
      <c r="A628" s="1"/>
      <c r="B628" s="1"/>
      <c r="C628" s="1"/>
      <c r="D628" s="1"/>
      <c r="E628" s="1"/>
      <c r="F628" s="1"/>
      <c r="G628" s="1"/>
      <c r="H628" s="1"/>
      <c r="I628" s="1"/>
      <c r="J628" s="1"/>
      <c r="K628" s="1"/>
      <c r="L628" s="1"/>
      <c r="M628" s="1"/>
      <c r="N628" s="1"/>
      <c r="O628" s="1"/>
      <c r="P628" s="1"/>
      <c r="Q628" s="1"/>
      <c r="R628" s="1"/>
      <c r="S628" s="1"/>
      <c r="T628" s="1"/>
      <c r="U628" s="2"/>
      <c r="V628" s="1"/>
      <c r="W628" s="1"/>
      <c r="X628" s="1"/>
      <c r="Y628" s="1"/>
      <c r="Z628" s="1"/>
    </row>
    <row r="629" spans="1:26" ht="24.75" customHeight="1">
      <c r="A629" s="1"/>
      <c r="B629" s="1"/>
      <c r="C629" s="1"/>
      <c r="D629" s="1"/>
      <c r="E629" s="1"/>
      <c r="F629" s="1"/>
      <c r="G629" s="1"/>
      <c r="H629" s="1"/>
      <c r="I629" s="1"/>
      <c r="J629" s="1"/>
      <c r="K629" s="1"/>
      <c r="L629" s="1"/>
      <c r="M629" s="1"/>
      <c r="N629" s="1"/>
      <c r="O629" s="1"/>
      <c r="P629" s="1"/>
      <c r="Q629" s="1"/>
      <c r="R629" s="1"/>
      <c r="S629" s="1"/>
      <c r="T629" s="1"/>
      <c r="U629" s="2"/>
      <c r="V629" s="1"/>
      <c r="W629" s="1"/>
      <c r="X629" s="1"/>
      <c r="Y629" s="1"/>
      <c r="Z629" s="1"/>
    </row>
    <row r="630" spans="1:26" ht="24.75" customHeight="1">
      <c r="A630" s="1"/>
      <c r="B630" s="1"/>
      <c r="C630" s="1"/>
      <c r="D630" s="1"/>
      <c r="E630" s="1"/>
      <c r="F630" s="1"/>
      <c r="G630" s="1"/>
      <c r="H630" s="1"/>
      <c r="I630" s="1"/>
      <c r="J630" s="1"/>
      <c r="K630" s="1"/>
      <c r="L630" s="1"/>
      <c r="M630" s="1"/>
      <c r="N630" s="1"/>
      <c r="O630" s="1"/>
      <c r="P630" s="1"/>
      <c r="Q630" s="1"/>
      <c r="R630" s="1"/>
      <c r="S630" s="1"/>
      <c r="T630" s="1"/>
      <c r="U630" s="2"/>
      <c r="V630" s="1"/>
      <c r="W630" s="1"/>
      <c r="X630" s="1"/>
      <c r="Y630" s="1"/>
      <c r="Z630" s="1"/>
    </row>
    <row r="631" spans="1:26" ht="24.75" customHeight="1">
      <c r="A631" s="1"/>
      <c r="B631" s="1"/>
      <c r="C631" s="1"/>
      <c r="D631" s="1"/>
      <c r="E631" s="1"/>
      <c r="F631" s="1"/>
      <c r="G631" s="1"/>
      <c r="H631" s="1"/>
      <c r="I631" s="1"/>
      <c r="J631" s="1"/>
      <c r="K631" s="1"/>
      <c r="L631" s="1"/>
      <c r="M631" s="1"/>
      <c r="N631" s="1"/>
      <c r="O631" s="1"/>
      <c r="P631" s="1"/>
      <c r="Q631" s="1"/>
      <c r="R631" s="1"/>
      <c r="S631" s="1"/>
      <c r="T631" s="1"/>
      <c r="U631" s="2"/>
      <c r="V631" s="1"/>
      <c r="W631" s="1"/>
      <c r="X631" s="1"/>
      <c r="Y631" s="1"/>
      <c r="Z631" s="1"/>
    </row>
    <row r="632" spans="1:26" ht="24.75" customHeight="1">
      <c r="A632" s="1"/>
      <c r="B632" s="1"/>
      <c r="C632" s="1"/>
      <c r="D632" s="1"/>
      <c r="E632" s="1"/>
      <c r="F632" s="1"/>
      <c r="G632" s="1"/>
      <c r="H632" s="1"/>
      <c r="I632" s="1"/>
      <c r="J632" s="1"/>
      <c r="K632" s="1"/>
      <c r="L632" s="1"/>
      <c r="M632" s="1"/>
      <c r="N632" s="1"/>
      <c r="O632" s="1"/>
      <c r="P632" s="1"/>
      <c r="Q632" s="1"/>
      <c r="R632" s="1"/>
      <c r="S632" s="1"/>
      <c r="T632" s="1"/>
      <c r="U632" s="2"/>
      <c r="V632" s="1"/>
      <c r="W632" s="1"/>
      <c r="X632" s="1"/>
      <c r="Y632" s="1"/>
      <c r="Z632" s="1"/>
    </row>
    <row r="633" spans="1:26" ht="24.75" customHeight="1">
      <c r="A633" s="1"/>
      <c r="B633" s="1"/>
      <c r="C633" s="1"/>
      <c r="D633" s="1"/>
      <c r="E633" s="1"/>
      <c r="F633" s="1"/>
      <c r="G633" s="1"/>
      <c r="H633" s="1"/>
      <c r="I633" s="1"/>
      <c r="J633" s="1"/>
      <c r="K633" s="1"/>
      <c r="L633" s="1"/>
      <c r="M633" s="1"/>
      <c r="N633" s="1"/>
      <c r="O633" s="1"/>
      <c r="P633" s="1"/>
      <c r="Q633" s="1"/>
      <c r="R633" s="1"/>
      <c r="S633" s="1"/>
      <c r="T633" s="1"/>
      <c r="U633" s="2"/>
      <c r="V633" s="1"/>
      <c r="W633" s="1"/>
      <c r="X633" s="1"/>
      <c r="Y633" s="1"/>
      <c r="Z633" s="1"/>
    </row>
    <row r="634" spans="1:26" ht="24.75" customHeight="1">
      <c r="A634" s="1"/>
      <c r="B634" s="1"/>
      <c r="C634" s="1"/>
      <c r="D634" s="1"/>
      <c r="E634" s="1"/>
      <c r="F634" s="1"/>
      <c r="G634" s="1"/>
      <c r="H634" s="1"/>
      <c r="I634" s="1"/>
      <c r="J634" s="1"/>
      <c r="K634" s="1"/>
      <c r="L634" s="1"/>
      <c r="M634" s="1"/>
      <c r="N634" s="1"/>
      <c r="O634" s="1"/>
      <c r="P634" s="1"/>
      <c r="Q634" s="1"/>
      <c r="R634" s="1"/>
      <c r="S634" s="1"/>
      <c r="T634" s="1"/>
      <c r="U634" s="2"/>
      <c r="V634" s="1"/>
      <c r="W634" s="1"/>
      <c r="X634" s="1"/>
      <c r="Y634" s="1"/>
      <c r="Z634" s="1"/>
    </row>
    <row r="635" spans="1:26" ht="24.75" customHeight="1">
      <c r="A635" s="1"/>
      <c r="B635" s="1"/>
      <c r="C635" s="1"/>
      <c r="D635" s="1"/>
      <c r="E635" s="1"/>
      <c r="F635" s="1"/>
      <c r="G635" s="1"/>
      <c r="H635" s="1"/>
      <c r="I635" s="1"/>
      <c r="J635" s="1"/>
      <c r="K635" s="1"/>
      <c r="L635" s="1"/>
      <c r="M635" s="1"/>
      <c r="N635" s="1"/>
      <c r="O635" s="1"/>
      <c r="P635" s="1"/>
      <c r="Q635" s="1"/>
      <c r="R635" s="1"/>
      <c r="S635" s="1"/>
      <c r="T635" s="1"/>
      <c r="U635" s="2"/>
      <c r="V635" s="1"/>
      <c r="W635" s="1"/>
      <c r="X635" s="1"/>
      <c r="Y635" s="1"/>
      <c r="Z635" s="1"/>
    </row>
    <row r="636" spans="1:26" ht="24.75" customHeight="1">
      <c r="A636" s="1"/>
      <c r="B636" s="1"/>
      <c r="C636" s="1"/>
      <c r="D636" s="1"/>
      <c r="E636" s="1"/>
      <c r="F636" s="1"/>
      <c r="G636" s="1"/>
      <c r="H636" s="1"/>
      <c r="I636" s="1"/>
      <c r="J636" s="1"/>
      <c r="K636" s="1"/>
      <c r="L636" s="1"/>
      <c r="M636" s="1"/>
      <c r="N636" s="1"/>
      <c r="O636" s="1"/>
      <c r="P636" s="1"/>
      <c r="Q636" s="1"/>
      <c r="R636" s="1"/>
      <c r="S636" s="1"/>
      <c r="T636" s="1"/>
      <c r="U636" s="2"/>
      <c r="V636" s="1"/>
      <c r="W636" s="1"/>
      <c r="X636" s="1"/>
      <c r="Y636" s="1"/>
      <c r="Z636" s="1"/>
    </row>
    <row r="637" spans="1:26" ht="24.75" customHeight="1">
      <c r="A637" s="1"/>
      <c r="B637" s="1"/>
      <c r="C637" s="1"/>
      <c r="D637" s="1"/>
      <c r="E637" s="1"/>
      <c r="F637" s="1"/>
      <c r="G637" s="1"/>
      <c r="H637" s="1"/>
      <c r="I637" s="1"/>
      <c r="J637" s="1"/>
      <c r="K637" s="1"/>
      <c r="L637" s="1"/>
      <c r="M637" s="1"/>
      <c r="N637" s="1"/>
      <c r="O637" s="1"/>
      <c r="P637" s="1"/>
      <c r="Q637" s="1"/>
      <c r="R637" s="1"/>
      <c r="S637" s="1"/>
      <c r="T637" s="1"/>
      <c r="U637" s="2"/>
      <c r="V637" s="1"/>
      <c r="W637" s="1"/>
      <c r="X637" s="1"/>
      <c r="Y637" s="1"/>
      <c r="Z637" s="1"/>
    </row>
    <row r="638" spans="1:26" ht="24.75" customHeight="1">
      <c r="A638" s="1"/>
      <c r="B638" s="1"/>
      <c r="C638" s="1"/>
      <c r="D638" s="1"/>
      <c r="E638" s="1"/>
      <c r="F638" s="1"/>
      <c r="G638" s="1"/>
      <c r="H638" s="1"/>
      <c r="I638" s="1"/>
      <c r="J638" s="1"/>
      <c r="K638" s="1"/>
      <c r="L638" s="1"/>
      <c r="M638" s="1"/>
      <c r="N638" s="1"/>
      <c r="O638" s="1"/>
      <c r="P638" s="1"/>
      <c r="Q638" s="1"/>
      <c r="R638" s="1"/>
      <c r="S638" s="1"/>
      <c r="T638" s="1"/>
      <c r="U638" s="2"/>
      <c r="V638" s="1"/>
      <c r="W638" s="1"/>
      <c r="X638" s="1"/>
      <c r="Y638" s="1"/>
      <c r="Z638" s="1"/>
    </row>
    <row r="639" spans="1:26" ht="24.75" customHeight="1">
      <c r="A639" s="1"/>
      <c r="B639" s="1"/>
      <c r="C639" s="1"/>
      <c r="D639" s="1"/>
      <c r="E639" s="1"/>
      <c r="F639" s="1"/>
      <c r="G639" s="1"/>
      <c r="H639" s="1"/>
      <c r="I639" s="1"/>
      <c r="J639" s="1"/>
      <c r="K639" s="1"/>
      <c r="L639" s="1"/>
      <c r="M639" s="1"/>
      <c r="N639" s="1"/>
      <c r="O639" s="1"/>
      <c r="P639" s="1"/>
      <c r="Q639" s="1"/>
      <c r="R639" s="1"/>
      <c r="S639" s="1"/>
      <c r="T639" s="1"/>
      <c r="U639" s="2"/>
      <c r="V639" s="1"/>
      <c r="W639" s="1"/>
      <c r="X639" s="1"/>
      <c r="Y639" s="1"/>
      <c r="Z639" s="1"/>
    </row>
    <row r="640" spans="1:26" ht="24.75" customHeight="1">
      <c r="A640" s="1"/>
      <c r="B640" s="1"/>
      <c r="C640" s="1"/>
      <c r="D640" s="1"/>
      <c r="E640" s="1"/>
      <c r="F640" s="1"/>
      <c r="G640" s="1"/>
      <c r="H640" s="1"/>
      <c r="I640" s="1"/>
      <c r="J640" s="1"/>
      <c r="K640" s="1"/>
      <c r="L640" s="1"/>
      <c r="M640" s="1"/>
      <c r="N640" s="1"/>
      <c r="O640" s="1"/>
      <c r="P640" s="1"/>
      <c r="Q640" s="1"/>
      <c r="R640" s="1"/>
      <c r="S640" s="1"/>
      <c r="T640" s="1"/>
      <c r="U640" s="2"/>
      <c r="V640" s="1"/>
      <c r="W640" s="1"/>
      <c r="X640" s="1"/>
      <c r="Y640" s="1"/>
      <c r="Z640" s="1"/>
    </row>
    <row r="641" spans="1:26" ht="24.75" customHeight="1">
      <c r="A641" s="1"/>
      <c r="B641" s="1"/>
      <c r="C641" s="1"/>
      <c r="D641" s="1"/>
      <c r="E641" s="1"/>
      <c r="F641" s="1"/>
      <c r="G641" s="1"/>
      <c r="H641" s="1"/>
      <c r="I641" s="1"/>
      <c r="J641" s="1"/>
      <c r="K641" s="1"/>
      <c r="L641" s="1"/>
      <c r="M641" s="1"/>
      <c r="N641" s="1"/>
      <c r="O641" s="1"/>
      <c r="P641" s="1"/>
      <c r="Q641" s="1"/>
      <c r="R641" s="1"/>
      <c r="S641" s="1"/>
      <c r="T641" s="1"/>
      <c r="U641" s="2"/>
      <c r="V641" s="1"/>
      <c r="W641" s="1"/>
      <c r="X641" s="1"/>
      <c r="Y641" s="1"/>
      <c r="Z641" s="1"/>
    </row>
    <row r="642" spans="1:26" ht="24.75" customHeight="1">
      <c r="A642" s="1"/>
      <c r="B642" s="1"/>
      <c r="C642" s="1"/>
      <c r="D642" s="1"/>
      <c r="E642" s="1"/>
      <c r="F642" s="1"/>
      <c r="G642" s="1"/>
      <c r="H642" s="1"/>
      <c r="I642" s="1"/>
      <c r="J642" s="1"/>
      <c r="K642" s="1"/>
      <c r="L642" s="1"/>
      <c r="M642" s="1"/>
      <c r="N642" s="1"/>
      <c r="O642" s="1"/>
      <c r="P642" s="1"/>
      <c r="Q642" s="1"/>
      <c r="R642" s="1"/>
      <c r="S642" s="1"/>
      <c r="T642" s="1"/>
      <c r="U642" s="2"/>
      <c r="V642" s="1"/>
      <c r="W642" s="1"/>
      <c r="X642" s="1"/>
      <c r="Y642" s="1"/>
      <c r="Z642" s="1"/>
    </row>
    <row r="643" spans="1:26" ht="24.75" customHeight="1">
      <c r="A643" s="1"/>
      <c r="B643" s="1"/>
      <c r="C643" s="1"/>
      <c r="D643" s="1"/>
      <c r="E643" s="1"/>
      <c r="F643" s="1"/>
      <c r="G643" s="1"/>
      <c r="H643" s="1"/>
      <c r="I643" s="1"/>
      <c r="J643" s="1"/>
      <c r="K643" s="1"/>
      <c r="L643" s="1"/>
      <c r="M643" s="1"/>
      <c r="N643" s="1"/>
      <c r="O643" s="1"/>
      <c r="P643" s="1"/>
      <c r="Q643" s="1"/>
      <c r="R643" s="1"/>
      <c r="S643" s="1"/>
      <c r="T643" s="1"/>
      <c r="U643" s="2"/>
      <c r="V643" s="1"/>
      <c r="W643" s="1"/>
      <c r="X643" s="1"/>
      <c r="Y643" s="1"/>
      <c r="Z643" s="1"/>
    </row>
    <row r="644" spans="1:26" ht="24.75" customHeight="1">
      <c r="A644" s="1"/>
      <c r="B644" s="1"/>
      <c r="C644" s="1"/>
      <c r="D644" s="1"/>
      <c r="E644" s="1"/>
      <c r="F644" s="1"/>
      <c r="G644" s="1"/>
      <c r="H644" s="1"/>
      <c r="I644" s="1"/>
      <c r="J644" s="1"/>
      <c r="K644" s="1"/>
      <c r="L644" s="1"/>
      <c r="M644" s="1"/>
      <c r="N644" s="1"/>
      <c r="O644" s="1"/>
      <c r="P644" s="1"/>
      <c r="Q644" s="1"/>
      <c r="R644" s="1"/>
      <c r="S644" s="1"/>
      <c r="T644" s="1"/>
      <c r="U644" s="2"/>
      <c r="V644" s="1"/>
      <c r="W644" s="1"/>
      <c r="X644" s="1"/>
      <c r="Y644" s="1"/>
      <c r="Z644" s="1"/>
    </row>
    <row r="645" spans="1:26" ht="24.75" customHeight="1">
      <c r="A645" s="1"/>
      <c r="B645" s="1"/>
      <c r="C645" s="1"/>
      <c r="D645" s="1"/>
      <c r="E645" s="1"/>
      <c r="F645" s="1"/>
      <c r="G645" s="1"/>
      <c r="H645" s="1"/>
      <c r="I645" s="1"/>
      <c r="J645" s="1"/>
      <c r="K645" s="1"/>
      <c r="L645" s="1"/>
      <c r="M645" s="1"/>
      <c r="N645" s="1"/>
      <c r="O645" s="1"/>
      <c r="P645" s="1"/>
      <c r="Q645" s="1"/>
      <c r="R645" s="1"/>
      <c r="S645" s="1"/>
      <c r="T645" s="1"/>
      <c r="U645" s="2"/>
      <c r="V645" s="1"/>
      <c r="W645" s="1"/>
      <c r="X645" s="1"/>
      <c r="Y645" s="1"/>
      <c r="Z645" s="1"/>
    </row>
    <row r="646" spans="1:26" ht="24.75" customHeight="1">
      <c r="A646" s="1"/>
      <c r="B646" s="1"/>
      <c r="C646" s="1"/>
      <c r="D646" s="1"/>
      <c r="E646" s="1"/>
      <c r="F646" s="1"/>
      <c r="G646" s="1"/>
      <c r="H646" s="1"/>
      <c r="I646" s="1"/>
      <c r="J646" s="1"/>
      <c r="K646" s="1"/>
      <c r="L646" s="1"/>
      <c r="M646" s="1"/>
      <c r="N646" s="1"/>
      <c r="O646" s="1"/>
      <c r="P646" s="1"/>
      <c r="Q646" s="1"/>
      <c r="R646" s="1"/>
      <c r="S646" s="1"/>
      <c r="T646" s="1"/>
      <c r="U646" s="2"/>
      <c r="V646" s="1"/>
      <c r="W646" s="1"/>
      <c r="X646" s="1"/>
      <c r="Y646" s="1"/>
      <c r="Z646" s="1"/>
    </row>
    <row r="647" spans="1:26" ht="24.75" customHeight="1">
      <c r="A647" s="1"/>
      <c r="B647" s="1"/>
      <c r="C647" s="1"/>
      <c r="D647" s="1"/>
      <c r="E647" s="1"/>
      <c r="F647" s="1"/>
      <c r="G647" s="1"/>
      <c r="H647" s="1"/>
      <c r="I647" s="1"/>
      <c r="J647" s="1"/>
      <c r="K647" s="1"/>
      <c r="L647" s="1"/>
      <c r="M647" s="1"/>
      <c r="N647" s="1"/>
      <c r="O647" s="1"/>
      <c r="P647" s="1"/>
      <c r="Q647" s="1"/>
      <c r="R647" s="1"/>
      <c r="S647" s="1"/>
      <c r="T647" s="1"/>
      <c r="U647" s="2"/>
      <c r="V647" s="1"/>
      <c r="W647" s="1"/>
      <c r="X647" s="1"/>
      <c r="Y647" s="1"/>
      <c r="Z647" s="1"/>
    </row>
    <row r="648" spans="1:26" ht="24.75" customHeight="1">
      <c r="A648" s="1"/>
      <c r="B648" s="1"/>
      <c r="C648" s="1"/>
      <c r="D648" s="1"/>
      <c r="E648" s="1"/>
      <c r="F648" s="1"/>
      <c r="G648" s="1"/>
      <c r="H648" s="1"/>
      <c r="I648" s="1"/>
      <c r="J648" s="1"/>
      <c r="K648" s="1"/>
      <c r="L648" s="1"/>
      <c r="M648" s="1"/>
      <c r="N648" s="1"/>
      <c r="O648" s="1"/>
      <c r="P648" s="1"/>
      <c r="Q648" s="1"/>
      <c r="R648" s="1"/>
      <c r="S648" s="1"/>
      <c r="T648" s="1"/>
      <c r="U648" s="2"/>
      <c r="V648" s="1"/>
      <c r="W648" s="1"/>
      <c r="X648" s="1"/>
      <c r="Y648" s="1"/>
      <c r="Z648" s="1"/>
    </row>
    <row r="649" spans="1:26" ht="24.75" customHeight="1">
      <c r="A649" s="1"/>
      <c r="B649" s="1"/>
      <c r="C649" s="1"/>
      <c r="D649" s="1"/>
      <c r="E649" s="1"/>
      <c r="F649" s="1"/>
      <c r="G649" s="1"/>
      <c r="H649" s="1"/>
      <c r="I649" s="1"/>
      <c r="J649" s="1"/>
      <c r="K649" s="1"/>
      <c r="L649" s="1"/>
      <c r="M649" s="1"/>
      <c r="N649" s="1"/>
      <c r="O649" s="1"/>
      <c r="P649" s="1"/>
      <c r="Q649" s="1"/>
      <c r="R649" s="1"/>
      <c r="S649" s="1"/>
      <c r="T649" s="1"/>
      <c r="U649" s="2"/>
      <c r="V649" s="1"/>
      <c r="W649" s="1"/>
      <c r="X649" s="1"/>
      <c r="Y649" s="1"/>
      <c r="Z649" s="1"/>
    </row>
    <row r="650" spans="1:26" ht="24.75" customHeight="1">
      <c r="A650" s="1"/>
      <c r="B650" s="1"/>
      <c r="C650" s="1"/>
      <c r="D650" s="1"/>
      <c r="E650" s="1"/>
      <c r="F650" s="1"/>
      <c r="G650" s="1"/>
      <c r="H650" s="1"/>
      <c r="I650" s="1"/>
      <c r="J650" s="1"/>
      <c r="K650" s="1"/>
      <c r="L650" s="1"/>
      <c r="M650" s="1"/>
      <c r="N650" s="1"/>
      <c r="O650" s="1"/>
      <c r="P650" s="1"/>
      <c r="Q650" s="1"/>
      <c r="R650" s="1"/>
      <c r="S650" s="1"/>
      <c r="T650" s="1"/>
      <c r="U650" s="2"/>
      <c r="V650" s="1"/>
      <c r="W650" s="1"/>
      <c r="X650" s="1"/>
      <c r="Y650" s="1"/>
      <c r="Z650" s="1"/>
    </row>
    <row r="651" spans="1:26" ht="24.75" customHeight="1">
      <c r="A651" s="1"/>
      <c r="B651" s="1"/>
      <c r="C651" s="1"/>
      <c r="D651" s="1"/>
      <c r="E651" s="1"/>
      <c r="F651" s="1"/>
      <c r="G651" s="1"/>
      <c r="H651" s="1"/>
      <c r="I651" s="1"/>
      <c r="J651" s="1"/>
      <c r="K651" s="1"/>
      <c r="L651" s="1"/>
      <c r="M651" s="1"/>
      <c r="N651" s="1"/>
      <c r="O651" s="1"/>
      <c r="P651" s="1"/>
      <c r="Q651" s="1"/>
      <c r="R651" s="1"/>
      <c r="S651" s="1"/>
      <c r="T651" s="1"/>
      <c r="U651" s="2"/>
      <c r="V651" s="1"/>
      <c r="W651" s="1"/>
      <c r="X651" s="1"/>
      <c r="Y651" s="1"/>
      <c r="Z651" s="1"/>
    </row>
    <row r="652" spans="1:26" ht="24.75" customHeight="1">
      <c r="A652" s="1"/>
      <c r="B652" s="1"/>
      <c r="C652" s="1"/>
      <c r="D652" s="1"/>
      <c r="E652" s="1"/>
      <c r="F652" s="1"/>
      <c r="G652" s="1"/>
      <c r="H652" s="1"/>
      <c r="I652" s="1"/>
      <c r="J652" s="1"/>
      <c r="K652" s="1"/>
      <c r="L652" s="1"/>
      <c r="M652" s="1"/>
      <c r="N652" s="1"/>
      <c r="O652" s="1"/>
      <c r="P652" s="1"/>
      <c r="Q652" s="1"/>
      <c r="R652" s="1"/>
      <c r="S652" s="1"/>
      <c r="T652" s="1"/>
      <c r="U652" s="2"/>
      <c r="V652" s="1"/>
      <c r="W652" s="1"/>
      <c r="X652" s="1"/>
      <c r="Y652" s="1"/>
      <c r="Z652" s="1"/>
    </row>
    <row r="653" spans="1:26" ht="24.75" customHeight="1">
      <c r="A653" s="1"/>
      <c r="B653" s="1"/>
      <c r="C653" s="1"/>
      <c r="D653" s="1"/>
      <c r="E653" s="1"/>
      <c r="F653" s="1"/>
      <c r="G653" s="1"/>
      <c r="H653" s="1"/>
      <c r="I653" s="1"/>
      <c r="J653" s="1"/>
      <c r="K653" s="1"/>
      <c r="L653" s="1"/>
      <c r="M653" s="1"/>
      <c r="N653" s="1"/>
      <c r="O653" s="1"/>
      <c r="P653" s="1"/>
      <c r="Q653" s="1"/>
      <c r="R653" s="1"/>
      <c r="S653" s="1"/>
      <c r="T653" s="1"/>
      <c r="U653" s="2"/>
      <c r="V653" s="1"/>
      <c r="W653" s="1"/>
      <c r="X653" s="1"/>
      <c r="Y653" s="1"/>
      <c r="Z653" s="1"/>
    </row>
    <row r="654" spans="1:26" ht="24.75" customHeight="1">
      <c r="A654" s="1"/>
      <c r="B654" s="1"/>
      <c r="C654" s="1"/>
      <c r="D654" s="1"/>
      <c r="E654" s="1"/>
      <c r="F654" s="1"/>
      <c r="G654" s="1"/>
      <c r="H654" s="1"/>
      <c r="I654" s="1"/>
      <c r="J654" s="1"/>
      <c r="K654" s="1"/>
      <c r="L654" s="1"/>
      <c r="M654" s="1"/>
      <c r="N654" s="1"/>
      <c r="O654" s="1"/>
      <c r="P654" s="1"/>
      <c r="Q654" s="1"/>
      <c r="R654" s="1"/>
      <c r="S654" s="1"/>
      <c r="T654" s="1"/>
      <c r="U654" s="2"/>
      <c r="V654" s="1"/>
      <c r="W654" s="1"/>
      <c r="X654" s="1"/>
      <c r="Y654" s="1"/>
      <c r="Z654" s="1"/>
    </row>
    <row r="655" spans="1:26" ht="24.75" customHeight="1">
      <c r="A655" s="1"/>
      <c r="B655" s="1"/>
      <c r="C655" s="1"/>
      <c r="D655" s="1"/>
      <c r="E655" s="1"/>
      <c r="F655" s="1"/>
      <c r="G655" s="1"/>
      <c r="H655" s="1"/>
      <c r="I655" s="1"/>
      <c r="J655" s="1"/>
      <c r="K655" s="1"/>
      <c r="L655" s="1"/>
      <c r="M655" s="1"/>
      <c r="N655" s="1"/>
      <c r="O655" s="1"/>
      <c r="P655" s="1"/>
      <c r="Q655" s="1"/>
      <c r="R655" s="1"/>
      <c r="S655" s="1"/>
      <c r="T655" s="1"/>
      <c r="U655" s="2"/>
      <c r="V655" s="1"/>
      <c r="W655" s="1"/>
      <c r="X655" s="1"/>
      <c r="Y655" s="1"/>
      <c r="Z655" s="1"/>
    </row>
    <row r="656" spans="1:26" ht="24.75" customHeight="1">
      <c r="A656" s="1"/>
      <c r="B656" s="1"/>
      <c r="C656" s="1"/>
      <c r="D656" s="1"/>
      <c r="E656" s="1"/>
      <c r="F656" s="1"/>
      <c r="G656" s="1"/>
      <c r="H656" s="1"/>
      <c r="I656" s="1"/>
      <c r="J656" s="1"/>
      <c r="K656" s="1"/>
      <c r="L656" s="1"/>
      <c r="M656" s="1"/>
      <c r="N656" s="1"/>
      <c r="O656" s="1"/>
      <c r="P656" s="1"/>
      <c r="Q656" s="1"/>
      <c r="R656" s="1"/>
      <c r="S656" s="1"/>
      <c r="T656" s="1"/>
      <c r="U656" s="2"/>
      <c r="V656" s="1"/>
      <c r="W656" s="1"/>
      <c r="X656" s="1"/>
      <c r="Y656" s="1"/>
      <c r="Z656" s="1"/>
    </row>
    <row r="657" spans="1:26" ht="24.75" customHeight="1">
      <c r="A657" s="1"/>
      <c r="B657" s="1"/>
      <c r="C657" s="1"/>
      <c r="D657" s="1"/>
      <c r="E657" s="1"/>
      <c r="F657" s="1"/>
      <c r="G657" s="1"/>
      <c r="H657" s="1"/>
      <c r="I657" s="1"/>
      <c r="J657" s="1"/>
      <c r="K657" s="1"/>
      <c r="L657" s="1"/>
      <c r="M657" s="1"/>
      <c r="N657" s="1"/>
      <c r="O657" s="1"/>
      <c r="P657" s="1"/>
      <c r="Q657" s="1"/>
      <c r="R657" s="1"/>
      <c r="S657" s="1"/>
      <c r="T657" s="1"/>
      <c r="U657" s="2"/>
      <c r="V657" s="1"/>
      <c r="W657" s="1"/>
      <c r="X657" s="1"/>
      <c r="Y657" s="1"/>
      <c r="Z657" s="1"/>
    </row>
    <row r="658" spans="1:26" ht="24.75" customHeight="1">
      <c r="A658" s="1"/>
      <c r="B658" s="1"/>
      <c r="C658" s="1"/>
      <c r="D658" s="1"/>
      <c r="E658" s="1"/>
      <c r="F658" s="1"/>
      <c r="G658" s="1"/>
      <c r="H658" s="1"/>
      <c r="I658" s="1"/>
      <c r="J658" s="1"/>
      <c r="K658" s="1"/>
      <c r="L658" s="1"/>
      <c r="M658" s="1"/>
      <c r="N658" s="1"/>
      <c r="O658" s="1"/>
      <c r="P658" s="1"/>
      <c r="Q658" s="1"/>
      <c r="R658" s="1"/>
      <c r="S658" s="1"/>
      <c r="T658" s="1"/>
      <c r="U658" s="2"/>
      <c r="V658" s="1"/>
      <c r="W658" s="1"/>
      <c r="X658" s="1"/>
      <c r="Y658" s="1"/>
      <c r="Z658" s="1"/>
    </row>
    <row r="659" spans="1:26" ht="24.75" customHeight="1">
      <c r="A659" s="1"/>
      <c r="B659" s="1"/>
      <c r="C659" s="1"/>
      <c r="D659" s="1"/>
      <c r="E659" s="1"/>
      <c r="F659" s="1"/>
      <c r="G659" s="1"/>
      <c r="H659" s="1"/>
      <c r="I659" s="1"/>
      <c r="J659" s="1"/>
      <c r="K659" s="1"/>
      <c r="L659" s="1"/>
      <c r="M659" s="1"/>
      <c r="N659" s="1"/>
      <c r="O659" s="1"/>
      <c r="P659" s="1"/>
      <c r="Q659" s="1"/>
      <c r="R659" s="1"/>
      <c r="S659" s="1"/>
      <c r="T659" s="1"/>
      <c r="U659" s="2"/>
      <c r="V659" s="1"/>
      <c r="W659" s="1"/>
      <c r="X659" s="1"/>
      <c r="Y659" s="1"/>
      <c r="Z659" s="1"/>
    </row>
    <row r="660" spans="1:26" ht="24.75" customHeight="1">
      <c r="A660" s="1"/>
      <c r="B660" s="1"/>
      <c r="C660" s="1"/>
      <c r="D660" s="1"/>
      <c r="E660" s="1"/>
      <c r="F660" s="1"/>
      <c r="G660" s="1"/>
      <c r="H660" s="1"/>
      <c r="I660" s="1"/>
      <c r="J660" s="1"/>
      <c r="K660" s="1"/>
      <c r="L660" s="1"/>
      <c r="M660" s="1"/>
      <c r="N660" s="1"/>
      <c r="O660" s="1"/>
      <c r="P660" s="1"/>
      <c r="Q660" s="1"/>
      <c r="R660" s="1"/>
      <c r="S660" s="1"/>
      <c r="T660" s="1"/>
      <c r="U660" s="2"/>
      <c r="V660" s="1"/>
      <c r="W660" s="1"/>
      <c r="X660" s="1"/>
      <c r="Y660" s="1"/>
      <c r="Z660" s="1"/>
    </row>
    <row r="661" spans="1:26" ht="24.75" customHeight="1">
      <c r="A661" s="1"/>
      <c r="B661" s="1"/>
      <c r="C661" s="1"/>
      <c r="D661" s="1"/>
      <c r="E661" s="1"/>
      <c r="F661" s="1"/>
      <c r="G661" s="1"/>
      <c r="H661" s="1"/>
      <c r="I661" s="1"/>
      <c r="J661" s="1"/>
      <c r="K661" s="1"/>
      <c r="L661" s="1"/>
      <c r="M661" s="1"/>
      <c r="N661" s="1"/>
      <c r="O661" s="1"/>
      <c r="P661" s="1"/>
      <c r="Q661" s="1"/>
      <c r="R661" s="1"/>
      <c r="S661" s="1"/>
      <c r="T661" s="1"/>
      <c r="U661" s="2"/>
      <c r="V661" s="1"/>
      <c r="W661" s="1"/>
      <c r="X661" s="1"/>
      <c r="Y661" s="1"/>
      <c r="Z661" s="1"/>
    </row>
    <row r="662" spans="1:26" ht="24.75" customHeight="1">
      <c r="A662" s="1"/>
      <c r="B662" s="1"/>
      <c r="C662" s="1"/>
      <c r="D662" s="1"/>
      <c r="E662" s="1"/>
      <c r="F662" s="1"/>
      <c r="G662" s="1"/>
      <c r="H662" s="1"/>
      <c r="I662" s="1"/>
      <c r="J662" s="1"/>
      <c r="K662" s="1"/>
      <c r="L662" s="1"/>
      <c r="M662" s="1"/>
      <c r="N662" s="1"/>
      <c r="O662" s="1"/>
      <c r="P662" s="1"/>
      <c r="Q662" s="1"/>
      <c r="R662" s="1"/>
      <c r="S662" s="1"/>
      <c r="T662" s="1"/>
      <c r="U662" s="2"/>
      <c r="V662" s="1"/>
      <c r="W662" s="1"/>
      <c r="X662" s="1"/>
      <c r="Y662" s="1"/>
      <c r="Z662" s="1"/>
    </row>
    <row r="663" spans="1:26" ht="24.75" customHeight="1">
      <c r="A663" s="1"/>
      <c r="B663" s="1"/>
      <c r="C663" s="1"/>
      <c r="D663" s="1"/>
      <c r="E663" s="1"/>
      <c r="F663" s="1"/>
      <c r="G663" s="1"/>
      <c r="H663" s="1"/>
      <c r="I663" s="1"/>
      <c r="J663" s="1"/>
      <c r="K663" s="1"/>
      <c r="L663" s="1"/>
      <c r="M663" s="1"/>
      <c r="N663" s="1"/>
      <c r="O663" s="1"/>
      <c r="P663" s="1"/>
      <c r="Q663" s="1"/>
      <c r="R663" s="1"/>
      <c r="S663" s="1"/>
      <c r="T663" s="1"/>
      <c r="U663" s="2"/>
      <c r="V663" s="1"/>
      <c r="W663" s="1"/>
      <c r="X663" s="1"/>
      <c r="Y663" s="1"/>
      <c r="Z663" s="1"/>
    </row>
    <row r="664" spans="1:26" ht="24.75" customHeight="1">
      <c r="A664" s="1"/>
      <c r="B664" s="1"/>
      <c r="C664" s="1"/>
      <c r="D664" s="1"/>
      <c r="E664" s="1"/>
      <c r="F664" s="1"/>
      <c r="G664" s="1"/>
      <c r="H664" s="1"/>
      <c r="I664" s="1"/>
      <c r="J664" s="1"/>
      <c r="K664" s="1"/>
      <c r="L664" s="1"/>
      <c r="M664" s="1"/>
      <c r="N664" s="1"/>
      <c r="O664" s="1"/>
      <c r="P664" s="1"/>
      <c r="Q664" s="1"/>
      <c r="R664" s="1"/>
      <c r="S664" s="1"/>
      <c r="T664" s="1"/>
      <c r="U664" s="2"/>
      <c r="V664" s="1"/>
      <c r="W664" s="1"/>
      <c r="X664" s="1"/>
      <c r="Y664" s="1"/>
      <c r="Z664" s="1"/>
    </row>
    <row r="665" spans="1:26" ht="24.75" customHeight="1">
      <c r="A665" s="1"/>
      <c r="B665" s="1"/>
      <c r="C665" s="1"/>
      <c r="D665" s="1"/>
      <c r="E665" s="1"/>
      <c r="F665" s="1"/>
      <c r="G665" s="1"/>
      <c r="H665" s="1"/>
      <c r="I665" s="1"/>
      <c r="J665" s="1"/>
      <c r="K665" s="1"/>
      <c r="L665" s="1"/>
      <c r="M665" s="1"/>
      <c r="N665" s="1"/>
      <c r="O665" s="1"/>
      <c r="P665" s="1"/>
      <c r="Q665" s="1"/>
      <c r="R665" s="1"/>
      <c r="S665" s="1"/>
      <c r="T665" s="1"/>
      <c r="U665" s="2"/>
      <c r="V665" s="1"/>
      <c r="W665" s="1"/>
      <c r="X665" s="1"/>
      <c r="Y665" s="1"/>
      <c r="Z665" s="1"/>
    </row>
    <row r="666" spans="1:26" ht="24.75" customHeight="1">
      <c r="A666" s="1"/>
      <c r="B666" s="1"/>
      <c r="C666" s="1"/>
      <c r="D666" s="1"/>
      <c r="E666" s="1"/>
      <c r="F666" s="1"/>
      <c r="G666" s="1"/>
      <c r="H666" s="1"/>
      <c r="I666" s="1"/>
      <c r="J666" s="1"/>
      <c r="K666" s="1"/>
      <c r="L666" s="1"/>
      <c r="M666" s="1"/>
      <c r="N666" s="1"/>
      <c r="O666" s="1"/>
      <c r="P666" s="1"/>
      <c r="Q666" s="1"/>
      <c r="R666" s="1"/>
      <c r="S666" s="1"/>
      <c r="T666" s="1"/>
      <c r="U666" s="2"/>
      <c r="V666" s="1"/>
      <c r="W666" s="1"/>
      <c r="X666" s="1"/>
      <c r="Y666" s="1"/>
      <c r="Z666" s="1"/>
    </row>
    <row r="667" spans="1:26" ht="24.75" customHeight="1">
      <c r="A667" s="1"/>
      <c r="B667" s="1"/>
      <c r="C667" s="1"/>
      <c r="D667" s="1"/>
      <c r="E667" s="1"/>
      <c r="F667" s="1"/>
      <c r="G667" s="1"/>
      <c r="H667" s="1"/>
      <c r="I667" s="1"/>
      <c r="J667" s="1"/>
      <c r="K667" s="1"/>
      <c r="L667" s="1"/>
      <c r="M667" s="1"/>
      <c r="N667" s="1"/>
      <c r="O667" s="1"/>
      <c r="P667" s="1"/>
      <c r="Q667" s="1"/>
      <c r="R667" s="1"/>
      <c r="S667" s="1"/>
      <c r="T667" s="1"/>
      <c r="U667" s="2"/>
      <c r="V667" s="1"/>
      <c r="W667" s="1"/>
      <c r="X667" s="1"/>
      <c r="Y667" s="1"/>
      <c r="Z667" s="1"/>
    </row>
    <row r="668" spans="1:26" ht="24.75" customHeight="1">
      <c r="A668" s="1"/>
      <c r="B668" s="1"/>
      <c r="C668" s="1"/>
      <c r="D668" s="1"/>
      <c r="E668" s="1"/>
      <c r="F668" s="1"/>
      <c r="G668" s="1"/>
      <c r="H668" s="1"/>
      <c r="I668" s="1"/>
      <c r="J668" s="1"/>
      <c r="K668" s="1"/>
      <c r="L668" s="1"/>
      <c r="M668" s="1"/>
      <c r="N668" s="1"/>
      <c r="O668" s="1"/>
      <c r="P668" s="1"/>
      <c r="Q668" s="1"/>
      <c r="R668" s="1"/>
      <c r="S668" s="1"/>
      <c r="T668" s="1"/>
      <c r="U668" s="2"/>
      <c r="V668" s="1"/>
      <c r="W668" s="1"/>
      <c r="X668" s="1"/>
      <c r="Y668" s="1"/>
      <c r="Z668" s="1"/>
    </row>
    <row r="669" spans="1:26" ht="24.75" customHeight="1">
      <c r="A669" s="1"/>
      <c r="B669" s="1"/>
      <c r="C669" s="1"/>
      <c r="D669" s="1"/>
      <c r="E669" s="1"/>
      <c r="F669" s="1"/>
      <c r="G669" s="1"/>
      <c r="H669" s="1"/>
      <c r="I669" s="1"/>
      <c r="J669" s="1"/>
      <c r="K669" s="1"/>
      <c r="L669" s="1"/>
      <c r="M669" s="1"/>
      <c r="N669" s="1"/>
      <c r="O669" s="1"/>
      <c r="P669" s="1"/>
      <c r="Q669" s="1"/>
      <c r="R669" s="1"/>
      <c r="S669" s="1"/>
      <c r="T669" s="1"/>
      <c r="U669" s="2"/>
      <c r="V669" s="1"/>
      <c r="W669" s="1"/>
      <c r="X669" s="1"/>
      <c r="Y669" s="1"/>
      <c r="Z669" s="1"/>
    </row>
    <row r="670" spans="1:26" ht="24.75" customHeight="1">
      <c r="A670" s="1"/>
      <c r="B670" s="1"/>
      <c r="C670" s="1"/>
      <c r="D670" s="1"/>
      <c r="E670" s="1"/>
      <c r="F670" s="1"/>
      <c r="G670" s="1"/>
      <c r="H670" s="1"/>
      <c r="I670" s="1"/>
      <c r="J670" s="1"/>
      <c r="K670" s="1"/>
      <c r="L670" s="1"/>
      <c r="M670" s="1"/>
      <c r="N670" s="1"/>
      <c r="O670" s="1"/>
      <c r="P670" s="1"/>
      <c r="Q670" s="1"/>
      <c r="R670" s="1"/>
      <c r="S670" s="1"/>
      <c r="T670" s="1"/>
      <c r="U670" s="2"/>
      <c r="V670" s="1"/>
      <c r="W670" s="1"/>
      <c r="X670" s="1"/>
      <c r="Y670" s="1"/>
      <c r="Z670" s="1"/>
    </row>
    <row r="671" spans="1:26" ht="24.75" customHeight="1">
      <c r="A671" s="1"/>
      <c r="B671" s="1"/>
      <c r="C671" s="1"/>
      <c r="D671" s="1"/>
      <c r="E671" s="1"/>
      <c r="F671" s="1"/>
      <c r="G671" s="1"/>
      <c r="H671" s="1"/>
      <c r="I671" s="1"/>
      <c r="J671" s="1"/>
      <c r="K671" s="1"/>
      <c r="L671" s="1"/>
      <c r="M671" s="1"/>
      <c r="N671" s="1"/>
      <c r="O671" s="1"/>
      <c r="P671" s="1"/>
      <c r="Q671" s="1"/>
      <c r="R671" s="1"/>
      <c r="S671" s="1"/>
      <c r="T671" s="1"/>
      <c r="U671" s="2"/>
      <c r="V671" s="1"/>
      <c r="W671" s="1"/>
      <c r="X671" s="1"/>
      <c r="Y671" s="1"/>
      <c r="Z671" s="1"/>
    </row>
    <row r="672" spans="1:26" ht="24.75" customHeight="1">
      <c r="A672" s="1"/>
      <c r="B672" s="1"/>
      <c r="C672" s="1"/>
      <c r="D672" s="1"/>
      <c r="E672" s="1"/>
      <c r="F672" s="1"/>
      <c r="G672" s="1"/>
      <c r="H672" s="1"/>
      <c r="I672" s="1"/>
      <c r="J672" s="1"/>
      <c r="K672" s="1"/>
      <c r="L672" s="1"/>
      <c r="M672" s="1"/>
      <c r="N672" s="1"/>
      <c r="O672" s="1"/>
      <c r="P672" s="1"/>
      <c r="Q672" s="1"/>
      <c r="R672" s="1"/>
      <c r="S672" s="1"/>
      <c r="T672" s="1"/>
      <c r="U672" s="2"/>
      <c r="V672" s="1"/>
      <c r="W672" s="1"/>
      <c r="X672" s="1"/>
      <c r="Y672" s="1"/>
      <c r="Z672" s="1"/>
    </row>
    <row r="673" spans="1:26" ht="24.75" customHeight="1">
      <c r="A673" s="1"/>
      <c r="B673" s="1"/>
      <c r="C673" s="1"/>
      <c r="D673" s="1"/>
      <c r="E673" s="1"/>
      <c r="F673" s="1"/>
      <c r="G673" s="1"/>
      <c r="H673" s="1"/>
      <c r="I673" s="1"/>
      <c r="J673" s="1"/>
      <c r="K673" s="1"/>
      <c r="L673" s="1"/>
      <c r="M673" s="1"/>
      <c r="N673" s="1"/>
      <c r="O673" s="1"/>
      <c r="P673" s="1"/>
      <c r="Q673" s="1"/>
      <c r="R673" s="1"/>
      <c r="S673" s="1"/>
      <c r="T673" s="1"/>
      <c r="U673" s="2"/>
      <c r="V673" s="1"/>
      <c r="W673" s="1"/>
      <c r="X673" s="1"/>
      <c r="Y673" s="1"/>
      <c r="Z673" s="1"/>
    </row>
    <row r="674" spans="1:26" ht="24.75" customHeight="1">
      <c r="A674" s="1"/>
      <c r="B674" s="1"/>
      <c r="C674" s="1"/>
      <c r="D674" s="1"/>
      <c r="E674" s="1"/>
      <c r="F674" s="1"/>
      <c r="G674" s="1"/>
      <c r="H674" s="1"/>
      <c r="I674" s="1"/>
      <c r="J674" s="1"/>
      <c r="K674" s="1"/>
      <c r="L674" s="1"/>
      <c r="M674" s="1"/>
      <c r="N674" s="1"/>
      <c r="O674" s="1"/>
      <c r="P674" s="1"/>
      <c r="Q674" s="1"/>
      <c r="R674" s="1"/>
      <c r="S674" s="1"/>
      <c r="T674" s="1"/>
      <c r="U674" s="2"/>
      <c r="V674" s="1"/>
      <c r="W674" s="1"/>
      <c r="X674" s="1"/>
      <c r="Y674" s="1"/>
      <c r="Z674" s="1"/>
    </row>
    <row r="675" spans="1:26" ht="24.75" customHeight="1">
      <c r="A675" s="1"/>
      <c r="B675" s="1"/>
      <c r="C675" s="1"/>
      <c r="D675" s="1"/>
      <c r="E675" s="1"/>
      <c r="F675" s="1"/>
      <c r="G675" s="1"/>
      <c r="H675" s="1"/>
      <c r="I675" s="1"/>
      <c r="J675" s="1"/>
      <c r="K675" s="1"/>
      <c r="L675" s="1"/>
      <c r="M675" s="1"/>
      <c r="N675" s="1"/>
      <c r="O675" s="1"/>
      <c r="P675" s="1"/>
      <c r="Q675" s="1"/>
      <c r="R675" s="1"/>
      <c r="S675" s="1"/>
      <c r="T675" s="1"/>
      <c r="U675" s="2"/>
      <c r="V675" s="1"/>
      <c r="W675" s="1"/>
      <c r="X675" s="1"/>
      <c r="Y675" s="1"/>
      <c r="Z675" s="1"/>
    </row>
    <row r="676" spans="1:26" ht="24.75" customHeight="1">
      <c r="A676" s="1"/>
      <c r="B676" s="1"/>
      <c r="C676" s="1"/>
      <c r="D676" s="1"/>
      <c r="E676" s="1"/>
      <c r="F676" s="1"/>
      <c r="G676" s="1"/>
      <c r="H676" s="1"/>
      <c r="I676" s="1"/>
      <c r="J676" s="1"/>
      <c r="K676" s="1"/>
      <c r="L676" s="1"/>
      <c r="M676" s="1"/>
      <c r="N676" s="1"/>
      <c r="O676" s="1"/>
      <c r="P676" s="1"/>
      <c r="Q676" s="1"/>
      <c r="R676" s="1"/>
      <c r="S676" s="1"/>
      <c r="T676" s="1"/>
      <c r="U676" s="2"/>
      <c r="V676" s="1"/>
      <c r="W676" s="1"/>
      <c r="X676" s="1"/>
      <c r="Y676" s="1"/>
      <c r="Z676" s="1"/>
    </row>
    <row r="677" spans="1:26" ht="24.75" customHeight="1">
      <c r="A677" s="1"/>
      <c r="B677" s="1"/>
      <c r="C677" s="1"/>
      <c r="D677" s="1"/>
      <c r="E677" s="1"/>
      <c r="F677" s="1"/>
      <c r="G677" s="1"/>
      <c r="H677" s="1"/>
      <c r="I677" s="1"/>
      <c r="J677" s="1"/>
      <c r="K677" s="1"/>
      <c r="L677" s="1"/>
      <c r="M677" s="1"/>
      <c r="N677" s="1"/>
      <c r="O677" s="1"/>
      <c r="P677" s="1"/>
      <c r="Q677" s="1"/>
      <c r="R677" s="1"/>
      <c r="S677" s="1"/>
      <c r="T677" s="1"/>
      <c r="U677" s="2"/>
      <c r="V677" s="1"/>
      <c r="W677" s="1"/>
      <c r="X677" s="1"/>
      <c r="Y677" s="1"/>
      <c r="Z677" s="1"/>
    </row>
    <row r="678" spans="1:26" ht="24.75" customHeight="1">
      <c r="A678" s="1"/>
      <c r="B678" s="1"/>
      <c r="C678" s="1"/>
      <c r="D678" s="1"/>
      <c r="E678" s="1"/>
      <c r="F678" s="1"/>
      <c r="G678" s="1"/>
      <c r="H678" s="1"/>
      <c r="I678" s="1"/>
      <c r="J678" s="1"/>
      <c r="K678" s="1"/>
      <c r="L678" s="1"/>
      <c r="M678" s="1"/>
      <c r="N678" s="1"/>
      <c r="O678" s="1"/>
      <c r="P678" s="1"/>
      <c r="Q678" s="1"/>
      <c r="R678" s="1"/>
      <c r="S678" s="1"/>
      <c r="T678" s="1"/>
      <c r="U678" s="2"/>
      <c r="V678" s="1"/>
      <c r="W678" s="1"/>
      <c r="X678" s="1"/>
      <c r="Y678" s="1"/>
      <c r="Z678" s="1"/>
    </row>
    <row r="679" spans="1:26" ht="24.75" customHeight="1">
      <c r="A679" s="1"/>
      <c r="B679" s="1"/>
      <c r="C679" s="1"/>
      <c r="D679" s="1"/>
      <c r="E679" s="1"/>
      <c r="F679" s="1"/>
      <c r="G679" s="1"/>
      <c r="H679" s="1"/>
      <c r="I679" s="1"/>
      <c r="J679" s="1"/>
      <c r="K679" s="1"/>
      <c r="L679" s="1"/>
      <c r="M679" s="1"/>
      <c r="N679" s="1"/>
      <c r="O679" s="1"/>
      <c r="P679" s="1"/>
      <c r="Q679" s="1"/>
      <c r="R679" s="1"/>
      <c r="S679" s="1"/>
      <c r="T679" s="1"/>
      <c r="U679" s="2"/>
      <c r="V679" s="1"/>
      <c r="W679" s="1"/>
      <c r="X679" s="1"/>
      <c r="Y679" s="1"/>
      <c r="Z679" s="1"/>
    </row>
    <row r="680" spans="1:26" ht="24.75" customHeight="1">
      <c r="A680" s="1"/>
      <c r="B680" s="1"/>
      <c r="C680" s="1"/>
      <c r="D680" s="1"/>
      <c r="E680" s="1"/>
      <c r="F680" s="1"/>
      <c r="G680" s="1"/>
      <c r="H680" s="1"/>
      <c r="I680" s="1"/>
      <c r="J680" s="1"/>
      <c r="K680" s="1"/>
      <c r="L680" s="1"/>
      <c r="M680" s="1"/>
      <c r="N680" s="1"/>
      <c r="O680" s="1"/>
      <c r="P680" s="1"/>
      <c r="Q680" s="1"/>
      <c r="R680" s="1"/>
      <c r="S680" s="1"/>
      <c r="T680" s="1"/>
      <c r="U680" s="2"/>
      <c r="V680" s="1"/>
      <c r="W680" s="1"/>
      <c r="X680" s="1"/>
      <c r="Y680" s="1"/>
      <c r="Z680" s="1"/>
    </row>
    <row r="681" spans="1:26" ht="24.75" customHeight="1">
      <c r="A681" s="1"/>
      <c r="B681" s="1"/>
      <c r="C681" s="1"/>
      <c r="D681" s="1"/>
      <c r="E681" s="1"/>
      <c r="F681" s="1"/>
      <c r="G681" s="1"/>
      <c r="H681" s="1"/>
      <c r="I681" s="1"/>
      <c r="J681" s="1"/>
      <c r="K681" s="1"/>
      <c r="L681" s="1"/>
      <c r="M681" s="1"/>
      <c r="N681" s="1"/>
      <c r="O681" s="1"/>
      <c r="P681" s="1"/>
      <c r="Q681" s="1"/>
      <c r="R681" s="1"/>
      <c r="S681" s="1"/>
      <c r="T681" s="1"/>
      <c r="U681" s="2"/>
      <c r="V681" s="1"/>
      <c r="W681" s="1"/>
      <c r="X681" s="1"/>
      <c r="Y681" s="1"/>
      <c r="Z681" s="1"/>
    </row>
    <row r="682" spans="1:26" ht="24.75" customHeight="1">
      <c r="A682" s="1"/>
      <c r="B682" s="1"/>
      <c r="C682" s="1"/>
      <c r="D682" s="1"/>
      <c r="E682" s="1"/>
      <c r="F682" s="1"/>
      <c r="G682" s="1"/>
      <c r="H682" s="1"/>
      <c r="I682" s="1"/>
      <c r="J682" s="1"/>
      <c r="K682" s="1"/>
      <c r="L682" s="1"/>
      <c r="M682" s="1"/>
      <c r="N682" s="1"/>
      <c r="O682" s="1"/>
      <c r="P682" s="1"/>
      <c r="Q682" s="1"/>
      <c r="R682" s="1"/>
      <c r="S682" s="1"/>
      <c r="T682" s="1"/>
      <c r="U682" s="2"/>
      <c r="V682" s="1"/>
      <c r="W682" s="1"/>
      <c r="X682" s="1"/>
      <c r="Y682" s="1"/>
      <c r="Z682" s="1"/>
    </row>
    <row r="683" spans="1:26" ht="24.75" customHeight="1">
      <c r="A683" s="1"/>
      <c r="B683" s="1"/>
      <c r="C683" s="1"/>
      <c r="D683" s="1"/>
      <c r="E683" s="1"/>
      <c r="F683" s="1"/>
      <c r="G683" s="1"/>
      <c r="H683" s="1"/>
      <c r="I683" s="1"/>
      <c r="J683" s="1"/>
      <c r="K683" s="1"/>
      <c r="L683" s="1"/>
      <c r="M683" s="1"/>
      <c r="N683" s="1"/>
      <c r="O683" s="1"/>
      <c r="P683" s="1"/>
      <c r="Q683" s="1"/>
      <c r="R683" s="1"/>
      <c r="S683" s="1"/>
      <c r="T683" s="1"/>
      <c r="U683" s="2"/>
      <c r="V683" s="1"/>
      <c r="W683" s="1"/>
      <c r="X683" s="1"/>
      <c r="Y683" s="1"/>
      <c r="Z683" s="1"/>
    </row>
    <row r="684" spans="1:26" ht="24.75" customHeight="1">
      <c r="A684" s="1"/>
      <c r="B684" s="1"/>
      <c r="C684" s="1"/>
      <c r="D684" s="1"/>
      <c r="E684" s="1"/>
      <c r="F684" s="1"/>
      <c r="G684" s="1"/>
      <c r="H684" s="1"/>
      <c r="I684" s="1"/>
      <c r="J684" s="1"/>
      <c r="K684" s="1"/>
      <c r="L684" s="1"/>
      <c r="M684" s="1"/>
      <c r="N684" s="1"/>
      <c r="O684" s="1"/>
      <c r="P684" s="1"/>
      <c r="Q684" s="1"/>
      <c r="R684" s="1"/>
      <c r="S684" s="1"/>
      <c r="T684" s="1"/>
      <c r="U684" s="2"/>
      <c r="V684" s="1"/>
      <c r="W684" s="1"/>
      <c r="X684" s="1"/>
      <c r="Y684" s="1"/>
      <c r="Z684" s="1"/>
    </row>
    <row r="685" spans="1:26" ht="24.75" customHeight="1">
      <c r="A685" s="1"/>
      <c r="B685" s="1"/>
      <c r="C685" s="1"/>
      <c r="D685" s="1"/>
      <c r="E685" s="1"/>
      <c r="F685" s="1"/>
      <c r="G685" s="1"/>
      <c r="H685" s="1"/>
      <c r="I685" s="1"/>
      <c r="J685" s="1"/>
      <c r="K685" s="1"/>
      <c r="L685" s="1"/>
      <c r="M685" s="1"/>
      <c r="N685" s="1"/>
      <c r="O685" s="1"/>
      <c r="P685" s="1"/>
      <c r="Q685" s="1"/>
      <c r="R685" s="1"/>
      <c r="S685" s="1"/>
      <c r="T685" s="1"/>
      <c r="U685" s="2"/>
      <c r="V685" s="1"/>
      <c r="W685" s="1"/>
      <c r="X685" s="1"/>
      <c r="Y685" s="1"/>
      <c r="Z685" s="1"/>
    </row>
    <row r="686" spans="1:26" ht="24.75" customHeight="1">
      <c r="A686" s="1"/>
      <c r="B686" s="1"/>
      <c r="C686" s="1"/>
      <c r="D686" s="1"/>
      <c r="E686" s="1"/>
      <c r="F686" s="1"/>
      <c r="G686" s="1"/>
      <c r="H686" s="1"/>
      <c r="I686" s="1"/>
      <c r="J686" s="1"/>
      <c r="K686" s="1"/>
      <c r="L686" s="1"/>
      <c r="M686" s="1"/>
      <c r="N686" s="1"/>
      <c r="O686" s="1"/>
      <c r="P686" s="1"/>
      <c r="Q686" s="1"/>
      <c r="R686" s="1"/>
      <c r="S686" s="1"/>
      <c r="T686" s="1"/>
      <c r="U686" s="2"/>
      <c r="V686" s="1"/>
      <c r="W686" s="1"/>
      <c r="X686" s="1"/>
      <c r="Y686" s="1"/>
      <c r="Z686" s="1"/>
    </row>
    <row r="687" spans="1:26" ht="24.75" customHeight="1">
      <c r="A687" s="1"/>
      <c r="B687" s="1"/>
      <c r="C687" s="1"/>
      <c r="D687" s="1"/>
      <c r="E687" s="1"/>
      <c r="F687" s="1"/>
      <c r="G687" s="1"/>
      <c r="H687" s="1"/>
      <c r="I687" s="1"/>
      <c r="J687" s="1"/>
      <c r="K687" s="1"/>
      <c r="L687" s="1"/>
      <c r="M687" s="1"/>
      <c r="N687" s="1"/>
      <c r="O687" s="1"/>
      <c r="P687" s="1"/>
      <c r="Q687" s="1"/>
      <c r="R687" s="1"/>
      <c r="S687" s="1"/>
      <c r="T687" s="1"/>
      <c r="U687" s="2"/>
      <c r="V687" s="1"/>
      <c r="W687" s="1"/>
      <c r="X687" s="1"/>
      <c r="Y687" s="1"/>
      <c r="Z687" s="1"/>
    </row>
    <row r="688" spans="1:26" ht="24.75" customHeight="1">
      <c r="A688" s="1"/>
      <c r="B688" s="1"/>
      <c r="C688" s="1"/>
      <c r="D688" s="1"/>
      <c r="E688" s="1"/>
      <c r="F688" s="1"/>
      <c r="G688" s="1"/>
      <c r="H688" s="1"/>
      <c r="I688" s="1"/>
      <c r="J688" s="1"/>
      <c r="K688" s="1"/>
      <c r="L688" s="1"/>
      <c r="M688" s="1"/>
      <c r="N688" s="1"/>
      <c r="O688" s="1"/>
      <c r="P688" s="1"/>
      <c r="Q688" s="1"/>
      <c r="R688" s="1"/>
      <c r="S688" s="1"/>
      <c r="T688" s="1"/>
      <c r="U688" s="2"/>
      <c r="V688" s="1"/>
      <c r="W688" s="1"/>
      <c r="X688" s="1"/>
      <c r="Y688" s="1"/>
      <c r="Z688" s="1"/>
    </row>
    <row r="689" spans="1:26" ht="24.75" customHeight="1">
      <c r="A689" s="1"/>
      <c r="B689" s="1"/>
      <c r="C689" s="1"/>
      <c r="D689" s="1"/>
      <c r="E689" s="1"/>
      <c r="F689" s="1"/>
      <c r="G689" s="1"/>
      <c r="H689" s="1"/>
      <c r="I689" s="1"/>
      <c r="J689" s="1"/>
      <c r="K689" s="1"/>
      <c r="L689" s="1"/>
      <c r="M689" s="1"/>
      <c r="N689" s="1"/>
      <c r="O689" s="1"/>
      <c r="P689" s="1"/>
      <c r="Q689" s="1"/>
      <c r="R689" s="1"/>
      <c r="S689" s="1"/>
      <c r="T689" s="1"/>
      <c r="U689" s="2"/>
      <c r="V689" s="1"/>
      <c r="W689" s="1"/>
      <c r="X689" s="1"/>
      <c r="Y689" s="1"/>
      <c r="Z689" s="1"/>
    </row>
    <row r="690" spans="1:26" ht="24.75" customHeight="1">
      <c r="A690" s="1"/>
      <c r="B690" s="1"/>
      <c r="C690" s="1"/>
      <c r="D690" s="1"/>
      <c r="E690" s="1"/>
      <c r="F690" s="1"/>
      <c r="G690" s="1"/>
      <c r="H690" s="1"/>
      <c r="I690" s="1"/>
      <c r="J690" s="1"/>
      <c r="K690" s="1"/>
      <c r="L690" s="1"/>
      <c r="M690" s="1"/>
      <c r="N690" s="1"/>
      <c r="O690" s="1"/>
      <c r="P690" s="1"/>
      <c r="Q690" s="1"/>
      <c r="R690" s="1"/>
      <c r="S690" s="1"/>
      <c r="T690" s="1"/>
      <c r="U690" s="2"/>
      <c r="V690" s="1"/>
      <c r="W690" s="1"/>
      <c r="X690" s="1"/>
      <c r="Y690" s="1"/>
      <c r="Z690" s="1"/>
    </row>
    <row r="691" spans="1:26" ht="24.75" customHeight="1">
      <c r="A691" s="1"/>
      <c r="B691" s="1"/>
      <c r="C691" s="1"/>
      <c r="D691" s="1"/>
      <c r="E691" s="1"/>
      <c r="F691" s="1"/>
      <c r="G691" s="1"/>
      <c r="H691" s="1"/>
      <c r="I691" s="1"/>
      <c r="J691" s="1"/>
      <c r="K691" s="1"/>
      <c r="L691" s="1"/>
      <c r="M691" s="1"/>
      <c r="N691" s="1"/>
      <c r="O691" s="1"/>
      <c r="P691" s="1"/>
      <c r="Q691" s="1"/>
      <c r="R691" s="1"/>
      <c r="S691" s="1"/>
      <c r="T691" s="1"/>
      <c r="U691" s="2"/>
      <c r="V691" s="1"/>
      <c r="W691" s="1"/>
      <c r="X691" s="1"/>
      <c r="Y691" s="1"/>
      <c r="Z691" s="1"/>
    </row>
    <row r="692" spans="1:26" ht="24.75" customHeight="1">
      <c r="A692" s="1"/>
      <c r="B692" s="1"/>
      <c r="C692" s="1"/>
      <c r="D692" s="1"/>
      <c r="E692" s="1"/>
      <c r="F692" s="1"/>
      <c r="G692" s="1"/>
      <c r="H692" s="1"/>
      <c r="I692" s="1"/>
      <c r="J692" s="1"/>
      <c r="K692" s="1"/>
      <c r="L692" s="1"/>
      <c r="M692" s="1"/>
      <c r="N692" s="1"/>
      <c r="O692" s="1"/>
      <c r="P692" s="1"/>
      <c r="Q692" s="1"/>
      <c r="R692" s="1"/>
      <c r="S692" s="1"/>
      <c r="T692" s="1"/>
      <c r="U692" s="2"/>
      <c r="V692" s="1"/>
      <c r="W692" s="1"/>
      <c r="X692" s="1"/>
      <c r="Y692" s="1"/>
      <c r="Z692" s="1"/>
    </row>
    <row r="693" spans="1:26" ht="24.75" customHeight="1">
      <c r="A693" s="1"/>
      <c r="B693" s="1"/>
      <c r="C693" s="1"/>
      <c r="D693" s="1"/>
      <c r="E693" s="1"/>
      <c r="F693" s="1"/>
      <c r="G693" s="1"/>
      <c r="H693" s="1"/>
      <c r="I693" s="1"/>
      <c r="J693" s="1"/>
      <c r="K693" s="1"/>
      <c r="L693" s="1"/>
      <c r="M693" s="1"/>
      <c r="N693" s="1"/>
      <c r="O693" s="1"/>
      <c r="P693" s="1"/>
      <c r="Q693" s="1"/>
      <c r="R693" s="1"/>
      <c r="S693" s="1"/>
      <c r="T693" s="1"/>
      <c r="U693" s="2"/>
      <c r="V693" s="1"/>
      <c r="W693" s="1"/>
      <c r="X693" s="1"/>
      <c r="Y693" s="1"/>
      <c r="Z693" s="1"/>
    </row>
    <row r="694" spans="1:26" ht="24.75" customHeight="1">
      <c r="A694" s="1"/>
      <c r="B694" s="1"/>
      <c r="C694" s="1"/>
      <c r="D694" s="1"/>
      <c r="E694" s="1"/>
      <c r="F694" s="1"/>
      <c r="G694" s="1"/>
      <c r="H694" s="1"/>
      <c r="I694" s="1"/>
      <c r="J694" s="1"/>
      <c r="K694" s="1"/>
      <c r="L694" s="1"/>
      <c r="M694" s="1"/>
      <c r="N694" s="1"/>
      <c r="O694" s="1"/>
      <c r="P694" s="1"/>
      <c r="Q694" s="1"/>
      <c r="R694" s="1"/>
      <c r="S694" s="1"/>
      <c r="T694" s="1"/>
      <c r="U694" s="2"/>
      <c r="V694" s="1"/>
      <c r="W694" s="1"/>
      <c r="X694" s="1"/>
      <c r="Y694" s="1"/>
      <c r="Z694" s="1"/>
    </row>
    <row r="695" spans="1:26" ht="24.75" customHeight="1">
      <c r="A695" s="1"/>
      <c r="B695" s="1"/>
      <c r="C695" s="1"/>
      <c r="D695" s="1"/>
      <c r="E695" s="1"/>
      <c r="F695" s="1"/>
      <c r="G695" s="1"/>
      <c r="H695" s="1"/>
      <c r="I695" s="1"/>
      <c r="J695" s="1"/>
      <c r="K695" s="1"/>
      <c r="L695" s="1"/>
      <c r="M695" s="1"/>
      <c r="N695" s="1"/>
      <c r="O695" s="1"/>
      <c r="P695" s="1"/>
      <c r="Q695" s="1"/>
      <c r="R695" s="1"/>
      <c r="S695" s="1"/>
      <c r="T695" s="1"/>
      <c r="U695" s="2"/>
      <c r="V695" s="1"/>
      <c r="W695" s="1"/>
      <c r="X695" s="1"/>
      <c r="Y695" s="1"/>
      <c r="Z695" s="1"/>
    </row>
    <row r="696" spans="1:26" ht="24.75" customHeight="1">
      <c r="A696" s="1"/>
      <c r="B696" s="1"/>
      <c r="C696" s="1"/>
      <c r="D696" s="1"/>
      <c r="E696" s="1"/>
      <c r="F696" s="1"/>
      <c r="G696" s="1"/>
      <c r="H696" s="1"/>
      <c r="I696" s="1"/>
      <c r="J696" s="1"/>
      <c r="K696" s="1"/>
      <c r="L696" s="1"/>
      <c r="M696" s="1"/>
      <c r="N696" s="1"/>
      <c r="O696" s="1"/>
      <c r="P696" s="1"/>
      <c r="Q696" s="1"/>
      <c r="R696" s="1"/>
      <c r="S696" s="1"/>
      <c r="T696" s="1"/>
      <c r="U696" s="2"/>
      <c r="V696" s="1"/>
      <c r="W696" s="1"/>
      <c r="X696" s="1"/>
      <c r="Y696" s="1"/>
      <c r="Z696" s="1"/>
    </row>
    <row r="697" spans="1:26" ht="24.75" customHeight="1">
      <c r="A697" s="1"/>
      <c r="B697" s="1"/>
      <c r="C697" s="1"/>
      <c r="D697" s="1"/>
      <c r="E697" s="1"/>
      <c r="F697" s="1"/>
      <c r="G697" s="1"/>
      <c r="H697" s="1"/>
      <c r="I697" s="1"/>
      <c r="J697" s="1"/>
      <c r="K697" s="1"/>
      <c r="L697" s="1"/>
      <c r="M697" s="1"/>
      <c r="N697" s="1"/>
      <c r="O697" s="1"/>
      <c r="P697" s="1"/>
      <c r="Q697" s="1"/>
      <c r="R697" s="1"/>
      <c r="S697" s="1"/>
      <c r="T697" s="1"/>
      <c r="U697" s="2"/>
      <c r="V697" s="1"/>
      <c r="W697" s="1"/>
      <c r="X697" s="1"/>
      <c r="Y697" s="1"/>
      <c r="Z697" s="1"/>
    </row>
    <row r="698" spans="1:26" ht="24.75" customHeight="1">
      <c r="A698" s="1"/>
      <c r="B698" s="1"/>
      <c r="C698" s="1"/>
      <c r="D698" s="1"/>
      <c r="E698" s="1"/>
      <c r="F698" s="1"/>
      <c r="G698" s="1"/>
      <c r="H698" s="1"/>
      <c r="I698" s="1"/>
      <c r="J698" s="1"/>
      <c r="K698" s="1"/>
      <c r="L698" s="1"/>
      <c r="M698" s="1"/>
      <c r="N698" s="1"/>
      <c r="O698" s="1"/>
      <c r="P698" s="1"/>
      <c r="Q698" s="1"/>
      <c r="R698" s="1"/>
      <c r="S698" s="1"/>
      <c r="T698" s="1"/>
      <c r="U698" s="2"/>
      <c r="V698" s="1"/>
      <c r="W698" s="1"/>
      <c r="X698" s="1"/>
      <c r="Y698" s="1"/>
      <c r="Z698" s="1"/>
    </row>
    <row r="699" spans="1:26" ht="24.75" customHeight="1">
      <c r="A699" s="1"/>
      <c r="B699" s="1"/>
      <c r="C699" s="1"/>
      <c r="D699" s="1"/>
      <c r="E699" s="1"/>
      <c r="F699" s="1"/>
      <c r="G699" s="1"/>
      <c r="H699" s="1"/>
      <c r="I699" s="1"/>
      <c r="J699" s="1"/>
      <c r="K699" s="1"/>
      <c r="L699" s="1"/>
      <c r="M699" s="1"/>
      <c r="N699" s="1"/>
      <c r="O699" s="1"/>
      <c r="P699" s="1"/>
      <c r="Q699" s="1"/>
      <c r="R699" s="1"/>
      <c r="S699" s="1"/>
      <c r="T699" s="1"/>
      <c r="U699" s="2"/>
      <c r="V699" s="1"/>
      <c r="W699" s="1"/>
      <c r="X699" s="1"/>
      <c r="Y699" s="1"/>
      <c r="Z699" s="1"/>
    </row>
    <row r="700" spans="1:26" ht="24.75" customHeight="1">
      <c r="A700" s="1"/>
      <c r="B700" s="1"/>
      <c r="C700" s="1"/>
      <c r="D700" s="1"/>
      <c r="E700" s="1"/>
      <c r="F700" s="1"/>
      <c r="G700" s="1"/>
      <c r="H700" s="1"/>
      <c r="I700" s="1"/>
      <c r="J700" s="1"/>
      <c r="K700" s="1"/>
      <c r="L700" s="1"/>
      <c r="M700" s="1"/>
      <c r="N700" s="1"/>
      <c r="O700" s="1"/>
      <c r="P700" s="1"/>
      <c r="Q700" s="1"/>
      <c r="R700" s="1"/>
      <c r="S700" s="1"/>
      <c r="T700" s="1"/>
      <c r="U700" s="2"/>
      <c r="V700" s="1"/>
      <c r="W700" s="1"/>
      <c r="X700" s="1"/>
      <c r="Y700" s="1"/>
      <c r="Z700" s="1"/>
    </row>
    <row r="701" spans="1:26" ht="24.75" customHeight="1">
      <c r="A701" s="1"/>
      <c r="B701" s="1"/>
      <c r="C701" s="1"/>
      <c r="D701" s="1"/>
      <c r="E701" s="1"/>
      <c r="F701" s="1"/>
      <c r="G701" s="1"/>
      <c r="H701" s="1"/>
      <c r="I701" s="1"/>
      <c r="J701" s="1"/>
      <c r="K701" s="1"/>
      <c r="L701" s="1"/>
      <c r="M701" s="1"/>
      <c r="N701" s="1"/>
      <c r="O701" s="1"/>
      <c r="P701" s="1"/>
      <c r="Q701" s="1"/>
      <c r="R701" s="1"/>
      <c r="S701" s="1"/>
      <c r="T701" s="1"/>
      <c r="U701" s="2"/>
      <c r="V701" s="1"/>
      <c r="W701" s="1"/>
      <c r="X701" s="1"/>
      <c r="Y701" s="1"/>
      <c r="Z701" s="1"/>
    </row>
    <row r="702" spans="1:26" ht="24.75" customHeight="1">
      <c r="A702" s="1"/>
      <c r="B702" s="1"/>
      <c r="C702" s="1"/>
      <c r="D702" s="1"/>
      <c r="E702" s="1"/>
      <c r="F702" s="1"/>
      <c r="G702" s="1"/>
      <c r="H702" s="1"/>
      <c r="I702" s="1"/>
      <c r="J702" s="1"/>
      <c r="K702" s="1"/>
      <c r="L702" s="1"/>
      <c r="M702" s="1"/>
      <c r="N702" s="1"/>
      <c r="O702" s="1"/>
      <c r="P702" s="1"/>
      <c r="Q702" s="1"/>
      <c r="R702" s="1"/>
      <c r="S702" s="1"/>
      <c r="T702" s="1"/>
      <c r="U702" s="2"/>
      <c r="V702" s="1"/>
      <c r="W702" s="1"/>
      <c r="X702" s="1"/>
      <c r="Y702" s="1"/>
      <c r="Z702" s="1"/>
    </row>
    <row r="703" spans="1:26" ht="24.75" customHeight="1">
      <c r="A703" s="1"/>
      <c r="B703" s="1"/>
      <c r="C703" s="1"/>
      <c r="D703" s="1"/>
      <c r="E703" s="1"/>
      <c r="F703" s="1"/>
      <c r="G703" s="1"/>
      <c r="H703" s="1"/>
      <c r="I703" s="1"/>
      <c r="J703" s="1"/>
      <c r="K703" s="1"/>
      <c r="L703" s="1"/>
      <c r="M703" s="1"/>
      <c r="N703" s="1"/>
      <c r="O703" s="1"/>
      <c r="P703" s="1"/>
      <c r="Q703" s="1"/>
      <c r="R703" s="1"/>
      <c r="S703" s="1"/>
      <c r="T703" s="1"/>
      <c r="U703" s="2"/>
      <c r="V703" s="1"/>
      <c r="W703" s="1"/>
      <c r="X703" s="1"/>
      <c r="Y703" s="1"/>
      <c r="Z703" s="1"/>
    </row>
    <row r="704" spans="1:26" ht="24.75" customHeight="1">
      <c r="A704" s="1"/>
      <c r="B704" s="1"/>
      <c r="C704" s="1"/>
      <c r="D704" s="1"/>
      <c r="E704" s="1"/>
      <c r="F704" s="1"/>
      <c r="G704" s="1"/>
      <c r="H704" s="1"/>
      <c r="I704" s="1"/>
      <c r="J704" s="1"/>
      <c r="K704" s="1"/>
      <c r="L704" s="1"/>
      <c r="M704" s="1"/>
      <c r="N704" s="1"/>
      <c r="O704" s="1"/>
      <c r="P704" s="1"/>
      <c r="Q704" s="1"/>
      <c r="R704" s="1"/>
      <c r="S704" s="1"/>
      <c r="T704" s="1"/>
      <c r="U704" s="2"/>
      <c r="V704" s="1"/>
      <c r="W704" s="1"/>
      <c r="X704" s="1"/>
      <c r="Y704" s="1"/>
      <c r="Z704" s="1"/>
    </row>
    <row r="705" spans="1:26" ht="24.75" customHeight="1">
      <c r="A705" s="1"/>
      <c r="B705" s="1"/>
      <c r="C705" s="1"/>
      <c r="D705" s="1"/>
      <c r="E705" s="1"/>
      <c r="F705" s="1"/>
      <c r="G705" s="1"/>
      <c r="H705" s="1"/>
      <c r="I705" s="1"/>
      <c r="J705" s="1"/>
      <c r="K705" s="1"/>
      <c r="L705" s="1"/>
      <c r="M705" s="1"/>
      <c r="N705" s="1"/>
      <c r="O705" s="1"/>
      <c r="P705" s="1"/>
      <c r="Q705" s="1"/>
      <c r="R705" s="1"/>
      <c r="S705" s="1"/>
      <c r="T705" s="1"/>
      <c r="U705" s="2"/>
      <c r="V705" s="1"/>
      <c r="W705" s="1"/>
      <c r="X705" s="1"/>
      <c r="Y705" s="1"/>
      <c r="Z705" s="1"/>
    </row>
    <row r="706" spans="1:26" ht="24.75" customHeight="1">
      <c r="A706" s="1"/>
      <c r="B706" s="1"/>
      <c r="C706" s="1"/>
      <c r="D706" s="1"/>
      <c r="E706" s="1"/>
      <c r="F706" s="1"/>
      <c r="G706" s="1"/>
      <c r="H706" s="1"/>
      <c r="I706" s="1"/>
      <c r="J706" s="1"/>
      <c r="K706" s="1"/>
      <c r="L706" s="1"/>
      <c r="M706" s="1"/>
      <c r="N706" s="1"/>
      <c r="O706" s="1"/>
      <c r="P706" s="1"/>
      <c r="Q706" s="1"/>
      <c r="R706" s="1"/>
      <c r="S706" s="1"/>
      <c r="T706" s="1"/>
      <c r="U706" s="2"/>
      <c r="V706" s="1"/>
      <c r="W706" s="1"/>
      <c r="X706" s="1"/>
      <c r="Y706" s="1"/>
      <c r="Z706" s="1"/>
    </row>
    <row r="707" spans="1:26" ht="24.75" customHeight="1">
      <c r="A707" s="1"/>
      <c r="B707" s="1"/>
      <c r="C707" s="1"/>
      <c r="D707" s="1"/>
      <c r="E707" s="1"/>
      <c r="F707" s="1"/>
      <c r="G707" s="1"/>
      <c r="H707" s="1"/>
      <c r="I707" s="1"/>
      <c r="J707" s="1"/>
      <c r="K707" s="1"/>
      <c r="L707" s="1"/>
      <c r="M707" s="1"/>
      <c r="N707" s="1"/>
      <c r="O707" s="1"/>
      <c r="P707" s="1"/>
      <c r="Q707" s="1"/>
      <c r="R707" s="1"/>
      <c r="S707" s="1"/>
      <c r="T707" s="1"/>
      <c r="U707" s="2"/>
      <c r="V707" s="1"/>
      <c r="W707" s="1"/>
      <c r="X707" s="1"/>
      <c r="Y707" s="1"/>
      <c r="Z707" s="1"/>
    </row>
    <row r="708" spans="1:26" ht="24.75" customHeight="1">
      <c r="A708" s="1"/>
      <c r="B708" s="1"/>
      <c r="C708" s="1"/>
      <c r="D708" s="1"/>
      <c r="E708" s="1"/>
      <c r="F708" s="1"/>
      <c r="G708" s="1"/>
      <c r="H708" s="1"/>
      <c r="I708" s="1"/>
      <c r="J708" s="1"/>
      <c r="K708" s="1"/>
      <c r="L708" s="1"/>
      <c r="M708" s="1"/>
      <c r="N708" s="1"/>
      <c r="O708" s="1"/>
      <c r="P708" s="1"/>
      <c r="Q708" s="1"/>
      <c r="R708" s="1"/>
      <c r="S708" s="1"/>
      <c r="T708" s="1"/>
      <c r="U708" s="2"/>
      <c r="V708" s="1"/>
      <c r="W708" s="1"/>
      <c r="X708" s="1"/>
      <c r="Y708" s="1"/>
      <c r="Z708" s="1"/>
    </row>
    <row r="709" spans="1:26" ht="24.75" customHeight="1">
      <c r="A709" s="1"/>
      <c r="B709" s="1"/>
      <c r="C709" s="1"/>
      <c r="D709" s="1"/>
      <c r="E709" s="1"/>
      <c r="F709" s="1"/>
      <c r="G709" s="1"/>
      <c r="H709" s="1"/>
      <c r="I709" s="1"/>
      <c r="J709" s="1"/>
      <c r="K709" s="1"/>
      <c r="L709" s="1"/>
      <c r="M709" s="1"/>
      <c r="N709" s="1"/>
      <c r="O709" s="1"/>
      <c r="P709" s="1"/>
      <c r="Q709" s="1"/>
      <c r="R709" s="1"/>
      <c r="S709" s="1"/>
      <c r="T709" s="1"/>
      <c r="U709" s="2"/>
      <c r="V709" s="1"/>
      <c r="W709" s="1"/>
      <c r="X709" s="1"/>
      <c r="Y709" s="1"/>
      <c r="Z709" s="1"/>
    </row>
    <row r="710" spans="1:26" ht="24.75" customHeight="1">
      <c r="A710" s="1"/>
      <c r="B710" s="1"/>
      <c r="C710" s="1"/>
      <c r="D710" s="1"/>
      <c r="E710" s="1"/>
      <c r="F710" s="1"/>
      <c r="G710" s="1"/>
      <c r="H710" s="1"/>
      <c r="I710" s="1"/>
      <c r="J710" s="1"/>
      <c r="K710" s="1"/>
      <c r="L710" s="1"/>
      <c r="M710" s="1"/>
      <c r="N710" s="1"/>
      <c r="O710" s="1"/>
      <c r="P710" s="1"/>
      <c r="Q710" s="1"/>
      <c r="R710" s="1"/>
      <c r="S710" s="1"/>
      <c r="T710" s="1"/>
      <c r="U710" s="2"/>
      <c r="V710" s="1"/>
      <c r="W710" s="1"/>
      <c r="X710" s="1"/>
      <c r="Y710" s="1"/>
      <c r="Z710" s="1"/>
    </row>
    <row r="711" spans="1:26" ht="24.75" customHeight="1">
      <c r="A711" s="1"/>
      <c r="B711" s="1"/>
      <c r="C711" s="1"/>
      <c r="D711" s="1"/>
      <c r="E711" s="1"/>
      <c r="F711" s="1"/>
      <c r="G711" s="1"/>
      <c r="H711" s="1"/>
      <c r="I711" s="1"/>
      <c r="J711" s="1"/>
      <c r="K711" s="1"/>
      <c r="L711" s="1"/>
      <c r="M711" s="1"/>
      <c r="N711" s="1"/>
      <c r="O711" s="1"/>
      <c r="P711" s="1"/>
      <c r="Q711" s="1"/>
      <c r="R711" s="1"/>
      <c r="S711" s="1"/>
      <c r="T711" s="1"/>
      <c r="U711" s="2"/>
      <c r="V711" s="1"/>
      <c r="W711" s="1"/>
      <c r="X711" s="1"/>
      <c r="Y711" s="1"/>
      <c r="Z711" s="1"/>
    </row>
    <row r="712" spans="1:26" ht="24.75" customHeight="1">
      <c r="A712" s="1"/>
      <c r="B712" s="1"/>
      <c r="C712" s="1"/>
      <c r="D712" s="1"/>
      <c r="E712" s="1"/>
      <c r="F712" s="1"/>
      <c r="G712" s="1"/>
      <c r="H712" s="1"/>
      <c r="I712" s="1"/>
      <c r="J712" s="1"/>
      <c r="K712" s="1"/>
      <c r="L712" s="1"/>
      <c r="M712" s="1"/>
      <c r="N712" s="1"/>
      <c r="O712" s="1"/>
      <c r="P712" s="1"/>
      <c r="Q712" s="1"/>
      <c r="R712" s="1"/>
      <c r="S712" s="1"/>
      <c r="T712" s="1"/>
      <c r="U712" s="2"/>
      <c r="V712" s="1"/>
      <c r="W712" s="1"/>
      <c r="X712" s="1"/>
      <c r="Y712" s="1"/>
      <c r="Z712" s="1"/>
    </row>
    <row r="713" spans="1:26" ht="24.75" customHeight="1">
      <c r="A713" s="1"/>
      <c r="B713" s="1"/>
      <c r="C713" s="1"/>
      <c r="D713" s="1"/>
      <c r="E713" s="1"/>
      <c r="F713" s="1"/>
      <c r="G713" s="1"/>
      <c r="H713" s="1"/>
      <c r="I713" s="1"/>
      <c r="J713" s="1"/>
      <c r="K713" s="1"/>
      <c r="L713" s="1"/>
      <c r="M713" s="1"/>
      <c r="N713" s="1"/>
      <c r="O713" s="1"/>
      <c r="P713" s="1"/>
      <c r="Q713" s="1"/>
      <c r="R713" s="1"/>
      <c r="S713" s="1"/>
      <c r="T713" s="1"/>
      <c r="U713" s="2"/>
      <c r="V713" s="1"/>
      <c r="W713" s="1"/>
      <c r="X713" s="1"/>
      <c r="Y713" s="1"/>
      <c r="Z713" s="1"/>
    </row>
    <row r="714" spans="1:26" ht="24.75" customHeight="1">
      <c r="A714" s="1"/>
      <c r="B714" s="1"/>
      <c r="C714" s="1"/>
      <c r="D714" s="1"/>
      <c r="E714" s="1"/>
      <c r="F714" s="1"/>
      <c r="G714" s="1"/>
      <c r="H714" s="1"/>
      <c r="I714" s="1"/>
      <c r="J714" s="1"/>
      <c r="K714" s="1"/>
      <c r="L714" s="1"/>
      <c r="M714" s="1"/>
      <c r="N714" s="1"/>
      <c r="O714" s="1"/>
      <c r="P714" s="1"/>
      <c r="Q714" s="1"/>
      <c r="R714" s="1"/>
      <c r="S714" s="1"/>
      <c r="T714" s="1"/>
      <c r="U714" s="2"/>
      <c r="V714" s="1"/>
      <c r="W714" s="1"/>
      <c r="X714" s="1"/>
      <c r="Y714" s="1"/>
      <c r="Z714" s="1"/>
    </row>
    <row r="715" spans="1:26" ht="24.75" customHeight="1">
      <c r="A715" s="1"/>
      <c r="B715" s="1"/>
      <c r="C715" s="1"/>
      <c r="D715" s="1"/>
      <c r="E715" s="1"/>
      <c r="F715" s="1"/>
      <c r="G715" s="1"/>
      <c r="H715" s="1"/>
      <c r="I715" s="1"/>
      <c r="J715" s="1"/>
      <c r="K715" s="1"/>
      <c r="L715" s="1"/>
      <c r="M715" s="1"/>
      <c r="N715" s="1"/>
      <c r="O715" s="1"/>
      <c r="P715" s="1"/>
      <c r="Q715" s="1"/>
      <c r="R715" s="1"/>
      <c r="S715" s="1"/>
      <c r="T715" s="1"/>
      <c r="U715" s="2"/>
      <c r="V715" s="1"/>
      <c r="W715" s="1"/>
      <c r="X715" s="1"/>
      <c r="Y715" s="1"/>
      <c r="Z715" s="1"/>
    </row>
    <row r="716" spans="1:26" ht="24.75" customHeight="1">
      <c r="A716" s="1"/>
      <c r="B716" s="1"/>
      <c r="C716" s="1"/>
      <c r="D716" s="1"/>
      <c r="E716" s="1"/>
      <c r="F716" s="1"/>
      <c r="G716" s="1"/>
      <c r="H716" s="1"/>
      <c r="I716" s="1"/>
      <c r="J716" s="1"/>
      <c r="K716" s="1"/>
      <c r="L716" s="1"/>
      <c r="M716" s="1"/>
      <c r="N716" s="1"/>
      <c r="O716" s="1"/>
      <c r="P716" s="1"/>
      <c r="Q716" s="1"/>
      <c r="R716" s="1"/>
      <c r="S716" s="1"/>
      <c r="T716" s="1"/>
      <c r="U716" s="2"/>
      <c r="V716" s="1"/>
      <c r="W716" s="1"/>
      <c r="X716" s="1"/>
      <c r="Y716" s="1"/>
      <c r="Z716" s="1"/>
    </row>
    <row r="717" spans="1:26" ht="24.75" customHeight="1">
      <c r="A717" s="1"/>
      <c r="B717" s="1"/>
      <c r="C717" s="1"/>
      <c r="D717" s="1"/>
      <c r="E717" s="1"/>
      <c r="F717" s="1"/>
      <c r="G717" s="1"/>
      <c r="H717" s="1"/>
      <c r="I717" s="1"/>
      <c r="J717" s="1"/>
      <c r="K717" s="1"/>
      <c r="L717" s="1"/>
      <c r="M717" s="1"/>
      <c r="N717" s="1"/>
      <c r="O717" s="1"/>
      <c r="P717" s="1"/>
      <c r="Q717" s="1"/>
      <c r="R717" s="1"/>
      <c r="S717" s="1"/>
      <c r="T717" s="1"/>
      <c r="U717" s="2"/>
      <c r="V717" s="1"/>
      <c r="W717" s="1"/>
      <c r="X717" s="1"/>
      <c r="Y717" s="1"/>
      <c r="Z717" s="1"/>
    </row>
    <row r="718" spans="1:26" ht="24.75" customHeight="1">
      <c r="A718" s="1"/>
      <c r="B718" s="1"/>
      <c r="C718" s="1"/>
      <c r="D718" s="1"/>
      <c r="E718" s="1"/>
      <c r="F718" s="1"/>
      <c r="G718" s="1"/>
      <c r="H718" s="1"/>
      <c r="I718" s="1"/>
      <c r="J718" s="1"/>
      <c r="K718" s="1"/>
      <c r="L718" s="1"/>
      <c r="M718" s="1"/>
      <c r="N718" s="1"/>
      <c r="O718" s="1"/>
      <c r="P718" s="1"/>
      <c r="Q718" s="1"/>
      <c r="R718" s="1"/>
      <c r="S718" s="1"/>
      <c r="T718" s="1"/>
      <c r="U718" s="2"/>
      <c r="V718" s="1"/>
      <c r="W718" s="1"/>
      <c r="X718" s="1"/>
      <c r="Y718" s="1"/>
      <c r="Z718" s="1"/>
    </row>
    <row r="719" spans="1:26" ht="24.75" customHeight="1">
      <c r="A719" s="1"/>
      <c r="B719" s="1"/>
      <c r="C719" s="1"/>
      <c r="D719" s="1"/>
      <c r="E719" s="1"/>
      <c r="F719" s="1"/>
      <c r="G719" s="1"/>
      <c r="H719" s="1"/>
      <c r="I719" s="1"/>
      <c r="J719" s="1"/>
      <c r="K719" s="1"/>
      <c r="L719" s="1"/>
      <c r="M719" s="1"/>
      <c r="N719" s="1"/>
      <c r="O719" s="1"/>
      <c r="P719" s="1"/>
      <c r="Q719" s="1"/>
      <c r="R719" s="1"/>
      <c r="S719" s="1"/>
      <c r="T719" s="1"/>
      <c r="U719" s="2"/>
      <c r="V719" s="1"/>
      <c r="W719" s="1"/>
      <c r="X719" s="1"/>
      <c r="Y719" s="1"/>
      <c r="Z719" s="1"/>
    </row>
    <row r="720" spans="1:26" ht="24.75" customHeight="1">
      <c r="A720" s="1"/>
      <c r="B720" s="1"/>
      <c r="C720" s="1"/>
      <c r="D720" s="1"/>
      <c r="E720" s="1"/>
      <c r="F720" s="1"/>
      <c r="G720" s="1"/>
      <c r="H720" s="1"/>
      <c r="I720" s="1"/>
      <c r="J720" s="1"/>
      <c r="K720" s="1"/>
      <c r="L720" s="1"/>
      <c r="M720" s="1"/>
      <c r="N720" s="1"/>
      <c r="O720" s="1"/>
      <c r="P720" s="1"/>
      <c r="Q720" s="1"/>
      <c r="R720" s="1"/>
      <c r="S720" s="1"/>
      <c r="T720" s="1"/>
      <c r="U720" s="2"/>
      <c r="V720" s="1"/>
      <c r="W720" s="1"/>
      <c r="X720" s="1"/>
      <c r="Y720" s="1"/>
      <c r="Z720" s="1"/>
    </row>
    <row r="721" spans="1:26" ht="24.75" customHeight="1">
      <c r="A721" s="1"/>
      <c r="B721" s="1"/>
      <c r="C721" s="1"/>
      <c r="D721" s="1"/>
      <c r="E721" s="1"/>
      <c r="F721" s="1"/>
      <c r="G721" s="1"/>
      <c r="H721" s="1"/>
      <c r="I721" s="1"/>
      <c r="J721" s="1"/>
      <c r="K721" s="1"/>
      <c r="L721" s="1"/>
      <c r="M721" s="1"/>
      <c r="N721" s="1"/>
      <c r="O721" s="1"/>
      <c r="P721" s="1"/>
      <c r="Q721" s="1"/>
      <c r="R721" s="1"/>
      <c r="S721" s="1"/>
      <c r="T721" s="1"/>
      <c r="U721" s="2"/>
      <c r="V721" s="1"/>
      <c r="W721" s="1"/>
      <c r="X721" s="1"/>
      <c r="Y721" s="1"/>
      <c r="Z721" s="1"/>
    </row>
    <row r="722" spans="1:26" ht="24.75" customHeight="1">
      <c r="A722" s="1"/>
      <c r="B722" s="1"/>
      <c r="C722" s="1"/>
      <c r="D722" s="1"/>
      <c r="E722" s="1"/>
      <c r="F722" s="1"/>
      <c r="G722" s="1"/>
      <c r="H722" s="1"/>
      <c r="I722" s="1"/>
      <c r="J722" s="1"/>
      <c r="K722" s="1"/>
      <c r="L722" s="1"/>
      <c r="M722" s="1"/>
      <c r="N722" s="1"/>
      <c r="O722" s="1"/>
      <c r="P722" s="1"/>
      <c r="Q722" s="1"/>
      <c r="R722" s="1"/>
      <c r="S722" s="1"/>
      <c r="T722" s="1"/>
      <c r="U722" s="2"/>
      <c r="V722" s="1"/>
      <c r="W722" s="1"/>
      <c r="X722" s="1"/>
      <c r="Y722" s="1"/>
      <c r="Z722" s="1"/>
    </row>
    <row r="723" spans="1:26" ht="24.75" customHeight="1">
      <c r="A723" s="1"/>
      <c r="B723" s="1"/>
      <c r="C723" s="1"/>
      <c r="D723" s="1"/>
      <c r="E723" s="1"/>
      <c r="F723" s="1"/>
      <c r="G723" s="1"/>
      <c r="H723" s="1"/>
      <c r="I723" s="1"/>
      <c r="J723" s="1"/>
      <c r="K723" s="1"/>
      <c r="L723" s="1"/>
      <c r="M723" s="1"/>
      <c r="N723" s="1"/>
      <c r="O723" s="1"/>
      <c r="P723" s="1"/>
      <c r="Q723" s="1"/>
      <c r="R723" s="1"/>
      <c r="S723" s="1"/>
      <c r="T723" s="1"/>
      <c r="U723" s="2"/>
      <c r="V723" s="1"/>
      <c r="W723" s="1"/>
      <c r="X723" s="1"/>
      <c r="Y723" s="1"/>
      <c r="Z723" s="1"/>
    </row>
    <row r="724" spans="1:26" ht="24.75" customHeight="1">
      <c r="A724" s="1"/>
      <c r="B724" s="1"/>
      <c r="C724" s="1"/>
      <c r="D724" s="1"/>
      <c r="E724" s="1"/>
      <c r="F724" s="1"/>
      <c r="G724" s="1"/>
      <c r="H724" s="1"/>
      <c r="I724" s="1"/>
      <c r="J724" s="1"/>
      <c r="K724" s="1"/>
      <c r="L724" s="1"/>
      <c r="M724" s="1"/>
      <c r="N724" s="1"/>
      <c r="O724" s="1"/>
      <c r="P724" s="1"/>
      <c r="Q724" s="1"/>
      <c r="R724" s="1"/>
      <c r="S724" s="1"/>
      <c r="T724" s="1"/>
      <c r="U724" s="2"/>
      <c r="V724" s="1"/>
      <c r="W724" s="1"/>
      <c r="X724" s="1"/>
      <c r="Y724" s="1"/>
      <c r="Z724" s="1"/>
    </row>
    <row r="725" spans="1:26" ht="24.75" customHeight="1">
      <c r="A725" s="1"/>
      <c r="B725" s="1"/>
      <c r="C725" s="1"/>
      <c r="D725" s="1"/>
      <c r="E725" s="1"/>
      <c r="F725" s="1"/>
      <c r="G725" s="1"/>
      <c r="H725" s="1"/>
      <c r="I725" s="1"/>
      <c r="J725" s="1"/>
      <c r="K725" s="1"/>
      <c r="L725" s="1"/>
      <c r="M725" s="1"/>
      <c r="N725" s="1"/>
      <c r="O725" s="1"/>
      <c r="P725" s="1"/>
      <c r="Q725" s="1"/>
      <c r="R725" s="1"/>
      <c r="S725" s="1"/>
      <c r="T725" s="1"/>
      <c r="U725" s="2"/>
      <c r="V725" s="1"/>
      <c r="W725" s="1"/>
      <c r="X725" s="1"/>
      <c r="Y725" s="1"/>
      <c r="Z725" s="1"/>
    </row>
    <row r="726" spans="1:26" ht="24.75" customHeight="1">
      <c r="A726" s="1"/>
      <c r="B726" s="1"/>
      <c r="C726" s="1"/>
      <c r="D726" s="1"/>
      <c r="E726" s="1"/>
      <c r="F726" s="1"/>
      <c r="G726" s="1"/>
      <c r="H726" s="1"/>
      <c r="I726" s="1"/>
      <c r="J726" s="1"/>
      <c r="K726" s="1"/>
      <c r="L726" s="1"/>
      <c r="M726" s="1"/>
      <c r="N726" s="1"/>
      <c r="O726" s="1"/>
      <c r="P726" s="1"/>
      <c r="Q726" s="1"/>
      <c r="R726" s="1"/>
      <c r="S726" s="1"/>
      <c r="T726" s="1"/>
      <c r="U726" s="2"/>
      <c r="V726" s="1"/>
      <c r="W726" s="1"/>
      <c r="X726" s="1"/>
      <c r="Y726" s="1"/>
      <c r="Z726" s="1"/>
    </row>
    <row r="727" spans="1:26" ht="24.75" customHeight="1">
      <c r="A727" s="1"/>
      <c r="B727" s="1"/>
      <c r="C727" s="1"/>
      <c r="D727" s="1"/>
      <c r="E727" s="1"/>
      <c r="F727" s="1"/>
      <c r="G727" s="1"/>
      <c r="H727" s="1"/>
      <c r="I727" s="1"/>
      <c r="J727" s="1"/>
      <c r="K727" s="1"/>
      <c r="L727" s="1"/>
      <c r="M727" s="1"/>
      <c r="N727" s="1"/>
      <c r="O727" s="1"/>
      <c r="P727" s="1"/>
      <c r="Q727" s="1"/>
      <c r="R727" s="1"/>
      <c r="S727" s="1"/>
      <c r="T727" s="1"/>
      <c r="U727" s="2"/>
      <c r="V727" s="1"/>
      <c r="W727" s="1"/>
      <c r="X727" s="1"/>
      <c r="Y727" s="1"/>
      <c r="Z727" s="1"/>
    </row>
    <row r="728" spans="1:26" ht="24.75" customHeight="1">
      <c r="A728" s="1"/>
      <c r="B728" s="1"/>
      <c r="C728" s="1"/>
      <c r="D728" s="1"/>
      <c r="E728" s="1"/>
      <c r="F728" s="1"/>
      <c r="G728" s="1"/>
      <c r="H728" s="1"/>
      <c r="I728" s="1"/>
      <c r="J728" s="1"/>
      <c r="K728" s="1"/>
      <c r="L728" s="1"/>
      <c r="M728" s="1"/>
      <c r="N728" s="1"/>
      <c r="O728" s="1"/>
      <c r="P728" s="1"/>
      <c r="Q728" s="1"/>
      <c r="R728" s="1"/>
      <c r="S728" s="1"/>
      <c r="T728" s="1"/>
      <c r="U728" s="2"/>
      <c r="V728" s="1"/>
      <c r="W728" s="1"/>
      <c r="X728" s="1"/>
      <c r="Y728" s="1"/>
      <c r="Z728" s="1"/>
    </row>
    <row r="729" spans="1:26" ht="24.75" customHeight="1">
      <c r="A729" s="1"/>
      <c r="B729" s="1"/>
      <c r="C729" s="1"/>
      <c r="D729" s="1"/>
      <c r="E729" s="1"/>
      <c r="F729" s="1"/>
      <c r="G729" s="1"/>
      <c r="H729" s="1"/>
      <c r="I729" s="1"/>
      <c r="J729" s="1"/>
      <c r="K729" s="1"/>
      <c r="L729" s="1"/>
      <c r="M729" s="1"/>
      <c r="N729" s="1"/>
      <c r="O729" s="1"/>
      <c r="P729" s="1"/>
      <c r="Q729" s="1"/>
      <c r="R729" s="1"/>
      <c r="S729" s="1"/>
      <c r="T729" s="1"/>
      <c r="U729" s="2"/>
      <c r="V729" s="1"/>
      <c r="W729" s="1"/>
      <c r="X729" s="1"/>
      <c r="Y729" s="1"/>
      <c r="Z729" s="1"/>
    </row>
    <row r="730" spans="1:26" ht="24.75" customHeight="1">
      <c r="A730" s="1"/>
      <c r="B730" s="1"/>
      <c r="C730" s="1"/>
      <c r="D730" s="1"/>
      <c r="E730" s="1"/>
      <c r="F730" s="1"/>
      <c r="G730" s="1"/>
      <c r="H730" s="1"/>
      <c r="I730" s="1"/>
      <c r="J730" s="1"/>
      <c r="K730" s="1"/>
      <c r="L730" s="1"/>
      <c r="M730" s="1"/>
      <c r="N730" s="1"/>
      <c r="O730" s="1"/>
      <c r="P730" s="1"/>
      <c r="Q730" s="1"/>
      <c r="R730" s="1"/>
      <c r="S730" s="1"/>
      <c r="T730" s="1"/>
      <c r="U730" s="2"/>
      <c r="V730" s="1"/>
      <c r="W730" s="1"/>
      <c r="X730" s="1"/>
      <c r="Y730" s="1"/>
      <c r="Z730" s="1"/>
    </row>
    <row r="731" spans="1:26" ht="24.75" customHeight="1">
      <c r="A731" s="1"/>
      <c r="B731" s="1"/>
      <c r="C731" s="1"/>
      <c r="D731" s="1"/>
      <c r="E731" s="1"/>
      <c r="F731" s="1"/>
      <c r="G731" s="1"/>
      <c r="H731" s="1"/>
      <c r="I731" s="1"/>
      <c r="J731" s="1"/>
      <c r="K731" s="1"/>
      <c r="L731" s="1"/>
      <c r="M731" s="1"/>
      <c r="N731" s="1"/>
      <c r="O731" s="1"/>
      <c r="P731" s="1"/>
      <c r="Q731" s="1"/>
      <c r="R731" s="1"/>
      <c r="S731" s="1"/>
      <c r="T731" s="1"/>
      <c r="U731" s="2"/>
      <c r="V731" s="1"/>
      <c r="W731" s="1"/>
      <c r="X731" s="1"/>
      <c r="Y731" s="1"/>
      <c r="Z731" s="1"/>
    </row>
    <row r="732" spans="1:26" ht="24.75" customHeight="1">
      <c r="A732" s="1"/>
      <c r="B732" s="1"/>
      <c r="C732" s="1"/>
      <c r="D732" s="1"/>
      <c r="E732" s="1"/>
      <c r="F732" s="1"/>
      <c r="G732" s="1"/>
      <c r="H732" s="1"/>
      <c r="I732" s="1"/>
      <c r="J732" s="1"/>
      <c r="K732" s="1"/>
      <c r="L732" s="1"/>
      <c r="M732" s="1"/>
      <c r="N732" s="1"/>
      <c r="O732" s="1"/>
      <c r="P732" s="1"/>
      <c r="Q732" s="1"/>
      <c r="R732" s="1"/>
      <c r="S732" s="1"/>
      <c r="T732" s="1"/>
      <c r="U732" s="2"/>
      <c r="V732" s="1"/>
      <c r="W732" s="1"/>
      <c r="X732" s="1"/>
      <c r="Y732" s="1"/>
      <c r="Z732" s="1"/>
    </row>
    <row r="733" spans="1:26" ht="24.75" customHeight="1">
      <c r="A733" s="1"/>
      <c r="B733" s="1"/>
      <c r="C733" s="1"/>
      <c r="D733" s="1"/>
      <c r="E733" s="1"/>
      <c r="F733" s="1"/>
      <c r="G733" s="1"/>
      <c r="H733" s="1"/>
      <c r="I733" s="1"/>
      <c r="J733" s="1"/>
      <c r="K733" s="1"/>
      <c r="L733" s="1"/>
      <c r="M733" s="1"/>
      <c r="N733" s="1"/>
      <c r="O733" s="1"/>
      <c r="P733" s="1"/>
      <c r="Q733" s="1"/>
      <c r="R733" s="1"/>
      <c r="S733" s="1"/>
      <c r="T733" s="1"/>
      <c r="U733" s="2"/>
      <c r="V733" s="1"/>
      <c r="W733" s="1"/>
      <c r="X733" s="1"/>
      <c r="Y733" s="1"/>
      <c r="Z733" s="1"/>
    </row>
    <row r="734" spans="1:26" ht="24.75" customHeight="1">
      <c r="A734" s="1"/>
      <c r="B734" s="1"/>
      <c r="C734" s="1"/>
      <c r="D734" s="1"/>
      <c r="E734" s="1"/>
      <c r="F734" s="1"/>
      <c r="G734" s="1"/>
      <c r="H734" s="1"/>
      <c r="I734" s="1"/>
      <c r="J734" s="1"/>
      <c r="K734" s="1"/>
      <c r="L734" s="1"/>
      <c r="M734" s="1"/>
      <c r="N734" s="1"/>
      <c r="O734" s="1"/>
      <c r="P734" s="1"/>
      <c r="Q734" s="1"/>
      <c r="R734" s="1"/>
      <c r="S734" s="1"/>
      <c r="T734" s="1"/>
      <c r="U734" s="2"/>
      <c r="V734" s="1"/>
      <c r="W734" s="1"/>
      <c r="X734" s="1"/>
      <c r="Y734" s="1"/>
      <c r="Z734" s="1"/>
    </row>
    <row r="735" spans="1:26" ht="24.75" customHeight="1">
      <c r="A735" s="1"/>
      <c r="B735" s="1"/>
      <c r="C735" s="1"/>
      <c r="D735" s="1"/>
      <c r="E735" s="1"/>
      <c r="F735" s="1"/>
      <c r="G735" s="1"/>
      <c r="H735" s="1"/>
      <c r="I735" s="1"/>
      <c r="J735" s="1"/>
      <c r="K735" s="1"/>
      <c r="L735" s="1"/>
      <c r="M735" s="1"/>
      <c r="N735" s="1"/>
      <c r="O735" s="1"/>
      <c r="P735" s="1"/>
      <c r="Q735" s="1"/>
      <c r="R735" s="1"/>
      <c r="S735" s="1"/>
      <c r="T735" s="1"/>
      <c r="U735" s="2"/>
      <c r="V735" s="1"/>
      <c r="W735" s="1"/>
      <c r="X735" s="1"/>
      <c r="Y735" s="1"/>
      <c r="Z735" s="1"/>
    </row>
    <row r="736" spans="1:26" ht="24.75" customHeight="1">
      <c r="A736" s="1"/>
      <c r="B736" s="1"/>
      <c r="C736" s="1"/>
      <c r="D736" s="1"/>
      <c r="E736" s="1"/>
      <c r="F736" s="1"/>
      <c r="G736" s="1"/>
      <c r="H736" s="1"/>
      <c r="I736" s="1"/>
      <c r="J736" s="1"/>
      <c r="K736" s="1"/>
      <c r="L736" s="1"/>
      <c r="M736" s="1"/>
      <c r="N736" s="1"/>
      <c r="O736" s="1"/>
      <c r="P736" s="1"/>
      <c r="Q736" s="1"/>
      <c r="R736" s="1"/>
      <c r="S736" s="1"/>
      <c r="T736" s="1"/>
      <c r="U736" s="2"/>
      <c r="V736" s="1"/>
      <c r="W736" s="1"/>
      <c r="X736" s="1"/>
      <c r="Y736" s="1"/>
      <c r="Z736" s="1"/>
    </row>
    <row r="737" spans="1:26" ht="24.75" customHeight="1">
      <c r="A737" s="1"/>
      <c r="B737" s="1"/>
      <c r="C737" s="1"/>
      <c r="D737" s="1"/>
      <c r="E737" s="1"/>
      <c r="F737" s="1"/>
      <c r="G737" s="1"/>
      <c r="H737" s="1"/>
      <c r="I737" s="1"/>
      <c r="J737" s="1"/>
      <c r="K737" s="1"/>
      <c r="L737" s="1"/>
      <c r="M737" s="1"/>
      <c r="N737" s="1"/>
      <c r="O737" s="1"/>
      <c r="P737" s="1"/>
      <c r="Q737" s="1"/>
      <c r="R737" s="1"/>
      <c r="S737" s="1"/>
      <c r="T737" s="1"/>
      <c r="U737" s="2"/>
      <c r="V737" s="1"/>
      <c r="W737" s="1"/>
      <c r="X737" s="1"/>
      <c r="Y737" s="1"/>
      <c r="Z737" s="1"/>
    </row>
    <row r="738" spans="1:26" ht="24.75" customHeight="1">
      <c r="A738" s="1"/>
      <c r="B738" s="1"/>
      <c r="C738" s="1"/>
      <c r="D738" s="1"/>
      <c r="E738" s="1"/>
      <c r="F738" s="1"/>
      <c r="G738" s="1"/>
      <c r="H738" s="1"/>
      <c r="I738" s="1"/>
      <c r="J738" s="1"/>
      <c r="K738" s="1"/>
      <c r="L738" s="1"/>
      <c r="M738" s="1"/>
      <c r="N738" s="1"/>
      <c r="O738" s="1"/>
      <c r="P738" s="1"/>
      <c r="Q738" s="1"/>
      <c r="R738" s="1"/>
      <c r="S738" s="1"/>
      <c r="T738" s="1"/>
      <c r="U738" s="2"/>
      <c r="V738" s="1"/>
      <c r="W738" s="1"/>
      <c r="X738" s="1"/>
      <c r="Y738" s="1"/>
      <c r="Z738" s="1"/>
    </row>
    <row r="739" spans="1:26" ht="24.75" customHeight="1">
      <c r="A739" s="1"/>
      <c r="B739" s="1"/>
      <c r="C739" s="1"/>
      <c r="D739" s="1"/>
      <c r="E739" s="1"/>
      <c r="F739" s="1"/>
      <c r="G739" s="1"/>
      <c r="H739" s="1"/>
      <c r="I739" s="1"/>
      <c r="J739" s="1"/>
      <c r="K739" s="1"/>
      <c r="L739" s="1"/>
      <c r="M739" s="1"/>
      <c r="N739" s="1"/>
      <c r="O739" s="1"/>
      <c r="P739" s="1"/>
      <c r="Q739" s="1"/>
      <c r="R739" s="1"/>
      <c r="S739" s="1"/>
      <c r="T739" s="1"/>
      <c r="U739" s="2"/>
      <c r="V739" s="1"/>
      <c r="W739" s="1"/>
      <c r="X739" s="1"/>
      <c r="Y739" s="1"/>
      <c r="Z739" s="1"/>
    </row>
    <row r="740" spans="1:26" ht="24.75" customHeight="1">
      <c r="A740" s="1"/>
      <c r="B740" s="1"/>
      <c r="C740" s="1"/>
      <c r="D740" s="1"/>
      <c r="E740" s="1"/>
      <c r="F740" s="1"/>
      <c r="G740" s="1"/>
      <c r="H740" s="1"/>
      <c r="I740" s="1"/>
      <c r="J740" s="1"/>
      <c r="K740" s="1"/>
      <c r="L740" s="1"/>
      <c r="M740" s="1"/>
      <c r="N740" s="1"/>
      <c r="O740" s="1"/>
      <c r="P740" s="1"/>
      <c r="Q740" s="1"/>
      <c r="R740" s="1"/>
      <c r="S740" s="1"/>
      <c r="T740" s="1"/>
      <c r="U740" s="2"/>
      <c r="V740" s="1"/>
      <c r="W740" s="1"/>
      <c r="X740" s="1"/>
      <c r="Y740" s="1"/>
      <c r="Z740" s="1"/>
    </row>
    <row r="741" spans="1:26" ht="24.75" customHeight="1">
      <c r="A741" s="1"/>
      <c r="B741" s="1"/>
      <c r="C741" s="1"/>
      <c r="D741" s="1"/>
      <c r="E741" s="1"/>
      <c r="F741" s="1"/>
      <c r="G741" s="1"/>
      <c r="H741" s="1"/>
      <c r="I741" s="1"/>
      <c r="J741" s="1"/>
      <c r="K741" s="1"/>
      <c r="L741" s="1"/>
      <c r="M741" s="1"/>
      <c r="N741" s="1"/>
      <c r="O741" s="1"/>
      <c r="P741" s="1"/>
      <c r="Q741" s="1"/>
      <c r="R741" s="1"/>
      <c r="S741" s="1"/>
      <c r="T741" s="1"/>
      <c r="U741" s="2"/>
      <c r="V741" s="1"/>
      <c r="W741" s="1"/>
      <c r="X741" s="1"/>
      <c r="Y741" s="1"/>
      <c r="Z741" s="1"/>
    </row>
    <row r="742" spans="1:26" ht="24.75" customHeight="1">
      <c r="A742" s="1"/>
      <c r="B742" s="1"/>
      <c r="C742" s="1"/>
      <c r="D742" s="1"/>
      <c r="E742" s="1"/>
      <c r="F742" s="1"/>
      <c r="G742" s="1"/>
      <c r="H742" s="1"/>
      <c r="I742" s="1"/>
      <c r="J742" s="1"/>
      <c r="K742" s="1"/>
      <c r="L742" s="1"/>
      <c r="M742" s="1"/>
      <c r="N742" s="1"/>
      <c r="O742" s="1"/>
      <c r="P742" s="1"/>
      <c r="Q742" s="1"/>
      <c r="R742" s="1"/>
      <c r="S742" s="1"/>
      <c r="T742" s="1"/>
      <c r="U742" s="2"/>
      <c r="V742" s="1"/>
      <c r="W742" s="1"/>
      <c r="X742" s="1"/>
      <c r="Y742" s="1"/>
      <c r="Z742" s="1"/>
    </row>
    <row r="743" spans="1:26" ht="24.75" customHeight="1">
      <c r="A743" s="1"/>
      <c r="B743" s="1"/>
      <c r="C743" s="1"/>
      <c r="D743" s="1"/>
      <c r="E743" s="1"/>
      <c r="F743" s="1"/>
      <c r="G743" s="1"/>
      <c r="H743" s="1"/>
      <c r="I743" s="1"/>
      <c r="J743" s="1"/>
      <c r="K743" s="1"/>
      <c r="L743" s="1"/>
      <c r="M743" s="1"/>
      <c r="N743" s="1"/>
      <c r="O743" s="1"/>
      <c r="P743" s="1"/>
      <c r="Q743" s="1"/>
      <c r="R743" s="1"/>
      <c r="S743" s="1"/>
      <c r="T743" s="1"/>
      <c r="U743" s="2"/>
      <c r="V743" s="1"/>
      <c r="W743" s="1"/>
      <c r="X743" s="1"/>
      <c r="Y743" s="1"/>
      <c r="Z743" s="1"/>
    </row>
    <row r="744" spans="1:26" ht="24.75" customHeight="1">
      <c r="A744" s="1"/>
      <c r="B744" s="1"/>
      <c r="C744" s="1"/>
      <c r="D744" s="1"/>
      <c r="E744" s="1"/>
      <c r="F744" s="1"/>
      <c r="G744" s="1"/>
      <c r="H744" s="1"/>
      <c r="I744" s="1"/>
      <c r="J744" s="1"/>
      <c r="K744" s="1"/>
      <c r="L744" s="1"/>
      <c r="M744" s="1"/>
      <c r="N744" s="1"/>
      <c r="O744" s="1"/>
      <c r="P744" s="1"/>
      <c r="Q744" s="1"/>
      <c r="R744" s="1"/>
      <c r="S744" s="1"/>
      <c r="T744" s="1"/>
      <c r="U744" s="2"/>
      <c r="V744" s="1"/>
      <c r="W744" s="1"/>
      <c r="X744" s="1"/>
      <c r="Y744" s="1"/>
      <c r="Z744" s="1"/>
    </row>
    <row r="745" spans="1:26" ht="24.75" customHeight="1">
      <c r="A745" s="1"/>
      <c r="B745" s="1"/>
      <c r="C745" s="1"/>
      <c r="D745" s="1"/>
      <c r="E745" s="1"/>
      <c r="F745" s="1"/>
      <c r="G745" s="1"/>
      <c r="H745" s="1"/>
      <c r="I745" s="1"/>
      <c r="J745" s="1"/>
      <c r="K745" s="1"/>
      <c r="L745" s="1"/>
      <c r="M745" s="1"/>
      <c r="N745" s="1"/>
      <c r="O745" s="1"/>
      <c r="P745" s="1"/>
      <c r="Q745" s="1"/>
      <c r="R745" s="1"/>
      <c r="S745" s="1"/>
      <c r="T745" s="1"/>
      <c r="U745" s="2"/>
      <c r="V745" s="1"/>
      <c r="W745" s="1"/>
      <c r="X745" s="1"/>
      <c r="Y745" s="1"/>
      <c r="Z745" s="1"/>
    </row>
    <row r="746" spans="1:26" ht="24.75" customHeight="1">
      <c r="A746" s="1"/>
      <c r="B746" s="1"/>
      <c r="C746" s="1"/>
      <c r="D746" s="1"/>
      <c r="E746" s="1"/>
      <c r="F746" s="1"/>
      <c r="G746" s="1"/>
      <c r="H746" s="1"/>
      <c r="I746" s="1"/>
      <c r="J746" s="1"/>
      <c r="K746" s="1"/>
      <c r="L746" s="1"/>
      <c r="M746" s="1"/>
      <c r="N746" s="1"/>
      <c r="O746" s="1"/>
      <c r="P746" s="1"/>
      <c r="Q746" s="1"/>
      <c r="R746" s="1"/>
      <c r="S746" s="1"/>
      <c r="T746" s="1"/>
      <c r="U746" s="2"/>
      <c r="V746" s="1"/>
      <c r="W746" s="1"/>
      <c r="X746" s="1"/>
      <c r="Y746" s="1"/>
      <c r="Z746" s="1"/>
    </row>
    <row r="747" spans="1:26" ht="24.75" customHeight="1">
      <c r="A747" s="1"/>
      <c r="B747" s="1"/>
      <c r="C747" s="1"/>
      <c r="D747" s="1"/>
      <c r="E747" s="1"/>
      <c r="F747" s="1"/>
      <c r="G747" s="1"/>
      <c r="H747" s="1"/>
      <c r="I747" s="1"/>
      <c r="J747" s="1"/>
      <c r="K747" s="1"/>
      <c r="L747" s="1"/>
      <c r="M747" s="1"/>
      <c r="N747" s="1"/>
      <c r="O747" s="1"/>
      <c r="P747" s="1"/>
      <c r="Q747" s="1"/>
      <c r="R747" s="1"/>
      <c r="S747" s="1"/>
      <c r="T747" s="1"/>
      <c r="U747" s="2"/>
      <c r="V747" s="1"/>
      <c r="W747" s="1"/>
      <c r="X747" s="1"/>
      <c r="Y747" s="1"/>
      <c r="Z747" s="1"/>
    </row>
    <row r="748" spans="1:26" ht="24.75" customHeight="1">
      <c r="A748" s="1"/>
      <c r="B748" s="1"/>
      <c r="C748" s="1"/>
      <c r="D748" s="1"/>
      <c r="E748" s="1"/>
      <c r="F748" s="1"/>
      <c r="G748" s="1"/>
      <c r="H748" s="1"/>
      <c r="I748" s="1"/>
      <c r="J748" s="1"/>
      <c r="K748" s="1"/>
      <c r="L748" s="1"/>
      <c r="M748" s="1"/>
      <c r="N748" s="1"/>
      <c r="O748" s="1"/>
      <c r="P748" s="1"/>
      <c r="Q748" s="1"/>
      <c r="R748" s="1"/>
      <c r="S748" s="1"/>
      <c r="T748" s="1"/>
      <c r="U748" s="2"/>
      <c r="V748" s="1"/>
      <c r="W748" s="1"/>
      <c r="X748" s="1"/>
      <c r="Y748" s="1"/>
      <c r="Z748" s="1"/>
    </row>
    <row r="749" spans="1:26" ht="24.75" customHeight="1">
      <c r="A749" s="1"/>
      <c r="B749" s="1"/>
      <c r="C749" s="1"/>
      <c r="D749" s="1"/>
      <c r="E749" s="1"/>
      <c r="F749" s="1"/>
      <c r="G749" s="1"/>
      <c r="H749" s="1"/>
      <c r="I749" s="1"/>
      <c r="J749" s="1"/>
      <c r="K749" s="1"/>
      <c r="L749" s="1"/>
      <c r="M749" s="1"/>
      <c r="N749" s="1"/>
      <c r="O749" s="1"/>
      <c r="P749" s="1"/>
      <c r="Q749" s="1"/>
      <c r="R749" s="1"/>
      <c r="S749" s="1"/>
      <c r="T749" s="1"/>
      <c r="U749" s="2"/>
      <c r="V749" s="1"/>
      <c r="W749" s="1"/>
      <c r="X749" s="1"/>
      <c r="Y749" s="1"/>
      <c r="Z749" s="1"/>
    </row>
    <row r="750" spans="1:26" ht="24.75" customHeight="1">
      <c r="A750" s="1"/>
      <c r="B750" s="1"/>
      <c r="C750" s="1"/>
      <c r="D750" s="1"/>
      <c r="E750" s="1"/>
      <c r="F750" s="1"/>
      <c r="G750" s="1"/>
      <c r="H750" s="1"/>
      <c r="I750" s="1"/>
      <c r="J750" s="1"/>
      <c r="K750" s="1"/>
      <c r="L750" s="1"/>
      <c r="M750" s="1"/>
      <c r="N750" s="1"/>
      <c r="O750" s="1"/>
      <c r="P750" s="1"/>
      <c r="Q750" s="1"/>
      <c r="R750" s="1"/>
      <c r="S750" s="1"/>
      <c r="T750" s="1"/>
      <c r="U750" s="2"/>
      <c r="V750" s="1"/>
      <c r="W750" s="1"/>
      <c r="X750" s="1"/>
      <c r="Y750" s="1"/>
      <c r="Z750" s="1"/>
    </row>
    <row r="751" spans="1:26" ht="24.75" customHeight="1">
      <c r="A751" s="1"/>
      <c r="B751" s="1"/>
      <c r="C751" s="1"/>
      <c r="D751" s="1"/>
      <c r="E751" s="1"/>
      <c r="F751" s="1"/>
      <c r="G751" s="1"/>
      <c r="H751" s="1"/>
      <c r="I751" s="1"/>
      <c r="J751" s="1"/>
      <c r="K751" s="1"/>
      <c r="L751" s="1"/>
      <c r="M751" s="1"/>
      <c r="N751" s="1"/>
      <c r="O751" s="1"/>
      <c r="P751" s="1"/>
      <c r="Q751" s="1"/>
      <c r="R751" s="1"/>
      <c r="S751" s="1"/>
      <c r="T751" s="1"/>
      <c r="U751" s="2"/>
      <c r="V751" s="1"/>
      <c r="W751" s="1"/>
      <c r="X751" s="1"/>
      <c r="Y751" s="1"/>
      <c r="Z751" s="1"/>
    </row>
    <row r="752" spans="1:26" ht="24.75" customHeight="1">
      <c r="A752" s="1"/>
      <c r="B752" s="1"/>
      <c r="C752" s="1"/>
      <c r="D752" s="1"/>
      <c r="E752" s="1"/>
      <c r="F752" s="1"/>
      <c r="G752" s="1"/>
      <c r="H752" s="1"/>
      <c r="I752" s="1"/>
      <c r="J752" s="1"/>
      <c r="K752" s="1"/>
      <c r="L752" s="1"/>
      <c r="M752" s="1"/>
      <c r="N752" s="1"/>
      <c r="O752" s="1"/>
      <c r="P752" s="1"/>
      <c r="Q752" s="1"/>
      <c r="R752" s="1"/>
      <c r="S752" s="1"/>
      <c r="T752" s="1"/>
      <c r="U752" s="2"/>
      <c r="V752" s="1"/>
      <c r="W752" s="1"/>
      <c r="X752" s="1"/>
      <c r="Y752" s="1"/>
      <c r="Z752" s="1"/>
    </row>
    <row r="753" spans="1:26" ht="24.75" customHeight="1">
      <c r="A753" s="1"/>
      <c r="B753" s="1"/>
      <c r="C753" s="1"/>
      <c r="D753" s="1"/>
      <c r="E753" s="1"/>
      <c r="F753" s="1"/>
      <c r="G753" s="1"/>
      <c r="H753" s="1"/>
      <c r="I753" s="1"/>
      <c r="J753" s="1"/>
      <c r="K753" s="1"/>
      <c r="L753" s="1"/>
      <c r="M753" s="1"/>
      <c r="N753" s="1"/>
      <c r="O753" s="1"/>
      <c r="P753" s="1"/>
      <c r="Q753" s="1"/>
      <c r="R753" s="1"/>
      <c r="S753" s="1"/>
      <c r="T753" s="1"/>
      <c r="U753" s="2"/>
      <c r="V753" s="1"/>
      <c r="W753" s="1"/>
      <c r="X753" s="1"/>
      <c r="Y753" s="1"/>
      <c r="Z753" s="1"/>
    </row>
    <row r="754" spans="1:26" ht="24.75" customHeight="1">
      <c r="A754" s="1"/>
      <c r="B754" s="1"/>
      <c r="C754" s="1"/>
      <c r="D754" s="1"/>
      <c r="E754" s="1"/>
      <c r="F754" s="1"/>
      <c r="G754" s="1"/>
      <c r="H754" s="1"/>
      <c r="I754" s="1"/>
      <c r="J754" s="1"/>
      <c r="K754" s="1"/>
      <c r="L754" s="1"/>
      <c r="M754" s="1"/>
      <c r="N754" s="1"/>
      <c r="O754" s="1"/>
      <c r="P754" s="1"/>
      <c r="Q754" s="1"/>
      <c r="R754" s="1"/>
      <c r="S754" s="1"/>
      <c r="T754" s="1"/>
      <c r="U754" s="2"/>
      <c r="V754" s="1"/>
      <c r="W754" s="1"/>
      <c r="X754" s="1"/>
      <c r="Y754" s="1"/>
      <c r="Z754" s="1"/>
    </row>
    <row r="755" spans="1:26" ht="24.75" customHeight="1">
      <c r="A755" s="1"/>
      <c r="B755" s="1"/>
      <c r="C755" s="1"/>
      <c r="D755" s="1"/>
      <c r="E755" s="1"/>
      <c r="F755" s="1"/>
      <c r="G755" s="1"/>
      <c r="H755" s="1"/>
      <c r="I755" s="1"/>
      <c r="J755" s="1"/>
      <c r="K755" s="1"/>
      <c r="L755" s="1"/>
      <c r="M755" s="1"/>
      <c r="N755" s="1"/>
      <c r="O755" s="1"/>
      <c r="P755" s="1"/>
      <c r="Q755" s="1"/>
      <c r="R755" s="1"/>
      <c r="S755" s="1"/>
      <c r="T755" s="1"/>
      <c r="U755" s="2"/>
      <c r="V755" s="1"/>
      <c r="W755" s="1"/>
      <c r="X755" s="1"/>
      <c r="Y755" s="1"/>
      <c r="Z755" s="1"/>
    </row>
    <row r="756" spans="1:26" ht="24.75" customHeight="1">
      <c r="A756" s="1"/>
      <c r="B756" s="1"/>
      <c r="C756" s="1"/>
      <c r="D756" s="1"/>
      <c r="E756" s="1"/>
      <c r="F756" s="1"/>
      <c r="G756" s="1"/>
      <c r="H756" s="1"/>
      <c r="I756" s="1"/>
      <c r="J756" s="1"/>
      <c r="K756" s="1"/>
      <c r="L756" s="1"/>
      <c r="M756" s="1"/>
      <c r="N756" s="1"/>
      <c r="O756" s="1"/>
      <c r="P756" s="1"/>
      <c r="Q756" s="1"/>
      <c r="R756" s="1"/>
      <c r="S756" s="1"/>
      <c r="T756" s="1"/>
      <c r="U756" s="2"/>
      <c r="V756" s="1"/>
      <c r="W756" s="1"/>
      <c r="X756" s="1"/>
      <c r="Y756" s="1"/>
      <c r="Z756" s="1"/>
    </row>
    <row r="757" spans="1:26" ht="24.75" customHeight="1">
      <c r="A757" s="1"/>
      <c r="B757" s="1"/>
      <c r="C757" s="1"/>
      <c r="D757" s="1"/>
      <c r="E757" s="1"/>
      <c r="F757" s="1"/>
      <c r="G757" s="1"/>
      <c r="H757" s="1"/>
      <c r="I757" s="1"/>
      <c r="J757" s="1"/>
      <c r="K757" s="1"/>
      <c r="L757" s="1"/>
      <c r="M757" s="1"/>
      <c r="N757" s="1"/>
      <c r="O757" s="1"/>
      <c r="P757" s="1"/>
      <c r="Q757" s="1"/>
      <c r="R757" s="1"/>
      <c r="S757" s="1"/>
      <c r="T757" s="1"/>
      <c r="U757" s="2"/>
      <c r="V757" s="1"/>
      <c r="W757" s="1"/>
      <c r="X757" s="1"/>
      <c r="Y757" s="1"/>
      <c r="Z757" s="1"/>
    </row>
    <row r="758" spans="1:26" ht="24.75" customHeight="1">
      <c r="A758" s="1"/>
      <c r="B758" s="1"/>
      <c r="C758" s="1"/>
      <c r="D758" s="1"/>
      <c r="E758" s="1"/>
      <c r="F758" s="1"/>
      <c r="G758" s="1"/>
      <c r="H758" s="1"/>
      <c r="I758" s="1"/>
      <c r="J758" s="1"/>
      <c r="K758" s="1"/>
      <c r="L758" s="1"/>
      <c r="M758" s="1"/>
      <c r="N758" s="1"/>
      <c r="O758" s="1"/>
      <c r="P758" s="1"/>
      <c r="Q758" s="1"/>
      <c r="R758" s="1"/>
      <c r="S758" s="1"/>
      <c r="T758" s="1"/>
      <c r="U758" s="2"/>
      <c r="V758" s="1"/>
      <c r="W758" s="1"/>
      <c r="X758" s="1"/>
      <c r="Y758" s="1"/>
      <c r="Z758" s="1"/>
    </row>
    <row r="759" spans="1:26" ht="24.75" customHeight="1">
      <c r="A759" s="1"/>
      <c r="B759" s="1"/>
      <c r="C759" s="1"/>
      <c r="D759" s="1"/>
      <c r="E759" s="1"/>
      <c r="F759" s="1"/>
      <c r="G759" s="1"/>
      <c r="H759" s="1"/>
      <c r="I759" s="1"/>
      <c r="J759" s="1"/>
      <c r="K759" s="1"/>
      <c r="L759" s="1"/>
      <c r="M759" s="1"/>
      <c r="N759" s="1"/>
      <c r="O759" s="1"/>
      <c r="P759" s="1"/>
      <c r="Q759" s="1"/>
      <c r="R759" s="1"/>
      <c r="S759" s="1"/>
      <c r="T759" s="1"/>
      <c r="U759" s="2"/>
      <c r="V759" s="1"/>
      <c r="W759" s="1"/>
      <c r="X759" s="1"/>
      <c r="Y759" s="1"/>
      <c r="Z759" s="1"/>
    </row>
    <row r="760" spans="1:26" ht="24.75" customHeight="1">
      <c r="A760" s="1"/>
      <c r="B760" s="1"/>
      <c r="C760" s="1"/>
      <c r="D760" s="1"/>
      <c r="E760" s="1"/>
      <c r="F760" s="1"/>
      <c r="G760" s="1"/>
      <c r="H760" s="1"/>
      <c r="I760" s="1"/>
      <c r="J760" s="1"/>
      <c r="K760" s="1"/>
      <c r="L760" s="1"/>
      <c r="M760" s="1"/>
      <c r="N760" s="1"/>
      <c r="O760" s="1"/>
      <c r="P760" s="1"/>
      <c r="Q760" s="1"/>
      <c r="R760" s="1"/>
      <c r="S760" s="1"/>
      <c r="T760" s="1"/>
      <c r="U760" s="2"/>
      <c r="V760" s="1"/>
      <c r="W760" s="1"/>
      <c r="X760" s="1"/>
      <c r="Y760" s="1"/>
      <c r="Z760" s="1"/>
    </row>
    <row r="761" spans="1:26" ht="24.75" customHeight="1">
      <c r="A761" s="1"/>
      <c r="B761" s="1"/>
      <c r="C761" s="1"/>
      <c r="D761" s="1"/>
      <c r="E761" s="1"/>
      <c r="F761" s="1"/>
      <c r="G761" s="1"/>
      <c r="H761" s="1"/>
      <c r="I761" s="1"/>
      <c r="J761" s="1"/>
      <c r="K761" s="1"/>
      <c r="L761" s="1"/>
      <c r="M761" s="1"/>
      <c r="N761" s="1"/>
      <c r="O761" s="1"/>
      <c r="P761" s="1"/>
      <c r="Q761" s="1"/>
      <c r="R761" s="1"/>
      <c r="S761" s="1"/>
      <c r="T761" s="1"/>
      <c r="U761" s="2"/>
      <c r="V761" s="1"/>
      <c r="W761" s="1"/>
      <c r="X761" s="1"/>
      <c r="Y761" s="1"/>
      <c r="Z761" s="1"/>
    </row>
    <row r="762" spans="1:26" ht="24.75" customHeight="1">
      <c r="A762" s="1"/>
      <c r="B762" s="1"/>
      <c r="C762" s="1"/>
      <c r="D762" s="1"/>
      <c r="E762" s="1"/>
      <c r="F762" s="1"/>
      <c r="G762" s="1"/>
      <c r="H762" s="1"/>
      <c r="I762" s="1"/>
      <c r="J762" s="1"/>
      <c r="K762" s="1"/>
      <c r="L762" s="1"/>
      <c r="M762" s="1"/>
      <c r="N762" s="1"/>
      <c r="O762" s="1"/>
      <c r="P762" s="1"/>
      <c r="Q762" s="1"/>
      <c r="R762" s="1"/>
      <c r="S762" s="1"/>
      <c r="T762" s="1"/>
      <c r="U762" s="2"/>
      <c r="V762" s="1"/>
      <c r="W762" s="1"/>
      <c r="X762" s="1"/>
      <c r="Y762" s="1"/>
      <c r="Z762" s="1"/>
    </row>
    <row r="763" spans="1:26" ht="24.75" customHeight="1">
      <c r="A763" s="1"/>
      <c r="B763" s="1"/>
      <c r="C763" s="1"/>
      <c r="D763" s="1"/>
      <c r="E763" s="1"/>
      <c r="F763" s="1"/>
      <c r="G763" s="1"/>
      <c r="H763" s="1"/>
      <c r="I763" s="1"/>
      <c r="J763" s="1"/>
      <c r="K763" s="1"/>
      <c r="L763" s="1"/>
      <c r="M763" s="1"/>
      <c r="N763" s="1"/>
      <c r="O763" s="1"/>
      <c r="P763" s="1"/>
      <c r="Q763" s="1"/>
      <c r="R763" s="1"/>
      <c r="S763" s="1"/>
      <c r="T763" s="1"/>
      <c r="U763" s="2"/>
      <c r="V763" s="1"/>
      <c r="W763" s="1"/>
      <c r="X763" s="1"/>
      <c r="Y763" s="1"/>
      <c r="Z763" s="1"/>
    </row>
    <row r="764" spans="1:26" ht="24.75" customHeight="1">
      <c r="A764" s="1"/>
      <c r="B764" s="1"/>
      <c r="C764" s="1"/>
      <c r="D764" s="1"/>
      <c r="E764" s="1"/>
      <c r="F764" s="1"/>
      <c r="G764" s="1"/>
      <c r="H764" s="1"/>
      <c r="I764" s="1"/>
      <c r="J764" s="1"/>
      <c r="K764" s="1"/>
      <c r="L764" s="1"/>
      <c r="M764" s="1"/>
      <c r="N764" s="1"/>
      <c r="O764" s="1"/>
      <c r="P764" s="1"/>
      <c r="Q764" s="1"/>
      <c r="R764" s="1"/>
      <c r="S764" s="1"/>
      <c r="T764" s="1"/>
      <c r="U764" s="2"/>
      <c r="V764" s="1"/>
      <c r="W764" s="1"/>
      <c r="X764" s="1"/>
      <c r="Y764" s="1"/>
      <c r="Z764" s="1"/>
    </row>
    <row r="765" spans="1:26" ht="24.75" customHeight="1">
      <c r="A765" s="1"/>
      <c r="B765" s="1"/>
      <c r="C765" s="1"/>
      <c r="D765" s="1"/>
      <c r="E765" s="1"/>
      <c r="F765" s="1"/>
      <c r="G765" s="1"/>
      <c r="H765" s="1"/>
      <c r="I765" s="1"/>
      <c r="J765" s="1"/>
      <c r="K765" s="1"/>
      <c r="L765" s="1"/>
      <c r="M765" s="1"/>
      <c r="N765" s="1"/>
      <c r="O765" s="1"/>
      <c r="P765" s="1"/>
      <c r="Q765" s="1"/>
      <c r="R765" s="1"/>
      <c r="S765" s="1"/>
      <c r="T765" s="1"/>
      <c r="U765" s="2"/>
      <c r="V765" s="1"/>
      <c r="W765" s="1"/>
      <c r="X765" s="1"/>
      <c r="Y765" s="1"/>
      <c r="Z765" s="1"/>
    </row>
    <row r="766" spans="1:26" ht="24.75" customHeight="1">
      <c r="A766" s="1"/>
      <c r="B766" s="1"/>
      <c r="C766" s="1"/>
      <c r="D766" s="1"/>
      <c r="E766" s="1"/>
      <c r="F766" s="1"/>
      <c r="G766" s="1"/>
      <c r="H766" s="1"/>
      <c r="I766" s="1"/>
      <c r="J766" s="1"/>
      <c r="K766" s="1"/>
      <c r="L766" s="1"/>
      <c r="M766" s="1"/>
      <c r="N766" s="1"/>
      <c r="O766" s="1"/>
      <c r="P766" s="1"/>
      <c r="Q766" s="1"/>
      <c r="R766" s="1"/>
      <c r="S766" s="1"/>
      <c r="T766" s="1"/>
      <c r="U766" s="2"/>
      <c r="V766" s="1"/>
      <c r="W766" s="1"/>
      <c r="X766" s="1"/>
      <c r="Y766" s="1"/>
      <c r="Z766" s="1"/>
    </row>
    <row r="767" spans="1:26" ht="24.75" customHeight="1">
      <c r="A767" s="1"/>
      <c r="B767" s="1"/>
      <c r="C767" s="1"/>
      <c r="D767" s="1"/>
      <c r="E767" s="1"/>
      <c r="F767" s="1"/>
      <c r="G767" s="1"/>
      <c r="H767" s="1"/>
      <c r="I767" s="1"/>
      <c r="J767" s="1"/>
      <c r="K767" s="1"/>
      <c r="L767" s="1"/>
      <c r="M767" s="1"/>
      <c r="N767" s="1"/>
      <c r="O767" s="1"/>
      <c r="P767" s="1"/>
      <c r="Q767" s="1"/>
      <c r="R767" s="1"/>
      <c r="S767" s="1"/>
      <c r="T767" s="1"/>
      <c r="U767" s="2"/>
      <c r="V767" s="1"/>
      <c r="W767" s="1"/>
      <c r="X767" s="1"/>
      <c r="Y767" s="1"/>
      <c r="Z767" s="1"/>
    </row>
    <row r="768" spans="1:26" ht="24.75" customHeight="1">
      <c r="A768" s="1"/>
      <c r="B768" s="1"/>
      <c r="C768" s="1"/>
      <c r="D768" s="1"/>
      <c r="E768" s="1"/>
      <c r="F768" s="1"/>
      <c r="G768" s="1"/>
      <c r="H768" s="1"/>
      <c r="I768" s="1"/>
      <c r="J768" s="1"/>
      <c r="K768" s="1"/>
      <c r="L768" s="1"/>
      <c r="M768" s="1"/>
      <c r="N768" s="1"/>
      <c r="O768" s="1"/>
      <c r="P768" s="1"/>
      <c r="Q768" s="1"/>
      <c r="R768" s="1"/>
      <c r="S768" s="1"/>
      <c r="T768" s="1"/>
      <c r="U768" s="2"/>
      <c r="V768" s="1"/>
      <c r="W768" s="1"/>
      <c r="X768" s="1"/>
      <c r="Y768" s="1"/>
      <c r="Z768" s="1"/>
    </row>
    <row r="769" spans="1:26" ht="24.75" customHeight="1">
      <c r="A769" s="1"/>
      <c r="B769" s="1"/>
      <c r="C769" s="1"/>
      <c r="D769" s="1"/>
      <c r="E769" s="1"/>
      <c r="F769" s="1"/>
      <c r="G769" s="1"/>
      <c r="H769" s="1"/>
      <c r="I769" s="1"/>
      <c r="J769" s="1"/>
      <c r="K769" s="1"/>
      <c r="L769" s="1"/>
      <c r="M769" s="1"/>
      <c r="N769" s="1"/>
      <c r="O769" s="1"/>
      <c r="P769" s="1"/>
      <c r="Q769" s="1"/>
      <c r="R769" s="1"/>
      <c r="S769" s="1"/>
      <c r="T769" s="1"/>
      <c r="U769" s="2"/>
      <c r="V769" s="1"/>
      <c r="W769" s="1"/>
      <c r="X769" s="1"/>
      <c r="Y769" s="1"/>
      <c r="Z769" s="1"/>
    </row>
    <row r="770" spans="1:26" ht="24.75" customHeight="1">
      <c r="A770" s="1"/>
      <c r="B770" s="1"/>
      <c r="C770" s="1"/>
      <c r="D770" s="1"/>
      <c r="E770" s="1"/>
      <c r="F770" s="1"/>
      <c r="G770" s="1"/>
      <c r="H770" s="1"/>
      <c r="I770" s="1"/>
      <c r="J770" s="1"/>
      <c r="K770" s="1"/>
      <c r="L770" s="1"/>
      <c r="M770" s="1"/>
      <c r="N770" s="1"/>
      <c r="O770" s="1"/>
      <c r="P770" s="1"/>
      <c r="Q770" s="1"/>
      <c r="R770" s="1"/>
      <c r="S770" s="1"/>
      <c r="T770" s="1"/>
      <c r="U770" s="2"/>
      <c r="V770" s="1"/>
      <c r="W770" s="1"/>
      <c r="X770" s="1"/>
      <c r="Y770" s="1"/>
      <c r="Z770" s="1"/>
    </row>
    <row r="771" spans="1:26" ht="24.75" customHeight="1">
      <c r="A771" s="1"/>
      <c r="B771" s="1"/>
      <c r="C771" s="1"/>
      <c r="D771" s="1"/>
      <c r="E771" s="1"/>
      <c r="F771" s="1"/>
      <c r="G771" s="1"/>
      <c r="H771" s="1"/>
      <c r="I771" s="1"/>
      <c r="J771" s="1"/>
      <c r="K771" s="1"/>
      <c r="L771" s="1"/>
      <c r="M771" s="1"/>
      <c r="N771" s="1"/>
      <c r="O771" s="1"/>
      <c r="P771" s="1"/>
      <c r="Q771" s="1"/>
      <c r="R771" s="1"/>
      <c r="S771" s="1"/>
      <c r="T771" s="1"/>
      <c r="U771" s="2"/>
      <c r="V771" s="1"/>
      <c r="W771" s="1"/>
      <c r="X771" s="1"/>
      <c r="Y771" s="1"/>
      <c r="Z771" s="1"/>
    </row>
    <row r="772" spans="1:26" ht="24.75" customHeight="1">
      <c r="A772" s="1"/>
      <c r="B772" s="1"/>
      <c r="C772" s="1"/>
      <c r="D772" s="1"/>
      <c r="E772" s="1"/>
      <c r="F772" s="1"/>
      <c r="G772" s="1"/>
      <c r="H772" s="1"/>
      <c r="I772" s="1"/>
      <c r="J772" s="1"/>
      <c r="K772" s="1"/>
      <c r="L772" s="1"/>
      <c r="M772" s="1"/>
      <c r="N772" s="1"/>
      <c r="O772" s="1"/>
      <c r="P772" s="1"/>
      <c r="Q772" s="1"/>
      <c r="R772" s="1"/>
      <c r="S772" s="1"/>
      <c r="T772" s="1"/>
      <c r="U772" s="2"/>
      <c r="V772" s="1"/>
      <c r="W772" s="1"/>
      <c r="X772" s="1"/>
      <c r="Y772" s="1"/>
      <c r="Z772" s="1"/>
    </row>
    <row r="773" spans="1:26" ht="24.75" customHeight="1">
      <c r="A773" s="1"/>
      <c r="B773" s="1"/>
      <c r="C773" s="1"/>
      <c r="D773" s="1"/>
      <c r="E773" s="1"/>
      <c r="F773" s="1"/>
      <c r="G773" s="1"/>
      <c r="H773" s="1"/>
      <c r="I773" s="1"/>
      <c r="J773" s="1"/>
      <c r="K773" s="1"/>
      <c r="L773" s="1"/>
      <c r="M773" s="1"/>
      <c r="N773" s="1"/>
      <c r="O773" s="1"/>
      <c r="P773" s="1"/>
      <c r="Q773" s="1"/>
      <c r="R773" s="1"/>
      <c r="S773" s="1"/>
      <c r="T773" s="1"/>
      <c r="U773" s="2"/>
      <c r="V773" s="1"/>
      <c r="W773" s="1"/>
      <c r="X773" s="1"/>
      <c r="Y773" s="1"/>
      <c r="Z773" s="1"/>
    </row>
    <row r="774" spans="1:26" ht="24.75" customHeight="1">
      <c r="A774" s="1"/>
      <c r="B774" s="1"/>
      <c r="C774" s="1"/>
      <c r="D774" s="1"/>
      <c r="E774" s="1"/>
      <c r="F774" s="1"/>
      <c r="G774" s="1"/>
      <c r="H774" s="1"/>
      <c r="I774" s="1"/>
      <c r="J774" s="1"/>
      <c r="K774" s="1"/>
      <c r="L774" s="1"/>
      <c r="M774" s="1"/>
      <c r="N774" s="1"/>
      <c r="O774" s="1"/>
      <c r="P774" s="1"/>
      <c r="Q774" s="1"/>
      <c r="R774" s="1"/>
      <c r="S774" s="1"/>
      <c r="T774" s="1"/>
      <c r="U774" s="2"/>
      <c r="V774" s="1"/>
      <c r="W774" s="1"/>
      <c r="X774" s="1"/>
      <c r="Y774" s="1"/>
      <c r="Z774" s="1"/>
    </row>
    <row r="775" spans="1:26" ht="24.75" customHeight="1">
      <c r="A775" s="1"/>
      <c r="B775" s="1"/>
      <c r="C775" s="1"/>
      <c r="D775" s="1"/>
      <c r="E775" s="1"/>
      <c r="F775" s="1"/>
      <c r="G775" s="1"/>
      <c r="H775" s="1"/>
      <c r="I775" s="1"/>
      <c r="J775" s="1"/>
      <c r="K775" s="1"/>
      <c r="L775" s="1"/>
      <c r="M775" s="1"/>
      <c r="N775" s="1"/>
      <c r="O775" s="1"/>
      <c r="P775" s="1"/>
      <c r="Q775" s="1"/>
      <c r="R775" s="1"/>
      <c r="S775" s="1"/>
      <c r="T775" s="1"/>
      <c r="U775" s="2"/>
      <c r="V775" s="1"/>
      <c r="W775" s="1"/>
      <c r="X775" s="1"/>
      <c r="Y775" s="1"/>
      <c r="Z775" s="1"/>
    </row>
    <row r="776" spans="1:26" ht="24.75" customHeight="1">
      <c r="A776" s="1"/>
      <c r="B776" s="1"/>
      <c r="C776" s="1"/>
      <c r="D776" s="1"/>
      <c r="E776" s="1"/>
      <c r="F776" s="1"/>
      <c r="G776" s="1"/>
      <c r="H776" s="1"/>
      <c r="I776" s="1"/>
      <c r="J776" s="1"/>
      <c r="K776" s="1"/>
      <c r="L776" s="1"/>
      <c r="M776" s="1"/>
      <c r="N776" s="1"/>
      <c r="O776" s="1"/>
      <c r="P776" s="1"/>
      <c r="Q776" s="1"/>
      <c r="R776" s="1"/>
      <c r="S776" s="1"/>
      <c r="T776" s="1"/>
      <c r="U776" s="2"/>
      <c r="V776" s="1"/>
      <c r="W776" s="1"/>
      <c r="X776" s="1"/>
      <c r="Y776" s="1"/>
      <c r="Z776" s="1"/>
    </row>
    <row r="777" spans="1:26" ht="24.75" customHeight="1">
      <c r="A777" s="1"/>
      <c r="B777" s="1"/>
      <c r="C777" s="1"/>
      <c r="D777" s="1"/>
      <c r="E777" s="1"/>
      <c r="F777" s="1"/>
      <c r="G777" s="1"/>
      <c r="H777" s="1"/>
      <c r="I777" s="1"/>
      <c r="J777" s="1"/>
      <c r="K777" s="1"/>
      <c r="L777" s="1"/>
      <c r="M777" s="1"/>
      <c r="N777" s="1"/>
      <c r="O777" s="1"/>
      <c r="P777" s="1"/>
      <c r="Q777" s="1"/>
      <c r="R777" s="1"/>
      <c r="S777" s="1"/>
      <c r="T777" s="1"/>
      <c r="U777" s="2"/>
      <c r="V777" s="1"/>
      <c r="W777" s="1"/>
      <c r="X777" s="1"/>
      <c r="Y777" s="1"/>
      <c r="Z777" s="1"/>
    </row>
    <row r="778" spans="1:26" ht="24.75" customHeight="1">
      <c r="A778" s="1"/>
      <c r="B778" s="1"/>
      <c r="C778" s="1"/>
      <c r="D778" s="1"/>
      <c r="E778" s="1"/>
      <c r="F778" s="1"/>
      <c r="G778" s="1"/>
      <c r="H778" s="1"/>
      <c r="I778" s="1"/>
      <c r="J778" s="1"/>
      <c r="K778" s="1"/>
      <c r="L778" s="1"/>
      <c r="M778" s="1"/>
      <c r="N778" s="1"/>
      <c r="O778" s="1"/>
      <c r="P778" s="1"/>
      <c r="Q778" s="1"/>
      <c r="R778" s="1"/>
      <c r="S778" s="1"/>
      <c r="T778" s="1"/>
      <c r="U778" s="2"/>
      <c r="V778" s="1"/>
      <c r="W778" s="1"/>
      <c r="X778" s="1"/>
      <c r="Y778" s="1"/>
      <c r="Z778" s="1"/>
    </row>
    <row r="779" spans="1:26" ht="24.75" customHeight="1">
      <c r="A779" s="1"/>
      <c r="B779" s="1"/>
      <c r="C779" s="1"/>
      <c r="D779" s="1"/>
      <c r="E779" s="1"/>
      <c r="F779" s="1"/>
      <c r="G779" s="1"/>
      <c r="H779" s="1"/>
      <c r="I779" s="1"/>
      <c r="J779" s="1"/>
      <c r="K779" s="1"/>
      <c r="L779" s="1"/>
      <c r="M779" s="1"/>
      <c r="N779" s="1"/>
      <c r="O779" s="1"/>
      <c r="P779" s="1"/>
      <c r="Q779" s="1"/>
      <c r="R779" s="1"/>
      <c r="S779" s="1"/>
      <c r="T779" s="1"/>
      <c r="U779" s="2"/>
      <c r="V779" s="1"/>
      <c r="W779" s="1"/>
      <c r="X779" s="1"/>
      <c r="Y779" s="1"/>
      <c r="Z779" s="1"/>
    </row>
    <row r="780" spans="1:26" ht="24.75" customHeight="1">
      <c r="A780" s="1"/>
      <c r="B780" s="1"/>
      <c r="C780" s="1"/>
      <c r="D780" s="1"/>
      <c r="E780" s="1"/>
      <c r="F780" s="1"/>
      <c r="G780" s="1"/>
      <c r="H780" s="1"/>
      <c r="I780" s="1"/>
      <c r="J780" s="1"/>
      <c r="K780" s="1"/>
      <c r="L780" s="1"/>
      <c r="M780" s="1"/>
      <c r="N780" s="1"/>
      <c r="O780" s="1"/>
      <c r="P780" s="1"/>
      <c r="Q780" s="1"/>
      <c r="R780" s="1"/>
      <c r="S780" s="1"/>
      <c r="T780" s="1"/>
      <c r="U780" s="2"/>
      <c r="V780" s="1"/>
      <c r="W780" s="1"/>
      <c r="X780" s="1"/>
      <c r="Y780" s="1"/>
      <c r="Z780" s="1"/>
    </row>
    <row r="781" spans="1:26" ht="24.75" customHeight="1">
      <c r="A781" s="1"/>
      <c r="B781" s="1"/>
      <c r="C781" s="1"/>
      <c r="D781" s="1"/>
      <c r="E781" s="1"/>
      <c r="F781" s="1"/>
      <c r="G781" s="1"/>
      <c r="H781" s="1"/>
      <c r="I781" s="1"/>
      <c r="J781" s="1"/>
      <c r="K781" s="1"/>
      <c r="L781" s="1"/>
      <c r="M781" s="1"/>
      <c r="N781" s="1"/>
      <c r="O781" s="1"/>
      <c r="P781" s="1"/>
      <c r="Q781" s="1"/>
      <c r="R781" s="1"/>
      <c r="S781" s="1"/>
      <c r="T781" s="1"/>
      <c r="U781" s="2"/>
      <c r="V781" s="1"/>
      <c r="W781" s="1"/>
      <c r="X781" s="1"/>
      <c r="Y781" s="1"/>
      <c r="Z781" s="1"/>
    </row>
    <row r="782" spans="1:26" ht="24.75" customHeight="1">
      <c r="A782" s="1"/>
      <c r="B782" s="1"/>
      <c r="C782" s="1"/>
      <c r="D782" s="1"/>
      <c r="E782" s="1"/>
      <c r="F782" s="1"/>
      <c r="G782" s="1"/>
      <c r="H782" s="1"/>
      <c r="I782" s="1"/>
      <c r="J782" s="1"/>
      <c r="K782" s="1"/>
      <c r="L782" s="1"/>
      <c r="M782" s="1"/>
      <c r="N782" s="1"/>
      <c r="O782" s="1"/>
      <c r="P782" s="1"/>
      <c r="Q782" s="1"/>
      <c r="R782" s="1"/>
      <c r="S782" s="1"/>
      <c r="T782" s="1"/>
      <c r="U782" s="2"/>
      <c r="V782" s="1"/>
      <c r="W782" s="1"/>
      <c r="X782" s="1"/>
      <c r="Y782" s="1"/>
      <c r="Z782" s="1"/>
    </row>
    <row r="783" spans="1:26" ht="24.75" customHeight="1">
      <c r="A783" s="1"/>
      <c r="B783" s="1"/>
      <c r="C783" s="1"/>
      <c r="D783" s="1"/>
      <c r="E783" s="1"/>
      <c r="F783" s="1"/>
      <c r="G783" s="1"/>
      <c r="H783" s="1"/>
      <c r="I783" s="1"/>
      <c r="J783" s="1"/>
      <c r="K783" s="1"/>
      <c r="L783" s="1"/>
      <c r="M783" s="1"/>
      <c r="N783" s="1"/>
      <c r="O783" s="1"/>
      <c r="P783" s="1"/>
      <c r="Q783" s="1"/>
      <c r="R783" s="1"/>
      <c r="S783" s="1"/>
      <c r="T783" s="1"/>
      <c r="U783" s="2"/>
      <c r="V783" s="1"/>
      <c r="W783" s="1"/>
      <c r="X783" s="1"/>
      <c r="Y783" s="1"/>
      <c r="Z783" s="1"/>
    </row>
    <row r="784" spans="1:26" ht="24.75" customHeight="1">
      <c r="A784" s="1"/>
      <c r="B784" s="1"/>
      <c r="C784" s="1"/>
      <c r="D784" s="1"/>
      <c r="E784" s="1"/>
      <c r="F784" s="1"/>
      <c r="G784" s="1"/>
      <c r="H784" s="1"/>
      <c r="I784" s="1"/>
      <c r="J784" s="1"/>
      <c r="K784" s="1"/>
      <c r="L784" s="1"/>
      <c r="M784" s="1"/>
      <c r="N784" s="1"/>
      <c r="O784" s="1"/>
      <c r="P784" s="1"/>
      <c r="Q784" s="1"/>
      <c r="R784" s="1"/>
      <c r="S784" s="1"/>
      <c r="T784" s="1"/>
      <c r="U784" s="2"/>
      <c r="V784" s="1"/>
      <c r="W784" s="1"/>
      <c r="X784" s="1"/>
      <c r="Y784" s="1"/>
      <c r="Z784" s="1"/>
    </row>
    <row r="785" spans="1:26" ht="24.75" customHeight="1">
      <c r="A785" s="1"/>
      <c r="B785" s="1"/>
      <c r="C785" s="1"/>
      <c r="D785" s="1"/>
      <c r="E785" s="1"/>
      <c r="F785" s="1"/>
      <c r="G785" s="1"/>
      <c r="H785" s="1"/>
      <c r="I785" s="1"/>
      <c r="J785" s="1"/>
      <c r="K785" s="1"/>
      <c r="L785" s="1"/>
      <c r="M785" s="1"/>
      <c r="N785" s="1"/>
      <c r="O785" s="1"/>
      <c r="P785" s="1"/>
      <c r="Q785" s="1"/>
      <c r="R785" s="1"/>
      <c r="S785" s="1"/>
      <c r="T785" s="1"/>
      <c r="U785" s="2"/>
      <c r="V785" s="1"/>
      <c r="W785" s="1"/>
      <c r="X785" s="1"/>
      <c r="Y785" s="1"/>
      <c r="Z785" s="1"/>
    </row>
    <row r="786" spans="1:26" ht="24.75" customHeight="1">
      <c r="A786" s="1"/>
      <c r="B786" s="1"/>
      <c r="C786" s="1"/>
      <c r="D786" s="1"/>
      <c r="E786" s="1"/>
      <c r="F786" s="1"/>
      <c r="G786" s="1"/>
      <c r="H786" s="1"/>
      <c r="I786" s="1"/>
      <c r="J786" s="1"/>
      <c r="K786" s="1"/>
      <c r="L786" s="1"/>
      <c r="M786" s="1"/>
      <c r="N786" s="1"/>
      <c r="O786" s="1"/>
      <c r="P786" s="1"/>
      <c r="Q786" s="1"/>
      <c r="R786" s="1"/>
      <c r="S786" s="1"/>
      <c r="T786" s="1"/>
      <c r="U786" s="2"/>
      <c r="V786" s="1"/>
      <c r="W786" s="1"/>
      <c r="X786" s="1"/>
      <c r="Y786" s="1"/>
      <c r="Z786" s="1"/>
    </row>
    <row r="787" spans="1:26" ht="24.75" customHeight="1">
      <c r="A787" s="1"/>
      <c r="B787" s="1"/>
      <c r="C787" s="1"/>
      <c r="D787" s="1"/>
      <c r="E787" s="1"/>
      <c r="F787" s="1"/>
      <c r="G787" s="1"/>
      <c r="H787" s="1"/>
      <c r="I787" s="1"/>
      <c r="J787" s="1"/>
      <c r="K787" s="1"/>
      <c r="L787" s="1"/>
      <c r="M787" s="1"/>
      <c r="N787" s="1"/>
      <c r="O787" s="1"/>
      <c r="P787" s="1"/>
      <c r="Q787" s="1"/>
      <c r="R787" s="1"/>
      <c r="S787" s="1"/>
      <c r="T787" s="1"/>
      <c r="U787" s="2"/>
      <c r="V787" s="1"/>
      <c r="W787" s="1"/>
      <c r="X787" s="1"/>
      <c r="Y787" s="1"/>
      <c r="Z787" s="1"/>
    </row>
    <row r="788" spans="1:26" ht="24.75" customHeight="1">
      <c r="A788" s="1"/>
      <c r="B788" s="1"/>
      <c r="C788" s="1"/>
      <c r="D788" s="1"/>
      <c r="E788" s="1"/>
      <c r="F788" s="1"/>
      <c r="G788" s="1"/>
      <c r="H788" s="1"/>
      <c r="I788" s="1"/>
      <c r="J788" s="1"/>
      <c r="K788" s="1"/>
      <c r="L788" s="1"/>
      <c r="M788" s="1"/>
      <c r="N788" s="1"/>
      <c r="O788" s="1"/>
      <c r="P788" s="1"/>
      <c r="Q788" s="1"/>
      <c r="R788" s="1"/>
      <c r="S788" s="1"/>
      <c r="T788" s="1"/>
      <c r="U788" s="2"/>
      <c r="V788" s="1"/>
      <c r="W788" s="1"/>
      <c r="X788" s="1"/>
      <c r="Y788" s="1"/>
      <c r="Z788" s="1"/>
    </row>
    <row r="789" spans="1:26" ht="24.75" customHeight="1">
      <c r="A789" s="1"/>
      <c r="B789" s="1"/>
      <c r="C789" s="1"/>
      <c r="D789" s="1"/>
      <c r="E789" s="1"/>
      <c r="F789" s="1"/>
      <c r="G789" s="1"/>
      <c r="H789" s="1"/>
      <c r="I789" s="1"/>
      <c r="J789" s="1"/>
      <c r="K789" s="1"/>
      <c r="L789" s="1"/>
      <c r="M789" s="1"/>
      <c r="N789" s="1"/>
      <c r="O789" s="1"/>
      <c r="P789" s="1"/>
      <c r="Q789" s="1"/>
      <c r="R789" s="1"/>
      <c r="S789" s="1"/>
      <c r="T789" s="1"/>
      <c r="U789" s="2"/>
      <c r="V789" s="1"/>
      <c r="W789" s="1"/>
      <c r="X789" s="1"/>
      <c r="Y789" s="1"/>
      <c r="Z789" s="1"/>
    </row>
    <row r="790" spans="1:26" ht="24.75" customHeight="1">
      <c r="A790" s="1"/>
      <c r="B790" s="1"/>
      <c r="C790" s="1"/>
      <c r="D790" s="1"/>
      <c r="E790" s="1"/>
      <c r="F790" s="1"/>
      <c r="G790" s="1"/>
      <c r="H790" s="1"/>
      <c r="I790" s="1"/>
      <c r="J790" s="1"/>
      <c r="K790" s="1"/>
      <c r="L790" s="1"/>
      <c r="M790" s="1"/>
      <c r="N790" s="1"/>
      <c r="O790" s="1"/>
      <c r="P790" s="1"/>
      <c r="Q790" s="1"/>
      <c r="R790" s="1"/>
      <c r="S790" s="1"/>
      <c r="T790" s="1"/>
      <c r="U790" s="2"/>
      <c r="V790" s="1"/>
      <c r="W790" s="1"/>
      <c r="X790" s="1"/>
      <c r="Y790" s="1"/>
      <c r="Z790" s="1"/>
    </row>
    <row r="791" spans="1:26" ht="24.75" customHeight="1">
      <c r="A791" s="1"/>
      <c r="B791" s="1"/>
      <c r="C791" s="1"/>
      <c r="D791" s="1"/>
      <c r="E791" s="1"/>
      <c r="F791" s="1"/>
      <c r="G791" s="1"/>
      <c r="H791" s="1"/>
      <c r="I791" s="1"/>
      <c r="J791" s="1"/>
      <c r="K791" s="1"/>
      <c r="L791" s="1"/>
      <c r="M791" s="1"/>
      <c r="N791" s="1"/>
      <c r="O791" s="1"/>
      <c r="P791" s="1"/>
      <c r="Q791" s="1"/>
      <c r="R791" s="1"/>
      <c r="S791" s="1"/>
      <c r="T791" s="1"/>
      <c r="U791" s="2"/>
      <c r="V791" s="1"/>
      <c r="W791" s="1"/>
      <c r="X791" s="1"/>
      <c r="Y791" s="1"/>
      <c r="Z791" s="1"/>
    </row>
    <row r="792" spans="1:26" ht="24.75" customHeight="1">
      <c r="A792" s="1"/>
      <c r="B792" s="1"/>
      <c r="C792" s="1"/>
      <c r="D792" s="1"/>
      <c r="E792" s="1"/>
      <c r="F792" s="1"/>
      <c r="G792" s="1"/>
      <c r="H792" s="1"/>
      <c r="I792" s="1"/>
      <c r="J792" s="1"/>
      <c r="K792" s="1"/>
      <c r="L792" s="1"/>
      <c r="M792" s="1"/>
      <c r="N792" s="1"/>
      <c r="O792" s="1"/>
      <c r="P792" s="1"/>
      <c r="Q792" s="1"/>
      <c r="R792" s="1"/>
      <c r="S792" s="1"/>
      <c r="T792" s="1"/>
      <c r="U792" s="2"/>
      <c r="V792" s="1"/>
      <c r="W792" s="1"/>
      <c r="X792" s="1"/>
      <c r="Y792" s="1"/>
      <c r="Z792" s="1"/>
    </row>
    <row r="793" spans="1:26" ht="24.75" customHeight="1">
      <c r="A793" s="1"/>
      <c r="B793" s="1"/>
      <c r="C793" s="1"/>
      <c r="D793" s="1"/>
      <c r="E793" s="1"/>
      <c r="F793" s="1"/>
      <c r="G793" s="1"/>
      <c r="H793" s="1"/>
      <c r="I793" s="1"/>
      <c r="J793" s="1"/>
      <c r="K793" s="1"/>
      <c r="L793" s="1"/>
      <c r="M793" s="1"/>
      <c r="N793" s="1"/>
      <c r="O793" s="1"/>
      <c r="P793" s="1"/>
      <c r="Q793" s="1"/>
      <c r="R793" s="1"/>
      <c r="S793" s="1"/>
      <c r="T793" s="1"/>
      <c r="U793" s="2"/>
      <c r="V793" s="1"/>
      <c r="W793" s="1"/>
      <c r="X793" s="1"/>
      <c r="Y793" s="1"/>
      <c r="Z793" s="1"/>
    </row>
    <row r="794" spans="1:26" ht="24.75" customHeight="1">
      <c r="A794" s="1"/>
      <c r="B794" s="1"/>
      <c r="C794" s="1"/>
      <c r="D794" s="1"/>
      <c r="E794" s="1"/>
      <c r="F794" s="1"/>
      <c r="G794" s="1"/>
      <c r="H794" s="1"/>
      <c r="I794" s="1"/>
      <c r="J794" s="1"/>
      <c r="K794" s="1"/>
      <c r="L794" s="1"/>
      <c r="M794" s="1"/>
      <c r="N794" s="1"/>
      <c r="O794" s="1"/>
      <c r="P794" s="1"/>
      <c r="Q794" s="1"/>
      <c r="R794" s="1"/>
      <c r="S794" s="1"/>
      <c r="T794" s="1"/>
      <c r="U794" s="2"/>
      <c r="V794" s="1"/>
      <c r="W794" s="1"/>
      <c r="X794" s="1"/>
      <c r="Y794" s="1"/>
      <c r="Z794" s="1"/>
    </row>
    <row r="795" spans="1:26" ht="24.75" customHeight="1">
      <c r="A795" s="1"/>
      <c r="B795" s="1"/>
      <c r="C795" s="1"/>
      <c r="D795" s="1"/>
      <c r="E795" s="1"/>
      <c r="F795" s="1"/>
      <c r="G795" s="1"/>
      <c r="H795" s="1"/>
      <c r="I795" s="1"/>
      <c r="J795" s="1"/>
      <c r="K795" s="1"/>
      <c r="L795" s="1"/>
      <c r="M795" s="1"/>
      <c r="N795" s="1"/>
      <c r="O795" s="1"/>
      <c r="P795" s="1"/>
      <c r="Q795" s="1"/>
      <c r="R795" s="1"/>
      <c r="S795" s="1"/>
      <c r="T795" s="1"/>
      <c r="U795" s="2"/>
      <c r="V795" s="1"/>
      <c r="W795" s="1"/>
      <c r="X795" s="1"/>
      <c r="Y795" s="1"/>
      <c r="Z795" s="1"/>
    </row>
    <row r="796" spans="1:26" ht="24.75" customHeight="1">
      <c r="A796" s="1"/>
      <c r="B796" s="1"/>
      <c r="C796" s="1"/>
      <c r="D796" s="1"/>
      <c r="E796" s="1"/>
      <c r="F796" s="1"/>
      <c r="G796" s="1"/>
      <c r="H796" s="1"/>
      <c r="I796" s="1"/>
      <c r="J796" s="1"/>
      <c r="K796" s="1"/>
      <c r="L796" s="1"/>
      <c r="M796" s="1"/>
      <c r="N796" s="1"/>
      <c r="O796" s="1"/>
      <c r="P796" s="1"/>
      <c r="Q796" s="1"/>
      <c r="R796" s="1"/>
      <c r="S796" s="1"/>
      <c r="T796" s="1"/>
      <c r="U796" s="2"/>
      <c r="V796" s="1"/>
      <c r="W796" s="1"/>
      <c r="X796" s="1"/>
      <c r="Y796" s="1"/>
      <c r="Z796" s="1"/>
    </row>
    <row r="797" spans="1:26" ht="24.75" customHeight="1">
      <c r="A797" s="1"/>
      <c r="B797" s="1"/>
      <c r="C797" s="1"/>
      <c r="D797" s="1"/>
      <c r="E797" s="1"/>
      <c r="F797" s="1"/>
      <c r="G797" s="1"/>
      <c r="H797" s="1"/>
      <c r="I797" s="1"/>
      <c r="J797" s="1"/>
      <c r="K797" s="1"/>
      <c r="L797" s="1"/>
      <c r="M797" s="1"/>
      <c r="N797" s="1"/>
      <c r="O797" s="1"/>
      <c r="P797" s="1"/>
      <c r="Q797" s="1"/>
      <c r="R797" s="1"/>
      <c r="S797" s="1"/>
      <c r="T797" s="1"/>
      <c r="U797" s="2"/>
      <c r="V797" s="1"/>
      <c r="W797" s="1"/>
      <c r="X797" s="1"/>
      <c r="Y797" s="1"/>
      <c r="Z797" s="1"/>
    </row>
    <row r="798" spans="1:26" ht="24.75" customHeight="1">
      <c r="A798" s="1"/>
      <c r="B798" s="1"/>
      <c r="C798" s="1"/>
      <c r="D798" s="1"/>
      <c r="E798" s="1"/>
      <c r="F798" s="1"/>
      <c r="G798" s="1"/>
      <c r="H798" s="1"/>
      <c r="I798" s="1"/>
      <c r="J798" s="1"/>
      <c r="K798" s="1"/>
      <c r="L798" s="1"/>
      <c r="M798" s="1"/>
      <c r="N798" s="1"/>
      <c r="O798" s="1"/>
      <c r="P798" s="1"/>
      <c r="Q798" s="1"/>
      <c r="R798" s="1"/>
      <c r="S798" s="1"/>
      <c r="T798" s="1"/>
      <c r="U798" s="2"/>
      <c r="V798" s="1"/>
      <c r="W798" s="1"/>
      <c r="X798" s="1"/>
      <c r="Y798" s="1"/>
      <c r="Z798" s="1"/>
    </row>
    <row r="799" spans="1:26" ht="24.75" customHeight="1">
      <c r="A799" s="1"/>
      <c r="B799" s="1"/>
      <c r="C799" s="1"/>
      <c r="D799" s="1"/>
      <c r="E799" s="1"/>
      <c r="F799" s="1"/>
      <c r="G799" s="1"/>
      <c r="H799" s="1"/>
      <c r="I799" s="1"/>
      <c r="J799" s="1"/>
      <c r="K799" s="1"/>
      <c r="L799" s="1"/>
      <c r="M799" s="1"/>
      <c r="N799" s="1"/>
      <c r="O799" s="1"/>
      <c r="P799" s="1"/>
      <c r="Q799" s="1"/>
      <c r="R799" s="1"/>
      <c r="S799" s="1"/>
      <c r="T799" s="1"/>
      <c r="U799" s="2"/>
      <c r="V799" s="1"/>
      <c r="W799" s="1"/>
      <c r="X799" s="1"/>
      <c r="Y799" s="1"/>
      <c r="Z799" s="1"/>
    </row>
    <row r="800" spans="1:26" ht="24.75" customHeight="1">
      <c r="A800" s="1"/>
      <c r="B800" s="1"/>
      <c r="C800" s="1"/>
      <c r="D800" s="1"/>
      <c r="E800" s="1"/>
      <c r="F800" s="1"/>
      <c r="G800" s="1"/>
      <c r="H800" s="1"/>
      <c r="I800" s="1"/>
      <c r="J800" s="1"/>
      <c r="K800" s="1"/>
      <c r="L800" s="1"/>
      <c r="M800" s="1"/>
      <c r="N800" s="1"/>
      <c r="O800" s="1"/>
      <c r="P800" s="1"/>
      <c r="Q800" s="1"/>
      <c r="R800" s="1"/>
      <c r="S800" s="1"/>
      <c r="T800" s="1"/>
      <c r="U800" s="2"/>
      <c r="V800" s="1"/>
      <c r="W800" s="1"/>
      <c r="X800" s="1"/>
      <c r="Y800" s="1"/>
      <c r="Z800" s="1"/>
    </row>
    <row r="801" spans="1:26" ht="24.75" customHeight="1">
      <c r="A801" s="1"/>
      <c r="B801" s="1"/>
      <c r="C801" s="1"/>
      <c r="D801" s="1"/>
      <c r="E801" s="1"/>
      <c r="F801" s="1"/>
      <c r="G801" s="1"/>
      <c r="H801" s="1"/>
      <c r="I801" s="1"/>
      <c r="J801" s="1"/>
      <c r="K801" s="1"/>
      <c r="L801" s="1"/>
      <c r="M801" s="1"/>
      <c r="N801" s="1"/>
      <c r="O801" s="1"/>
      <c r="P801" s="1"/>
      <c r="Q801" s="1"/>
      <c r="R801" s="1"/>
      <c r="S801" s="1"/>
      <c r="T801" s="1"/>
      <c r="U801" s="2"/>
      <c r="V801" s="1"/>
      <c r="W801" s="1"/>
      <c r="X801" s="1"/>
      <c r="Y801" s="1"/>
      <c r="Z801" s="1"/>
    </row>
    <row r="802" spans="1:26" ht="24.75" customHeight="1">
      <c r="A802" s="1"/>
      <c r="B802" s="1"/>
      <c r="C802" s="1"/>
      <c r="D802" s="1"/>
      <c r="E802" s="1"/>
      <c r="F802" s="1"/>
      <c r="G802" s="1"/>
      <c r="H802" s="1"/>
      <c r="I802" s="1"/>
      <c r="J802" s="1"/>
      <c r="K802" s="1"/>
      <c r="L802" s="1"/>
      <c r="M802" s="1"/>
      <c r="N802" s="1"/>
      <c r="O802" s="1"/>
      <c r="P802" s="1"/>
      <c r="Q802" s="1"/>
      <c r="R802" s="1"/>
      <c r="S802" s="1"/>
      <c r="T802" s="1"/>
      <c r="U802" s="2"/>
      <c r="V802" s="1"/>
      <c r="W802" s="1"/>
      <c r="X802" s="1"/>
      <c r="Y802" s="1"/>
      <c r="Z802" s="1"/>
    </row>
    <row r="803" spans="1:26" ht="24.75" customHeight="1">
      <c r="A803" s="1"/>
      <c r="B803" s="1"/>
      <c r="C803" s="1"/>
      <c r="D803" s="1"/>
      <c r="E803" s="1"/>
      <c r="F803" s="1"/>
      <c r="G803" s="1"/>
      <c r="H803" s="1"/>
      <c r="I803" s="1"/>
      <c r="J803" s="1"/>
      <c r="K803" s="1"/>
      <c r="L803" s="1"/>
      <c r="M803" s="1"/>
      <c r="N803" s="1"/>
      <c r="O803" s="1"/>
      <c r="P803" s="1"/>
      <c r="Q803" s="1"/>
      <c r="R803" s="1"/>
      <c r="S803" s="1"/>
      <c r="T803" s="1"/>
      <c r="U803" s="2"/>
      <c r="V803" s="1"/>
      <c r="W803" s="1"/>
      <c r="X803" s="1"/>
      <c r="Y803" s="1"/>
      <c r="Z803" s="1"/>
    </row>
    <row r="804" spans="1:26" ht="24.75" customHeight="1">
      <c r="A804" s="1"/>
      <c r="B804" s="1"/>
      <c r="C804" s="1"/>
      <c r="D804" s="1"/>
      <c r="E804" s="1"/>
      <c r="F804" s="1"/>
      <c r="G804" s="1"/>
      <c r="H804" s="1"/>
      <c r="I804" s="1"/>
      <c r="J804" s="1"/>
      <c r="K804" s="1"/>
      <c r="L804" s="1"/>
      <c r="M804" s="1"/>
      <c r="N804" s="1"/>
      <c r="O804" s="1"/>
      <c r="P804" s="1"/>
      <c r="Q804" s="1"/>
      <c r="R804" s="1"/>
      <c r="S804" s="1"/>
      <c r="T804" s="1"/>
      <c r="U804" s="2"/>
      <c r="V804" s="1"/>
      <c r="W804" s="1"/>
      <c r="X804" s="1"/>
      <c r="Y804" s="1"/>
      <c r="Z804" s="1"/>
    </row>
    <row r="805" spans="1:26" ht="24.75" customHeight="1">
      <c r="A805" s="1"/>
      <c r="B805" s="1"/>
      <c r="C805" s="1"/>
      <c r="D805" s="1"/>
      <c r="E805" s="1"/>
      <c r="F805" s="1"/>
      <c r="G805" s="1"/>
      <c r="H805" s="1"/>
      <c r="I805" s="1"/>
      <c r="J805" s="1"/>
      <c r="K805" s="1"/>
      <c r="L805" s="1"/>
      <c r="M805" s="1"/>
      <c r="N805" s="1"/>
      <c r="O805" s="1"/>
      <c r="P805" s="1"/>
      <c r="Q805" s="1"/>
      <c r="R805" s="1"/>
      <c r="S805" s="1"/>
      <c r="T805" s="1"/>
      <c r="U805" s="2"/>
      <c r="V805" s="1"/>
      <c r="W805" s="1"/>
      <c r="X805" s="1"/>
      <c r="Y805" s="1"/>
      <c r="Z805" s="1"/>
    </row>
    <row r="806" spans="1:26" ht="24.75" customHeight="1">
      <c r="A806" s="1"/>
      <c r="B806" s="1"/>
      <c r="C806" s="1"/>
      <c r="D806" s="1"/>
      <c r="E806" s="1"/>
      <c r="F806" s="1"/>
      <c r="G806" s="1"/>
      <c r="H806" s="1"/>
      <c r="I806" s="1"/>
      <c r="J806" s="1"/>
      <c r="K806" s="1"/>
      <c r="L806" s="1"/>
      <c r="M806" s="1"/>
      <c r="N806" s="1"/>
      <c r="O806" s="1"/>
      <c r="P806" s="1"/>
      <c r="Q806" s="1"/>
      <c r="R806" s="1"/>
      <c r="S806" s="1"/>
      <c r="T806" s="1"/>
      <c r="U806" s="2"/>
      <c r="V806" s="1"/>
      <c r="W806" s="1"/>
      <c r="X806" s="1"/>
      <c r="Y806" s="1"/>
      <c r="Z806" s="1"/>
    </row>
    <row r="807" spans="1:26" ht="24.75" customHeight="1">
      <c r="A807" s="1"/>
      <c r="B807" s="1"/>
      <c r="C807" s="1"/>
      <c r="D807" s="1"/>
      <c r="E807" s="1"/>
      <c r="F807" s="1"/>
      <c r="G807" s="1"/>
      <c r="H807" s="1"/>
      <c r="I807" s="1"/>
      <c r="J807" s="1"/>
      <c r="K807" s="1"/>
      <c r="L807" s="1"/>
      <c r="M807" s="1"/>
      <c r="N807" s="1"/>
      <c r="O807" s="1"/>
      <c r="P807" s="1"/>
      <c r="Q807" s="1"/>
      <c r="R807" s="1"/>
      <c r="S807" s="1"/>
      <c r="T807" s="1"/>
      <c r="U807" s="2"/>
      <c r="V807" s="1"/>
      <c r="W807" s="1"/>
      <c r="X807" s="1"/>
      <c r="Y807" s="1"/>
      <c r="Z807" s="1"/>
    </row>
    <row r="808" spans="1:26" ht="24.75" customHeight="1">
      <c r="A808" s="1"/>
      <c r="B808" s="1"/>
      <c r="C808" s="1"/>
      <c r="D808" s="1"/>
      <c r="E808" s="1"/>
      <c r="F808" s="1"/>
      <c r="G808" s="1"/>
      <c r="H808" s="1"/>
      <c r="I808" s="1"/>
      <c r="J808" s="1"/>
      <c r="K808" s="1"/>
      <c r="L808" s="1"/>
      <c r="M808" s="1"/>
      <c r="N808" s="1"/>
      <c r="O808" s="1"/>
      <c r="P808" s="1"/>
      <c r="Q808" s="1"/>
      <c r="R808" s="1"/>
      <c r="S808" s="1"/>
      <c r="T808" s="1"/>
      <c r="U808" s="2"/>
      <c r="V808" s="1"/>
      <c r="W808" s="1"/>
      <c r="X808" s="1"/>
      <c r="Y808" s="1"/>
      <c r="Z808" s="1"/>
    </row>
    <row r="809" spans="1:26" ht="24.75" customHeight="1">
      <c r="A809" s="1"/>
      <c r="B809" s="1"/>
      <c r="C809" s="1"/>
      <c r="D809" s="1"/>
      <c r="E809" s="1"/>
      <c r="F809" s="1"/>
      <c r="G809" s="1"/>
      <c r="H809" s="1"/>
      <c r="I809" s="1"/>
      <c r="J809" s="1"/>
      <c r="K809" s="1"/>
      <c r="L809" s="1"/>
      <c r="M809" s="1"/>
      <c r="N809" s="1"/>
      <c r="O809" s="1"/>
      <c r="P809" s="1"/>
      <c r="Q809" s="1"/>
      <c r="R809" s="1"/>
      <c r="S809" s="1"/>
      <c r="T809" s="1"/>
      <c r="U809" s="2"/>
      <c r="V809" s="1"/>
      <c r="W809" s="1"/>
      <c r="X809" s="1"/>
      <c r="Y809" s="1"/>
      <c r="Z809" s="1"/>
    </row>
    <row r="810" spans="1:26" ht="24.75" customHeight="1">
      <c r="A810" s="1"/>
      <c r="B810" s="1"/>
      <c r="C810" s="1"/>
      <c r="D810" s="1"/>
      <c r="E810" s="1"/>
      <c r="F810" s="1"/>
      <c r="G810" s="1"/>
      <c r="H810" s="1"/>
      <c r="I810" s="1"/>
      <c r="J810" s="1"/>
      <c r="K810" s="1"/>
      <c r="L810" s="1"/>
      <c r="M810" s="1"/>
      <c r="N810" s="1"/>
      <c r="O810" s="1"/>
      <c r="P810" s="1"/>
      <c r="Q810" s="1"/>
      <c r="R810" s="1"/>
      <c r="S810" s="1"/>
      <c r="T810" s="1"/>
      <c r="U810" s="2"/>
      <c r="V810" s="1"/>
      <c r="W810" s="1"/>
      <c r="X810" s="1"/>
      <c r="Y810" s="1"/>
      <c r="Z810" s="1"/>
    </row>
    <row r="811" spans="1:26" ht="24.75" customHeight="1">
      <c r="A811" s="1"/>
      <c r="B811" s="1"/>
      <c r="C811" s="1"/>
      <c r="D811" s="1"/>
      <c r="E811" s="1"/>
      <c r="F811" s="1"/>
      <c r="G811" s="1"/>
      <c r="H811" s="1"/>
      <c r="I811" s="1"/>
      <c r="J811" s="1"/>
      <c r="K811" s="1"/>
      <c r="L811" s="1"/>
      <c r="M811" s="1"/>
      <c r="N811" s="1"/>
      <c r="O811" s="1"/>
      <c r="P811" s="1"/>
      <c r="Q811" s="1"/>
      <c r="R811" s="1"/>
      <c r="S811" s="1"/>
      <c r="T811" s="1"/>
      <c r="U811" s="2"/>
      <c r="V811" s="1"/>
      <c r="W811" s="1"/>
      <c r="X811" s="1"/>
      <c r="Y811" s="1"/>
      <c r="Z811" s="1"/>
    </row>
    <row r="812" spans="1:26" ht="24.75" customHeight="1">
      <c r="A812" s="1"/>
      <c r="B812" s="1"/>
      <c r="C812" s="1"/>
      <c r="D812" s="1"/>
      <c r="E812" s="1"/>
      <c r="F812" s="1"/>
      <c r="G812" s="1"/>
      <c r="H812" s="1"/>
      <c r="I812" s="1"/>
      <c r="J812" s="1"/>
      <c r="K812" s="1"/>
      <c r="L812" s="1"/>
      <c r="M812" s="1"/>
      <c r="N812" s="1"/>
      <c r="O812" s="1"/>
      <c r="P812" s="1"/>
      <c r="Q812" s="1"/>
      <c r="R812" s="1"/>
      <c r="S812" s="1"/>
      <c r="T812" s="1"/>
      <c r="U812" s="2"/>
      <c r="V812" s="1"/>
      <c r="W812" s="1"/>
      <c r="X812" s="1"/>
      <c r="Y812" s="1"/>
      <c r="Z812" s="1"/>
    </row>
    <row r="813" spans="1:26" ht="24.75" customHeight="1">
      <c r="A813" s="1"/>
      <c r="B813" s="1"/>
      <c r="C813" s="1"/>
      <c r="D813" s="1"/>
      <c r="E813" s="1"/>
      <c r="F813" s="1"/>
      <c r="G813" s="1"/>
      <c r="H813" s="1"/>
      <c r="I813" s="1"/>
      <c r="J813" s="1"/>
      <c r="K813" s="1"/>
      <c r="L813" s="1"/>
      <c r="M813" s="1"/>
      <c r="N813" s="1"/>
      <c r="O813" s="1"/>
      <c r="P813" s="1"/>
      <c r="Q813" s="1"/>
      <c r="R813" s="1"/>
      <c r="S813" s="1"/>
      <c r="T813" s="1"/>
      <c r="U813" s="2"/>
      <c r="V813" s="1"/>
      <c r="W813" s="1"/>
      <c r="X813" s="1"/>
      <c r="Y813" s="1"/>
      <c r="Z813" s="1"/>
    </row>
    <row r="814" spans="1:26" ht="24.75" customHeight="1">
      <c r="A814" s="1"/>
      <c r="B814" s="1"/>
      <c r="C814" s="1"/>
      <c r="D814" s="1"/>
      <c r="E814" s="1"/>
      <c r="F814" s="1"/>
      <c r="G814" s="1"/>
      <c r="H814" s="1"/>
      <c r="I814" s="1"/>
      <c r="J814" s="1"/>
      <c r="K814" s="1"/>
      <c r="L814" s="1"/>
      <c r="M814" s="1"/>
      <c r="N814" s="1"/>
      <c r="O814" s="1"/>
      <c r="P814" s="1"/>
      <c r="Q814" s="1"/>
      <c r="R814" s="1"/>
      <c r="S814" s="1"/>
      <c r="T814" s="1"/>
      <c r="U814" s="2"/>
      <c r="V814" s="1"/>
      <c r="W814" s="1"/>
      <c r="X814" s="1"/>
      <c r="Y814" s="1"/>
      <c r="Z814" s="1"/>
    </row>
    <row r="815" spans="1:26" ht="24.75" customHeight="1">
      <c r="A815" s="1"/>
      <c r="B815" s="1"/>
      <c r="C815" s="1"/>
      <c r="D815" s="1"/>
      <c r="E815" s="1"/>
      <c r="F815" s="1"/>
      <c r="G815" s="1"/>
      <c r="H815" s="1"/>
      <c r="I815" s="1"/>
      <c r="J815" s="1"/>
      <c r="K815" s="1"/>
      <c r="L815" s="1"/>
      <c r="M815" s="1"/>
      <c r="N815" s="1"/>
      <c r="O815" s="1"/>
      <c r="P815" s="1"/>
      <c r="Q815" s="1"/>
      <c r="R815" s="1"/>
      <c r="S815" s="1"/>
      <c r="T815" s="1"/>
      <c r="U815" s="2"/>
      <c r="V815" s="1"/>
      <c r="W815" s="1"/>
      <c r="X815" s="1"/>
      <c r="Y815" s="1"/>
      <c r="Z815" s="1"/>
    </row>
    <row r="816" spans="1:26" ht="24.75" customHeight="1">
      <c r="A816" s="1"/>
      <c r="B816" s="1"/>
      <c r="C816" s="1"/>
      <c r="D816" s="1"/>
      <c r="E816" s="1"/>
      <c r="F816" s="1"/>
      <c r="G816" s="1"/>
      <c r="H816" s="1"/>
      <c r="I816" s="1"/>
      <c r="J816" s="1"/>
      <c r="K816" s="1"/>
      <c r="L816" s="1"/>
      <c r="M816" s="1"/>
      <c r="N816" s="1"/>
      <c r="O816" s="1"/>
      <c r="P816" s="1"/>
      <c r="Q816" s="1"/>
      <c r="R816" s="1"/>
      <c r="S816" s="1"/>
      <c r="T816" s="1"/>
      <c r="U816" s="2"/>
      <c r="V816" s="1"/>
      <c r="W816" s="1"/>
      <c r="X816" s="1"/>
      <c r="Y816" s="1"/>
      <c r="Z816" s="1"/>
    </row>
    <row r="817" spans="1:26" ht="24.75" customHeight="1">
      <c r="A817" s="1"/>
      <c r="B817" s="1"/>
      <c r="C817" s="1"/>
      <c r="D817" s="1"/>
      <c r="E817" s="1"/>
      <c r="F817" s="1"/>
      <c r="G817" s="1"/>
      <c r="H817" s="1"/>
      <c r="I817" s="1"/>
      <c r="J817" s="1"/>
      <c r="K817" s="1"/>
      <c r="L817" s="1"/>
      <c r="M817" s="1"/>
      <c r="N817" s="1"/>
      <c r="O817" s="1"/>
      <c r="P817" s="1"/>
      <c r="Q817" s="1"/>
      <c r="R817" s="1"/>
      <c r="S817" s="1"/>
      <c r="T817" s="1"/>
      <c r="U817" s="2"/>
      <c r="V817" s="1"/>
      <c r="W817" s="1"/>
      <c r="X817" s="1"/>
      <c r="Y817" s="1"/>
      <c r="Z817" s="1"/>
    </row>
    <row r="818" spans="1:26" ht="24.75" customHeight="1">
      <c r="A818" s="1"/>
      <c r="B818" s="1"/>
      <c r="C818" s="1"/>
      <c r="D818" s="1"/>
      <c r="E818" s="1"/>
      <c r="F818" s="1"/>
      <c r="G818" s="1"/>
      <c r="H818" s="1"/>
      <c r="I818" s="1"/>
      <c r="J818" s="1"/>
      <c r="K818" s="1"/>
      <c r="L818" s="1"/>
      <c r="M818" s="1"/>
      <c r="N818" s="1"/>
      <c r="O818" s="1"/>
      <c r="P818" s="1"/>
      <c r="Q818" s="1"/>
      <c r="R818" s="1"/>
      <c r="S818" s="1"/>
      <c r="T818" s="1"/>
      <c r="U818" s="2"/>
      <c r="V818" s="1"/>
      <c r="W818" s="1"/>
      <c r="X818" s="1"/>
      <c r="Y818" s="1"/>
      <c r="Z818" s="1"/>
    </row>
    <row r="819" spans="1:26" ht="24.75" customHeight="1">
      <c r="A819" s="1"/>
      <c r="B819" s="1"/>
      <c r="C819" s="1"/>
      <c r="D819" s="1"/>
      <c r="E819" s="1"/>
      <c r="F819" s="1"/>
      <c r="G819" s="1"/>
      <c r="H819" s="1"/>
      <c r="I819" s="1"/>
      <c r="J819" s="1"/>
      <c r="K819" s="1"/>
      <c r="L819" s="1"/>
      <c r="M819" s="1"/>
      <c r="N819" s="1"/>
      <c r="O819" s="1"/>
      <c r="P819" s="1"/>
      <c r="Q819" s="1"/>
      <c r="R819" s="1"/>
      <c r="S819" s="1"/>
      <c r="T819" s="1"/>
      <c r="U819" s="2"/>
      <c r="V819" s="1"/>
      <c r="W819" s="1"/>
      <c r="X819" s="1"/>
      <c r="Y819" s="1"/>
      <c r="Z819" s="1"/>
    </row>
    <row r="820" spans="1:26" ht="24.75" customHeight="1">
      <c r="A820" s="1"/>
      <c r="B820" s="1"/>
      <c r="C820" s="1"/>
      <c r="D820" s="1"/>
      <c r="E820" s="1"/>
      <c r="F820" s="1"/>
      <c r="G820" s="1"/>
      <c r="H820" s="1"/>
      <c r="I820" s="1"/>
      <c r="J820" s="1"/>
      <c r="K820" s="1"/>
      <c r="L820" s="1"/>
      <c r="M820" s="1"/>
      <c r="N820" s="1"/>
      <c r="O820" s="1"/>
      <c r="P820" s="1"/>
      <c r="Q820" s="1"/>
      <c r="R820" s="1"/>
      <c r="S820" s="1"/>
      <c r="T820" s="1"/>
      <c r="U820" s="2"/>
      <c r="V820" s="1"/>
      <c r="W820" s="1"/>
      <c r="X820" s="1"/>
      <c r="Y820" s="1"/>
      <c r="Z820" s="1"/>
    </row>
    <row r="821" spans="1:26" ht="24.75" customHeight="1">
      <c r="A821" s="1"/>
      <c r="B821" s="1"/>
      <c r="C821" s="1"/>
      <c r="D821" s="1"/>
      <c r="E821" s="1"/>
      <c r="F821" s="1"/>
      <c r="G821" s="1"/>
      <c r="H821" s="1"/>
      <c r="I821" s="1"/>
      <c r="J821" s="1"/>
      <c r="K821" s="1"/>
      <c r="L821" s="1"/>
      <c r="M821" s="1"/>
      <c r="N821" s="1"/>
      <c r="O821" s="1"/>
      <c r="P821" s="1"/>
      <c r="Q821" s="1"/>
      <c r="R821" s="1"/>
      <c r="S821" s="1"/>
      <c r="T821" s="1"/>
      <c r="U821" s="2"/>
      <c r="V821" s="1"/>
      <c r="W821" s="1"/>
      <c r="X821" s="1"/>
      <c r="Y821" s="1"/>
      <c r="Z821" s="1"/>
    </row>
    <row r="822" spans="1:26" ht="24.75" customHeight="1">
      <c r="A822" s="1"/>
      <c r="B822" s="1"/>
      <c r="C822" s="1"/>
      <c r="D822" s="1"/>
      <c r="E822" s="1"/>
      <c r="F822" s="1"/>
      <c r="G822" s="1"/>
      <c r="H822" s="1"/>
      <c r="I822" s="1"/>
      <c r="J822" s="1"/>
      <c r="K822" s="1"/>
      <c r="L822" s="1"/>
      <c r="M822" s="1"/>
      <c r="N822" s="1"/>
      <c r="O822" s="1"/>
      <c r="P822" s="1"/>
      <c r="Q822" s="1"/>
      <c r="R822" s="1"/>
      <c r="S822" s="1"/>
      <c r="T822" s="1"/>
      <c r="U822" s="2"/>
      <c r="V822" s="1"/>
      <c r="W822" s="1"/>
      <c r="X822" s="1"/>
      <c r="Y822" s="1"/>
      <c r="Z822" s="1"/>
    </row>
    <row r="823" spans="1:26" ht="24.75" customHeight="1">
      <c r="A823" s="1"/>
      <c r="B823" s="1"/>
      <c r="C823" s="1"/>
      <c r="D823" s="1"/>
      <c r="E823" s="1"/>
      <c r="F823" s="1"/>
      <c r="G823" s="1"/>
      <c r="H823" s="1"/>
      <c r="I823" s="1"/>
      <c r="J823" s="1"/>
      <c r="K823" s="1"/>
      <c r="L823" s="1"/>
      <c r="M823" s="1"/>
      <c r="N823" s="1"/>
      <c r="O823" s="1"/>
      <c r="P823" s="1"/>
      <c r="Q823" s="1"/>
      <c r="R823" s="1"/>
      <c r="S823" s="1"/>
      <c r="T823" s="1"/>
      <c r="U823" s="2"/>
      <c r="V823" s="1"/>
      <c r="W823" s="1"/>
      <c r="X823" s="1"/>
      <c r="Y823" s="1"/>
      <c r="Z823" s="1"/>
    </row>
    <row r="824" spans="1:26" ht="24.75" customHeight="1">
      <c r="A824" s="1"/>
      <c r="B824" s="1"/>
      <c r="C824" s="1"/>
      <c r="D824" s="1"/>
      <c r="E824" s="1"/>
      <c r="F824" s="1"/>
      <c r="G824" s="1"/>
      <c r="H824" s="1"/>
      <c r="I824" s="1"/>
      <c r="J824" s="1"/>
      <c r="K824" s="1"/>
      <c r="L824" s="1"/>
      <c r="M824" s="1"/>
      <c r="N824" s="1"/>
      <c r="O824" s="1"/>
      <c r="P824" s="1"/>
      <c r="Q824" s="1"/>
      <c r="R824" s="1"/>
      <c r="S824" s="1"/>
      <c r="T824" s="1"/>
      <c r="U824" s="2"/>
      <c r="V824" s="1"/>
      <c r="W824" s="1"/>
      <c r="X824" s="1"/>
      <c r="Y824" s="1"/>
      <c r="Z824" s="1"/>
    </row>
    <row r="825" spans="1:26" ht="24.75" customHeight="1">
      <c r="A825" s="1"/>
      <c r="B825" s="1"/>
      <c r="C825" s="1"/>
      <c r="D825" s="1"/>
      <c r="E825" s="1"/>
      <c r="F825" s="1"/>
      <c r="G825" s="1"/>
      <c r="H825" s="1"/>
      <c r="I825" s="1"/>
      <c r="J825" s="1"/>
      <c r="K825" s="1"/>
      <c r="L825" s="1"/>
      <c r="M825" s="1"/>
      <c r="N825" s="1"/>
      <c r="O825" s="1"/>
      <c r="P825" s="1"/>
      <c r="Q825" s="1"/>
      <c r="R825" s="1"/>
      <c r="S825" s="1"/>
      <c r="T825" s="1"/>
      <c r="U825" s="2"/>
      <c r="V825" s="1"/>
      <c r="W825" s="1"/>
      <c r="X825" s="1"/>
      <c r="Y825" s="1"/>
      <c r="Z825" s="1"/>
    </row>
    <row r="826" spans="1:26" ht="24.75" customHeight="1">
      <c r="A826" s="1"/>
      <c r="B826" s="1"/>
      <c r="C826" s="1"/>
      <c r="D826" s="1"/>
      <c r="E826" s="1"/>
      <c r="F826" s="1"/>
      <c r="G826" s="1"/>
      <c r="H826" s="1"/>
      <c r="I826" s="1"/>
      <c r="J826" s="1"/>
      <c r="K826" s="1"/>
      <c r="L826" s="1"/>
      <c r="M826" s="1"/>
      <c r="N826" s="1"/>
      <c r="O826" s="1"/>
      <c r="P826" s="1"/>
      <c r="Q826" s="1"/>
      <c r="R826" s="1"/>
      <c r="S826" s="1"/>
      <c r="T826" s="1"/>
      <c r="U826" s="2"/>
      <c r="V826" s="1"/>
      <c r="W826" s="1"/>
      <c r="X826" s="1"/>
      <c r="Y826" s="1"/>
      <c r="Z826" s="1"/>
    </row>
    <row r="827" spans="1:26" ht="24.75" customHeight="1">
      <c r="A827" s="1"/>
      <c r="B827" s="1"/>
      <c r="C827" s="1"/>
      <c r="D827" s="1"/>
      <c r="E827" s="1"/>
      <c r="F827" s="1"/>
      <c r="G827" s="1"/>
      <c r="H827" s="1"/>
      <c r="I827" s="1"/>
      <c r="J827" s="1"/>
      <c r="K827" s="1"/>
      <c r="L827" s="1"/>
      <c r="M827" s="1"/>
      <c r="N827" s="1"/>
      <c r="O827" s="1"/>
      <c r="P827" s="1"/>
      <c r="Q827" s="1"/>
      <c r="R827" s="1"/>
      <c r="S827" s="1"/>
      <c r="T827" s="1"/>
      <c r="U827" s="2"/>
      <c r="V827" s="1"/>
      <c r="W827" s="1"/>
      <c r="X827" s="1"/>
      <c r="Y827" s="1"/>
      <c r="Z827" s="1"/>
    </row>
    <row r="828" spans="1:26" ht="24.75" customHeight="1">
      <c r="A828" s="1"/>
      <c r="B828" s="1"/>
      <c r="C828" s="1"/>
      <c r="D828" s="1"/>
      <c r="E828" s="1"/>
      <c r="F828" s="1"/>
      <c r="G828" s="1"/>
      <c r="H828" s="1"/>
      <c r="I828" s="1"/>
      <c r="J828" s="1"/>
      <c r="K828" s="1"/>
      <c r="L828" s="1"/>
      <c r="M828" s="1"/>
      <c r="N828" s="1"/>
      <c r="O828" s="1"/>
      <c r="P828" s="1"/>
      <c r="Q828" s="1"/>
      <c r="R828" s="1"/>
      <c r="S828" s="1"/>
      <c r="T828" s="1"/>
      <c r="U828" s="2"/>
      <c r="V828" s="1"/>
      <c r="W828" s="1"/>
      <c r="X828" s="1"/>
      <c r="Y828" s="1"/>
      <c r="Z828" s="1"/>
    </row>
    <row r="829" spans="1:26" ht="24.75" customHeight="1">
      <c r="A829" s="1"/>
      <c r="B829" s="1"/>
      <c r="C829" s="1"/>
      <c r="D829" s="1"/>
      <c r="E829" s="1"/>
      <c r="F829" s="1"/>
      <c r="G829" s="1"/>
      <c r="H829" s="1"/>
      <c r="I829" s="1"/>
      <c r="J829" s="1"/>
      <c r="K829" s="1"/>
      <c r="L829" s="1"/>
      <c r="M829" s="1"/>
      <c r="N829" s="1"/>
      <c r="O829" s="1"/>
      <c r="P829" s="1"/>
      <c r="Q829" s="1"/>
      <c r="R829" s="1"/>
      <c r="S829" s="1"/>
      <c r="T829" s="1"/>
      <c r="U829" s="2"/>
      <c r="V829" s="1"/>
      <c r="W829" s="1"/>
      <c r="X829" s="1"/>
      <c r="Y829" s="1"/>
      <c r="Z829" s="1"/>
    </row>
    <row r="830" spans="1:26" ht="24.75" customHeight="1">
      <c r="A830" s="1"/>
      <c r="B830" s="1"/>
      <c r="C830" s="1"/>
      <c r="D830" s="1"/>
      <c r="E830" s="1"/>
      <c r="F830" s="1"/>
      <c r="G830" s="1"/>
      <c r="H830" s="1"/>
      <c r="I830" s="1"/>
      <c r="J830" s="1"/>
      <c r="K830" s="1"/>
      <c r="L830" s="1"/>
      <c r="M830" s="1"/>
      <c r="N830" s="1"/>
      <c r="O830" s="1"/>
      <c r="P830" s="1"/>
      <c r="Q830" s="1"/>
      <c r="R830" s="1"/>
      <c r="S830" s="1"/>
      <c r="T830" s="1"/>
      <c r="U830" s="2"/>
      <c r="V830" s="1"/>
      <c r="W830" s="1"/>
      <c r="X830" s="1"/>
      <c r="Y830" s="1"/>
      <c r="Z830" s="1"/>
    </row>
    <row r="831" spans="1:26" ht="24.75" customHeight="1">
      <c r="A831" s="1"/>
      <c r="B831" s="1"/>
      <c r="C831" s="1"/>
      <c r="D831" s="1"/>
      <c r="E831" s="1"/>
      <c r="F831" s="1"/>
      <c r="G831" s="1"/>
      <c r="H831" s="1"/>
      <c r="I831" s="1"/>
      <c r="J831" s="1"/>
      <c r="K831" s="1"/>
      <c r="L831" s="1"/>
      <c r="M831" s="1"/>
      <c r="N831" s="1"/>
      <c r="O831" s="1"/>
      <c r="P831" s="1"/>
      <c r="Q831" s="1"/>
      <c r="R831" s="1"/>
      <c r="S831" s="1"/>
      <c r="T831" s="1"/>
      <c r="U831" s="2"/>
      <c r="V831" s="1"/>
      <c r="W831" s="1"/>
      <c r="X831" s="1"/>
      <c r="Y831" s="1"/>
      <c r="Z831" s="1"/>
    </row>
    <row r="832" spans="1:26" ht="24.75" customHeight="1">
      <c r="A832" s="1"/>
      <c r="B832" s="1"/>
      <c r="C832" s="1"/>
      <c r="D832" s="1"/>
      <c r="E832" s="1"/>
      <c r="F832" s="1"/>
      <c r="G832" s="1"/>
      <c r="H832" s="1"/>
      <c r="I832" s="1"/>
      <c r="J832" s="1"/>
      <c r="K832" s="1"/>
      <c r="L832" s="1"/>
      <c r="M832" s="1"/>
      <c r="N832" s="1"/>
      <c r="O832" s="1"/>
      <c r="P832" s="1"/>
      <c r="Q832" s="1"/>
      <c r="R832" s="1"/>
      <c r="S832" s="1"/>
      <c r="T832" s="1"/>
      <c r="U832" s="2"/>
      <c r="V832" s="1"/>
      <c r="W832" s="1"/>
      <c r="X832" s="1"/>
      <c r="Y832" s="1"/>
      <c r="Z832" s="1"/>
    </row>
    <row r="833" spans="1:26" ht="24.75" customHeight="1">
      <c r="A833" s="1"/>
      <c r="B833" s="1"/>
      <c r="C833" s="1"/>
      <c r="D833" s="1"/>
      <c r="E833" s="1"/>
      <c r="F833" s="1"/>
      <c r="G833" s="1"/>
      <c r="H833" s="1"/>
      <c r="I833" s="1"/>
      <c r="J833" s="1"/>
      <c r="K833" s="1"/>
      <c r="L833" s="1"/>
      <c r="M833" s="1"/>
      <c r="N833" s="1"/>
      <c r="O833" s="1"/>
      <c r="P833" s="1"/>
      <c r="Q833" s="1"/>
      <c r="R833" s="1"/>
      <c r="S833" s="1"/>
      <c r="T833" s="1"/>
      <c r="U833" s="2"/>
      <c r="V833" s="1"/>
      <c r="W833" s="1"/>
      <c r="X833" s="1"/>
      <c r="Y833" s="1"/>
      <c r="Z833" s="1"/>
    </row>
    <row r="834" spans="1:26" ht="24.75" customHeight="1">
      <c r="A834" s="1"/>
      <c r="B834" s="1"/>
      <c r="C834" s="1"/>
      <c r="D834" s="1"/>
      <c r="E834" s="1"/>
      <c r="F834" s="1"/>
      <c r="G834" s="1"/>
      <c r="H834" s="1"/>
      <c r="I834" s="1"/>
      <c r="J834" s="1"/>
      <c r="K834" s="1"/>
      <c r="L834" s="1"/>
      <c r="M834" s="1"/>
      <c r="N834" s="1"/>
      <c r="O834" s="1"/>
      <c r="P834" s="1"/>
      <c r="Q834" s="1"/>
      <c r="R834" s="1"/>
      <c r="S834" s="1"/>
      <c r="T834" s="1"/>
      <c r="U834" s="2"/>
      <c r="V834" s="1"/>
      <c r="W834" s="1"/>
      <c r="X834" s="1"/>
      <c r="Y834" s="1"/>
      <c r="Z834" s="1"/>
    </row>
    <row r="835" spans="1:26" ht="24.75" customHeight="1">
      <c r="A835" s="1"/>
      <c r="B835" s="1"/>
      <c r="C835" s="1"/>
      <c r="D835" s="1"/>
      <c r="E835" s="1"/>
      <c r="F835" s="1"/>
      <c r="G835" s="1"/>
      <c r="H835" s="1"/>
      <c r="I835" s="1"/>
      <c r="J835" s="1"/>
      <c r="K835" s="1"/>
      <c r="L835" s="1"/>
      <c r="M835" s="1"/>
      <c r="N835" s="1"/>
      <c r="O835" s="1"/>
      <c r="P835" s="1"/>
      <c r="Q835" s="1"/>
      <c r="R835" s="1"/>
      <c r="S835" s="1"/>
      <c r="T835" s="1"/>
      <c r="U835" s="2"/>
      <c r="V835" s="1"/>
      <c r="W835" s="1"/>
      <c r="X835" s="1"/>
      <c r="Y835" s="1"/>
      <c r="Z835" s="1"/>
    </row>
    <row r="836" spans="1:26" ht="24.75" customHeight="1">
      <c r="A836" s="1"/>
      <c r="B836" s="1"/>
      <c r="C836" s="1"/>
      <c r="D836" s="1"/>
      <c r="E836" s="1"/>
      <c r="F836" s="1"/>
      <c r="G836" s="1"/>
      <c r="H836" s="1"/>
      <c r="I836" s="1"/>
      <c r="J836" s="1"/>
      <c r="K836" s="1"/>
      <c r="L836" s="1"/>
      <c r="M836" s="1"/>
      <c r="N836" s="1"/>
      <c r="O836" s="1"/>
      <c r="P836" s="1"/>
      <c r="Q836" s="1"/>
      <c r="R836" s="1"/>
      <c r="S836" s="1"/>
      <c r="T836" s="1"/>
      <c r="U836" s="2"/>
      <c r="V836" s="1"/>
      <c r="W836" s="1"/>
      <c r="X836" s="1"/>
      <c r="Y836" s="1"/>
      <c r="Z836" s="1"/>
    </row>
    <row r="837" spans="1:26" ht="24.75" customHeight="1">
      <c r="A837" s="1"/>
      <c r="B837" s="1"/>
      <c r="C837" s="1"/>
      <c r="D837" s="1"/>
      <c r="E837" s="1"/>
      <c r="F837" s="1"/>
      <c r="G837" s="1"/>
      <c r="H837" s="1"/>
      <c r="I837" s="1"/>
      <c r="J837" s="1"/>
      <c r="K837" s="1"/>
      <c r="L837" s="1"/>
      <c r="M837" s="1"/>
      <c r="N837" s="1"/>
      <c r="O837" s="1"/>
      <c r="P837" s="1"/>
      <c r="Q837" s="1"/>
      <c r="R837" s="1"/>
      <c r="S837" s="1"/>
      <c r="T837" s="1"/>
      <c r="U837" s="2"/>
      <c r="V837" s="1"/>
      <c r="W837" s="1"/>
      <c r="X837" s="1"/>
      <c r="Y837" s="1"/>
      <c r="Z837" s="1"/>
    </row>
    <row r="838" spans="1:26" ht="24.75" customHeight="1">
      <c r="A838" s="1"/>
      <c r="B838" s="1"/>
      <c r="C838" s="1"/>
      <c r="D838" s="1"/>
      <c r="E838" s="1"/>
      <c r="F838" s="1"/>
      <c r="G838" s="1"/>
      <c r="H838" s="1"/>
      <c r="I838" s="1"/>
      <c r="J838" s="1"/>
      <c r="K838" s="1"/>
      <c r="L838" s="1"/>
      <c r="M838" s="1"/>
      <c r="N838" s="1"/>
      <c r="O838" s="1"/>
      <c r="P838" s="1"/>
      <c r="Q838" s="1"/>
      <c r="R838" s="1"/>
      <c r="S838" s="1"/>
      <c r="T838" s="1"/>
      <c r="U838" s="2"/>
      <c r="V838" s="1"/>
      <c r="W838" s="1"/>
      <c r="X838" s="1"/>
      <c r="Y838" s="1"/>
      <c r="Z838" s="1"/>
    </row>
    <row r="839" spans="1:26" ht="24.75" customHeight="1">
      <c r="A839" s="1"/>
      <c r="B839" s="1"/>
      <c r="C839" s="1"/>
      <c r="D839" s="1"/>
      <c r="E839" s="1"/>
      <c r="F839" s="1"/>
      <c r="G839" s="1"/>
      <c r="H839" s="1"/>
      <c r="I839" s="1"/>
      <c r="J839" s="1"/>
      <c r="K839" s="1"/>
      <c r="L839" s="1"/>
      <c r="M839" s="1"/>
      <c r="N839" s="1"/>
      <c r="O839" s="1"/>
      <c r="P839" s="1"/>
      <c r="Q839" s="1"/>
      <c r="R839" s="1"/>
      <c r="S839" s="1"/>
      <c r="T839" s="1"/>
      <c r="U839" s="2"/>
      <c r="V839" s="1"/>
      <c r="W839" s="1"/>
      <c r="X839" s="1"/>
      <c r="Y839" s="1"/>
      <c r="Z839" s="1"/>
    </row>
    <row r="840" spans="1:26" ht="24.75" customHeight="1">
      <c r="A840" s="1"/>
      <c r="B840" s="1"/>
      <c r="C840" s="1"/>
      <c r="D840" s="1"/>
      <c r="E840" s="1"/>
      <c r="F840" s="1"/>
      <c r="G840" s="1"/>
      <c r="H840" s="1"/>
      <c r="I840" s="1"/>
      <c r="J840" s="1"/>
      <c r="K840" s="1"/>
      <c r="L840" s="1"/>
      <c r="M840" s="1"/>
      <c r="N840" s="1"/>
      <c r="O840" s="1"/>
      <c r="P840" s="1"/>
      <c r="Q840" s="1"/>
      <c r="R840" s="1"/>
      <c r="S840" s="1"/>
      <c r="T840" s="1"/>
      <c r="U840" s="2"/>
      <c r="V840" s="1"/>
      <c r="W840" s="1"/>
      <c r="X840" s="1"/>
      <c r="Y840" s="1"/>
      <c r="Z840" s="1"/>
    </row>
    <row r="841" spans="1:26" ht="24.75" customHeight="1">
      <c r="A841" s="1"/>
      <c r="B841" s="1"/>
      <c r="C841" s="1"/>
      <c r="D841" s="1"/>
      <c r="E841" s="1"/>
      <c r="F841" s="1"/>
      <c r="G841" s="1"/>
      <c r="H841" s="1"/>
      <c r="I841" s="1"/>
      <c r="J841" s="1"/>
      <c r="K841" s="1"/>
      <c r="L841" s="1"/>
      <c r="M841" s="1"/>
      <c r="N841" s="1"/>
      <c r="O841" s="1"/>
      <c r="P841" s="1"/>
      <c r="Q841" s="1"/>
      <c r="R841" s="1"/>
      <c r="S841" s="1"/>
      <c r="T841" s="1"/>
      <c r="U841" s="2"/>
      <c r="V841" s="1"/>
      <c r="W841" s="1"/>
      <c r="X841" s="1"/>
      <c r="Y841" s="1"/>
      <c r="Z841" s="1"/>
    </row>
    <row r="842" spans="1:26" ht="24.75" customHeight="1">
      <c r="A842" s="1"/>
      <c r="B842" s="1"/>
      <c r="C842" s="1"/>
      <c r="D842" s="1"/>
      <c r="E842" s="1"/>
      <c r="F842" s="1"/>
      <c r="G842" s="1"/>
      <c r="H842" s="1"/>
      <c r="I842" s="1"/>
      <c r="J842" s="1"/>
      <c r="K842" s="1"/>
      <c r="L842" s="1"/>
      <c r="M842" s="1"/>
      <c r="N842" s="1"/>
      <c r="O842" s="1"/>
      <c r="P842" s="1"/>
      <c r="Q842" s="1"/>
      <c r="R842" s="1"/>
      <c r="S842" s="1"/>
      <c r="T842" s="1"/>
      <c r="U842" s="2"/>
      <c r="V842" s="1"/>
      <c r="W842" s="1"/>
      <c r="X842" s="1"/>
      <c r="Y842" s="1"/>
      <c r="Z842" s="1"/>
    </row>
    <row r="843" spans="1:26" ht="24.75" customHeight="1">
      <c r="A843" s="1"/>
      <c r="B843" s="1"/>
      <c r="C843" s="1"/>
      <c r="D843" s="1"/>
      <c r="E843" s="1"/>
      <c r="F843" s="1"/>
      <c r="G843" s="1"/>
      <c r="H843" s="1"/>
      <c r="I843" s="1"/>
      <c r="J843" s="1"/>
      <c r="K843" s="1"/>
      <c r="L843" s="1"/>
      <c r="M843" s="1"/>
      <c r="N843" s="1"/>
      <c r="O843" s="1"/>
      <c r="P843" s="1"/>
      <c r="Q843" s="1"/>
      <c r="R843" s="1"/>
      <c r="S843" s="1"/>
      <c r="T843" s="1"/>
      <c r="U843" s="2"/>
      <c r="V843" s="1"/>
      <c r="W843" s="1"/>
      <c r="X843" s="1"/>
      <c r="Y843" s="1"/>
      <c r="Z843" s="1"/>
    </row>
    <row r="844" spans="1:26" ht="24.75" customHeight="1">
      <c r="A844" s="1"/>
      <c r="B844" s="1"/>
      <c r="C844" s="1"/>
      <c r="D844" s="1"/>
      <c r="E844" s="1"/>
      <c r="F844" s="1"/>
      <c r="G844" s="1"/>
      <c r="H844" s="1"/>
      <c r="I844" s="1"/>
      <c r="J844" s="1"/>
      <c r="K844" s="1"/>
      <c r="L844" s="1"/>
      <c r="M844" s="1"/>
      <c r="N844" s="1"/>
      <c r="O844" s="1"/>
      <c r="P844" s="1"/>
      <c r="Q844" s="1"/>
      <c r="R844" s="1"/>
      <c r="S844" s="1"/>
      <c r="T844" s="1"/>
      <c r="U844" s="2"/>
      <c r="V844" s="1"/>
      <c r="W844" s="1"/>
      <c r="X844" s="1"/>
      <c r="Y844" s="1"/>
      <c r="Z844" s="1"/>
    </row>
    <row r="845" spans="1:26" ht="24.75" customHeight="1">
      <c r="A845" s="1"/>
      <c r="B845" s="1"/>
      <c r="C845" s="1"/>
      <c r="D845" s="1"/>
      <c r="E845" s="1"/>
      <c r="F845" s="1"/>
      <c r="G845" s="1"/>
      <c r="H845" s="1"/>
      <c r="I845" s="1"/>
      <c r="J845" s="1"/>
      <c r="K845" s="1"/>
      <c r="L845" s="1"/>
      <c r="M845" s="1"/>
      <c r="N845" s="1"/>
      <c r="O845" s="1"/>
      <c r="P845" s="1"/>
      <c r="Q845" s="1"/>
      <c r="R845" s="1"/>
      <c r="S845" s="1"/>
      <c r="T845" s="1"/>
      <c r="U845" s="2"/>
      <c r="V845" s="1"/>
      <c r="W845" s="1"/>
      <c r="X845" s="1"/>
      <c r="Y845" s="1"/>
      <c r="Z845" s="1"/>
    </row>
    <row r="846" spans="1:26" ht="24.75" customHeight="1">
      <c r="A846" s="1"/>
      <c r="B846" s="1"/>
      <c r="C846" s="1"/>
      <c r="D846" s="1"/>
      <c r="E846" s="1"/>
      <c r="F846" s="1"/>
      <c r="G846" s="1"/>
      <c r="H846" s="1"/>
      <c r="I846" s="1"/>
      <c r="J846" s="1"/>
      <c r="K846" s="1"/>
      <c r="L846" s="1"/>
      <c r="M846" s="1"/>
      <c r="N846" s="1"/>
      <c r="O846" s="1"/>
      <c r="P846" s="1"/>
      <c r="Q846" s="1"/>
      <c r="R846" s="1"/>
      <c r="S846" s="1"/>
      <c r="T846" s="1"/>
      <c r="U846" s="2"/>
      <c r="V846" s="1"/>
      <c r="W846" s="1"/>
      <c r="X846" s="1"/>
      <c r="Y846" s="1"/>
      <c r="Z846" s="1"/>
    </row>
    <row r="847" spans="1:26" ht="24.75" customHeight="1">
      <c r="A847" s="1"/>
      <c r="B847" s="1"/>
      <c r="C847" s="1"/>
      <c r="D847" s="1"/>
      <c r="E847" s="1"/>
      <c r="F847" s="1"/>
      <c r="G847" s="1"/>
      <c r="H847" s="1"/>
      <c r="I847" s="1"/>
      <c r="J847" s="1"/>
      <c r="K847" s="1"/>
      <c r="L847" s="1"/>
      <c r="M847" s="1"/>
      <c r="N847" s="1"/>
      <c r="O847" s="1"/>
      <c r="P847" s="1"/>
      <c r="Q847" s="1"/>
      <c r="R847" s="1"/>
      <c r="S847" s="1"/>
      <c r="T847" s="1"/>
      <c r="U847" s="2"/>
      <c r="V847" s="1"/>
      <c r="W847" s="1"/>
      <c r="X847" s="1"/>
      <c r="Y847" s="1"/>
      <c r="Z847" s="1"/>
    </row>
    <row r="848" spans="1:26" ht="24.75" customHeight="1">
      <c r="A848" s="1"/>
      <c r="B848" s="1"/>
      <c r="C848" s="1"/>
      <c r="D848" s="1"/>
      <c r="E848" s="1"/>
      <c r="F848" s="1"/>
      <c r="G848" s="1"/>
      <c r="H848" s="1"/>
      <c r="I848" s="1"/>
      <c r="J848" s="1"/>
      <c r="K848" s="1"/>
      <c r="L848" s="1"/>
      <c r="M848" s="1"/>
      <c r="N848" s="1"/>
      <c r="O848" s="1"/>
      <c r="P848" s="1"/>
      <c r="Q848" s="1"/>
      <c r="R848" s="1"/>
      <c r="S848" s="1"/>
      <c r="T848" s="1"/>
      <c r="U848" s="2"/>
      <c r="V848" s="1"/>
      <c r="W848" s="1"/>
      <c r="X848" s="1"/>
      <c r="Y848" s="1"/>
      <c r="Z848" s="1"/>
    </row>
    <row r="849" spans="1:26" ht="24.75" customHeight="1">
      <c r="A849" s="1"/>
      <c r="B849" s="1"/>
      <c r="C849" s="1"/>
      <c r="D849" s="1"/>
      <c r="E849" s="1"/>
      <c r="F849" s="1"/>
      <c r="G849" s="1"/>
      <c r="H849" s="1"/>
      <c r="I849" s="1"/>
      <c r="J849" s="1"/>
      <c r="K849" s="1"/>
      <c r="L849" s="1"/>
      <c r="M849" s="1"/>
      <c r="N849" s="1"/>
      <c r="O849" s="1"/>
      <c r="P849" s="1"/>
      <c r="Q849" s="1"/>
      <c r="R849" s="1"/>
      <c r="S849" s="1"/>
      <c r="T849" s="1"/>
      <c r="U849" s="2"/>
      <c r="V849" s="1"/>
      <c r="W849" s="1"/>
      <c r="X849" s="1"/>
      <c r="Y849" s="1"/>
      <c r="Z849" s="1"/>
    </row>
    <row r="850" spans="1:26" ht="24.75" customHeight="1">
      <c r="A850" s="1"/>
      <c r="B850" s="1"/>
      <c r="C850" s="1"/>
      <c r="D850" s="1"/>
      <c r="E850" s="1"/>
      <c r="F850" s="1"/>
      <c r="G850" s="1"/>
      <c r="H850" s="1"/>
      <c r="I850" s="1"/>
      <c r="J850" s="1"/>
      <c r="K850" s="1"/>
      <c r="L850" s="1"/>
      <c r="M850" s="1"/>
      <c r="N850" s="1"/>
      <c r="O850" s="1"/>
      <c r="P850" s="1"/>
      <c r="Q850" s="1"/>
      <c r="R850" s="1"/>
      <c r="S850" s="1"/>
      <c r="T850" s="1"/>
      <c r="U850" s="2"/>
      <c r="V850" s="1"/>
      <c r="W850" s="1"/>
      <c r="X850" s="1"/>
      <c r="Y850" s="1"/>
      <c r="Z850" s="1"/>
    </row>
    <row r="851" spans="1:26" ht="24.75" customHeight="1">
      <c r="A851" s="1"/>
      <c r="B851" s="1"/>
      <c r="C851" s="1"/>
      <c r="D851" s="1"/>
      <c r="E851" s="1"/>
      <c r="F851" s="1"/>
      <c r="G851" s="1"/>
      <c r="H851" s="1"/>
      <c r="I851" s="1"/>
      <c r="J851" s="1"/>
      <c r="K851" s="1"/>
      <c r="L851" s="1"/>
      <c r="M851" s="1"/>
      <c r="N851" s="1"/>
      <c r="O851" s="1"/>
      <c r="P851" s="1"/>
      <c r="Q851" s="1"/>
      <c r="R851" s="1"/>
      <c r="S851" s="1"/>
      <c r="T851" s="1"/>
      <c r="U851" s="2"/>
      <c r="V851" s="1"/>
      <c r="W851" s="1"/>
      <c r="X851" s="1"/>
      <c r="Y851" s="1"/>
      <c r="Z851" s="1"/>
    </row>
    <row r="852" spans="1:26" ht="24.75" customHeight="1">
      <c r="A852" s="1"/>
      <c r="B852" s="1"/>
      <c r="C852" s="1"/>
      <c r="D852" s="1"/>
      <c r="E852" s="1"/>
      <c r="F852" s="1"/>
      <c r="G852" s="1"/>
      <c r="H852" s="1"/>
      <c r="I852" s="1"/>
      <c r="J852" s="1"/>
      <c r="K852" s="1"/>
      <c r="L852" s="1"/>
      <c r="M852" s="1"/>
      <c r="N852" s="1"/>
      <c r="O852" s="1"/>
      <c r="P852" s="1"/>
      <c r="Q852" s="1"/>
      <c r="R852" s="1"/>
      <c r="S852" s="1"/>
      <c r="T852" s="1"/>
      <c r="U852" s="2"/>
      <c r="V852" s="1"/>
      <c r="W852" s="1"/>
      <c r="X852" s="1"/>
      <c r="Y852" s="1"/>
      <c r="Z852" s="1"/>
    </row>
    <row r="853" spans="1:26" ht="24.75" customHeight="1">
      <c r="A853" s="1"/>
      <c r="B853" s="1"/>
      <c r="C853" s="1"/>
      <c r="D853" s="1"/>
      <c r="E853" s="1"/>
      <c r="F853" s="1"/>
      <c r="G853" s="1"/>
      <c r="H853" s="1"/>
      <c r="I853" s="1"/>
      <c r="J853" s="1"/>
      <c r="K853" s="1"/>
      <c r="L853" s="1"/>
      <c r="M853" s="1"/>
      <c r="N853" s="1"/>
      <c r="O853" s="1"/>
      <c r="P853" s="1"/>
      <c r="Q853" s="1"/>
      <c r="R853" s="1"/>
      <c r="S853" s="1"/>
      <c r="T853" s="1"/>
      <c r="U853" s="2"/>
      <c r="V853" s="1"/>
      <c r="W853" s="1"/>
      <c r="X853" s="1"/>
      <c r="Y853" s="1"/>
      <c r="Z853" s="1"/>
    </row>
    <row r="854" spans="1:26" ht="24.75" customHeight="1">
      <c r="A854" s="1"/>
      <c r="B854" s="1"/>
      <c r="C854" s="1"/>
      <c r="D854" s="1"/>
      <c r="E854" s="1"/>
      <c r="F854" s="1"/>
      <c r="G854" s="1"/>
      <c r="H854" s="1"/>
      <c r="I854" s="1"/>
      <c r="J854" s="1"/>
      <c r="K854" s="1"/>
      <c r="L854" s="1"/>
      <c r="M854" s="1"/>
      <c r="N854" s="1"/>
      <c r="O854" s="1"/>
      <c r="P854" s="1"/>
      <c r="Q854" s="1"/>
      <c r="R854" s="1"/>
      <c r="S854" s="1"/>
      <c r="T854" s="1"/>
      <c r="U854" s="2"/>
      <c r="V854" s="1"/>
      <c r="W854" s="1"/>
      <c r="X854" s="1"/>
      <c r="Y854" s="1"/>
      <c r="Z854" s="1"/>
    </row>
    <row r="855" spans="1:26" ht="24.75" customHeight="1">
      <c r="A855" s="1"/>
      <c r="B855" s="1"/>
      <c r="C855" s="1"/>
      <c r="D855" s="1"/>
      <c r="E855" s="1"/>
      <c r="F855" s="1"/>
      <c r="G855" s="1"/>
      <c r="H855" s="1"/>
      <c r="I855" s="1"/>
      <c r="J855" s="1"/>
      <c r="K855" s="1"/>
      <c r="L855" s="1"/>
      <c r="M855" s="1"/>
      <c r="N855" s="1"/>
      <c r="O855" s="1"/>
      <c r="P855" s="1"/>
      <c r="Q855" s="1"/>
      <c r="R855" s="1"/>
      <c r="S855" s="1"/>
      <c r="T855" s="1"/>
      <c r="U855" s="2"/>
      <c r="V855" s="1"/>
      <c r="W855" s="1"/>
      <c r="X855" s="1"/>
      <c r="Y855" s="1"/>
      <c r="Z855" s="1"/>
    </row>
    <row r="856" spans="1:26" ht="24.75" customHeight="1">
      <c r="A856" s="1"/>
      <c r="B856" s="1"/>
      <c r="C856" s="1"/>
      <c r="D856" s="1"/>
      <c r="E856" s="1"/>
      <c r="F856" s="1"/>
      <c r="G856" s="1"/>
      <c r="H856" s="1"/>
      <c r="I856" s="1"/>
      <c r="J856" s="1"/>
      <c r="K856" s="1"/>
      <c r="L856" s="1"/>
      <c r="M856" s="1"/>
      <c r="N856" s="1"/>
      <c r="O856" s="1"/>
      <c r="P856" s="1"/>
      <c r="Q856" s="1"/>
      <c r="R856" s="1"/>
      <c r="S856" s="1"/>
      <c r="T856" s="1"/>
      <c r="U856" s="2"/>
      <c r="V856" s="1"/>
      <c r="W856" s="1"/>
      <c r="X856" s="1"/>
      <c r="Y856" s="1"/>
      <c r="Z856" s="1"/>
    </row>
    <row r="857" spans="1:26" ht="24.75" customHeight="1">
      <c r="A857" s="1"/>
      <c r="B857" s="1"/>
      <c r="C857" s="1"/>
      <c r="D857" s="1"/>
      <c r="E857" s="1"/>
      <c r="F857" s="1"/>
      <c r="G857" s="1"/>
      <c r="H857" s="1"/>
      <c r="I857" s="1"/>
      <c r="J857" s="1"/>
      <c r="K857" s="1"/>
      <c r="L857" s="1"/>
      <c r="M857" s="1"/>
      <c r="N857" s="1"/>
      <c r="O857" s="1"/>
      <c r="P857" s="1"/>
      <c r="Q857" s="1"/>
      <c r="R857" s="1"/>
      <c r="S857" s="1"/>
      <c r="T857" s="1"/>
      <c r="U857" s="2"/>
      <c r="V857" s="1"/>
      <c r="W857" s="1"/>
      <c r="X857" s="1"/>
      <c r="Y857" s="1"/>
      <c r="Z857" s="1"/>
    </row>
    <row r="858" spans="1:26" ht="24.75" customHeight="1">
      <c r="A858" s="1"/>
      <c r="B858" s="1"/>
      <c r="C858" s="1"/>
      <c r="D858" s="1"/>
      <c r="E858" s="1"/>
      <c r="F858" s="1"/>
      <c r="G858" s="1"/>
      <c r="H858" s="1"/>
      <c r="I858" s="1"/>
      <c r="J858" s="1"/>
      <c r="K858" s="1"/>
      <c r="L858" s="1"/>
      <c r="M858" s="1"/>
      <c r="N858" s="1"/>
      <c r="O858" s="1"/>
      <c r="P858" s="1"/>
      <c r="Q858" s="1"/>
      <c r="R858" s="1"/>
      <c r="S858" s="1"/>
      <c r="T858" s="1"/>
      <c r="U858" s="2"/>
      <c r="V858" s="1"/>
      <c r="W858" s="1"/>
      <c r="X858" s="1"/>
      <c r="Y858" s="1"/>
      <c r="Z858" s="1"/>
    </row>
    <row r="859" spans="1:26" ht="24.75" customHeight="1">
      <c r="A859" s="1"/>
      <c r="B859" s="1"/>
      <c r="C859" s="1"/>
      <c r="D859" s="1"/>
      <c r="E859" s="1"/>
      <c r="F859" s="1"/>
      <c r="G859" s="1"/>
      <c r="H859" s="1"/>
      <c r="I859" s="1"/>
      <c r="J859" s="1"/>
      <c r="K859" s="1"/>
      <c r="L859" s="1"/>
      <c r="M859" s="1"/>
      <c r="N859" s="1"/>
      <c r="O859" s="1"/>
      <c r="P859" s="1"/>
      <c r="Q859" s="1"/>
      <c r="R859" s="1"/>
      <c r="S859" s="1"/>
      <c r="T859" s="1"/>
      <c r="U859" s="2"/>
      <c r="V859" s="1"/>
      <c r="W859" s="1"/>
      <c r="X859" s="1"/>
      <c r="Y859" s="1"/>
      <c r="Z859" s="1"/>
    </row>
    <row r="860" spans="1:26" ht="24.75" customHeight="1">
      <c r="A860" s="1"/>
      <c r="B860" s="1"/>
      <c r="C860" s="1"/>
      <c r="D860" s="1"/>
      <c r="E860" s="1"/>
      <c r="F860" s="1"/>
      <c r="G860" s="1"/>
      <c r="H860" s="1"/>
      <c r="I860" s="1"/>
      <c r="J860" s="1"/>
      <c r="K860" s="1"/>
      <c r="L860" s="1"/>
      <c r="M860" s="1"/>
      <c r="N860" s="1"/>
      <c r="O860" s="1"/>
      <c r="P860" s="1"/>
      <c r="Q860" s="1"/>
      <c r="R860" s="1"/>
      <c r="S860" s="1"/>
      <c r="T860" s="1"/>
      <c r="U860" s="2"/>
      <c r="V860" s="1"/>
      <c r="W860" s="1"/>
      <c r="X860" s="1"/>
      <c r="Y860" s="1"/>
      <c r="Z860" s="1"/>
    </row>
    <row r="861" spans="1:26" ht="24.75" customHeight="1">
      <c r="A861" s="1"/>
      <c r="B861" s="1"/>
      <c r="C861" s="1"/>
      <c r="D861" s="1"/>
      <c r="E861" s="1"/>
      <c r="F861" s="1"/>
      <c r="G861" s="1"/>
      <c r="H861" s="1"/>
      <c r="I861" s="1"/>
      <c r="J861" s="1"/>
      <c r="K861" s="1"/>
      <c r="L861" s="1"/>
      <c r="M861" s="1"/>
      <c r="N861" s="1"/>
      <c r="O861" s="1"/>
      <c r="P861" s="1"/>
      <c r="Q861" s="1"/>
      <c r="R861" s="1"/>
      <c r="S861" s="1"/>
      <c r="T861" s="1"/>
      <c r="U861" s="2"/>
      <c r="V861" s="1"/>
      <c r="W861" s="1"/>
      <c r="X861" s="1"/>
      <c r="Y861" s="1"/>
      <c r="Z861" s="1"/>
    </row>
    <row r="862" spans="1:26" ht="24.75" customHeight="1">
      <c r="A862" s="1"/>
      <c r="B862" s="1"/>
      <c r="C862" s="1"/>
      <c r="D862" s="1"/>
      <c r="E862" s="1"/>
      <c r="F862" s="1"/>
      <c r="G862" s="1"/>
      <c r="H862" s="1"/>
      <c r="I862" s="1"/>
      <c r="J862" s="1"/>
      <c r="K862" s="1"/>
      <c r="L862" s="1"/>
      <c r="M862" s="1"/>
      <c r="N862" s="1"/>
      <c r="O862" s="1"/>
      <c r="P862" s="1"/>
      <c r="Q862" s="1"/>
      <c r="R862" s="1"/>
      <c r="S862" s="1"/>
      <c r="T862" s="1"/>
      <c r="U862" s="2"/>
      <c r="V862" s="1"/>
      <c r="W862" s="1"/>
      <c r="X862" s="1"/>
      <c r="Y862" s="1"/>
      <c r="Z862" s="1"/>
    </row>
    <row r="863" spans="1:26" ht="24.75" customHeight="1">
      <c r="A863" s="1"/>
      <c r="B863" s="1"/>
      <c r="C863" s="1"/>
      <c r="D863" s="1"/>
      <c r="E863" s="1"/>
      <c r="F863" s="1"/>
      <c r="G863" s="1"/>
      <c r="H863" s="1"/>
      <c r="I863" s="1"/>
      <c r="J863" s="1"/>
      <c r="K863" s="1"/>
      <c r="L863" s="1"/>
      <c r="M863" s="1"/>
      <c r="N863" s="1"/>
      <c r="O863" s="1"/>
      <c r="P863" s="1"/>
      <c r="Q863" s="1"/>
      <c r="R863" s="1"/>
      <c r="S863" s="1"/>
      <c r="T863" s="1"/>
      <c r="U863" s="2"/>
      <c r="V863" s="1"/>
      <c r="W863" s="1"/>
      <c r="X863" s="1"/>
      <c r="Y863" s="1"/>
      <c r="Z863" s="1"/>
    </row>
    <row r="864" spans="1:26" ht="24.75" customHeight="1">
      <c r="A864" s="1"/>
      <c r="B864" s="1"/>
      <c r="C864" s="1"/>
      <c r="D864" s="1"/>
      <c r="E864" s="1"/>
      <c r="F864" s="1"/>
      <c r="G864" s="1"/>
      <c r="H864" s="1"/>
      <c r="I864" s="1"/>
      <c r="J864" s="1"/>
      <c r="K864" s="1"/>
      <c r="L864" s="1"/>
      <c r="M864" s="1"/>
      <c r="N864" s="1"/>
      <c r="O864" s="1"/>
      <c r="P864" s="1"/>
      <c r="Q864" s="1"/>
      <c r="R864" s="1"/>
      <c r="S864" s="1"/>
      <c r="T864" s="1"/>
      <c r="U864" s="2"/>
      <c r="V864" s="1"/>
      <c r="W864" s="1"/>
      <c r="X864" s="1"/>
      <c r="Y864" s="1"/>
      <c r="Z864" s="1"/>
    </row>
    <row r="865" spans="1:26" ht="24.75" customHeight="1">
      <c r="A865" s="1"/>
      <c r="B865" s="1"/>
      <c r="C865" s="1"/>
      <c r="D865" s="1"/>
      <c r="E865" s="1"/>
      <c r="F865" s="1"/>
      <c r="G865" s="1"/>
      <c r="H865" s="1"/>
      <c r="I865" s="1"/>
      <c r="J865" s="1"/>
      <c r="K865" s="1"/>
      <c r="L865" s="1"/>
      <c r="M865" s="1"/>
      <c r="N865" s="1"/>
      <c r="O865" s="1"/>
      <c r="P865" s="1"/>
      <c r="Q865" s="1"/>
      <c r="R865" s="1"/>
      <c r="S865" s="1"/>
      <c r="T865" s="1"/>
      <c r="U865" s="2"/>
      <c r="V865" s="1"/>
      <c r="W865" s="1"/>
      <c r="X865" s="1"/>
      <c r="Y865" s="1"/>
      <c r="Z865" s="1"/>
    </row>
    <row r="866" spans="1:26" ht="24.75" customHeight="1">
      <c r="A866" s="1"/>
      <c r="B866" s="1"/>
      <c r="C866" s="1"/>
      <c r="D866" s="1"/>
      <c r="E866" s="1"/>
      <c r="F866" s="1"/>
      <c r="G866" s="1"/>
      <c r="H866" s="1"/>
      <c r="I866" s="1"/>
      <c r="J866" s="1"/>
      <c r="K866" s="1"/>
      <c r="L866" s="1"/>
      <c r="M866" s="1"/>
      <c r="N866" s="1"/>
      <c r="O866" s="1"/>
      <c r="P866" s="1"/>
      <c r="Q866" s="1"/>
      <c r="R866" s="1"/>
      <c r="S866" s="1"/>
      <c r="T866" s="1"/>
      <c r="U866" s="2"/>
      <c r="V866" s="1"/>
      <c r="W866" s="1"/>
      <c r="X866" s="1"/>
      <c r="Y866" s="1"/>
      <c r="Z866" s="1"/>
    </row>
    <row r="867" spans="1:26" ht="24.75" customHeight="1">
      <c r="A867" s="1"/>
      <c r="B867" s="1"/>
      <c r="C867" s="1"/>
      <c r="D867" s="1"/>
      <c r="E867" s="1"/>
      <c r="F867" s="1"/>
      <c r="G867" s="1"/>
      <c r="H867" s="1"/>
      <c r="I867" s="1"/>
      <c r="J867" s="1"/>
      <c r="K867" s="1"/>
      <c r="L867" s="1"/>
      <c r="M867" s="1"/>
      <c r="N867" s="1"/>
      <c r="O867" s="1"/>
      <c r="P867" s="1"/>
      <c r="Q867" s="1"/>
      <c r="R867" s="1"/>
      <c r="S867" s="1"/>
      <c r="T867" s="1"/>
      <c r="U867" s="2"/>
      <c r="V867" s="1"/>
      <c r="W867" s="1"/>
      <c r="X867" s="1"/>
      <c r="Y867" s="1"/>
      <c r="Z867" s="1"/>
    </row>
    <row r="868" spans="1:26" ht="24.75" customHeight="1">
      <c r="A868" s="1"/>
      <c r="B868" s="1"/>
      <c r="C868" s="1"/>
      <c r="D868" s="1"/>
      <c r="E868" s="1"/>
      <c r="F868" s="1"/>
      <c r="G868" s="1"/>
      <c r="H868" s="1"/>
      <c r="I868" s="1"/>
      <c r="J868" s="1"/>
      <c r="K868" s="1"/>
      <c r="L868" s="1"/>
      <c r="M868" s="1"/>
      <c r="N868" s="1"/>
      <c r="O868" s="1"/>
      <c r="P868" s="1"/>
      <c r="Q868" s="1"/>
      <c r="R868" s="1"/>
      <c r="S868" s="1"/>
      <c r="T868" s="1"/>
      <c r="U868" s="2"/>
      <c r="V868" s="1"/>
      <c r="W868" s="1"/>
      <c r="X868" s="1"/>
      <c r="Y868" s="1"/>
      <c r="Z868" s="1"/>
    </row>
    <row r="869" spans="1:26" ht="24.75" customHeight="1">
      <c r="A869" s="1"/>
      <c r="B869" s="1"/>
      <c r="C869" s="1"/>
      <c r="D869" s="1"/>
      <c r="E869" s="1"/>
      <c r="F869" s="1"/>
      <c r="G869" s="1"/>
      <c r="H869" s="1"/>
      <c r="I869" s="1"/>
      <c r="J869" s="1"/>
      <c r="K869" s="1"/>
      <c r="L869" s="1"/>
      <c r="M869" s="1"/>
      <c r="N869" s="1"/>
      <c r="O869" s="1"/>
      <c r="P869" s="1"/>
      <c r="Q869" s="1"/>
      <c r="R869" s="1"/>
      <c r="S869" s="1"/>
      <c r="T869" s="1"/>
      <c r="U869" s="2"/>
      <c r="V869" s="1"/>
      <c r="W869" s="1"/>
      <c r="X869" s="1"/>
      <c r="Y869" s="1"/>
      <c r="Z869" s="1"/>
    </row>
    <row r="870" spans="1:26" ht="24.75" customHeight="1">
      <c r="A870" s="1"/>
      <c r="B870" s="1"/>
      <c r="C870" s="1"/>
      <c r="D870" s="1"/>
      <c r="E870" s="1"/>
      <c r="F870" s="1"/>
      <c r="G870" s="1"/>
      <c r="H870" s="1"/>
      <c r="I870" s="1"/>
      <c r="J870" s="1"/>
      <c r="K870" s="1"/>
      <c r="L870" s="1"/>
      <c r="M870" s="1"/>
      <c r="N870" s="1"/>
      <c r="O870" s="1"/>
      <c r="P870" s="1"/>
      <c r="Q870" s="1"/>
      <c r="R870" s="1"/>
      <c r="S870" s="1"/>
      <c r="T870" s="1"/>
      <c r="U870" s="2"/>
      <c r="V870" s="1"/>
      <c r="W870" s="1"/>
      <c r="X870" s="1"/>
      <c r="Y870" s="1"/>
      <c r="Z870" s="1"/>
    </row>
    <row r="871" spans="1:26" ht="24.75" customHeight="1">
      <c r="A871" s="1"/>
      <c r="B871" s="1"/>
      <c r="C871" s="1"/>
      <c r="D871" s="1"/>
      <c r="E871" s="1"/>
      <c r="F871" s="1"/>
      <c r="G871" s="1"/>
      <c r="H871" s="1"/>
      <c r="I871" s="1"/>
      <c r="J871" s="1"/>
      <c r="K871" s="1"/>
      <c r="L871" s="1"/>
      <c r="M871" s="1"/>
      <c r="N871" s="1"/>
      <c r="O871" s="1"/>
      <c r="P871" s="1"/>
      <c r="Q871" s="1"/>
      <c r="R871" s="1"/>
      <c r="S871" s="1"/>
      <c r="T871" s="1"/>
      <c r="U871" s="2"/>
      <c r="V871" s="1"/>
      <c r="W871" s="1"/>
      <c r="X871" s="1"/>
      <c r="Y871" s="1"/>
      <c r="Z871" s="1"/>
    </row>
    <row r="872" spans="1:26" ht="24.75" customHeight="1">
      <c r="A872" s="1"/>
      <c r="B872" s="1"/>
      <c r="C872" s="1"/>
      <c r="D872" s="1"/>
      <c r="E872" s="1"/>
      <c r="F872" s="1"/>
      <c r="G872" s="1"/>
      <c r="H872" s="1"/>
      <c r="I872" s="1"/>
      <c r="J872" s="1"/>
      <c r="K872" s="1"/>
      <c r="L872" s="1"/>
      <c r="M872" s="1"/>
      <c r="N872" s="1"/>
      <c r="O872" s="1"/>
      <c r="P872" s="1"/>
      <c r="Q872" s="1"/>
      <c r="R872" s="1"/>
      <c r="S872" s="1"/>
      <c r="T872" s="1"/>
      <c r="U872" s="2"/>
      <c r="V872" s="1"/>
      <c r="W872" s="1"/>
      <c r="X872" s="1"/>
      <c r="Y872" s="1"/>
      <c r="Z872" s="1"/>
    </row>
    <row r="873" spans="1:26" ht="24.75" customHeight="1">
      <c r="A873" s="1"/>
      <c r="B873" s="1"/>
      <c r="C873" s="1"/>
      <c r="D873" s="1"/>
      <c r="E873" s="1"/>
      <c r="F873" s="1"/>
      <c r="G873" s="1"/>
      <c r="H873" s="1"/>
      <c r="I873" s="1"/>
      <c r="J873" s="1"/>
      <c r="K873" s="1"/>
      <c r="L873" s="1"/>
      <c r="M873" s="1"/>
      <c r="N873" s="1"/>
      <c r="O873" s="1"/>
      <c r="P873" s="1"/>
      <c r="Q873" s="1"/>
      <c r="R873" s="1"/>
      <c r="S873" s="1"/>
      <c r="T873" s="1"/>
      <c r="U873" s="2"/>
      <c r="V873" s="1"/>
      <c r="W873" s="1"/>
      <c r="X873" s="1"/>
      <c r="Y873" s="1"/>
      <c r="Z873" s="1"/>
    </row>
    <row r="874" spans="1:26" ht="24.75" customHeight="1">
      <c r="A874" s="1"/>
      <c r="B874" s="1"/>
      <c r="C874" s="1"/>
      <c r="D874" s="1"/>
      <c r="E874" s="1"/>
      <c r="F874" s="1"/>
      <c r="G874" s="1"/>
      <c r="H874" s="1"/>
      <c r="I874" s="1"/>
      <c r="J874" s="1"/>
      <c r="K874" s="1"/>
      <c r="L874" s="1"/>
      <c r="M874" s="1"/>
      <c r="N874" s="1"/>
      <c r="O874" s="1"/>
      <c r="P874" s="1"/>
      <c r="Q874" s="1"/>
      <c r="R874" s="1"/>
      <c r="S874" s="1"/>
      <c r="T874" s="1"/>
      <c r="U874" s="2"/>
      <c r="V874" s="1"/>
      <c r="W874" s="1"/>
      <c r="X874" s="1"/>
      <c r="Y874" s="1"/>
      <c r="Z874" s="1"/>
    </row>
    <row r="875" spans="1:26" ht="24.75" customHeight="1">
      <c r="A875" s="1"/>
      <c r="B875" s="1"/>
      <c r="C875" s="1"/>
      <c r="D875" s="1"/>
      <c r="E875" s="1"/>
      <c r="F875" s="1"/>
      <c r="G875" s="1"/>
      <c r="H875" s="1"/>
      <c r="I875" s="1"/>
      <c r="J875" s="1"/>
      <c r="K875" s="1"/>
      <c r="L875" s="1"/>
      <c r="M875" s="1"/>
      <c r="N875" s="1"/>
      <c r="O875" s="1"/>
      <c r="P875" s="1"/>
      <c r="Q875" s="1"/>
      <c r="R875" s="1"/>
      <c r="S875" s="1"/>
      <c r="T875" s="1"/>
      <c r="U875" s="2"/>
      <c r="V875" s="1"/>
      <c r="W875" s="1"/>
      <c r="X875" s="1"/>
      <c r="Y875" s="1"/>
      <c r="Z875" s="1"/>
    </row>
    <row r="876" spans="1:26" ht="24.75" customHeight="1">
      <c r="A876" s="1"/>
      <c r="B876" s="1"/>
      <c r="C876" s="1"/>
      <c r="D876" s="1"/>
      <c r="E876" s="1"/>
      <c r="F876" s="1"/>
      <c r="G876" s="1"/>
      <c r="H876" s="1"/>
      <c r="I876" s="1"/>
      <c r="J876" s="1"/>
      <c r="K876" s="1"/>
      <c r="L876" s="1"/>
      <c r="M876" s="1"/>
      <c r="N876" s="1"/>
      <c r="O876" s="1"/>
      <c r="P876" s="1"/>
      <c r="Q876" s="1"/>
      <c r="R876" s="1"/>
      <c r="S876" s="1"/>
      <c r="T876" s="1"/>
      <c r="U876" s="2"/>
      <c r="V876" s="1"/>
      <c r="W876" s="1"/>
      <c r="X876" s="1"/>
      <c r="Y876" s="1"/>
      <c r="Z876" s="1"/>
    </row>
    <row r="877" spans="1:26" ht="24.75" customHeight="1">
      <c r="A877" s="1"/>
      <c r="B877" s="1"/>
      <c r="C877" s="1"/>
      <c r="D877" s="1"/>
      <c r="E877" s="1"/>
      <c r="F877" s="1"/>
      <c r="G877" s="1"/>
      <c r="H877" s="1"/>
      <c r="I877" s="1"/>
      <c r="J877" s="1"/>
      <c r="K877" s="1"/>
      <c r="L877" s="1"/>
      <c r="M877" s="1"/>
      <c r="N877" s="1"/>
      <c r="O877" s="1"/>
      <c r="P877" s="1"/>
      <c r="Q877" s="1"/>
      <c r="R877" s="1"/>
      <c r="S877" s="1"/>
      <c r="T877" s="1"/>
      <c r="U877" s="2"/>
      <c r="V877" s="1"/>
      <c r="W877" s="1"/>
      <c r="X877" s="1"/>
      <c r="Y877" s="1"/>
      <c r="Z877" s="1"/>
    </row>
    <row r="878" spans="1:26" ht="24.75" customHeight="1">
      <c r="A878" s="1"/>
      <c r="B878" s="1"/>
      <c r="C878" s="1"/>
      <c r="D878" s="1"/>
      <c r="E878" s="1"/>
      <c r="F878" s="1"/>
      <c r="G878" s="1"/>
      <c r="H878" s="1"/>
      <c r="I878" s="1"/>
      <c r="J878" s="1"/>
      <c r="K878" s="1"/>
      <c r="L878" s="1"/>
      <c r="M878" s="1"/>
      <c r="N878" s="1"/>
      <c r="O878" s="1"/>
      <c r="P878" s="1"/>
      <c r="Q878" s="1"/>
      <c r="R878" s="1"/>
      <c r="S878" s="1"/>
      <c r="T878" s="1"/>
      <c r="U878" s="2"/>
      <c r="V878" s="1"/>
      <c r="W878" s="1"/>
      <c r="X878" s="1"/>
      <c r="Y878" s="1"/>
      <c r="Z878" s="1"/>
    </row>
    <row r="879" spans="1:26" ht="24.75" customHeight="1">
      <c r="A879" s="1"/>
      <c r="B879" s="1"/>
      <c r="C879" s="1"/>
      <c r="D879" s="1"/>
      <c r="E879" s="1"/>
      <c r="F879" s="1"/>
      <c r="G879" s="1"/>
      <c r="H879" s="1"/>
      <c r="I879" s="1"/>
      <c r="J879" s="1"/>
      <c r="K879" s="1"/>
      <c r="L879" s="1"/>
      <c r="M879" s="1"/>
      <c r="N879" s="1"/>
      <c r="O879" s="1"/>
      <c r="P879" s="1"/>
      <c r="Q879" s="1"/>
      <c r="R879" s="1"/>
      <c r="S879" s="1"/>
      <c r="T879" s="1"/>
      <c r="U879" s="2"/>
      <c r="V879" s="1"/>
      <c r="W879" s="1"/>
      <c r="X879" s="1"/>
      <c r="Y879" s="1"/>
      <c r="Z879" s="1"/>
    </row>
    <row r="880" spans="1:26" ht="24.75" customHeight="1">
      <c r="A880" s="1"/>
      <c r="B880" s="1"/>
      <c r="C880" s="1"/>
      <c r="D880" s="1"/>
      <c r="E880" s="1"/>
      <c r="F880" s="1"/>
      <c r="G880" s="1"/>
      <c r="H880" s="1"/>
      <c r="I880" s="1"/>
      <c r="J880" s="1"/>
      <c r="K880" s="1"/>
      <c r="L880" s="1"/>
      <c r="M880" s="1"/>
      <c r="N880" s="1"/>
      <c r="O880" s="1"/>
      <c r="P880" s="1"/>
      <c r="Q880" s="1"/>
      <c r="R880" s="1"/>
      <c r="S880" s="1"/>
      <c r="T880" s="1"/>
      <c r="U880" s="2"/>
      <c r="V880" s="1"/>
      <c r="W880" s="1"/>
      <c r="X880" s="1"/>
      <c r="Y880" s="1"/>
      <c r="Z880" s="1"/>
    </row>
    <row r="881" spans="1:26" ht="24.75" customHeight="1">
      <c r="A881" s="1"/>
      <c r="B881" s="1"/>
      <c r="C881" s="1"/>
      <c r="D881" s="1"/>
      <c r="E881" s="1"/>
      <c r="F881" s="1"/>
      <c r="G881" s="1"/>
      <c r="H881" s="1"/>
      <c r="I881" s="1"/>
      <c r="J881" s="1"/>
      <c r="K881" s="1"/>
      <c r="L881" s="1"/>
      <c r="M881" s="1"/>
      <c r="N881" s="1"/>
      <c r="O881" s="1"/>
      <c r="P881" s="1"/>
      <c r="Q881" s="1"/>
      <c r="R881" s="1"/>
      <c r="S881" s="1"/>
      <c r="T881" s="1"/>
      <c r="U881" s="2"/>
      <c r="V881" s="1"/>
      <c r="W881" s="1"/>
      <c r="X881" s="1"/>
      <c r="Y881" s="1"/>
      <c r="Z881" s="1"/>
    </row>
    <row r="882" spans="1:26" ht="24.75" customHeight="1">
      <c r="A882" s="1"/>
      <c r="B882" s="1"/>
      <c r="C882" s="1"/>
      <c r="D882" s="1"/>
      <c r="E882" s="1"/>
      <c r="F882" s="1"/>
      <c r="G882" s="1"/>
      <c r="H882" s="1"/>
      <c r="I882" s="1"/>
      <c r="J882" s="1"/>
      <c r="K882" s="1"/>
      <c r="L882" s="1"/>
      <c r="M882" s="1"/>
      <c r="N882" s="1"/>
      <c r="O882" s="1"/>
      <c r="P882" s="1"/>
      <c r="Q882" s="1"/>
      <c r="R882" s="1"/>
      <c r="S882" s="1"/>
      <c r="T882" s="1"/>
      <c r="U882" s="2"/>
      <c r="V882" s="1"/>
      <c r="W882" s="1"/>
      <c r="X882" s="1"/>
      <c r="Y882" s="1"/>
      <c r="Z882" s="1"/>
    </row>
    <row r="883" spans="1:26" ht="24.75" customHeight="1">
      <c r="A883" s="1"/>
      <c r="B883" s="1"/>
      <c r="C883" s="1"/>
      <c r="D883" s="1"/>
      <c r="E883" s="1"/>
      <c r="F883" s="1"/>
      <c r="G883" s="1"/>
      <c r="H883" s="1"/>
      <c r="I883" s="1"/>
      <c r="J883" s="1"/>
      <c r="K883" s="1"/>
      <c r="L883" s="1"/>
      <c r="M883" s="1"/>
      <c r="N883" s="1"/>
      <c r="O883" s="1"/>
      <c r="P883" s="1"/>
      <c r="Q883" s="1"/>
      <c r="R883" s="1"/>
      <c r="S883" s="1"/>
      <c r="T883" s="1"/>
      <c r="U883" s="2"/>
      <c r="V883" s="1"/>
      <c r="W883" s="1"/>
      <c r="X883" s="1"/>
      <c r="Y883" s="1"/>
      <c r="Z883" s="1"/>
    </row>
    <row r="884" spans="1:26" ht="24.75" customHeight="1">
      <c r="A884" s="1"/>
      <c r="B884" s="1"/>
      <c r="C884" s="1"/>
      <c r="D884" s="1"/>
      <c r="E884" s="1"/>
      <c r="F884" s="1"/>
      <c r="G884" s="1"/>
      <c r="H884" s="1"/>
      <c r="I884" s="1"/>
      <c r="J884" s="1"/>
      <c r="K884" s="1"/>
      <c r="L884" s="1"/>
      <c r="M884" s="1"/>
      <c r="N884" s="1"/>
      <c r="O884" s="1"/>
      <c r="P884" s="1"/>
      <c r="Q884" s="1"/>
      <c r="R884" s="1"/>
      <c r="S884" s="1"/>
      <c r="T884" s="1"/>
      <c r="U884" s="2"/>
      <c r="V884" s="1"/>
      <c r="W884" s="1"/>
      <c r="X884" s="1"/>
      <c r="Y884" s="1"/>
      <c r="Z884" s="1"/>
    </row>
    <row r="885" spans="1:26" ht="24.75" customHeight="1">
      <c r="A885" s="1"/>
      <c r="B885" s="1"/>
      <c r="C885" s="1"/>
      <c r="D885" s="1"/>
      <c r="E885" s="1"/>
      <c r="F885" s="1"/>
      <c r="G885" s="1"/>
      <c r="H885" s="1"/>
      <c r="I885" s="1"/>
      <c r="J885" s="1"/>
      <c r="K885" s="1"/>
      <c r="L885" s="1"/>
      <c r="M885" s="1"/>
      <c r="N885" s="1"/>
      <c r="O885" s="1"/>
      <c r="P885" s="1"/>
      <c r="Q885" s="1"/>
      <c r="R885" s="1"/>
      <c r="S885" s="1"/>
      <c r="T885" s="1"/>
      <c r="U885" s="2"/>
      <c r="V885" s="1"/>
      <c r="W885" s="1"/>
      <c r="X885" s="1"/>
      <c r="Y885" s="1"/>
      <c r="Z885" s="1"/>
    </row>
    <row r="886" spans="1:26" ht="24.75" customHeight="1">
      <c r="A886" s="1"/>
      <c r="B886" s="1"/>
      <c r="C886" s="1"/>
      <c r="D886" s="1"/>
      <c r="E886" s="1"/>
      <c r="F886" s="1"/>
      <c r="G886" s="1"/>
      <c r="H886" s="1"/>
      <c r="I886" s="1"/>
      <c r="J886" s="1"/>
      <c r="K886" s="1"/>
      <c r="L886" s="1"/>
      <c r="M886" s="1"/>
      <c r="N886" s="1"/>
      <c r="O886" s="1"/>
      <c r="P886" s="1"/>
      <c r="Q886" s="1"/>
      <c r="R886" s="1"/>
      <c r="S886" s="1"/>
      <c r="T886" s="1"/>
      <c r="U886" s="2"/>
      <c r="V886" s="1"/>
      <c r="W886" s="1"/>
      <c r="X886" s="1"/>
      <c r="Y886" s="1"/>
      <c r="Z886" s="1"/>
    </row>
    <row r="887" spans="1:26" ht="24.75" customHeight="1">
      <c r="A887" s="1"/>
      <c r="B887" s="1"/>
      <c r="C887" s="1"/>
      <c r="D887" s="1"/>
      <c r="E887" s="1"/>
      <c r="F887" s="1"/>
      <c r="G887" s="1"/>
      <c r="H887" s="1"/>
      <c r="I887" s="1"/>
      <c r="J887" s="1"/>
      <c r="K887" s="1"/>
      <c r="L887" s="1"/>
      <c r="M887" s="1"/>
      <c r="N887" s="1"/>
      <c r="O887" s="1"/>
      <c r="P887" s="1"/>
      <c r="Q887" s="1"/>
      <c r="R887" s="1"/>
      <c r="S887" s="1"/>
      <c r="T887" s="1"/>
      <c r="U887" s="2"/>
      <c r="V887" s="1"/>
      <c r="W887" s="1"/>
      <c r="X887" s="1"/>
      <c r="Y887" s="1"/>
      <c r="Z887" s="1"/>
    </row>
    <row r="888" spans="1:26" ht="24.75" customHeight="1">
      <c r="A888" s="1"/>
      <c r="B888" s="1"/>
      <c r="C888" s="1"/>
      <c r="D888" s="1"/>
      <c r="E888" s="1"/>
      <c r="F888" s="1"/>
      <c r="G888" s="1"/>
      <c r="H888" s="1"/>
      <c r="I888" s="1"/>
      <c r="J888" s="1"/>
      <c r="K888" s="1"/>
      <c r="L888" s="1"/>
      <c r="M888" s="1"/>
      <c r="N888" s="1"/>
      <c r="O888" s="1"/>
      <c r="P888" s="1"/>
      <c r="Q888" s="1"/>
      <c r="R888" s="1"/>
      <c r="S888" s="1"/>
      <c r="T888" s="1"/>
      <c r="U888" s="2"/>
      <c r="V888" s="1"/>
      <c r="W888" s="1"/>
      <c r="X888" s="1"/>
      <c r="Y888" s="1"/>
      <c r="Z888" s="1"/>
    </row>
    <row r="889" spans="1:26" ht="24.75" customHeight="1">
      <c r="A889" s="1"/>
      <c r="B889" s="1"/>
      <c r="C889" s="1"/>
      <c r="D889" s="1"/>
      <c r="E889" s="1"/>
      <c r="F889" s="1"/>
      <c r="G889" s="1"/>
      <c r="H889" s="1"/>
      <c r="I889" s="1"/>
      <c r="J889" s="1"/>
      <c r="K889" s="1"/>
      <c r="L889" s="1"/>
      <c r="M889" s="1"/>
      <c r="N889" s="1"/>
      <c r="O889" s="1"/>
      <c r="P889" s="1"/>
      <c r="Q889" s="1"/>
      <c r="R889" s="1"/>
      <c r="S889" s="1"/>
      <c r="T889" s="1"/>
      <c r="U889" s="2"/>
      <c r="V889" s="1"/>
      <c r="W889" s="1"/>
      <c r="X889" s="1"/>
      <c r="Y889" s="1"/>
      <c r="Z889" s="1"/>
    </row>
    <row r="890" spans="1:26" ht="24.75" customHeight="1">
      <c r="A890" s="1"/>
      <c r="B890" s="1"/>
      <c r="C890" s="1"/>
      <c r="D890" s="1"/>
      <c r="E890" s="1"/>
      <c r="F890" s="1"/>
      <c r="G890" s="1"/>
      <c r="H890" s="1"/>
      <c r="I890" s="1"/>
      <c r="J890" s="1"/>
      <c r="K890" s="1"/>
      <c r="L890" s="1"/>
      <c r="M890" s="1"/>
      <c r="N890" s="1"/>
      <c r="O890" s="1"/>
      <c r="P890" s="1"/>
      <c r="Q890" s="1"/>
      <c r="R890" s="1"/>
      <c r="S890" s="1"/>
      <c r="T890" s="1"/>
      <c r="U890" s="2"/>
      <c r="V890" s="1"/>
      <c r="W890" s="1"/>
      <c r="X890" s="1"/>
      <c r="Y890" s="1"/>
      <c r="Z890" s="1"/>
    </row>
    <row r="891" spans="1:26" ht="24.75" customHeight="1">
      <c r="A891" s="1"/>
      <c r="B891" s="1"/>
      <c r="C891" s="1"/>
      <c r="D891" s="1"/>
      <c r="E891" s="1"/>
      <c r="F891" s="1"/>
      <c r="G891" s="1"/>
      <c r="H891" s="1"/>
      <c r="I891" s="1"/>
      <c r="J891" s="1"/>
      <c r="K891" s="1"/>
      <c r="L891" s="1"/>
      <c r="M891" s="1"/>
      <c r="N891" s="1"/>
      <c r="O891" s="1"/>
      <c r="P891" s="1"/>
      <c r="Q891" s="1"/>
      <c r="R891" s="1"/>
      <c r="S891" s="1"/>
      <c r="T891" s="1"/>
      <c r="U891" s="2"/>
      <c r="V891" s="1"/>
      <c r="W891" s="1"/>
      <c r="X891" s="1"/>
      <c r="Y891" s="1"/>
      <c r="Z891" s="1"/>
    </row>
    <row r="892" spans="1:26" ht="24.75" customHeight="1">
      <c r="A892" s="1"/>
      <c r="B892" s="1"/>
      <c r="C892" s="1"/>
      <c r="D892" s="1"/>
      <c r="E892" s="1"/>
      <c r="F892" s="1"/>
      <c r="G892" s="1"/>
      <c r="H892" s="1"/>
      <c r="I892" s="1"/>
      <c r="J892" s="1"/>
      <c r="K892" s="1"/>
      <c r="L892" s="1"/>
      <c r="M892" s="1"/>
      <c r="N892" s="1"/>
      <c r="O892" s="1"/>
      <c r="P892" s="1"/>
      <c r="Q892" s="1"/>
      <c r="R892" s="1"/>
      <c r="S892" s="1"/>
      <c r="T892" s="1"/>
      <c r="U892" s="2"/>
      <c r="V892" s="1"/>
      <c r="W892" s="1"/>
      <c r="X892" s="1"/>
      <c r="Y892" s="1"/>
      <c r="Z892" s="1"/>
    </row>
    <row r="893" spans="1:26" ht="24.75" customHeight="1">
      <c r="A893" s="1"/>
      <c r="B893" s="1"/>
      <c r="C893" s="1"/>
      <c r="D893" s="1"/>
      <c r="E893" s="1"/>
      <c r="F893" s="1"/>
      <c r="G893" s="1"/>
      <c r="H893" s="1"/>
      <c r="I893" s="1"/>
      <c r="J893" s="1"/>
      <c r="K893" s="1"/>
      <c r="L893" s="1"/>
      <c r="M893" s="1"/>
      <c r="N893" s="1"/>
      <c r="O893" s="1"/>
      <c r="P893" s="1"/>
      <c r="Q893" s="1"/>
      <c r="R893" s="1"/>
      <c r="S893" s="1"/>
      <c r="T893" s="1"/>
      <c r="U893" s="2"/>
      <c r="V893" s="1"/>
      <c r="W893" s="1"/>
      <c r="X893" s="1"/>
      <c r="Y893" s="1"/>
      <c r="Z893" s="1"/>
    </row>
    <row r="894" spans="1:26" ht="24.75" customHeight="1">
      <c r="A894" s="1"/>
      <c r="B894" s="1"/>
      <c r="C894" s="1"/>
      <c r="D894" s="1"/>
      <c r="E894" s="1"/>
      <c r="F894" s="1"/>
      <c r="G894" s="1"/>
      <c r="H894" s="1"/>
      <c r="I894" s="1"/>
      <c r="J894" s="1"/>
      <c r="K894" s="1"/>
      <c r="L894" s="1"/>
      <c r="M894" s="1"/>
      <c r="N894" s="1"/>
      <c r="O894" s="1"/>
      <c r="P894" s="1"/>
      <c r="Q894" s="1"/>
      <c r="R894" s="1"/>
      <c r="S894" s="1"/>
      <c r="T894" s="1"/>
      <c r="U894" s="2"/>
      <c r="V894" s="1"/>
      <c r="W894" s="1"/>
      <c r="X894" s="1"/>
      <c r="Y894" s="1"/>
      <c r="Z894" s="1"/>
    </row>
    <row r="895" spans="1:26" ht="24.75" customHeight="1">
      <c r="A895" s="1"/>
      <c r="B895" s="1"/>
      <c r="C895" s="1"/>
      <c r="D895" s="1"/>
      <c r="E895" s="1"/>
      <c r="F895" s="1"/>
      <c r="G895" s="1"/>
      <c r="H895" s="1"/>
      <c r="I895" s="1"/>
      <c r="J895" s="1"/>
      <c r="K895" s="1"/>
      <c r="L895" s="1"/>
      <c r="M895" s="1"/>
      <c r="N895" s="1"/>
      <c r="O895" s="1"/>
      <c r="P895" s="1"/>
      <c r="Q895" s="1"/>
      <c r="R895" s="1"/>
      <c r="S895" s="1"/>
      <c r="T895" s="1"/>
      <c r="U895" s="2"/>
      <c r="V895" s="1"/>
      <c r="W895" s="1"/>
      <c r="X895" s="1"/>
      <c r="Y895" s="1"/>
      <c r="Z895" s="1"/>
    </row>
    <row r="896" spans="1:26" ht="24.75" customHeight="1">
      <c r="A896" s="1"/>
      <c r="B896" s="1"/>
      <c r="C896" s="1"/>
      <c r="D896" s="1"/>
      <c r="E896" s="1"/>
      <c r="F896" s="1"/>
      <c r="G896" s="1"/>
      <c r="H896" s="1"/>
      <c r="I896" s="1"/>
      <c r="J896" s="1"/>
      <c r="K896" s="1"/>
      <c r="L896" s="1"/>
      <c r="M896" s="1"/>
      <c r="N896" s="1"/>
      <c r="O896" s="1"/>
      <c r="P896" s="1"/>
      <c r="Q896" s="1"/>
      <c r="R896" s="1"/>
      <c r="S896" s="1"/>
      <c r="T896" s="1"/>
      <c r="U896" s="2"/>
      <c r="V896" s="1"/>
      <c r="W896" s="1"/>
      <c r="X896" s="1"/>
      <c r="Y896" s="1"/>
      <c r="Z896" s="1"/>
    </row>
    <row r="897" spans="1:26" ht="24.75" customHeight="1">
      <c r="A897" s="1"/>
      <c r="B897" s="1"/>
      <c r="C897" s="1"/>
      <c r="D897" s="1"/>
      <c r="E897" s="1"/>
      <c r="F897" s="1"/>
      <c r="G897" s="1"/>
      <c r="H897" s="1"/>
      <c r="I897" s="1"/>
      <c r="J897" s="1"/>
      <c r="K897" s="1"/>
      <c r="L897" s="1"/>
      <c r="M897" s="1"/>
      <c r="N897" s="1"/>
      <c r="O897" s="1"/>
      <c r="P897" s="1"/>
      <c r="Q897" s="1"/>
      <c r="R897" s="1"/>
      <c r="S897" s="1"/>
      <c r="T897" s="1"/>
      <c r="U897" s="2"/>
      <c r="V897" s="1"/>
      <c r="W897" s="1"/>
      <c r="X897" s="1"/>
      <c r="Y897" s="1"/>
      <c r="Z897" s="1"/>
    </row>
    <row r="898" spans="1:26" ht="24.75" customHeight="1">
      <c r="A898" s="1"/>
      <c r="B898" s="1"/>
      <c r="C898" s="1"/>
      <c r="D898" s="1"/>
      <c r="E898" s="1"/>
      <c r="F898" s="1"/>
      <c r="G898" s="1"/>
      <c r="H898" s="1"/>
      <c r="I898" s="1"/>
      <c r="J898" s="1"/>
      <c r="K898" s="1"/>
      <c r="L898" s="1"/>
      <c r="M898" s="1"/>
      <c r="N898" s="1"/>
      <c r="O898" s="1"/>
      <c r="P898" s="1"/>
      <c r="Q898" s="1"/>
      <c r="R898" s="1"/>
      <c r="S898" s="1"/>
      <c r="T898" s="1"/>
      <c r="U898" s="2"/>
      <c r="V898" s="1"/>
      <c r="W898" s="1"/>
      <c r="X898" s="1"/>
      <c r="Y898" s="1"/>
      <c r="Z898" s="1"/>
    </row>
    <row r="899" spans="1:26" ht="24.75" customHeight="1">
      <c r="A899" s="1"/>
      <c r="B899" s="1"/>
      <c r="C899" s="1"/>
      <c r="D899" s="1"/>
      <c r="E899" s="1"/>
      <c r="F899" s="1"/>
      <c r="G899" s="1"/>
      <c r="H899" s="1"/>
      <c r="I899" s="1"/>
      <c r="J899" s="1"/>
      <c r="K899" s="1"/>
      <c r="L899" s="1"/>
      <c r="M899" s="1"/>
      <c r="N899" s="1"/>
      <c r="O899" s="1"/>
      <c r="P899" s="1"/>
      <c r="Q899" s="1"/>
      <c r="R899" s="1"/>
      <c r="S899" s="1"/>
      <c r="T899" s="1"/>
      <c r="U899" s="2"/>
      <c r="V899" s="1"/>
      <c r="W899" s="1"/>
      <c r="X899" s="1"/>
      <c r="Y899" s="1"/>
      <c r="Z899" s="1"/>
    </row>
    <row r="900" spans="1:26" ht="24.75" customHeight="1">
      <c r="A900" s="1"/>
      <c r="B900" s="1"/>
      <c r="C900" s="1"/>
      <c r="D900" s="1"/>
      <c r="E900" s="1"/>
      <c r="F900" s="1"/>
      <c r="G900" s="1"/>
      <c r="H900" s="1"/>
      <c r="I900" s="1"/>
      <c r="J900" s="1"/>
      <c r="K900" s="1"/>
      <c r="L900" s="1"/>
      <c r="M900" s="1"/>
      <c r="N900" s="1"/>
      <c r="O900" s="1"/>
      <c r="P900" s="1"/>
      <c r="Q900" s="1"/>
      <c r="R900" s="1"/>
      <c r="S900" s="1"/>
      <c r="T900" s="1"/>
      <c r="U900" s="2"/>
      <c r="V900" s="1"/>
      <c r="W900" s="1"/>
      <c r="X900" s="1"/>
      <c r="Y900" s="1"/>
      <c r="Z900" s="1"/>
    </row>
    <row r="901" spans="1:26" ht="24.75" customHeight="1">
      <c r="A901" s="1"/>
      <c r="B901" s="1"/>
      <c r="C901" s="1"/>
      <c r="D901" s="1"/>
      <c r="E901" s="1"/>
      <c r="F901" s="1"/>
      <c r="G901" s="1"/>
      <c r="H901" s="1"/>
      <c r="I901" s="1"/>
      <c r="J901" s="1"/>
      <c r="K901" s="1"/>
      <c r="L901" s="1"/>
      <c r="M901" s="1"/>
      <c r="N901" s="1"/>
      <c r="O901" s="1"/>
      <c r="P901" s="1"/>
      <c r="Q901" s="1"/>
      <c r="R901" s="1"/>
      <c r="S901" s="1"/>
      <c r="T901" s="1"/>
      <c r="U901" s="2"/>
      <c r="V901" s="1"/>
      <c r="W901" s="1"/>
      <c r="X901" s="1"/>
      <c r="Y901" s="1"/>
      <c r="Z901" s="1"/>
    </row>
    <row r="902" spans="1:26" ht="24.75" customHeight="1">
      <c r="A902" s="1"/>
      <c r="B902" s="1"/>
      <c r="C902" s="1"/>
      <c r="D902" s="1"/>
      <c r="E902" s="1"/>
      <c r="F902" s="1"/>
      <c r="G902" s="1"/>
      <c r="H902" s="1"/>
      <c r="I902" s="1"/>
      <c r="J902" s="1"/>
      <c r="K902" s="1"/>
      <c r="L902" s="1"/>
      <c r="M902" s="1"/>
      <c r="N902" s="1"/>
      <c r="O902" s="1"/>
      <c r="P902" s="1"/>
      <c r="Q902" s="1"/>
      <c r="R902" s="1"/>
      <c r="S902" s="1"/>
      <c r="T902" s="1"/>
      <c r="U902" s="2"/>
      <c r="V902" s="1"/>
      <c r="W902" s="1"/>
      <c r="X902" s="1"/>
      <c r="Y902" s="1"/>
      <c r="Z902" s="1"/>
    </row>
    <row r="903" spans="1:26" ht="24.75" customHeight="1">
      <c r="A903" s="1"/>
      <c r="B903" s="1"/>
      <c r="C903" s="1"/>
      <c r="D903" s="1"/>
      <c r="E903" s="1"/>
      <c r="F903" s="1"/>
      <c r="G903" s="1"/>
      <c r="H903" s="1"/>
      <c r="I903" s="1"/>
      <c r="J903" s="1"/>
      <c r="K903" s="1"/>
      <c r="L903" s="1"/>
      <c r="M903" s="1"/>
      <c r="N903" s="1"/>
      <c r="O903" s="1"/>
      <c r="P903" s="1"/>
      <c r="Q903" s="1"/>
      <c r="R903" s="1"/>
      <c r="S903" s="1"/>
      <c r="T903" s="1"/>
      <c r="U903" s="2"/>
      <c r="V903" s="1"/>
      <c r="W903" s="1"/>
      <c r="X903" s="1"/>
      <c r="Y903" s="1"/>
      <c r="Z903" s="1"/>
    </row>
    <row r="904" spans="1:26" ht="24.75" customHeight="1">
      <c r="A904" s="1"/>
      <c r="B904" s="1"/>
      <c r="C904" s="1"/>
      <c r="D904" s="1"/>
      <c r="E904" s="1"/>
      <c r="F904" s="1"/>
      <c r="G904" s="1"/>
      <c r="H904" s="1"/>
      <c r="I904" s="1"/>
      <c r="J904" s="1"/>
      <c r="K904" s="1"/>
      <c r="L904" s="1"/>
      <c r="M904" s="1"/>
      <c r="N904" s="1"/>
      <c r="O904" s="1"/>
      <c r="P904" s="1"/>
      <c r="Q904" s="1"/>
      <c r="R904" s="1"/>
      <c r="S904" s="1"/>
      <c r="T904" s="1"/>
      <c r="U904" s="2"/>
      <c r="V904" s="1"/>
      <c r="W904" s="1"/>
      <c r="X904" s="1"/>
      <c r="Y904" s="1"/>
      <c r="Z904" s="1"/>
    </row>
    <row r="905" spans="1:26" ht="24.75" customHeight="1">
      <c r="A905" s="1"/>
      <c r="B905" s="1"/>
      <c r="C905" s="1"/>
      <c r="D905" s="1"/>
      <c r="E905" s="1"/>
      <c r="F905" s="1"/>
      <c r="G905" s="1"/>
      <c r="H905" s="1"/>
      <c r="I905" s="1"/>
      <c r="J905" s="1"/>
      <c r="K905" s="1"/>
      <c r="L905" s="1"/>
      <c r="M905" s="1"/>
      <c r="N905" s="1"/>
      <c r="O905" s="1"/>
      <c r="P905" s="1"/>
      <c r="Q905" s="1"/>
      <c r="R905" s="1"/>
      <c r="S905" s="1"/>
      <c r="T905" s="1"/>
      <c r="U905" s="2"/>
      <c r="V905" s="1"/>
      <c r="W905" s="1"/>
      <c r="X905" s="1"/>
      <c r="Y905" s="1"/>
      <c r="Z905" s="1"/>
    </row>
    <row r="906" spans="1:26" ht="24.75" customHeight="1">
      <c r="A906" s="1"/>
      <c r="B906" s="1"/>
      <c r="C906" s="1"/>
      <c r="D906" s="1"/>
      <c r="E906" s="1"/>
      <c r="F906" s="1"/>
      <c r="G906" s="1"/>
      <c r="H906" s="1"/>
      <c r="I906" s="1"/>
      <c r="J906" s="1"/>
      <c r="K906" s="1"/>
      <c r="L906" s="1"/>
      <c r="M906" s="1"/>
      <c r="N906" s="1"/>
      <c r="O906" s="1"/>
      <c r="P906" s="1"/>
      <c r="Q906" s="1"/>
      <c r="R906" s="1"/>
      <c r="S906" s="1"/>
      <c r="T906" s="1"/>
      <c r="U906" s="2"/>
      <c r="V906" s="1"/>
      <c r="W906" s="1"/>
      <c r="X906" s="1"/>
      <c r="Y906" s="1"/>
      <c r="Z906" s="1"/>
    </row>
    <row r="907" spans="1:26" ht="24.75" customHeight="1">
      <c r="A907" s="1"/>
      <c r="B907" s="1"/>
      <c r="C907" s="1"/>
      <c r="D907" s="1"/>
      <c r="E907" s="1"/>
      <c r="F907" s="1"/>
      <c r="G907" s="1"/>
      <c r="H907" s="1"/>
      <c r="I907" s="1"/>
      <c r="J907" s="1"/>
      <c r="K907" s="1"/>
      <c r="L907" s="1"/>
      <c r="M907" s="1"/>
      <c r="N907" s="1"/>
      <c r="O907" s="1"/>
      <c r="P907" s="1"/>
      <c r="Q907" s="1"/>
      <c r="R907" s="1"/>
      <c r="S907" s="1"/>
      <c r="T907" s="1"/>
      <c r="U907" s="2"/>
      <c r="V907" s="1"/>
      <c r="W907" s="1"/>
      <c r="X907" s="1"/>
      <c r="Y907" s="1"/>
      <c r="Z907" s="1"/>
    </row>
    <row r="908" spans="1:26" ht="24.75" customHeight="1">
      <c r="A908" s="1"/>
      <c r="B908" s="1"/>
      <c r="C908" s="1"/>
      <c r="D908" s="1"/>
      <c r="E908" s="1"/>
      <c r="F908" s="1"/>
      <c r="G908" s="1"/>
      <c r="H908" s="1"/>
      <c r="I908" s="1"/>
      <c r="J908" s="1"/>
      <c r="K908" s="1"/>
      <c r="L908" s="1"/>
      <c r="M908" s="1"/>
      <c r="N908" s="1"/>
      <c r="O908" s="1"/>
      <c r="P908" s="1"/>
      <c r="Q908" s="1"/>
      <c r="R908" s="1"/>
      <c r="S908" s="1"/>
      <c r="T908" s="1"/>
      <c r="U908" s="2"/>
      <c r="V908" s="1"/>
      <c r="W908" s="1"/>
      <c r="X908" s="1"/>
      <c r="Y908" s="1"/>
      <c r="Z908" s="1"/>
    </row>
    <row r="909" spans="1:26" ht="24.75" customHeight="1">
      <c r="A909" s="1"/>
      <c r="B909" s="1"/>
      <c r="C909" s="1"/>
      <c r="D909" s="1"/>
      <c r="E909" s="1"/>
      <c r="F909" s="1"/>
      <c r="G909" s="1"/>
      <c r="H909" s="1"/>
      <c r="I909" s="1"/>
      <c r="J909" s="1"/>
      <c r="K909" s="1"/>
      <c r="L909" s="1"/>
      <c r="M909" s="1"/>
      <c r="N909" s="1"/>
      <c r="O909" s="1"/>
      <c r="P909" s="1"/>
      <c r="Q909" s="1"/>
      <c r="R909" s="1"/>
      <c r="S909" s="1"/>
      <c r="T909" s="1"/>
      <c r="U909" s="2"/>
      <c r="V909" s="1"/>
      <c r="W909" s="1"/>
      <c r="X909" s="1"/>
      <c r="Y909" s="1"/>
      <c r="Z909" s="1"/>
    </row>
    <row r="910" spans="1:26" ht="24.75" customHeight="1">
      <c r="A910" s="1"/>
      <c r="B910" s="1"/>
      <c r="C910" s="1"/>
      <c r="D910" s="1"/>
      <c r="E910" s="1"/>
      <c r="F910" s="1"/>
      <c r="G910" s="1"/>
      <c r="H910" s="1"/>
      <c r="I910" s="1"/>
      <c r="J910" s="1"/>
      <c r="K910" s="1"/>
      <c r="L910" s="1"/>
      <c r="M910" s="1"/>
      <c r="N910" s="1"/>
      <c r="O910" s="1"/>
      <c r="P910" s="1"/>
      <c r="Q910" s="1"/>
      <c r="R910" s="1"/>
      <c r="S910" s="1"/>
      <c r="T910" s="1"/>
      <c r="U910" s="2"/>
      <c r="V910" s="1"/>
      <c r="W910" s="1"/>
      <c r="X910" s="1"/>
      <c r="Y910" s="1"/>
      <c r="Z910" s="1"/>
    </row>
    <row r="911" spans="1:26" ht="24.75" customHeight="1">
      <c r="A911" s="1"/>
      <c r="B911" s="1"/>
      <c r="C911" s="1"/>
      <c r="D911" s="1"/>
      <c r="E911" s="1"/>
      <c r="F911" s="1"/>
      <c r="G911" s="1"/>
      <c r="H911" s="1"/>
      <c r="I911" s="1"/>
      <c r="J911" s="1"/>
      <c r="K911" s="1"/>
      <c r="L911" s="1"/>
      <c r="M911" s="1"/>
      <c r="N911" s="1"/>
      <c r="O911" s="1"/>
      <c r="P911" s="1"/>
      <c r="Q911" s="1"/>
      <c r="R911" s="1"/>
      <c r="S911" s="1"/>
      <c r="T911" s="1"/>
      <c r="U911" s="2"/>
      <c r="V911" s="1"/>
      <c r="W911" s="1"/>
      <c r="X911" s="1"/>
      <c r="Y911" s="1"/>
      <c r="Z911" s="1"/>
    </row>
    <row r="912" spans="1:26" ht="24.75" customHeight="1">
      <c r="A912" s="1"/>
      <c r="B912" s="1"/>
      <c r="C912" s="1"/>
      <c r="D912" s="1"/>
      <c r="E912" s="1"/>
      <c r="F912" s="1"/>
      <c r="G912" s="1"/>
      <c r="H912" s="1"/>
      <c r="I912" s="1"/>
      <c r="J912" s="1"/>
      <c r="K912" s="1"/>
      <c r="L912" s="1"/>
      <c r="M912" s="1"/>
      <c r="N912" s="1"/>
      <c r="O912" s="1"/>
      <c r="P912" s="1"/>
      <c r="Q912" s="1"/>
      <c r="R912" s="1"/>
      <c r="S912" s="1"/>
      <c r="T912" s="1"/>
      <c r="U912" s="2"/>
      <c r="V912" s="1"/>
      <c r="W912" s="1"/>
      <c r="X912" s="1"/>
      <c r="Y912" s="1"/>
      <c r="Z912" s="1"/>
    </row>
    <row r="913" spans="1:26" ht="24.75" customHeight="1">
      <c r="A913" s="1"/>
      <c r="B913" s="1"/>
      <c r="C913" s="1"/>
      <c r="D913" s="1"/>
      <c r="E913" s="1"/>
      <c r="F913" s="1"/>
      <c r="G913" s="1"/>
      <c r="H913" s="1"/>
      <c r="I913" s="1"/>
      <c r="J913" s="1"/>
      <c r="K913" s="1"/>
      <c r="L913" s="1"/>
      <c r="M913" s="1"/>
      <c r="N913" s="1"/>
      <c r="O913" s="1"/>
      <c r="P913" s="1"/>
      <c r="Q913" s="1"/>
      <c r="R913" s="1"/>
      <c r="S913" s="1"/>
      <c r="T913" s="1"/>
      <c r="U913" s="2"/>
      <c r="V913" s="1"/>
      <c r="W913" s="1"/>
      <c r="X913" s="1"/>
      <c r="Y913" s="1"/>
      <c r="Z913" s="1"/>
    </row>
    <row r="914" spans="1:26" ht="24.75" customHeight="1">
      <c r="A914" s="1"/>
      <c r="B914" s="1"/>
      <c r="C914" s="1"/>
      <c r="D914" s="1"/>
      <c r="E914" s="1"/>
      <c r="F914" s="1"/>
      <c r="G914" s="1"/>
      <c r="H914" s="1"/>
      <c r="I914" s="1"/>
      <c r="J914" s="1"/>
      <c r="K914" s="1"/>
      <c r="L914" s="1"/>
      <c r="M914" s="1"/>
      <c r="N914" s="1"/>
      <c r="O914" s="1"/>
      <c r="P914" s="1"/>
      <c r="Q914" s="1"/>
      <c r="R914" s="1"/>
      <c r="S914" s="1"/>
      <c r="T914" s="1"/>
      <c r="U914" s="2"/>
      <c r="V914" s="1"/>
      <c r="W914" s="1"/>
      <c r="X914" s="1"/>
      <c r="Y914" s="1"/>
      <c r="Z914" s="1"/>
    </row>
    <row r="915" spans="1:26" ht="24.75" customHeight="1">
      <c r="A915" s="1"/>
      <c r="B915" s="1"/>
      <c r="C915" s="1"/>
      <c r="D915" s="1"/>
      <c r="E915" s="1"/>
      <c r="F915" s="1"/>
      <c r="G915" s="1"/>
      <c r="H915" s="1"/>
      <c r="I915" s="1"/>
      <c r="J915" s="1"/>
      <c r="K915" s="1"/>
      <c r="L915" s="1"/>
      <c r="M915" s="1"/>
      <c r="N915" s="1"/>
      <c r="O915" s="1"/>
      <c r="P915" s="1"/>
      <c r="Q915" s="1"/>
      <c r="R915" s="1"/>
      <c r="S915" s="1"/>
      <c r="T915" s="1"/>
      <c r="U915" s="2"/>
      <c r="V915" s="1"/>
      <c r="W915" s="1"/>
      <c r="X915" s="1"/>
      <c r="Y915" s="1"/>
      <c r="Z915" s="1"/>
    </row>
    <row r="916" spans="1:26" ht="24.75" customHeight="1">
      <c r="A916" s="1"/>
      <c r="B916" s="1"/>
      <c r="C916" s="1"/>
      <c r="D916" s="1"/>
      <c r="E916" s="1"/>
      <c r="F916" s="1"/>
      <c r="G916" s="1"/>
      <c r="H916" s="1"/>
      <c r="I916" s="1"/>
      <c r="J916" s="1"/>
      <c r="K916" s="1"/>
      <c r="L916" s="1"/>
      <c r="M916" s="1"/>
      <c r="N916" s="1"/>
      <c r="O916" s="1"/>
      <c r="P916" s="1"/>
      <c r="Q916" s="1"/>
      <c r="R916" s="1"/>
      <c r="S916" s="1"/>
      <c r="T916" s="1"/>
      <c r="U916" s="2"/>
      <c r="V916" s="1"/>
      <c r="W916" s="1"/>
      <c r="X916" s="1"/>
      <c r="Y916" s="1"/>
      <c r="Z916" s="1"/>
    </row>
    <row r="917" spans="1:26" ht="24.75" customHeight="1">
      <c r="A917" s="1"/>
      <c r="B917" s="1"/>
      <c r="C917" s="1"/>
      <c r="D917" s="1"/>
      <c r="E917" s="1"/>
      <c r="F917" s="1"/>
      <c r="G917" s="1"/>
      <c r="H917" s="1"/>
      <c r="I917" s="1"/>
      <c r="J917" s="1"/>
      <c r="K917" s="1"/>
      <c r="L917" s="1"/>
      <c r="M917" s="1"/>
      <c r="N917" s="1"/>
      <c r="O917" s="1"/>
      <c r="P917" s="1"/>
      <c r="Q917" s="1"/>
      <c r="R917" s="1"/>
      <c r="S917" s="1"/>
      <c r="T917" s="1"/>
      <c r="U917" s="2"/>
      <c r="V917" s="1"/>
      <c r="W917" s="1"/>
      <c r="X917" s="1"/>
      <c r="Y917" s="1"/>
      <c r="Z917" s="1"/>
    </row>
    <row r="918" spans="1:26" ht="24.75" customHeight="1">
      <c r="A918" s="1"/>
      <c r="B918" s="1"/>
      <c r="C918" s="1"/>
      <c r="D918" s="1"/>
      <c r="E918" s="1"/>
      <c r="F918" s="1"/>
      <c r="G918" s="1"/>
      <c r="H918" s="1"/>
      <c r="I918" s="1"/>
      <c r="J918" s="1"/>
      <c r="K918" s="1"/>
      <c r="L918" s="1"/>
      <c r="M918" s="1"/>
      <c r="N918" s="1"/>
      <c r="O918" s="1"/>
      <c r="P918" s="1"/>
      <c r="Q918" s="1"/>
      <c r="R918" s="1"/>
      <c r="S918" s="1"/>
      <c r="T918" s="1"/>
      <c r="U918" s="2"/>
      <c r="V918" s="1"/>
      <c r="W918" s="1"/>
      <c r="X918" s="1"/>
      <c r="Y918" s="1"/>
      <c r="Z918" s="1"/>
    </row>
    <row r="919" spans="1:26" ht="24.75" customHeight="1">
      <c r="A919" s="1"/>
      <c r="B919" s="1"/>
      <c r="C919" s="1"/>
      <c r="D919" s="1"/>
      <c r="E919" s="1"/>
      <c r="F919" s="1"/>
      <c r="G919" s="1"/>
      <c r="H919" s="1"/>
      <c r="I919" s="1"/>
      <c r="J919" s="1"/>
      <c r="K919" s="1"/>
      <c r="L919" s="1"/>
      <c r="M919" s="1"/>
      <c r="N919" s="1"/>
      <c r="O919" s="1"/>
      <c r="P919" s="1"/>
      <c r="Q919" s="1"/>
      <c r="R919" s="1"/>
      <c r="S919" s="1"/>
      <c r="T919" s="1"/>
      <c r="U919" s="2"/>
      <c r="V919" s="1"/>
      <c r="W919" s="1"/>
      <c r="X919" s="1"/>
      <c r="Y919" s="1"/>
      <c r="Z919" s="1"/>
    </row>
    <row r="920" spans="1:26" ht="24.75" customHeight="1">
      <c r="A920" s="1"/>
      <c r="B920" s="1"/>
      <c r="C920" s="1"/>
      <c r="D920" s="1"/>
      <c r="E920" s="1"/>
      <c r="F920" s="1"/>
      <c r="G920" s="1"/>
      <c r="H920" s="1"/>
      <c r="I920" s="1"/>
      <c r="J920" s="1"/>
      <c r="K920" s="1"/>
      <c r="L920" s="1"/>
      <c r="M920" s="1"/>
      <c r="N920" s="1"/>
      <c r="O920" s="1"/>
      <c r="P920" s="1"/>
      <c r="Q920" s="1"/>
      <c r="R920" s="1"/>
      <c r="S920" s="1"/>
      <c r="T920" s="1"/>
      <c r="U920" s="2"/>
      <c r="V920" s="1"/>
      <c r="W920" s="1"/>
      <c r="X920" s="1"/>
      <c r="Y920" s="1"/>
      <c r="Z920" s="1"/>
    </row>
    <row r="921" spans="1:26" ht="24.75" customHeight="1">
      <c r="A921" s="1"/>
      <c r="B921" s="1"/>
      <c r="C921" s="1"/>
      <c r="D921" s="1"/>
      <c r="E921" s="1"/>
      <c r="F921" s="1"/>
      <c r="G921" s="1"/>
      <c r="H921" s="1"/>
      <c r="I921" s="1"/>
      <c r="J921" s="1"/>
      <c r="K921" s="1"/>
      <c r="L921" s="1"/>
      <c r="M921" s="1"/>
      <c r="N921" s="1"/>
      <c r="O921" s="1"/>
      <c r="P921" s="1"/>
      <c r="Q921" s="1"/>
      <c r="R921" s="1"/>
      <c r="S921" s="1"/>
      <c r="T921" s="1"/>
      <c r="U921" s="2"/>
      <c r="V921" s="1"/>
      <c r="W921" s="1"/>
      <c r="X921" s="1"/>
      <c r="Y921" s="1"/>
      <c r="Z921" s="1"/>
    </row>
    <row r="922" spans="1:26" ht="24.75" customHeight="1">
      <c r="A922" s="1"/>
      <c r="B922" s="1"/>
      <c r="C922" s="1"/>
      <c r="D922" s="1"/>
      <c r="E922" s="1"/>
      <c r="F922" s="1"/>
      <c r="G922" s="1"/>
      <c r="H922" s="1"/>
      <c r="I922" s="1"/>
      <c r="J922" s="1"/>
      <c r="K922" s="1"/>
      <c r="L922" s="1"/>
      <c r="M922" s="1"/>
      <c r="N922" s="1"/>
      <c r="O922" s="1"/>
      <c r="P922" s="1"/>
      <c r="Q922" s="1"/>
      <c r="R922" s="1"/>
      <c r="S922" s="1"/>
      <c r="T922" s="1"/>
      <c r="U922" s="2"/>
      <c r="V922" s="1"/>
      <c r="W922" s="1"/>
      <c r="X922" s="1"/>
      <c r="Y922" s="1"/>
      <c r="Z922" s="1"/>
    </row>
    <row r="923" spans="1:26" ht="24.75" customHeight="1">
      <c r="A923" s="1"/>
      <c r="B923" s="1"/>
      <c r="C923" s="1"/>
      <c r="D923" s="1"/>
      <c r="E923" s="1"/>
      <c r="F923" s="1"/>
      <c r="G923" s="1"/>
      <c r="H923" s="1"/>
      <c r="I923" s="1"/>
      <c r="J923" s="1"/>
      <c r="K923" s="1"/>
      <c r="L923" s="1"/>
      <c r="M923" s="1"/>
      <c r="N923" s="1"/>
      <c r="O923" s="1"/>
      <c r="P923" s="1"/>
      <c r="Q923" s="1"/>
      <c r="R923" s="1"/>
      <c r="S923" s="1"/>
      <c r="T923" s="1"/>
      <c r="U923" s="2"/>
      <c r="V923" s="1"/>
      <c r="W923" s="1"/>
      <c r="X923" s="1"/>
      <c r="Y923" s="1"/>
      <c r="Z923" s="1"/>
    </row>
    <row r="924" spans="1:26" ht="24.75" customHeight="1">
      <c r="A924" s="1"/>
      <c r="B924" s="1"/>
      <c r="C924" s="1"/>
      <c r="D924" s="1"/>
      <c r="E924" s="1"/>
      <c r="F924" s="1"/>
      <c r="G924" s="1"/>
      <c r="H924" s="1"/>
      <c r="I924" s="1"/>
      <c r="J924" s="1"/>
      <c r="K924" s="1"/>
      <c r="L924" s="1"/>
      <c r="M924" s="1"/>
      <c r="N924" s="1"/>
      <c r="O924" s="1"/>
      <c r="P924" s="1"/>
      <c r="Q924" s="1"/>
      <c r="R924" s="1"/>
      <c r="S924" s="1"/>
      <c r="T924" s="1"/>
      <c r="U924" s="2"/>
      <c r="V924" s="1"/>
      <c r="W924" s="1"/>
      <c r="X924" s="1"/>
      <c r="Y924" s="1"/>
      <c r="Z924" s="1"/>
    </row>
    <row r="925" spans="1:26" ht="24.75" customHeight="1">
      <c r="A925" s="1"/>
      <c r="B925" s="1"/>
      <c r="C925" s="1"/>
      <c r="D925" s="1"/>
      <c r="E925" s="1"/>
      <c r="F925" s="1"/>
      <c r="G925" s="1"/>
      <c r="H925" s="1"/>
      <c r="I925" s="1"/>
      <c r="J925" s="1"/>
      <c r="K925" s="1"/>
      <c r="L925" s="1"/>
      <c r="M925" s="1"/>
      <c r="N925" s="1"/>
      <c r="O925" s="1"/>
      <c r="P925" s="1"/>
      <c r="Q925" s="1"/>
      <c r="R925" s="1"/>
      <c r="S925" s="1"/>
      <c r="T925" s="1"/>
      <c r="U925" s="2"/>
      <c r="V925" s="1"/>
      <c r="W925" s="1"/>
      <c r="X925" s="1"/>
      <c r="Y925" s="1"/>
      <c r="Z925" s="1"/>
    </row>
    <row r="926" spans="1:26" ht="24.75" customHeight="1">
      <c r="A926" s="1"/>
      <c r="B926" s="1"/>
      <c r="C926" s="1"/>
      <c r="D926" s="1"/>
      <c r="E926" s="1"/>
      <c r="F926" s="1"/>
      <c r="G926" s="1"/>
      <c r="H926" s="1"/>
      <c r="I926" s="1"/>
      <c r="J926" s="1"/>
      <c r="K926" s="1"/>
      <c r="L926" s="1"/>
      <c r="M926" s="1"/>
      <c r="N926" s="1"/>
      <c r="O926" s="1"/>
      <c r="P926" s="1"/>
      <c r="Q926" s="1"/>
      <c r="R926" s="1"/>
      <c r="S926" s="1"/>
      <c r="T926" s="1"/>
      <c r="U926" s="2"/>
      <c r="V926" s="1"/>
      <c r="W926" s="1"/>
      <c r="X926" s="1"/>
      <c r="Y926" s="1"/>
      <c r="Z926" s="1"/>
    </row>
    <row r="927" spans="1:26" ht="24.75" customHeight="1">
      <c r="A927" s="1"/>
      <c r="B927" s="1"/>
      <c r="C927" s="1"/>
      <c r="D927" s="1"/>
      <c r="E927" s="1"/>
      <c r="F927" s="1"/>
      <c r="G927" s="1"/>
      <c r="H927" s="1"/>
      <c r="I927" s="1"/>
      <c r="J927" s="1"/>
      <c r="K927" s="1"/>
      <c r="L927" s="1"/>
      <c r="M927" s="1"/>
      <c r="N927" s="1"/>
      <c r="O927" s="1"/>
      <c r="P927" s="1"/>
      <c r="Q927" s="1"/>
      <c r="R927" s="1"/>
      <c r="S927" s="1"/>
      <c r="T927" s="1"/>
      <c r="U927" s="2"/>
      <c r="V927" s="1"/>
      <c r="W927" s="1"/>
      <c r="X927" s="1"/>
      <c r="Y927" s="1"/>
      <c r="Z927" s="1"/>
    </row>
    <row r="928" spans="1:26" ht="24.75" customHeight="1">
      <c r="A928" s="1"/>
      <c r="B928" s="1"/>
      <c r="C928" s="1"/>
      <c r="D928" s="1"/>
      <c r="E928" s="1"/>
      <c r="F928" s="1"/>
      <c r="G928" s="1"/>
      <c r="H928" s="1"/>
      <c r="I928" s="1"/>
      <c r="J928" s="1"/>
      <c r="K928" s="1"/>
      <c r="L928" s="1"/>
      <c r="M928" s="1"/>
      <c r="N928" s="1"/>
      <c r="O928" s="1"/>
      <c r="P928" s="1"/>
      <c r="Q928" s="1"/>
      <c r="R928" s="1"/>
      <c r="S928" s="1"/>
      <c r="T928" s="1"/>
      <c r="U928" s="2"/>
      <c r="V928" s="1"/>
      <c r="W928" s="1"/>
      <c r="X928" s="1"/>
      <c r="Y928" s="1"/>
      <c r="Z928" s="1"/>
    </row>
    <row r="929" spans="1:26" ht="24.75" customHeight="1">
      <c r="A929" s="1"/>
      <c r="B929" s="1"/>
      <c r="C929" s="1"/>
      <c r="D929" s="1"/>
      <c r="E929" s="1"/>
      <c r="F929" s="1"/>
      <c r="G929" s="1"/>
      <c r="H929" s="1"/>
      <c r="I929" s="1"/>
      <c r="J929" s="1"/>
      <c r="K929" s="1"/>
      <c r="L929" s="1"/>
      <c r="M929" s="1"/>
      <c r="N929" s="1"/>
      <c r="O929" s="1"/>
      <c r="P929" s="1"/>
      <c r="Q929" s="1"/>
      <c r="R929" s="1"/>
      <c r="S929" s="1"/>
      <c r="T929" s="1"/>
      <c r="U929" s="2"/>
      <c r="V929" s="1"/>
      <c r="W929" s="1"/>
      <c r="X929" s="1"/>
      <c r="Y929" s="1"/>
      <c r="Z929" s="1"/>
    </row>
    <row r="930" spans="1:26" ht="24.75" customHeight="1">
      <c r="A930" s="1"/>
      <c r="B930" s="1"/>
      <c r="C930" s="1"/>
      <c r="D930" s="1"/>
      <c r="E930" s="1"/>
      <c r="F930" s="1"/>
      <c r="G930" s="1"/>
      <c r="H930" s="1"/>
      <c r="I930" s="1"/>
      <c r="J930" s="1"/>
      <c r="K930" s="1"/>
      <c r="L930" s="1"/>
      <c r="M930" s="1"/>
      <c r="N930" s="1"/>
      <c r="O930" s="1"/>
      <c r="P930" s="1"/>
      <c r="Q930" s="1"/>
      <c r="R930" s="1"/>
      <c r="S930" s="1"/>
      <c r="T930" s="1"/>
      <c r="U930" s="2"/>
      <c r="V930" s="1"/>
      <c r="W930" s="1"/>
      <c r="X930" s="1"/>
      <c r="Y930" s="1"/>
      <c r="Z930" s="1"/>
    </row>
    <row r="931" spans="1:26" ht="24.75" customHeight="1">
      <c r="A931" s="1"/>
      <c r="B931" s="1"/>
      <c r="C931" s="1"/>
      <c r="D931" s="1"/>
      <c r="E931" s="1"/>
      <c r="F931" s="1"/>
      <c r="G931" s="1"/>
      <c r="H931" s="1"/>
      <c r="I931" s="1"/>
      <c r="J931" s="1"/>
      <c r="K931" s="1"/>
      <c r="L931" s="1"/>
      <c r="M931" s="1"/>
      <c r="N931" s="1"/>
      <c r="O931" s="1"/>
      <c r="P931" s="1"/>
      <c r="Q931" s="1"/>
      <c r="R931" s="1"/>
      <c r="S931" s="1"/>
      <c r="T931" s="1"/>
      <c r="U931" s="2"/>
      <c r="V931" s="1"/>
      <c r="W931" s="1"/>
      <c r="X931" s="1"/>
      <c r="Y931" s="1"/>
      <c r="Z931" s="1"/>
    </row>
    <row r="932" spans="1:26" ht="24.75" customHeight="1">
      <c r="A932" s="1"/>
      <c r="B932" s="1"/>
      <c r="C932" s="1"/>
      <c r="D932" s="1"/>
      <c r="E932" s="1"/>
      <c r="F932" s="1"/>
      <c r="G932" s="1"/>
      <c r="H932" s="1"/>
      <c r="I932" s="1"/>
      <c r="J932" s="1"/>
      <c r="K932" s="1"/>
      <c r="L932" s="1"/>
      <c r="M932" s="1"/>
      <c r="N932" s="1"/>
      <c r="O932" s="1"/>
      <c r="P932" s="1"/>
      <c r="Q932" s="1"/>
      <c r="R932" s="1"/>
      <c r="S932" s="1"/>
      <c r="T932" s="1"/>
      <c r="U932" s="2"/>
      <c r="V932" s="1"/>
      <c r="W932" s="1"/>
      <c r="X932" s="1"/>
      <c r="Y932" s="1"/>
      <c r="Z932" s="1"/>
    </row>
    <row r="933" spans="1:26" ht="24.75" customHeight="1">
      <c r="A933" s="1"/>
      <c r="B933" s="1"/>
      <c r="C933" s="1"/>
      <c r="D933" s="1"/>
      <c r="E933" s="1"/>
      <c r="F933" s="1"/>
      <c r="G933" s="1"/>
      <c r="H933" s="1"/>
      <c r="I933" s="1"/>
      <c r="J933" s="1"/>
      <c r="K933" s="1"/>
      <c r="L933" s="1"/>
      <c r="M933" s="1"/>
      <c r="N933" s="1"/>
      <c r="O933" s="1"/>
      <c r="P933" s="1"/>
      <c r="Q933" s="1"/>
      <c r="R933" s="1"/>
      <c r="S933" s="1"/>
      <c r="T933" s="1"/>
      <c r="U933" s="2"/>
      <c r="V933" s="1"/>
      <c r="W933" s="1"/>
      <c r="X933" s="1"/>
      <c r="Y933" s="1"/>
      <c r="Z933" s="1"/>
    </row>
    <row r="934" spans="1:26" ht="24.75" customHeight="1">
      <c r="A934" s="1"/>
      <c r="B934" s="1"/>
      <c r="C934" s="1"/>
      <c r="D934" s="1"/>
      <c r="E934" s="1"/>
      <c r="F934" s="1"/>
      <c r="G934" s="1"/>
      <c r="H934" s="1"/>
      <c r="I934" s="1"/>
      <c r="J934" s="1"/>
      <c r="K934" s="1"/>
      <c r="L934" s="1"/>
      <c r="M934" s="1"/>
      <c r="N934" s="1"/>
      <c r="O934" s="1"/>
      <c r="P934" s="1"/>
      <c r="Q934" s="1"/>
      <c r="R934" s="1"/>
      <c r="S934" s="1"/>
      <c r="T934" s="1"/>
      <c r="U934" s="2"/>
      <c r="V934" s="1"/>
      <c r="W934" s="1"/>
      <c r="X934" s="1"/>
      <c r="Y934" s="1"/>
      <c r="Z934" s="1"/>
    </row>
    <row r="935" spans="1:26" ht="24.75" customHeight="1">
      <c r="A935" s="1"/>
      <c r="B935" s="1"/>
      <c r="C935" s="1"/>
      <c r="D935" s="1"/>
      <c r="E935" s="1"/>
      <c r="F935" s="1"/>
      <c r="G935" s="1"/>
      <c r="H935" s="1"/>
      <c r="I935" s="1"/>
      <c r="J935" s="1"/>
      <c r="K935" s="1"/>
      <c r="L935" s="1"/>
      <c r="M935" s="1"/>
      <c r="N935" s="1"/>
      <c r="O935" s="1"/>
      <c r="P935" s="1"/>
      <c r="Q935" s="1"/>
      <c r="R935" s="1"/>
      <c r="S935" s="1"/>
      <c r="T935" s="1"/>
      <c r="U935" s="2"/>
      <c r="V935" s="1"/>
      <c r="W935" s="1"/>
      <c r="X935" s="1"/>
      <c r="Y935" s="1"/>
      <c r="Z935" s="1"/>
    </row>
    <row r="936" spans="1:26" ht="24.75" customHeight="1">
      <c r="A936" s="1"/>
      <c r="B936" s="1"/>
      <c r="C936" s="1"/>
      <c r="D936" s="1"/>
      <c r="E936" s="1"/>
      <c r="F936" s="1"/>
      <c r="G936" s="1"/>
      <c r="H936" s="1"/>
      <c r="I936" s="1"/>
      <c r="J936" s="1"/>
      <c r="K936" s="1"/>
      <c r="L936" s="1"/>
      <c r="M936" s="1"/>
      <c r="N936" s="1"/>
      <c r="O936" s="1"/>
      <c r="P936" s="1"/>
      <c r="Q936" s="1"/>
      <c r="R936" s="1"/>
      <c r="S936" s="1"/>
      <c r="T936" s="1"/>
      <c r="U936" s="2"/>
      <c r="V936" s="1"/>
      <c r="W936" s="1"/>
      <c r="X936" s="1"/>
      <c r="Y936" s="1"/>
      <c r="Z936" s="1"/>
    </row>
    <row r="937" spans="1:26" ht="24.75" customHeight="1">
      <c r="A937" s="1"/>
      <c r="B937" s="1"/>
      <c r="C937" s="1"/>
      <c r="D937" s="1"/>
      <c r="E937" s="1"/>
      <c r="F937" s="1"/>
      <c r="G937" s="1"/>
      <c r="H937" s="1"/>
      <c r="I937" s="1"/>
      <c r="J937" s="1"/>
      <c r="K937" s="1"/>
      <c r="L937" s="1"/>
      <c r="M937" s="1"/>
      <c r="N937" s="1"/>
      <c r="O937" s="1"/>
      <c r="P937" s="1"/>
      <c r="Q937" s="1"/>
      <c r="R937" s="1"/>
      <c r="S937" s="1"/>
      <c r="T937" s="1"/>
      <c r="U937" s="2"/>
      <c r="V937" s="1"/>
      <c r="W937" s="1"/>
      <c r="X937" s="1"/>
      <c r="Y937" s="1"/>
      <c r="Z937" s="1"/>
    </row>
    <row r="938" spans="1:26" ht="24.75" customHeight="1">
      <c r="A938" s="1"/>
      <c r="B938" s="1"/>
      <c r="C938" s="1"/>
      <c r="D938" s="1"/>
      <c r="E938" s="1"/>
      <c r="F938" s="1"/>
      <c r="G938" s="1"/>
      <c r="H938" s="1"/>
      <c r="I938" s="1"/>
      <c r="J938" s="1"/>
      <c r="K938" s="1"/>
      <c r="L938" s="1"/>
      <c r="M938" s="1"/>
      <c r="N938" s="1"/>
      <c r="O938" s="1"/>
      <c r="P938" s="1"/>
      <c r="Q938" s="1"/>
      <c r="R938" s="1"/>
      <c r="S938" s="1"/>
      <c r="T938" s="1"/>
      <c r="U938" s="2"/>
      <c r="V938" s="1"/>
      <c r="W938" s="1"/>
      <c r="X938" s="1"/>
      <c r="Y938" s="1"/>
      <c r="Z938" s="1"/>
    </row>
    <row r="939" spans="1:26" ht="24.75" customHeight="1">
      <c r="A939" s="1"/>
      <c r="B939" s="1"/>
      <c r="C939" s="1"/>
      <c r="D939" s="1"/>
      <c r="E939" s="1"/>
      <c r="F939" s="1"/>
      <c r="G939" s="1"/>
      <c r="H939" s="1"/>
      <c r="I939" s="1"/>
      <c r="J939" s="1"/>
      <c r="K939" s="1"/>
      <c r="L939" s="1"/>
      <c r="M939" s="1"/>
      <c r="N939" s="1"/>
      <c r="O939" s="1"/>
      <c r="P939" s="1"/>
      <c r="Q939" s="1"/>
      <c r="R939" s="1"/>
      <c r="S939" s="1"/>
      <c r="T939" s="1"/>
      <c r="U939" s="2"/>
      <c r="V939" s="1"/>
      <c r="W939" s="1"/>
      <c r="X939" s="1"/>
      <c r="Y939" s="1"/>
      <c r="Z939" s="1"/>
    </row>
    <row r="940" spans="1:26" ht="24.75" customHeight="1">
      <c r="A940" s="1"/>
      <c r="B940" s="1"/>
      <c r="C940" s="1"/>
      <c r="D940" s="1"/>
      <c r="E940" s="1"/>
      <c r="F940" s="1"/>
      <c r="G940" s="1"/>
      <c r="H940" s="1"/>
      <c r="I940" s="1"/>
      <c r="J940" s="1"/>
      <c r="K940" s="1"/>
      <c r="L940" s="1"/>
      <c r="M940" s="1"/>
      <c r="N940" s="1"/>
      <c r="O940" s="1"/>
      <c r="P940" s="1"/>
      <c r="Q940" s="1"/>
      <c r="R940" s="1"/>
      <c r="S940" s="1"/>
      <c r="T940" s="1"/>
      <c r="U940" s="2"/>
      <c r="V940" s="1"/>
      <c r="W940" s="1"/>
      <c r="X940" s="1"/>
      <c r="Y940" s="1"/>
      <c r="Z940" s="1"/>
    </row>
    <row r="941" spans="1:26" ht="24.75" customHeight="1">
      <c r="A941" s="1"/>
      <c r="B941" s="1"/>
      <c r="C941" s="1"/>
      <c r="D941" s="1"/>
      <c r="E941" s="1"/>
      <c r="F941" s="1"/>
      <c r="G941" s="1"/>
      <c r="H941" s="1"/>
      <c r="I941" s="1"/>
      <c r="J941" s="1"/>
      <c r="K941" s="1"/>
      <c r="L941" s="1"/>
      <c r="M941" s="1"/>
      <c r="N941" s="1"/>
      <c r="O941" s="1"/>
      <c r="P941" s="1"/>
      <c r="Q941" s="1"/>
      <c r="R941" s="1"/>
      <c r="S941" s="1"/>
      <c r="T941" s="1"/>
      <c r="U941" s="2"/>
      <c r="V941" s="1"/>
      <c r="W941" s="1"/>
      <c r="X941" s="1"/>
      <c r="Y941" s="1"/>
      <c r="Z941" s="1"/>
    </row>
    <row r="942" spans="1:26" ht="24.75" customHeight="1">
      <c r="A942" s="1"/>
      <c r="B942" s="1"/>
      <c r="C942" s="1"/>
      <c r="D942" s="1"/>
      <c r="E942" s="1"/>
      <c r="F942" s="1"/>
      <c r="G942" s="1"/>
      <c r="H942" s="1"/>
      <c r="I942" s="1"/>
      <c r="J942" s="1"/>
      <c r="K942" s="1"/>
      <c r="L942" s="1"/>
      <c r="M942" s="1"/>
      <c r="N942" s="1"/>
      <c r="O942" s="1"/>
      <c r="P942" s="1"/>
      <c r="Q942" s="1"/>
      <c r="R942" s="1"/>
      <c r="S942" s="1"/>
      <c r="T942" s="1"/>
      <c r="U942" s="2"/>
      <c r="V942" s="1"/>
      <c r="W942" s="1"/>
      <c r="X942" s="1"/>
      <c r="Y942" s="1"/>
      <c r="Z942" s="1"/>
    </row>
    <row r="943" spans="1:26" ht="24.75" customHeight="1">
      <c r="A943" s="1"/>
      <c r="B943" s="1"/>
      <c r="C943" s="1"/>
      <c r="D943" s="1"/>
      <c r="E943" s="1"/>
      <c r="F943" s="1"/>
      <c r="G943" s="1"/>
      <c r="H943" s="1"/>
      <c r="I943" s="1"/>
      <c r="J943" s="1"/>
      <c r="K943" s="1"/>
      <c r="L943" s="1"/>
      <c r="M943" s="1"/>
      <c r="N943" s="1"/>
      <c r="O943" s="1"/>
      <c r="P943" s="1"/>
      <c r="Q943" s="1"/>
      <c r="R943" s="1"/>
      <c r="S943" s="1"/>
      <c r="T943" s="1"/>
      <c r="U943" s="2"/>
      <c r="V943" s="1"/>
      <c r="W943" s="1"/>
      <c r="X943" s="1"/>
      <c r="Y943" s="1"/>
      <c r="Z943" s="1"/>
    </row>
    <row r="944" spans="1:26" ht="24.75" customHeight="1">
      <c r="A944" s="1"/>
      <c r="B944" s="1"/>
      <c r="C944" s="1"/>
      <c r="D944" s="1"/>
      <c r="E944" s="1"/>
      <c r="F944" s="1"/>
      <c r="G944" s="1"/>
      <c r="H944" s="1"/>
      <c r="I944" s="1"/>
      <c r="J944" s="1"/>
      <c r="K944" s="1"/>
      <c r="L944" s="1"/>
      <c r="M944" s="1"/>
      <c r="N944" s="1"/>
      <c r="O944" s="1"/>
      <c r="P944" s="1"/>
      <c r="Q944" s="1"/>
      <c r="R944" s="1"/>
      <c r="S944" s="1"/>
      <c r="T944" s="1"/>
      <c r="U944" s="2"/>
      <c r="V944" s="1"/>
      <c r="W944" s="1"/>
      <c r="X944" s="1"/>
      <c r="Y944" s="1"/>
      <c r="Z944" s="1"/>
    </row>
    <row r="945" spans="1:26" ht="24.75" customHeight="1">
      <c r="A945" s="1"/>
      <c r="B945" s="1"/>
      <c r="C945" s="1"/>
      <c r="D945" s="1"/>
      <c r="E945" s="1"/>
      <c r="F945" s="1"/>
      <c r="G945" s="1"/>
      <c r="H945" s="1"/>
      <c r="I945" s="1"/>
      <c r="J945" s="1"/>
      <c r="K945" s="1"/>
      <c r="L945" s="1"/>
      <c r="M945" s="1"/>
      <c r="N945" s="1"/>
      <c r="O945" s="1"/>
      <c r="P945" s="1"/>
      <c r="Q945" s="1"/>
      <c r="R945" s="1"/>
      <c r="S945" s="1"/>
      <c r="T945" s="1"/>
      <c r="U945" s="2"/>
      <c r="V945" s="1"/>
      <c r="W945" s="1"/>
      <c r="X945" s="1"/>
      <c r="Y945" s="1"/>
      <c r="Z945" s="1"/>
    </row>
    <row r="946" spans="1:26" ht="24.75" customHeight="1">
      <c r="A946" s="1"/>
      <c r="B946" s="1"/>
      <c r="C946" s="1"/>
      <c r="D946" s="1"/>
      <c r="E946" s="1"/>
      <c r="F946" s="1"/>
      <c r="G946" s="1"/>
      <c r="H946" s="1"/>
      <c r="I946" s="1"/>
      <c r="J946" s="1"/>
      <c r="K946" s="1"/>
      <c r="L946" s="1"/>
      <c r="M946" s="1"/>
      <c r="N946" s="1"/>
      <c r="O946" s="1"/>
      <c r="P946" s="1"/>
      <c r="Q946" s="1"/>
      <c r="R946" s="1"/>
      <c r="S946" s="1"/>
      <c r="T946" s="1"/>
      <c r="U946" s="2"/>
      <c r="V946" s="1"/>
      <c r="W946" s="1"/>
      <c r="X946" s="1"/>
      <c r="Y946" s="1"/>
      <c r="Z946" s="1"/>
    </row>
    <row r="947" spans="1:26" ht="24.75" customHeight="1">
      <c r="A947" s="1"/>
      <c r="B947" s="1"/>
      <c r="C947" s="1"/>
      <c r="D947" s="1"/>
      <c r="E947" s="1"/>
      <c r="F947" s="1"/>
      <c r="G947" s="1"/>
      <c r="H947" s="1"/>
      <c r="I947" s="1"/>
      <c r="J947" s="1"/>
      <c r="K947" s="1"/>
      <c r="L947" s="1"/>
      <c r="M947" s="1"/>
      <c r="N947" s="1"/>
      <c r="O947" s="1"/>
      <c r="P947" s="1"/>
      <c r="Q947" s="1"/>
      <c r="R947" s="1"/>
      <c r="S947" s="1"/>
      <c r="T947" s="1"/>
      <c r="U947" s="2"/>
      <c r="V947" s="1"/>
      <c r="W947" s="1"/>
      <c r="X947" s="1"/>
      <c r="Y947" s="1"/>
      <c r="Z947" s="1"/>
    </row>
    <row r="948" spans="1:26" ht="24.75" customHeight="1">
      <c r="A948" s="1"/>
      <c r="B948" s="1"/>
      <c r="C948" s="1"/>
      <c r="D948" s="1"/>
      <c r="E948" s="1"/>
      <c r="F948" s="1"/>
      <c r="G948" s="1"/>
      <c r="H948" s="1"/>
      <c r="I948" s="1"/>
      <c r="J948" s="1"/>
      <c r="K948" s="1"/>
      <c r="L948" s="1"/>
      <c r="M948" s="1"/>
      <c r="N948" s="1"/>
      <c r="O948" s="1"/>
      <c r="P948" s="1"/>
      <c r="Q948" s="1"/>
      <c r="R948" s="1"/>
      <c r="S948" s="1"/>
      <c r="T948" s="1"/>
      <c r="U948" s="2"/>
      <c r="V948" s="1"/>
      <c r="W948" s="1"/>
      <c r="X948" s="1"/>
      <c r="Y948" s="1"/>
      <c r="Z948" s="1"/>
    </row>
    <row r="949" spans="1:26" ht="24.75" customHeight="1">
      <c r="A949" s="1"/>
      <c r="B949" s="1"/>
      <c r="C949" s="1"/>
      <c r="D949" s="1"/>
      <c r="E949" s="1"/>
      <c r="F949" s="1"/>
      <c r="G949" s="1"/>
      <c r="H949" s="1"/>
      <c r="I949" s="1"/>
      <c r="J949" s="1"/>
      <c r="K949" s="1"/>
      <c r="L949" s="1"/>
      <c r="M949" s="1"/>
      <c r="N949" s="1"/>
      <c r="O949" s="1"/>
      <c r="P949" s="1"/>
      <c r="Q949" s="1"/>
      <c r="R949" s="1"/>
      <c r="S949" s="1"/>
      <c r="T949" s="1"/>
      <c r="U949" s="2"/>
      <c r="V949" s="1"/>
      <c r="W949" s="1"/>
      <c r="X949" s="1"/>
      <c r="Y949" s="1"/>
      <c r="Z949" s="1"/>
    </row>
    <row r="950" spans="1:26" ht="24.75" customHeight="1">
      <c r="A950" s="1"/>
      <c r="B950" s="1"/>
      <c r="C950" s="1"/>
      <c r="D950" s="1"/>
      <c r="E950" s="1"/>
      <c r="F950" s="1"/>
      <c r="G950" s="1"/>
      <c r="H950" s="1"/>
      <c r="I950" s="1"/>
      <c r="J950" s="1"/>
      <c r="K950" s="1"/>
      <c r="L950" s="1"/>
      <c r="M950" s="1"/>
      <c r="N950" s="1"/>
      <c r="O950" s="1"/>
      <c r="P950" s="1"/>
      <c r="Q950" s="1"/>
      <c r="R950" s="1"/>
      <c r="S950" s="1"/>
      <c r="T950" s="1"/>
      <c r="U950" s="2"/>
      <c r="V950" s="1"/>
      <c r="W950" s="1"/>
      <c r="X950" s="1"/>
      <c r="Y950" s="1"/>
      <c r="Z950" s="1"/>
    </row>
    <row r="951" spans="1:26" ht="24.75" customHeight="1">
      <c r="A951" s="1"/>
      <c r="B951" s="1"/>
      <c r="C951" s="1"/>
      <c r="D951" s="1"/>
      <c r="E951" s="1"/>
      <c r="F951" s="1"/>
      <c r="G951" s="1"/>
      <c r="H951" s="1"/>
      <c r="I951" s="1"/>
      <c r="J951" s="1"/>
      <c r="K951" s="1"/>
      <c r="L951" s="1"/>
      <c r="M951" s="1"/>
      <c r="N951" s="1"/>
      <c r="O951" s="1"/>
      <c r="P951" s="1"/>
      <c r="Q951" s="1"/>
      <c r="R951" s="1"/>
      <c r="S951" s="1"/>
      <c r="T951" s="1"/>
      <c r="U951" s="2"/>
      <c r="V951" s="1"/>
      <c r="W951" s="1"/>
      <c r="X951" s="1"/>
      <c r="Y951" s="1"/>
      <c r="Z951" s="1"/>
    </row>
    <row r="952" spans="1:26" ht="24.75" customHeight="1">
      <c r="A952" s="1"/>
      <c r="B952" s="1"/>
      <c r="C952" s="1"/>
      <c r="D952" s="1"/>
      <c r="E952" s="1"/>
      <c r="F952" s="1"/>
      <c r="G952" s="1"/>
      <c r="H952" s="1"/>
      <c r="I952" s="1"/>
      <c r="J952" s="1"/>
      <c r="K952" s="1"/>
      <c r="L952" s="1"/>
      <c r="M952" s="1"/>
      <c r="N952" s="1"/>
      <c r="O952" s="1"/>
      <c r="P952" s="1"/>
      <c r="Q952" s="1"/>
      <c r="R952" s="1"/>
      <c r="S952" s="1"/>
      <c r="T952" s="1"/>
      <c r="U952" s="2"/>
      <c r="V952" s="1"/>
      <c r="W952" s="1"/>
      <c r="X952" s="1"/>
      <c r="Y952" s="1"/>
      <c r="Z952" s="1"/>
    </row>
    <row r="953" spans="1:26" ht="24.75" customHeight="1">
      <c r="A953" s="1"/>
      <c r="B953" s="1"/>
      <c r="C953" s="1"/>
      <c r="D953" s="1"/>
      <c r="E953" s="1"/>
      <c r="F953" s="1"/>
      <c r="G953" s="1"/>
      <c r="H953" s="1"/>
      <c r="I953" s="1"/>
      <c r="J953" s="1"/>
      <c r="K953" s="1"/>
      <c r="L953" s="1"/>
      <c r="M953" s="1"/>
      <c r="N953" s="1"/>
      <c r="O953" s="1"/>
      <c r="P953" s="1"/>
      <c r="Q953" s="1"/>
      <c r="R953" s="1"/>
      <c r="S953" s="1"/>
      <c r="T953" s="1"/>
      <c r="U953" s="2"/>
      <c r="V953" s="1"/>
      <c r="W953" s="1"/>
      <c r="X953" s="1"/>
      <c r="Y953" s="1"/>
      <c r="Z953" s="1"/>
    </row>
    <row r="954" spans="1:26" ht="24.75" customHeight="1">
      <c r="A954" s="1"/>
      <c r="B954" s="1"/>
      <c r="C954" s="1"/>
      <c r="D954" s="1"/>
      <c r="E954" s="1"/>
      <c r="F954" s="1"/>
      <c r="G954" s="1"/>
      <c r="H954" s="1"/>
      <c r="I954" s="1"/>
      <c r="J954" s="1"/>
      <c r="K954" s="1"/>
      <c r="L954" s="1"/>
      <c r="M954" s="1"/>
      <c r="N954" s="1"/>
      <c r="O954" s="1"/>
      <c r="P954" s="1"/>
      <c r="Q954" s="1"/>
      <c r="R954" s="1"/>
      <c r="S954" s="1"/>
      <c r="T954" s="1"/>
      <c r="U954" s="2"/>
      <c r="V954" s="1"/>
      <c r="W954" s="1"/>
      <c r="X954" s="1"/>
      <c r="Y954" s="1"/>
      <c r="Z954" s="1"/>
    </row>
    <row r="955" spans="1:26" ht="24.75" customHeight="1">
      <c r="A955" s="1"/>
      <c r="B955" s="1"/>
      <c r="C955" s="1"/>
      <c r="D955" s="1"/>
      <c r="E955" s="1"/>
      <c r="F955" s="1"/>
      <c r="G955" s="1"/>
      <c r="H955" s="1"/>
      <c r="I955" s="1"/>
      <c r="J955" s="1"/>
      <c r="K955" s="1"/>
      <c r="L955" s="1"/>
      <c r="M955" s="1"/>
      <c r="N955" s="1"/>
      <c r="O955" s="1"/>
      <c r="P955" s="1"/>
      <c r="Q955" s="1"/>
      <c r="R955" s="1"/>
      <c r="S955" s="1"/>
      <c r="T955" s="1"/>
      <c r="U955" s="2"/>
      <c r="V955" s="1"/>
      <c r="W955" s="1"/>
      <c r="X955" s="1"/>
      <c r="Y955" s="1"/>
      <c r="Z955" s="1"/>
    </row>
    <row r="956" spans="1:26" ht="24.75" customHeight="1">
      <c r="A956" s="1"/>
      <c r="B956" s="1"/>
      <c r="C956" s="1"/>
      <c r="D956" s="1"/>
      <c r="E956" s="1"/>
      <c r="F956" s="1"/>
      <c r="G956" s="1"/>
      <c r="H956" s="1"/>
      <c r="I956" s="1"/>
      <c r="J956" s="1"/>
      <c r="K956" s="1"/>
      <c r="L956" s="1"/>
      <c r="M956" s="1"/>
      <c r="N956" s="1"/>
      <c r="O956" s="1"/>
      <c r="P956" s="1"/>
      <c r="Q956" s="1"/>
      <c r="R956" s="1"/>
      <c r="S956" s="1"/>
      <c r="T956" s="1"/>
      <c r="U956" s="2"/>
      <c r="V956" s="1"/>
      <c r="W956" s="1"/>
      <c r="X956" s="1"/>
      <c r="Y956" s="1"/>
      <c r="Z956" s="1"/>
    </row>
    <row r="957" spans="1:26" ht="24.75" customHeight="1">
      <c r="A957" s="1"/>
      <c r="B957" s="1"/>
      <c r="C957" s="1"/>
      <c r="D957" s="1"/>
      <c r="E957" s="1"/>
      <c r="F957" s="1"/>
      <c r="G957" s="1"/>
      <c r="H957" s="1"/>
      <c r="I957" s="1"/>
      <c r="J957" s="1"/>
      <c r="K957" s="1"/>
      <c r="L957" s="1"/>
      <c r="M957" s="1"/>
      <c r="N957" s="1"/>
      <c r="O957" s="1"/>
      <c r="P957" s="1"/>
      <c r="Q957" s="1"/>
      <c r="R957" s="1"/>
      <c r="S957" s="1"/>
      <c r="T957" s="1"/>
      <c r="U957" s="2"/>
      <c r="V957" s="1"/>
      <c r="W957" s="1"/>
      <c r="X957" s="1"/>
      <c r="Y957" s="1"/>
      <c r="Z957" s="1"/>
    </row>
    <row r="958" spans="1:26" ht="24.75" customHeight="1">
      <c r="A958" s="1"/>
      <c r="B958" s="1"/>
      <c r="C958" s="1"/>
      <c r="D958" s="1"/>
      <c r="E958" s="1"/>
      <c r="F958" s="1"/>
      <c r="G958" s="1"/>
      <c r="H958" s="1"/>
      <c r="I958" s="1"/>
      <c r="J958" s="1"/>
      <c r="K958" s="1"/>
      <c r="L958" s="1"/>
      <c r="M958" s="1"/>
      <c r="N958" s="1"/>
      <c r="O958" s="1"/>
      <c r="P958" s="1"/>
      <c r="Q958" s="1"/>
      <c r="R958" s="1"/>
      <c r="S958" s="1"/>
      <c r="T958" s="1"/>
      <c r="U958" s="2"/>
      <c r="V958" s="1"/>
      <c r="W958" s="1"/>
      <c r="X958" s="1"/>
      <c r="Y958" s="1"/>
      <c r="Z958" s="1"/>
    </row>
    <row r="959" spans="1:26" ht="24.75" customHeight="1">
      <c r="A959" s="1"/>
      <c r="B959" s="1"/>
      <c r="C959" s="1"/>
      <c r="D959" s="1"/>
      <c r="E959" s="1"/>
      <c r="F959" s="1"/>
      <c r="G959" s="1"/>
      <c r="H959" s="1"/>
      <c r="I959" s="1"/>
      <c r="J959" s="1"/>
      <c r="K959" s="1"/>
      <c r="L959" s="1"/>
      <c r="M959" s="1"/>
      <c r="N959" s="1"/>
      <c r="O959" s="1"/>
      <c r="P959" s="1"/>
      <c r="Q959" s="1"/>
      <c r="R959" s="1"/>
      <c r="S959" s="1"/>
      <c r="T959" s="1"/>
      <c r="U959" s="2"/>
      <c r="V959" s="1"/>
      <c r="W959" s="1"/>
      <c r="X959" s="1"/>
      <c r="Y959" s="1"/>
      <c r="Z959" s="1"/>
    </row>
    <row r="960" spans="1:26" ht="24.75" customHeight="1">
      <c r="A960" s="1"/>
      <c r="B960" s="1"/>
      <c r="C960" s="1"/>
      <c r="D960" s="1"/>
      <c r="E960" s="1"/>
      <c r="F960" s="1"/>
      <c r="G960" s="1"/>
      <c r="H960" s="1"/>
      <c r="I960" s="1"/>
      <c r="J960" s="1"/>
      <c r="K960" s="1"/>
      <c r="L960" s="1"/>
      <c r="M960" s="1"/>
      <c r="N960" s="1"/>
      <c r="O960" s="1"/>
      <c r="P960" s="1"/>
      <c r="Q960" s="1"/>
      <c r="R960" s="1"/>
      <c r="S960" s="1"/>
      <c r="T960" s="1"/>
      <c r="U960" s="2"/>
      <c r="V960" s="1"/>
      <c r="W960" s="1"/>
      <c r="X960" s="1"/>
      <c r="Y960" s="1"/>
      <c r="Z960" s="1"/>
    </row>
    <row r="961" spans="1:26" ht="24.75" customHeight="1">
      <c r="A961" s="1"/>
      <c r="B961" s="1"/>
      <c r="C961" s="1"/>
      <c r="D961" s="1"/>
      <c r="E961" s="1"/>
      <c r="F961" s="1"/>
      <c r="G961" s="1"/>
      <c r="H961" s="1"/>
      <c r="I961" s="1"/>
      <c r="J961" s="1"/>
      <c r="K961" s="1"/>
      <c r="L961" s="1"/>
      <c r="M961" s="1"/>
      <c r="N961" s="1"/>
      <c r="O961" s="1"/>
      <c r="P961" s="1"/>
      <c r="Q961" s="1"/>
      <c r="R961" s="1"/>
      <c r="S961" s="1"/>
      <c r="T961" s="1"/>
      <c r="U961" s="2"/>
      <c r="V961" s="1"/>
      <c r="W961" s="1"/>
      <c r="X961" s="1"/>
      <c r="Y961" s="1"/>
      <c r="Z961" s="1"/>
    </row>
    <row r="962" spans="1:26" ht="24.75" customHeight="1">
      <c r="A962" s="1"/>
      <c r="B962" s="1"/>
      <c r="C962" s="1"/>
      <c r="D962" s="1"/>
      <c r="E962" s="1"/>
      <c r="F962" s="1"/>
      <c r="G962" s="1"/>
      <c r="H962" s="1"/>
      <c r="I962" s="1"/>
      <c r="J962" s="1"/>
      <c r="K962" s="1"/>
      <c r="L962" s="1"/>
      <c r="M962" s="1"/>
      <c r="N962" s="1"/>
      <c r="O962" s="1"/>
      <c r="P962" s="1"/>
      <c r="Q962" s="1"/>
      <c r="R962" s="1"/>
      <c r="S962" s="1"/>
      <c r="T962" s="1"/>
      <c r="U962" s="2"/>
      <c r="V962" s="1"/>
      <c r="W962" s="1"/>
      <c r="X962" s="1"/>
      <c r="Y962" s="1"/>
      <c r="Z962" s="1"/>
    </row>
    <row r="963" spans="1:26" ht="24.75" customHeight="1">
      <c r="A963" s="1"/>
      <c r="B963" s="1"/>
      <c r="C963" s="1"/>
      <c r="D963" s="1"/>
      <c r="E963" s="1"/>
      <c r="F963" s="1"/>
      <c r="G963" s="1"/>
      <c r="H963" s="1"/>
      <c r="I963" s="1"/>
      <c r="J963" s="1"/>
      <c r="K963" s="1"/>
      <c r="L963" s="1"/>
      <c r="M963" s="1"/>
      <c r="N963" s="1"/>
      <c r="O963" s="1"/>
      <c r="P963" s="1"/>
      <c r="Q963" s="1"/>
      <c r="R963" s="1"/>
      <c r="S963" s="1"/>
      <c r="T963" s="1"/>
      <c r="U963" s="2"/>
      <c r="V963" s="1"/>
      <c r="W963" s="1"/>
      <c r="X963" s="1"/>
      <c r="Y963" s="1"/>
      <c r="Z963" s="1"/>
    </row>
    <row r="964" spans="1:26" ht="24.75" customHeight="1">
      <c r="A964" s="1"/>
      <c r="B964" s="1"/>
      <c r="C964" s="1"/>
      <c r="D964" s="1"/>
      <c r="E964" s="1"/>
      <c r="F964" s="1"/>
      <c r="G964" s="1"/>
      <c r="H964" s="1"/>
      <c r="I964" s="1"/>
      <c r="J964" s="1"/>
      <c r="K964" s="1"/>
      <c r="L964" s="1"/>
      <c r="M964" s="1"/>
      <c r="N964" s="1"/>
      <c r="O964" s="1"/>
      <c r="P964" s="1"/>
      <c r="Q964" s="1"/>
      <c r="R964" s="1"/>
      <c r="S964" s="1"/>
      <c r="T964" s="1"/>
      <c r="U964" s="2"/>
      <c r="V964" s="1"/>
      <c r="W964" s="1"/>
      <c r="X964" s="1"/>
      <c r="Y964" s="1"/>
      <c r="Z964" s="1"/>
    </row>
    <row r="965" spans="1:26" ht="24.75" customHeight="1">
      <c r="A965" s="1"/>
      <c r="B965" s="1"/>
      <c r="C965" s="1"/>
      <c r="D965" s="1"/>
      <c r="E965" s="1"/>
      <c r="F965" s="1"/>
      <c r="G965" s="1"/>
      <c r="H965" s="1"/>
      <c r="I965" s="1"/>
      <c r="J965" s="1"/>
      <c r="K965" s="1"/>
      <c r="L965" s="1"/>
      <c r="M965" s="1"/>
      <c r="N965" s="1"/>
      <c r="O965" s="1"/>
      <c r="P965" s="1"/>
      <c r="Q965" s="1"/>
      <c r="R965" s="1"/>
      <c r="S965" s="1"/>
      <c r="T965" s="1"/>
      <c r="U965" s="2"/>
      <c r="V965" s="1"/>
      <c r="W965" s="1"/>
      <c r="X965" s="1"/>
      <c r="Y965" s="1"/>
      <c r="Z965" s="1"/>
    </row>
    <row r="966" spans="1:26" ht="24.75" customHeight="1">
      <c r="A966" s="1"/>
      <c r="B966" s="1"/>
      <c r="C966" s="1"/>
      <c r="D966" s="1"/>
      <c r="E966" s="1"/>
      <c r="F966" s="1"/>
      <c r="G966" s="1"/>
      <c r="H966" s="1"/>
      <c r="I966" s="1"/>
      <c r="J966" s="1"/>
      <c r="K966" s="1"/>
      <c r="L966" s="1"/>
      <c r="M966" s="1"/>
      <c r="N966" s="1"/>
      <c r="O966" s="1"/>
      <c r="P966" s="1"/>
      <c r="Q966" s="1"/>
      <c r="R966" s="1"/>
      <c r="S966" s="1"/>
      <c r="T966" s="1"/>
      <c r="U966" s="2"/>
      <c r="V966" s="1"/>
      <c r="W966" s="1"/>
      <c r="X966" s="1"/>
      <c r="Y966" s="1"/>
      <c r="Z966" s="1"/>
    </row>
    <row r="967" spans="1:26" ht="24.75" customHeight="1">
      <c r="A967" s="1"/>
      <c r="B967" s="1"/>
      <c r="C967" s="1"/>
      <c r="D967" s="1"/>
      <c r="E967" s="1"/>
      <c r="F967" s="1"/>
      <c r="G967" s="1"/>
      <c r="H967" s="1"/>
      <c r="I967" s="1"/>
      <c r="J967" s="1"/>
      <c r="K967" s="1"/>
      <c r="L967" s="1"/>
      <c r="M967" s="1"/>
      <c r="N967" s="1"/>
      <c r="O967" s="1"/>
      <c r="P967" s="1"/>
      <c r="Q967" s="1"/>
      <c r="R967" s="1"/>
      <c r="S967" s="1"/>
      <c r="T967" s="1"/>
      <c r="U967" s="2"/>
      <c r="V967" s="1"/>
      <c r="W967" s="1"/>
      <c r="X967" s="1"/>
      <c r="Y967" s="1"/>
      <c r="Z967" s="1"/>
    </row>
    <row r="968" spans="1:26" ht="24.75" customHeight="1">
      <c r="A968" s="1"/>
      <c r="B968" s="1"/>
      <c r="C968" s="1"/>
      <c r="D968" s="1"/>
      <c r="E968" s="1"/>
      <c r="F968" s="1"/>
      <c r="G968" s="1"/>
      <c r="H968" s="1"/>
      <c r="I968" s="1"/>
      <c r="J968" s="1"/>
      <c r="K968" s="1"/>
      <c r="L968" s="1"/>
      <c r="M968" s="1"/>
      <c r="N968" s="1"/>
      <c r="O968" s="1"/>
      <c r="P968" s="1"/>
      <c r="Q968" s="1"/>
      <c r="R968" s="1"/>
      <c r="S968" s="1"/>
      <c r="T968" s="1"/>
      <c r="U968" s="2"/>
      <c r="V968" s="1"/>
      <c r="W968" s="1"/>
      <c r="X968" s="1"/>
      <c r="Y968" s="1"/>
      <c r="Z968" s="1"/>
    </row>
    <row r="969" spans="1:26" ht="24.75" customHeight="1">
      <c r="A969" s="1"/>
      <c r="B969" s="1"/>
      <c r="C969" s="1"/>
      <c r="D969" s="1"/>
      <c r="E969" s="1"/>
      <c r="F969" s="1"/>
      <c r="G969" s="1"/>
      <c r="H969" s="1"/>
      <c r="I969" s="1"/>
      <c r="J969" s="1"/>
      <c r="K969" s="1"/>
      <c r="L969" s="1"/>
      <c r="M969" s="1"/>
      <c r="N969" s="1"/>
      <c r="O969" s="1"/>
      <c r="P969" s="1"/>
      <c r="Q969" s="1"/>
      <c r="R969" s="1"/>
      <c r="S969" s="1"/>
      <c r="T969" s="1"/>
      <c r="U969" s="2"/>
      <c r="V969" s="1"/>
      <c r="W969" s="1"/>
      <c r="X969" s="1"/>
      <c r="Y969" s="1"/>
      <c r="Z969" s="1"/>
    </row>
    <row r="970" spans="1:26" ht="24.75" customHeight="1">
      <c r="A970" s="1"/>
      <c r="B970" s="1"/>
      <c r="C970" s="1"/>
      <c r="D970" s="1"/>
      <c r="E970" s="1"/>
      <c r="F970" s="1"/>
      <c r="G970" s="1"/>
      <c r="H970" s="1"/>
      <c r="I970" s="1"/>
      <c r="J970" s="1"/>
      <c r="K970" s="1"/>
      <c r="L970" s="1"/>
      <c r="M970" s="1"/>
      <c r="N970" s="1"/>
      <c r="O970" s="1"/>
      <c r="P970" s="1"/>
      <c r="Q970" s="1"/>
      <c r="R970" s="1"/>
      <c r="S970" s="1"/>
      <c r="T970" s="1"/>
      <c r="U970" s="2"/>
      <c r="V970" s="1"/>
      <c r="W970" s="1"/>
      <c r="X970" s="1"/>
      <c r="Y970" s="1"/>
      <c r="Z970" s="1"/>
    </row>
    <row r="971" spans="1:26" ht="24.75" customHeight="1">
      <c r="A971" s="1"/>
      <c r="B971" s="1"/>
      <c r="C971" s="1"/>
      <c r="D971" s="1"/>
      <c r="E971" s="1"/>
      <c r="F971" s="1"/>
      <c r="G971" s="1"/>
      <c r="H971" s="1"/>
      <c r="I971" s="1"/>
      <c r="J971" s="1"/>
      <c r="K971" s="1"/>
      <c r="L971" s="1"/>
      <c r="M971" s="1"/>
      <c r="N971" s="1"/>
      <c r="O971" s="1"/>
      <c r="P971" s="1"/>
      <c r="Q971" s="1"/>
      <c r="R971" s="1"/>
      <c r="S971" s="1"/>
      <c r="T971" s="1"/>
      <c r="U971" s="2"/>
      <c r="V971" s="1"/>
      <c r="W971" s="1"/>
      <c r="X971" s="1"/>
      <c r="Y971" s="1"/>
      <c r="Z971" s="1"/>
    </row>
    <row r="972" spans="1:26" ht="24.75" customHeight="1">
      <c r="A972" s="1"/>
      <c r="B972" s="1"/>
      <c r="C972" s="1"/>
      <c r="D972" s="1"/>
      <c r="E972" s="1"/>
      <c r="F972" s="1"/>
      <c r="G972" s="1"/>
      <c r="H972" s="1"/>
      <c r="I972" s="1"/>
      <c r="J972" s="1"/>
      <c r="K972" s="1"/>
      <c r="L972" s="1"/>
      <c r="M972" s="1"/>
      <c r="N972" s="1"/>
      <c r="O972" s="1"/>
      <c r="P972" s="1"/>
      <c r="Q972" s="1"/>
      <c r="R972" s="1"/>
      <c r="S972" s="1"/>
      <c r="T972" s="1"/>
      <c r="U972" s="2"/>
      <c r="V972" s="1"/>
      <c r="W972" s="1"/>
      <c r="X972" s="1"/>
      <c r="Y972" s="1"/>
      <c r="Z972" s="1"/>
    </row>
    <row r="973" spans="1:26" ht="24.75" customHeight="1">
      <c r="A973" s="1"/>
      <c r="B973" s="1"/>
      <c r="C973" s="1"/>
      <c r="D973" s="1"/>
      <c r="E973" s="1"/>
      <c r="F973" s="1"/>
      <c r="G973" s="1"/>
      <c r="H973" s="1"/>
      <c r="I973" s="1"/>
      <c r="J973" s="1"/>
      <c r="K973" s="1"/>
      <c r="L973" s="1"/>
      <c r="M973" s="1"/>
      <c r="N973" s="1"/>
      <c r="O973" s="1"/>
      <c r="P973" s="1"/>
      <c r="Q973" s="1"/>
      <c r="R973" s="1"/>
      <c r="S973" s="1"/>
      <c r="T973" s="1"/>
      <c r="U973" s="2"/>
      <c r="V973" s="1"/>
      <c r="W973" s="1"/>
      <c r="X973" s="1"/>
      <c r="Y973" s="1"/>
      <c r="Z973" s="1"/>
    </row>
    <row r="974" spans="1:26" ht="24.75" customHeight="1">
      <c r="A974" s="1"/>
      <c r="B974" s="1"/>
      <c r="C974" s="1"/>
      <c r="D974" s="1"/>
      <c r="E974" s="1"/>
      <c r="F974" s="1"/>
      <c r="G974" s="1"/>
      <c r="H974" s="1"/>
      <c r="I974" s="1"/>
      <c r="J974" s="1"/>
      <c r="K974" s="1"/>
      <c r="L974" s="1"/>
      <c r="M974" s="1"/>
      <c r="N974" s="1"/>
      <c r="O974" s="1"/>
      <c r="P974" s="1"/>
      <c r="Q974" s="1"/>
      <c r="R974" s="1"/>
      <c r="S974" s="1"/>
      <c r="T974" s="1"/>
      <c r="U974" s="2"/>
      <c r="V974" s="1"/>
      <c r="W974" s="1"/>
      <c r="X974" s="1"/>
      <c r="Y974" s="1"/>
      <c r="Z974" s="1"/>
    </row>
    <row r="975" spans="1:26" ht="24.75" customHeight="1">
      <c r="A975" s="1"/>
      <c r="B975" s="1"/>
      <c r="C975" s="1"/>
      <c r="D975" s="1"/>
      <c r="E975" s="1"/>
      <c r="F975" s="1"/>
      <c r="G975" s="1"/>
      <c r="H975" s="1"/>
      <c r="I975" s="1"/>
      <c r="J975" s="1"/>
      <c r="K975" s="1"/>
      <c r="L975" s="1"/>
      <c r="M975" s="1"/>
      <c r="N975" s="1"/>
      <c r="O975" s="1"/>
      <c r="P975" s="1"/>
      <c r="Q975" s="1"/>
      <c r="R975" s="1"/>
      <c r="S975" s="1"/>
      <c r="T975" s="1"/>
      <c r="U975" s="2"/>
      <c r="V975" s="1"/>
      <c r="W975" s="1"/>
      <c r="X975" s="1"/>
      <c r="Y975" s="1"/>
      <c r="Z975" s="1"/>
    </row>
    <row r="976" spans="1:26" ht="24.75" customHeight="1">
      <c r="A976" s="1"/>
      <c r="B976" s="1"/>
      <c r="C976" s="1"/>
      <c r="D976" s="1"/>
      <c r="E976" s="1"/>
      <c r="F976" s="1"/>
      <c r="G976" s="1"/>
      <c r="H976" s="1"/>
      <c r="I976" s="1"/>
      <c r="J976" s="1"/>
      <c r="K976" s="1"/>
      <c r="L976" s="1"/>
      <c r="M976" s="1"/>
      <c r="N976" s="1"/>
      <c r="O976" s="1"/>
      <c r="P976" s="1"/>
      <c r="Q976" s="1"/>
      <c r="R976" s="1"/>
      <c r="S976" s="1"/>
      <c r="T976" s="1"/>
      <c r="U976" s="2"/>
      <c r="V976" s="1"/>
      <c r="W976" s="1"/>
      <c r="X976" s="1"/>
      <c r="Y976" s="1"/>
      <c r="Z976" s="1"/>
    </row>
    <row r="977" spans="1:26" ht="24.75" customHeight="1">
      <c r="A977" s="1"/>
      <c r="B977" s="1"/>
      <c r="C977" s="1"/>
      <c r="D977" s="1"/>
      <c r="E977" s="1"/>
      <c r="F977" s="1"/>
      <c r="G977" s="1"/>
      <c r="H977" s="1"/>
      <c r="I977" s="1"/>
      <c r="J977" s="1"/>
      <c r="K977" s="1"/>
      <c r="L977" s="1"/>
      <c r="M977" s="1"/>
      <c r="N977" s="1"/>
      <c r="O977" s="1"/>
      <c r="P977" s="1"/>
      <c r="Q977" s="1"/>
      <c r="R977" s="1"/>
      <c r="S977" s="1"/>
      <c r="T977" s="1"/>
      <c r="U977" s="2"/>
      <c r="V977" s="1"/>
      <c r="W977" s="1"/>
      <c r="X977" s="1"/>
      <c r="Y977" s="1"/>
      <c r="Z977" s="1"/>
    </row>
    <row r="978" spans="1:26" ht="24.75" customHeight="1">
      <c r="A978" s="1"/>
      <c r="B978" s="1"/>
      <c r="C978" s="1"/>
      <c r="D978" s="1"/>
      <c r="E978" s="1"/>
      <c r="F978" s="1"/>
      <c r="G978" s="1"/>
      <c r="H978" s="1"/>
      <c r="I978" s="1"/>
      <c r="J978" s="1"/>
      <c r="K978" s="1"/>
      <c r="L978" s="1"/>
      <c r="M978" s="1"/>
      <c r="N978" s="1"/>
      <c r="O978" s="1"/>
      <c r="P978" s="1"/>
      <c r="Q978" s="1"/>
      <c r="R978" s="1"/>
      <c r="S978" s="1"/>
      <c r="T978" s="1"/>
      <c r="U978" s="2"/>
      <c r="V978" s="1"/>
      <c r="W978" s="1"/>
      <c r="X978" s="1"/>
      <c r="Y978" s="1"/>
      <c r="Z978" s="1"/>
    </row>
    <row r="979" spans="1:26" ht="24.75" customHeight="1">
      <c r="A979" s="1"/>
      <c r="B979" s="1"/>
      <c r="C979" s="1"/>
      <c r="D979" s="1"/>
      <c r="E979" s="1"/>
      <c r="F979" s="1"/>
      <c r="G979" s="1"/>
      <c r="H979" s="1"/>
      <c r="I979" s="1"/>
      <c r="J979" s="1"/>
      <c r="K979" s="1"/>
      <c r="L979" s="1"/>
      <c r="M979" s="1"/>
      <c r="N979" s="1"/>
      <c r="O979" s="1"/>
      <c r="P979" s="1"/>
      <c r="Q979" s="1"/>
      <c r="R979" s="1"/>
      <c r="S979" s="1"/>
      <c r="T979" s="1"/>
      <c r="U979" s="2"/>
      <c r="V979" s="1"/>
      <c r="W979" s="1"/>
      <c r="X979" s="1"/>
      <c r="Y979" s="1"/>
      <c r="Z979" s="1"/>
    </row>
    <row r="980" spans="1:26" ht="24.75" customHeight="1">
      <c r="A980" s="1"/>
      <c r="B980" s="1"/>
      <c r="C980" s="1"/>
      <c r="D980" s="1"/>
      <c r="E980" s="1"/>
      <c r="F980" s="1"/>
      <c r="G980" s="1"/>
      <c r="H980" s="1"/>
      <c r="I980" s="1"/>
      <c r="J980" s="1"/>
      <c r="K980" s="1"/>
      <c r="L980" s="1"/>
      <c r="M980" s="1"/>
      <c r="N980" s="1"/>
      <c r="O980" s="1"/>
      <c r="P980" s="1"/>
      <c r="Q980" s="1"/>
      <c r="R980" s="1"/>
      <c r="S980" s="1"/>
      <c r="T980" s="1"/>
      <c r="U980" s="2"/>
      <c r="V980" s="1"/>
      <c r="W980" s="1"/>
      <c r="X980" s="1"/>
      <c r="Y980" s="1"/>
      <c r="Z980" s="1"/>
    </row>
    <row r="981" spans="1:26" ht="24.75" customHeight="1">
      <c r="A981" s="1"/>
      <c r="B981" s="1"/>
      <c r="C981" s="1"/>
      <c r="D981" s="1"/>
      <c r="E981" s="1"/>
      <c r="F981" s="1"/>
      <c r="G981" s="1"/>
      <c r="H981" s="1"/>
      <c r="I981" s="1"/>
      <c r="J981" s="1"/>
      <c r="K981" s="1"/>
      <c r="L981" s="1"/>
      <c r="M981" s="1"/>
      <c r="N981" s="1"/>
      <c r="O981" s="1"/>
      <c r="P981" s="1"/>
      <c r="Q981" s="1"/>
      <c r="R981" s="1"/>
      <c r="S981" s="1"/>
      <c r="T981" s="1"/>
      <c r="U981" s="2"/>
      <c r="V981" s="1"/>
      <c r="W981" s="1"/>
      <c r="X981" s="1"/>
      <c r="Y981" s="1"/>
      <c r="Z981" s="1"/>
    </row>
    <row r="982" spans="1:26" ht="24.75" customHeight="1">
      <c r="A982" s="1"/>
      <c r="B982" s="1"/>
      <c r="C982" s="1"/>
      <c r="D982" s="1"/>
      <c r="E982" s="1"/>
      <c r="F982" s="1"/>
      <c r="G982" s="1"/>
      <c r="H982" s="1"/>
      <c r="I982" s="1"/>
      <c r="J982" s="1"/>
      <c r="K982" s="1"/>
      <c r="L982" s="1"/>
      <c r="M982" s="1"/>
      <c r="N982" s="1"/>
      <c r="O982" s="1"/>
      <c r="P982" s="1"/>
      <c r="Q982" s="1"/>
      <c r="R982" s="1"/>
      <c r="S982" s="1"/>
      <c r="T982" s="1"/>
      <c r="U982" s="2"/>
      <c r="V982" s="1"/>
      <c r="W982" s="1"/>
      <c r="X982" s="1"/>
      <c r="Y982" s="1"/>
      <c r="Z982" s="1"/>
    </row>
    <row r="983" spans="1:26" ht="24.75" customHeight="1">
      <c r="A983" s="1"/>
      <c r="B983" s="1"/>
      <c r="C983" s="1"/>
      <c r="D983" s="1"/>
      <c r="E983" s="1"/>
      <c r="F983" s="1"/>
      <c r="G983" s="1"/>
      <c r="H983" s="1"/>
      <c r="I983" s="1"/>
      <c r="J983" s="1"/>
      <c r="K983" s="1"/>
      <c r="L983" s="1"/>
      <c r="M983" s="1"/>
      <c r="N983" s="1"/>
      <c r="O983" s="1"/>
      <c r="P983" s="1"/>
      <c r="Q983" s="1"/>
      <c r="R983" s="1"/>
      <c r="S983" s="1"/>
      <c r="T983" s="1"/>
      <c r="U983" s="2"/>
      <c r="V983" s="1"/>
      <c r="W983" s="1"/>
      <c r="X983" s="1"/>
      <c r="Y983" s="1"/>
      <c r="Z983" s="1"/>
    </row>
    <row r="984" spans="1:26" ht="24.75" customHeight="1">
      <c r="A984" s="1"/>
      <c r="B984" s="1"/>
      <c r="C984" s="1"/>
      <c r="D984" s="1"/>
      <c r="E984" s="1"/>
      <c r="F984" s="1"/>
      <c r="G984" s="1"/>
      <c r="H984" s="1"/>
      <c r="I984" s="1"/>
      <c r="J984" s="1"/>
      <c r="K984" s="1"/>
      <c r="L984" s="1"/>
      <c r="M984" s="1"/>
      <c r="N984" s="1"/>
      <c r="O984" s="1"/>
      <c r="P984" s="1"/>
      <c r="Q984" s="1"/>
      <c r="R984" s="1"/>
      <c r="S984" s="1"/>
      <c r="T984" s="1"/>
      <c r="U984" s="2"/>
      <c r="V984" s="1"/>
      <c r="W984" s="1"/>
      <c r="X984" s="1"/>
      <c r="Y984" s="1"/>
      <c r="Z984" s="1"/>
    </row>
    <row r="985" spans="1:26" ht="24.75" customHeight="1">
      <c r="A985" s="1"/>
      <c r="B985" s="1"/>
      <c r="C985" s="1"/>
      <c r="D985" s="1"/>
      <c r="E985" s="1"/>
      <c r="F985" s="1"/>
      <c r="G985" s="1"/>
      <c r="H985" s="1"/>
      <c r="I985" s="1"/>
      <c r="J985" s="1"/>
      <c r="K985" s="1"/>
      <c r="L985" s="1"/>
      <c r="M985" s="1"/>
      <c r="N985" s="1"/>
      <c r="O985" s="1"/>
      <c r="P985" s="1"/>
      <c r="Q985" s="1"/>
      <c r="R985" s="1"/>
      <c r="S985" s="1"/>
      <c r="T985" s="1"/>
      <c r="U985" s="2"/>
      <c r="V985" s="1"/>
      <c r="W985" s="1"/>
      <c r="X985" s="1"/>
      <c r="Y985" s="1"/>
      <c r="Z985" s="1"/>
    </row>
    <row r="986" spans="1:26" ht="24.75" customHeight="1">
      <c r="A986" s="1"/>
      <c r="B986" s="1"/>
      <c r="C986" s="1"/>
      <c r="D986" s="1"/>
      <c r="E986" s="1"/>
      <c r="F986" s="1"/>
      <c r="G986" s="1"/>
      <c r="H986" s="1"/>
      <c r="I986" s="1"/>
      <c r="J986" s="1"/>
      <c r="K986" s="1"/>
      <c r="L986" s="1"/>
      <c r="M986" s="1"/>
      <c r="N986" s="1"/>
      <c r="O986" s="1"/>
      <c r="P986" s="1"/>
      <c r="Q986" s="1"/>
      <c r="R986" s="1"/>
      <c r="S986" s="1"/>
      <c r="T986" s="1"/>
      <c r="U986" s="2"/>
      <c r="V986" s="1"/>
      <c r="W986" s="1"/>
      <c r="X986" s="1"/>
      <c r="Y986" s="1"/>
      <c r="Z986" s="1"/>
    </row>
    <row r="987" spans="1:26" ht="24.75" customHeight="1">
      <c r="A987" s="1"/>
      <c r="B987" s="1"/>
      <c r="C987" s="1"/>
      <c r="D987" s="1"/>
      <c r="E987" s="1"/>
      <c r="F987" s="1"/>
      <c r="G987" s="1"/>
      <c r="H987" s="1"/>
      <c r="I987" s="1"/>
      <c r="J987" s="1"/>
      <c r="K987" s="1"/>
      <c r="L987" s="1"/>
      <c r="M987" s="1"/>
      <c r="N987" s="1"/>
      <c r="O987" s="1"/>
      <c r="P987" s="1"/>
      <c r="Q987" s="1"/>
      <c r="R987" s="1"/>
      <c r="S987" s="1"/>
      <c r="T987" s="1"/>
      <c r="U987" s="2"/>
      <c r="V987" s="1"/>
      <c r="W987" s="1"/>
      <c r="X987" s="1"/>
      <c r="Y987" s="1"/>
      <c r="Z987" s="1"/>
    </row>
    <row r="988" spans="1:26" ht="24.75" customHeight="1">
      <c r="A988" s="1"/>
      <c r="B988" s="1"/>
      <c r="C988" s="1"/>
      <c r="D988" s="1"/>
      <c r="E988" s="1"/>
      <c r="F988" s="1"/>
      <c r="G988" s="1"/>
      <c r="H988" s="1"/>
      <c r="I988" s="1"/>
      <c r="J988" s="1"/>
      <c r="K988" s="1"/>
      <c r="L988" s="1"/>
      <c r="M988" s="1"/>
      <c r="N988" s="1"/>
      <c r="O988" s="1"/>
      <c r="P988" s="1"/>
      <c r="Q988" s="1"/>
      <c r="R988" s="1"/>
      <c r="S988" s="1"/>
      <c r="T988" s="1"/>
      <c r="U988" s="2"/>
      <c r="V988" s="1"/>
      <c r="W988" s="1"/>
      <c r="X988" s="1"/>
      <c r="Y988" s="1"/>
      <c r="Z988" s="1"/>
    </row>
    <row r="989" spans="1:26" ht="24.75" customHeight="1">
      <c r="A989" s="1"/>
      <c r="B989" s="1"/>
      <c r="C989" s="1"/>
      <c r="D989" s="1"/>
      <c r="E989" s="1"/>
      <c r="F989" s="1"/>
      <c r="G989" s="1"/>
      <c r="H989" s="1"/>
      <c r="I989" s="1"/>
      <c r="J989" s="1"/>
      <c r="K989" s="1"/>
      <c r="L989" s="1"/>
      <c r="M989" s="1"/>
      <c r="N989" s="1"/>
      <c r="O989" s="1"/>
      <c r="P989" s="1"/>
      <c r="Q989" s="1"/>
      <c r="R989" s="1"/>
      <c r="S989" s="1"/>
      <c r="T989" s="1"/>
      <c r="U989" s="2"/>
      <c r="V989" s="1"/>
      <c r="W989" s="1"/>
      <c r="X989" s="1"/>
      <c r="Y989" s="1"/>
      <c r="Z989" s="1"/>
    </row>
    <row r="990" spans="1:26" ht="24.75" customHeight="1">
      <c r="A990" s="1"/>
      <c r="B990" s="1"/>
      <c r="C990" s="1"/>
      <c r="D990" s="1"/>
      <c r="E990" s="1"/>
      <c r="F990" s="1"/>
      <c r="G990" s="1"/>
      <c r="H990" s="1"/>
      <c r="I990" s="1"/>
      <c r="J990" s="1"/>
      <c r="K990" s="1"/>
      <c r="L990" s="1"/>
      <c r="M990" s="1"/>
      <c r="N990" s="1"/>
      <c r="O990" s="1"/>
      <c r="P990" s="1"/>
      <c r="Q990" s="1"/>
      <c r="R990" s="1"/>
      <c r="S990" s="1"/>
      <c r="T990" s="1"/>
      <c r="U990" s="2"/>
      <c r="V990" s="1"/>
      <c r="W990" s="1"/>
      <c r="X990" s="1"/>
      <c r="Y990" s="1"/>
      <c r="Z990" s="1"/>
    </row>
    <row r="991" spans="1:26" ht="24.75" customHeight="1">
      <c r="A991" s="1"/>
      <c r="B991" s="1"/>
      <c r="C991" s="1"/>
      <c r="D991" s="1"/>
      <c r="E991" s="1"/>
      <c r="F991" s="1"/>
      <c r="G991" s="1"/>
      <c r="H991" s="1"/>
      <c r="I991" s="1"/>
      <c r="J991" s="1"/>
      <c r="K991" s="1"/>
      <c r="L991" s="1"/>
      <c r="M991" s="1"/>
      <c r="N991" s="1"/>
      <c r="O991" s="1"/>
      <c r="P991" s="1"/>
      <c r="Q991" s="1"/>
      <c r="R991" s="1"/>
      <c r="S991" s="1"/>
      <c r="T991" s="1"/>
      <c r="U991" s="2"/>
      <c r="V991" s="1"/>
      <c r="W991" s="1"/>
      <c r="X991" s="1"/>
      <c r="Y991" s="1"/>
      <c r="Z991" s="1"/>
    </row>
    <row r="992" spans="1:26" ht="24.75" customHeight="1">
      <c r="A992" s="1"/>
      <c r="B992" s="1"/>
      <c r="C992" s="1"/>
      <c r="D992" s="1"/>
      <c r="E992" s="1"/>
      <c r="F992" s="1"/>
      <c r="G992" s="1"/>
      <c r="H992" s="1"/>
      <c r="I992" s="1"/>
      <c r="J992" s="1"/>
      <c r="K992" s="1"/>
      <c r="L992" s="1"/>
      <c r="M992" s="1"/>
      <c r="N992" s="1"/>
      <c r="O992" s="1"/>
      <c r="P992" s="1"/>
      <c r="Q992" s="1"/>
      <c r="R992" s="1"/>
      <c r="S992" s="1"/>
      <c r="T992" s="1"/>
      <c r="U992" s="2"/>
      <c r="V992" s="1"/>
      <c r="W992" s="1"/>
      <c r="X992" s="1"/>
      <c r="Y992" s="1"/>
      <c r="Z992" s="1"/>
    </row>
    <row r="993" spans="1:26" ht="24.75" customHeight="1">
      <c r="A993" s="1"/>
      <c r="B993" s="1"/>
      <c r="C993" s="1"/>
      <c r="D993" s="1"/>
      <c r="E993" s="1"/>
      <c r="F993" s="1"/>
      <c r="G993" s="1"/>
      <c r="H993" s="1"/>
      <c r="I993" s="1"/>
      <c r="J993" s="1"/>
      <c r="K993" s="1"/>
      <c r="L993" s="1"/>
      <c r="M993" s="1"/>
      <c r="N993" s="1"/>
      <c r="O993" s="1"/>
      <c r="P993" s="1"/>
      <c r="Q993" s="1"/>
      <c r="R993" s="1"/>
      <c r="S993" s="1"/>
      <c r="T993" s="1"/>
      <c r="U993" s="2"/>
      <c r="V993" s="1"/>
      <c r="W993" s="1"/>
      <c r="X993" s="1"/>
      <c r="Y993" s="1"/>
      <c r="Z993" s="1"/>
    </row>
    <row r="994" spans="1:26" ht="24.75" customHeight="1">
      <c r="A994" s="1"/>
      <c r="B994" s="1"/>
      <c r="C994" s="1"/>
      <c r="D994" s="1"/>
      <c r="E994" s="1"/>
      <c r="F994" s="1"/>
      <c r="G994" s="1"/>
      <c r="H994" s="1"/>
      <c r="I994" s="1"/>
      <c r="J994" s="1"/>
      <c r="K994" s="1"/>
      <c r="L994" s="1"/>
      <c r="M994" s="1"/>
      <c r="N994" s="1"/>
      <c r="O994" s="1"/>
      <c r="P994" s="1"/>
      <c r="Q994" s="1"/>
      <c r="R994" s="1"/>
      <c r="S994" s="1"/>
      <c r="T994" s="1"/>
      <c r="U994" s="2"/>
      <c r="V994" s="1"/>
      <c r="W994" s="1"/>
      <c r="X994" s="1"/>
      <c r="Y994" s="1"/>
      <c r="Z994" s="1"/>
    </row>
    <row r="995" spans="1:26" ht="24.75" customHeight="1">
      <c r="A995" s="1"/>
      <c r="B995" s="1"/>
      <c r="C995" s="1"/>
      <c r="D995" s="1"/>
      <c r="E995" s="1"/>
      <c r="F995" s="1"/>
      <c r="G995" s="1"/>
      <c r="H995" s="1"/>
      <c r="I995" s="1"/>
      <c r="J995" s="1"/>
      <c r="K995" s="1"/>
      <c r="L995" s="1"/>
      <c r="M995" s="1"/>
      <c r="N995" s="1"/>
      <c r="O995" s="1"/>
      <c r="P995" s="1"/>
      <c r="Q995" s="1"/>
      <c r="R995" s="1"/>
      <c r="S995" s="1"/>
      <c r="T995" s="1"/>
      <c r="U995" s="2"/>
      <c r="V995" s="1"/>
      <c r="W995" s="1"/>
      <c r="X995" s="1"/>
      <c r="Y995" s="1"/>
      <c r="Z995" s="1"/>
    </row>
    <row r="996" spans="1:26" ht="24.75" customHeight="1">
      <c r="A996" s="1"/>
      <c r="B996" s="1"/>
      <c r="C996" s="1"/>
      <c r="D996" s="1"/>
      <c r="E996" s="1"/>
      <c r="F996" s="1"/>
      <c r="G996" s="1"/>
      <c r="H996" s="1"/>
      <c r="I996" s="1"/>
      <c r="J996" s="1"/>
      <c r="K996" s="1"/>
      <c r="L996" s="1"/>
      <c r="M996" s="1"/>
      <c r="N996" s="1"/>
      <c r="O996" s="1"/>
      <c r="P996" s="1"/>
      <c r="Q996" s="1"/>
      <c r="R996" s="1"/>
      <c r="S996" s="1"/>
      <c r="T996" s="1"/>
      <c r="U996" s="2"/>
      <c r="V996" s="1"/>
      <c r="W996" s="1"/>
      <c r="X996" s="1"/>
      <c r="Y996" s="1"/>
      <c r="Z996" s="1"/>
    </row>
    <row r="997" spans="1:26" ht="24.75" customHeight="1">
      <c r="A997" s="1"/>
      <c r="B997" s="1"/>
      <c r="C997" s="1"/>
      <c r="D997" s="1"/>
      <c r="E997" s="1"/>
      <c r="F997" s="1"/>
      <c r="G997" s="1"/>
      <c r="H997" s="1"/>
      <c r="I997" s="1"/>
      <c r="J997" s="1"/>
      <c r="K997" s="1"/>
      <c r="L997" s="1"/>
      <c r="M997" s="1"/>
      <c r="N997" s="1"/>
      <c r="O997" s="1"/>
      <c r="P997" s="1"/>
      <c r="Q997" s="1"/>
      <c r="R997" s="1"/>
      <c r="S997" s="1"/>
      <c r="T997" s="1"/>
      <c r="U997" s="2"/>
      <c r="V997" s="1"/>
      <c r="W997" s="1"/>
      <c r="X997" s="1"/>
      <c r="Y997" s="1"/>
      <c r="Z997" s="1"/>
    </row>
    <row r="998" spans="1:26" ht="24.75" customHeight="1">
      <c r="A998" s="1"/>
      <c r="B998" s="1"/>
      <c r="C998" s="1"/>
      <c r="D998" s="1"/>
      <c r="E998" s="1"/>
      <c r="F998" s="1"/>
      <c r="G998" s="1"/>
      <c r="H998" s="1"/>
      <c r="I998" s="1"/>
      <c r="J998" s="1"/>
      <c r="K998" s="1"/>
      <c r="L998" s="1"/>
      <c r="M998" s="1"/>
      <c r="N998" s="1"/>
      <c r="O998" s="1"/>
      <c r="P998" s="1"/>
      <c r="Q998" s="1"/>
      <c r="R998" s="1"/>
      <c r="S998" s="1"/>
      <c r="T998" s="1"/>
      <c r="U998" s="2"/>
      <c r="V998" s="1"/>
      <c r="W998" s="1"/>
      <c r="X998" s="1"/>
      <c r="Y998" s="1"/>
      <c r="Z998" s="1"/>
    </row>
    <row r="999" spans="1:26" ht="24.75" customHeight="1">
      <c r="A999" s="1"/>
      <c r="B999" s="1"/>
      <c r="C999" s="1"/>
      <c r="D999" s="1"/>
      <c r="E999" s="1"/>
      <c r="F999" s="1"/>
      <c r="G999" s="1"/>
      <c r="H999" s="1"/>
      <c r="I999" s="1"/>
      <c r="J999" s="1"/>
      <c r="K999" s="1"/>
      <c r="L999" s="1"/>
      <c r="M999" s="1"/>
      <c r="N999" s="1"/>
      <c r="O999" s="1"/>
      <c r="P999" s="1"/>
      <c r="Q999" s="1"/>
      <c r="R999" s="1"/>
      <c r="S999" s="1"/>
      <c r="T999" s="1"/>
      <c r="U999" s="2"/>
      <c r="V999" s="1"/>
      <c r="W999" s="1"/>
      <c r="X999" s="1"/>
      <c r="Y999" s="1"/>
      <c r="Z999" s="1"/>
    </row>
    <row r="1000" spans="1:26" ht="24.75" customHeight="1">
      <c r="A1000" s="1"/>
      <c r="B1000" s="1"/>
      <c r="C1000" s="1"/>
      <c r="D1000" s="1"/>
      <c r="E1000" s="1"/>
      <c r="F1000" s="1"/>
      <c r="G1000" s="1"/>
      <c r="H1000" s="1"/>
      <c r="I1000" s="1"/>
      <c r="J1000" s="1"/>
      <c r="K1000" s="1"/>
      <c r="L1000" s="1"/>
      <c r="M1000" s="1"/>
      <c r="N1000" s="1"/>
      <c r="O1000" s="1"/>
      <c r="P1000" s="1"/>
      <c r="Q1000" s="1"/>
      <c r="R1000" s="1"/>
      <c r="S1000" s="1"/>
      <c r="T1000" s="1"/>
      <c r="U1000" s="2"/>
      <c r="V1000" s="1"/>
      <c r="W1000" s="1"/>
      <c r="X1000" s="1"/>
      <c r="Y1000" s="1"/>
      <c r="Z1000" s="1"/>
    </row>
  </sheetData>
  <mergeCells count="101">
    <mergeCell ref="B204:B206"/>
    <mergeCell ref="C204:C206"/>
    <mergeCell ref="B209:D209"/>
    <mergeCell ref="A210:D210"/>
    <mergeCell ref="A135:A158"/>
    <mergeCell ref="B135:B136"/>
    <mergeCell ref="B138:B144"/>
    <mergeCell ref="B145:B146"/>
    <mergeCell ref="B147:B149"/>
    <mergeCell ref="B158:D158"/>
    <mergeCell ref="A159:A209"/>
    <mergeCell ref="C135:C136"/>
    <mergeCell ref="C138:C144"/>
    <mergeCell ref="C145:C146"/>
    <mergeCell ref="C147:C149"/>
    <mergeCell ref="C150:C153"/>
    <mergeCell ref="B173:B179"/>
    <mergeCell ref="C173:C179"/>
    <mergeCell ref="B180:B183"/>
    <mergeCell ref="C180:C183"/>
    <mergeCell ref="B184:B186"/>
    <mergeCell ref="C184:C186"/>
    <mergeCell ref="B187:B192"/>
    <mergeCell ref="C187:C192"/>
    <mergeCell ref="B150:B153"/>
    <mergeCell ref="B159:B162"/>
    <mergeCell ref="C159:C162"/>
    <mergeCell ref="B163:B167"/>
    <mergeCell ref="C163:C167"/>
    <mergeCell ref="B168:B172"/>
    <mergeCell ref="C168:C172"/>
    <mergeCell ref="B202:B203"/>
    <mergeCell ref="C202:C203"/>
    <mergeCell ref="B194:B199"/>
    <mergeCell ref="C194:C199"/>
    <mergeCell ref="B200:B201"/>
    <mergeCell ref="C200:C201"/>
    <mergeCell ref="C94:C103"/>
    <mergeCell ref="B104:B105"/>
    <mergeCell ref="C104:C105"/>
    <mergeCell ref="B106:B110"/>
    <mergeCell ref="C106:C110"/>
    <mergeCell ref="B111:B113"/>
    <mergeCell ref="C111:C113"/>
    <mergeCell ref="B94:B103"/>
    <mergeCell ref="A94:A134"/>
    <mergeCell ref="B114:B118"/>
    <mergeCell ref="C114:C118"/>
    <mergeCell ref="B119:B120"/>
    <mergeCell ref="C119:C120"/>
    <mergeCell ref="B122:B125"/>
    <mergeCell ref="C122:C125"/>
    <mergeCell ref="B128:B130"/>
    <mergeCell ref="C128:C130"/>
    <mergeCell ref="B131:B132"/>
    <mergeCell ref="C131:C132"/>
    <mergeCell ref="B134:D134"/>
    <mergeCell ref="B79:B85"/>
    <mergeCell ref="C79:C85"/>
    <mergeCell ref="B75:B78"/>
    <mergeCell ref="B57:B66"/>
    <mergeCell ref="C57:C66"/>
    <mergeCell ref="A69:A93"/>
    <mergeCell ref="B70:B74"/>
    <mergeCell ref="C70:C74"/>
    <mergeCell ref="C75:C78"/>
    <mergeCell ref="B86:B89"/>
    <mergeCell ref="C86:C89"/>
    <mergeCell ref="B93:D93"/>
    <mergeCell ref="B47:B56"/>
    <mergeCell ref="C47:C56"/>
    <mergeCell ref="C6:C23"/>
    <mergeCell ref="B24:B25"/>
    <mergeCell ref="C24:C25"/>
    <mergeCell ref="Q4:Q5"/>
    <mergeCell ref="R4:R5"/>
    <mergeCell ref="S4:S5"/>
    <mergeCell ref="A1:E1"/>
    <mergeCell ref="A4:A5"/>
    <mergeCell ref="C4:C5"/>
    <mergeCell ref="D4:D5"/>
    <mergeCell ref="E4:E5"/>
    <mergeCell ref="F4:F5"/>
    <mergeCell ref="A6:A68"/>
    <mergeCell ref="B68:D68"/>
    <mergeCell ref="B4:B5"/>
    <mergeCell ref="B6:B23"/>
    <mergeCell ref="B26:B36"/>
    <mergeCell ref="C26:C36"/>
    <mergeCell ref="B37:B39"/>
    <mergeCell ref="C37:C39"/>
    <mergeCell ref="B40:B46"/>
    <mergeCell ref="U4:U5"/>
    <mergeCell ref="G4:H4"/>
    <mergeCell ref="I4:I5"/>
    <mergeCell ref="J4:L4"/>
    <mergeCell ref="M4:M5"/>
    <mergeCell ref="N4:N5"/>
    <mergeCell ref="O4:O5"/>
    <mergeCell ref="P4:P5"/>
    <mergeCell ref="C40:C46"/>
  </mergeCells>
  <pageMargins left="0.7" right="0.7" top="0.75" bottom="0.75" header="0" footer="0"/>
  <pageSetup orientation="portrait"/>
</worksheet>
</file>

<file path=xl/worksheets/sheet3.xml><?xml version="1.0" encoding="utf-8"?>
<worksheet xmlns="http://schemas.openxmlformats.org/spreadsheetml/2006/main" xmlns:r="http://schemas.openxmlformats.org/officeDocument/2006/relationships">
  <dimension ref="A1:Z1000"/>
  <sheetViews>
    <sheetView workbookViewId="0">
      <pane xSplit="3" ySplit="5" topLeftCell="D81" activePane="bottomRight" state="frozen"/>
      <selection pane="topRight" activeCell="D1" sqref="D1"/>
      <selection pane="bottomLeft" activeCell="A6" sqref="A6"/>
      <selection pane="bottomRight" activeCell="P89" sqref="P89"/>
    </sheetView>
  </sheetViews>
  <sheetFormatPr defaultColWidth="14.42578125" defaultRowHeight="15" customHeight="1"/>
  <cols>
    <col min="1" max="1" width="6.7109375" style="3" customWidth="1"/>
    <col min="2" max="2" width="7.28515625" style="3" customWidth="1"/>
    <col min="3" max="3" width="11.28515625" style="3" customWidth="1"/>
    <col min="4" max="4" width="5.85546875" style="3" customWidth="1"/>
    <col min="5" max="5" width="35.85546875" style="3" customWidth="1"/>
    <col min="6" max="6" width="7.42578125" style="3" customWidth="1"/>
    <col min="7" max="7" width="10.7109375" style="3" customWidth="1"/>
    <col min="8" max="8" width="8.28515625" style="3" customWidth="1"/>
    <col min="9" max="9" width="10.5703125" style="3" customWidth="1"/>
    <col min="10" max="10" width="11.85546875" style="3" customWidth="1"/>
    <col min="11" max="11" width="9.28515625" style="3" customWidth="1"/>
    <col min="12" max="12" width="6.7109375" style="3" customWidth="1"/>
    <col min="13" max="13" width="9" style="3" customWidth="1"/>
    <col min="14" max="14" width="9.7109375" style="3" customWidth="1"/>
    <col min="15" max="15" width="6.5703125" style="3" customWidth="1"/>
    <col min="16" max="16" width="9.7109375" style="3" customWidth="1"/>
    <col min="17" max="17" width="8.28515625" style="3" customWidth="1"/>
    <col min="18" max="18" width="10.28515625" style="3" customWidth="1"/>
    <col min="19" max="19" width="10.42578125" style="3" customWidth="1"/>
    <col min="20" max="20" width="15.7109375" style="3" customWidth="1"/>
    <col min="21" max="21" width="58.5703125" style="21" customWidth="1"/>
    <col min="22" max="16384" width="14.42578125" style="3"/>
  </cols>
  <sheetData>
    <row r="1" spans="1:26" ht="24.75" customHeight="1">
      <c r="A1" s="172" t="s">
        <v>379</v>
      </c>
      <c r="B1" s="173"/>
      <c r="C1" s="173"/>
      <c r="D1" s="173"/>
      <c r="E1" s="174"/>
      <c r="F1" s="1"/>
      <c r="G1" s="1"/>
      <c r="H1" s="1"/>
      <c r="I1" s="1"/>
      <c r="J1" s="1"/>
      <c r="K1" s="1"/>
      <c r="L1" s="1"/>
      <c r="M1" s="1"/>
      <c r="N1" s="1"/>
      <c r="O1" s="1"/>
      <c r="P1" s="1"/>
      <c r="Q1" s="1"/>
      <c r="R1" s="1"/>
      <c r="S1" s="1"/>
      <c r="T1" s="1"/>
      <c r="U1" s="2"/>
      <c r="V1" s="1"/>
      <c r="W1" s="1"/>
      <c r="X1" s="1"/>
      <c r="Y1" s="1"/>
      <c r="Z1" s="1"/>
    </row>
    <row r="2" spans="1:26" ht="24.75" hidden="1" customHeight="1">
      <c r="A2" s="1"/>
      <c r="B2" s="1"/>
      <c r="C2" s="1"/>
      <c r="D2" s="1"/>
      <c r="E2" s="1"/>
      <c r="F2" s="1"/>
      <c r="G2" s="1"/>
      <c r="H2" s="1"/>
      <c r="I2" s="1"/>
      <c r="J2" s="1"/>
      <c r="K2" s="1"/>
      <c r="L2" s="1"/>
      <c r="M2" s="1"/>
      <c r="N2" s="1"/>
      <c r="O2" s="1"/>
      <c r="P2" s="1"/>
      <c r="Q2" s="1"/>
      <c r="R2" s="1"/>
      <c r="S2" s="1"/>
      <c r="T2" s="1"/>
      <c r="U2" s="2"/>
      <c r="V2" s="1"/>
      <c r="W2" s="1"/>
      <c r="X2" s="1"/>
      <c r="Y2" s="1"/>
      <c r="Z2" s="1"/>
    </row>
    <row r="3" spans="1:26" ht="24.75" hidden="1" customHeight="1">
      <c r="A3" s="1"/>
      <c r="B3" s="4"/>
      <c r="C3" s="4"/>
      <c r="D3" s="4"/>
      <c r="E3" s="4"/>
      <c r="F3" s="4"/>
      <c r="G3" s="4"/>
      <c r="H3" s="4"/>
      <c r="I3" s="4"/>
      <c r="J3" s="4"/>
      <c r="K3" s="4"/>
      <c r="L3" s="4"/>
      <c r="M3" s="4"/>
      <c r="N3" s="4"/>
      <c r="O3" s="4"/>
      <c r="P3" s="4"/>
      <c r="Q3" s="4"/>
      <c r="R3" s="4"/>
      <c r="S3" s="4"/>
      <c r="T3" s="4"/>
      <c r="U3" s="60" t="s">
        <v>1</v>
      </c>
      <c r="V3" s="1"/>
      <c r="W3" s="1"/>
      <c r="X3" s="1"/>
      <c r="Y3" s="1"/>
      <c r="Z3" s="1"/>
    </row>
    <row r="4" spans="1:26" ht="24.75" customHeight="1">
      <c r="A4" s="168" t="s">
        <v>2</v>
      </c>
      <c r="B4" s="168" t="s">
        <v>3</v>
      </c>
      <c r="C4" s="168" t="s">
        <v>4</v>
      </c>
      <c r="D4" s="168" t="s">
        <v>5</v>
      </c>
      <c r="E4" s="168" t="s">
        <v>6</v>
      </c>
      <c r="F4" s="168" t="s">
        <v>7</v>
      </c>
      <c r="G4" s="166" t="s">
        <v>8</v>
      </c>
      <c r="H4" s="167"/>
      <c r="I4" s="168" t="s">
        <v>9</v>
      </c>
      <c r="J4" s="166" t="s">
        <v>10</v>
      </c>
      <c r="K4" s="170"/>
      <c r="L4" s="167"/>
      <c r="M4" s="168" t="s">
        <v>570</v>
      </c>
      <c r="N4" s="168" t="s">
        <v>11</v>
      </c>
      <c r="O4" s="168" t="s">
        <v>12</v>
      </c>
      <c r="P4" s="168" t="s">
        <v>380</v>
      </c>
      <c r="Q4" s="168" t="s">
        <v>14</v>
      </c>
      <c r="R4" s="168" t="s">
        <v>15</v>
      </c>
      <c r="S4" s="168" t="s">
        <v>16</v>
      </c>
      <c r="T4" s="5" t="s">
        <v>597</v>
      </c>
      <c r="U4" s="164" t="s">
        <v>17</v>
      </c>
      <c r="V4" s="1"/>
      <c r="W4" s="1"/>
      <c r="X4" s="1"/>
      <c r="Y4" s="1"/>
      <c r="Z4" s="1"/>
    </row>
    <row r="5" spans="1:26" ht="24.75" customHeight="1">
      <c r="A5" s="169"/>
      <c r="B5" s="169"/>
      <c r="C5" s="169"/>
      <c r="D5" s="169"/>
      <c r="E5" s="169"/>
      <c r="F5" s="169"/>
      <c r="G5" s="5" t="s">
        <v>18</v>
      </c>
      <c r="H5" s="5" t="s">
        <v>19</v>
      </c>
      <c r="I5" s="169"/>
      <c r="J5" s="5" t="s">
        <v>571</v>
      </c>
      <c r="K5" s="5" t="s">
        <v>20</v>
      </c>
      <c r="L5" s="5" t="s">
        <v>21</v>
      </c>
      <c r="M5" s="169"/>
      <c r="N5" s="169"/>
      <c r="O5" s="169"/>
      <c r="P5" s="169"/>
      <c r="Q5" s="169"/>
      <c r="R5" s="169"/>
      <c r="S5" s="169"/>
      <c r="T5" s="5" t="s">
        <v>22</v>
      </c>
      <c r="U5" s="169"/>
      <c r="V5" s="1"/>
      <c r="W5" s="1"/>
      <c r="X5" s="1"/>
      <c r="Y5" s="1"/>
      <c r="Z5" s="1"/>
    </row>
    <row r="6" spans="1:26" ht="24.75" customHeight="1">
      <c r="A6" s="175" t="s">
        <v>23</v>
      </c>
      <c r="B6" s="168" t="s">
        <v>24</v>
      </c>
      <c r="C6" s="168" t="s">
        <v>25</v>
      </c>
      <c r="D6" s="5">
        <v>1</v>
      </c>
      <c r="E6" s="5" t="s">
        <v>26</v>
      </c>
      <c r="F6" s="5"/>
      <c r="G6" s="5"/>
      <c r="H6" s="5"/>
      <c r="I6" s="5"/>
      <c r="J6" s="5"/>
      <c r="K6" s="5"/>
      <c r="L6" s="5"/>
      <c r="M6" s="5"/>
      <c r="N6" s="5"/>
      <c r="O6" s="5"/>
      <c r="P6" s="5"/>
      <c r="Q6" s="5"/>
      <c r="R6" s="5"/>
      <c r="S6" s="5"/>
      <c r="T6" s="6">
        <f t="shared" ref="T6:T69" si="0">SUM(F6:S6)</f>
        <v>0</v>
      </c>
      <c r="U6" s="9"/>
      <c r="V6" s="1"/>
      <c r="W6" s="1"/>
      <c r="X6" s="1"/>
      <c r="Y6" s="1"/>
      <c r="Z6" s="1"/>
    </row>
    <row r="7" spans="1:26" ht="24.75" customHeight="1">
      <c r="A7" s="171"/>
      <c r="B7" s="171"/>
      <c r="C7" s="171"/>
      <c r="D7" s="5">
        <v>2</v>
      </c>
      <c r="E7" s="5" t="s">
        <v>27</v>
      </c>
      <c r="F7" s="5"/>
      <c r="G7" s="5"/>
      <c r="H7" s="5"/>
      <c r="I7" s="5"/>
      <c r="J7" s="5"/>
      <c r="K7" s="6">
        <v>32.94</v>
      </c>
      <c r="L7" s="5"/>
      <c r="M7" s="5"/>
      <c r="N7" s="5"/>
      <c r="O7" s="5"/>
      <c r="P7" s="8">
        <v>1.5</v>
      </c>
      <c r="Q7" s="5"/>
      <c r="R7" s="5"/>
      <c r="S7" s="5"/>
      <c r="T7" s="6">
        <f t="shared" si="0"/>
        <v>34.44</v>
      </c>
      <c r="U7" s="9" t="s">
        <v>28</v>
      </c>
      <c r="V7" s="1"/>
      <c r="W7" s="1"/>
      <c r="X7" s="1"/>
      <c r="Y7" s="1"/>
      <c r="Z7" s="1"/>
    </row>
    <row r="8" spans="1:26" ht="24.75" customHeight="1">
      <c r="A8" s="171"/>
      <c r="B8" s="171"/>
      <c r="C8" s="171"/>
      <c r="D8" s="5">
        <v>3</v>
      </c>
      <c r="E8" s="5" t="s">
        <v>29</v>
      </c>
      <c r="F8" s="8">
        <v>22.41</v>
      </c>
      <c r="G8" s="5"/>
      <c r="H8" s="5"/>
      <c r="I8" s="5"/>
      <c r="J8" s="5"/>
      <c r="K8" s="5"/>
      <c r="L8" s="5"/>
      <c r="M8" s="5"/>
      <c r="N8" s="5"/>
      <c r="O8" s="8">
        <v>17.87</v>
      </c>
      <c r="P8" s="5"/>
      <c r="Q8" s="5"/>
      <c r="R8" s="8">
        <v>1.03</v>
      </c>
      <c r="S8" s="5"/>
      <c r="T8" s="6">
        <f t="shared" si="0"/>
        <v>41.31</v>
      </c>
      <c r="U8" s="9" t="s">
        <v>30</v>
      </c>
      <c r="V8" s="1"/>
      <c r="W8" s="1"/>
      <c r="X8" s="1"/>
      <c r="Y8" s="1"/>
      <c r="Z8" s="1"/>
    </row>
    <row r="9" spans="1:26" ht="24.75" customHeight="1">
      <c r="A9" s="171"/>
      <c r="B9" s="171"/>
      <c r="C9" s="171"/>
      <c r="D9" s="5">
        <v>4</v>
      </c>
      <c r="E9" s="5" t="s">
        <v>31</v>
      </c>
      <c r="F9" s="5"/>
      <c r="G9" s="5"/>
      <c r="H9" s="5"/>
      <c r="I9" s="5"/>
      <c r="J9" s="5"/>
      <c r="K9" s="5"/>
      <c r="L9" s="5"/>
      <c r="M9" s="6">
        <v>11.23</v>
      </c>
      <c r="N9" s="5"/>
      <c r="O9" s="5"/>
      <c r="P9" s="8">
        <v>0.56000000000000005</v>
      </c>
      <c r="Q9" s="5"/>
      <c r="R9" s="5"/>
      <c r="S9" s="5"/>
      <c r="T9" s="6">
        <f t="shared" si="0"/>
        <v>11.790000000000001</v>
      </c>
      <c r="U9" s="9" t="s">
        <v>32</v>
      </c>
      <c r="V9" s="1"/>
      <c r="W9" s="1"/>
      <c r="X9" s="1"/>
      <c r="Y9" s="1"/>
      <c r="Z9" s="1"/>
    </row>
    <row r="10" spans="1:26" ht="24.75" customHeight="1">
      <c r="A10" s="171"/>
      <c r="B10" s="171"/>
      <c r="C10" s="171"/>
      <c r="D10" s="5">
        <v>5</v>
      </c>
      <c r="E10" s="5" t="s">
        <v>33</v>
      </c>
      <c r="F10" s="5"/>
      <c r="G10" s="5"/>
      <c r="H10" s="5"/>
      <c r="I10" s="5"/>
      <c r="J10" s="5"/>
      <c r="K10" s="5"/>
      <c r="L10" s="5"/>
      <c r="M10" s="5"/>
      <c r="N10" s="5"/>
      <c r="O10" s="5"/>
      <c r="P10" s="6">
        <v>18.72</v>
      </c>
      <c r="Q10" s="5"/>
      <c r="R10" s="5"/>
      <c r="S10" s="5"/>
      <c r="T10" s="6">
        <f t="shared" si="0"/>
        <v>18.72</v>
      </c>
      <c r="U10" s="9" t="s">
        <v>34</v>
      </c>
      <c r="V10" s="1"/>
      <c r="W10" s="1"/>
      <c r="X10" s="1"/>
      <c r="Y10" s="1"/>
      <c r="Z10" s="1"/>
    </row>
    <row r="11" spans="1:26" ht="24.75" customHeight="1">
      <c r="A11" s="171"/>
      <c r="B11" s="171"/>
      <c r="C11" s="171"/>
      <c r="D11" s="5">
        <v>6</v>
      </c>
      <c r="E11" s="5" t="s">
        <v>35</v>
      </c>
      <c r="F11" s="5"/>
      <c r="G11" s="5"/>
      <c r="H11" s="5"/>
      <c r="I11" s="5"/>
      <c r="J11" s="5"/>
      <c r="K11" s="5"/>
      <c r="L11" s="5"/>
      <c r="M11" s="5"/>
      <c r="N11" s="8"/>
      <c r="O11" s="5"/>
      <c r="P11" s="8">
        <v>0.5</v>
      </c>
      <c r="Q11" s="5"/>
      <c r="R11" s="5"/>
      <c r="S11" s="5"/>
      <c r="T11" s="6">
        <f t="shared" si="0"/>
        <v>0.5</v>
      </c>
      <c r="U11" s="9" t="s">
        <v>36</v>
      </c>
      <c r="V11" s="1"/>
      <c r="W11" s="1"/>
      <c r="X11" s="1"/>
      <c r="Y11" s="1"/>
      <c r="Z11" s="1"/>
    </row>
    <row r="12" spans="1:26" ht="24.75" customHeight="1">
      <c r="A12" s="171"/>
      <c r="B12" s="171"/>
      <c r="C12" s="171"/>
      <c r="D12" s="5">
        <v>7</v>
      </c>
      <c r="E12" s="5" t="s">
        <v>37</v>
      </c>
      <c r="F12" s="5"/>
      <c r="G12" s="5"/>
      <c r="H12" s="5"/>
      <c r="I12" s="5"/>
      <c r="J12" s="5"/>
      <c r="K12" s="5"/>
      <c r="L12" s="5"/>
      <c r="M12" s="5"/>
      <c r="N12" s="5"/>
      <c r="O12" s="5"/>
      <c r="P12" s="8">
        <v>0.06</v>
      </c>
      <c r="Q12" s="8"/>
      <c r="R12" s="5"/>
      <c r="S12" s="5"/>
      <c r="T12" s="6">
        <f t="shared" si="0"/>
        <v>0.06</v>
      </c>
      <c r="U12" s="9" t="s">
        <v>38</v>
      </c>
      <c r="V12" s="1"/>
      <c r="W12" s="1"/>
      <c r="X12" s="1"/>
      <c r="Y12" s="1"/>
      <c r="Z12" s="1"/>
    </row>
    <row r="13" spans="1:26" ht="24.75" customHeight="1">
      <c r="A13" s="171"/>
      <c r="B13" s="171"/>
      <c r="C13" s="171"/>
      <c r="D13" s="5">
        <v>8</v>
      </c>
      <c r="E13" s="5" t="s">
        <v>39</v>
      </c>
      <c r="F13" s="5"/>
      <c r="G13" s="5"/>
      <c r="H13" s="5"/>
      <c r="I13" s="5"/>
      <c r="J13" s="5"/>
      <c r="K13" s="5"/>
      <c r="L13" s="5"/>
      <c r="M13" s="5"/>
      <c r="N13" s="6"/>
      <c r="O13" s="5"/>
      <c r="P13" s="5"/>
      <c r="Q13" s="5"/>
      <c r="R13" s="5"/>
      <c r="S13" s="5"/>
      <c r="T13" s="6">
        <f t="shared" si="0"/>
        <v>0</v>
      </c>
      <c r="U13" s="9"/>
      <c r="V13" s="1"/>
      <c r="W13" s="1"/>
      <c r="X13" s="1"/>
      <c r="Y13" s="1"/>
      <c r="Z13" s="1"/>
    </row>
    <row r="14" spans="1:26" ht="24.75" customHeight="1">
      <c r="A14" s="171"/>
      <c r="B14" s="171"/>
      <c r="C14" s="171"/>
      <c r="D14" s="5">
        <v>9</v>
      </c>
      <c r="E14" s="5" t="s">
        <v>40</v>
      </c>
      <c r="F14" s="5"/>
      <c r="G14" s="5"/>
      <c r="H14" s="5"/>
      <c r="I14" s="5"/>
      <c r="J14" s="5"/>
      <c r="K14" s="5"/>
      <c r="L14" s="5"/>
      <c r="M14" s="5"/>
      <c r="N14" s="6">
        <v>0.18</v>
      </c>
      <c r="O14" s="5"/>
      <c r="P14" s="5"/>
      <c r="Q14" s="8"/>
      <c r="R14" s="5"/>
      <c r="S14" s="8">
        <v>0.3</v>
      </c>
      <c r="T14" s="6">
        <f t="shared" si="0"/>
        <v>0.48</v>
      </c>
      <c r="U14" s="9" t="s">
        <v>41</v>
      </c>
      <c r="V14" s="1"/>
      <c r="W14" s="1"/>
      <c r="X14" s="1"/>
      <c r="Y14" s="1"/>
      <c r="Z14" s="1"/>
    </row>
    <row r="15" spans="1:26" ht="24.75" customHeight="1">
      <c r="A15" s="171"/>
      <c r="B15" s="171"/>
      <c r="C15" s="171"/>
      <c r="D15" s="5">
        <v>10</v>
      </c>
      <c r="E15" s="5" t="s">
        <v>42</v>
      </c>
      <c r="F15" s="5"/>
      <c r="G15" s="5"/>
      <c r="H15" s="5"/>
      <c r="I15" s="6"/>
      <c r="J15" s="5"/>
      <c r="K15" s="5"/>
      <c r="L15" s="5"/>
      <c r="M15" s="5"/>
      <c r="N15" s="6">
        <v>0.45750000000000002</v>
      </c>
      <c r="O15" s="5"/>
      <c r="P15" s="5"/>
      <c r="Q15" s="5"/>
      <c r="R15" s="5"/>
      <c r="S15" s="5"/>
      <c r="T15" s="6">
        <f t="shared" si="0"/>
        <v>0.45750000000000002</v>
      </c>
      <c r="U15" s="10" t="s">
        <v>43</v>
      </c>
      <c r="V15" s="1"/>
      <c r="W15" s="1"/>
      <c r="X15" s="1"/>
      <c r="Y15" s="1"/>
      <c r="Z15" s="1"/>
    </row>
    <row r="16" spans="1:26" ht="24.75" customHeight="1">
      <c r="A16" s="171"/>
      <c r="B16" s="171"/>
      <c r="C16" s="171"/>
      <c r="D16" s="5">
        <v>11</v>
      </c>
      <c r="E16" s="5" t="s">
        <v>44</v>
      </c>
      <c r="F16" s="5"/>
      <c r="G16" s="8"/>
      <c r="H16" s="8"/>
      <c r="I16" s="5"/>
      <c r="J16" s="5"/>
      <c r="K16" s="5"/>
      <c r="L16" s="5"/>
      <c r="M16" s="5"/>
      <c r="N16" s="5"/>
      <c r="O16" s="5"/>
      <c r="P16" s="5"/>
      <c r="Q16" s="5"/>
      <c r="R16" s="5"/>
      <c r="S16" s="5"/>
      <c r="T16" s="6">
        <f t="shared" si="0"/>
        <v>0</v>
      </c>
      <c r="U16" s="9"/>
      <c r="V16" s="1"/>
      <c r="W16" s="1"/>
      <c r="X16" s="1"/>
      <c r="Y16" s="1"/>
      <c r="Z16" s="1"/>
    </row>
    <row r="17" spans="1:26" ht="24.75" customHeight="1">
      <c r="A17" s="171"/>
      <c r="B17" s="171"/>
      <c r="C17" s="171"/>
      <c r="D17" s="5">
        <v>12</v>
      </c>
      <c r="E17" s="5" t="s">
        <v>45</v>
      </c>
      <c r="F17" s="5"/>
      <c r="G17" s="5"/>
      <c r="H17" s="5"/>
      <c r="I17" s="5"/>
      <c r="J17" s="5"/>
      <c r="K17" s="5"/>
      <c r="L17" s="5"/>
      <c r="M17" s="5"/>
      <c r="N17" s="6">
        <v>3.4950000000000001</v>
      </c>
      <c r="O17" s="5"/>
      <c r="P17" s="5"/>
      <c r="Q17" s="5"/>
      <c r="R17" s="5"/>
      <c r="S17" s="5"/>
      <c r="T17" s="6">
        <f t="shared" si="0"/>
        <v>3.4950000000000001</v>
      </c>
      <c r="U17" s="9" t="s">
        <v>46</v>
      </c>
      <c r="V17" s="1"/>
      <c r="W17" s="1"/>
      <c r="X17" s="1"/>
      <c r="Y17" s="1"/>
      <c r="Z17" s="1"/>
    </row>
    <row r="18" spans="1:26" ht="24.75" customHeight="1">
      <c r="A18" s="171"/>
      <c r="B18" s="171"/>
      <c r="C18" s="171"/>
      <c r="D18" s="5">
        <v>13</v>
      </c>
      <c r="E18" s="5" t="s">
        <v>47</v>
      </c>
      <c r="F18" s="5"/>
      <c r="G18" s="5"/>
      <c r="H18" s="5"/>
      <c r="I18" s="5"/>
      <c r="J18" s="5"/>
      <c r="K18" s="5"/>
      <c r="L18" s="5"/>
      <c r="M18" s="5"/>
      <c r="N18" s="5"/>
      <c r="O18" s="5"/>
      <c r="P18" s="8"/>
      <c r="Q18" s="5"/>
      <c r="R18" s="5"/>
      <c r="S18" s="5"/>
      <c r="T18" s="6">
        <f t="shared" si="0"/>
        <v>0</v>
      </c>
      <c r="U18" s="9"/>
      <c r="V18" s="1"/>
      <c r="W18" s="1"/>
      <c r="X18" s="1"/>
      <c r="Y18" s="1"/>
      <c r="Z18" s="1"/>
    </row>
    <row r="19" spans="1:26" ht="24.75" customHeight="1">
      <c r="A19" s="171"/>
      <c r="B19" s="171"/>
      <c r="C19" s="171"/>
      <c r="D19" s="5">
        <v>14</v>
      </c>
      <c r="E19" s="5" t="s">
        <v>48</v>
      </c>
      <c r="F19" s="5"/>
      <c r="G19" s="5"/>
      <c r="H19" s="5"/>
      <c r="I19" s="5"/>
      <c r="J19" s="5"/>
      <c r="K19" s="5"/>
      <c r="L19" s="5"/>
      <c r="M19" s="5"/>
      <c r="N19" s="5"/>
      <c r="O19" s="5"/>
      <c r="P19" s="5"/>
      <c r="Q19" s="5"/>
      <c r="R19" s="5"/>
      <c r="S19" s="5"/>
      <c r="T19" s="6">
        <f t="shared" si="0"/>
        <v>0</v>
      </c>
      <c r="U19" s="9"/>
      <c r="V19" s="1"/>
      <c r="W19" s="1"/>
      <c r="X19" s="1"/>
      <c r="Y19" s="1"/>
      <c r="Z19" s="1"/>
    </row>
    <row r="20" spans="1:26" ht="24.75" customHeight="1">
      <c r="A20" s="171"/>
      <c r="B20" s="171"/>
      <c r="C20" s="171"/>
      <c r="D20" s="5">
        <v>15</v>
      </c>
      <c r="E20" s="5" t="s">
        <v>49</v>
      </c>
      <c r="F20" s="5"/>
      <c r="G20" s="5"/>
      <c r="H20" s="5"/>
      <c r="I20" s="8">
        <v>4</v>
      </c>
      <c r="J20" s="5"/>
      <c r="K20" s="5"/>
      <c r="L20" s="5"/>
      <c r="M20" s="5"/>
      <c r="N20" s="6">
        <v>0.74785000000000001</v>
      </c>
      <c r="O20" s="5"/>
      <c r="P20" s="8"/>
      <c r="Q20" s="8"/>
      <c r="R20" s="5"/>
      <c r="S20" s="5"/>
      <c r="T20" s="6">
        <f t="shared" si="0"/>
        <v>4.7478499999999997</v>
      </c>
      <c r="U20" s="9" t="s">
        <v>50</v>
      </c>
      <c r="V20" s="1"/>
      <c r="W20" s="1"/>
      <c r="X20" s="1"/>
      <c r="Y20" s="1"/>
      <c r="Z20" s="1"/>
    </row>
    <row r="21" spans="1:26" ht="24.75" customHeight="1">
      <c r="A21" s="171"/>
      <c r="B21" s="171"/>
      <c r="C21" s="171"/>
      <c r="D21" s="5">
        <v>16</v>
      </c>
      <c r="E21" s="5" t="s">
        <v>51</v>
      </c>
      <c r="F21" s="5"/>
      <c r="G21" s="5"/>
      <c r="H21" s="5"/>
      <c r="I21" s="5"/>
      <c r="J21" s="5"/>
      <c r="K21" s="5"/>
      <c r="L21" s="5"/>
      <c r="M21" s="5"/>
      <c r="N21" s="5"/>
      <c r="O21" s="5"/>
      <c r="P21" s="5"/>
      <c r="Q21" s="5"/>
      <c r="R21" s="5"/>
      <c r="S21" s="5"/>
      <c r="T21" s="6">
        <f t="shared" si="0"/>
        <v>0</v>
      </c>
      <c r="U21" s="9"/>
      <c r="V21" s="1"/>
      <c r="W21" s="1"/>
      <c r="X21" s="1"/>
      <c r="Y21" s="1"/>
      <c r="Z21" s="1"/>
    </row>
    <row r="22" spans="1:26" ht="24.75" customHeight="1">
      <c r="A22" s="171"/>
      <c r="B22" s="171"/>
      <c r="C22" s="171"/>
      <c r="D22" s="5">
        <v>17</v>
      </c>
      <c r="E22" s="5" t="s">
        <v>52</v>
      </c>
      <c r="F22" s="5"/>
      <c r="G22" s="5"/>
      <c r="H22" s="5"/>
      <c r="I22" s="6"/>
      <c r="J22" s="5"/>
      <c r="K22" s="5"/>
      <c r="L22" s="5"/>
      <c r="M22" s="5"/>
      <c r="N22" s="6">
        <v>0.66300000000000003</v>
      </c>
      <c r="O22" s="5"/>
      <c r="P22" s="8">
        <v>1.8</v>
      </c>
      <c r="Q22" s="6">
        <v>2</v>
      </c>
      <c r="R22" s="5"/>
      <c r="S22" s="8"/>
      <c r="T22" s="6">
        <f t="shared" si="0"/>
        <v>4.4630000000000001</v>
      </c>
      <c r="U22" s="9" t="s">
        <v>358</v>
      </c>
      <c r="V22" s="1"/>
      <c r="W22" s="1"/>
      <c r="X22" s="1"/>
      <c r="Y22" s="1"/>
      <c r="Z22" s="1"/>
    </row>
    <row r="23" spans="1:26" ht="24.75" customHeight="1">
      <c r="A23" s="171"/>
      <c r="B23" s="169"/>
      <c r="C23" s="169"/>
      <c r="D23" s="5">
        <v>18</v>
      </c>
      <c r="E23" s="5" t="s">
        <v>54</v>
      </c>
      <c r="F23" s="5"/>
      <c r="G23" s="5"/>
      <c r="H23" s="5"/>
      <c r="I23" s="5"/>
      <c r="J23" s="5"/>
      <c r="K23" s="5"/>
      <c r="L23" s="5"/>
      <c r="M23" s="5"/>
      <c r="N23" s="5"/>
      <c r="O23" s="5"/>
      <c r="P23" s="8">
        <f>0.7+0.15</f>
        <v>0.85</v>
      </c>
      <c r="Q23" s="8"/>
      <c r="R23" s="5"/>
      <c r="S23" s="8"/>
      <c r="T23" s="6">
        <f t="shared" si="0"/>
        <v>0.85</v>
      </c>
      <c r="U23" s="9" t="s">
        <v>55</v>
      </c>
      <c r="V23" s="1"/>
      <c r="W23" s="1"/>
      <c r="X23" s="1"/>
      <c r="Y23" s="1"/>
      <c r="Z23" s="1"/>
    </row>
    <row r="24" spans="1:26" ht="24.75" customHeight="1">
      <c r="A24" s="171"/>
      <c r="B24" s="168" t="s">
        <v>56</v>
      </c>
      <c r="C24" s="168" t="s">
        <v>57</v>
      </c>
      <c r="D24" s="5">
        <v>19</v>
      </c>
      <c r="E24" s="5" t="s">
        <v>57</v>
      </c>
      <c r="F24" s="5"/>
      <c r="G24" s="5"/>
      <c r="H24" s="5"/>
      <c r="I24" s="5"/>
      <c r="J24" s="5"/>
      <c r="K24" s="5"/>
      <c r="L24" s="5"/>
      <c r="M24" s="5"/>
      <c r="N24" s="5"/>
      <c r="O24" s="5"/>
      <c r="P24" s="5"/>
      <c r="Q24" s="5"/>
      <c r="R24" s="5"/>
      <c r="S24" s="5"/>
      <c r="T24" s="6">
        <f t="shared" si="0"/>
        <v>0</v>
      </c>
      <c r="U24" s="9"/>
      <c r="V24" s="1"/>
      <c r="W24" s="1"/>
      <c r="X24" s="1"/>
      <c r="Y24" s="1"/>
      <c r="Z24" s="1"/>
    </row>
    <row r="25" spans="1:26" ht="24.75" customHeight="1">
      <c r="A25" s="171"/>
      <c r="B25" s="169"/>
      <c r="C25" s="169"/>
      <c r="D25" s="5">
        <v>20</v>
      </c>
      <c r="E25" s="5" t="s">
        <v>58</v>
      </c>
      <c r="F25" s="5"/>
      <c r="G25" s="5"/>
      <c r="H25" s="5"/>
      <c r="I25" s="5"/>
      <c r="J25" s="5"/>
      <c r="K25" s="5"/>
      <c r="L25" s="5"/>
      <c r="M25" s="5"/>
      <c r="N25" s="5"/>
      <c r="O25" s="5"/>
      <c r="P25" s="5"/>
      <c r="Q25" s="6">
        <v>0.25</v>
      </c>
      <c r="R25" s="5"/>
      <c r="S25" s="5"/>
      <c r="T25" s="6">
        <f t="shared" si="0"/>
        <v>0.25</v>
      </c>
      <c r="U25" s="9" t="s">
        <v>359</v>
      </c>
      <c r="V25" s="1"/>
      <c r="W25" s="1"/>
      <c r="X25" s="1"/>
      <c r="Y25" s="1"/>
      <c r="Z25" s="1"/>
    </row>
    <row r="26" spans="1:26" ht="24.75" customHeight="1">
      <c r="A26" s="171"/>
      <c r="B26" s="168" t="s">
        <v>60</v>
      </c>
      <c r="C26" s="168" t="s">
        <v>61</v>
      </c>
      <c r="D26" s="5">
        <v>21</v>
      </c>
      <c r="E26" s="5" t="s">
        <v>62</v>
      </c>
      <c r="F26" s="123"/>
      <c r="G26" s="123"/>
      <c r="H26" s="124"/>
      <c r="I26" s="125">
        <f>1.995</f>
        <v>1.9950000000000001</v>
      </c>
      <c r="J26" s="123"/>
      <c r="K26" s="125"/>
      <c r="L26" s="123"/>
      <c r="M26" s="123"/>
      <c r="N26" s="125">
        <f>0.496+0.4565+0.25+1</f>
        <v>2.2025000000000001</v>
      </c>
      <c r="O26" s="123"/>
      <c r="P26" s="124">
        <f>11.52+2.196</f>
        <v>13.715999999999999</v>
      </c>
      <c r="Q26" s="124">
        <f>0.1425</f>
        <v>0.14249999999999999</v>
      </c>
      <c r="R26" s="125">
        <f>0.5+0.1995</f>
        <v>0.69950000000000001</v>
      </c>
      <c r="S26" s="123"/>
      <c r="T26" s="125">
        <f t="shared" ref="T26:T36" si="1">SUM(F26:S26)</f>
        <v>18.755499999999998</v>
      </c>
      <c r="U26" s="9" t="s">
        <v>65</v>
      </c>
      <c r="V26" s="1"/>
      <c r="W26" s="1"/>
      <c r="X26" s="1"/>
      <c r="Y26" s="1"/>
      <c r="Z26" s="1"/>
    </row>
    <row r="27" spans="1:26" ht="24.75" customHeight="1">
      <c r="A27" s="171"/>
      <c r="B27" s="171"/>
      <c r="C27" s="171"/>
      <c r="D27" s="5">
        <v>22</v>
      </c>
      <c r="E27" s="5" t="s">
        <v>64</v>
      </c>
      <c r="F27" s="124"/>
      <c r="G27" s="123"/>
      <c r="H27" s="124"/>
      <c r="I27" s="125"/>
      <c r="J27" s="123"/>
      <c r="K27" s="123"/>
      <c r="L27" s="123"/>
      <c r="M27" s="124">
        <v>0.75</v>
      </c>
      <c r="N27" s="123"/>
      <c r="O27" s="123"/>
      <c r="P27" s="124">
        <f>100+1.2</f>
        <v>101.2</v>
      </c>
      <c r="Q27" s="124"/>
      <c r="R27" s="125"/>
      <c r="S27" s="123"/>
      <c r="T27" s="125">
        <f t="shared" si="1"/>
        <v>101.95</v>
      </c>
      <c r="U27" s="9" t="s">
        <v>65</v>
      </c>
      <c r="V27" s="1"/>
      <c r="W27" s="1"/>
      <c r="X27" s="1"/>
      <c r="Y27" s="1"/>
      <c r="Z27" s="1"/>
    </row>
    <row r="28" spans="1:26" ht="24.75" customHeight="1">
      <c r="A28" s="171"/>
      <c r="B28" s="171"/>
      <c r="C28" s="171"/>
      <c r="D28" s="5">
        <v>23</v>
      </c>
      <c r="E28" s="5" t="s">
        <v>66</v>
      </c>
      <c r="F28" s="123"/>
      <c r="G28" s="123"/>
      <c r="H28" s="123"/>
      <c r="I28" s="123"/>
      <c r="J28" s="123"/>
      <c r="K28" s="125"/>
      <c r="L28" s="123"/>
      <c r="M28" s="123"/>
      <c r="N28" s="123"/>
      <c r="O28" s="124">
        <f>14.77475+0.53</f>
        <v>15.304749999999999</v>
      </c>
      <c r="P28" s="123"/>
      <c r="Q28" s="124"/>
      <c r="R28" s="123"/>
      <c r="S28" s="123"/>
      <c r="T28" s="125">
        <f t="shared" si="1"/>
        <v>15.304749999999999</v>
      </c>
      <c r="U28" s="9" t="s">
        <v>65</v>
      </c>
      <c r="V28" s="1"/>
      <c r="W28" s="1"/>
      <c r="X28" s="1"/>
      <c r="Y28" s="1"/>
      <c r="Z28" s="1"/>
    </row>
    <row r="29" spans="1:26" ht="24.75" customHeight="1">
      <c r="A29" s="171"/>
      <c r="B29" s="171"/>
      <c r="C29" s="171"/>
      <c r="D29" s="5">
        <v>24</v>
      </c>
      <c r="E29" s="5" t="s">
        <v>67</v>
      </c>
      <c r="F29" s="123"/>
      <c r="G29" s="123"/>
      <c r="H29" s="124"/>
      <c r="I29" s="123"/>
      <c r="J29" s="123"/>
      <c r="K29" s="123"/>
      <c r="L29" s="123"/>
      <c r="M29" s="123"/>
      <c r="N29" s="125">
        <f>1.72+1.72+1+1</f>
        <v>5.4399999999999995</v>
      </c>
      <c r="O29" s="124"/>
      <c r="P29" s="123">
        <f>1+5+0.5+7</f>
        <v>13.5</v>
      </c>
      <c r="Q29" s="125"/>
      <c r="R29" s="123"/>
      <c r="S29" s="123"/>
      <c r="T29" s="125">
        <f t="shared" si="1"/>
        <v>18.939999999999998</v>
      </c>
      <c r="U29" s="9" t="s">
        <v>360</v>
      </c>
      <c r="V29" s="1"/>
      <c r="W29" s="1"/>
      <c r="X29" s="1"/>
      <c r="Y29" s="1"/>
      <c r="Z29" s="1"/>
    </row>
    <row r="30" spans="1:26" ht="24.75" customHeight="1">
      <c r="A30" s="171"/>
      <c r="B30" s="171"/>
      <c r="C30" s="171"/>
      <c r="D30" s="5">
        <v>25</v>
      </c>
      <c r="E30" s="5" t="s">
        <v>69</v>
      </c>
      <c r="F30" s="123"/>
      <c r="G30" s="123"/>
      <c r="H30" s="123"/>
      <c r="I30" s="123"/>
      <c r="J30" s="123"/>
      <c r="K30" s="123"/>
      <c r="L30" s="123"/>
      <c r="M30" s="123"/>
      <c r="N30" s="125">
        <v>0.5</v>
      </c>
      <c r="O30" s="123"/>
      <c r="P30" s="123"/>
      <c r="Q30" s="123"/>
      <c r="R30" s="123"/>
      <c r="S30" s="123"/>
      <c r="T30" s="125">
        <f t="shared" si="1"/>
        <v>0.5</v>
      </c>
      <c r="U30" s="9" t="s">
        <v>65</v>
      </c>
      <c r="V30" s="1"/>
      <c r="W30" s="1"/>
      <c r="X30" s="1"/>
      <c r="Y30" s="1"/>
      <c r="Z30" s="1"/>
    </row>
    <row r="31" spans="1:26" ht="24.75" customHeight="1">
      <c r="A31" s="171"/>
      <c r="B31" s="171"/>
      <c r="C31" s="171"/>
      <c r="D31" s="5">
        <v>26</v>
      </c>
      <c r="E31" s="5" t="s">
        <v>70</v>
      </c>
      <c r="F31" s="123"/>
      <c r="G31" s="123"/>
      <c r="H31" s="123"/>
      <c r="I31" s="125"/>
      <c r="J31" s="123"/>
      <c r="K31" s="123"/>
      <c r="L31" s="123"/>
      <c r="M31" s="123"/>
      <c r="N31" s="125">
        <v>2.5499999999999998</v>
      </c>
      <c r="O31" s="123"/>
      <c r="P31" s="123"/>
      <c r="Q31" s="125">
        <v>0.5</v>
      </c>
      <c r="R31" s="124"/>
      <c r="S31" s="123"/>
      <c r="T31" s="125">
        <f t="shared" si="1"/>
        <v>3.05</v>
      </c>
      <c r="U31" s="9" t="s">
        <v>360</v>
      </c>
      <c r="V31" s="1"/>
      <c r="W31" s="1"/>
      <c r="X31" s="1"/>
      <c r="Y31" s="1"/>
      <c r="Z31" s="1"/>
    </row>
    <row r="32" spans="1:26" ht="24.75" customHeight="1">
      <c r="A32" s="171"/>
      <c r="B32" s="171"/>
      <c r="C32" s="171"/>
      <c r="D32" s="5">
        <v>27</v>
      </c>
      <c r="E32" s="5" t="s">
        <v>72</v>
      </c>
      <c r="F32" s="123"/>
      <c r="G32" s="123"/>
      <c r="H32" s="124"/>
      <c r="I32" s="125"/>
      <c r="J32" s="123"/>
      <c r="K32" s="123"/>
      <c r="L32" s="123"/>
      <c r="M32" s="123"/>
      <c r="N32" s="125"/>
      <c r="O32" s="124"/>
      <c r="P32" s="124"/>
      <c r="Q32" s="123"/>
      <c r="R32" s="123"/>
      <c r="S32" s="123"/>
      <c r="T32" s="125">
        <f t="shared" si="1"/>
        <v>0</v>
      </c>
      <c r="U32" s="9"/>
      <c r="V32" s="1"/>
      <c r="W32" s="1"/>
      <c r="X32" s="1"/>
      <c r="Y32" s="1"/>
      <c r="Z32" s="1"/>
    </row>
    <row r="33" spans="1:26" ht="24.75" customHeight="1">
      <c r="A33" s="171"/>
      <c r="B33" s="171"/>
      <c r="C33" s="171"/>
      <c r="D33" s="5">
        <v>28</v>
      </c>
      <c r="E33" s="5" t="s">
        <v>31</v>
      </c>
      <c r="F33" s="123"/>
      <c r="G33" s="123"/>
      <c r="H33" s="123"/>
      <c r="I33" s="123"/>
      <c r="J33" s="123"/>
      <c r="K33" s="125">
        <v>1.1220000000000001</v>
      </c>
      <c r="L33" s="123"/>
      <c r="M33" s="125">
        <v>1.1220000000000001</v>
      </c>
      <c r="N33" s="123"/>
      <c r="O33" s="123"/>
      <c r="P33" s="123"/>
      <c r="Q33" s="123"/>
      <c r="R33" s="123"/>
      <c r="S33" s="123"/>
      <c r="T33" s="125">
        <f t="shared" si="1"/>
        <v>2.2440000000000002</v>
      </c>
      <c r="U33" s="9" t="s">
        <v>65</v>
      </c>
      <c r="V33" s="1"/>
      <c r="W33" s="1"/>
      <c r="X33" s="1"/>
      <c r="Y33" s="1"/>
      <c r="Z33" s="1"/>
    </row>
    <row r="34" spans="1:26" ht="24.75" customHeight="1">
      <c r="A34" s="171"/>
      <c r="B34" s="171"/>
      <c r="C34" s="171"/>
      <c r="D34" s="5">
        <v>29</v>
      </c>
      <c r="E34" s="5" t="s">
        <v>33</v>
      </c>
      <c r="F34" s="123"/>
      <c r="G34" s="123"/>
      <c r="H34" s="123"/>
      <c r="I34" s="123"/>
      <c r="J34" s="123"/>
      <c r="K34" s="123"/>
      <c r="L34" s="123"/>
      <c r="M34" s="123"/>
      <c r="N34" s="123"/>
      <c r="O34" s="123"/>
      <c r="P34" s="125">
        <v>2.8050000000000002</v>
      </c>
      <c r="Q34" s="123"/>
      <c r="R34" s="123"/>
      <c r="S34" s="123"/>
      <c r="T34" s="125">
        <f t="shared" si="1"/>
        <v>2.8050000000000002</v>
      </c>
      <c r="U34" s="9" t="s">
        <v>65</v>
      </c>
      <c r="V34" s="1"/>
      <c r="W34" s="1"/>
      <c r="X34" s="1"/>
      <c r="Y34" s="1"/>
      <c r="Z34" s="1"/>
    </row>
    <row r="35" spans="1:26" ht="24.75" customHeight="1">
      <c r="A35" s="171"/>
      <c r="B35" s="171"/>
      <c r="C35" s="171"/>
      <c r="D35" s="5">
        <v>30</v>
      </c>
      <c r="E35" s="5" t="s">
        <v>73</v>
      </c>
      <c r="F35" s="123"/>
      <c r="G35" s="123"/>
      <c r="H35" s="123"/>
      <c r="I35" s="125"/>
      <c r="J35" s="123"/>
      <c r="K35" s="123"/>
      <c r="L35" s="123"/>
      <c r="M35" s="123"/>
      <c r="N35" s="123"/>
      <c r="O35" s="123"/>
      <c r="P35" s="123"/>
      <c r="Q35" s="125">
        <v>3</v>
      </c>
      <c r="R35" s="124">
        <v>1.4</v>
      </c>
      <c r="S35" s="123"/>
      <c r="T35" s="125">
        <f t="shared" si="1"/>
        <v>4.4000000000000004</v>
      </c>
      <c r="U35" s="9" t="s">
        <v>360</v>
      </c>
      <c r="V35" s="1"/>
      <c r="W35" s="1"/>
      <c r="X35" s="1"/>
      <c r="Y35" s="1"/>
      <c r="Z35" s="1"/>
    </row>
    <row r="36" spans="1:26" ht="24.75" customHeight="1">
      <c r="A36" s="171"/>
      <c r="B36" s="169"/>
      <c r="C36" s="169"/>
      <c r="D36" s="5">
        <v>31</v>
      </c>
      <c r="E36" s="5" t="s">
        <v>54</v>
      </c>
      <c r="F36" s="123"/>
      <c r="G36" s="123"/>
      <c r="H36" s="123"/>
      <c r="I36" s="123"/>
      <c r="J36" s="123"/>
      <c r="K36" s="123"/>
      <c r="L36" s="123"/>
      <c r="M36" s="123"/>
      <c r="N36" s="123"/>
      <c r="O36" s="123"/>
      <c r="P36" s="123"/>
      <c r="Q36" s="123"/>
      <c r="R36" s="123"/>
      <c r="S36" s="123"/>
      <c r="T36" s="125">
        <f t="shared" si="1"/>
        <v>0</v>
      </c>
      <c r="U36" s="9"/>
      <c r="V36" s="1"/>
      <c r="W36" s="1"/>
      <c r="X36" s="1"/>
      <c r="Y36" s="1"/>
      <c r="Z36" s="1"/>
    </row>
    <row r="37" spans="1:26" ht="24.75" customHeight="1">
      <c r="A37" s="171"/>
      <c r="B37" s="168" t="s">
        <v>75</v>
      </c>
      <c r="C37" s="168" t="s">
        <v>76</v>
      </c>
      <c r="D37" s="5">
        <v>32</v>
      </c>
      <c r="E37" s="5" t="s">
        <v>77</v>
      </c>
      <c r="F37" s="5"/>
      <c r="G37" s="5"/>
      <c r="H37" s="5"/>
      <c r="I37" s="6"/>
      <c r="J37" s="5"/>
      <c r="K37" s="5"/>
      <c r="L37" s="5"/>
      <c r="M37" s="6"/>
      <c r="N37" s="6">
        <v>1.87</v>
      </c>
      <c r="O37" s="8">
        <v>49.25</v>
      </c>
      <c r="P37" s="8">
        <v>9.9499999999999993</v>
      </c>
      <c r="Q37" s="6">
        <v>1.3</v>
      </c>
      <c r="R37" s="8">
        <v>4.4809999999999999</v>
      </c>
      <c r="S37" s="5"/>
      <c r="T37" s="6">
        <f t="shared" si="0"/>
        <v>66.850999999999985</v>
      </c>
      <c r="U37" s="9" t="s">
        <v>361</v>
      </c>
      <c r="V37" s="1"/>
      <c r="W37" s="1"/>
      <c r="X37" s="1"/>
      <c r="Y37" s="1"/>
      <c r="Z37" s="1"/>
    </row>
    <row r="38" spans="1:26" ht="24.75" customHeight="1">
      <c r="A38" s="171"/>
      <c r="B38" s="171"/>
      <c r="C38" s="171"/>
      <c r="D38" s="5">
        <v>33</v>
      </c>
      <c r="E38" s="5" t="s">
        <v>79</v>
      </c>
      <c r="F38" s="5"/>
      <c r="G38" s="5"/>
      <c r="H38" s="5"/>
      <c r="I38" s="5"/>
      <c r="J38" s="5"/>
      <c r="K38" s="5"/>
      <c r="L38" s="5"/>
      <c r="M38" s="5"/>
      <c r="N38" s="5"/>
      <c r="O38" s="5"/>
      <c r="P38" s="5"/>
      <c r="Q38" s="5"/>
      <c r="R38" s="5"/>
      <c r="S38" s="5"/>
      <c r="T38" s="6">
        <f t="shared" si="0"/>
        <v>0</v>
      </c>
      <c r="U38" s="9"/>
      <c r="V38" s="1"/>
      <c r="W38" s="1"/>
      <c r="X38" s="1"/>
      <c r="Y38" s="1"/>
      <c r="Z38" s="1"/>
    </row>
    <row r="39" spans="1:26" ht="24.75" customHeight="1">
      <c r="A39" s="171"/>
      <c r="B39" s="169"/>
      <c r="C39" s="169"/>
      <c r="D39" s="5">
        <v>34</v>
      </c>
      <c r="E39" s="5" t="s">
        <v>80</v>
      </c>
      <c r="F39" s="5"/>
      <c r="G39" s="5"/>
      <c r="H39" s="5"/>
      <c r="I39" s="5"/>
      <c r="J39" s="5"/>
      <c r="K39" s="5"/>
      <c r="L39" s="5"/>
      <c r="M39" s="5"/>
      <c r="N39" s="6"/>
      <c r="O39" s="5"/>
      <c r="P39" s="8"/>
      <c r="Q39" s="5"/>
      <c r="R39" s="5"/>
      <c r="S39" s="5"/>
      <c r="T39" s="6">
        <f t="shared" si="0"/>
        <v>0</v>
      </c>
      <c r="U39" s="9"/>
      <c r="V39" s="1"/>
      <c r="W39" s="1"/>
      <c r="X39" s="1"/>
      <c r="Y39" s="1"/>
      <c r="Z39" s="1"/>
    </row>
    <row r="40" spans="1:26" ht="24.75" customHeight="1">
      <c r="A40" s="171"/>
      <c r="B40" s="168" t="s">
        <v>81</v>
      </c>
      <c r="C40" s="168" t="s">
        <v>82</v>
      </c>
      <c r="D40" s="5">
        <v>35</v>
      </c>
      <c r="E40" s="5" t="s">
        <v>83</v>
      </c>
      <c r="F40" s="5"/>
      <c r="G40" s="5"/>
      <c r="H40" s="5"/>
      <c r="I40" s="27"/>
      <c r="J40" s="5"/>
      <c r="K40" s="5"/>
      <c r="L40" s="5"/>
      <c r="M40" s="5"/>
      <c r="N40" s="6">
        <v>2.75</v>
      </c>
      <c r="O40" s="5"/>
      <c r="P40" s="8">
        <v>3.79</v>
      </c>
      <c r="Q40" s="8"/>
      <c r="R40" s="5">
        <v>0.1</v>
      </c>
      <c r="S40" s="5"/>
      <c r="T40" s="6">
        <f t="shared" si="0"/>
        <v>6.64</v>
      </c>
      <c r="U40" s="9" t="s">
        <v>585</v>
      </c>
      <c r="V40" s="1"/>
      <c r="W40" s="1"/>
      <c r="X40" s="1"/>
      <c r="Y40" s="1"/>
      <c r="Z40" s="1"/>
    </row>
    <row r="41" spans="1:26" ht="24.75" customHeight="1">
      <c r="A41" s="171"/>
      <c r="B41" s="171"/>
      <c r="C41" s="171"/>
      <c r="D41" s="5">
        <v>36</v>
      </c>
      <c r="E41" s="5" t="s">
        <v>84</v>
      </c>
      <c r="F41" s="5"/>
      <c r="G41" s="5"/>
      <c r="H41" s="5"/>
      <c r="I41" s="5"/>
      <c r="J41" s="5"/>
      <c r="K41" s="6"/>
      <c r="L41" s="5"/>
      <c r="M41" s="5"/>
      <c r="N41" s="6">
        <v>0.5</v>
      </c>
      <c r="O41" s="5"/>
      <c r="P41" s="5"/>
      <c r="Q41" s="5"/>
      <c r="R41" s="5"/>
      <c r="S41" s="5"/>
      <c r="T41" s="6">
        <f t="shared" si="0"/>
        <v>0.5</v>
      </c>
      <c r="U41" s="9" t="s">
        <v>381</v>
      </c>
      <c r="V41" s="1"/>
      <c r="W41" s="1"/>
      <c r="X41" s="1"/>
      <c r="Y41" s="1"/>
      <c r="Z41" s="1"/>
    </row>
    <row r="42" spans="1:26" ht="24.75" customHeight="1">
      <c r="A42" s="171"/>
      <c r="B42" s="171"/>
      <c r="C42" s="171"/>
      <c r="D42" s="5">
        <v>37</v>
      </c>
      <c r="E42" s="5" t="s">
        <v>86</v>
      </c>
      <c r="F42" s="5"/>
      <c r="G42" s="5"/>
      <c r="H42" s="5"/>
      <c r="I42" s="5"/>
      <c r="J42" s="5"/>
      <c r="K42" s="6"/>
      <c r="L42" s="5"/>
      <c r="M42" s="5"/>
      <c r="N42" s="5"/>
      <c r="O42" s="5"/>
      <c r="P42" s="5"/>
      <c r="Q42" s="5"/>
      <c r="R42" s="5"/>
      <c r="S42" s="5"/>
      <c r="T42" s="6">
        <f t="shared" si="0"/>
        <v>0</v>
      </c>
      <c r="U42" s="9"/>
      <c r="V42" s="1"/>
      <c r="W42" s="1"/>
      <c r="X42" s="1"/>
      <c r="Y42" s="1"/>
      <c r="Z42" s="1"/>
    </row>
    <row r="43" spans="1:26" ht="24.75" customHeight="1">
      <c r="A43" s="171"/>
      <c r="B43" s="171"/>
      <c r="C43" s="171"/>
      <c r="D43" s="5">
        <v>38</v>
      </c>
      <c r="E43" s="5" t="s">
        <v>87</v>
      </c>
      <c r="F43" s="5"/>
      <c r="G43" s="5"/>
      <c r="H43" s="5"/>
      <c r="I43" s="5"/>
      <c r="J43" s="5"/>
      <c r="K43" s="5"/>
      <c r="L43" s="5"/>
      <c r="M43" s="5"/>
      <c r="N43" s="6">
        <v>7.85</v>
      </c>
      <c r="O43" s="8">
        <v>0.32</v>
      </c>
      <c r="P43" s="8">
        <v>13.6</v>
      </c>
      <c r="Q43" s="8">
        <v>1.4</v>
      </c>
      <c r="R43" s="5">
        <v>1</v>
      </c>
      <c r="S43" s="5"/>
      <c r="T43" s="6">
        <f t="shared" si="0"/>
        <v>24.169999999999998</v>
      </c>
      <c r="U43" s="9" t="s">
        <v>586</v>
      </c>
      <c r="V43" s="1"/>
      <c r="W43" s="1"/>
      <c r="X43" s="1"/>
      <c r="Y43" s="1"/>
      <c r="Z43" s="1"/>
    </row>
    <row r="44" spans="1:26" ht="24.75" customHeight="1">
      <c r="A44" s="171"/>
      <c r="B44" s="171"/>
      <c r="C44" s="171"/>
      <c r="D44" s="5">
        <v>39</v>
      </c>
      <c r="E44" s="5" t="s">
        <v>88</v>
      </c>
      <c r="F44" s="5"/>
      <c r="G44" s="5"/>
      <c r="H44" s="5"/>
      <c r="I44" s="5"/>
      <c r="J44" s="5"/>
      <c r="K44" s="5"/>
      <c r="L44" s="5"/>
      <c r="M44" s="5"/>
      <c r="N44" s="5"/>
      <c r="O44" s="5"/>
      <c r="P44" s="8">
        <v>1.57</v>
      </c>
      <c r="Q44" s="8">
        <v>15.5</v>
      </c>
      <c r="R44" s="5"/>
      <c r="S44" s="5"/>
      <c r="T44" s="6">
        <f t="shared" si="0"/>
        <v>17.07</v>
      </c>
      <c r="U44" s="9" t="s">
        <v>587</v>
      </c>
      <c r="V44" s="1"/>
      <c r="W44" s="1"/>
      <c r="X44" s="1"/>
      <c r="Y44" s="1"/>
      <c r="Z44" s="1"/>
    </row>
    <row r="45" spans="1:26" ht="24.75" customHeight="1">
      <c r="A45" s="171"/>
      <c r="B45" s="171"/>
      <c r="C45" s="171"/>
      <c r="D45" s="5">
        <v>40</v>
      </c>
      <c r="E45" s="5" t="s">
        <v>89</v>
      </c>
      <c r="F45" s="5"/>
      <c r="G45" s="5"/>
      <c r="H45" s="5"/>
      <c r="I45" s="5"/>
      <c r="J45" s="5"/>
      <c r="K45" s="5"/>
      <c r="L45" s="5"/>
      <c r="M45" s="5"/>
      <c r="N45" s="6">
        <v>0.10920000000000001</v>
      </c>
      <c r="O45" s="5"/>
      <c r="P45" s="8">
        <v>0.27</v>
      </c>
      <c r="Q45" s="6">
        <v>0.47</v>
      </c>
      <c r="R45" s="8">
        <v>2</v>
      </c>
      <c r="S45" s="5"/>
      <c r="T45" s="6">
        <f t="shared" si="0"/>
        <v>2.8491999999999997</v>
      </c>
      <c r="U45" s="9" t="s">
        <v>824</v>
      </c>
      <c r="V45" s="1"/>
      <c r="W45" s="1"/>
      <c r="X45" s="1"/>
      <c r="Y45" s="1"/>
      <c r="Z45" s="1"/>
    </row>
    <row r="46" spans="1:26" ht="24.75" customHeight="1">
      <c r="A46" s="171"/>
      <c r="B46" s="169"/>
      <c r="C46" s="169"/>
      <c r="D46" s="5">
        <v>41</v>
      </c>
      <c r="E46" s="5" t="s">
        <v>54</v>
      </c>
      <c r="F46" s="5"/>
      <c r="G46" s="5"/>
      <c r="H46" s="5"/>
      <c r="I46" s="5"/>
      <c r="J46" s="5"/>
      <c r="K46" s="5"/>
      <c r="L46" s="5"/>
      <c r="M46" s="5"/>
      <c r="N46" s="5"/>
      <c r="O46" s="5"/>
      <c r="P46" s="5"/>
      <c r="Q46" s="5"/>
      <c r="R46" s="5"/>
      <c r="S46" s="5"/>
      <c r="T46" s="6">
        <f t="shared" si="0"/>
        <v>0</v>
      </c>
      <c r="U46" s="9"/>
      <c r="V46" s="1"/>
      <c r="W46" s="1"/>
      <c r="X46" s="1"/>
      <c r="Y46" s="1"/>
      <c r="Z46" s="1"/>
    </row>
    <row r="47" spans="1:26" ht="24.75" customHeight="1">
      <c r="A47" s="171"/>
      <c r="B47" s="168" t="s">
        <v>90</v>
      </c>
      <c r="C47" s="168" t="s">
        <v>91</v>
      </c>
      <c r="D47" s="5">
        <v>42</v>
      </c>
      <c r="E47" s="5" t="s">
        <v>92</v>
      </c>
      <c r="F47" s="8">
        <v>5.99</v>
      </c>
      <c r="G47" s="5"/>
      <c r="H47" s="5"/>
      <c r="I47" s="6"/>
      <c r="J47" s="5"/>
      <c r="K47" s="5"/>
      <c r="L47" s="5"/>
      <c r="M47" s="5"/>
      <c r="N47" s="6">
        <v>1.37</v>
      </c>
      <c r="O47" s="5"/>
      <c r="P47" s="8">
        <v>1.1000000000000001</v>
      </c>
      <c r="Q47" s="5"/>
      <c r="R47" s="5"/>
      <c r="S47" s="5"/>
      <c r="T47" s="6">
        <f t="shared" si="0"/>
        <v>8.4600000000000009</v>
      </c>
      <c r="U47" s="9"/>
      <c r="V47" s="1"/>
      <c r="W47" s="1"/>
      <c r="X47" s="1"/>
      <c r="Y47" s="1"/>
      <c r="Z47" s="1"/>
    </row>
    <row r="48" spans="1:26" ht="24.75" customHeight="1">
      <c r="A48" s="171"/>
      <c r="B48" s="171"/>
      <c r="C48" s="171"/>
      <c r="D48" s="5">
        <v>43</v>
      </c>
      <c r="E48" s="5" t="s">
        <v>93</v>
      </c>
      <c r="F48" s="8">
        <v>0.08</v>
      </c>
      <c r="G48" s="5"/>
      <c r="H48" s="5"/>
      <c r="I48" s="6"/>
      <c r="J48" s="5"/>
      <c r="K48" s="5"/>
      <c r="L48" s="5"/>
      <c r="M48" s="5"/>
      <c r="N48" s="6">
        <v>0.45750000000000002</v>
      </c>
      <c r="O48" s="5"/>
      <c r="P48" s="8">
        <v>0.4</v>
      </c>
      <c r="Q48" s="5"/>
      <c r="R48" s="5"/>
      <c r="S48" s="5"/>
      <c r="T48" s="6">
        <f t="shared" si="0"/>
        <v>0.9375</v>
      </c>
      <c r="U48" s="9"/>
      <c r="V48" s="1"/>
      <c r="W48" s="1"/>
      <c r="X48" s="1"/>
      <c r="Y48" s="1"/>
      <c r="Z48" s="1"/>
    </row>
    <row r="49" spans="1:26" ht="24.75" customHeight="1">
      <c r="A49" s="171"/>
      <c r="B49" s="171"/>
      <c r="C49" s="171"/>
      <c r="D49" s="5">
        <v>44</v>
      </c>
      <c r="E49" s="5" t="s">
        <v>94</v>
      </c>
      <c r="F49" s="8">
        <v>0.56999999999999995</v>
      </c>
      <c r="G49" s="5"/>
      <c r="H49" s="5"/>
      <c r="I49" s="6"/>
      <c r="J49" s="5"/>
      <c r="K49" s="5"/>
      <c r="L49" s="5"/>
      <c r="M49" s="5"/>
      <c r="N49" s="6">
        <v>2.44</v>
      </c>
      <c r="O49" s="8">
        <v>0.18</v>
      </c>
      <c r="P49" s="8">
        <v>0.3</v>
      </c>
      <c r="Q49" s="5"/>
      <c r="R49" s="5"/>
      <c r="S49" s="5"/>
      <c r="T49" s="6">
        <f t="shared" si="0"/>
        <v>3.4899999999999998</v>
      </c>
      <c r="U49" s="9" t="s">
        <v>382</v>
      </c>
      <c r="V49" s="1"/>
      <c r="W49" s="1"/>
      <c r="X49" s="1"/>
      <c r="Y49" s="1"/>
      <c r="Z49" s="1"/>
    </row>
    <row r="50" spans="1:26" ht="24.75" customHeight="1">
      <c r="A50" s="171"/>
      <c r="B50" s="171"/>
      <c r="C50" s="171"/>
      <c r="D50" s="5">
        <v>45</v>
      </c>
      <c r="E50" s="5" t="s">
        <v>96</v>
      </c>
      <c r="F50" s="8">
        <v>0.06</v>
      </c>
      <c r="G50" s="5"/>
      <c r="H50" s="5"/>
      <c r="I50" s="5"/>
      <c r="J50" s="5"/>
      <c r="K50" s="5"/>
      <c r="L50" s="5"/>
      <c r="M50" s="5"/>
      <c r="N50" s="6">
        <v>1</v>
      </c>
      <c r="O50" s="8">
        <v>0.06</v>
      </c>
      <c r="P50" s="5"/>
      <c r="Q50" s="5"/>
      <c r="R50" s="5"/>
      <c r="S50" s="5"/>
      <c r="T50" s="6">
        <f t="shared" si="0"/>
        <v>1.1200000000000001</v>
      </c>
      <c r="U50" s="9"/>
      <c r="V50" s="1"/>
      <c r="W50" s="1"/>
      <c r="X50" s="1"/>
      <c r="Y50" s="1"/>
      <c r="Z50" s="1"/>
    </row>
    <row r="51" spans="1:26" ht="24.75" customHeight="1">
      <c r="A51" s="171"/>
      <c r="B51" s="171"/>
      <c r="C51" s="171"/>
      <c r="D51" s="5">
        <v>46</v>
      </c>
      <c r="E51" s="5" t="s">
        <v>97</v>
      </c>
      <c r="F51" s="5"/>
      <c r="G51" s="5"/>
      <c r="H51" s="5"/>
      <c r="I51" s="5"/>
      <c r="J51" s="5"/>
      <c r="K51" s="5"/>
      <c r="L51" s="5"/>
      <c r="M51" s="5"/>
      <c r="N51" s="5"/>
      <c r="O51" s="5"/>
      <c r="P51" s="5"/>
      <c r="Q51" s="5"/>
      <c r="R51" s="5"/>
      <c r="S51" s="5"/>
      <c r="T51" s="6">
        <f t="shared" si="0"/>
        <v>0</v>
      </c>
      <c r="U51" s="9"/>
      <c r="V51" s="1"/>
      <c r="W51" s="1"/>
      <c r="X51" s="1"/>
      <c r="Y51" s="1"/>
      <c r="Z51" s="1"/>
    </row>
    <row r="52" spans="1:26" ht="24.75" customHeight="1">
      <c r="A52" s="171"/>
      <c r="B52" s="171"/>
      <c r="C52" s="171"/>
      <c r="D52" s="5">
        <v>47</v>
      </c>
      <c r="E52" s="5" t="s">
        <v>98</v>
      </c>
      <c r="F52" s="8">
        <v>1.25</v>
      </c>
      <c r="G52" s="5"/>
      <c r="H52" s="5"/>
      <c r="I52" s="5"/>
      <c r="J52" s="5"/>
      <c r="K52" s="5"/>
      <c r="L52" s="5"/>
      <c r="M52" s="5"/>
      <c r="N52" s="5"/>
      <c r="O52" s="5"/>
      <c r="P52" s="5"/>
      <c r="Q52" s="5"/>
      <c r="R52" s="5"/>
      <c r="S52" s="5"/>
      <c r="T52" s="6">
        <f t="shared" si="0"/>
        <v>1.25</v>
      </c>
      <c r="U52" s="9"/>
      <c r="V52" s="1"/>
      <c r="W52" s="1"/>
      <c r="X52" s="1"/>
      <c r="Y52" s="1"/>
      <c r="Z52" s="1"/>
    </row>
    <row r="53" spans="1:26" ht="24.75" customHeight="1">
      <c r="A53" s="171"/>
      <c r="B53" s="171"/>
      <c r="C53" s="171"/>
      <c r="D53" s="5">
        <v>48</v>
      </c>
      <c r="E53" s="5" t="s">
        <v>99</v>
      </c>
      <c r="F53" s="5"/>
      <c r="G53" s="5"/>
      <c r="H53" s="5"/>
      <c r="I53" s="5"/>
      <c r="J53" s="5"/>
      <c r="K53" s="5"/>
      <c r="L53" s="5"/>
      <c r="M53" s="5"/>
      <c r="N53" s="6">
        <v>0.1</v>
      </c>
      <c r="O53" s="5"/>
      <c r="P53" s="8"/>
      <c r="Q53" s="5"/>
      <c r="R53" s="5"/>
      <c r="S53" s="5"/>
      <c r="T53" s="6">
        <f t="shared" si="0"/>
        <v>0.1</v>
      </c>
      <c r="U53" s="9"/>
      <c r="V53" s="1"/>
      <c r="W53" s="1"/>
      <c r="X53" s="1"/>
      <c r="Y53" s="1"/>
      <c r="Z53" s="1"/>
    </row>
    <row r="54" spans="1:26" ht="24.75" customHeight="1">
      <c r="A54" s="171"/>
      <c r="B54" s="171"/>
      <c r="C54" s="171"/>
      <c r="D54" s="5">
        <v>49</v>
      </c>
      <c r="E54" s="5" t="s">
        <v>100</v>
      </c>
      <c r="F54" s="5"/>
      <c r="G54" s="5"/>
      <c r="H54" s="5"/>
      <c r="I54" s="5"/>
      <c r="J54" s="5"/>
      <c r="K54" s="5"/>
      <c r="L54" s="5"/>
      <c r="M54" s="5"/>
      <c r="N54" s="5"/>
      <c r="O54" s="5"/>
      <c r="P54" s="5"/>
      <c r="Q54" s="6">
        <v>0</v>
      </c>
      <c r="R54" s="8">
        <v>0.97</v>
      </c>
      <c r="S54" s="5"/>
      <c r="T54" s="6">
        <f t="shared" si="0"/>
        <v>0.97</v>
      </c>
      <c r="U54" s="9" t="s">
        <v>310</v>
      </c>
      <c r="V54" s="1"/>
      <c r="W54" s="1"/>
      <c r="X54" s="1"/>
      <c r="Y54" s="1"/>
      <c r="Z54" s="1"/>
    </row>
    <row r="55" spans="1:26" ht="24.75" customHeight="1">
      <c r="A55" s="171"/>
      <c r="B55" s="171"/>
      <c r="C55" s="171"/>
      <c r="D55" s="5">
        <v>50</v>
      </c>
      <c r="E55" s="5" t="s">
        <v>102</v>
      </c>
      <c r="F55" s="5"/>
      <c r="G55" s="5"/>
      <c r="H55" s="5"/>
      <c r="I55" s="6"/>
      <c r="J55" s="5"/>
      <c r="K55" s="5"/>
      <c r="L55" s="5"/>
      <c r="M55" s="5"/>
      <c r="N55" s="6">
        <v>0.73</v>
      </c>
      <c r="O55" s="5"/>
      <c r="P55" s="8">
        <v>0.5</v>
      </c>
      <c r="Q55" s="6">
        <v>1.2</v>
      </c>
      <c r="R55" s="8">
        <v>0.113</v>
      </c>
      <c r="S55" s="5"/>
      <c r="T55" s="6">
        <f t="shared" si="0"/>
        <v>2.5429999999999997</v>
      </c>
      <c r="U55" s="9" t="s">
        <v>310</v>
      </c>
      <c r="V55" s="1"/>
      <c r="W55" s="1"/>
      <c r="X55" s="1"/>
      <c r="Y55" s="1"/>
      <c r="Z55" s="1"/>
    </row>
    <row r="56" spans="1:26" ht="24.75" customHeight="1">
      <c r="A56" s="171"/>
      <c r="B56" s="169"/>
      <c r="C56" s="169"/>
      <c r="D56" s="5">
        <v>51</v>
      </c>
      <c r="E56" s="5" t="s">
        <v>54</v>
      </c>
      <c r="F56" s="5"/>
      <c r="G56" s="5"/>
      <c r="H56" s="5"/>
      <c r="I56" s="5"/>
      <c r="J56" s="5"/>
      <c r="K56" s="5"/>
      <c r="L56" s="5"/>
      <c r="M56" s="5"/>
      <c r="N56" s="8"/>
      <c r="O56" s="5"/>
      <c r="P56" s="5">
        <v>1</v>
      </c>
      <c r="Q56" s="5"/>
      <c r="R56" s="5"/>
      <c r="S56" s="5"/>
      <c r="T56" s="6">
        <f t="shared" si="0"/>
        <v>1</v>
      </c>
      <c r="U56" s="9"/>
      <c r="V56" s="1"/>
      <c r="W56" s="1"/>
      <c r="X56" s="1"/>
      <c r="Y56" s="1"/>
      <c r="Z56" s="1"/>
    </row>
    <row r="57" spans="1:26" ht="24.75" customHeight="1">
      <c r="A57" s="171"/>
      <c r="B57" s="168" t="s">
        <v>103</v>
      </c>
      <c r="C57" s="168" t="s">
        <v>104</v>
      </c>
      <c r="D57" s="5">
        <v>52</v>
      </c>
      <c r="E57" s="5" t="s">
        <v>105</v>
      </c>
      <c r="F57" s="123"/>
      <c r="G57" s="123"/>
      <c r="H57" s="123"/>
      <c r="I57" s="125"/>
      <c r="J57" s="123"/>
      <c r="K57" s="125"/>
      <c r="L57" s="123"/>
      <c r="M57" s="123"/>
      <c r="N57" s="125">
        <v>2</v>
      </c>
      <c r="O57" s="124">
        <v>18.738</v>
      </c>
      <c r="P57" s="123"/>
      <c r="Q57" s="123"/>
      <c r="R57" s="123"/>
      <c r="S57" s="123"/>
      <c r="T57" s="125">
        <f t="shared" ref="T57:T66" si="2">SUM(F57:S57)</f>
        <v>20.738</v>
      </c>
      <c r="U57" s="9" t="s">
        <v>65</v>
      </c>
      <c r="V57" s="1"/>
      <c r="W57" s="1"/>
      <c r="X57" s="1"/>
      <c r="Y57" s="1"/>
      <c r="Z57" s="1"/>
    </row>
    <row r="58" spans="1:26" ht="24.75" customHeight="1">
      <c r="A58" s="171"/>
      <c r="B58" s="171"/>
      <c r="C58" s="171"/>
      <c r="D58" s="5">
        <v>53</v>
      </c>
      <c r="E58" s="5" t="s">
        <v>106</v>
      </c>
      <c r="F58" s="123"/>
      <c r="G58" s="123"/>
      <c r="H58" s="123"/>
      <c r="I58" s="123"/>
      <c r="J58" s="123"/>
      <c r="K58" s="125"/>
      <c r="L58" s="123"/>
      <c r="M58" s="123"/>
      <c r="N58" s="125"/>
      <c r="O58" s="124">
        <v>2.08</v>
      </c>
      <c r="P58" s="123"/>
      <c r="Q58" s="124">
        <v>3</v>
      </c>
      <c r="R58" s="123"/>
      <c r="S58" s="123"/>
      <c r="T58" s="125">
        <f t="shared" si="2"/>
        <v>5.08</v>
      </c>
      <c r="U58" s="9" t="s">
        <v>65</v>
      </c>
      <c r="V58" s="1"/>
      <c r="W58" s="1"/>
      <c r="X58" s="1"/>
      <c r="Y58" s="1"/>
      <c r="Z58" s="1"/>
    </row>
    <row r="59" spans="1:26" ht="24.75" customHeight="1">
      <c r="A59" s="171"/>
      <c r="B59" s="171"/>
      <c r="C59" s="171"/>
      <c r="D59" s="5">
        <v>54</v>
      </c>
      <c r="E59" s="5" t="s">
        <v>107</v>
      </c>
      <c r="F59" s="123"/>
      <c r="G59" s="123"/>
      <c r="H59" s="124"/>
      <c r="I59" s="123"/>
      <c r="J59" s="123"/>
      <c r="K59" s="123"/>
      <c r="L59" s="123"/>
      <c r="M59" s="123"/>
      <c r="N59" s="123"/>
      <c r="O59" s="124"/>
      <c r="P59" s="124"/>
      <c r="Q59" s="123"/>
      <c r="R59" s="123"/>
      <c r="S59" s="123"/>
      <c r="T59" s="125">
        <f t="shared" si="2"/>
        <v>0</v>
      </c>
      <c r="U59" s="9"/>
      <c r="V59" s="1"/>
      <c r="W59" s="1"/>
      <c r="X59" s="1"/>
      <c r="Y59" s="1"/>
      <c r="Z59" s="1"/>
    </row>
    <row r="60" spans="1:26" ht="24.75" customHeight="1">
      <c r="A60" s="171"/>
      <c r="B60" s="171"/>
      <c r="C60" s="171"/>
      <c r="D60" s="5">
        <v>55</v>
      </c>
      <c r="E60" s="5" t="s">
        <v>108</v>
      </c>
      <c r="F60" s="123"/>
      <c r="G60" s="123"/>
      <c r="H60" s="123"/>
      <c r="I60" s="123"/>
      <c r="J60" s="123"/>
      <c r="K60" s="125"/>
      <c r="L60" s="123"/>
      <c r="M60" s="123"/>
      <c r="N60" s="123"/>
      <c r="O60" s="123"/>
      <c r="P60" s="123"/>
      <c r="Q60" s="123"/>
      <c r="R60" s="123"/>
      <c r="S60" s="123"/>
      <c r="T60" s="125">
        <f t="shared" si="2"/>
        <v>0</v>
      </c>
      <c r="U60" s="9"/>
      <c r="V60" s="1"/>
      <c r="W60" s="1"/>
      <c r="X60" s="1"/>
      <c r="Y60" s="1"/>
      <c r="Z60" s="1"/>
    </row>
    <row r="61" spans="1:26" ht="24.75" customHeight="1">
      <c r="A61" s="171"/>
      <c r="B61" s="171"/>
      <c r="C61" s="171"/>
      <c r="D61" s="5">
        <v>56</v>
      </c>
      <c r="E61" s="5" t="s">
        <v>109</v>
      </c>
      <c r="F61" s="123"/>
      <c r="G61" s="123"/>
      <c r="H61" s="123"/>
      <c r="I61" s="123"/>
      <c r="J61" s="123"/>
      <c r="K61" s="123"/>
      <c r="L61" s="123"/>
      <c r="M61" s="123"/>
      <c r="N61" s="123"/>
      <c r="O61" s="124">
        <v>4.16</v>
      </c>
      <c r="P61" s="123"/>
      <c r="Q61" s="123"/>
      <c r="R61" s="123"/>
      <c r="S61" s="123"/>
      <c r="T61" s="125">
        <f t="shared" si="2"/>
        <v>4.16</v>
      </c>
      <c r="U61" s="9" t="s">
        <v>65</v>
      </c>
      <c r="V61" s="1"/>
      <c r="W61" s="1"/>
      <c r="X61" s="1"/>
      <c r="Y61" s="1"/>
      <c r="Z61" s="1"/>
    </row>
    <row r="62" spans="1:26" ht="24.75" customHeight="1">
      <c r="A62" s="171"/>
      <c r="B62" s="171"/>
      <c r="C62" s="171"/>
      <c r="D62" s="5">
        <v>57</v>
      </c>
      <c r="E62" s="5" t="s">
        <v>110</v>
      </c>
      <c r="F62" s="123"/>
      <c r="G62" s="123"/>
      <c r="H62" s="124"/>
      <c r="I62" s="123"/>
      <c r="J62" s="123"/>
      <c r="K62" s="123"/>
      <c r="L62" s="123"/>
      <c r="M62" s="124">
        <f>1.05*1</f>
        <v>1.05</v>
      </c>
      <c r="N62" s="123"/>
      <c r="O62" s="123"/>
      <c r="P62" s="123"/>
      <c r="Q62" s="123"/>
      <c r="R62" s="123"/>
      <c r="S62" s="123"/>
      <c r="T62" s="125">
        <f t="shared" si="2"/>
        <v>1.05</v>
      </c>
      <c r="U62" s="9" t="s">
        <v>65</v>
      </c>
      <c r="V62" s="1"/>
      <c r="W62" s="1"/>
      <c r="X62" s="1"/>
      <c r="Y62" s="1"/>
      <c r="Z62" s="1"/>
    </row>
    <row r="63" spans="1:26" ht="24.75" customHeight="1">
      <c r="A63" s="171"/>
      <c r="B63" s="171"/>
      <c r="C63" s="171"/>
      <c r="D63" s="5">
        <v>58</v>
      </c>
      <c r="E63" s="5" t="s">
        <v>111</v>
      </c>
      <c r="F63" s="123"/>
      <c r="G63" s="123"/>
      <c r="H63" s="123"/>
      <c r="I63" s="123"/>
      <c r="J63" s="123"/>
      <c r="K63" s="125"/>
      <c r="L63" s="123"/>
      <c r="M63" s="123"/>
      <c r="N63" s="123"/>
      <c r="O63" s="124">
        <v>1.04</v>
      </c>
      <c r="P63" s="123"/>
      <c r="Q63" s="124">
        <v>0.75</v>
      </c>
      <c r="R63" s="123"/>
      <c r="S63" s="123"/>
      <c r="T63" s="125">
        <f t="shared" si="2"/>
        <v>1.79</v>
      </c>
      <c r="U63" s="9" t="s">
        <v>65</v>
      </c>
      <c r="V63" s="1"/>
      <c r="W63" s="1"/>
      <c r="X63" s="1"/>
      <c r="Y63" s="1"/>
      <c r="Z63" s="1"/>
    </row>
    <row r="64" spans="1:26" ht="24.75" customHeight="1">
      <c r="A64" s="171"/>
      <c r="B64" s="171"/>
      <c r="C64" s="171"/>
      <c r="D64" s="5">
        <v>59</v>
      </c>
      <c r="E64" s="5" t="s">
        <v>112</v>
      </c>
      <c r="F64" s="123"/>
      <c r="G64" s="123"/>
      <c r="H64" s="123"/>
      <c r="I64" s="123"/>
      <c r="J64" s="123"/>
      <c r="K64" s="123"/>
      <c r="L64" s="123"/>
      <c r="M64" s="123"/>
      <c r="N64" s="123"/>
      <c r="O64" s="123"/>
      <c r="P64" s="123"/>
      <c r="Q64" s="123"/>
      <c r="R64" s="123"/>
      <c r="S64" s="123"/>
      <c r="T64" s="125">
        <f t="shared" si="2"/>
        <v>0</v>
      </c>
      <c r="U64" s="9"/>
      <c r="V64" s="1"/>
      <c r="W64" s="1"/>
      <c r="X64" s="1"/>
      <c r="Y64" s="1"/>
      <c r="Z64" s="1"/>
    </row>
    <row r="65" spans="1:26" ht="24.75" customHeight="1">
      <c r="A65" s="171"/>
      <c r="B65" s="171"/>
      <c r="C65" s="171"/>
      <c r="D65" s="5">
        <v>60</v>
      </c>
      <c r="E65" s="5" t="s">
        <v>113</v>
      </c>
      <c r="F65" s="123"/>
      <c r="G65" s="123"/>
      <c r="H65" s="123"/>
      <c r="I65" s="123"/>
      <c r="J65" s="123"/>
      <c r="K65" s="123"/>
      <c r="L65" s="123"/>
      <c r="M65" s="123"/>
      <c r="N65" s="123"/>
      <c r="O65" s="123"/>
      <c r="P65" s="123"/>
      <c r="Q65" s="123"/>
      <c r="R65" s="123"/>
      <c r="S65" s="123"/>
      <c r="T65" s="125">
        <f t="shared" si="2"/>
        <v>0</v>
      </c>
      <c r="U65" s="9"/>
      <c r="V65" s="1"/>
      <c r="W65" s="1"/>
      <c r="X65" s="1"/>
      <c r="Y65" s="1"/>
      <c r="Z65" s="1"/>
    </row>
    <row r="66" spans="1:26" ht="24.75" customHeight="1">
      <c r="A66" s="171"/>
      <c r="B66" s="169"/>
      <c r="C66" s="169"/>
      <c r="D66" s="5">
        <v>61</v>
      </c>
      <c r="E66" s="5" t="s">
        <v>54</v>
      </c>
      <c r="F66" s="123"/>
      <c r="G66" s="123"/>
      <c r="H66" s="123"/>
      <c r="I66" s="123"/>
      <c r="J66" s="123"/>
      <c r="K66" s="123"/>
      <c r="L66" s="123"/>
      <c r="M66" s="123"/>
      <c r="N66" s="123"/>
      <c r="O66" s="123"/>
      <c r="P66" s="123"/>
      <c r="Q66" s="123"/>
      <c r="R66" s="123"/>
      <c r="S66" s="123"/>
      <c r="T66" s="125">
        <f t="shared" si="2"/>
        <v>0</v>
      </c>
      <c r="U66" s="9"/>
      <c r="V66" s="1"/>
      <c r="W66" s="1"/>
      <c r="X66" s="1"/>
      <c r="Y66" s="1"/>
      <c r="Z66" s="1"/>
    </row>
    <row r="67" spans="1:26" ht="24.75" customHeight="1">
      <c r="A67" s="171"/>
      <c r="B67" s="5" t="s">
        <v>114</v>
      </c>
      <c r="C67" s="5" t="s">
        <v>115</v>
      </c>
      <c r="D67" s="5">
        <v>62</v>
      </c>
      <c r="E67" s="5" t="s">
        <v>116</v>
      </c>
      <c r="F67" s="5"/>
      <c r="G67" s="5"/>
      <c r="H67" s="5"/>
      <c r="I67" s="5"/>
      <c r="J67" s="5"/>
      <c r="K67" s="5"/>
      <c r="L67" s="5"/>
      <c r="M67" s="6"/>
      <c r="N67" s="5"/>
      <c r="O67" s="8">
        <v>1</v>
      </c>
      <c r="P67" s="8"/>
      <c r="Q67" s="6">
        <v>0.25</v>
      </c>
      <c r="R67" s="5"/>
      <c r="S67" s="8"/>
      <c r="T67" s="6">
        <f t="shared" si="0"/>
        <v>1.25</v>
      </c>
      <c r="U67" s="61" t="s">
        <v>577</v>
      </c>
      <c r="V67" s="1"/>
      <c r="W67" s="1"/>
      <c r="X67" s="1"/>
      <c r="Y67" s="1"/>
      <c r="Z67" s="1"/>
    </row>
    <row r="68" spans="1:26" ht="24.75" customHeight="1">
      <c r="A68" s="169"/>
      <c r="B68" s="176" t="s">
        <v>117</v>
      </c>
      <c r="C68" s="177"/>
      <c r="D68" s="178"/>
      <c r="E68" s="51"/>
      <c r="F68" s="51">
        <f t="shared" ref="F68:S68" si="3">SUM(F6:F67)</f>
        <v>30.359999999999996</v>
      </c>
      <c r="G68" s="51">
        <f t="shared" si="3"/>
        <v>0</v>
      </c>
      <c r="H68" s="51">
        <f t="shared" si="3"/>
        <v>0</v>
      </c>
      <c r="I68" s="51">
        <f t="shared" si="3"/>
        <v>5.9950000000000001</v>
      </c>
      <c r="J68" s="51">
        <f t="shared" si="3"/>
        <v>0</v>
      </c>
      <c r="K68" s="51">
        <f t="shared" si="3"/>
        <v>34.061999999999998</v>
      </c>
      <c r="L68" s="51">
        <f t="shared" si="3"/>
        <v>0</v>
      </c>
      <c r="M68" s="51">
        <f t="shared" si="3"/>
        <v>14.152000000000001</v>
      </c>
      <c r="N68" s="51">
        <f t="shared" si="3"/>
        <v>37.412549999999996</v>
      </c>
      <c r="O68" s="51">
        <f t="shared" si="3"/>
        <v>110.00275000000001</v>
      </c>
      <c r="P68" s="51">
        <f t="shared" si="3"/>
        <v>187.691</v>
      </c>
      <c r="Q68" s="51">
        <f t="shared" si="3"/>
        <v>29.762499999999999</v>
      </c>
      <c r="R68" s="51">
        <f t="shared" si="3"/>
        <v>11.7935</v>
      </c>
      <c r="S68" s="51">
        <f t="shared" si="3"/>
        <v>0.3</v>
      </c>
      <c r="T68" s="52">
        <f t="shared" si="0"/>
        <v>461.53129999999999</v>
      </c>
      <c r="U68" s="9"/>
      <c r="V68" s="1"/>
      <c r="W68" s="1"/>
      <c r="X68" s="1"/>
      <c r="Y68" s="1"/>
      <c r="Z68" s="1"/>
    </row>
    <row r="69" spans="1:26" ht="39.75" customHeight="1">
      <c r="A69" s="175" t="s">
        <v>118</v>
      </c>
      <c r="B69" s="5" t="s">
        <v>119</v>
      </c>
      <c r="C69" s="5" t="s">
        <v>120</v>
      </c>
      <c r="D69" s="5">
        <v>63</v>
      </c>
      <c r="E69" s="5" t="s">
        <v>121</v>
      </c>
      <c r="F69" s="5"/>
      <c r="G69" s="5"/>
      <c r="H69" s="5"/>
      <c r="I69" s="5"/>
      <c r="J69" s="5"/>
      <c r="K69" s="5"/>
      <c r="L69" s="5"/>
      <c r="M69" s="8"/>
      <c r="N69" s="6">
        <v>5.15</v>
      </c>
      <c r="O69" s="5"/>
      <c r="P69" s="6"/>
      <c r="Q69" s="5"/>
      <c r="R69" s="8">
        <v>5</v>
      </c>
      <c r="S69" s="8">
        <v>2</v>
      </c>
      <c r="T69" s="6">
        <f t="shared" si="0"/>
        <v>12.15</v>
      </c>
      <c r="U69" s="45" t="s">
        <v>364</v>
      </c>
      <c r="V69" s="18"/>
      <c r="W69" s="1"/>
      <c r="X69" s="1"/>
      <c r="Y69" s="1"/>
      <c r="Z69" s="1"/>
    </row>
    <row r="70" spans="1:26" ht="39.75" customHeight="1">
      <c r="A70" s="171"/>
      <c r="B70" s="168" t="s">
        <v>122</v>
      </c>
      <c r="C70" s="168" t="s">
        <v>123</v>
      </c>
      <c r="D70" s="5">
        <v>64</v>
      </c>
      <c r="E70" s="5" t="s">
        <v>124</v>
      </c>
      <c r="F70" s="15"/>
      <c r="G70" s="15"/>
      <c r="H70" s="16"/>
      <c r="I70" s="17"/>
      <c r="J70" s="15"/>
      <c r="K70" s="17"/>
      <c r="L70" s="15"/>
      <c r="M70" s="15"/>
      <c r="N70" s="17">
        <v>0.4</v>
      </c>
      <c r="O70" s="16">
        <v>0.45</v>
      </c>
      <c r="P70" s="17">
        <f>18.26+1.24</f>
        <v>19.5</v>
      </c>
      <c r="Q70" s="17">
        <v>0.4</v>
      </c>
      <c r="R70" s="16">
        <v>1.5</v>
      </c>
      <c r="S70" s="16"/>
      <c r="T70" s="6">
        <f t="shared" ref="T70:T133" si="4">SUM(F70:S70)</f>
        <v>22.25</v>
      </c>
      <c r="U70" s="45" t="s">
        <v>383</v>
      </c>
      <c r="V70" s="18"/>
      <c r="W70" s="1"/>
      <c r="X70" s="1"/>
      <c r="Y70" s="1"/>
      <c r="Z70" s="1"/>
    </row>
    <row r="71" spans="1:26" ht="39.75" customHeight="1">
      <c r="A71" s="171"/>
      <c r="B71" s="171"/>
      <c r="C71" s="171"/>
      <c r="D71" s="5">
        <v>65</v>
      </c>
      <c r="E71" s="5" t="s">
        <v>126</v>
      </c>
      <c r="F71" s="15"/>
      <c r="G71" s="15"/>
      <c r="H71" s="15"/>
      <c r="I71" s="15"/>
      <c r="J71" s="15"/>
      <c r="K71" s="15"/>
      <c r="L71" s="15"/>
      <c r="M71" s="15"/>
      <c r="N71" s="17"/>
      <c r="O71" s="15"/>
      <c r="P71" s="16">
        <v>0.17</v>
      </c>
      <c r="Q71" s="15"/>
      <c r="R71" s="15"/>
      <c r="S71" s="16"/>
      <c r="T71" s="6">
        <f t="shared" si="4"/>
        <v>0.17</v>
      </c>
      <c r="U71" s="45" t="s">
        <v>366</v>
      </c>
      <c r="V71" s="1"/>
      <c r="W71" s="1"/>
      <c r="X71" s="1"/>
      <c r="Y71" s="1"/>
      <c r="Z71" s="1"/>
    </row>
    <row r="72" spans="1:26" ht="39.75" customHeight="1">
      <c r="A72" s="171"/>
      <c r="B72" s="171"/>
      <c r="C72" s="171"/>
      <c r="D72" s="5">
        <v>66</v>
      </c>
      <c r="E72" s="5" t="s">
        <v>128</v>
      </c>
      <c r="F72" s="15"/>
      <c r="G72" s="15"/>
      <c r="H72" s="15"/>
      <c r="I72" s="15"/>
      <c r="J72" s="15"/>
      <c r="K72" s="17"/>
      <c r="L72" s="15"/>
      <c r="M72" s="15"/>
      <c r="N72" s="17">
        <v>0.2</v>
      </c>
      <c r="O72" s="15"/>
      <c r="P72" s="16"/>
      <c r="Q72" s="17">
        <v>0.05</v>
      </c>
      <c r="R72" s="34">
        <v>0.15</v>
      </c>
      <c r="S72" s="15"/>
      <c r="T72" s="6">
        <f t="shared" si="4"/>
        <v>0.4</v>
      </c>
      <c r="U72" s="45" t="s">
        <v>129</v>
      </c>
      <c r="V72" s="1"/>
      <c r="W72" s="1"/>
      <c r="X72" s="1"/>
      <c r="Y72" s="1"/>
      <c r="Z72" s="1"/>
    </row>
    <row r="73" spans="1:26" ht="39.75" customHeight="1">
      <c r="A73" s="171"/>
      <c r="B73" s="171"/>
      <c r="C73" s="171"/>
      <c r="D73" s="5">
        <v>67</v>
      </c>
      <c r="E73" s="5" t="s">
        <v>131</v>
      </c>
      <c r="F73" s="15"/>
      <c r="G73" s="15"/>
      <c r="H73" s="15"/>
      <c r="I73" s="15">
        <v>1.03</v>
      </c>
      <c r="J73" s="15"/>
      <c r="K73" s="17"/>
      <c r="L73" s="15"/>
      <c r="M73" s="15"/>
      <c r="N73" s="17">
        <v>0.4</v>
      </c>
      <c r="O73" s="15">
        <v>0.875</v>
      </c>
      <c r="P73" s="16">
        <v>2</v>
      </c>
      <c r="Q73" s="17">
        <v>0.64500000000000002</v>
      </c>
      <c r="R73" s="16">
        <v>3.5</v>
      </c>
      <c r="S73" s="16"/>
      <c r="T73" s="6">
        <f t="shared" si="4"/>
        <v>8.4499999999999993</v>
      </c>
      <c r="U73" s="45" t="s">
        <v>367</v>
      </c>
      <c r="V73" s="1"/>
      <c r="W73" s="1"/>
      <c r="X73" s="1"/>
      <c r="Y73" s="1"/>
      <c r="Z73" s="1"/>
    </row>
    <row r="74" spans="1:26" ht="39.75" customHeight="1">
      <c r="A74" s="171"/>
      <c r="B74" s="169"/>
      <c r="C74" s="169"/>
      <c r="D74" s="5">
        <v>68</v>
      </c>
      <c r="E74" s="5" t="s">
        <v>133</v>
      </c>
      <c r="F74" s="16"/>
      <c r="G74" s="15"/>
      <c r="H74" s="15"/>
      <c r="I74" s="17"/>
      <c r="J74" s="15"/>
      <c r="K74" s="17"/>
      <c r="L74" s="15"/>
      <c r="M74" s="15"/>
      <c r="N74" s="17">
        <v>1.1000000000000001</v>
      </c>
      <c r="O74" s="16"/>
      <c r="P74" s="16">
        <v>0.36499999999999999</v>
      </c>
      <c r="Q74" s="17">
        <v>2.25</v>
      </c>
      <c r="R74" s="16">
        <v>10</v>
      </c>
      <c r="S74" s="16">
        <v>0.55000000000000004</v>
      </c>
      <c r="T74" s="6">
        <f t="shared" si="4"/>
        <v>14.265000000000001</v>
      </c>
      <c r="U74" s="45" t="s">
        <v>384</v>
      </c>
      <c r="V74" s="1"/>
      <c r="W74" s="1"/>
      <c r="X74" s="1"/>
      <c r="Y74" s="1"/>
      <c r="Z74" s="1"/>
    </row>
    <row r="75" spans="1:26" ht="39.75" customHeight="1">
      <c r="A75" s="171"/>
      <c r="B75" s="168" t="s">
        <v>136</v>
      </c>
      <c r="C75" s="168" t="s">
        <v>137</v>
      </c>
      <c r="D75" s="5">
        <v>69</v>
      </c>
      <c r="E75" s="5" t="s">
        <v>138</v>
      </c>
      <c r="F75" s="20"/>
      <c r="G75" s="20"/>
      <c r="H75" s="20"/>
      <c r="I75" s="20"/>
      <c r="J75" s="20"/>
      <c r="K75" s="20"/>
      <c r="L75" s="20"/>
      <c r="M75" s="20">
        <v>0.68</v>
      </c>
      <c r="N75" s="20"/>
      <c r="O75" s="20">
        <v>92.965000000000003</v>
      </c>
      <c r="P75" s="20">
        <v>0.15</v>
      </c>
      <c r="Q75" s="20"/>
      <c r="R75" s="20"/>
      <c r="S75" s="20"/>
      <c r="T75" s="6">
        <f t="shared" si="4"/>
        <v>93.795000000000016</v>
      </c>
      <c r="U75" s="10" t="s">
        <v>385</v>
      </c>
      <c r="V75" s="18"/>
      <c r="W75" s="1"/>
      <c r="X75" s="1"/>
      <c r="Y75" s="1"/>
      <c r="Z75" s="1"/>
    </row>
    <row r="76" spans="1:26" ht="39.75" customHeight="1">
      <c r="A76" s="171"/>
      <c r="B76" s="171"/>
      <c r="C76" s="171"/>
      <c r="D76" s="5">
        <v>70</v>
      </c>
      <c r="E76" s="5" t="s">
        <v>140</v>
      </c>
      <c r="F76" s="20"/>
      <c r="G76" s="20"/>
      <c r="H76" s="20"/>
      <c r="I76" s="22">
        <v>0.20799999999999999</v>
      </c>
      <c r="J76" s="20"/>
      <c r="K76" s="20"/>
      <c r="L76" s="20"/>
      <c r="M76" s="20"/>
      <c r="N76" s="20"/>
      <c r="O76" s="20"/>
      <c r="P76" s="20">
        <v>0.3</v>
      </c>
      <c r="Q76" s="20"/>
      <c r="R76" s="20"/>
      <c r="S76" s="20"/>
      <c r="T76" s="6">
        <f t="shared" si="4"/>
        <v>0.50800000000000001</v>
      </c>
      <c r="U76" s="10" t="s">
        <v>386</v>
      </c>
      <c r="V76" s="18"/>
      <c r="W76" s="1"/>
      <c r="X76" s="1"/>
      <c r="Y76" s="1"/>
      <c r="Z76" s="1"/>
    </row>
    <row r="77" spans="1:26" ht="39.75" customHeight="1">
      <c r="A77" s="171"/>
      <c r="B77" s="171"/>
      <c r="C77" s="171"/>
      <c r="D77" s="5">
        <v>71</v>
      </c>
      <c r="E77" s="5" t="s">
        <v>142</v>
      </c>
      <c r="F77" s="20"/>
      <c r="G77" s="20"/>
      <c r="H77" s="20"/>
      <c r="I77" s="20"/>
      <c r="J77" s="20"/>
      <c r="K77" s="20"/>
      <c r="L77" s="20"/>
      <c r="M77" s="20"/>
      <c r="N77" s="20"/>
      <c r="O77" s="20"/>
      <c r="P77" s="20"/>
      <c r="Q77" s="20"/>
      <c r="R77" s="20"/>
      <c r="S77" s="20"/>
      <c r="T77" s="6">
        <f t="shared" si="4"/>
        <v>0</v>
      </c>
      <c r="U77" s="10"/>
      <c r="V77" s="18"/>
      <c r="W77" s="1"/>
      <c r="X77" s="1"/>
      <c r="Y77" s="1"/>
      <c r="Z77" s="1"/>
    </row>
    <row r="78" spans="1:26" ht="39.75" customHeight="1">
      <c r="A78" s="171"/>
      <c r="B78" s="169"/>
      <c r="C78" s="169"/>
      <c r="D78" s="5">
        <v>72</v>
      </c>
      <c r="E78" s="5" t="s">
        <v>143</v>
      </c>
      <c r="F78" s="20"/>
      <c r="G78" s="20"/>
      <c r="H78" s="20"/>
      <c r="I78" s="20"/>
      <c r="J78" s="20"/>
      <c r="K78" s="20"/>
      <c r="L78" s="20"/>
      <c r="M78" s="20"/>
      <c r="N78" s="20">
        <v>5.4630000000000001</v>
      </c>
      <c r="O78" s="20"/>
      <c r="P78" s="20"/>
      <c r="Q78" s="20">
        <v>3.5190000000000001</v>
      </c>
      <c r="R78" s="22">
        <v>2.8959999999999999</v>
      </c>
      <c r="S78" s="20"/>
      <c r="T78" s="6">
        <f t="shared" si="4"/>
        <v>11.878</v>
      </c>
      <c r="U78" s="10" t="s">
        <v>387</v>
      </c>
      <c r="V78" s="18"/>
      <c r="W78" s="1"/>
      <c r="X78" s="1"/>
      <c r="Y78" s="1"/>
      <c r="Z78" s="1"/>
    </row>
    <row r="79" spans="1:26" ht="39.75" customHeight="1">
      <c r="A79" s="171"/>
      <c r="B79" s="168" t="s">
        <v>145</v>
      </c>
      <c r="C79" s="168" t="s">
        <v>146</v>
      </c>
      <c r="D79" s="5">
        <v>73</v>
      </c>
      <c r="E79" s="5" t="s">
        <v>147</v>
      </c>
      <c r="F79" s="128">
        <v>5.4</v>
      </c>
      <c r="G79" s="128"/>
      <c r="H79" s="128">
        <v>2.5</v>
      </c>
      <c r="I79" s="128">
        <f>2.5+2.4+2+1.5</f>
        <v>8.4</v>
      </c>
      <c r="J79" s="112"/>
      <c r="K79" s="128">
        <f>2.6</f>
        <v>2.6</v>
      </c>
      <c r="L79" s="112"/>
      <c r="M79" s="128">
        <f>4.6+4.8</f>
        <v>9.3999999999999986</v>
      </c>
      <c r="N79" s="128">
        <f>4.2+1.5+0.5</f>
        <v>6.2</v>
      </c>
      <c r="O79" s="128"/>
      <c r="P79" s="128">
        <f>1.1+0.2+1.4</f>
        <v>2.7</v>
      </c>
      <c r="Q79" s="112"/>
      <c r="R79" s="128">
        <f>3.9+2.1+1.9+2.4+3.1+1.1</f>
        <v>14.5</v>
      </c>
      <c r="S79" s="128">
        <f>0.5</f>
        <v>0.5</v>
      </c>
      <c r="T79" s="129">
        <f>SUM(F79:S79)</f>
        <v>52.2</v>
      </c>
      <c r="U79" s="130" t="s">
        <v>750</v>
      </c>
      <c r="V79" s="1"/>
      <c r="W79" s="1"/>
      <c r="X79" s="1"/>
      <c r="Y79" s="1"/>
      <c r="Z79" s="1"/>
    </row>
    <row r="80" spans="1:26" ht="39.75" customHeight="1">
      <c r="A80" s="171"/>
      <c r="B80" s="171"/>
      <c r="C80" s="171"/>
      <c r="D80" s="5">
        <v>74</v>
      </c>
      <c r="E80" s="5" t="s">
        <v>148</v>
      </c>
      <c r="F80" s="128">
        <f>40+3.5</f>
        <v>43.5</v>
      </c>
      <c r="G80" s="128"/>
      <c r="H80" s="112"/>
      <c r="I80" s="112"/>
      <c r="J80" s="112"/>
      <c r="K80" s="112"/>
      <c r="L80" s="112"/>
      <c r="M80" s="112"/>
      <c r="N80" s="112"/>
      <c r="O80" s="112"/>
      <c r="P80" s="112"/>
      <c r="Q80" s="112"/>
      <c r="R80" s="112"/>
      <c r="S80" s="112"/>
      <c r="T80" s="129">
        <f t="shared" ref="T80:T84" si="5">SUM(F80:S80)</f>
        <v>43.5</v>
      </c>
      <c r="U80" s="130" t="s">
        <v>751</v>
      </c>
      <c r="V80" s="1"/>
      <c r="W80" s="1"/>
      <c r="X80" s="1"/>
      <c r="Y80" s="1"/>
      <c r="Z80" s="1"/>
    </row>
    <row r="81" spans="1:26" ht="39.75" customHeight="1">
      <c r="A81" s="171"/>
      <c r="B81" s="171"/>
      <c r="C81" s="171"/>
      <c r="D81" s="5">
        <v>75</v>
      </c>
      <c r="E81" s="5" t="s">
        <v>149</v>
      </c>
      <c r="F81" s="128">
        <f>2.6+1</f>
        <v>3.6</v>
      </c>
      <c r="G81" s="128"/>
      <c r="H81" s="112"/>
      <c r="I81" s="112"/>
      <c r="J81" s="112"/>
      <c r="K81" s="112"/>
      <c r="L81" s="112"/>
      <c r="M81" s="112"/>
      <c r="N81" s="112"/>
      <c r="O81" s="112"/>
      <c r="P81" s="128">
        <f>4</f>
        <v>4</v>
      </c>
      <c r="Q81" s="112"/>
      <c r="R81" s="112"/>
      <c r="S81" s="112"/>
      <c r="T81" s="129">
        <f t="shared" si="5"/>
        <v>7.6</v>
      </c>
      <c r="U81" s="130" t="s">
        <v>752</v>
      </c>
      <c r="V81" s="1"/>
      <c r="W81" s="1"/>
      <c r="X81" s="1"/>
      <c r="Y81" s="1"/>
      <c r="Z81" s="1"/>
    </row>
    <row r="82" spans="1:26" ht="39.75" customHeight="1">
      <c r="A82" s="171"/>
      <c r="B82" s="171"/>
      <c r="C82" s="171"/>
      <c r="D82" s="5">
        <v>76</v>
      </c>
      <c r="E82" s="5" t="s">
        <v>150</v>
      </c>
      <c r="F82" s="112"/>
      <c r="G82" s="112"/>
      <c r="H82" s="112"/>
      <c r="I82" s="112"/>
      <c r="J82" s="112"/>
      <c r="K82" s="128"/>
      <c r="L82" s="112"/>
      <c r="M82" s="128">
        <f>1.9</f>
        <v>1.9</v>
      </c>
      <c r="N82" s="112"/>
      <c r="O82" s="112"/>
      <c r="P82" s="112"/>
      <c r="Q82" s="112"/>
      <c r="R82" s="112"/>
      <c r="S82" s="112"/>
      <c r="T82" s="129">
        <f t="shared" si="5"/>
        <v>1.9</v>
      </c>
      <c r="U82" s="131" t="s">
        <v>753</v>
      </c>
      <c r="V82" s="1"/>
      <c r="W82" s="1"/>
      <c r="X82" s="1"/>
      <c r="Y82" s="1"/>
      <c r="Z82" s="1"/>
    </row>
    <row r="83" spans="1:26" ht="39.75" customHeight="1">
      <c r="A83" s="171"/>
      <c r="B83" s="171"/>
      <c r="C83" s="171"/>
      <c r="D83" s="5">
        <v>77</v>
      </c>
      <c r="E83" s="5" t="s">
        <v>151</v>
      </c>
      <c r="F83" s="128">
        <f>1.6</f>
        <v>1.6</v>
      </c>
      <c r="G83" s="128"/>
      <c r="H83" s="128">
        <v>1.5</v>
      </c>
      <c r="I83" s="128">
        <f>1+1</f>
        <v>2</v>
      </c>
      <c r="J83" s="112"/>
      <c r="K83" s="128">
        <f>1.2</f>
        <v>1.2</v>
      </c>
      <c r="L83" s="112"/>
      <c r="M83" s="128"/>
      <c r="N83" s="128">
        <f>0.4</f>
        <v>0.4</v>
      </c>
      <c r="O83" s="112"/>
      <c r="P83" s="112"/>
      <c r="Q83" s="112"/>
      <c r="R83" s="112"/>
      <c r="S83" s="128">
        <f>0.5</f>
        <v>0.5</v>
      </c>
      <c r="T83" s="129">
        <f t="shared" si="5"/>
        <v>7.2</v>
      </c>
      <c r="U83" s="130" t="s">
        <v>754</v>
      </c>
      <c r="V83" s="1"/>
      <c r="W83" s="1"/>
      <c r="X83" s="1"/>
      <c r="Y83" s="1"/>
      <c r="Z83" s="1"/>
    </row>
    <row r="84" spans="1:26" ht="39.75" customHeight="1">
      <c r="A84" s="171"/>
      <c r="B84" s="171"/>
      <c r="C84" s="171"/>
      <c r="D84" s="5">
        <v>78</v>
      </c>
      <c r="E84" s="5" t="s">
        <v>152</v>
      </c>
      <c r="F84" s="112"/>
      <c r="G84" s="112"/>
      <c r="H84" s="112"/>
      <c r="I84" s="112"/>
      <c r="J84" s="112"/>
      <c r="K84" s="112"/>
      <c r="L84" s="112"/>
      <c r="M84" s="112"/>
      <c r="N84" s="112"/>
      <c r="O84" s="112"/>
      <c r="P84" s="112"/>
      <c r="Q84" s="128">
        <f>9.02+1</f>
        <v>10.02</v>
      </c>
      <c r="R84" s="112"/>
      <c r="S84" s="112"/>
      <c r="T84" s="129">
        <f t="shared" si="5"/>
        <v>10.02</v>
      </c>
      <c r="U84" s="130" t="s">
        <v>755</v>
      </c>
      <c r="V84" s="1"/>
      <c r="W84" s="1"/>
      <c r="X84" s="1"/>
      <c r="Y84" s="1"/>
      <c r="Z84" s="1"/>
    </row>
    <row r="85" spans="1:26" ht="39.75" customHeight="1">
      <c r="A85" s="171"/>
      <c r="B85" s="169"/>
      <c r="C85" s="169"/>
      <c r="D85" s="5">
        <v>79</v>
      </c>
      <c r="E85" s="5" t="s">
        <v>54</v>
      </c>
      <c r="F85" s="112"/>
      <c r="G85" s="112"/>
      <c r="H85" s="112"/>
      <c r="I85" s="112"/>
      <c r="J85" s="112"/>
      <c r="K85" s="112"/>
      <c r="L85" s="112"/>
      <c r="M85" s="112"/>
      <c r="N85" s="112"/>
      <c r="O85" s="112"/>
      <c r="P85" s="112"/>
      <c r="Q85" s="112"/>
      <c r="R85" s="112"/>
      <c r="S85" s="112"/>
      <c r="T85" s="129"/>
      <c r="U85" s="112"/>
      <c r="V85" s="1"/>
      <c r="W85" s="1"/>
      <c r="X85" s="1"/>
      <c r="Y85" s="1"/>
      <c r="Z85" s="1"/>
    </row>
    <row r="86" spans="1:26" ht="39.75" customHeight="1">
      <c r="A86" s="171"/>
      <c r="B86" s="168" t="s">
        <v>153</v>
      </c>
      <c r="C86" s="168" t="s">
        <v>154</v>
      </c>
      <c r="D86" s="5">
        <v>80</v>
      </c>
      <c r="E86" s="5" t="s">
        <v>155</v>
      </c>
      <c r="F86" s="5"/>
      <c r="G86" s="5"/>
      <c r="H86" s="5"/>
      <c r="I86" s="5"/>
      <c r="J86" s="5"/>
      <c r="K86" s="25"/>
      <c r="L86" s="5"/>
      <c r="M86" s="6"/>
      <c r="N86" s="5"/>
      <c r="O86" s="5"/>
      <c r="P86" s="8">
        <v>2.4</v>
      </c>
      <c r="Q86" s="6">
        <v>1</v>
      </c>
      <c r="R86" s="8"/>
      <c r="S86" s="5"/>
      <c r="T86" s="6">
        <f t="shared" si="4"/>
        <v>3.4</v>
      </c>
      <c r="U86" s="45" t="s">
        <v>388</v>
      </c>
      <c r="V86" s="1"/>
      <c r="W86" s="1"/>
      <c r="X86" s="1"/>
      <c r="Y86" s="1"/>
      <c r="Z86" s="1"/>
    </row>
    <row r="87" spans="1:26" ht="39.75" customHeight="1">
      <c r="A87" s="171"/>
      <c r="B87" s="171"/>
      <c r="C87" s="171"/>
      <c r="D87" s="5">
        <v>81</v>
      </c>
      <c r="E87" s="5" t="s">
        <v>156</v>
      </c>
      <c r="F87" s="5"/>
      <c r="G87" s="5"/>
      <c r="H87" s="5"/>
      <c r="I87" s="5"/>
      <c r="J87" s="5"/>
      <c r="K87" s="5"/>
      <c r="L87" s="5"/>
      <c r="M87" s="6"/>
      <c r="N87" s="6"/>
      <c r="O87" s="5"/>
      <c r="P87" s="8"/>
      <c r="Q87" s="8"/>
      <c r="R87" s="5"/>
      <c r="S87" s="5"/>
      <c r="T87" s="6">
        <f t="shared" si="4"/>
        <v>0</v>
      </c>
      <c r="U87" s="36"/>
      <c r="V87" s="1"/>
      <c r="W87" s="1"/>
      <c r="X87" s="1"/>
      <c r="Y87" s="1"/>
      <c r="Z87" s="1"/>
    </row>
    <row r="88" spans="1:26" ht="39.75" customHeight="1">
      <c r="A88" s="171"/>
      <c r="B88" s="171"/>
      <c r="C88" s="171"/>
      <c r="D88" s="5">
        <v>82</v>
      </c>
      <c r="E88" s="5" t="s">
        <v>157</v>
      </c>
      <c r="F88" s="5"/>
      <c r="G88" s="5"/>
      <c r="H88" s="5"/>
      <c r="I88" s="5"/>
      <c r="J88" s="5"/>
      <c r="K88" s="5"/>
      <c r="L88" s="5"/>
      <c r="M88" s="5"/>
      <c r="N88" s="5"/>
      <c r="O88" s="5"/>
      <c r="P88" s="8"/>
      <c r="Q88" s="5"/>
      <c r="R88" s="5"/>
      <c r="S88" s="5"/>
      <c r="T88" s="6">
        <f t="shared" si="4"/>
        <v>0</v>
      </c>
      <c r="U88" s="36"/>
      <c r="V88" s="1"/>
      <c r="W88" s="1"/>
      <c r="X88" s="1"/>
      <c r="Y88" s="1"/>
      <c r="Z88" s="1"/>
    </row>
    <row r="89" spans="1:26" ht="39.75" customHeight="1">
      <c r="A89" s="171"/>
      <c r="B89" s="169"/>
      <c r="C89" s="169"/>
      <c r="D89" s="5">
        <v>83</v>
      </c>
      <c r="E89" s="5" t="s">
        <v>158</v>
      </c>
      <c r="F89" s="5"/>
      <c r="G89" s="5"/>
      <c r="H89" s="5"/>
      <c r="I89" s="5"/>
      <c r="J89" s="5"/>
      <c r="K89" s="6">
        <v>2</v>
      </c>
      <c r="L89" s="5"/>
      <c r="M89" s="8"/>
      <c r="N89" s="6"/>
      <c r="O89" s="5"/>
      <c r="P89" s="8">
        <v>1.04</v>
      </c>
      <c r="Q89" s="6"/>
      <c r="R89" s="8"/>
      <c r="S89" s="5"/>
      <c r="T89" s="6">
        <f t="shared" si="4"/>
        <v>3.04</v>
      </c>
      <c r="U89" s="36" t="s">
        <v>389</v>
      </c>
      <c r="V89" s="1"/>
      <c r="W89" s="1"/>
      <c r="X89" s="1"/>
      <c r="Y89" s="1"/>
      <c r="Z89" s="1"/>
    </row>
    <row r="90" spans="1:26" ht="39.75" customHeight="1">
      <c r="A90" s="171"/>
      <c r="B90" s="5" t="s">
        <v>159</v>
      </c>
      <c r="C90" s="5" t="s">
        <v>160</v>
      </c>
      <c r="D90" s="5">
        <v>84</v>
      </c>
      <c r="E90" s="5" t="s">
        <v>161</v>
      </c>
      <c r="F90" s="5"/>
      <c r="G90" s="5"/>
      <c r="H90" s="5"/>
      <c r="I90" s="6"/>
      <c r="J90" s="5"/>
      <c r="K90" s="6"/>
      <c r="L90" s="5"/>
      <c r="M90" s="5"/>
      <c r="N90" s="6">
        <v>0.78</v>
      </c>
      <c r="O90" s="5"/>
      <c r="P90" s="5"/>
      <c r="Q90" s="6">
        <v>2.5</v>
      </c>
      <c r="R90" s="8">
        <v>0.2</v>
      </c>
      <c r="S90" s="5"/>
      <c r="T90" s="6">
        <f t="shared" si="4"/>
        <v>3.4800000000000004</v>
      </c>
      <c r="U90" s="9" t="s">
        <v>581</v>
      </c>
      <c r="V90" s="1"/>
      <c r="W90" s="1"/>
      <c r="X90" s="1"/>
      <c r="Y90" s="1"/>
      <c r="Z90" s="1"/>
    </row>
    <row r="91" spans="1:26" ht="39.75" customHeight="1">
      <c r="A91" s="171"/>
      <c r="B91" s="5" t="s">
        <v>162</v>
      </c>
      <c r="C91" s="5" t="s">
        <v>163</v>
      </c>
      <c r="D91" s="5">
        <v>85</v>
      </c>
      <c r="E91" s="5" t="s">
        <v>164</v>
      </c>
      <c r="F91" s="5"/>
      <c r="G91" s="5"/>
      <c r="H91" s="5"/>
      <c r="I91" s="5"/>
      <c r="J91" s="5"/>
      <c r="K91" s="6"/>
      <c r="L91" s="5"/>
      <c r="M91" s="5"/>
      <c r="N91" s="6">
        <v>0.25</v>
      </c>
      <c r="O91" s="5"/>
      <c r="P91" s="5"/>
      <c r="Q91" s="6">
        <v>1</v>
      </c>
      <c r="R91" s="8"/>
      <c r="S91" s="5"/>
      <c r="T91" s="6">
        <f t="shared" si="4"/>
        <v>1.25</v>
      </c>
      <c r="U91" s="9" t="s">
        <v>165</v>
      </c>
      <c r="V91" s="1"/>
      <c r="W91" s="1"/>
      <c r="X91" s="1"/>
      <c r="Y91" s="1"/>
      <c r="Z91" s="1"/>
    </row>
    <row r="92" spans="1:26" ht="39.75" customHeight="1">
      <c r="A92" s="171"/>
      <c r="B92" s="5" t="s">
        <v>166</v>
      </c>
      <c r="C92" s="5" t="s">
        <v>54</v>
      </c>
      <c r="D92" s="5">
        <v>86</v>
      </c>
      <c r="E92" s="5" t="s">
        <v>167</v>
      </c>
      <c r="F92" s="5"/>
      <c r="G92" s="5"/>
      <c r="H92" s="5"/>
      <c r="I92" s="5"/>
      <c r="J92" s="5"/>
      <c r="K92" s="5"/>
      <c r="L92" s="5"/>
      <c r="M92" s="5"/>
      <c r="N92" s="5"/>
      <c r="O92" s="5"/>
      <c r="P92" s="5"/>
      <c r="Q92" s="5"/>
      <c r="R92" s="5"/>
      <c r="S92" s="5"/>
      <c r="T92" s="6">
        <f t="shared" si="4"/>
        <v>0</v>
      </c>
      <c r="U92" s="9"/>
      <c r="V92" s="1"/>
      <c r="W92" s="1"/>
      <c r="X92" s="1"/>
      <c r="Y92" s="1"/>
      <c r="Z92" s="1"/>
    </row>
    <row r="93" spans="1:26" ht="39.75" customHeight="1">
      <c r="A93" s="169"/>
      <c r="B93" s="176" t="s">
        <v>168</v>
      </c>
      <c r="C93" s="177"/>
      <c r="D93" s="178"/>
      <c r="E93" s="51"/>
      <c r="F93" s="51">
        <f t="shared" ref="F93:S93" si="6">SUM(F69:F92)</f>
        <v>54.1</v>
      </c>
      <c r="G93" s="51">
        <f t="shared" si="6"/>
        <v>0</v>
      </c>
      <c r="H93" s="51">
        <f t="shared" si="6"/>
        <v>4</v>
      </c>
      <c r="I93" s="51">
        <f t="shared" si="6"/>
        <v>11.638</v>
      </c>
      <c r="J93" s="51">
        <f t="shared" si="6"/>
        <v>0</v>
      </c>
      <c r="K93" s="51">
        <f t="shared" si="6"/>
        <v>5.8</v>
      </c>
      <c r="L93" s="51">
        <f t="shared" si="6"/>
        <v>0</v>
      </c>
      <c r="M93" s="56">
        <f t="shared" si="6"/>
        <v>11.979999999999999</v>
      </c>
      <c r="N93" s="52">
        <f t="shared" si="6"/>
        <v>20.343</v>
      </c>
      <c r="O93" s="51">
        <f t="shared" si="6"/>
        <v>94.29</v>
      </c>
      <c r="P93" s="52">
        <f t="shared" si="6"/>
        <v>32.625</v>
      </c>
      <c r="Q93" s="51">
        <f t="shared" si="6"/>
        <v>21.384</v>
      </c>
      <c r="R93" s="56">
        <f t="shared" si="6"/>
        <v>37.746000000000002</v>
      </c>
      <c r="S93" s="56">
        <f t="shared" si="6"/>
        <v>3.55</v>
      </c>
      <c r="T93" s="52">
        <f t="shared" si="4"/>
        <v>297.45600000000002</v>
      </c>
      <c r="U93" s="9"/>
      <c r="V93" s="1"/>
      <c r="W93" s="1"/>
      <c r="X93" s="1"/>
      <c r="Y93" s="1"/>
      <c r="Z93" s="1"/>
    </row>
    <row r="94" spans="1:26" ht="39.75" customHeight="1">
      <c r="A94" s="175" t="s">
        <v>169</v>
      </c>
      <c r="B94" s="168" t="s">
        <v>170</v>
      </c>
      <c r="C94" s="168" t="s">
        <v>171</v>
      </c>
      <c r="D94" s="5">
        <v>87</v>
      </c>
      <c r="E94" s="5" t="s">
        <v>172</v>
      </c>
      <c r="F94" s="114"/>
      <c r="G94" s="114"/>
      <c r="H94" s="114"/>
      <c r="I94" s="114"/>
      <c r="J94" s="114"/>
      <c r="K94" s="115">
        <v>7</v>
      </c>
      <c r="L94" s="114"/>
      <c r="M94" s="114"/>
      <c r="N94" s="114"/>
      <c r="O94" s="114"/>
      <c r="P94" s="114"/>
      <c r="Q94" s="114"/>
      <c r="R94" s="114"/>
      <c r="S94" s="116"/>
      <c r="T94" s="117">
        <f>SUM(F94:S94)</f>
        <v>7</v>
      </c>
      <c r="U94" s="88" t="s">
        <v>703</v>
      </c>
      <c r="V94" s="1"/>
      <c r="W94" s="1"/>
      <c r="X94" s="1"/>
      <c r="Y94" s="1"/>
      <c r="Z94" s="1"/>
    </row>
    <row r="95" spans="1:26" ht="39.75" customHeight="1">
      <c r="A95" s="171"/>
      <c r="B95" s="171"/>
      <c r="C95" s="171"/>
      <c r="D95" s="5">
        <v>88</v>
      </c>
      <c r="E95" s="5" t="s">
        <v>173</v>
      </c>
      <c r="F95" s="114"/>
      <c r="G95" s="114"/>
      <c r="H95" s="114"/>
      <c r="I95" s="114"/>
      <c r="J95" s="114"/>
      <c r="K95" s="114"/>
      <c r="L95" s="114"/>
      <c r="M95" s="114"/>
      <c r="N95" s="114"/>
      <c r="O95" s="114"/>
      <c r="P95" s="118">
        <v>4</v>
      </c>
      <c r="Q95" s="114"/>
      <c r="R95" s="114"/>
      <c r="S95" s="116"/>
      <c r="T95" s="117">
        <f t="shared" ref="T95:T103" si="7">SUM(F95:S95)</f>
        <v>4</v>
      </c>
      <c r="U95" s="88" t="s">
        <v>704</v>
      </c>
      <c r="V95" s="1"/>
      <c r="W95" s="1"/>
      <c r="X95" s="1"/>
      <c r="Y95" s="1"/>
      <c r="Z95" s="1"/>
    </row>
    <row r="96" spans="1:26" ht="39.75" customHeight="1">
      <c r="A96" s="171"/>
      <c r="B96" s="171"/>
      <c r="C96" s="171"/>
      <c r="D96" s="5">
        <v>89</v>
      </c>
      <c r="E96" s="5" t="s">
        <v>174</v>
      </c>
      <c r="F96" s="114"/>
      <c r="G96" s="114"/>
      <c r="H96" s="114"/>
      <c r="I96" s="114"/>
      <c r="J96" s="114"/>
      <c r="K96" s="114"/>
      <c r="L96" s="114"/>
      <c r="M96" s="114"/>
      <c r="N96" s="114"/>
      <c r="O96" s="114"/>
      <c r="P96" s="114"/>
      <c r="Q96" s="114"/>
      <c r="R96" s="114"/>
      <c r="S96" s="116"/>
      <c r="T96" s="117">
        <f t="shared" si="7"/>
        <v>0</v>
      </c>
      <c r="U96" s="88"/>
      <c r="V96" s="1"/>
      <c r="W96" s="1"/>
      <c r="X96" s="1"/>
      <c r="Y96" s="1"/>
      <c r="Z96" s="1"/>
    </row>
    <row r="97" spans="1:26" ht="39.75" customHeight="1">
      <c r="A97" s="171"/>
      <c r="B97" s="171"/>
      <c r="C97" s="171"/>
      <c r="D97" s="5">
        <v>90</v>
      </c>
      <c r="E97" s="5" t="s">
        <v>175</v>
      </c>
      <c r="F97" s="114"/>
      <c r="G97" s="114"/>
      <c r="H97" s="114"/>
      <c r="I97" s="114"/>
      <c r="J97" s="114"/>
      <c r="K97" s="114"/>
      <c r="L97" s="114"/>
      <c r="M97" s="114"/>
      <c r="N97" s="114"/>
      <c r="O97" s="114"/>
      <c r="P97" s="118"/>
      <c r="Q97" s="114"/>
      <c r="R97" s="114"/>
      <c r="S97" s="116"/>
      <c r="T97" s="117">
        <f t="shared" si="7"/>
        <v>0</v>
      </c>
      <c r="U97" s="88"/>
      <c r="V97" s="1"/>
      <c r="W97" s="1"/>
      <c r="X97" s="1"/>
      <c r="Y97" s="1"/>
      <c r="Z97" s="1"/>
    </row>
    <row r="98" spans="1:26" ht="39.75" customHeight="1">
      <c r="A98" s="171"/>
      <c r="B98" s="171"/>
      <c r="C98" s="171"/>
      <c r="D98" s="5">
        <v>91</v>
      </c>
      <c r="E98" s="5" t="s">
        <v>176</v>
      </c>
      <c r="F98" s="114"/>
      <c r="G98" s="114"/>
      <c r="H98" s="114"/>
      <c r="I98" s="114"/>
      <c r="J98" s="114"/>
      <c r="K98" s="115">
        <v>0</v>
      </c>
      <c r="L98" s="114"/>
      <c r="M98" s="114"/>
      <c r="N98" s="114"/>
      <c r="O98" s="114"/>
      <c r="P98" s="118">
        <v>2</v>
      </c>
      <c r="Q98" s="114"/>
      <c r="R98" s="114"/>
      <c r="S98" s="116"/>
      <c r="T98" s="117">
        <f t="shared" si="7"/>
        <v>2</v>
      </c>
      <c r="U98" s="119" t="s">
        <v>177</v>
      </c>
      <c r="V98" s="1"/>
      <c r="W98" s="1"/>
      <c r="X98" s="1"/>
      <c r="Y98" s="1"/>
      <c r="Z98" s="1"/>
    </row>
    <row r="99" spans="1:26" ht="39.75" customHeight="1">
      <c r="A99" s="171"/>
      <c r="B99" s="171"/>
      <c r="C99" s="171"/>
      <c r="D99" s="5">
        <v>92</v>
      </c>
      <c r="E99" s="5" t="s">
        <v>178</v>
      </c>
      <c r="F99" s="114"/>
      <c r="G99" s="114"/>
      <c r="H99" s="114"/>
      <c r="I99" s="114"/>
      <c r="J99" s="114"/>
      <c r="K99" s="114"/>
      <c r="L99" s="114"/>
      <c r="M99" s="114"/>
      <c r="N99" s="114"/>
      <c r="O99" s="114"/>
      <c r="P99" s="118"/>
      <c r="Q99" s="114"/>
      <c r="R99" s="114"/>
      <c r="S99" s="116"/>
      <c r="T99" s="117">
        <f t="shared" si="7"/>
        <v>0</v>
      </c>
      <c r="U99" s="120"/>
      <c r="V99" s="1"/>
      <c r="W99" s="1"/>
      <c r="X99" s="1"/>
      <c r="Y99" s="1"/>
      <c r="Z99" s="1"/>
    </row>
    <row r="100" spans="1:26" ht="39.75" customHeight="1">
      <c r="A100" s="171"/>
      <c r="B100" s="171"/>
      <c r="C100" s="171"/>
      <c r="D100" s="5">
        <v>93</v>
      </c>
      <c r="E100" s="5" t="s">
        <v>180</v>
      </c>
      <c r="F100" s="114"/>
      <c r="G100" s="114"/>
      <c r="H100" s="114"/>
      <c r="I100" s="118"/>
      <c r="J100" s="114"/>
      <c r="K100" s="114"/>
      <c r="L100" s="114"/>
      <c r="M100" s="114"/>
      <c r="N100" s="114"/>
      <c r="O100" s="114"/>
      <c r="P100" s="114"/>
      <c r="Q100" s="114"/>
      <c r="R100" s="114"/>
      <c r="S100" s="116"/>
      <c r="T100" s="117">
        <f t="shared" si="7"/>
        <v>0</v>
      </c>
      <c r="U100" s="119"/>
      <c r="V100" s="1"/>
      <c r="W100" s="1"/>
      <c r="X100" s="1"/>
      <c r="Y100" s="1"/>
      <c r="Z100" s="1"/>
    </row>
    <row r="101" spans="1:26" ht="39.75" customHeight="1">
      <c r="A101" s="171"/>
      <c r="B101" s="171"/>
      <c r="C101" s="171"/>
      <c r="D101" s="5">
        <v>94</v>
      </c>
      <c r="E101" s="5" t="s">
        <v>181</v>
      </c>
      <c r="F101" s="114"/>
      <c r="G101" s="114"/>
      <c r="H101" s="114"/>
      <c r="I101" s="118"/>
      <c r="J101" s="114"/>
      <c r="K101" s="114"/>
      <c r="L101" s="114"/>
      <c r="M101" s="114"/>
      <c r="N101" s="114"/>
      <c r="O101" s="114"/>
      <c r="P101" s="114"/>
      <c r="Q101" s="114"/>
      <c r="R101" s="114"/>
      <c r="S101" s="116"/>
      <c r="T101" s="117">
        <f t="shared" si="7"/>
        <v>0</v>
      </c>
      <c r="U101" s="120"/>
      <c r="V101" s="1"/>
      <c r="W101" s="1"/>
      <c r="X101" s="1"/>
      <c r="Y101" s="1"/>
      <c r="Z101" s="1"/>
    </row>
    <row r="102" spans="1:26" ht="39.75" customHeight="1">
      <c r="A102" s="171"/>
      <c r="B102" s="171"/>
      <c r="C102" s="171"/>
      <c r="D102" s="5">
        <v>95</v>
      </c>
      <c r="E102" s="5" t="s">
        <v>182</v>
      </c>
      <c r="F102" s="114"/>
      <c r="G102" s="114"/>
      <c r="H102" s="118"/>
      <c r="I102" s="115">
        <v>1</v>
      </c>
      <c r="J102" s="114"/>
      <c r="K102" s="114"/>
      <c r="L102" s="114"/>
      <c r="M102" s="114"/>
      <c r="N102" s="114"/>
      <c r="O102" s="114"/>
      <c r="P102" s="114"/>
      <c r="Q102" s="114"/>
      <c r="R102" s="114"/>
      <c r="S102" s="116"/>
      <c r="T102" s="117">
        <f t="shared" si="7"/>
        <v>1</v>
      </c>
      <c r="U102" s="88" t="s">
        <v>705</v>
      </c>
      <c r="V102" s="1"/>
      <c r="W102" s="1"/>
      <c r="X102" s="1"/>
      <c r="Y102" s="1"/>
      <c r="Z102" s="1"/>
    </row>
    <row r="103" spans="1:26" ht="39.75" customHeight="1">
      <c r="A103" s="171"/>
      <c r="B103" s="169"/>
      <c r="C103" s="169"/>
      <c r="D103" s="5">
        <v>96</v>
      </c>
      <c r="E103" s="5" t="s">
        <v>183</v>
      </c>
      <c r="F103" s="114"/>
      <c r="G103" s="114"/>
      <c r="H103" s="114"/>
      <c r="I103" s="114"/>
      <c r="J103" s="114"/>
      <c r="K103" s="114"/>
      <c r="L103" s="114"/>
      <c r="M103" s="114"/>
      <c r="N103" s="115"/>
      <c r="O103" s="114"/>
      <c r="P103" s="114"/>
      <c r="Q103" s="115">
        <v>1</v>
      </c>
      <c r="R103" s="118">
        <v>1</v>
      </c>
      <c r="S103" s="116"/>
      <c r="T103" s="117">
        <f t="shared" si="7"/>
        <v>2</v>
      </c>
      <c r="U103" s="88" t="s">
        <v>421</v>
      </c>
      <c r="V103" s="1"/>
      <c r="W103" s="1"/>
      <c r="X103" s="1"/>
      <c r="Y103" s="1"/>
      <c r="Z103" s="1"/>
    </row>
    <row r="104" spans="1:26" ht="39.75" customHeight="1">
      <c r="A104" s="171"/>
      <c r="B104" s="168" t="s">
        <v>184</v>
      </c>
      <c r="C104" s="168" t="s">
        <v>185</v>
      </c>
      <c r="D104" s="5">
        <v>97</v>
      </c>
      <c r="E104" s="5" t="s">
        <v>186</v>
      </c>
      <c r="F104" s="5"/>
      <c r="G104" s="5"/>
      <c r="H104" s="5"/>
      <c r="I104" s="6"/>
      <c r="J104" s="5"/>
      <c r="K104" s="6"/>
      <c r="L104" s="5"/>
      <c r="M104" s="6"/>
      <c r="N104" s="6">
        <v>5.5</v>
      </c>
      <c r="O104" s="5"/>
      <c r="P104" s="8">
        <v>18.5</v>
      </c>
      <c r="Q104" s="6">
        <v>4</v>
      </c>
      <c r="R104" s="8">
        <v>17.55</v>
      </c>
      <c r="S104" s="5"/>
      <c r="T104" s="6">
        <f t="shared" si="4"/>
        <v>45.55</v>
      </c>
      <c r="U104" s="10" t="s">
        <v>391</v>
      </c>
      <c r="V104" s="1"/>
      <c r="W104" s="1"/>
      <c r="X104" s="1"/>
      <c r="Y104" s="1"/>
      <c r="Z104" s="1"/>
    </row>
    <row r="105" spans="1:26" ht="39.75" customHeight="1">
      <c r="A105" s="171"/>
      <c r="B105" s="169"/>
      <c r="C105" s="169"/>
      <c r="D105" s="5">
        <v>98</v>
      </c>
      <c r="E105" s="5" t="s">
        <v>54</v>
      </c>
      <c r="F105" s="5"/>
      <c r="G105" s="5"/>
      <c r="H105" s="5"/>
      <c r="I105" s="5"/>
      <c r="J105" s="5"/>
      <c r="K105" s="5"/>
      <c r="L105" s="5"/>
      <c r="M105" s="5"/>
      <c r="N105" s="5"/>
      <c r="O105" s="5"/>
      <c r="P105" s="5"/>
      <c r="Q105" s="5"/>
      <c r="R105" s="5"/>
      <c r="S105" s="5"/>
      <c r="T105" s="6">
        <f t="shared" si="4"/>
        <v>0</v>
      </c>
      <c r="U105" s="46"/>
      <c r="V105" s="1"/>
      <c r="W105" s="1"/>
      <c r="X105" s="1"/>
      <c r="Y105" s="1"/>
      <c r="Z105" s="1"/>
    </row>
    <row r="106" spans="1:26" ht="39.75" customHeight="1">
      <c r="A106" s="171"/>
      <c r="B106" s="168" t="s">
        <v>188</v>
      </c>
      <c r="C106" s="168" t="s">
        <v>189</v>
      </c>
      <c r="D106" s="5">
        <v>99</v>
      </c>
      <c r="E106" s="5" t="s">
        <v>190</v>
      </c>
      <c r="F106" s="5"/>
      <c r="G106" s="5"/>
      <c r="H106" s="8"/>
      <c r="I106" s="6">
        <v>2</v>
      </c>
      <c r="J106" s="5"/>
      <c r="K106" s="6"/>
      <c r="L106" s="5"/>
      <c r="M106" s="5"/>
      <c r="N106" s="6">
        <v>0.8</v>
      </c>
      <c r="O106" s="5"/>
      <c r="P106" s="5"/>
      <c r="Q106" s="6">
        <v>2</v>
      </c>
      <c r="R106" s="5"/>
      <c r="S106" s="5"/>
      <c r="T106" s="6">
        <f t="shared" si="4"/>
        <v>4.8</v>
      </c>
      <c r="U106" s="46" t="s">
        <v>374</v>
      </c>
      <c r="V106" s="1"/>
      <c r="W106" s="1"/>
      <c r="X106" s="1"/>
      <c r="Y106" s="1"/>
      <c r="Z106" s="1"/>
    </row>
    <row r="107" spans="1:26" ht="39.75" customHeight="1">
      <c r="A107" s="171"/>
      <c r="B107" s="171"/>
      <c r="C107" s="171"/>
      <c r="D107" s="5">
        <v>100</v>
      </c>
      <c r="E107" s="5" t="s">
        <v>192</v>
      </c>
      <c r="F107" s="5"/>
      <c r="G107" s="5"/>
      <c r="H107" s="5"/>
      <c r="I107" s="6">
        <v>0.6</v>
      </c>
      <c r="J107" s="5"/>
      <c r="K107" s="6"/>
      <c r="L107" s="5"/>
      <c r="M107" s="5"/>
      <c r="N107" s="5"/>
      <c r="O107" s="5"/>
      <c r="P107" s="5"/>
      <c r="Q107" s="5"/>
      <c r="R107" s="5"/>
      <c r="S107" s="5"/>
      <c r="T107" s="6">
        <f t="shared" si="4"/>
        <v>0.6</v>
      </c>
      <c r="U107" s="46" t="s">
        <v>193</v>
      </c>
      <c r="V107" s="1"/>
      <c r="W107" s="1"/>
      <c r="X107" s="1"/>
      <c r="Y107" s="1"/>
      <c r="Z107" s="1"/>
    </row>
    <row r="108" spans="1:26" ht="39.75" customHeight="1">
      <c r="A108" s="171"/>
      <c r="B108" s="171"/>
      <c r="C108" s="171"/>
      <c r="D108" s="5">
        <v>101</v>
      </c>
      <c r="E108" s="5" t="s">
        <v>194</v>
      </c>
      <c r="F108" s="5"/>
      <c r="G108" s="5"/>
      <c r="H108" s="5"/>
      <c r="I108" s="5"/>
      <c r="J108" s="5"/>
      <c r="K108" s="5"/>
      <c r="L108" s="5"/>
      <c r="M108" s="5"/>
      <c r="N108" s="5"/>
      <c r="O108" s="5"/>
      <c r="P108" s="5"/>
      <c r="Q108" s="5"/>
      <c r="R108" s="5"/>
      <c r="S108" s="5"/>
      <c r="T108" s="6">
        <f t="shared" si="4"/>
        <v>0</v>
      </c>
      <c r="U108" s="9"/>
      <c r="V108" s="1"/>
      <c r="W108" s="1"/>
      <c r="X108" s="1"/>
      <c r="Y108" s="1"/>
      <c r="Z108" s="1"/>
    </row>
    <row r="109" spans="1:26" ht="39.75" customHeight="1">
      <c r="A109" s="171"/>
      <c r="B109" s="171"/>
      <c r="C109" s="171"/>
      <c r="D109" s="5">
        <v>102</v>
      </c>
      <c r="E109" s="5" t="s">
        <v>195</v>
      </c>
      <c r="F109" s="5"/>
      <c r="G109" s="5"/>
      <c r="H109" s="5"/>
      <c r="I109" s="5"/>
      <c r="J109" s="5"/>
      <c r="K109" s="5"/>
      <c r="L109" s="5"/>
      <c r="M109" s="5"/>
      <c r="N109" s="5"/>
      <c r="O109" s="5"/>
      <c r="P109" s="5"/>
      <c r="Q109" s="6"/>
      <c r="R109" s="5"/>
      <c r="S109" s="5"/>
      <c r="T109" s="6">
        <f t="shared" si="4"/>
        <v>0</v>
      </c>
      <c r="U109" s="9"/>
      <c r="V109" s="1"/>
      <c r="W109" s="1"/>
      <c r="X109" s="1"/>
      <c r="Y109" s="1"/>
      <c r="Z109" s="1"/>
    </row>
    <row r="110" spans="1:26" ht="39.75" customHeight="1">
      <c r="A110" s="171"/>
      <c r="B110" s="169"/>
      <c r="C110" s="169"/>
      <c r="D110" s="5">
        <v>103</v>
      </c>
      <c r="E110" s="5" t="s">
        <v>54</v>
      </c>
      <c r="F110" s="5"/>
      <c r="G110" s="5"/>
      <c r="H110" s="5"/>
      <c r="I110" s="5"/>
      <c r="J110" s="5"/>
      <c r="K110" s="5"/>
      <c r="L110" s="5"/>
      <c r="M110" s="5"/>
      <c r="N110" s="5"/>
      <c r="O110" s="5"/>
      <c r="P110" s="8">
        <v>4.3</v>
      </c>
      <c r="Q110" s="5"/>
      <c r="R110" s="8"/>
      <c r="S110" s="8"/>
      <c r="T110" s="6">
        <f t="shared" si="4"/>
        <v>4.3</v>
      </c>
      <c r="U110" s="10" t="s">
        <v>196</v>
      </c>
      <c r="V110" s="1"/>
      <c r="W110" s="1"/>
      <c r="X110" s="1"/>
      <c r="Y110" s="1"/>
      <c r="Z110" s="1"/>
    </row>
    <row r="111" spans="1:26" ht="39.75" customHeight="1">
      <c r="A111" s="171"/>
      <c r="B111" s="168" t="s">
        <v>197</v>
      </c>
      <c r="C111" s="168" t="s">
        <v>198</v>
      </c>
      <c r="D111" s="5">
        <v>104</v>
      </c>
      <c r="E111" s="5" t="s">
        <v>199</v>
      </c>
      <c r="F111" s="5"/>
      <c r="G111" s="5"/>
      <c r="H111" s="5"/>
      <c r="I111" s="5"/>
      <c r="J111" s="5"/>
      <c r="K111" s="5"/>
      <c r="L111" s="5"/>
      <c r="M111" s="5"/>
      <c r="N111" s="8">
        <v>2</v>
      </c>
      <c r="O111" s="5"/>
      <c r="P111" s="8">
        <v>3</v>
      </c>
      <c r="Q111" s="8">
        <v>1</v>
      </c>
      <c r="R111" s="8"/>
      <c r="S111" s="8"/>
      <c r="T111" s="6">
        <f t="shared" si="4"/>
        <v>6</v>
      </c>
      <c r="U111" s="113" t="s">
        <v>691</v>
      </c>
      <c r="V111" s="1"/>
      <c r="W111" s="1"/>
      <c r="X111" s="1"/>
      <c r="Y111" s="1"/>
      <c r="Z111" s="1"/>
    </row>
    <row r="112" spans="1:26" ht="39.75" customHeight="1">
      <c r="A112" s="171"/>
      <c r="B112" s="171"/>
      <c r="C112" s="171"/>
      <c r="D112" s="5">
        <v>105</v>
      </c>
      <c r="E112" s="5" t="s">
        <v>200</v>
      </c>
      <c r="F112" s="5"/>
      <c r="G112" s="5"/>
      <c r="H112" s="5"/>
      <c r="I112" s="5"/>
      <c r="J112" s="5"/>
      <c r="K112" s="5"/>
      <c r="L112" s="5"/>
      <c r="M112" s="5"/>
      <c r="N112" s="5"/>
      <c r="O112" s="5"/>
      <c r="P112" s="5"/>
      <c r="Q112" s="5"/>
      <c r="R112" s="5"/>
      <c r="S112" s="5"/>
      <c r="T112" s="6">
        <f t="shared" si="4"/>
        <v>0</v>
      </c>
      <c r="U112" s="9"/>
      <c r="V112" s="1"/>
      <c r="W112" s="1"/>
      <c r="X112" s="1"/>
      <c r="Y112" s="1"/>
      <c r="Z112" s="1"/>
    </row>
    <row r="113" spans="1:26" ht="39.75" customHeight="1">
      <c r="A113" s="171"/>
      <c r="B113" s="169"/>
      <c r="C113" s="169"/>
      <c r="D113" s="5">
        <v>106</v>
      </c>
      <c r="E113" s="5" t="s">
        <v>201</v>
      </c>
      <c r="F113" s="5"/>
      <c r="G113" s="5"/>
      <c r="H113" s="5"/>
      <c r="I113" s="6"/>
      <c r="J113" s="5"/>
      <c r="K113" s="6"/>
      <c r="L113" s="5"/>
      <c r="M113" s="5"/>
      <c r="N113" s="6"/>
      <c r="O113" s="5"/>
      <c r="P113" s="8"/>
      <c r="Q113" s="6">
        <v>2</v>
      </c>
      <c r="R113" s="8">
        <v>3</v>
      </c>
      <c r="S113" s="8"/>
      <c r="T113" s="6">
        <f t="shared" si="4"/>
        <v>5</v>
      </c>
      <c r="U113" s="113" t="s">
        <v>689</v>
      </c>
      <c r="V113" s="1"/>
      <c r="W113" s="1"/>
      <c r="X113" s="1"/>
      <c r="Y113" s="1"/>
      <c r="Z113" s="1"/>
    </row>
    <row r="114" spans="1:26" ht="39.75" customHeight="1">
      <c r="A114" s="171"/>
      <c r="B114" s="168" t="s">
        <v>202</v>
      </c>
      <c r="C114" s="168" t="s">
        <v>203</v>
      </c>
      <c r="D114" s="5">
        <v>107</v>
      </c>
      <c r="E114" s="5" t="s">
        <v>204</v>
      </c>
      <c r="F114" s="5"/>
      <c r="G114" s="5"/>
      <c r="H114" s="5"/>
      <c r="I114" s="6"/>
      <c r="J114" s="5"/>
      <c r="K114" s="6"/>
      <c r="L114" s="5"/>
      <c r="M114" s="5"/>
      <c r="N114" s="6"/>
      <c r="O114" s="5"/>
      <c r="P114" s="8">
        <v>3</v>
      </c>
      <c r="Q114" s="5"/>
      <c r="R114" s="8"/>
      <c r="S114" s="5"/>
      <c r="T114" s="6">
        <f t="shared" si="4"/>
        <v>3</v>
      </c>
      <c r="U114" s="46" t="s">
        <v>205</v>
      </c>
      <c r="V114" s="1"/>
      <c r="W114" s="1"/>
      <c r="X114" s="1"/>
      <c r="Y114" s="1"/>
      <c r="Z114" s="1"/>
    </row>
    <row r="115" spans="1:26" ht="39.75" customHeight="1">
      <c r="A115" s="171"/>
      <c r="B115" s="171"/>
      <c r="C115" s="171"/>
      <c r="D115" s="5">
        <v>108</v>
      </c>
      <c r="E115" s="5" t="s">
        <v>206</v>
      </c>
      <c r="F115" s="5"/>
      <c r="G115" s="5"/>
      <c r="H115" s="5"/>
      <c r="I115" s="6"/>
      <c r="J115" s="5"/>
      <c r="K115" s="6"/>
      <c r="L115" s="5"/>
      <c r="M115" s="5"/>
      <c r="N115" s="5"/>
      <c r="O115" s="5"/>
      <c r="P115" s="8">
        <v>9.6</v>
      </c>
      <c r="Q115" s="5"/>
      <c r="R115" s="5"/>
      <c r="S115" s="5"/>
      <c r="T115" s="6">
        <f t="shared" si="4"/>
        <v>9.6</v>
      </c>
      <c r="U115" s="46" t="s">
        <v>207</v>
      </c>
      <c r="V115" s="1"/>
      <c r="W115" s="1"/>
      <c r="X115" s="1"/>
      <c r="Y115" s="1"/>
      <c r="Z115" s="1"/>
    </row>
    <row r="116" spans="1:26" ht="39.75" customHeight="1">
      <c r="A116" s="171"/>
      <c r="B116" s="171"/>
      <c r="C116" s="171"/>
      <c r="D116" s="5">
        <v>109</v>
      </c>
      <c r="E116" s="5" t="s">
        <v>208</v>
      </c>
      <c r="F116" s="5"/>
      <c r="G116" s="5"/>
      <c r="H116" s="8"/>
      <c r="I116" s="6"/>
      <c r="J116" s="5"/>
      <c r="K116" s="6"/>
      <c r="L116" s="5"/>
      <c r="M116" s="5"/>
      <c r="N116" s="5"/>
      <c r="O116" s="5"/>
      <c r="P116" s="5"/>
      <c r="Q116" s="5"/>
      <c r="R116" s="5"/>
      <c r="S116" s="5"/>
      <c r="T116" s="6">
        <f t="shared" si="4"/>
        <v>0</v>
      </c>
      <c r="U116" s="9"/>
      <c r="V116" s="1"/>
      <c r="W116" s="1"/>
      <c r="X116" s="1"/>
      <c r="Y116" s="1"/>
      <c r="Z116" s="1"/>
    </row>
    <row r="117" spans="1:26" ht="74.25" customHeight="1">
      <c r="A117" s="171"/>
      <c r="B117" s="171"/>
      <c r="C117" s="171"/>
      <c r="D117" s="5">
        <v>110</v>
      </c>
      <c r="E117" s="5" t="s">
        <v>209</v>
      </c>
      <c r="F117" s="5"/>
      <c r="G117" s="5"/>
      <c r="H117" s="5"/>
      <c r="I117" s="6"/>
      <c r="J117" s="5"/>
      <c r="K117" s="6"/>
      <c r="L117" s="5"/>
      <c r="M117" s="8"/>
      <c r="N117" s="6">
        <v>3</v>
      </c>
      <c r="O117" s="8">
        <v>6.2460000000000004</v>
      </c>
      <c r="P117" s="6"/>
      <c r="Q117" s="8">
        <v>6.07</v>
      </c>
      <c r="R117" s="8">
        <v>7.3</v>
      </c>
      <c r="S117" s="5"/>
      <c r="T117" s="6">
        <f t="shared" si="4"/>
        <v>22.616</v>
      </c>
      <c r="U117" s="9" t="s">
        <v>375</v>
      </c>
      <c r="V117" s="1"/>
      <c r="W117" s="1"/>
      <c r="X117" s="1"/>
      <c r="Y117" s="1"/>
      <c r="Z117" s="1"/>
    </row>
    <row r="118" spans="1:26" ht="39.75" customHeight="1">
      <c r="A118" s="171"/>
      <c r="B118" s="169"/>
      <c r="C118" s="169"/>
      <c r="D118" s="5">
        <v>111</v>
      </c>
      <c r="E118" s="5" t="s">
        <v>54</v>
      </c>
      <c r="F118" s="5"/>
      <c r="G118" s="5"/>
      <c r="H118" s="5"/>
      <c r="I118" s="8"/>
      <c r="J118" s="5"/>
      <c r="K118" s="8"/>
      <c r="L118" s="5"/>
      <c r="M118" s="5">
        <v>6</v>
      </c>
      <c r="N118" s="5"/>
      <c r="O118" s="5"/>
      <c r="P118" s="8"/>
      <c r="Q118" s="6"/>
      <c r="R118" s="5"/>
      <c r="S118" s="8"/>
      <c r="T118" s="6">
        <f t="shared" si="4"/>
        <v>6</v>
      </c>
      <c r="U118" s="113" t="s">
        <v>683</v>
      </c>
      <c r="V118" s="1"/>
      <c r="W118" s="1"/>
      <c r="X118" s="1"/>
      <c r="Y118" s="1"/>
      <c r="Z118" s="1"/>
    </row>
    <row r="119" spans="1:26" ht="39.75" customHeight="1">
      <c r="A119" s="171"/>
      <c r="B119" s="168" t="s">
        <v>211</v>
      </c>
      <c r="C119" s="168" t="s">
        <v>212</v>
      </c>
      <c r="D119" s="5">
        <v>112</v>
      </c>
      <c r="E119" s="5" t="s">
        <v>213</v>
      </c>
      <c r="F119" s="5"/>
      <c r="G119" s="5"/>
      <c r="H119" s="5"/>
      <c r="I119" s="6">
        <v>56.84</v>
      </c>
      <c r="J119" s="5"/>
      <c r="K119" s="6"/>
      <c r="L119" s="5"/>
      <c r="M119" s="5"/>
      <c r="N119" s="5"/>
      <c r="O119" s="5"/>
      <c r="P119" s="5"/>
      <c r="Q119" s="6"/>
      <c r="R119" s="5"/>
      <c r="S119" s="5"/>
      <c r="T119" s="6">
        <f t="shared" si="4"/>
        <v>56.84</v>
      </c>
      <c r="U119" s="10" t="s">
        <v>392</v>
      </c>
      <c r="V119" s="1"/>
      <c r="W119" s="1"/>
      <c r="X119" s="1"/>
      <c r="Y119" s="1"/>
      <c r="Z119" s="1"/>
    </row>
    <row r="120" spans="1:26" ht="39.75" customHeight="1">
      <c r="A120" s="171"/>
      <c r="B120" s="169"/>
      <c r="C120" s="169"/>
      <c r="D120" s="5">
        <v>113</v>
      </c>
      <c r="E120" s="5" t="s">
        <v>214</v>
      </c>
      <c r="F120" s="5"/>
      <c r="G120" s="5"/>
      <c r="H120" s="5"/>
      <c r="I120" s="6"/>
      <c r="J120" s="5"/>
      <c r="K120" s="6"/>
      <c r="L120" s="5"/>
      <c r="M120" s="6"/>
      <c r="N120" s="6">
        <v>0.5</v>
      </c>
      <c r="O120" s="5"/>
      <c r="P120" s="5"/>
      <c r="Q120" s="6">
        <v>0.5</v>
      </c>
      <c r="R120" s="5"/>
      <c r="S120" s="5"/>
      <c r="T120" s="6">
        <f t="shared" si="4"/>
        <v>1</v>
      </c>
      <c r="U120" s="10" t="s">
        <v>215</v>
      </c>
      <c r="V120" s="1"/>
      <c r="W120" s="1"/>
      <c r="X120" s="1"/>
      <c r="Y120" s="1"/>
      <c r="Z120" s="1"/>
    </row>
    <row r="121" spans="1:26" ht="39.75" customHeight="1">
      <c r="A121" s="171"/>
      <c r="B121" s="5" t="s">
        <v>216</v>
      </c>
      <c r="C121" s="5" t="s">
        <v>217</v>
      </c>
      <c r="D121" s="5">
        <v>114</v>
      </c>
      <c r="E121" s="5" t="s">
        <v>218</v>
      </c>
      <c r="F121" s="5"/>
      <c r="G121" s="5"/>
      <c r="H121" s="8"/>
      <c r="I121" s="5"/>
      <c r="J121" s="5"/>
      <c r="K121" s="5"/>
      <c r="L121" s="5"/>
      <c r="M121" s="5"/>
      <c r="N121" s="8">
        <v>1.5</v>
      </c>
      <c r="O121" s="5"/>
      <c r="P121" s="8">
        <v>7</v>
      </c>
      <c r="Q121" s="6">
        <v>2</v>
      </c>
      <c r="R121" s="8">
        <v>1</v>
      </c>
      <c r="S121" s="8"/>
      <c r="T121" s="6">
        <f t="shared" si="4"/>
        <v>11.5</v>
      </c>
      <c r="U121" s="113" t="s">
        <v>681</v>
      </c>
      <c r="V121" s="1"/>
      <c r="W121" s="1"/>
      <c r="X121" s="1"/>
      <c r="Y121" s="1"/>
      <c r="Z121" s="1"/>
    </row>
    <row r="122" spans="1:26" ht="39.75" customHeight="1">
      <c r="A122" s="171"/>
      <c r="B122" s="168" t="s">
        <v>219</v>
      </c>
      <c r="C122" s="168" t="s">
        <v>220</v>
      </c>
      <c r="D122" s="5">
        <v>115</v>
      </c>
      <c r="E122" s="5" t="s">
        <v>221</v>
      </c>
      <c r="F122" s="5"/>
      <c r="G122" s="5"/>
      <c r="H122" s="5"/>
      <c r="I122" s="5"/>
      <c r="J122" s="5"/>
      <c r="K122" s="5"/>
      <c r="L122" s="5"/>
      <c r="M122" s="6"/>
      <c r="N122" s="5"/>
      <c r="O122" s="5"/>
      <c r="P122" s="5"/>
      <c r="Q122" s="5"/>
      <c r="R122" s="5"/>
      <c r="S122" s="5"/>
      <c r="T122" s="6">
        <f t="shared" si="4"/>
        <v>0</v>
      </c>
      <c r="U122" s="9"/>
      <c r="V122" s="1"/>
      <c r="W122" s="1"/>
      <c r="X122" s="1"/>
      <c r="Y122" s="1"/>
      <c r="Z122" s="1"/>
    </row>
    <row r="123" spans="1:26" ht="39.75" customHeight="1">
      <c r="A123" s="171"/>
      <c r="B123" s="171"/>
      <c r="C123" s="171"/>
      <c r="D123" s="5">
        <v>116</v>
      </c>
      <c r="E123" s="5" t="s">
        <v>222</v>
      </c>
      <c r="F123" s="5"/>
      <c r="G123" s="5"/>
      <c r="H123" s="5"/>
      <c r="I123" s="5"/>
      <c r="J123" s="5"/>
      <c r="K123" s="5"/>
      <c r="L123" s="5"/>
      <c r="M123" s="6">
        <v>11.03</v>
      </c>
      <c r="N123" s="5"/>
      <c r="O123" s="5"/>
      <c r="P123" s="5"/>
      <c r="Q123" s="6">
        <v>7.05</v>
      </c>
      <c r="R123" s="5"/>
      <c r="S123" s="5"/>
      <c r="T123" s="6">
        <f t="shared" si="4"/>
        <v>18.079999999999998</v>
      </c>
      <c r="U123" s="113" t="s">
        <v>679</v>
      </c>
      <c r="V123" s="1"/>
      <c r="W123" s="1"/>
      <c r="X123" s="1"/>
      <c r="Y123" s="1"/>
      <c r="Z123" s="1"/>
    </row>
    <row r="124" spans="1:26" ht="39.75" customHeight="1">
      <c r="A124" s="171"/>
      <c r="B124" s="171"/>
      <c r="C124" s="171"/>
      <c r="D124" s="5">
        <v>117</v>
      </c>
      <c r="E124" s="5" t="s">
        <v>224</v>
      </c>
      <c r="F124" s="5"/>
      <c r="G124" s="5"/>
      <c r="H124" s="5"/>
      <c r="I124" s="5"/>
      <c r="J124" s="5"/>
      <c r="K124" s="5"/>
      <c r="L124" s="5"/>
      <c r="M124" s="5"/>
      <c r="N124" s="5"/>
      <c r="O124" s="5"/>
      <c r="P124" s="5"/>
      <c r="Q124" s="5"/>
      <c r="R124" s="5"/>
      <c r="S124" s="5"/>
      <c r="T124" s="6">
        <f t="shared" si="4"/>
        <v>0</v>
      </c>
      <c r="U124" s="46"/>
      <c r="V124" s="1"/>
      <c r="W124" s="1"/>
      <c r="X124" s="1"/>
      <c r="Y124" s="1"/>
      <c r="Z124" s="1"/>
    </row>
    <row r="125" spans="1:26" ht="39.75" customHeight="1">
      <c r="A125" s="171"/>
      <c r="B125" s="169"/>
      <c r="C125" s="169"/>
      <c r="D125" s="5">
        <v>118</v>
      </c>
      <c r="E125" s="5" t="s">
        <v>54</v>
      </c>
      <c r="F125" s="5"/>
      <c r="G125" s="5"/>
      <c r="H125" s="5"/>
      <c r="I125" s="5"/>
      <c r="J125" s="5"/>
      <c r="K125" s="5"/>
      <c r="L125" s="5"/>
      <c r="M125" s="5"/>
      <c r="N125" s="5"/>
      <c r="O125" s="5"/>
      <c r="P125" s="5"/>
      <c r="Q125" s="6"/>
      <c r="R125" s="5"/>
      <c r="S125" s="5"/>
      <c r="T125" s="6">
        <f t="shared" si="4"/>
        <v>0</v>
      </c>
      <c r="U125" s="9"/>
      <c r="V125" s="1"/>
      <c r="W125" s="1"/>
      <c r="X125" s="1"/>
      <c r="Y125" s="1"/>
      <c r="Z125" s="1"/>
    </row>
    <row r="126" spans="1:26" ht="39.75" customHeight="1">
      <c r="A126" s="171"/>
      <c r="B126" s="5" t="s">
        <v>225</v>
      </c>
      <c r="C126" s="5" t="s">
        <v>226</v>
      </c>
      <c r="D126" s="5">
        <v>119</v>
      </c>
      <c r="E126" s="5" t="s">
        <v>227</v>
      </c>
      <c r="F126" s="5"/>
      <c r="G126" s="5"/>
      <c r="H126" s="8"/>
      <c r="I126" s="6">
        <v>1</v>
      </c>
      <c r="J126" s="5"/>
      <c r="K126" s="5"/>
      <c r="L126" s="5"/>
      <c r="M126" s="5"/>
      <c r="N126" s="6">
        <v>1</v>
      </c>
      <c r="O126" s="5"/>
      <c r="P126" s="8">
        <v>8</v>
      </c>
      <c r="Q126" s="6">
        <v>2</v>
      </c>
      <c r="R126" s="5"/>
      <c r="S126" s="5"/>
      <c r="T126" s="6">
        <f t="shared" si="4"/>
        <v>12</v>
      </c>
      <c r="U126" s="113" t="s">
        <v>678</v>
      </c>
      <c r="V126" s="1"/>
      <c r="W126" s="1"/>
      <c r="X126" s="1"/>
      <c r="Y126" s="1"/>
      <c r="Z126" s="1"/>
    </row>
    <row r="127" spans="1:26" ht="39.75" customHeight="1">
      <c r="A127" s="171"/>
      <c r="B127" s="5" t="s">
        <v>228</v>
      </c>
      <c r="C127" s="5" t="s">
        <v>229</v>
      </c>
      <c r="D127" s="5">
        <v>120</v>
      </c>
      <c r="E127" s="5" t="s">
        <v>230</v>
      </c>
      <c r="F127" s="5"/>
      <c r="G127" s="5"/>
      <c r="H127" s="5"/>
      <c r="I127" s="5"/>
      <c r="J127" s="5"/>
      <c r="K127" s="8"/>
      <c r="L127" s="5"/>
      <c r="M127" s="8"/>
      <c r="N127" s="6"/>
      <c r="O127" s="5"/>
      <c r="P127" s="8"/>
      <c r="Q127" s="6"/>
      <c r="R127" s="8"/>
      <c r="S127" s="5"/>
      <c r="T127" s="6">
        <f t="shared" si="4"/>
        <v>0</v>
      </c>
      <c r="U127" s="9"/>
      <c r="V127" s="1"/>
      <c r="W127" s="1"/>
      <c r="X127" s="1"/>
      <c r="Y127" s="1"/>
      <c r="Z127" s="1"/>
    </row>
    <row r="128" spans="1:26" ht="39.75" customHeight="1">
      <c r="A128" s="171"/>
      <c r="B128" s="168" t="s">
        <v>231</v>
      </c>
      <c r="C128" s="168" t="s">
        <v>232</v>
      </c>
      <c r="D128" s="5">
        <v>121</v>
      </c>
      <c r="E128" s="5" t="s">
        <v>233</v>
      </c>
      <c r="F128" s="5"/>
      <c r="G128" s="5"/>
      <c r="H128" s="5"/>
      <c r="I128" s="6"/>
      <c r="J128" s="5"/>
      <c r="K128" s="5"/>
      <c r="L128" s="5"/>
      <c r="M128" s="5"/>
      <c r="N128" s="5"/>
      <c r="O128" s="5"/>
      <c r="P128" s="5"/>
      <c r="Q128" s="5"/>
      <c r="R128" s="5"/>
      <c r="S128" s="5"/>
      <c r="T128" s="6">
        <f t="shared" si="4"/>
        <v>0</v>
      </c>
      <c r="U128" s="10"/>
      <c r="V128" s="1"/>
      <c r="W128" s="1"/>
      <c r="X128" s="1"/>
      <c r="Y128" s="1"/>
      <c r="Z128" s="1"/>
    </row>
    <row r="129" spans="1:26" ht="39.75" customHeight="1">
      <c r="A129" s="171"/>
      <c r="B129" s="171"/>
      <c r="C129" s="171"/>
      <c r="D129" s="5">
        <v>122</v>
      </c>
      <c r="E129" s="5" t="s">
        <v>234</v>
      </c>
      <c r="F129" s="5"/>
      <c r="G129" s="5"/>
      <c r="H129" s="5"/>
      <c r="I129" s="5"/>
      <c r="J129" s="5"/>
      <c r="K129" s="5"/>
      <c r="L129" s="5"/>
      <c r="M129" s="5"/>
      <c r="N129" s="5"/>
      <c r="O129" s="5"/>
      <c r="P129" s="5"/>
      <c r="Q129" s="5"/>
      <c r="R129" s="5"/>
      <c r="S129" s="5"/>
      <c r="T129" s="6">
        <f t="shared" si="4"/>
        <v>0</v>
      </c>
      <c r="U129" s="46"/>
      <c r="V129" s="1"/>
      <c r="W129" s="1"/>
      <c r="X129" s="1"/>
      <c r="Y129" s="1"/>
      <c r="Z129" s="1"/>
    </row>
    <row r="130" spans="1:26" ht="39.75" customHeight="1">
      <c r="A130" s="171"/>
      <c r="B130" s="169"/>
      <c r="C130" s="169"/>
      <c r="D130" s="5">
        <v>123</v>
      </c>
      <c r="E130" s="5" t="s">
        <v>235</v>
      </c>
      <c r="F130" s="5"/>
      <c r="G130" s="5"/>
      <c r="H130" s="5"/>
      <c r="I130" s="5"/>
      <c r="J130" s="5"/>
      <c r="K130" s="5"/>
      <c r="L130" s="5"/>
      <c r="M130" s="5"/>
      <c r="N130" s="5"/>
      <c r="O130" s="5"/>
      <c r="P130" s="8"/>
      <c r="Q130" s="6">
        <v>2</v>
      </c>
      <c r="R130" s="5"/>
      <c r="S130" s="5"/>
      <c r="T130" s="6">
        <f t="shared" si="4"/>
        <v>2</v>
      </c>
      <c r="U130" s="46" t="s">
        <v>236</v>
      </c>
      <c r="V130" s="1"/>
      <c r="W130" s="1"/>
      <c r="X130" s="1"/>
      <c r="Y130" s="1"/>
      <c r="Z130" s="1"/>
    </row>
    <row r="131" spans="1:26" ht="39.75" customHeight="1">
      <c r="A131" s="171"/>
      <c r="B131" s="168" t="s">
        <v>237</v>
      </c>
      <c r="C131" s="168" t="s">
        <v>238</v>
      </c>
      <c r="D131" s="5">
        <v>124</v>
      </c>
      <c r="E131" s="5" t="s">
        <v>239</v>
      </c>
      <c r="F131" s="5"/>
      <c r="G131" s="5"/>
      <c r="H131" s="8"/>
      <c r="I131" s="5"/>
      <c r="J131" s="5"/>
      <c r="K131" s="5"/>
      <c r="L131" s="5"/>
      <c r="M131" s="5"/>
      <c r="N131" s="5"/>
      <c r="O131" s="5"/>
      <c r="P131" s="5"/>
      <c r="Q131" s="8">
        <v>2</v>
      </c>
      <c r="R131" s="5"/>
      <c r="S131" s="5"/>
      <c r="T131" s="6">
        <f t="shared" si="4"/>
        <v>2</v>
      </c>
      <c r="U131" s="10" t="s">
        <v>240</v>
      </c>
      <c r="V131" s="1"/>
      <c r="W131" s="1"/>
      <c r="X131" s="1"/>
      <c r="Y131" s="1"/>
      <c r="Z131" s="1"/>
    </row>
    <row r="132" spans="1:26" ht="39.75" customHeight="1">
      <c r="A132" s="171"/>
      <c r="B132" s="169"/>
      <c r="C132" s="169"/>
      <c r="D132" s="5">
        <v>125</v>
      </c>
      <c r="E132" s="5" t="s">
        <v>241</v>
      </c>
      <c r="F132" s="5"/>
      <c r="G132" s="5"/>
      <c r="H132" s="8"/>
      <c r="I132" s="5"/>
      <c r="J132" s="5"/>
      <c r="K132" s="5"/>
      <c r="L132" s="5"/>
      <c r="M132" s="5"/>
      <c r="N132" s="5"/>
      <c r="O132" s="5"/>
      <c r="P132" s="5"/>
      <c r="Q132" s="5"/>
      <c r="R132" s="5"/>
      <c r="S132" s="5"/>
      <c r="T132" s="6">
        <f t="shared" si="4"/>
        <v>0</v>
      </c>
      <c r="U132" s="9"/>
      <c r="V132" s="1"/>
      <c r="W132" s="1"/>
      <c r="X132" s="1"/>
      <c r="Y132" s="1"/>
      <c r="Z132" s="1"/>
    </row>
    <row r="133" spans="1:26" ht="39.75" customHeight="1">
      <c r="A133" s="171"/>
      <c r="B133" s="5" t="s">
        <v>242</v>
      </c>
      <c r="C133" s="5" t="s">
        <v>243</v>
      </c>
      <c r="D133" s="5">
        <v>126</v>
      </c>
      <c r="E133" s="5" t="s">
        <v>167</v>
      </c>
      <c r="F133" s="5"/>
      <c r="G133" s="5"/>
      <c r="H133" s="5"/>
      <c r="I133" s="5"/>
      <c r="J133" s="5"/>
      <c r="K133" s="5"/>
      <c r="L133" s="5"/>
      <c r="M133" s="5"/>
      <c r="N133" s="5"/>
      <c r="O133" s="5"/>
      <c r="P133" s="5"/>
      <c r="Q133" s="5"/>
      <c r="R133" s="5"/>
      <c r="S133" s="5"/>
      <c r="T133" s="6">
        <f t="shared" si="4"/>
        <v>0</v>
      </c>
      <c r="U133" s="9"/>
      <c r="V133" s="1"/>
      <c r="W133" s="1"/>
      <c r="X133" s="1"/>
      <c r="Y133" s="1"/>
      <c r="Z133" s="1"/>
    </row>
    <row r="134" spans="1:26" ht="39.75" customHeight="1">
      <c r="A134" s="169"/>
      <c r="B134" s="166" t="s">
        <v>244</v>
      </c>
      <c r="C134" s="170"/>
      <c r="D134" s="167"/>
      <c r="E134" s="5"/>
      <c r="F134" s="5">
        <f t="shared" ref="F134:S134" si="8">SUM(F94:F133)</f>
        <v>0</v>
      </c>
      <c r="G134" s="5">
        <f t="shared" si="8"/>
        <v>0</v>
      </c>
      <c r="H134" s="5">
        <f t="shared" si="8"/>
        <v>0</v>
      </c>
      <c r="I134" s="5">
        <f t="shared" si="8"/>
        <v>61.440000000000005</v>
      </c>
      <c r="J134" s="5">
        <f t="shared" si="8"/>
        <v>0</v>
      </c>
      <c r="K134" s="6">
        <f t="shared" si="8"/>
        <v>7</v>
      </c>
      <c r="L134" s="5">
        <f t="shared" si="8"/>
        <v>0</v>
      </c>
      <c r="M134" s="5">
        <f t="shared" si="8"/>
        <v>17.03</v>
      </c>
      <c r="N134" s="5">
        <f t="shared" si="8"/>
        <v>14.3</v>
      </c>
      <c r="O134" s="5">
        <f t="shared" si="8"/>
        <v>6.2460000000000004</v>
      </c>
      <c r="P134" s="5">
        <f t="shared" si="8"/>
        <v>59.4</v>
      </c>
      <c r="Q134" s="5">
        <f t="shared" si="8"/>
        <v>31.62</v>
      </c>
      <c r="R134" s="5">
        <f t="shared" si="8"/>
        <v>29.85</v>
      </c>
      <c r="S134" s="5">
        <f t="shared" si="8"/>
        <v>0</v>
      </c>
      <c r="T134" s="6">
        <f t="shared" ref="T134:T197" si="9">SUM(F134:S134)</f>
        <v>226.886</v>
      </c>
      <c r="U134" s="9"/>
      <c r="V134" s="1"/>
      <c r="W134" s="1"/>
      <c r="X134" s="1"/>
      <c r="Y134" s="1"/>
      <c r="Z134" s="1"/>
    </row>
    <row r="135" spans="1:26" ht="39.75" customHeight="1">
      <c r="A135" s="175" t="s">
        <v>245</v>
      </c>
      <c r="B135" s="168" t="s">
        <v>246</v>
      </c>
      <c r="C135" s="168" t="s">
        <v>247</v>
      </c>
      <c r="D135" s="5">
        <v>127</v>
      </c>
      <c r="E135" s="5" t="s">
        <v>248</v>
      </c>
      <c r="F135" s="98"/>
      <c r="G135" s="98"/>
      <c r="H135" s="98"/>
      <c r="I135" s="98"/>
      <c r="J135" s="98"/>
      <c r="K135" s="98"/>
      <c r="L135" s="98"/>
      <c r="M135" s="98"/>
      <c r="N135" s="98"/>
      <c r="O135" s="98"/>
      <c r="P135" s="98"/>
      <c r="Q135" s="98"/>
      <c r="R135" s="98"/>
      <c r="S135" s="98"/>
      <c r="T135" s="99">
        <f t="shared" ref="T135:T157" si="10">SUM(F135:S135)</f>
        <v>0</v>
      </c>
      <c r="U135" s="100"/>
      <c r="V135" s="1"/>
      <c r="W135" s="1"/>
      <c r="X135" s="1"/>
      <c r="Y135" s="1"/>
      <c r="Z135" s="1"/>
    </row>
    <row r="136" spans="1:26" ht="39.75" customHeight="1">
      <c r="A136" s="171"/>
      <c r="B136" s="169"/>
      <c r="C136" s="169"/>
      <c r="D136" s="5">
        <v>128</v>
      </c>
      <c r="E136" s="5" t="s">
        <v>249</v>
      </c>
      <c r="F136" s="98"/>
      <c r="G136" s="98"/>
      <c r="H136" s="98"/>
      <c r="I136" s="98"/>
      <c r="J136" s="98"/>
      <c r="K136" s="99"/>
      <c r="L136" s="98"/>
      <c r="M136" s="98"/>
      <c r="N136" s="99"/>
      <c r="O136" s="98"/>
      <c r="P136" s="99"/>
      <c r="Q136" s="99">
        <f>(2*0.75)+(2*0.1)</f>
        <v>1.7</v>
      </c>
      <c r="R136" s="98"/>
      <c r="S136" s="98"/>
      <c r="T136" s="99">
        <f t="shared" si="10"/>
        <v>1.7</v>
      </c>
      <c r="U136" s="101" t="s">
        <v>662</v>
      </c>
      <c r="V136" s="1"/>
      <c r="W136" s="1"/>
      <c r="X136" s="1"/>
      <c r="Y136" s="1"/>
      <c r="Z136" s="1"/>
    </row>
    <row r="137" spans="1:26" ht="39.75" customHeight="1">
      <c r="A137" s="171"/>
      <c r="B137" s="28"/>
      <c r="C137" s="28"/>
      <c r="D137" s="5">
        <v>129</v>
      </c>
      <c r="E137" s="5" t="s">
        <v>250</v>
      </c>
      <c r="F137" s="98"/>
      <c r="G137" s="98"/>
      <c r="H137" s="98"/>
      <c r="I137" s="98"/>
      <c r="J137" s="98"/>
      <c r="K137" s="98"/>
      <c r="L137" s="98"/>
      <c r="M137" s="98"/>
      <c r="N137" s="98"/>
      <c r="O137" s="98"/>
      <c r="P137" s="98"/>
      <c r="Q137" s="98"/>
      <c r="R137" s="98"/>
      <c r="S137" s="98"/>
      <c r="T137" s="99">
        <f t="shared" si="10"/>
        <v>0</v>
      </c>
      <c r="U137" s="100"/>
      <c r="V137" s="1"/>
      <c r="W137" s="1"/>
      <c r="X137" s="1"/>
      <c r="Y137" s="1"/>
      <c r="Z137" s="1"/>
    </row>
    <row r="138" spans="1:26" ht="39.75" customHeight="1">
      <c r="A138" s="171"/>
      <c r="B138" s="168" t="s">
        <v>251</v>
      </c>
      <c r="C138" s="168" t="s">
        <v>252</v>
      </c>
      <c r="D138" s="5">
        <v>130</v>
      </c>
      <c r="E138" s="5" t="s">
        <v>253</v>
      </c>
      <c r="F138" s="98"/>
      <c r="G138" s="98"/>
      <c r="H138" s="98"/>
      <c r="I138" s="98"/>
      <c r="J138" s="98"/>
      <c r="K138" s="98"/>
      <c r="L138" s="98"/>
      <c r="M138" s="98"/>
      <c r="N138" s="98"/>
      <c r="O138" s="98"/>
      <c r="P138" s="98"/>
      <c r="Q138" s="98"/>
      <c r="R138" s="98"/>
      <c r="S138" s="98"/>
      <c r="T138" s="99">
        <f t="shared" si="10"/>
        <v>0</v>
      </c>
      <c r="U138" s="100"/>
      <c r="V138" s="1"/>
      <c r="W138" s="1"/>
      <c r="X138" s="1"/>
      <c r="Y138" s="1"/>
      <c r="Z138" s="1"/>
    </row>
    <row r="139" spans="1:26" ht="39.75" customHeight="1">
      <c r="A139" s="171"/>
      <c r="B139" s="171"/>
      <c r="C139" s="171"/>
      <c r="D139" s="5">
        <v>131</v>
      </c>
      <c r="E139" s="5" t="s">
        <v>254</v>
      </c>
      <c r="F139" s="98"/>
      <c r="G139" s="98"/>
      <c r="H139" s="98"/>
      <c r="I139" s="98"/>
      <c r="J139" s="98"/>
      <c r="K139" s="98"/>
      <c r="L139" s="98"/>
      <c r="M139" s="98"/>
      <c r="N139" s="99">
        <f>0.01*39</f>
        <v>0.39</v>
      </c>
      <c r="O139" s="98"/>
      <c r="P139" s="98"/>
      <c r="Q139" s="98"/>
      <c r="R139" s="98"/>
      <c r="S139" s="98"/>
      <c r="T139" s="99">
        <f t="shared" si="10"/>
        <v>0.39</v>
      </c>
      <c r="U139" s="102" t="s">
        <v>667</v>
      </c>
      <c r="V139" s="1"/>
      <c r="W139" s="1"/>
      <c r="X139" s="1"/>
      <c r="Y139" s="1"/>
      <c r="Z139" s="1"/>
    </row>
    <row r="140" spans="1:26" ht="39.75" customHeight="1">
      <c r="A140" s="171"/>
      <c r="B140" s="171"/>
      <c r="C140" s="171"/>
      <c r="D140" s="5">
        <v>132</v>
      </c>
      <c r="E140" s="5" t="s">
        <v>255</v>
      </c>
      <c r="F140" s="98"/>
      <c r="G140" s="98"/>
      <c r="H140" s="98"/>
      <c r="I140" s="98"/>
      <c r="J140" s="98"/>
      <c r="K140" s="98"/>
      <c r="L140" s="98"/>
      <c r="M140" s="98"/>
      <c r="N140" s="98"/>
      <c r="O140" s="98"/>
      <c r="P140" s="98"/>
      <c r="Q140" s="98"/>
      <c r="R140" s="98"/>
      <c r="S140" s="98"/>
      <c r="T140" s="99">
        <f t="shared" si="10"/>
        <v>0</v>
      </c>
      <c r="U140" s="100"/>
      <c r="V140" s="1"/>
      <c r="W140" s="1"/>
      <c r="X140" s="1"/>
      <c r="Y140" s="1"/>
      <c r="Z140" s="1"/>
    </row>
    <row r="141" spans="1:26" ht="39.75" customHeight="1">
      <c r="A141" s="171"/>
      <c r="B141" s="171"/>
      <c r="C141" s="171"/>
      <c r="D141" s="5">
        <v>133</v>
      </c>
      <c r="E141" s="5" t="s">
        <v>256</v>
      </c>
      <c r="F141" s="98"/>
      <c r="G141" s="98"/>
      <c r="H141" s="98"/>
      <c r="I141" s="98"/>
      <c r="J141" s="98"/>
      <c r="K141" s="98"/>
      <c r="L141" s="98"/>
      <c r="M141" s="98"/>
      <c r="N141" s="98"/>
      <c r="O141" s="98"/>
      <c r="P141" s="98"/>
      <c r="Q141" s="98"/>
      <c r="R141" s="98"/>
      <c r="S141" s="98"/>
      <c r="T141" s="99">
        <f t="shared" si="10"/>
        <v>0</v>
      </c>
      <c r="U141" s="100"/>
      <c r="V141" s="1"/>
      <c r="W141" s="1"/>
      <c r="X141" s="1"/>
      <c r="Y141" s="1"/>
      <c r="Z141" s="1"/>
    </row>
    <row r="142" spans="1:26" ht="39.75" customHeight="1">
      <c r="A142" s="171"/>
      <c r="B142" s="171"/>
      <c r="C142" s="171"/>
      <c r="D142" s="5">
        <v>134</v>
      </c>
      <c r="E142" s="5" t="s">
        <v>257</v>
      </c>
      <c r="F142" s="98"/>
      <c r="G142" s="98"/>
      <c r="H142" s="98"/>
      <c r="I142" s="98"/>
      <c r="J142" s="98"/>
      <c r="K142" s="98"/>
      <c r="L142" s="98"/>
      <c r="M142" s="98"/>
      <c r="N142" s="98"/>
      <c r="O142" s="98"/>
      <c r="P142" s="99">
        <f>(10*0.005*12)+(10*0.0025*12)+(2*4*0.1)</f>
        <v>1.7000000000000002</v>
      </c>
      <c r="Q142" s="98"/>
      <c r="R142" s="98"/>
      <c r="S142" s="98"/>
      <c r="T142" s="99">
        <f t="shared" si="10"/>
        <v>1.7000000000000002</v>
      </c>
      <c r="U142" s="100" t="s">
        <v>258</v>
      </c>
      <c r="V142" s="1"/>
      <c r="W142" s="1"/>
      <c r="X142" s="1"/>
      <c r="Y142" s="1"/>
      <c r="Z142" s="1"/>
    </row>
    <row r="143" spans="1:26" ht="39.75" customHeight="1">
      <c r="A143" s="171"/>
      <c r="B143" s="171"/>
      <c r="C143" s="171"/>
      <c r="D143" s="5">
        <v>135</v>
      </c>
      <c r="E143" s="5" t="s">
        <v>259</v>
      </c>
      <c r="F143" s="98"/>
      <c r="G143" s="98"/>
      <c r="H143" s="98"/>
      <c r="I143" s="98"/>
      <c r="J143" s="98"/>
      <c r="K143" s="98"/>
      <c r="L143" s="98"/>
      <c r="M143" s="98"/>
      <c r="N143" s="98"/>
      <c r="O143" s="98"/>
      <c r="P143" s="98"/>
      <c r="Q143" s="98"/>
      <c r="R143" s="98"/>
      <c r="S143" s="98"/>
      <c r="T143" s="99">
        <f t="shared" si="10"/>
        <v>0</v>
      </c>
      <c r="U143" s="100"/>
      <c r="V143" s="1"/>
      <c r="W143" s="1"/>
      <c r="X143" s="1"/>
      <c r="Y143" s="1"/>
      <c r="Z143" s="1"/>
    </row>
    <row r="144" spans="1:26" ht="39.75" customHeight="1">
      <c r="A144" s="171"/>
      <c r="B144" s="169"/>
      <c r="C144" s="169"/>
      <c r="D144" s="5">
        <v>136</v>
      </c>
      <c r="E144" s="5" t="s">
        <v>260</v>
      </c>
      <c r="F144" s="98"/>
      <c r="G144" s="98"/>
      <c r="H144" s="98"/>
      <c r="I144" s="98"/>
      <c r="J144" s="98"/>
      <c r="K144" s="98"/>
      <c r="L144" s="98"/>
      <c r="M144" s="98"/>
      <c r="N144" s="98"/>
      <c r="O144" s="98"/>
      <c r="P144" s="99"/>
      <c r="Q144" s="98"/>
      <c r="R144" s="98"/>
      <c r="S144" s="98"/>
      <c r="T144" s="99">
        <f t="shared" si="10"/>
        <v>0</v>
      </c>
      <c r="U144" s="101"/>
      <c r="V144" s="1"/>
      <c r="W144" s="1"/>
      <c r="X144" s="1"/>
      <c r="Y144" s="1"/>
      <c r="Z144" s="1"/>
    </row>
    <row r="145" spans="1:26" ht="39.75" customHeight="1">
      <c r="A145" s="171"/>
      <c r="B145" s="168" t="s">
        <v>261</v>
      </c>
      <c r="C145" s="168" t="s">
        <v>262</v>
      </c>
      <c r="D145" s="5">
        <v>137</v>
      </c>
      <c r="E145" s="5" t="s">
        <v>263</v>
      </c>
      <c r="F145" s="98"/>
      <c r="G145" s="98"/>
      <c r="H145" s="98"/>
      <c r="I145" s="98"/>
      <c r="J145" s="98"/>
      <c r="K145" s="98"/>
      <c r="L145" s="98"/>
      <c r="M145" s="99"/>
      <c r="N145" s="98"/>
      <c r="O145" s="98"/>
      <c r="P145" s="99">
        <f>0.24*2</f>
        <v>0.48</v>
      </c>
      <c r="Q145" s="98"/>
      <c r="R145" s="98"/>
      <c r="S145" s="98"/>
      <c r="T145" s="99">
        <f t="shared" si="10"/>
        <v>0.48</v>
      </c>
      <c r="U145" s="101" t="s">
        <v>264</v>
      </c>
      <c r="V145" s="1"/>
      <c r="W145" s="1"/>
      <c r="X145" s="1"/>
      <c r="Y145" s="1"/>
      <c r="Z145" s="1"/>
    </row>
    <row r="146" spans="1:26" ht="39.75" customHeight="1">
      <c r="A146" s="171"/>
      <c r="B146" s="169"/>
      <c r="C146" s="169"/>
      <c r="D146" s="5">
        <v>138</v>
      </c>
      <c r="E146" s="5" t="s">
        <v>265</v>
      </c>
      <c r="F146" s="103"/>
      <c r="G146" s="103"/>
      <c r="H146" s="104"/>
      <c r="I146" s="104"/>
      <c r="J146" s="103"/>
      <c r="K146" s="104"/>
      <c r="L146" s="103"/>
      <c r="M146" s="104"/>
      <c r="N146" s="103"/>
      <c r="O146" s="103"/>
      <c r="P146" s="103"/>
      <c r="Q146" s="103"/>
      <c r="R146" s="103"/>
      <c r="S146" s="103"/>
      <c r="T146" s="104">
        <f t="shared" si="10"/>
        <v>0</v>
      </c>
      <c r="U146" s="105"/>
      <c r="V146" s="1"/>
      <c r="W146" s="1"/>
      <c r="X146" s="1"/>
      <c r="Y146" s="1"/>
      <c r="Z146" s="1"/>
    </row>
    <row r="147" spans="1:26" ht="39.75" customHeight="1">
      <c r="A147" s="171"/>
      <c r="B147" s="168" t="s">
        <v>266</v>
      </c>
      <c r="C147" s="168" t="s">
        <v>267</v>
      </c>
      <c r="D147" s="5">
        <v>139</v>
      </c>
      <c r="E147" s="5" t="s">
        <v>268</v>
      </c>
      <c r="F147" s="98"/>
      <c r="G147" s="98"/>
      <c r="H147" s="98"/>
      <c r="I147" s="98"/>
      <c r="J147" s="98"/>
      <c r="K147" s="98"/>
      <c r="L147" s="98"/>
      <c r="M147" s="98"/>
      <c r="N147" s="99"/>
      <c r="O147" s="98"/>
      <c r="P147" s="99">
        <v>2</v>
      </c>
      <c r="Q147" s="98"/>
      <c r="R147" s="99"/>
      <c r="S147" s="98"/>
      <c r="T147" s="99">
        <f t="shared" si="10"/>
        <v>2</v>
      </c>
      <c r="U147" s="101" t="s">
        <v>668</v>
      </c>
      <c r="V147" s="1"/>
      <c r="W147" s="1"/>
      <c r="X147" s="1"/>
      <c r="Y147" s="1"/>
      <c r="Z147" s="1"/>
    </row>
    <row r="148" spans="1:26" ht="39.75" customHeight="1">
      <c r="A148" s="171"/>
      <c r="B148" s="171"/>
      <c r="C148" s="171"/>
      <c r="D148" s="5">
        <v>140</v>
      </c>
      <c r="E148" s="5" t="s">
        <v>269</v>
      </c>
      <c r="F148" s="98"/>
      <c r="G148" s="98"/>
      <c r="H148" s="98"/>
      <c r="I148" s="98"/>
      <c r="J148" s="98"/>
      <c r="K148" s="98"/>
      <c r="L148" s="98"/>
      <c r="M148" s="98"/>
      <c r="N148" s="98"/>
      <c r="O148" s="98"/>
      <c r="P148" s="99">
        <f>2+(2*0.055)+(0.08*2)</f>
        <v>2.27</v>
      </c>
      <c r="Q148" s="98"/>
      <c r="R148" s="98"/>
      <c r="S148" s="98"/>
      <c r="T148" s="99">
        <f t="shared" si="10"/>
        <v>2.27</v>
      </c>
      <c r="U148" s="101" t="s">
        <v>666</v>
      </c>
      <c r="V148" s="1"/>
      <c r="W148" s="1"/>
      <c r="X148" s="1"/>
      <c r="Y148" s="1"/>
      <c r="Z148" s="1"/>
    </row>
    <row r="149" spans="1:26" ht="39.75" customHeight="1">
      <c r="A149" s="171"/>
      <c r="B149" s="169"/>
      <c r="C149" s="169"/>
      <c r="D149" s="5">
        <v>141</v>
      </c>
      <c r="E149" s="5" t="s">
        <v>270</v>
      </c>
      <c r="F149" s="98"/>
      <c r="G149" s="98"/>
      <c r="H149" s="98"/>
      <c r="I149" s="98"/>
      <c r="J149" s="98"/>
      <c r="K149" s="98"/>
      <c r="L149" s="98"/>
      <c r="M149" s="98"/>
      <c r="N149" s="98"/>
      <c r="O149" s="98"/>
      <c r="P149" s="98"/>
      <c r="Q149" s="98"/>
      <c r="R149" s="98"/>
      <c r="S149" s="98"/>
      <c r="T149" s="99">
        <f t="shared" si="10"/>
        <v>0</v>
      </c>
      <c r="U149" s="100"/>
      <c r="V149" s="1"/>
      <c r="W149" s="1"/>
      <c r="X149" s="1"/>
      <c r="Y149" s="1"/>
      <c r="Z149" s="1"/>
    </row>
    <row r="150" spans="1:26" ht="39.75" customHeight="1">
      <c r="A150" s="171"/>
      <c r="B150" s="168" t="s">
        <v>271</v>
      </c>
      <c r="C150" s="168" t="s">
        <v>272</v>
      </c>
      <c r="D150" s="5">
        <v>142</v>
      </c>
      <c r="E150" s="5" t="s">
        <v>273</v>
      </c>
      <c r="F150" s="98"/>
      <c r="G150" s="98"/>
      <c r="H150" s="98"/>
      <c r="I150" s="98"/>
      <c r="J150" s="98"/>
      <c r="K150" s="98"/>
      <c r="L150" s="98"/>
      <c r="M150" s="98"/>
      <c r="N150" s="98"/>
      <c r="O150" s="98"/>
      <c r="P150" s="98"/>
      <c r="Q150" s="98"/>
      <c r="R150" s="98">
        <v>135.97999999999999</v>
      </c>
      <c r="S150" s="98"/>
      <c r="T150" s="99">
        <f t="shared" si="10"/>
        <v>135.97999999999999</v>
      </c>
      <c r="U150" s="100"/>
      <c r="V150" s="1"/>
      <c r="W150" s="1"/>
      <c r="X150" s="1"/>
      <c r="Y150" s="1"/>
      <c r="Z150" s="1"/>
    </row>
    <row r="151" spans="1:26" ht="39.75" customHeight="1">
      <c r="A151" s="171"/>
      <c r="B151" s="171"/>
      <c r="C151" s="171"/>
      <c r="D151" s="5">
        <v>143</v>
      </c>
      <c r="E151" s="5" t="s">
        <v>274</v>
      </c>
      <c r="F151" s="98"/>
      <c r="G151" s="98"/>
      <c r="H151" s="98"/>
      <c r="I151" s="98"/>
      <c r="J151" s="98"/>
      <c r="K151" s="98"/>
      <c r="L151" s="98"/>
      <c r="M151" s="98"/>
      <c r="N151" s="98"/>
      <c r="O151" s="98"/>
      <c r="P151" s="98"/>
      <c r="Q151" s="98"/>
      <c r="R151" s="98"/>
      <c r="S151" s="98"/>
      <c r="T151" s="99">
        <f t="shared" si="10"/>
        <v>0</v>
      </c>
      <c r="U151" s="100"/>
      <c r="V151" s="1"/>
      <c r="W151" s="1"/>
      <c r="X151" s="1"/>
      <c r="Y151" s="1"/>
      <c r="Z151" s="1"/>
    </row>
    <row r="152" spans="1:26" ht="39.75" customHeight="1">
      <c r="A152" s="171"/>
      <c r="B152" s="171"/>
      <c r="C152" s="171"/>
      <c r="D152" s="5">
        <v>144</v>
      </c>
      <c r="E152" s="5" t="s">
        <v>275</v>
      </c>
      <c r="F152" s="98"/>
      <c r="G152" s="98"/>
      <c r="H152" s="98"/>
      <c r="I152" s="98"/>
      <c r="J152" s="98"/>
      <c r="K152" s="98"/>
      <c r="L152" s="98"/>
      <c r="M152" s="98"/>
      <c r="N152" s="98"/>
      <c r="O152" s="98"/>
      <c r="P152" s="98"/>
      <c r="Q152" s="98"/>
      <c r="R152" s="98"/>
      <c r="S152" s="98"/>
      <c r="T152" s="99">
        <f t="shared" si="10"/>
        <v>0</v>
      </c>
      <c r="U152" s="100"/>
      <c r="V152" s="1"/>
      <c r="W152" s="1"/>
      <c r="X152" s="1"/>
      <c r="Y152" s="1"/>
      <c r="Z152" s="1"/>
    </row>
    <row r="153" spans="1:26" ht="39.75" customHeight="1">
      <c r="A153" s="171"/>
      <c r="B153" s="169"/>
      <c r="C153" s="169"/>
      <c r="D153" s="5">
        <v>145</v>
      </c>
      <c r="E153" s="5" t="s">
        <v>276</v>
      </c>
      <c r="F153" s="98"/>
      <c r="G153" s="98"/>
      <c r="H153" s="98"/>
      <c r="I153" s="98"/>
      <c r="J153" s="98"/>
      <c r="K153" s="98"/>
      <c r="L153" s="98"/>
      <c r="M153" s="98"/>
      <c r="N153" s="98"/>
      <c r="O153" s="98"/>
      <c r="P153" s="98"/>
      <c r="Q153" s="98"/>
      <c r="R153" s="98"/>
      <c r="S153" s="98"/>
      <c r="T153" s="99">
        <f t="shared" si="10"/>
        <v>0</v>
      </c>
      <c r="U153" s="100"/>
      <c r="V153" s="1"/>
      <c r="W153" s="1"/>
      <c r="X153" s="1"/>
      <c r="Y153" s="1"/>
      <c r="Z153" s="1"/>
    </row>
    <row r="154" spans="1:26" ht="39.75" customHeight="1">
      <c r="A154" s="171"/>
      <c r="B154" s="5" t="s">
        <v>277</v>
      </c>
      <c r="C154" s="5" t="s">
        <v>278</v>
      </c>
      <c r="D154" s="5">
        <v>146</v>
      </c>
      <c r="E154" s="5" t="s">
        <v>279</v>
      </c>
      <c r="F154" s="98"/>
      <c r="G154" s="98"/>
      <c r="H154" s="98"/>
      <c r="I154" s="98"/>
      <c r="J154" s="98"/>
      <c r="K154" s="98"/>
      <c r="L154" s="98"/>
      <c r="M154" s="98"/>
      <c r="N154" s="98"/>
      <c r="O154" s="98"/>
      <c r="P154" s="98"/>
      <c r="Q154" s="98"/>
      <c r="R154" s="99">
        <v>5.4</v>
      </c>
      <c r="S154" s="98"/>
      <c r="T154" s="99">
        <f t="shared" si="10"/>
        <v>5.4</v>
      </c>
      <c r="U154" s="102" t="s">
        <v>280</v>
      </c>
      <c r="V154" s="1"/>
      <c r="W154" s="1"/>
      <c r="X154" s="1"/>
      <c r="Y154" s="1"/>
      <c r="Z154" s="1"/>
    </row>
    <row r="155" spans="1:26" ht="39.75" customHeight="1">
      <c r="A155" s="171"/>
      <c r="B155" s="5" t="s">
        <v>281</v>
      </c>
      <c r="C155" s="5" t="s">
        <v>282</v>
      </c>
      <c r="D155" s="5">
        <v>147</v>
      </c>
      <c r="E155" s="5" t="s">
        <v>149</v>
      </c>
      <c r="F155" s="98"/>
      <c r="G155" s="98"/>
      <c r="H155" s="98"/>
      <c r="I155" s="98"/>
      <c r="J155" s="98"/>
      <c r="K155" s="98"/>
      <c r="L155" s="98"/>
      <c r="M155" s="98"/>
      <c r="N155" s="98"/>
      <c r="O155" s="98"/>
      <c r="P155" s="98"/>
      <c r="Q155" s="98"/>
      <c r="R155" s="98"/>
      <c r="S155" s="98"/>
      <c r="T155" s="99">
        <f t="shared" si="10"/>
        <v>0</v>
      </c>
      <c r="U155" s="100"/>
      <c r="V155" s="1"/>
      <c r="W155" s="1"/>
      <c r="X155" s="1"/>
      <c r="Y155" s="1"/>
      <c r="Z155" s="1"/>
    </row>
    <row r="156" spans="1:26" ht="39.75" customHeight="1">
      <c r="A156" s="171"/>
      <c r="B156" s="5" t="s">
        <v>283</v>
      </c>
      <c r="C156" s="5" t="s">
        <v>284</v>
      </c>
      <c r="D156" s="5">
        <v>148</v>
      </c>
      <c r="E156" s="5" t="s">
        <v>285</v>
      </c>
      <c r="F156" s="98"/>
      <c r="G156" s="98"/>
      <c r="H156" s="98"/>
      <c r="I156" s="98"/>
      <c r="J156" s="98"/>
      <c r="K156" s="98"/>
      <c r="L156" s="98"/>
      <c r="M156" s="98"/>
      <c r="N156" s="99"/>
      <c r="O156" s="98"/>
      <c r="P156" s="99"/>
      <c r="Q156" s="98"/>
      <c r="R156" s="98"/>
      <c r="S156" s="98"/>
      <c r="T156" s="99">
        <f t="shared" si="10"/>
        <v>0</v>
      </c>
      <c r="U156" s="101"/>
      <c r="V156" s="1"/>
      <c r="W156" s="1"/>
      <c r="X156" s="1"/>
      <c r="Y156" s="1"/>
      <c r="Z156" s="1"/>
    </row>
    <row r="157" spans="1:26" ht="39.75" customHeight="1">
      <c r="A157" s="171"/>
      <c r="B157" s="5" t="s">
        <v>286</v>
      </c>
      <c r="C157" s="5" t="s">
        <v>287</v>
      </c>
      <c r="D157" s="5">
        <v>149</v>
      </c>
      <c r="E157" s="5" t="s">
        <v>288</v>
      </c>
      <c r="F157" s="106"/>
      <c r="G157" s="106"/>
      <c r="H157" s="106"/>
      <c r="I157" s="106"/>
      <c r="J157" s="106"/>
      <c r="K157" s="106"/>
      <c r="L157" s="106"/>
      <c r="M157" s="106"/>
      <c r="N157" s="106"/>
      <c r="O157" s="106"/>
      <c r="P157" s="99">
        <f>(2*1.75)+(0.05*39)</f>
        <v>5.45</v>
      </c>
      <c r="Q157" s="106"/>
      <c r="R157" s="106"/>
      <c r="S157" s="106"/>
      <c r="T157" s="99">
        <f t="shared" si="10"/>
        <v>5.45</v>
      </c>
      <c r="U157" s="101"/>
      <c r="V157" s="1"/>
      <c r="W157" s="1"/>
      <c r="X157" s="1"/>
      <c r="Y157" s="1"/>
      <c r="Z157" s="1"/>
    </row>
    <row r="158" spans="1:26" ht="39.75" customHeight="1">
      <c r="A158" s="169"/>
      <c r="B158" s="176" t="s">
        <v>289</v>
      </c>
      <c r="C158" s="177"/>
      <c r="D158" s="178"/>
      <c r="E158" s="51"/>
      <c r="F158" s="51">
        <f t="shared" ref="F158:S158" si="11">SUM(F135:F157)</f>
        <v>0</v>
      </c>
      <c r="G158" s="51">
        <f t="shared" si="11"/>
        <v>0</v>
      </c>
      <c r="H158" s="51">
        <f t="shared" si="11"/>
        <v>0</v>
      </c>
      <c r="I158" s="51">
        <f t="shared" si="11"/>
        <v>0</v>
      </c>
      <c r="J158" s="51">
        <f t="shared" si="11"/>
        <v>0</v>
      </c>
      <c r="K158" s="51">
        <f t="shared" si="11"/>
        <v>0</v>
      </c>
      <c r="L158" s="51">
        <f t="shared" si="11"/>
        <v>0</v>
      </c>
      <c r="M158" s="51">
        <f t="shared" si="11"/>
        <v>0</v>
      </c>
      <c r="N158" s="51">
        <f t="shared" si="11"/>
        <v>0.39</v>
      </c>
      <c r="O158" s="51">
        <f t="shared" si="11"/>
        <v>0</v>
      </c>
      <c r="P158" s="51">
        <f t="shared" si="11"/>
        <v>11.899999999999999</v>
      </c>
      <c r="Q158" s="51">
        <f t="shared" si="11"/>
        <v>1.7</v>
      </c>
      <c r="R158" s="51">
        <f t="shared" si="11"/>
        <v>141.38</v>
      </c>
      <c r="S158" s="51">
        <f t="shared" si="11"/>
        <v>0</v>
      </c>
      <c r="T158" s="52">
        <f t="shared" si="9"/>
        <v>155.37</v>
      </c>
      <c r="U158" s="9"/>
      <c r="V158" s="29"/>
      <c r="W158" s="29"/>
      <c r="X158" s="29"/>
      <c r="Y158" s="29"/>
      <c r="Z158" s="29"/>
    </row>
    <row r="159" spans="1:26" ht="39.75" customHeight="1">
      <c r="A159" s="175" t="s">
        <v>290</v>
      </c>
      <c r="B159" s="168" t="s">
        <v>291</v>
      </c>
      <c r="C159" s="168" t="s">
        <v>247</v>
      </c>
      <c r="D159" s="5">
        <v>150</v>
      </c>
      <c r="E159" s="5" t="s">
        <v>292</v>
      </c>
      <c r="F159" s="5"/>
      <c r="G159" s="8">
        <v>288.75</v>
      </c>
      <c r="H159" s="8">
        <v>385</v>
      </c>
      <c r="I159" s="5"/>
      <c r="J159" s="5"/>
      <c r="K159" s="5"/>
      <c r="L159" s="5"/>
      <c r="M159" s="5"/>
      <c r="N159" s="6">
        <v>2.5</v>
      </c>
      <c r="O159" s="5"/>
      <c r="P159" s="8"/>
      <c r="Q159" s="5"/>
      <c r="R159" s="5"/>
      <c r="S159" s="5"/>
      <c r="T159" s="6">
        <f t="shared" si="9"/>
        <v>676.25</v>
      </c>
      <c r="U159" s="62" t="s">
        <v>376</v>
      </c>
      <c r="V159" s="1"/>
      <c r="W159" s="1"/>
      <c r="X159" s="1"/>
      <c r="Y159" s="1"/>
      <c r="Z159" s="1"/>
    </row>
    <row r="160" spans="1:26" ht="39.75" customHeight="1">
      <c r="A160" s="171"/>
      <c r="B160" s="171"/>
      <c r="C160" s="171"/>
      <c r="D160" s="5">
        <v>151</v>
      </c>
      <c r="E160" s="5" t="s">
        <v>294</v>
      </c>
      <c r="F160" s="5"/>
      <c r="G160" s="8"/>
      <c r="H160" s="8"/>
      <c r="I160" s="6"/>
      <c r="J160" s="5"/>
      <c r="K160" s="5"/>
      <c r="L160" s="5"/>
      <c r="M160" s="5"/>
      <c r="N160" s="6"/>
      <c r="O160" s="8"/>
      <c r="P160" s="8"/>
      <c r="Q160" s="6"/>
      <c r="R160" s="8">
        <v>6</v>
      </c>
      <c r="S160" s="5"/>
      <c r="T160" s="6">
        <f t="shared" si="9"/>
        <v>6</v>
      </c>
      <c r="U160" s="9" t="s">
        <v>640</v>
      </c>
      <c r="V160" s="1"/>
      <c r="W160" s="1"/>
      <c r="X160" s="1"/>
      <c r="Y160" s="1"/>
      <c r="Z160" s="1"/>
    </row>
    <row r="161" spans="1:26" ht="39.75" customHeight="1">
      <c r="A161" s="171"/>
      <c r="B161" s="171"/>
      <c r="C161" s="171"/>
      <c r="D161" s="5">
        <v>152</v>
      </c>
      <c r="E161" s="5" t="s">
        <v>295</v>
      </c>
      <c r="F161" s="5"/>
      <c r="G161" s="5"/>
      <c r="H161" s="5"/>
      <c r="I161" s="5"/>
      <c r="J161" s="5"/>
      <c r="K161" s="5"/>
      <c r="L161" s="5"/>
      <c r="M161" s="5"/>
      <c r="N161" s="5"/>
      <c r="O161" s="5"/>
      <c r="P161" s="8">
        <v>25</v>
      </c>
      <c r="Q161" s="5"/>
      <c r="R161" s="5"/>
      <c r="S161" s="5"/>
      <c r="T161" s="6">
        <f t="shared" si="9"/>
        <v>25</v>
      </c>
      <c r="U161" s="9" t="s">
        <v>296</v>
      </c>
      <c r="V161" s="1"/>
      <c r="W161" s="1"/>
      <c r="X161" s="1"/>
      <c r="Y161" s="1"/>
      <c r="Z161" s="1"/>
    </row>
    <row r="162" spans="1:26" ht="39.75" customHeight="1">
      <c r="A162" s="171"/>
      <c r="B162" s="179"/>
      <c r="C162" s="179"/>
      <c r="D162" s="5">
        <v>153</v>
      </c>
      <c r="E162" s="5" t="s">
        <v>297</v>
      </c>
      <c r="F162" s="24"/>
      <c r="G162" s="24"/>
      <c r="H162" s="24"/>
      <c r="I162" s="24"/>
      <c r="J162" s="24"/>
      <c r="K162" s="24"/>
      <c r="L162" s="24"/>
      <c r="M162" s="24"/>
      <c r="N162" s="6"/>
      <c r="O162" s="24"/>
      <c r="P162" s="24"/>
      <c r="Q162" s="24"/>
      <c r="R162" s="24"/>
      <c r="S162" s="24"/>
      <c r="T162" s="6">
        <f t="shared" si="9"/>
        <v>0</v>
      </c>
      <c r="U162" s="9" t="s">
        <v>298</v>
      </c>
      <c r="V162" s="1"/>
      <c r="W162" s="1"/>
      <c r="X162" s="1"/>
      <c r="Y162" s="1"/>
      <c r="Z162" s="1"/>
    </row>
    <row r="163" spans="1:26" ht="39.75" customHeight="1">
      <c r="A163" s="171"/>
      <c r="B163" s="168" t="s">
        <v>299</v>
      </c>
      <c r="C163" s="168" t="s">
        <v>300</v>
      </c>
      <c r="D163" s="5">
        <v>154</v>
      </c>
      <c r="E163" s="5" t="s">
        <v>301</v>
      </c>
      <c r="F163" s="5"/>
      <c r="G163" s="5"/>
      <c r="H163" s="5"/>
      <c r="I163" s="5"/>
      <c r="J163" s="5"/>
      <c r="K163" s="6"/>
      <c r="L163" s="5"/>
      <c r="M163" s="6"/>
      <c r="N163" s="5"/>
      <c r="O163" s="5"/>
      <c r="P163" s="5"/>
      <c r="Q163" s="8"/>
      <c r="R163" s="5"/>
      <c r="S163" s="5"/>
      <c r="T163" s="6">
        <f t="shared" si="9"/>
        <v>0</v>
      </c>
      <c r="U163" s="9"/>
      <c r="V163" s="1"/>
      <c r="W163" s="1"/>
      <c r="X163" s="1"/>
      <c r="Y163" s="1"/>
      <c r="Z163" s="1"/>
    </row>
    <row r="164" spans="1:26" ht="39.75" customHeight="1">
      <c r="A164" s="171"/>
      <c r="B164" s="171"/>
      <c r="C164" s="171"/>
      <c r="D164" s="5">
        <v>155</v>
      </c>
      <c r="E164" s="5" t="s">
        <v>302</v>
      </c>
      <c r="F164" s="5"/>
      <c r="G164" s="5"/>
      <c r="H164" s="5"/>
      <c r="I164" s="5"/>
      <c r="J164" s="5"/>
      <c r="K164" s="5"/>
      <c r="L164" s="5"/>
      <c r="M164" s="5"/>
      <c r="N164" s="5"/>
      <c r="O164" s="5"/>
      <c r="P164" s="8"/>
      <c r="Q164" s="5"/>
      <c r="R164" s="5"/>
      <c r="S164" s="5"/>
      <c r="T164" s="6">
        <f t="shared" si="9"/>
        <v>0</v>
      </c>
      <c r="U164" s="9"/>
      <c r="V164" s="1"/>
      <c r="W164" s="1"/>
      <c r="X164" s="1"/>
      <c r="Y164" s="1"/>
      <c r="Z164" s="1"/>
    </row>
    <row r="165" spans="1:26" ht="39.75" customHeight="1">
      <c r="A165" s="171"/>
      <c r="B165" s="171"/>
      <c r="C165" s="171"/>
      <c r="D165" s="5">
        <v>156</v>
      </c>
      <c r="E165" s="5" t="s">
        <v>303</v>
      </c>
      <c r="F165" s="5"/>
      <c r="G165" s="5"/>
      <c r="H165" s="8"/>
      <c r="I165" s="6"/>
      <c r="J165" s="5"/>
      <c r="K165" s="5"/>
      <c r="L165" s="5"/>
      <c r="M165" s="5"/>
      <c r="N165" s="5"/>
      <c r="O165" s="5"/>
      <c r="P165" s="8">
        <v>1.6</v>
      </c>
      <c r="Q165" s="5"/>
      <c r="R165" s="5"/>
      <c r="S165" s="5"/>
      <c r="T165" s="6">
        <f t="shared" si="9"/>
        <v>1.6</v>
      </c>
      <c r="U165" s="9"/>
      <c r="V165" s="1"/>
      <c r="W165" s="1"/>
      <c r="X165" s="1"/>
      <c r="Y165" s="1"/>
      <c r="Z165" s="1"/>
    </row>
    <row r="166" spans="1:26" ht="39.75" customHeight="1">
      <c r="A166" s="171"/>
      <c r="B166" s="171"/>
      <c r="C166" s="171"/>
      <c r="D166" s="5">
        <v>157</v>
      </c>
      <c r="E166" s="5" t="s">
        <v>304</v>
      </c>
      <c r="F166" s="5"/>
      <c r="G166" s="5"/>
      <c r="H166" s="5"/>
      <c r="I166" s="5"/>
      <c r="J166" s="5"/>
      <c r="K166" s="5"/>
      <c r="L166" s="5"/>
      <c r="M166" s="5"/>
      <c r="N166" s="5"/>
      <c r="O166" s="5"/>
      <c r="P166" s="5"/>
      <c r="Q166" s="5"/>
      <c r="R166" s="5"/>
      <c r="S166" s="5"/>
      <c r="T166" s="6">
        <f t="shared" si="9"/>
        <v>0</v>
      </c>
      <c r="U166" s="9"/>
      <c r="V166" s="1"/>
      <c r="W166" s="1"/>
      <c r="X166" s="1"/>
      <c r="Y166" s="1"/>
      <c r="Z166" s="1"/>
    </row>
    <row r="167" spans="1:26" ht="39.75" customHeight="1">
      <c r="A167" s="171"/>
      <c r="B167" s="169"/>
      <c r="C167" s="169"/>
      <c r="D167" s="5">
        <v>158</v>
      </c>
      <c r="E167" s="5" t="s">
        <v>305</v>
      </c>
      <c r="F167" s="5"/>
      <c r="G167" s="5"/>
      <c r="H167" s="5"/>
      <c r="I167" s="5"/>
      <c r="J167" s="5"/>
      <c r="K167" s="5"/>
      <c r="L167" s="5"/>
      <c r="M167" s="5"/>
      <c r="N167" s="5"/>
      <c r="O167" s="5"/>
      <c r="P167" s="5"/>
      <c r="Q167" s="6"/>
      <c r="R167" s="5"/>
      <c r="S167" s="5"/>
      <c r="T167" s="6">
        <f t="shared" si="9"/>
        <v>0</v>
      </c>
      <c r="U167" s="9"/>
      <c r="V167" s="1"/>
      <c r="W167" s="1"/>
      <c r="X167" s="1"/>
      <c r="Y167" s="1"/>
      <c r="Z167" s="1"/>
    </row>
    <row r="168" spans="1:26" ht="39.75" customHeight="1">
      <c r="A168" s="171"/>
      <c r="B168" s="168" t="s">
        <v>306</v>
      </c>
      <c r="C168" s="168" t="s">
        <v>252</v>
      </c>
      <c r="D168" s="5">
        <v>159</v>
      </c>
      <c r="E168" s="5" t="s">
        <v>253</v>
      </c>
      <c r="F168" s="5"/>
      <c r="G168" s="5"/>
      <c r="H168" s="5"/>
      <c r="I168" s="5"/>
      <c r="J168" s="5"/>
      <c r="K168" s="6"/>
      <c r="L168" s="5"/>
      <c r="M168" s="5"/>
      <c r="N168" s="8">
        <v>21.36</v>
      </c>
      <c r="O168" s="8">
        <v>274.82</v>
      </c>
      <c r="P168" s="8">
        <v>28.65</v>
      </c>
      <c r="Q168" s="6">
        <v>1.04</v>
      </c>
      <c r="R168" s="5"/>
      <c r="S168" s="5"/>
      <c r="T168" s="6">
        <f t="shared" si="9"/>
        <v>325.87</v>
      </c>
      <c r="U168" s="9" t="s">
        <v>377</v>
      </c>
      <c r="V168" s="1"/>
      <c r="W168" s="1"/>
      <c r="X168" s="1"/>
      <c r="Y168" s="1"/>
      <c r="Z168" s="1"/>
    </row>
    <row r="169" spans="1:26" ht="39.75" customHeight="1">
      <c r="A169" s="171"/>
      <c r="B169" s="171"/>
      <c r="C169" s="171"/>
      <c r="D169" s="5">
        <v>160</v>
      </c>
      <c r="E169" s="5" t="s">
        <v>308</v>
      </c>
      <c r="F169" s="5"/>
      <c r="G169" s="5"/>
      <c r="H169" s="5"/>
      <c r="I169" s="5"/>
      <c r="J169" s="5"/>
      <c r="K169" s="5"/>
      <c r="L169" s="5"/>
      <c r="M169" s="5"/>
      <c r="N169" s="5"/>
      <c r="O169" s="5"/>
      <c r="P169" s="5"/>
      <c r="Q169" s="5"/>
      <c r="R169" s="5"/>
      <c r="S169" s="5"/>
      <c r="T169" s="6">
        <f t="shared" si="9"/>
        <v>0</v>
      </c>
      <c r="U169" s="9"/>
      <c r="V169" s="1"/>
      <c r="W169" s="1"/>
      <c r="X169" s="1"/>
      <c r="Y169" s="1"/>
      <c r="Z169" s="1"/>
    </row>
    <row r="170" spans="1:26" ht="39.75" customHeight="1">
      <c r="A170" s="171"/>
      <c r="B170" s="171"/>
      <c r="C170" s="171"/>
      <c r="D170" s="5">
        <v>161</v>
      </c>
      <c r="E170" s="5" t="s">
        <v>255</v>
      </c>
      <c r="F170" s="5"/>
      <c r="G170" s="5"/>
      <c r="H170" s="5"/>
      <c r="I170" s="5"/>
      <c r="J170" s="5"/>
      <c r="K170" s="5"/>
      <c r="L170" s="5"/>
      <c r="M170" s="5"/>
      <c r="N170" s="5"/>
      <c r="O170" s="5"/>
      <c r="P170" s="5"/>
      <c r="Q170" s="5"/>
      <c r="R170" s="5"/>
      <c r="S170" s="5"/>
      <c r="T170" s="6">
        <f t="shared" si="9"/>
        <v>0</v>
      </c>
      <c r="U170" s="9"/>
      <c r="V170" s="1"/>
      <c r="W170" s="1"/>
      <c r="X170" s="1"/>
      <c r="Y170" s="1"/>
      <c r="Z170" s="1"/>
    </row>
    <row r="171" spans="1:26" ht="39.75" customHeight="1">
      <c r="A171" s="171"/>
      <c r="B171" s="171"/>
      <c r="C171" s="171"/>
      <c r="D171" s="5">
        <v>162</v>
      </c>
      <c r="E171" s="5" t="s">
        <v>256</v>
      </c>
      <c r="F171" s="5"/>
      <c r="G171" s="5"/>
      <c r="H171" s="5"/>
      <c r="I171" s="5"/>
      <c r="J171" s="5"/>
      <c r="K171" s="5"/>
      <c r="L171" s="5"/>
      <c r="M171" s="5"/>
      <c r="N171" s="5"/>
      <c r="O171" s="5"/>
      <c r="P171" s="5"/>
      <c r="Q171" s="5"/>
      <c r="R171" s="5"/>
      <c r="S171" s="5"/>
      <c r="T171" s="6">
        <f t="shared" si="9"/>
        <v>0</v>
      </c>
      <c r="U171" s="9"/>
      <c r="V171" s="1"/>
      <c r="W171" s="1"/>
      <c r="X171" s="1"/>
      <c r="Y171" s="1"/>
      <c r="Z171" s="1"/>
    </row>
    <row r="172" spans="1:26" ht="39.75" customHeight="1">
      <c r="A172" s="171"/>
      <c r="B172" s="169"/>
      <c r="C172" s="169"/>
      <c r="D172" s="5">
        <v>163</v>
      </c>
      <c r="E172" s="5" t="s">
        <v>309</v>
      </c>
      <c r="F172" s="5"/>
      <c r="G172" s="5"/>
      <c r="H172" s="5"/>
      <c r="I172" s="5"/>
      <c r="J172" s="5"/>
      <c r="K172" s="5"/>
      <c r="L172" s="5"/>
      <c r="M172" s="5"/>
      <c r="N172" s="5"/>
      <c r="O172" s="8"/>
      <c r="P172" s="8">
        <v>1.5</v>
      </c>
      <c r="Q172" s="6">
        <v>1</v>
      </c>
      <c r="R172" s="5"/>
      <c r="S172" s="5"/>
      <c r="T172" s="6">
        <f t="shared" si="9"/>
        <v>2.5</v>
      </c>
      <c r="U172" s="9" t="s">
        <v>310</v>
      </c>
      <c r="V172" s="1"/>
      <c r="W172" s="1"/>
      <c r="X172" s="1"/>
      <c r="Y172" s="1"/>
      <c r="Z172" s="1"/>
    </row>
    <row r="173" spans="1:26" ht="39.75" customHeight="1">
      <c r="A173" s="171"/>
      <c r="B173" s="168" t="s">
        <v>311</v>
      </c>
      <c r="C173" s="168" t="s">
        <v>312</v>
      </c>
      <c r="D173" s="5">
        <v>164</v>
      </c>
      <c r="E173" s="5" t="s">
        <v>313</v>
      </c>
      <c r="F173" s="5"/>
      <c r="G173" s="8"/>
      <c r="H173" s="8"/>
      <c r="I173" s="5"/>
      <c r="J173" s="5"/>
      <c r="K173" s="5"/>
      <c r="L173" s="5"/>
      <c r="M173" s="5"/>
      <c r="N173" s="5"/>
      <c r="O173" s="5"/>
      <c r="P173" s="5"/>
      <c r="Q173" s="5"/>
      <c r="R173" s="5"/>
      <c r="S173" s="5"/>
      <c r="T173" s="6">
        <f t="shared" si="9"/>
        <v>0</v>
      </c>
      <c r="U173" s="9"/>
      <c r="V173" s="1"/>
      <c r="W173" s="1"/>
      <c r="X173" s="1"/>
      <c r="Y173" s="1"/>
      <c r="Z173" s="1"/>
    </row>
    <row r="174" spans="1:26" ht="39.75" customHeight="1">
      <c r="A174" s="171"/>
      <c r="B174" s="171"/>
      <c r="C174" s="171"/>
      <c r="D174" s="5">
        <v>165</v>
      </c>
      <c r="E174" s="5" t="s">
        <v>314</v>
      </c>
      <c r="F174" s="5"/>
      <c r="G174" s="8"/>
      <c r="H174" s="8"/>
      <c r="I174" s="5"/>
      <c r="J174" s="5"/>
      <c r="K174" s="5"/>
      <c r="L174" s="5"/>
      <c r="M174" s="5"/>
      <c r="N174" s="5"/>
      <c r="O174" s="5"/>
      <c r="P174" s="5"/>
      <c r="Q174" s="5"/>
      <c r="R174" s="5"/>
      <c r="S174" s="5"/>
      <c r="T174" s="6">
        <f t="shared" si="9"/>
        <v>0</v>
      </c>
      <c r="U174" s="9"/>
      <c r="V174" s="1"/>
      <c r="W174" s="1"/>
      <c r="X174" s="1"/>
      <c r="Y174" s="1"/>
      <c r="Z174" s="1"/>
    </row>
    <row r="175" spans="1:26" ht="39.75" customHeight="1">
      <c r="A175" s="171"/>
      <c r="B175" s="171"/>
      <c r="C175" s="171"/>
      <c r="D175" s="5">
        <v>166</v>
      </c>
      <c r="E175" s="5" t="s">
        <v>315</v>
      </c>
      <c r="F175" s="5"/>
      <c r="G175" s="8"/>
      <c r="H175" s="8"/>
      <c r="I175" s="5"/>
      <c r="J175" s="5"/>
      <c r="K175" s="5"/>
      <c r="L175" s="5"/>
      <c r="M175" s="5"/>
      <c r="N175" s="5"/>
      <c r="O175" s="5"/>
      <c r="P175" s="5"/>
      <c r="Q175" s="5"/>
      <c r="R175" s="5"/>
      <c r="S175" s="5"/>
      <c r="T175" s="6">
        <f t="shared" si="9"/>
        <v>0</v>
      </c>
      <c r="U175" s="9"/>
      <c r="V175" s="1"/>
      <c r="W175" s="1"/>
      <c r="X175" s="1"/>
      <c r="Y175" s="1"/>
      <c r="Z175" s="1"/>
    </row>
    <row r="176" spans="1:26" ht="39.75" customHeight="1">
      <c r="A176" s="171"/>
      <c r="B176" s="171"/>
      <c r="C176" s="171"/>
      <c r="D176" s="5">
        <v>167</v>
      </c>
      <c r="E176" s="5" t="s">
        <v>316</v>
      </c>
      <c r="F176" s="5"/>
      <c r="G176" s="8"/>
      <c r="H176" s="8"/>
      <c r="I176" s="5"/>
      <c r="J176" s="5"/>
      <c r="K176" s="5"/>
      <c r="L176" s="5"/>
      <c r="M176" s="5"/>
      <c r="N176" s="5"/>
      <c r="O176" s="5"/>
      <c r="P176" s="5"/>
      <c r="Q176" s="5"/>
      <c r="R176" s="5"/>
      <c r="S176" s="5"/>
      <c r="T176" s="6">
        <f t="shared" si="9"/>
        <v>0</v>
      </c>
      <c r="U176" s="9"/>
      <c r="V176" s="1"/>
      <c r="W176" s="1"/>
      <c r="X176" s="1"/>
      <c r="Y176" s="1"/>
      <c r="Z176" s="1"/>
    </row>
    <row r="177" spans="1:26" ht="39.75" customHeight="1">
      <c r="A177" s="171"/>
      <c r="B177" s="171"/>
      <c r="C177" s="171"/>
      <c r="D177" s="5">
        <v>168</v>
      </c>
      <c r="E177" s="5" t="s">
        <v>317</v>
      </c>
      <c r="F177" s="5"/>
      <c r="G177" s="8"/>
      <c r="H177" s="8"/>
      <c r="I177" s="5"/>
      <c r="J177" s="5"/>
      <c r="K177" s="5"/>
      <c r="L177" s="5"/>
      <c r="M177" s="5"/>
      <c r="N177" s="5"/>
      <c r="O177" s="5"/>
      <c r="P177" s="5"/>
      <c r="Q177" s="5"/>
      <c r="R177" s="5"/>
      <c r="S177" s="5"/>
      <c r="T177" s="6">
        <f t="shared" si="9"/>
        <v>0</v>
      </c>
      <c r="U177" s="9"/>
      <c r="V177" s="1"/>
      <c r="W177" s="1"/>
      <c r="X177" s="1"/>
      <c r="Y177" s="1"/>
      <c r="Z177" s="1"/>
    </row>
    <row r="178" spans="1:26" ht="39.75" customHeight="1">
      <c r="A178" s="171"/>
      <c r="B178" s="171"/>
      <c r="C178" s="171"/>
      <c r="D178" s="5">
        <v>169</v>
      </c>
      <c r="E178" s="5" t="s">
        <v>318</v>
      </c>
      <c r="F178" s="5"/>
      <c r="G178" s="8"/>
      <c r="H178" s="8"/>
      <c r="I178" s="6"/>
      <c r="J178" s="5"/>
      <c r="K178" s="5"/>
      <c r="L178" s="5"/>
      <c r="M178" s="5"/>
      <c r="N178" s="5"/>
      <c r="O178" s="5"/>
      <c r="P178" s="5"/>
      <c r="Q178" s="5"/>
      <c r="R178" s="5"/>
      <c r="S178" s="5"/>
      <c r="T178" s="6">
        <f t="shared" si="9"/>
        <v>0</v>
      </c>
      <c r="U178" s="9"/>
      <c r="V178" s="1"/>
      <c r="W178" s="1"/>
      <c r="X178" s="1"/>
      <c r="Y178" s="1"/>
      <c r="Z178" s="1"/>
    </row>
    <row r="179" spans="1:26" ht="39.75" customHeight="1">
      <c r="A179" s="171"/>
      <c r="B179" s="169"/>
      <c r="C179" s="169"/>
      <c r="D179" s="5">
        <v>170</v>
      </c>
      <c r="E179" s="5" t="s">
        <v>319</v>
      </c>
      <c r="F179" s="5"/>
      <c r="G179" s="5"/>
      <c r="H179" s="5"/>
      <c r="I179" s="5"/>
      <c r="J179" s="5"/>
      <c r="K179" s="5"/>
      <c r="L179" s="5"/>
      <c r="M179" s="5"/>
      <c r="N179" s="5"/>
      <c r="O179" s="5"/>
      <c r="P179" s="5"/>
      <c r="Q179" s="5"/>
      <c r="R179" s="5"/>
      <c r="S179" s="5"/>
      <c r="T179" s="6">
        <f t="shared" si="9"/>
        <v>0</v>
      </c>
      <c r="U179" s="9"/>
      <c r="V179" s="1"/>
      <c r="W179" s="1"/>
      <c r="X179" s="1"/>
      <c r="Y179" s="1"/>
      <c r="Z179" s="1"/>
    </row>
    <row r="180" spans="1:26" ht="39.75" customHeight="1">
      <c r="A180" s="171"/>
      <c r="B180" s="168" t="s">
        <v>320</v>
      </c>
      <c r="C180" s="168" t="s">
        <v>321</v>
      </c>
      <c r="D180" s="5">
        <v>171</v>
      </c>
      <c r="E180" s="5" t="s">
        <v>322</v>
      </c>
      <c r="F180" s="5"/>
      <c r="G180" s="5"/>
      <c r="H180" s="5"/>
      <c r="I180" s="5"/>
      <c r="J180" s="5"/>
      <c r="K180" s="5"/>
      <c r="L180" s="5"/>
      <c r="M180" s="5"/>
      <c r="N180" s="5"/>
      <c r="O180" s="5"/>
      <c r="P180" s="5"/>
      <c r="Q180" s="5"/>
      <c r="R180" s="5"/>
      <c r="S180" s="5"/>
      <c r="T180" s="6">
        <f t="shared" si="9"/>
        <v>0</v>
      </c>
      <c r="U180" s="9"/>
      <c r="V180" s="1"/>
      <c r="W180" s="1"/>
      <c r="X180" s="1"/>
      <c r="Y180" s="1"/>
      <c r="Z180" s="1"/>
    </row>
    <row r="181" spans="1:26" ht="39.75" customHeight="1">
      <c r="A181" s="171"/>
      <c r="B181" s="171"/>
      <c r="C181" s="171"/>
      <c r="D181" s="5">
        <v>172</v>
      </c>
      <c r="E181" s="5" t="s">
        <v>323</v>
      </c>
      <c r="F181" s="5"/>
      <c r="G181" s="5"/>
      <c r="H181" s="5"/>
      <c r="I181" s="5"/>
      <c r="J181" s="5"/>
      <c r="K181" s="5"/>
      <c r="L181" s="5"/>
      <c r="M181" s="5"/>
      <c r="N181" s="5"/>
      <c r="O181" s="5"/>
      <c r="P181" s="6"/>
      <c r="Q181" s="5"/>
      <c r="R181" s="5"/>
      <c r="S181" s="5"/>
      <c r="T181" s="6">
        <f t="shared" si="9"/>
        <v>0</v>
      </c>
      <c r="U181" s="9"/>
      <c r="V181" s="1"/>
      <c r="W181" s="1"/>
      <c r="X181" s="1"/>
      <c r="Y181" s="1"/>
      <c r="Z181" s="1"/>
    </row>
    <row r="182" spans="1:26" ht="39.75" customHeight="1">
      <c r="A182" s="171"/>
      <c r="B182" s="171"/>
      <c r="C182" s="171"/>
      <c r="D182" s="5">
        <v>173</v>
      </c>
      <c r="E182" s="5" t="s">
        <v>324</v>
      </c>
      <c r="F182" s="5"/>
      <c r="G182" s="5"/>
      <c r="H182" s="5"/>
      <c r="I182" s="5"/>
      <c r="J182" s="5"/>
      <c r="K182" s="5"/>
      <c r="L182" s="5"/>
      <c r="M182" s="5"/>
      <c r="N182" s="5"/>
      <c r="O182" s="5"/>
      <c r="P182" s="5"/>
      <c r="Q182" s="5"/>
      <c r="R182" s="5"/>
      <c r="S182" s="5"/>
      <c r="T182" s="6">
        <f t="shared" si="9"/>
        <v>0</v>
      </c>
      <c r="U182" s="9"/>
      <c r="V182" s="1"/>
      <c r="W182" s="1"/>
      <c r="X182" s="1"/>
      <c r="Y182" s="1"/>
      <c r="Z182" s="1"/>
    </row>
    <row r="183" spans="1:26" ht="39.75" customHeight="1">
      <c r="A183" s="171"/>
      <c r="B183" s="169"/>
      <c r="C183" s="169"/>
      <c r="D183" s="5">
        <v>174</v>
      </c>
      <c r="E183" s="5" t="s">
        <v>325</v>
      </c>
      <c r="F183" s="5"/>
      <c r="G183" s="5"/>
      <c r="H183" s="5"/>
      <c r="I183" s="5"/>
      <c r="J183" s="5"/>
      <c r="K183" s="5"/>
      <c r="L183" s="5"/>
      <c r="M183" s="5"/>
      <c r="N183" s="5"/>
      <c r="O183" s="5"/>
      <c r="P183" s="6"/>
      <c r="Q183" s="5"/>
      <c r="R183" s="5"/>
      <c r="S183" s="5"/>
      <c r="T183" s="6">
        <f t="shared" si="9"/>
        <v>0</v>
      </c>
      <c r="U183" s="9"/>
      <c r="V183" s="1"/>
      <c r="W183" s="1"/>
      <c r="X183" s="1"/>
      <c r="Y183" s="1"/>
      <c r="Z183" s="1"/>
    </row>
    <row r="184" spans="1:26" ht="39.75" customHeight="1">
      <c r="A184" s="171"/>
      <c r="B184" s="168" t="s">
        <v>326</v>
      </c>
      <c r="C184" s="168" t="s">
        <v>267</v>
      </c>
      <c r="D184" s="5">
        <v>175</v>
      </c>
      <c r="E184" s="5" t="s">
        <v>268</v>
      </c>
      <c r="F184" s="134"/>
      <c r="G184" s="134"/>
      <c r="H184" s="134"/>
      <c r="I184" s="140">
        <v>6.8</v>
      </c>
      <c r="J184" s="134"/>
      <c r="K184" s="134"/>
      <c r="L184" s="134"/>
      <c r="M184" s="134"/>
      <c r="N184" s="136">
        <f>6.02+1.5</f>
        <v>7.52</v>
      </c>
      <c r="O184" s="134"/>
      <c r="P184" s="135">
        <v>4</v>
      </c>
      <c r="Q184" s="137">
        <v>4.2857000000000003</v>
      </c>
      <c r="R184" s="135">
        <f>0.504+0.252</f>
        <v>0.75600000000000001</v>
      </c>
      <c r="S184" s="135"/>
      <c r="T184" s="136">
        <f t="shared" ref="T184:T186" si="12">SUM(F184:S184)</f>
        <v>23.361699999999999</v>
      </c>
      <c r="U184" s="138" t="s">
        <v>842</v>
      </c>
      <c r="V184" s="1"/>
      <c r="W184" s="1"/>
      <c r="X184" s="1"/>
      <c r="Y184" s="1"/>
      <c r="Z184" s="1"/>
    </row>
    <row r="185" spans="1:26" ht="39.75" customHeight="1">
      <c r="A185" s="171"/>
      <c r="B185" s="171"/>
      <c r="C185" s="171"/>
      <c r="D185" s="5">
        <v>176</v>
      </c>
      <c r="E185" s="5" t="s">
        <v>269</v>
      </c>
      <c r="F185" s="134"/>
      <c r="G185" s="134"/>
      <c r="H185" s="134"/>
      <c r="I185" s="134"/>
      <c r="J185" s="134"/>
      <c r="K185" s="134"/>
      <c r="L185" s="134"/>
      <c r="M185" s="140">
        <v>20.399999999999999</v>
      </c>
      <c r="N185" s="134"/>
      <c r="O185" s="134"/>
      <c r="P185" s="135">
        <v>37.884999999999998</v>
      </c>
      <c r="Q185" s="135">
        <v>3.89</v>
      </c>
      <c r="R185" s="134"/>
      <c r="S185" s="134"/>
      <c r="T185" s="136">
        <f t="shared" si="12"/>
        <v>62.174999999999997</v>
      </c>
      <c r="U185" s="138" t="s">
        <v>843</v>
      </c>
      <c r="V185" s="1"/>
      <c r="W185" s="1"/>
      <c r="X185" s="1"/>
      <c r="Y185" s="1"/>
      <c r="Z185" s="1"/>
    </row>
    <row r="186" spans="1:26" ht="39.75" customHeight="1">
      <c r="A186" s="171"/>
      <c r="B186" s="169"/>
      <c r="C186" s="169"/>
      <c r="D186" s="5">
        <v>177</v>
      </c>
      <c r="E186" s="5" t="s">
        <v>270</v>
      </c>
      <c r="F186" s="134"/>
      <c r="G186" s="134"/>
      <c r="H186" s="134"/>
      <c r="I186" s="134"/>
      <c r="J186" s="134"/>
      <c r="K186" s="134"/>
      <c r="L186" s="134"/>
      <c r="M186" s="134"/>
      <c r="N186" s="136">
        <v>1</v>
      </c>
      <c r="O186" s="134"/>
      <c r="P186" s="134"/>
      <c r="Q186" s="134"/>
      <c r="R186" s="134"/>
      <c r="S186" s="134"/>
      <c r="T186" s="136">
        <f t="shared" si="12"/>
        <v>1</v>
      </c>
      <c r="U186" s="138" t="s">
        <v>839</v>
      </c>
      <c r="V186" s="1"/>
      <c r="W186" s="1"/>
      <c r="X186" s="1"/>
      <c r="Y186" s="1"/>
      <c r="Z186" s="1"/>
    </row>
    <row r="187" spans="1:26" ht="39.75" customHeight="1">
      <c r="A187" s="171"/>
      <c r="B187" s="168" t="s">
        <v>327</v>
      </c>
      <c r="C187" s="168" t="s">
        <v>328</v>
      </c>
      <c r="D187" s="5">
        <v>178</v>
      </c>
      <c r="E187" s="5" t="s">
        <v>329</v>
      </c>
      <c r="F187" s="5"/>
      <c r="G187" s="5"/>
      <c r="H187" s="5"/>
      <c r="I187" s="5"/>
      <c r="J187" s="5"/>
      <c r="K187" s="5"/>
      <c r="L187" s="5"/>
      <c r="M187" s="5"/>
      <c r="N187" s="5"/>
      <c r="O187" s="5"/>
      <c r="P187" s="5"/>
      <c r="Q187" s="5"/>
      <c r="R187" s="5"/>
      <c r="S187" s="5"/>
      <c r="T187" s="6">
        <f t="shared" si="9"/>
        <v>0</v>
      </c>
      <c r="U187" s="9"/>
      <c r="V187" s="1"/>
      <c r="W187" s="1"/>
      <c r="X187" s="1"/>
      <c r="Y187" s="1"/>
      <c r="Z187" s="1"/>
    </row>
    <row r="188" spans="1:26" ht="39.75" customHeight="1">
      <c r="A188" s="171"/>
      <c r="B188" s="171"/>
      <c r="C188" s="171"/>
      <c r="D188" s="5">
        <v>179</v>
      </c>
      <c r="E188" s="5" t="s">
        <v>149</v>
      </c>
      <c r="F188" s="5"/>
      <c r="G188" s="5"/>
      <c r="H188" s="5"/>
      <c r="I188" s="5"/>
      <c r="J188" s="5"/>
      <c r="K188" s="5"/>
      <c r="L188" s="5"/>
      <c r="M188" s="5"/>
      <c r="N188" s="5"/>
      <c r="O188" s="5"/>
      <c r="P188" s="5"/>
      <c r="Q188" s="5"/>
      <c r="R188" s="5"/>
      <c r="S188" s="5"/>
      <c r="T188" s="6">
        <f t="shared" si="9"/>
        <v>0</v>
      </c>
      <c r="U188" s="9"/>
      <c r="V188" s="1"/>
      <c r="W188" s="1"/>
      <c r="X188" s="1"/>
      <c r="Y188" s="1"/>
      <c r="Z188" s="1"/>
    </row>
    <row r="189" spans="1:26" ht="39.75" customHeight="1">
      <c r="A189" s="171"/>
      <c r="B189" s="171"/>
      <c r="C189" s="171"/>
      <c r="D189" s="5">
        <v>180</v>
      </c>
      <c r="E189" s="5" t="s">
        <v>330</v>
      </c>
      <c r="F189" s="5"/>
      <c r="G189" s="5"/>
      <c r="H189" s="5"/>
      <c r="I189" s="5"/>
      <c r="J189" s="5"/>
      <c r="K189" s="6"/>
      <c r="L189" s="5"/>
      <c r="M189" s="5"/>
      <c r="N189" s="5"/>
      <c r="O189" s="5"/>
      <c r="P189" s="8"/>
      <c r="Q189" s="5"/>
      <c r="R189" s="5"/>
      <c r="S189" s="5"/>
      <c r="T189" s="6">
        <f t="shared" si="9"/>
        <v>0</v>
      </c>
      <c r="U189" s="9"/>
      <c r="V189" s="1"/>
      <c r="W189" s="1"/>
      <c r="X189" s="1"/>
      <c r="Y189" s="1"/>
      <c r="Z189" s="1"/>
    </row>
    <row r="190" spans="1:26" ht="39.75" customHeight="1">
      <c r="A190" s="171"/>
      <c r="B190" s="171"/>
      <c r="C190" s="171"/>
      <c r="D190" s="5">
        <v>181</v>
      </c>
      <c r="E190" s="5" t="s">
        <v>331</v>
      </c>
      <c r="F190" s="5"/>
      <c r="G190" s="5"/>
      <c r="H190" s="5"/>
      <c r="I190" s="5"/>
      <c r="J190" s="5"/>
      <c r="K190" s="5"/>
      <c r="L190" s="5"/>
      <c r="M190" s="5"/>
      <c r="N190" s="5"/>
      <c r="O190" s="5"/>
      <c r="P190" s="5"/>
      <c r="Q190" s="5"/>
      <c r="R190" s="5"/>
      <c r="S190" s="5"/>
      <c r="T190" s="6">
        <f t="shared" si="9"/>
        <v>0</v>
      </c>
      <c r="U190" s="9"/>
      <c r="V190" s="1"/>
      <c r="W190" s="1"/>
      <c r="X190" s="1"/>
      <c r="Y190" s="1"/>
      <c r="Z190" s="1"/>
    </row>
    <row r="191" spans="1:26" ht="39.75" customHeight="1">
      <c r="A191" s="171"/>
      <c r="B191" s="171"/>
      <c r="C191" s="171"/>
      <c r="D191" s="5">
        <v>182</v>
      </c>
      <c r="E191" s="5" t="s">
        <v>332</v>
      </c>
      <c r="F191" s="5"/>
      <c r="G191" s="5"/>
      <c r="H191" s="5"/>
      <c r="I191" s="5"/>
      <c r="J191" s="5"/>
      <c r="K191" s="5"/>
      <c r="L191" s="5"/>
      <c r="M191" s="5"/>
      <c r="N191" s="5"/>
      <c r="O191" s="5"/>
      <c r="P191" s="6">
        <v>20.63</v>
      </c>
      <c r="Q191" s="5"/>
      <c r="R191" s="5"/>
      <c r="S191" s="5"/>
      <c r="T191" s="6">
        <f t="shared" si="9"/>
        <v>20.63</v>
      </c>
      <c r="U191" s="9" t="s">
        <v>333</v>
      </c>
      <c r="V191" s="1"/>
      <c r="W191" s="1"/>
      <c r="X191" s="1"/>
      <c r="Y191" s="1"/>
      <c r="Z191" s="1"/>
    </row>
    <row r="192" spans="1:26" ht="39.75" customHeight="1">
      <c r="A192" s="171"/>
      <c r="B192" s="169"/>
      <c r="C192" s="169"/>
      <c r="D192" s="5">
        <v>183</v>
      </c>
      <c r="E192" s="5" t="s">
        <v>334</v>
      </c>
      <c r="F192" s="5"/>
      <c r="G192" s="5"/>
      <c r="H192" s="5"/>
      <c r="I192" s="5"/>
      <c r="J192" s="5"/>
      <c r="K192" s="5"/>
      <c r="L192" s="5"/>
      <c r="M192" s="5"/>
      <c r="N192" s="5"/>
      <c r="O192" s="5"/>
      <c r="P192" s="8"/>
      <c r="Q192" s="5"/>
      <c r="R192" s="5"/>
      <c r="S192" s="5"/>
      <c r="T192" s="6">
        <f t="shared" si="9"/>
        <v>0</v>
      </c>
      <c r="U192" s="9"/>
      <c r="V192" s="1"/>
      <c r="W192" s="1"/>
      <c r="X192" s="1"/>
      <c r="Y192" s="1"/>
      <c r="Z192" s="1"/>
    </row>
    <row r="193" spans="1:26" ht="39.75" customHeight="1">
      <c r="A193" s="171"/>
      <c r="B193" s="5" t="s">
        <v>335</v>
      </c>
      <c r="C193" s="5" t="s">
        <v>336</v>
      </c>
      <c r="D193" s="5">
        <v>184</v>
      </c>
      <c r="E193" s="5" t="s">
        <v>337</v>
      </c>
      <c r="F193" s="5"/>
      <c r="G193" s="5"/>
      <c r="H193" s="5"/>
      <c r="I193" s="5"/>
      <c r="J193" s="5"/>
      <c r="K193" s="5"/>
      <c r="L193" s="5"/>
      <c r="M193" s="5"/>
      <c r="N193" s="5"/>
      <c r="O193" s="5"/>
      <c r="P193" s="6"/>
      <c r="Q193" s="5"/>
      <c r="R193" s="5"/>
      <c r="S193" s="5"/>
      <c r="T193" s="6">
        <f t="shared" si="9"/>
        <v>0</v>
      </c>
      <c r="U193" s="9"/>
      <c r="V193" s="1"/>
      <c r="W193" s="1"/>
      <c r="X193" s="1"/>
      <c r="Y193" s="1"/>
      <c r="Z193" s="1"/>
    </row>
    <row r="194" spans="1:26" ht="39.75" customHeight="1">
      <c r="A194" s="171"/>
      <c r="B194" s="168" t="s">
        <v>338</v>
      </c>
      <c r="C194" s="168" t="s">
        <v>272</v>
      </c>
      <c r="D194" s="5">
        <v>185</v>
      </c>
      <c r="E194" s="5" t="s">
        <v>273</v>
      </c>
      <c r="F194" s="5"/>
      <c r="G194" s="5"/>
      <c r="H194" s="5"/>
      <c r="I194" s="5"/>
      <c r="J194" s="5"/>
      <c r="K194" s="5"/>
      <c r="L194" s="5"/>
      <c r="M194" s="5"/>
      <c r="N194" s="5"/>
      <c r="O194" s="5"/>
      <c r="P194" s="5"/>
      <c r="Q194" s="5"/>
      <c r="R194" s="5">
        <v>1507.75</v>
      </c>
      <c r="S194" s="5"/>
      <c r="T194" s="6">
        <f t="shared" si="9"/>
        <v>1507.75</v>
      </c>
      <c r="U194" s="9" t="s">
        <v>639</v>
      </c>
      <c r="V194" s="1"/>
      <c r="W194" s="1"/>
      <c r="X194" s="1"/>
      <c r="Y194" s="1"/>
      <c r="Z194" s="1"/>
    </row>
    <row r="195" spans="1:26" ht="39.75" customHeight="1">
      <c r="A195" s="171"/>
      <c r="B195" s="171"/>
      <c r="C195" s="171"/>
      <c r="D195" s="5">
        <v>186</v>
      </c>
      <c r="E195" s="5" t="s">
        <v>274</v>
      </c>
      <c r="F195" s="5"/>
      <c r="G195" s="5"/>
      <c r="H195" s="5"/>
      <c r="I195" s="5"/>
      <c r="J195" s="5"/>
      <c r="K195" s="5"/>
      <c r="L195" s="5"/>
      <c r="M195" s="5"/>
      <c r="N195" s="5"/>
      <c r="O195" s="5"/>
      <c r="P195" s="8">
        <v>5.18</v>
      </c>
      <c r="Q195" s="6"/>
      <c r="R195" s="5"/>
      <c r="S195" s="5"/>
      <c r="T195" s="6">
        <f t="shared" si="9"/>
        <v>5.18</v>
      </c>
      <c r="U195" s="76" t="s">
        <v>636</v>
      </c>
      <c r="V195" s="1"/>
      <c r="W195" s="1"/>
      <c r="X195" s="1"/>
      <c r="Y195" s="1"/>
      <c r="Z195" s="1"/>
    </row>
    <row r="196" spans="1:26" ht="39.75" customHeight="1">
      <c r="A196" s="171"/>
      <c r="B196" s="171"/>
      <c r="C196" s="171"/>
      <c r="D196" s="5">
        <v>187</v>
      </c>
      <c r="E196" s="5" t="s">
        <v>339</v>
      </c>
      <c r="F196" s="5"/>
      <c r="G196" s="5"/>
      <c r="H196" s="5"/>
      <c r="I196" s="5"/>
      <c r="J196" s="5"/>
      <c r="K196" s="5"/>
      <c r="L196" s="5"/>
      <c r="M196" s="5"/>
      <c r="N196" s="5"/>
      <c r="O196" s="5"/>
      <c r="P196" s="5"/>
      <c r="Q196" s="5"/>
      <c r="R196" s="5"/>
      <c r="S196" s="5"/>
      <c r="T196" s="6">
        <f t="shared" si="9"/>
        <v>0</v>
      </c>
      <c r="U196" s="9"/>
      <c r="V196" s="1"/>
      <c r="W196" s="1"/>
      <c r="X196" s="1"/>
      <c r="Y196" s="1"/>
      <c r="Z196" s="1"/>
    </row>
    <row r="197" spans="1:26" ht="39.75" customHeight="1">
      <c r="A197" s="171"/>
      <c r="B197" s="171"/>
      <c r="C197" s="171"/>
      <c r="D197" s="5">
        <v>188</v>
      </c>
      <c r="E197" s="5" t="s">
        <v>275</v>
      </c>
      <c r="F197" s="5"/>
      <c r="G197" s="5"/>
      <c r="H197" s="5"/>
      <c r="I197" s="5"/>
      <c r="J197" s="5"/>
      <c r="K197" s="5"/>
      <c r="L197" s="5"/>
      <c r="M197" s="5"/>
      <c r="N197" s="5"/>
      <c r="O197" s="5"/>
      <c r="P197" s="5"/>
      <c r="Q197" s="5"/>
      <c r="R197" s="5"/>
      <c r="S197" s="5"/>
      <c r="T197" s="6">
        <f t="shared" si="9"/>
        <v>0</v>
      </c>
      <c r="U197" s="9"/>
      <c r="V197" s="1"/>
      <c r="W197" s="1"/>
      <c r="X197" s="1"/>
      <c r="Y197" s="1"/>
      <c r="Z197" s="1"/>
    </row>
    <row r="198" spans="1:26" ht="39.75" customHeight="1">
      <c r="A198" s="171"/>
      <c r="B198" s="171"/>
      <c r="C198" s="171"/>
      <c r="D198" s="5">
        <v>189</v>
      </c>
      <c r="E198" s="5" t="s">
        <v>276</v>
      </c>
      <c r="F198" s="5"/>
      <c r="G198" s="5"/>
      <c r="H198" s="5"/>
      <c r="I198" s="5"/>
      <c r="J198" s="5"/>
      <c r="K198" s="5"/>
      <c r="L198" s="5"/>
      <c r="M198" s="5"/>
      <c r="N198" s="5"/>
      <c r="O198" s="5"/>
      <c r="P198" s="5"/>
      <c r="Q198" s="5"/>
      <c r="R198" s="5"/>
      <c r="S198" s="5"/>
      <c r="T198" s="6">
        <f t="shared" ref="T198:T208" si="13">SUM(F198:S198)</f>
        <v>0</v>
      </c>
      <c r="U198" s="9"/>
      <c r="V198" s="1"/>
      <c r="W198" s="1"/>
      <c r="X198" s="1"/>
      <c r="Y198" s="1"/>
      <c r="Z198" s="1"/>
    </row>
    <row r="199" spans="1:26" ht="39.75" customHeight="1">
      <c r="A199" s="171"/>
      <c r="B199" s="169"/>
      <c r="C199" s="169"/>
      <c r="D199" s="5">
        <v>190</v>
      </c>
      <c r="E199" s="5" t="s">
        <v>340</v>
      </c>
      <c r="F199" s="5"/>
      <c r="G199" s="5"/>
      <c r="H199" s="5"/>
      <c r="I199" s="5"/>
      <c r="J199" s="5"/>
      <c r="K199" s="5"/>
      <c r="L199" s="5"/>
      <c r="M199" s="5"/>
      <c r="N199" s="5"/>
      <c r="O199" s="5"/>
      <c r="P199" s="8"/>
      <c r="Q199" s="5"/>
      <c r="R199" s="5"/>
      <c r="S199" s="5"/>
      <c r="T199" s="6">
        <f t="shared" si="13"/>
        <v>0</v>
      </c>
      <c r="U199" s="9"/>
      <c r="V199" s="1"/>
      <c r="W199" s="1"/>
      <c r="X199" s="1"/>
      <c r="Y199" s="1"/>
      <c r="Z199" s="1"/>
    </row>
    <row r="200" spans="1:26" ht="39.75" customHeight="1">
      <c r="A200" s="171"/>
      <c r="B200" s="168" t="s">
        <v>341</v>
      </c>
      <c r="C200" s="168" t="s">
        <v>342</v>
      </c>
      <c r="D200" s="5">
        <v>191</v>
      </c>
      <c r="E200" s="5" t="s">
        <v>343</v>
      </c>
      <c r="F200" s="5"/>
      <c r="G200" s="5"/>
      <c r="H200" s="5"/>
      <c r="I200" s="5"/>
      <c r="J200" s="5"/>
      <c r="K200" s="5"/>
      <c r="L200" s="5"/>
      <c r="M200" s="5"/>
      <c r="N200" s="6"/>
      <c r="O200" s="5"/>
      <c r="P200" s="5"/>
      <c r="Q200" s="5"/>
      <c r="R200" s="5"/>
      <c r="S200" s="5"/>
      <c r="T200" s="6">
        <f t="shared" si="13"/>
        <v>0</v>
      </c>
      <c r="U200" s="9"/>
      <c r="V200" s="1"/>
      <c r="W200" s="1"/>
      <c r="X200" s="1"/>
      <c r="Y200" s="1"/>
      <c r="Z200" s="1"/>
    </row>
    <row r="201" spans="1:26" ht="39.75" customHeight="1">
      <c r="A201" s="171"/>
      <c r="B201" s="169"/>
      <c r="C201" s="169"/>
      <c r="D201" s="5">
        <v>192</v>
      </c>
      <c r="E201" s="5" t="s">
        <v>345</v>
      </c>
      <c r="F201" s="5"/>
      <c r="G201" s="5"/>
      <c r="H201" s="8"/>
      <c r="I201" s="5"/>
      <c r="J201" s="5"/>
      <c r="K201" s="5"/>
      <c r="L201" s="5"/>
      <c r="M201" s="5"/>
      <c r="N201" s="6">
        <v>0.5</v>
      </c>
      <c r="O201" s="5"/>
      <c r="P201" s="6">
        <v>15</v>
      </c>
      <c r="Q201" s="8"/>
      <c r="R201" s="5"/>
      <c r="S201" s="5"/>
      <c r="T201" s="6">
        <f t="shared" si="13"/>
        <v>15.5</v>
      </c>
      <c r="U201" s="61" t="s">
        <v>652</v>
      </c>
      <c r="V201" s="1"/>
      <c r="W201" s="1"/>
      <c r="X201" s="1"/>
      <c r="Y201" s="1"/>
      <c r="Z201" s="1"/>
    </row>
    <row r="202" spans="1:26" ht="39.75" customHeight="1">
      <c r="A202" s="171"/>
      <c r="B202" s="168" t="s">
        <v>346</v>
      </c>
      <c r="C202" s="168" t="s">
        <v>278</v>
      </c>
      <c r="D202" s="5">
        <v>193</v>
      </c>
      <c r="E202" s="5" t="s">
        <v>347</v>
      </c>
      <c r="F202" s="5"/>
      <c r="G202" s="5"/>
      <c r="H202" s="5"/>
      <c r="I202" s="5"/>
      <c r="J202" s="5"/>
      <c r="K202" s="5"/>
      <c r="L202" s="5"/>
      <c r="M202" s="5"/>
      <c r="N202" s="5"/>
      <c r="O202" s="5"/>
      <c r="P202" s="6"/>
      <c r="Q202" s="5"/>
      <c r="R202" s="5"/>
      <c r="S202" s="8"/>
      <c r="T202" s="6">
        <f t="shared" si="13"/>
        <v>0</v>
      </c>
      <c r="U202" s="9"/>
      <c r="V202" s="1"/>
      <c r="W202" s="1"/>
      <c r="X202" s="1"/>
      <c r="Y202" s="1"/>
      <c r="Z202" s="1"/>
    </row>
    <row r="203" spans="1:26" ht="39.75" customHeight="1">
      <c r="A203" s="171"/>
      <c r="B203" s="169"/>
      <c r="C203" s="169"/>
      <c r="D203" s="5">
        <v>194</v>
      </c>
      <c r="E203" s="5" t="s">
        <v>279</v>
      </c>
      <c r="F203" s="5"/>
      <c r="G203" s="5"/>
      <c r="H203" s="5"/>
      <c r="I203" s="5"/>
      <c r="J203" s="5"/>
      <c r="K203" s="5"/>
      <c r="L203" s="5"/>
      <c r="M203" s="5"/>
      <c r="N203" s="6"/>
      <c r="O203" s="5"/>
      <c r="P203" s="5"/>
      <c r="Q203" s="6"/>
      <c r="R203" s="6">
        <v>37.79</v>
      </c>
      <c r="S203" s="5"/>
      <c r="T203" s="6">
        <f t="shared" si="13"/>
        <v>37.79</v>
      </c>
      <c r="U203" s="9" t="s">
        <v>629</v>
      </c>
      <c r="V203" s="1"/>
      <c r="W203" s="1"/>
      <c r="X203" s="1"/>
      <c r="Y203" s="1"/>
      <c r="Z203" s="1"/>
    </row>
    <row r="204" spans="1:26" ht="39.75" customHeight="1">
      <c r="A204" s="171"/>
      <c r="B204" s="168" t="s">
        <v>348</v>
      </c>
      <c r="C204" s="168" t="s">
        <v>349</v>
      </c>
      <c r="D204" s="5">
        <v>195</v>
      </c>
      <c r="E204" s="5" t="s">
        <v>350</v>
      </c>
      <c r="F204" s="5"/>
      <c r="G204" s="5"/>
      <c r="H204" s="5"/>
      <c r="I204" s="5"/>
      <c r="J204" s="5"/>
      <c r="K204" s="5"/>
      <c r="L204" s="5"/>
      <c r="M204" s="5"/>
      <c r="N204" s="5"/>
      <c r="O204" s="5"/>
      <c r="P204" s="6">
        <v>0.7</v>
      </c>
      <c r="Q204" s="8">
        <v>0.79</v>
      </c>
      <c r="R204" s="6">
        <v>1.5</v>
      </c>
      <c r="S204" s="5"/>
      <c r="T204" s="6">
        <f t="shared" si="13"/>
        <v>2.99</v>
      </c>
      <c r="U204" s="61" t="s">
        <v>351</v>
      </c>
      <c r="V204" s="1"/>
      <c r="W204" s="1"/>
      <c r="X204" s="1"/>
      <c r="Y204" s="1"/>
      <c r="Z204" s="1"/>
    </row>
    <row r="205" spans="1:26" ht="39.75" customHeight="1">
      <c r="A205" s="171"/>
      <c r="B205" s="171"/>
      <c r="C205" s="171"/>
      <c r="D205" s="5">
        <v>196</v>
      </c>
      <c r="E205" s="5" t="s">
        <v>352</v>
      </c>
      <c r="F205" s="5"/>
      <c r="G205" s="5"/>
      <c r="H205" s="5"/>
      <c r="I205" s="5"/>
      <c r="J205" s="5"/>
      <c r="K205" s="5"/>
      <c r="L205" s="5"/>
      <c r="M205" s="5"/>
      <c r="N205" s="5"/>
      <c r="O205" s="5"/>
      <c r="P205" s="5"/>
      <c r="Q205" s="5"/>
      <c r="R205" s="5"/>
      <c r="S205" s="5"/>
      <c r="T205" s="6">
        <f t="shared" si="13"/>
        <v>0</v>
      </c>
      <c r="U205" s="9"/>
      <c r="V205" s="1"/>
      <c r="W205" s="1"/>
      <c r="X205" s="1"/>
      <c r="Y205" s="1"/>
      <c r="Z205" s="1"/>
    </row>
    <row r="206" spans="1:26" ht="39.75" customHeight="1">
      <c r="A206" s="171"/>
      <c r="B206" s="169"/>
      <c r="C206" s="169"/>
      <c r="D206" s="5">
        <v>197</v>
      </c>
      <c r="E206" s="5" t="s">
        <v>353</v>
      </c>
      <c r="F206" s="5"/>
      <c r="G206" s="5"/>
      <c r="H206" s="5"/>
      <c r="I206" s="5"/>
      <c r="J206" s="5"/>
      <c r="K206" s="5"/>
      <c r="L206" s="5"/>
      <c r="M206" s="5"/>
      <c r="N206" s="5"/>
      <c r="O206" s="5"/>
      <c r="P206" s="6"/>
      <c r="Q206" s="5"/>
      <c r="R206" s="5"/>
      <c r="S206" s="5"/>
      <c r="T206" s="6">
        <f t="shared" si="13"/>
        <v>0</v>
      </c>
      <c r="U206" s="9"/>
      <c r="V206" s="1"/>
      <c r="W206" s="1"/>
      <c r="X206" s="1"/>
      <c r="Y206" s="1"/>
      <c r="Z206" s="1"/>
    </row>
    <row r="207" spans="1:26" ht="39.75" customHeight="1">
      <c r="A207" s="171"/>
      <c r="B207" s="5" t="s">
        <v>354</v>
      </c>
      <c r="C207" s="5" t="s">
        <v>284</v>
      </c>
      <c r="D207" s="5">
        <v>198</v>
      </c>
      <c r="E207" s="5" t="s">
        <v>285</v>
      </c>
      <c r="F207" s="5"/>
      <c r="G207" s="5"/>
      <c r="H207" s="5"/>
      <c r="I207" s="5"/>
      <c r="J207" s="5"/>
      <c r="K207" s="5"/>
      <c r="L207" s="5"/>
      <c r="M207" s="5"/>
      <c r="N207" s="5"/>
      <c r="O207" s="5"/>
      <c r="P207" s="5"/>
      <c r="Q207" s="5"/>
      <c r="R207" s="5"/>
      <c r="S207" s="5"/>
      <c r="T207" s="6">
        <f t="shared" si="13"/>
        <v>0</v>
      </c>
      <c r="U207" s="9"/>
      <c r="V207" s="1"/>
      <c r="W207" s="1"/>
      <c r="X207" s="1"/>
      <c r="Y207" s="1"/>
      <c r="Z207" s="1"/>
    </row>
    <row r="208" spans="1:26" ht="39.75" customHeight="1">
      <c r="A208" s="171"/>
      <c r="B208" s="5" t="s">
        <v>355</v>
      </c>
      <c r="C208" s="5" t="s">
        <v>287</v>
      </c>
      <c r="D208" s="5">
        <v>199</v>
      </c>
      <c r="E208" s="5" t="s">
        <v>288</v>
      </c>
      <c r="F208" s="24"/>
      <c r="G208" s="24"/>
      <c r="H208" s="24"/>
      <c r="I208" s="24"/>
      <c r="J208" s="24"/>
      <c r="K208" s="24"/>
      <c r="L208" s="24"/>
      <c r="M208" s="24"/>
      <c r="N208" s="24"/>
      <c r="O208" s="24"/>
      <c r="P208" s="24">
        <v>160.1</v>
      </c>
      <c r="Q208" s="24"/>
      <c r="R208" s="24"/>
      <c r="S208" s="24"/>
      <c r="T208" s="6">
        <f t="shared" si="13"/>
        <v>160.1</v>
      </c>
      <c r="U208" s="76" t="s">
        <v>631</v>
      </c>
      <c r="V208" s="1"/>
      <c r="W208" s="1"/>
      <c r="X208" s="1"/>
      <c r="Y208" s="1"/>
      <c r="Z208" s="1"/>
    </row>
    <row r="209" spans="1:26" ht="39.75" customHeight="1">
      <c r="A209" s="169"/>
      <c r="B209" s="176" t="s">
        <v>356</v>
      </c>
      <c r="C209" s="177"/>
      <c r="D209" s="178"/>
      <c r="E209" s="51"/>
      <c r="F209" s="54">
        <f t="shared" ref="F209:T209" si="14">SUM(F159:F208)</f>
        <v>0</v>
      </c>
      <c r="G209" s="57">
        <f t="shared" si="14"/>
        <v>288.75</v>
      </c>
      <c r="H209" s="57">
        <f t="shared" si="14"/>
        <v>385</v>
      </c>
      <c r="I209" s="54">
        <f t="shared" si="14"/>
        <v>6.8</v>
      </c>
      <c r="J209" s="54">
        <f t="shared" si="14"/>
        <v>0</v>
      </c>
      <c r="K209" s="54">
        <f t="shared" si="14"/>
        <v>0</v>
      </c>
      <c r="L209" s="54">
        <f t="shared" si="14"/>
        <v>0</v>
      </c>
      <c r="M209" s="54">
        <f t="shared" si="14"/>
        <v>20.399999999999999</v>
      </c>
      <c r="N209" s="55">
        <f t="shared" si="14"/>
        <v>32.879999999999995</v>
      </c>
      <c r="O209" s="54">
        <f t="shared" si="14"/>
        <v>274.82</v>
      </c>
      <c r="P209" s="57">
        <f t="shared" si="14"/>
        <v>300.245</v>
      </c>
      <c r="Q209" s="54">
        <f t="shared" si="14"/>
        <v>11.005700000000001</v>
      </c>
      <c r="R209" s="54">
        <f t="shared" si="14"/>
        <v>1553.796</v>
      </c>
      <c r="S209" s="54">
        <f t="shared" si="14"/>
        <v>0</v>
      </c>
      <c r="T209" s="55">
        <f t="shared" si="14"/>
        <v>2873.6966999999995</v>
      </c>
      <c r="U209" s="9"/>
      <c r="V209" s="1"/>
      <c r="W209" s="1"/>
      <c r="X209" s="1"/>
      <c r="Y209" s="1"/>
      <c r="Z209" s="1"/>
    </row>
    <row r="210" spans="1:26" ht="39.75" customHeight="1">
      <c r="A210" s="180" t="s">
        <v>357</v>
      </c>
      <c r="B210" s="181"/>
      <c r="C210" s="181"/>
      <c r="D210" s="182"/>
      <c r="E210" s="64"/>
      <c r="F210" s="65">
        <f t="shared" ref="F210:T210" si="15">F209+F158+F134+F93+F68</f>
        <v>84.46</v>
      </c>
      <c r="G210" s="66">
        <f t="shared" si="15"/>
        <v>288.75</v>
      </c>
      <c r="H210" s="66">
        <f t="shared" si="15"/>
        <v>389</v>
      </c>
      <c r="I210" s="65">
        <f t="shared" si="15"/>
        <v>85.873000000000019</v>
      </c>
      <c r="J210" s="65">
        <f t="shared" si="15"/>
        <v>0</v>
      </c>
      <c r="K210" s="67">
        <f t="shared" si="15"/>
        <v>46.861999999999995</v>
      </c>
      <c r="L210" s="65">
        <f t="shared" si="15"/>
        <v>0</v>
      </c>
      <c r="M210" s="66">
        <f t="shared" si="15"/>
        <v>63.561999999999998</v>
      </c>
      <c r="N210" s="67">
        <f t="shared" si="15"/>
        <v>105.32554999999999</v>
      </c>
      <c r="O210" s="65">
        <f t="shared" si="15"/>
        <v>485.35874999999999</v>
      </c>
      <c r="P210" s="66">
        <f t="shared" si="15"/>
        <v>591.86099999999999</v>
      </c>
      <c r="Q210" s="65">
        <f t="shared" si="15"/>
        <v>95.472200000000001</v>
      </c>
      <c r="R210" s="66">
        <f t="shared" si="15"/>
        <v>1774.5654999999999</v>
      </c>
      <c r="S210" s="66">
        <f t="shared" si="15"/>
        <v>3.8499999999999996</v>
      </c>
      <c r="T210" s="67">
        <f t="shared" si="15"/>
        <v>4014.9399999999996</v>
      </c>
      <c r="U210" s="9"/>
      <c r="V210" s="1"/>
      <c r="W210" s="1"/>
      <c r="X210" s="1"/>
      <c r="Y210" s="1"/>
      <c r="Z210" s="1"/>
    </row>
    <row r="211" spans="1:26" ht="24.75" customHeight="1">
      <c r="A211" s="1"/>
      <c r="B211" s="1"/>
      <c r="C211" s="1"/>
      <c r="D211" s="1"/>
      <c r="E211" s="1"/>
      <c r="F211" s="1"/>
      <c r="G211" s="1"/>
      <c r="H211" s="1"/>
      <c r="I211" s="1"/>
      <c r="J211" s="1"/>
      <c r="K211" s="1"/>
      <c r="L211" s="1"/>
      <c r="M211" s="1"/>
      <c r="N211" s="1"/>
      <c r="O211" s="1"/>
      <c r="P211" s="1"/>
      <c r="Q211" s="1"/>
      <c r="R211" s="1"/>
      <c r="S211" s="1"/>
      <c r="T211" s="32"/>
      <c r="U211" s="2"/>
      <c r="V211" s="1"/>
      <c r="W211" s="1"/>
      <c r="X211" s="1"/>
      <c r="Y211" s="1"/>
      <c r="Z211" s="1"/>
    </row>
    <row r="212" spans="1:26" ht="24.75" customHeight="1">
      <c r="A212" s="1"/>
      <c r="B212" s="1"/>
      <c r="C212" s="1"/>
      <c r="D212" s="1"/>
      <c r="E212" s="1"/>
      <c r="F212" s="1"/>
      <c r="G212" s="1"/>
      <c r="H212" s="1"/>
      <c r="I212" s="1"/>
      <c r="J212" s="1"/>
      <c r="K212" s="1"/>
      <c r="L212" s="1"/>
      <c r="M212" s="1"/>
      <c r="N212" s="1"/>
      <c r="O212" s="1"/>
      <c r="P212" s="1"/>
      <c r="Q212" s="1"/>
      <c r="R212" s="1"/>
      <c r="S212" s="1"/>
      <c r="T212" s="1"/>
      <c r="U212" s="2"/>
      <c r="V212" s="1"/>
      <c r="W212" s="1"/>
      <c r="X212" s="1"/>
      <c r="Y212" s="1"/>
      <c r="Z212" s="1"/>
    </row>
    <row r="213" spans="1:26" ht="24.75" customHeight="1">
      <c r="A213" s="1"/>
      <c r="B213" s="1"/>
      <c r="C213" s="1"/>
      <c r="D213" s="1"/>
      <c r="E213" s="1"/>
      <c r="F213" s="1"/>
      <c r="G213" s="1"/>
      <c r="H213" s="1"/>
      <c r="I213" s="1"/>
      <c r="J213" s="1"/>
      <c r="K213" s="1"/>
      <c r="L213" s="1"/>
      <c r="M213" s="1"/>
      <c r="N213" s="1"/>
      <c r="O213" s="1"/>
      <c r="P213" s="1"/>
      <c r="Q213" s="1"/>
      <c r="R213" s="1"/>
      <c r="S213" s="1"/>
      <c r="T213" s="1"/>
      <c r="U213" s="2"/>
      <c r="V213" s="1"/>
      <c r="W213" s="1"/>
      <c r="X213" s="1"/>
      <c r="Y213" s="1"/>
      <c r="Z213" s="1"/>
    </row>
    <row r="214" spans="1:26" ht="24.75" customHeight="1">
      <c r="A214" s="1"/>
      <c r="B214" s="1"/>
      <c r="C214" s="1"/>
      <c r="D214" s="1"/>
      <c r="E214" s="1"/>
      <c r="F214" s="1"/>
      <c r="G214" s="1"/>
      <c r="H214" s="1"/>
      <c r="I214" s="1"/>
      <c r="J214" s="1"/>
      <c r="K214" s="1"/>
      <c r="L214" s="1"/>
      <c r="M214" s="1"/>
      <c r="N214" s="1"/>
      <c r="O214" s="1"/>
      <c r="P214" s="1"/>
      <c r="Q214" s="1"/>
      <c r="R214" s="1"/>
      <c r="S214" s="1"/>
      <c r="T214" s="1"/>
      <c r="U214" s="2"/>
      <c r="V214" s="1"/>
      <c r="W214" s="1"/>
      <c r="X214" s="1"/>
      <c r="Y214" s="1"/>
      <c r="Z214" s="1"/>
    </row>
    <row r="215" spans="1:26" ht="24.75" customHeight="1">
      <c r="A215" s="1"/>
      <c r="B215" s="1"/>
      <c r="C215" s="1"/>
      <c r="D215" s="1"/>
      <c r="E215" s="1"/>
      <c r="F215" s="1"/>
      <c r="G215" s="1"/>
      <c r="H215" s="1"/>
      <c r="I215" s="1"/>
      <c r="J215" s="1"/>
      <c r="K215" s="1"/>
      <c r="L215" s="1"/>
      <c r="M215" s="1"/>
      <c r="N215" s="1"/>
      <c r="O215" s="1"/>
      <c r="P215" s="1"/>
      <c r="Q215" s="1"/>
      <c r="R215" s="1"/>
      <c r="S215" s="1"/>
      <c r="T215" s="1"/>
      <c r="U215" s="2"/>
      <c r="V215" s="1"/>
      <c r="W215" s="1"/>
      <c r="X215" s="1"/>
      <c r="Y215" s="1"/>
      <c r="Z215" s="1"/>
    </row>
    <row r="216" spans="1:26" ht="24.75" customHeight="1">
      <c r="A216" s="1"/>
      <c r="B216" s="1"/>
      <c r="C216" s="1"/>
      <c r="D216" s="1"/>
      <c r="E216" s="1"/>
      <c r="F216" s="1"/>
      <c r="G216" s="1"/>
      <c r="H216" s="1"/>
      <c r="I216" s="1"/>
      <c r="J216" s="1"/>
      <c r="K216" s="1"/>
      <c r="L216" s="1"/>
      <c r="M216" s="1"/>
      <c r="N216" s="1"/>
      <c r="O216" s="1"/>
      <c r="P216" s="1"/>
      <c r="Q216" s="1"/>
      <c r="R216" s="1"/>
      <c r="S216" s="1"/>
      <c r="T216" s="1"/>
      <c r="U216" s="2"/>
      <c r="V216" s="1"/>
      <c r="W216" s="1"/>
      <c r="X216" s="1"/>
      <c r="Y216" s="1"/>
      <c r="Z216" s="1"/>
    </row>
    <row r="217" spans="1:26" ht="24.75" customHeight="1">
      <c r="A217" s="1"/>
      <c r="B217" s="1"/>
      <c r="C217" s="1"/>
      <c r="D217" s="1"/>
      <c r="E217" s="1"/>
      <c r="F217" s="1"/>
      <c r="G217" s="1"/>
      <c r="H217" s="1"/>
      <c r="I217" s="1"/>
      <c r="J217" s="1"/>
      <c r="K217" s="1"/>
      <c r="L217" s="1"/>
      <c r="M217" s="1"/>
      <c r="N217" s="1"/>
      <c r="O217" s="1"/>
      <c r="P217" s="1"/>
      <c r="Q217" s="1"/>
      <c r="R217" s="1"/>
      <c r="S217" s="1"/>
      <c r="T217" s="1"/>
      <c r="U217" s="2"/>
      <c r="V217" s="1"/>
      <c r="W217" s="1"/>
      <c r="X217" s="1"/>
      <c r="Y217" s="1"/>
      <c r="Z217" s="1"/>
    </row>
    <row r="218" spans="1:26" ht="24.75" customHeight="1">
      <c r="A218" s="1"/>
      <c r="B218" s="1"/>
      <c r="C218" s="1"/>
      <c r="D218" s="1"/>
      <c r="E218" s="1"/>
      <c r="F218" s="1"/>
      <c r="G218" s="1"/>
      <c r="H218" s="1"/>
      <c r="I218" s="1"/>
      <c r="J218" s="1"/>
      <c r="K218" s="1"/>
      <c r="L218" s="1"/>
      <c r="M218" s="1"/>
      <c r="N218" s="1"/>
      <c r="O218" s="1"/>
      <c r="P218" s="1"/>
      <c r="Q218" s="1"/>
      <c r="R218" s="1"/>
      <c r="S218" s="1"/>
      <c r="T218" s="1"/>
      <c r="U218" s="2"/>
      <c r="V218" s="1"/>
      <c r="W218" s="1"/>
      <c r="X218" s="1"/>
      <c r="Y218" s="1"/>
      <c r="Z218" s="1"/>
    </row>
    <row r="219" spans="1:26" ht="24.75" customHeight="1">
      <c r="A219" s="1"/>
      <c r="B219" s="1"/>
      <c r="C219" s="1"/>
      <c r="D219" s="1"/>
      <c r="E219" s="1"/>
      <c r="F219" s="1"/>
      <c r="G219" s="1"/>
      <c r="H219" s="1"/>
      <c r="I219" s="1"/>
      <c r="J219" s="1"/>
      <c r="K219" s="1"/>
      <c r="L219" s="1"/>
      <c r="M219" s="1"/>
      <c r="N219" s="1"/>
      <c r="O219" s="1"/>
      <c r="P219" s="1"/>
      <c r="Q219" s="1"/>
      <c r="R219" s="1"/>
      <c r="S219" s="1"/>
      <c r="T219" s="1"/>
      <c r="U219" s="2"/>
      <c r="V219" s="1"/>
      <c r="W219" s="1"/>
      <c r="X219" s="1"/>
      <c r="Y219" s="1"/>
      <c r="Z219" s="1"/>
    </row>
    <row r="220" spans="1:26" ht="24.75" customHeight="1">
      <c r="A220" s="1"/>
      <c r="B220" s="1"/>
      <c r="C220" s="1"/>
      <c r="D220" s="1"/>
      <c r="E220" s="1"/>
      <c r="F220" s="1"/>
      <c r="G220" s="1"/>
      <c r="H220" s="1"/>
      <c r="I220" s="1"/>
      <c r="J220" s="1"/>
      <c r="K220" s="1"/>
      <c r="L220" s="1"/>
      <c r="M220" s="1"/>
      <c r="N220" s="1"/>
      <c r="O220" s="1"/>
      <c r="P220" s="1"/>
      <c r="Q220" s="1"/>
      <c r="R220" s="1"/>
      <c r="S220" s="1"/>
      <c r="T220" s="1"/>
      <c r="U220" s="2"/>
      <c r="V220" s="1"/>
      <c r="W220" s="1"/>
      <c r="X220" s="1"/>
      <c r="Y220" s="1"/>
      <c r="Z220" s="1"/>
    </row>
    <row r="221" spans="1:26" ht="24.75" customHeight="1">
      <c r="A221" s="1"/>
      <c r="B221" s="1"/>
      <c r="C221" s="1"/>
      <c r="D221" s="1"/>
      <c r="E221" s="1"/>
      <c r="F221" s="1"/>
      <c r="G221" s="1"/>
      <c r="H221" s="1"/>
      <c r="I221" s="1"/>
      <c r="J221" s="1"/>
      <c r="K221" s="1"/>
      <c r="L221" s="1"/>
      <c r="M221" s="1"/>
      <c r="N221" s="1"/>
      <c r="O221" s="1"/>
      <c r="P221" s="1"/>
      <c r="Q221" s="1"/>
      <c r="R221" s="1"/>
      <c r="S221" s="1"/>
      <c r="T221" s="1"/>
      <c r="U221" s="2"/>
      <c r="V221" s="1"/>
      <c r="W221" s="1"/>
      <c r="X221" s="1"/>
      <c r="Y221" s="1"/>
      <c r="Z221" s="1"/>
    </row>
    <row r="222" spans="1:26" ht="24.75" customHeight="1">
      <c r="A222" s="1"/>
      <c r="B222" s="1"/>
      <c r="C222" s="1"/>
      <c r="D222" s="1"/>
      <c r="E222" s="1"/>
      <c r="F222" s="1"/>
      <c r="G222" s="1"/>
      <c r="H222" s="1"/>
      <c r="I222" s="1"/>
      <c r="J222" s="1"/>
      <c r="K222" s="1"/>
      <c r="L222" s="1"/>
      <c r="M222" s="1"/>
      <c r="N222" s="1"/>
      <c r="O222" s="1"/>
      <c r="P222" s="1"/>
      <c r="Q222" s="1"/>
      <c r="R222" s="1"/>
      <c r="S222" s="1"/>
      <c r="T222" s="1"/>
      <c r="U222" s="2"/>
      <c r="V222" s="1"/>
      <c r="W222" s="1"/>
      <c r="X222" s="1"/>
      <c r="Y222" s="1"/>
      <c r="Z222" s="1"/>
    </row>
    <row r="223" spans="1:26" ht="24.75" customHeight="1">
      <c r="A223" s="1"/>
      <c r="B223" s="1"/>
      <c r="C223" s="1"/>
      <c r="D223" s="1"/>
      <c r="E223" s="1"/>
      <c r="F223" s="1"/>
      <c r="G223" s="1"/>
      <c r="H223" s="1"/>
      <c r="I223" s="1"/>
      <c r="J223" s="1"/>
      <c r="K223" s="1"/>
      <c r="L223" s="1"/>
      <c r="M223" s="1"/>
      <c r="N223" s="1"/>
      <c r="O223" s="1"/>
      <c r="P223" s="1"/>
      <c r="Q223" s="1"/>
      <c r="R223" s="1"/>
      <c r="S223" s="1"/>
      <c r="T223" s="1"/>
      <c r="U223" s="2"/>
      <c r="V223" s="1"/>
      <c r="W223" s="1"/>
      <c r="X223" s="1"/>
      <c r="Y223" s="1"/>
      <c r="Z223" s="1"/>
    </row>
    <row r="224" spans="1:26" ht="24.75" customHeight="1">
      <c r="A224" s="1"/>
      <c r="B224" s="1"/>
      <c r="C224" s="1"/>
      <c r="D224" s="1"/>
      <c r="E224" s="1"/>
      <c r="F224" s="1"/>
      <c r="G224" s="1"/>
      <c r="H224" s="1"/>
      <c r="I224" s="1"/>
      <c r="J224" s="1"/>
      <c r="K224" s="1"/>
      <c r="L224" s="1"/>
      <c r="M224" s="1"/>
      <c r="N224" s="1"/>
      <c r="O224" s="1"/>
      <c r="P224" s="1"/>
      <c r="Q224" s="1"/>
      <c r="R224" s="1"/>
      <c r="S224" s="1"/>
      <c r="T224" s="1"/>
      <c r="U224" s="2"/>
      <c r="V224" s="1"/>
      <c r="W224" s="1"/>
      <c r="X224" s="1"/>
      <c r="Y224" s="1"/>
      <c r="Z224" s="1"/>
    </row>
    <row r="225" spans="1:26" ht="24.75" customHeight="1">
      <c r="A225" s="1"/>
      <c r="B225" s="1"/>
      <c r="C225" s="1"/>
      <c r="D225" s="1"/>
      <c r="E225" s="1"/>
      <c r="F225" s="1"/>
      <c r="G225" s="1"/>
      <c r="H225" s="1"/>
      <c r="I225" s="1"/>
      <c r="J225" s="1"/>
      <c r="K225" s="1"/>
      <c r="L225" s="1"/>
      <c r="M225" s="1"/>
      <c r="N225" s="1"/>
      <c r="O225" s="1"/>
      <c r="P225" s="1"/>
      <c r="Q225" s="1"/>
      <c r="R225" s="1"/>
      <c r="S225" s="1"/>
      <c r="T225" s="1"/>
      <c r="U225" s="2"/>
      <c r="V225" s="1"/>
      <c r="W225" s="1"/>
      <c r="X225" s="1"/>
      <c r="Y225" s="1"/>
      <c r="Z225" s="1"/>
    </row>
    <row r="226" spans="1:26" ht="24.75" customHeight="1">
      <c r="A226" s="1"/>
      <c r="B226" s="1"/>
      <c r="C226" s="1"/>
      <c r="D226" s="1"/>
      <c r="E226" s="1"/>
      <c r="F226" s="1"/>
      <c r="G226" s="1"/>
      <c r="H226" s="1"/>
      <c r="I226" s="1"/>
      <c r="J226" s="1"/>
      <c r="K226" s="1"/>
      <c r="L226" s="1"/>
      <c r="M226" s="1"/>
      <c r="N226" s="1"/>
      <c r="O226" s="1"/>
      <c r="P226" s="1"/>
      <c r="Q226" s="1"/>
      <c r="R226" s="1"/>
      <c r="S226" s="1"/>
      <c r="T226" s="1"/>
      <c r="U226" s="2"/>
      <c r="V226" s="1"/>
      <c r="W226" s="1"/>
      <c r="X226" s="1"/>
      <c r="Y226" s="1"/>
      <c r="Z226" s="1"/>
    </row>
    <row r="227" spans="1:26" ht="24.75" customHeight="1">
      <c r="A227" s="1"/>
      <c r="B227" s="1"/>
      <c r="C227" s="1"/>
      <c r="D227" s="1"/>
      <c r="E227" s="1"/>
      <c r="F227" s="1"/>
      <c r="G227" s="1"/>
      <c r="H227" s="1"/>
      <c r="I227" s="1"/>
      <c r="J227" s="1"/>
      <c r="K227" s="1"/>
      <c r="L227" s="1"/>
      <c r="M227" s="1"/>
      <c r="N227" s="1"/>
      <c r="O227" s="1"/>
      <c r="P227" s="1"/>
      <c r="Q227" s="1"/>
      <c r="R227" s="1"/>
      <c r="S227" s="1"/>
      <c r="T227" s="1"/>
      <c r="U227" s="2"/>
      <c r="V227" s="1"/>
      <c r="W227" s="1"/>
      <c r="X227" s="1"/>
      <c r="Y227" s="1"/>
      <c r="Z227" s="1"/>
    </row>
    <row r="228" spans="1:26" ht="24.75" customHeight="1">
      <c r="A228" s="1"/>
      <c r="B228" s="1"/>
      <c r="C228" s="1"/>
      <c r="D228" s="1"/>
      <c r="E228" s="1"/>
      <c r="F228" s="1"/>
      <c r="G228" s="1"/>
      <c r="H228" s="1"/>
      <c r="I228" s="1"/>
      <c r="J228" s="1"/>
      <c r="K228" s="1"/>
      <c r="L228" s="1"/>
      <c r="M228" s="1"/>
      <c r="N228" s="1"/>
      <c r="O228" s="1"/>
      <c r="P228" s="1"/>
      <c r="Q228" s="1"/>
      <c r="R228" s="1"/>
      <c r="S228" s="1"/>
      <c r="T228" s="1"/>
      <c r="U228" s="2"/>
      <c r="V228" s="1"/>
      <c r="W228" s="1"/>
      <c r="X228" s="1"/>
      <c r="Y228" s="1"/>
      <c r="Z228" s="1"/>
    </row>
    <row r="229" spans="1:26" ht="24.75" customHeight="1">
      <c r="A229" s="1"/>
      <c r="B229" s="1"/>
      <c r="C229" s="1"/>
      <c r="D229" s="1"/>
      <c r="E229" s="1"/>
      <c r="F229" s="1"/>
      <c r="G229" s="1"/>
      <c r="H229" s="1"/>
      <c r="I229" s="1"/>
      <c r="J229" s="1"/>
      <c r="K229" s="1"/>
      <c r="L229" s="1"/>
      <c r="M229" s="1"/>
      <c r="N229" s="1"/>
      <c r="O229" s="1"/>
      <c r="P229" s="1"/>
      <c r="Q229" s="1"/>
      <c r="R229" s="1"/>
      <c r="S229" s="1"/>
      <c r="T229" s="1"/>
      <c r="U229" s="2"/>
      <c r="V229" s="1"/>
      <c r="W229" s="1"/>
      <c r="X229" s="1"/>
      <c r="Y229" s="1"/>
      <c r="Z229" s="1"/>
    </row>
    <row r="230" spans="1:26" ht="24.75" customHeight="1">
      <c r="A230" s="1"/>
      <c r="B230" s="1"/>
      <c r="C230" s="1"/>
      <c r="D230" s="1"/>
      <c r="E230" s="1"/>
      <c r="F230" s="1"/>
      <c r="G230" s="1"/>
      <c r="H230" s="1"/>
      <c r="I230" s="1"/>
      <c r="J230" s="1"/>
      <c r="K230" s="1"/>
      <c r="L230" s="1"/>
      <c r="M230" s="1"/>
      <c r="N230" s="1"/>
      <c r="O230" s="1"/>
      <c r="P230" s="1"/>
      <c r="Q230" s="1"/>
      <c r="R230" s="1"/>
      <c r="S230" s="1"/>
      <c r="T230" s="1"/>
      <c r="U230" s="2"/>
      <c r="V230" s="1"/>
      <c r="W230" s="1"/>
      <c r="X230" s="1"/>
      <c r="Y230" s="1"/>
      <c r="Z230" s="1"/>
    </row>
    <row r="231" spans="1:26" ht="24.75" customHeight="1">
      <c r="A231" s="1"/>
      <c r="B231" s="1"/>
      <c r="C231" s="1"/>
      <c r="D231" s="1"/>
      <c r="E231" s="1"/>
      <c r="F231" s="1"/>
      <c r="G231" s="1"/>
      <c r="H231" s="1"/>
      <c r="I231" s="1"/>
      <c r="J231" s="1"/>
      <c r="K231" s="1"/>
      <c r="L231" s="1"/>
      <c r="M231" s="1"/>
      <c r="N231" s="1"/>
      <c r="O231" s="1"/>
      <c r="P231" s="1"/>
      <c r="Q231" s="1"/>
      <c r="R231" s="1"/>
      <c r="S231" s="1"/>
      <c r="T231" s="1"/>
      <c r="U231" s="2"/>
      <c r="V231" s="1"/>
      <c r="W231" s="1"/>
      <c r="X231" s="1"/>
      <c r="Y231" s="1"/>
      <c r="Z231" s="1"/>
    </row>
    <row r="232" spans="1:26" ht="24.75" customHeight="1">
      <c r="A232" s="1"/>
      <c r="B232" s="1"/>
      <c r="C232" s="1"/>
      <c r="D232" s="1"/>
      <c r="E232" s="1"/>
      <c r="F232" s="1"/>
      <c r="G232" s="1"/>
      <c r="H232" s="1"/>
      <c r="I232" s="1"/>
      <c r="J232" s="1"/>
      <c r="K232" s="1"/>
      <c r="L232" s="1"/>
      <c r="M232" s="1"/>
      <c r="N232" s="1"/>
      <c r="O232" s="1"/>
      <c r="P232" s="1"/>
      <c r="Q232" s="1"/>
      <c r="R232" s="1"/>
      <c r="S232" s="1"/>
      <c r="T232" s="1"/>
      <c r="U232" s="2"/>
      <c r="V232" s="1"/>
      <c r="W232" s="1"/>
      <c r="X232" s="1"/>
      <c r="Y232" s="1"/>
      <c r="Z232" s="1"/>
    </row>
    <row r="233" spans="1:26" ht="24.75" customHeight="1">
      <c r="A233" s="1"/>
      <c r="B233" s="1"/>
      <c r="C233" s="1"/>
      <c r="D233" s="1"/>
      <c r="E233" s="1"/>
      <c r="F233" s="1"/>
      <c r="G233" s="1"/>
      <c r="H233" s="1"/>
      <c r="I233" s="1"/>
      <c r="J233" s="1"/>
      <c r="K233" s="1"/>
      <c r="L233" s="1"/>
      <c r="M233" s="1"/>
      <c r="N233" s="1"/>
      <c r="O233" s="1"/>
      <c r="P233" s="1"/>
      <c r="Q233" s="1"/>
      <c r="R233" s="1"/>
      <c r="S233" s="1"/>
      <c r="T233" s="1"/>
      <c r="U233" s="2"/>
      <c r="V233" s="1"/>
      <c r="W233" s="1"/>
      <c r="X233" s="1"/>
      <c r="Y233" s="1"/>
      <c r="Z233" s="1"/>
    </row>
    <row r="234" spans="1:26" ht="24.75" customHeight="1">
      <c r="A234" s="1"/>
      <c r="B234" s="1"/>
      <c r="C234" s="1"/>
      <c r="D234" s="1"/>
      <c r="E234" s="1"/>
      <c r="F234" s="1"/>
      <c r="G234" s="1"/>
      <c r="H234" s="1"/>
      <c r="I234" s="1"/>
      <c r="J234" s="1"/>
      <c r="K234" s="1"/>
      <c r="L234" s="1"/>
      <c r="M234" s="1"/>
      <c r="N234" s="1"/>
      <c r="O234" s="1"/>
      <c r="P234" s="1"/>
      <c r="Q234" s="1"/>
      <c r="R234" s="1"/>
      <c r="S234" s="1"/>
      <c r="T234" s="1"/>
      <c r="U234" s="2"/>
      <c r="V234" s="1"/>
      <c r="W234" s="1"/>
      <c r="X234" s="1"/>
      <c r="Y234" s="1"/>
      <c r="Z234" s="1"/>
    </row>
    <row r="235" spans="1:26" ht="24.75" customHeight="1">
      <c r="A235" s="1"/>
      <c r="B235" s="1"/>
      <c r="C235" s="1"/>
      <c r="D235" s="1"/>
      <c r="E235" s="1"/>
      <c r="F235" s="1"/>
      <c r="G235" s="1"/>
      <c r="H235" s="1"/>
      <c r="I235" s="1"/>
      <c r="J235" s="1"/>
      <c r="K235" s="1"/>
      <c r="L235" s="1"/>
      <c r="M235" s="1"/>
      <c r="N235" s="1"/>
      <c r="O235" s="1"/>
      <c r="P235" s="1"/>
      <c r="Q235" s="1"/>
      <c r="R235" s="1"/>
      <c r="S235" s="1"/>
      <c r="T235" s="1"/>
      <c r="U235" s="2"/>
      <c r="V235" s="1"/>
      <c r="W235" s="1"/>
      <c r="X235" s="1"/>
      <c r="Y235" s="1"/>
      <c r="Z235" s="1"/>
    </row>
    <row r="236" spans="1:26" ht="24.75" customHeight="1">
      <c r="A236" s="1"/>
      <c r="B236" s="1"/>
      <c r="C236" s="1"/>
      <c r="D236" s="1"/>
      <c r="E236" s="1"/>
      <c r="F236" s="1"/>
      <c r="G236" s="1"/>
      <c r="H236" s="1"/>
      <c r="I236" s="1"/>
      <c r="J236" s="1"/>
      <c r="K236" s="1"/>
      <c r="L236" s="1"/>
      <c r="M236" s="1"/>
      <c r="N236" s="1"/>
      <c r="O236" s="1"/>
      <c r="P236" s="1"/>
      <c r="Q236" s="1"/>
      <c r="R236" s="1"/>
      <c r="S236" s="1"/>
      <c r="T236" s="1"/>
      <c r="U236" s="2"/>
      <c r="V236" s="1"/>
      <c r="W236" s="1"/>
      <c r="X236" s="1"/>
      <c r="Y236" s="1"/>
      <c r="Z236" s="1"/>
    </row>
    <row r="237" spans="1:26" ht="24.75" customHeight="1">
      <c r="A237" s="1"/>
      <c r="B237" s="1"/>
      <c r="C237" s="1"/>
      <c r="D237" s="1"/>
      <c r="E237" s="1"/>
      <c r="F237" s="1"/>
      <c r="G237" s="1"/>
      <c r="H237" s="1"/>
      <c r="I237" s="1"/>
      <c r="J237" s="1"/>
      <c r="K237" s="1"/>
      <c r="L237" s="1"/>
      <c r="M237" s="1"/>
      <c r="N237" s="1"/>
      <c r="O237" s="1"/>
      <c r="P237" s="1"/>
      <c r="Q237" s="1"/>
      <c r="R237" s="1"/>
      <c r="S237" s="1"/>
      <c r="T237" s="1"/>
      <c r="U237" s="2"/>
      <c r="V237" s="1"/>
      <c r="W237" s="1"/>
      <c r="X237" s="1"/>
      <c r="Y237" s="1"/>
      <c r="Z237" s="1"/>
    </row>
    <row r="238" spans="1:26" ht="24.75" customHeight="1">
      <c r="A238" s="1"/>
      <c r="B238" s="1"/>
      <c r="C238" s="1"/>
      <c r="D238" s="1"/>
      <c r="E238" s="1"/>
      <c r="F238" s="1"/>
      <c r="G238" s="1"/>
      <c r="H238" s="1"/>
      <c r="I238" s="1"/>
      <c r="J238" s="1"/>
      <c r="K238" s="1"/>
      <c r="L238" s="1"/>
      <c r="M238" s="1"/>
      <c r="N238" s="1"/>
      <c r="O238" s="1"/>
      <c r="P238" s="1"/>
      <c r="Q238" s="1"/>
      <c r="R238" s="1"/>
      <c r="S238" s="1"/>
      <c r="T238" s="1"/>
      <c r="U238" s="2"/>
      <c r="V238" s="1"/>
      <c r="W238" s="1"/>
      <c r="X238" s="1"/>
      <c r="Y238" s="1"/>
      <c r="Z238" s="1"/>
    </row>
    <row r="239" spans="1:26" ht="24.75" customHeight="1">
      <c r="A239" s="1"/>
      <c r="B239" s="1"/>
      <c r="C239" s="1"/>
      <c r="D239" s="1"/>
      <c r="E239" s="1"/>
      <c r="F239" s="1"/>
      <c r="G239" s="1"/>
      <c r="H239" s="1"/>
      <c r="I239" s="1"/>
      <c r="J239" s="1"/>
      <c r="K239" s="1"/>
      <c r="L239" s="1"/>
      <c r="M239" s="1"/>
      <c r="N239" s="1"/>
      <c r="O239" s="1"/>
      <c r="P239" s="1"/>
      <c r="Q239" s="1"/>
      <c r="R239" s="1"/>
      <c r="S239" s="1"/>
      <c r="T239" s="1"/>
      <c r="U239" s="2"/>
      <c r="V239" s="1"/>
      <c r="W239" s="1"/>
      <c r="X239" s="1"/>
      <c r="Y239" s="1"/>
      <c r="Z239" s="1"/>
    </row>
    <row r="240" spans="1:26" ht="24.75" customHeight="1">
      <c r="A240" s="1"/>
      <c r="B240" s="1"/>
      <c r="C240" s="1"/>
      <c r="D240" s="1"/>
      <c r="E240" s="1"/>
      <c r="F240" s="1"/>
      <c r="G240" s="1"/>
      <c r="H240" s="1"/>
      <c r="I240" s="1"/>
      <c r="J240" s="1"/>
      <c r="K240" s="1"/>
      <c r="L240" s="1"/>
      <c r="M240" s="1"/>
      <c r="N240" s="1"/>
      <c r="O240" s="1"/>
      <c r="P240" s="1"/>
      <c r="Q240" s="1"/>
      <c r="R240" s="1"/>
      <c r="S240" s="1"/>
      <c r="T240" s="1"/>
      <c r="U240" s="2"/>
      <c r="V240" s="1"/>
      <c r="W240" s="1"/>
      <c r="X240" s="1"/>
      <c r="Y240" s="1"/>
      <c r="Z240" s="1"/>
    </row>
    <row r="241" spans="1:26" ht="24.75" customHeight="1">
      <c r="A241" s="1"/>
      <c r="B241" s="1"/>
      <c r="C241" s="1"/>
      <c r="D241" s="1"/>
      <c r="E241" s="1"/>
      <c r="F241" s="1"/>
      <c r="G241" s="1"/>
      <c r="H241" s="1"/>
      <c r="I241" s="1"/>
      <c r="J241" s="1"/>
      <c r="K241" s="1"/>
      <c r="L241" s="1"/>
      <c r="M241" s="1"/>
      <c r="N241" s="1"/>
      <c r="O241" s="1"/>
      <c r="P241" s="1"/>
      <c r="Q241" s="1"/>
      <c r="R241" s="1"/>
      <c r="S241" s="1"/>
      <c r="T241" s="1"/>
      <c r="U241" s="2"/>
      <c r="V241" s="1"/>
      <c r="W241" s="1"/>
      <c r="X241" s="1"/>
      <c r="Y241" s="1"/>
      <c r="Z241" s="1"/>
    </row>
    <row r="242" spans="1:26" ht="24.75" customHeight="1">
      <c r="A242" s="1"/>
      <c r="B242" s="1"/>
      <c r="C242" s="1"/>
      <c r="D242" s="1"/>
      <c r="E242" s="1"/>
      <c r="F242" s="1"/>
      <c r="G242" s="1"/>
      <c r="H242" s="1"/>
      <c r="I242" s="1"/>
      <c r="J242" s="1"/>
      <c r="K242" s="1"/>
      <c r="L242" s="1"/>
      <c r="M242" s="1"/>
      <c r="N242" s="1"/>
      <c r="O242" s="1"/>
      <c r="P242" s="1"/>
      <c r="Q242" s="1"/>
      <c r="R242" s="1"/>
      <c r="S242" s="1"/>
      <c r="T242" s="1"/>
      <c r="U242" s="2"/>
      <c r="V242" s="1"/>
      <c r="W242" s="1"/>
      <c r="X242" s="1"/>
      <c r="Y242" s="1"/>
      <c r="Z242" s="1"/>
    </row>
    <row r="243" spans="1:26" ht="24.75" customHeight="1">
      <c r="A243" s="1"/>
      <c r="B243" s="1"/>
      <c r="C243" s="1"/>
      <c r="D243" s="1"/>
      <c r="E243" s="1"/>
      <c r="F243" s="1"/>
      <c r="G243" s="1"/>
      <c r="H243" s="1"/>
      <c r="I243" s="1"/>
      <c r="J243" s="1"/>
      <c r="K243" s="1"/>
      <c r="L243" s="1"/>
      <c r="M243" s="1"/>
      <c r="N243" s="1"/>
      <c r="O243" s="1"/>
      <c r="P243" s="1"/>
      <c r="Q243" s="1"/>
      <c r="R243" s="1"/>
      <c r="S243" s="1"/>
      <c r="T243" s="1"/>
      <c r="U243" s="2"/>
      <c r="V243" s="1"/>
      <c r="W243" s="1"/>
      <c r="X243" s="1"/>
      <c r="Y243" s="1"/>
      <c r="Z243" s="1"/>
    </row>
    <row r="244" spans="1:26" ht="24.75" customHeight="1">
      <c r="A244" s="1"/>
      <c r="B244" s="1"/>
      <c r="C244" s="1"/>
      <c r="D244" s="1"/>
      <c r="E244" s="1"/>
      <c r="F244" s="1"/>
      <c r="G244" s="1"/>
      <c r="H244" s="1"/>
      <c r="I244" s="1"/>
      <c r="J244" s="1"/>
      <c r="K244" s="1"/>
      <c r="L244" s="1"/>
      <c r="M244" s="1"/>
      <c r="N244" s="1"/>
      <c r="O244" s="1"/>
      <c r="P244" s="1"/>
      <c r="Q244" s="1"/>
      <c r="R244" s="1"/>
      <c r="S244" s="1"/>
      <c r="T244" s="1"/>
      <c r="U244" s="2"/>
      <c r="V244" s="1"/>
      <c r="W244" s="1"/>
      <c r="X244" s="1"/>
      <c r="Y244" s="1"/>
      <c r="Z244" s="1"/>
    </row>
    <row r="245" spans="1:26" ht="24.75" customHeight="1">
      <c r="A245" s="1"/>
      <c r="B245" s="1"/>
      <c r="C245" s="1"/>
      <c r="D245" s="1"/>
      <c r="E245" s="1"/>
      <c r="F245" s="1"/>
      <c r="G245" s="1"/>
      <c r="H245" s="1"/>
      <c r="I245" s="1"/>
      <c r="J245" s="1"/>
      <c r="K245" s="1"/>
      <c r="L245" s="1"/>
      <c r="M245" s="1"/>
      <c r="N245" s="1"/>
      <c r="O245" s="1"/>
      <c r="P245" s="1"/>
      <c r="Q245" s="1"/>
      <c r="R245" s="1"/>
      <c r="S245" s="1"/>
      <c r="T245" s="1"/>
      <c r="U245" s="2"/>
      <c r="V245" s="1"/>
      <c r="W245" s="1"/>
      <c r="X245" s="1"/>
      <c r="Y245" s="1"/>
      <c r="Z245" s="1"/>
    </row>
    <row r="246" spans="1:26" ht="24.75" customHeight="1">
      <c r="A246" s="1"/>
      <c r="B246" s="1"/>
      <c r="C246" s="1"/>
      <c r="D246" s="1"/>
      <c r="E246" s="1"/>
      <c r="F246" s="1"/>
      <c r="G246" s="1"/>
      <c r="H246" s="1"/>
      <c r="I246" s="1"/>
      <c r="J246" s="1"/>
      <c r="K246" s="1"/>
      <c r="L246" s="1"/>
      <c r="M246" s="1"/>
      <c r="N246" s="1"/>
      <c r="O246" s="1"/>
      <c r="P246" s="1"/>
      <c r="Q246" s="1"/>
      <c r="R246" s="1"/>
      <c r="S246" s="1"/>
      <c r="T246" s="1"/>
      <c r="U246" s="2"/>
      <c r="V246" s="1"/>
      <c r="W246" s="1"/>
      <c r="X246" s="1"/>
      <c r="Y246" s="1"/>
      <c r="Z246" s="1"/>
    </row>
    <row r="247" spans="1:26" ht="24.75" customHeight="1">
      <c r="A247" s="1"/>
      <c r="B247" s="1"/>
      <c r="C247" s="1"/>
      <c r="D247" s="1"/>
      <c r="E247" s="1"/>
      <c r="F247" s="1"/>
      <c r="G247" s="1"/>
      <c r="H247" s="1"/>
      <c r="I247" s="1"/>
      <c r="J247" s="1"/>
      <c r="K247" s="1"/>
      <c r="L247" s="1"/>
      <c r="M247" s="1"/>
      <c r="N247" s="1"/>
      <c r="O247" s="1"/>
      <c r="P247" s="1"/>
      <c r="Q247" s="1"/>
      <c r="R247" s="1"/>
      <c r="S247" s="1"/>
      <c r="T247" s="1"/>
      <c r="U247" s="2"/>
      <c r="V247" s="1"/>
      <c r="W247" s="1"/>
      <c r="X247" s="1"/>
      <c r="Y247" s="1"/>
      <c r="Z247" s="1"/>
    </row>
    <row r="248" spans="1:26" ht="24.75" customHeight="1">
      <c r="A248" s="1"/>
      <c r="B248" s="1"/>
      <c r="C248" s="1"/>
      <c r="D248" s="1"/>
      <c r="E248" s="1"/>
      <c r="F248" s="1"/>
      <c r="G248" s="1"/>
      <c r="H248" s="1"/>
      <c r="I248" s="1"/>
      <c r="J248" s="1"/>
      <c r="K248" s="1"/>
      <c r="L248" s="1"/>
      <c r="M248" s="1"/>
      <c r="N248" s="1"/>
      <c r="O248" s="1"/>
      <c r="P248" s="1"/>
      <c r="Q248" s="1"/>
      <c r="R248" s="1"/>
      <c r="S248" s="1"/>
      <c r="T248" s="1"/>
      <c r="U248" s="2"/>
      <c r="V248" s="1"/>
      <c r="W248" s="1"/>
      <c r="X248" s="1"/>
      <c r="Y248" s="1"/>
      <c r="Z248" s="1"/>
    </row>
    <row r="249" spans="1:26" ht="24.75" customHeight="1">
      <c r="A249" s="1"/>
      <c r="B249" s="1"/>
      <c r="C249" s="1"/>
      <c r="D249" s="1"/>
      <c r="E249" s="1"/>
      <c r="F249" s="1"/>
      <c r="G249" s="1"/>
      <c r="H249" s="1"/>
      <c r="I249" s="1"/>
      <c r="J249" s="1"/>
      <c r="K249" s="1"/>
      <c r="L249" s="1"/>
      <c r="M249" s="1"/>
      <c r="N249" s="1"/>
      <c r="O249" s="1"/>
      <c r="P249" s="1"/>
      <c r="Q249" s="1"/>
      <c r="R249" s="1"/>
      <c r="S249" s="1"/>
      <c r="T249" s="1"/>
      <c r="U249" s="2"/>
      <c r="V249" s="1"/>
      <c r="W249" s="1"/>
      <c r="X249" s="1"/>
      <c r="Y249" s="1"/>
      <c r="Z249" s="1"/>
    </row>
    <row r="250" spans="1:26" ht="24.75" customHeight="1">
      <c r="A250" s="1"/>
      <c r="B250" s="1"/>
      <c r="C250" s="1"/>
      <c r="D250" s="1"/>
      <c r="E250" s="1"/>
      <c r="F250" s="1"/>
      <c r="G250" s="1"/>
      <c r="H250" s="1"/>
      <c r="I250" s="1"/>
      <c r="J250" s="1"/>
      <c r="K250" s="1"/>
      <c r="L250" s="1"/>
      <c r="M250" s="1"/>
      <c r="N250" s="1"/>
      <c r="O250" s="1"/>
      <c r="P250" s="1"/>
      <c r="Q250" s="1"/>
      <c r="R250" s="1"/>
      <c r="S250" s="1"/>
      <c r="T250" s="1"/>
      <c r="U250" s="2"/>
      <c r="V250" s="1"/>
      <c r="W250" s="1"/>
      <c r="X250" s="1"/>
      <c r="Y250" s="1"/>
      <c r="Z250" s="1"/>
    </row>
    <row r="251" spans="1:26" ht="24.75" customHeight="1">
      <c r="A251" s="1"/>
      <c r="B251" s="1"/>
      <c r="C251" s="1"/>
      <c r="D251" s="1"/>
      <c r="E251" s="1"/>
      <c r="F251" s="1"/>
      <c r="G251" s="1"/>
      <c r="H251" s="1"/>
      <c r="I251" s="1"/>
      <c r="J251" s="1"/>
      <c r="K251" s="1"/>
      <c r="L251" s="1"/>
      <c r="M251" s="1"/>
      <c r="N251" s="1"/>
      <c r="O251" s="1"/>
      <c r="P251" s="1"/>
      <c r="Q251" s="1"/>
      <c r="R251" s="1"/>
      <c r="S251" s="1"/>
      <c r="T251" s="1"/>
      <c r="U251" s="2"/>
      <c r="V251" s="1"/>
      <c r="W251" s="1"/>
      <c r="X251" s="1"/>
      <c r="Y251" s="1"/>
      <c r="Z251" s="1"/>
    </row>
    <row r="252" spans="1:26" ht="24.75" customHeight="1">
      <c r="A252" s="1"/>
      <c r="B252" s="1"/>
      <c r="C252" s="1"/>
      <c r="D252" s="1"/>
      <c r="E252" s="1"/>
      <c r="F252" s="1"/>
      <c r="G252" s="1"/>
      <c r="H252" s="1"/>
      <c r="I252" s="1"/>
      <c r="J252" s="1"/>
      <c r="K252" s="1"/>
      <c r="L252" s="1"/>
      <c r="M252" s="1"/>
      <c r="N252" s="1"/>
      <c r="O252" s="1"/>
      <c r="P252" s="1"/>
      <c r="Q252" s="1"/>
      <c r="R252" s="1"/>
      <c r="S252" s="1"/>
      <c r="T252" s="1"/>
      <c r="U252" s="2"/>
      <c r="V252" s="1"/>
      <c r="W252" s="1"/>
      <c r="X252" s="1"/>
      <c r="Y252" s="1"/>
      <c r="Z252" s="1"/>
    </row>
    <row r="253" spans="1:26" ht="24.75" customHeight="1">
      <c r="A253" s="1"/>
      <c r="B253" s="1"/>
      <c r="C253" s="1"/>
      <c r="D253" s="1"/>
      <c r="E253" s="1"/>
      <c r="F253" s="1"/>
      <c r="G253" s="1"/>
      <c r="H253" s="1"/>
      <c r="I253" s="1"/>
      <c r="J253" s="1"/>
      <c r="K253" s="1"/>
      <c r="L253" s="1"/>
      <c r="M253" s="1"/>
      <c r="N253" s="1"/>
      <c r="O253" s="1"/>
      <c r="P253" s="1"/>
      <c r="Q253" s="1"/>
      <c r="R253" s="1"/>
      <c r="S253" s="1"/>
      <c r="T253" s="1"/>
      <c r="U253" s="2"/>
      <c r="V253" s="1"/>
      <c r="W253" s="1"/>
      <c r="X253" s="1"/>
      <c r="Y253" s="1"/>
      <c r="Z253" s="1"/>
    </row>
    <row r="254" spans="1:26" ht="24.75" customHeight="1">
      <c r="A254" s="1"/>
      <c r="B254" s="1"/>
      <c r="C254" s="1"/>
      <c r="D254" s="1"/>
      <c r="E254" s="1"/>
      <c r="F254" s="1"/>
      <c r="G254" s="1"/>
      <c r="H254" s="1"/>
      <c r="I254" s="1"/>
      <c r="J254" s="1"/>
      <c r="K254" s="1"/>
      <c r="L254" s="1"/>
      <c r="M254" s="1"/>
      <c r="N254" s="1"/>
      <c r="O254" s="1"/>
      <c r="P254" s="1"/>
      <c r="Q254" s="1"/>
      <c r="R254" s="1"/>
      <c r="S254" s="1"/>
      <c r="T254" s="1"/>
      <c r="U254" s="2"/>
      <c r="V254" s="1"/>
      <c r="W254" s="1"/>
      <c r="X254" s="1"/>
      <c r="Y254" s="1"/>
      <c r="Z254" s="1"/>
    </row>
    <row r="255" spans="1:26" ht="24.75" customHeight="1">
      <c r="A255" s="1"/>
      <c r="B255" s="1"/>
      <c r="C255" s="1"/>
      <c r="D255" s="1"/>
      <c r="E255" s="1"/>
      <c r="F255" s="1"/>
      <c r="G255" s="1"/>
      <c r="H255" s="1"/>
      <c r="I255" s="1"/>
      <c r="J255" s="1"/>
      <c r="K255" s="1"/>
      <c r="L255" s="1"/>
      <c r="M255" s="1"/>
      <c r="N255" s="1"/>
      <c r="O255" s="1"/>
      <c r="P255" s="1"/>
      <c r="Q255" s="1"/>
      <c r="R255" s="1"/>
      <c r="S255" s="1"/>
      <c r="T255" s="1"/>
      <c r="U255" s="2"/>
      <c r="V255" s="1"/>
      <c r="W255" s="1"/>
      <c r="X255" s="1"/>
      <c r="Y255" s="1"/>
      <c r="Z255" s="1"/>
    </row>
    <row r="256" spans="1:26" ht="24.75" customHeight="1">
      <c r="A256" s="1"/>
      <c r="B256" s="1"/>
      <c r="C256" s="1"/>
      <c r="D256" s="1"/>
      <c r="E256" s="1"/>
      <c r="F256" s="1"/>
      <c r="G256" s="1"/>
      <c r="H256" s="1"/>
      <c r="I256" s="1"/>
      <c r="J256" s="1"/>
      <c r="K256" s="1"/>
      <c r="L256" s="1"/>
      <c r="M256" s="1"/>
      <c r="N256" s="1"/>
      <c r="O256" s="1"/>
      <c r="P256" s="1"/>
      <c r="Q256" s="1"/>
      <c r="R256" s="1"/>
      <c r="S256" s="1"/>
      <c r="T256" s="1"/>
      <c r="U256" s="2"/>
      <c r="V256" s="1"/>
      <c r="W256" s="1"/>
      <c r="X256" s="1"/>
      <c r="Y256" s="1"/>
      <c r="Z256" s="1"/>
    </row>
    <row r="257" spans="1:26" ht="24.75" customHeight="1">
      <c r="A257" s="1"/>
      <c r="B257" s="1"/>
      <c r="C257" s="1"/>
      <c r="D257" s="1"/>
      <c r="E257" s="1"/>
      <c r="F257" s="1"/>
      <c r="G257" s="1"/>
      <c r="H257" s="1"/>
      <c r="I257" s="1"/>
      <c r="J257" s="1"/>
      <c r="K257" s="1"/>
      <c r="L257" s="1"/>
      <c r="M257" s="1"/>
      <c r="N257" s="1"/>
      <c r="O257" s="1"/>
      <c r="P257" s="1"/>
      <c r="Q257" s="1"/>
      <c r="R257" s="1"/>
      <c r="S257" s="1"/>
      <c r="T257" s="1"/>
      <c r="U257" s="2"/>
      <c r="V257" s="1"/>
      <c r="W257" s="1"/>
      <c r="X257" s="1"/>
      <c r="Y257" s="1"/>
      <c r="Z257" s="1"/>
    </row>
    <row r="258" spans="1:26" ht="24.75" customHeight="1">
      <c r="A258" s="1"/>
      <c r="B258" s="1"/>
      <c r="C258" s="1"/>
      <c r="D258" s="1"/>
      <c r="E258" s="1"/>
      <c r="F258" s="1"/>
      <c r="G258" s="1"/>
      <c r="H258" s="1"/>
      <c r="I258" s="1"/>
      <c r="J258" s="1"/>
      <c r="K258" s="1"/>
      <c r="L258" s="1"/>
      <c r="M258" s="1"/>
      <c r="N258" s="1"/>
      <c r="O258" s="1"/>
      <c r="P258" s="1"/>
      <c r="Q258" s="1"/>
      <c r="R258" s="1"/>
      <c r="S258" s="1"/>
      <c r="T258" s="1"/>
      <c r="U258" s="2"/>
      <c r="V258" s="1"/>
      <c r="W258" s="1"/>
      <c r="X258" s="1"/>
      <c r="Y258" s="1"/>
      <c r="Z258" s="1"/>
    </row>
    <row r="259" spans="1:26" ht="24.75" customHeight="1">
      <c r="A259" s="1"/>
      <c r="B259" s="1"/>
      <c r="C259" s="1"/>
      <c r="D259" s="1"/>
      <c r="E259" s="1"/>
      <c r="F259" s="1"/>
      <c r="G259" s="1"/>
      <c r="H259" s="1"/>
      <c r="I259" s="1"/>
      <c r="J259" s="1"/>
      <c r="K259" s="1"/>
      <c r="L259" s="1"/>
      <c r="M259" s="1"/>
      <c r="N259" s="1"/>
      <c r="O259" s="1"/>
      <c r="P259" s="1"/>
      <c r="Q259" s="1"/>
      <c r="R259" s="1"/>
      <c r="S259" s="1"/>
      <c r="T259" s="1"/>
      <c r="U259" s="2"/>
      <c r="V259" s="1"/>
      <c r="W259" s="1"/>
      <c r="X259" s="1"/>
      <c r="Y259" s="1"/>
      <c r="Z259" s="1"/>
    </row>
    <row r="260" spans="1:26" ht="24.75" customHeight="1">
      <c r="A260" s="1"/>
      <c r="B260" s="1"/>
      <c r="C260" s="1"/>
      <c r="D260" s="1"/>
      <c r="E260" s="1"/>
      <c r="F260" s="1"/>
      <c r="G260" s="1"/>
      <c r="H260" s="1"/>
      <c r="I260" s="1"/>
      <c r="J260" s="1"/>
      <c r="K260" s="1"/>
      <c r="L260" s="1"/>
      <c r="M260" s="1"/>
      <c r="N260" s="1"/>
      <c r="O260" s="1"/>
      <c r="P260" s="1"/>
      <c r="Q260" s="1"/>
      <c r="R260" s="1"/>
      <c r="S260" s="1"/>
      <c r="T260" s="1"/>
      <c r="U260" s="2"/>
      <c r="V260" s="1"/>
      <c r="W260" s="1"/>
      <c r="X260" s="1"/>
      <c r="Y260" s="1"/>
      <c r="Z260" s="1"/>
    </row>
    <row r="261" spans="1:26" ht="24.75" customHeight="1">
      <c r="A261" s="1"/>
      <c r="B261" s="1"/>
      <c r="C261" s="1"/>
      <c r="D261" s="1"/>
      <c r="E261" s="1"/>
      <c r="F261" s="1"/>
      <c r="G261" s="1"/>
      <c r="H261" s="1"/>
      <c r="I261" s="1"/>
      <c r="J261" s="1"/>
      <c r="K261" s="1"/>
      <c r="L261" s="1"/>
      <c r="M261" s="1"/>
      <c r="N261" s="1"/>
      <c r="O261" s="1"/>
      <c r="P261" s="1"/>
      <c r="Q261" s="1"/>
      <c r="R261" s="1"/>
      <c r="S261" s="1"/>
      <c r="T261" s="1"/>
      <c r="U261" s="2"/>
      <c r="V261" s="1"/>
      <c r="W261" s="1"/>
      <c r="X261" s="1"/>
      <c r="Y261" s="1"/>
      <c r="Z261" s="1"/>
    </row>
    <row r="262" spans="1:26" ht="24.75" customHeight="1">
      <c r="A262" s="1"/>
      <c r="B262" s="1"/>
      <c r="C262" s="1"/>
      <c r="D262" s="1"/>
      <c r="E262" s="1"/>
      <c r="F262" s="1"/>
      <c r="G262" s="1"/>
      <c r="H262" s="1"/>
      <c r="I262" s="1"/>
      <c r="J262" s="1"/>
      <c r="K262" s="1"/>
      <c r="L262" s="1"/>
      <c r="M262" s="1"/>
      <c r="N262" s="1"/>
      <c r="O262" s="1"/>
      <c r="P262" s="1"/>
      <c r="Q262" s="1"/>
      <c r="R262" s="1"/>
      <c r="S262" s="1"/>
      <c r="T262" s="1"/>
      <c r="U262" s="2"/>
      <c r="V262" s="1"/>
      <c r="W262" s="1"/>
      <c r="X262" s="1"/>
      <c r="Y262" s="1"/>
      <c r="Z262" s="1"/>
    </row>
    <row r="263" spans="1:26" ht="24.75" customHeight="1">
      <c r="A263" s="1"/>
      <c r="B263" s="1"/>
      <c r="C263" s="1"/>
      <c r="D263" s="1"/>
      <c r="E263" s="1"/>
      <c r="F263" s="1"/>
      <c r="G263" s="1"/>
      <c r="H263" s="1"/>
      <c r="I263" s="1"/>
      <c r="J263" s="1"/>
      <c r="K263" s="1"/>
      <c r="L263" s="1"/>
      <c r="M263" s="1"/>
      <c r="N263" s="1"/>
      <c r="O263" s="1"/>
      <c r="P263" s="1"/>
      <c r="Q263" s="1"/>
      <c r="R263" s="1"/>
      <c r="S263" s="1"/>
      <c r="T263" s="1"/>
      <c r="U263" s="2"/>
      <c r="V263" s="1"/>
      <c r="W263" s="1"/>
      <c r="X263" s="1"/>
      <c r="Y263" s="1"/>
      <c r="Z263" s="1"/>
    </row>
    <row r="264" spans="1:26" ht="24.75" customHeight="1">
      <c r="A264" s="1"/>
      <c r="B264" s="1"/>
      <c r="C264" s="1"/>
      <c r="D264" s="1"/>
      <c r="E264" s="1"/>
      <c r="F264" s="1"/>
      <c r="G264" s="1"/>
      <c r="H264" s="1"/>
      <c r="I264" s="1"/>
      <c r="J264" s="1"/>
      <c r="K264" s="1"/>
      <c r="L264" s="1"/>
      <c r="M264" s="1"/>
      <c r="N264" s="1"/>
      <c r="O264" s="1"/>
      <c r="P264" s="1"/>
      <c r="Q264" s="1"/>
      <c r="R264" s="1"/>
      <c r="S264" s="1"/>
      <c r="T264" s="1"/>
      <c r="U264" s="2"/>
      <c r="V264" s="1"/>
      <c r="W264" s="1"/>
      <c r="X264" s="1"/>
      <c r="Y264" s="1"/>
      <c r="Z264" s="1"/>
    </row>
    <row r="265" spans="1:26" ht="24.75" customHeight="1">
      <c r="A265" s="1"/>
      <c r="B265" s="1"/>
      <c r="C265" s="1"/>
      <c r="D265" s="1"/>
      <c r="E265" s="1"/>
      <c r="F265" s="1"/>
      <c r="G265" s="1"/>
      <c r="H265" s="1"/>
      <c r="I265" s="1"/>
      <c r="J265" s="1"/>
      <c r="K265" s="1"/>
      <c r="L265" s="1"/>
      <c r="M265" s="1"/>
      <c r="N265" s="1"/>
      <c r="O265" s="1"/>
      <c r="P265" s="1"/>
      <c r="Q265" s="1"/>
      <c r="R265" s="1"/>
      <c r="S265" s="1"/>
      <c r="T265" s="1"/>
      <c r="U265" s="2"/>
      <c r="V265" s="1"/>
      <c r="W265" s="1"/>
      <c r="X265" s="1"/>
      <c r="Y265" s="1"/>
      <c r="Z265" s="1"/>
    </row>
    <row r="266" spans="1:26" ht="24.75" customHeight="1">
      <c r="A266" s="1"/>
      <c r="B266" s="1"/>
      <c r="C266" s="1"/>
      <c r="D266" s="1"/>
      <c r="E266" s="1"/>
      <c r="F266" s="1"/>
      <c r="G266" s="1"/>
      <c r="H266" s="1"/>
      <c r="I266" s="1"/>
      <c r="J266" s="1"/>
      <c r="K266" s="1"/>
      <c r="L266" s="1"/>
      <c r="M266" s="1"/>
      <c r="N266" s="1"/>
      <c r="O266" s="1"/>
      <c r="P266" s="1"/>
      <c r="Q266" s="1"/>
      <c r="R266" s="1"/>
      <c r="S266" s="1"/>
      <c r="T266" s="1"/>
      <c r="U266" s="2"/>
      <c r="V266" s="1"/>
      <c r="W266" s="1"/>
      <c r="X266" s="1"/>
      <c r="Y266" s="1"/>
      <c r="Z266" s="1"/>
    </row>
    <row r="267" spans="1:26" ht="24.75" customHeight="1">
      <c r="A267" s="1"/>
      <c r="B267" s="1"/>
      <c r="C267" s="1"/>
      <c r="D267" s="1"/>
      <c r="E267" s="1"/>
      <c r="F267" s="1"/>
      <c r="G267" s="1"/>
      <c r="H267" s="1"/>
      <c r="I267" s="1"/>
      <c r="J267" s="1"/>
      <c r="K267" s="1"/>
      <c r="L267" s="1"/>
      <c r="M267" s="1"/>
      <c r="N267" s="1"/>
      <c r="O267" s="1"/>
      <c r="P267" s="1"/>
      <c r="Q267" s="1"/>
      <c r="R267" s="1"/>
      <c r="S267" s="1"/>
      <c r="T267" s="1"/>
      <c r="U267" s="2"/>
      <c r="V267" s="1"/>
      <c r="W267" s="1"/>
      <c r="X267" s="1"/>
      <c r="Y267" s="1"/>
      <c r="Z267" s="1"/>
    </row>
    <row r="268" spans="1:26" ht="24.75" customHeight="1">
      <c r="A268" s="1"/>
      <c r="B268" s="1"/>
      <c r="C268" s="1"/>
      <c r="D268" s="1"/>
      <c r="E268" s="1"/>
      <c r="F268" s="1"/>
      <c r="G268" s="1"/>
      <c r="H268" s="1"/>
      <c r="I268" s="1"/>
      <c r="J268" s="1"/>
      <c r="K268" s="1"/>
      <c r="L268" s="1"/>
      <c r="M268" s="1"/>
      <c r="N268" s="1"/>
      <c r="O268" s="1"/>
      <c r="P268" s="1"/>
      <c r="Q268" s="1"/>
      <c r="R268" s="1"/>
      <c r="S268" s="1"/>
      <c r="T268" s="1"/>
      <c r="U268" s="2"/>
      <c r="V268" s="1"/>
      <c r="W268" s="1"/>
      <c r="X268" s="1"/>
      <c r="Y268" s="1"/>
      <c r="Z268" s="1"/>
    </row>
    <row r="269" spans="1:26" ht="24.75" customHeight="1">
      <c r="A269" s="1"/>
      <c r="B269" s="1"/>
      <c r="C269" s="1"/>
      <c r="D269" s="1"/>
      <c r="E269" s="1"/>
      <c r="F269" s="1"/>
      <c r="G269" s="1"/>
      <c r="H269" s="1"/>
      <c r="I269" s="1"/>
      <c r="J269" s="1"/>
      <c r="K269" s="1"/>
      <c r="L269" s="1"/>
      <c r="M269" s="1"/>
      <c r="N269" s="1"/>
      <c r="O269" s="1"/>
      <c r="P269" s="1"/>
      <c r="Q269" s="1"/>
      <c r="R269" s="1"/>
      <c r="S269" s="1"/>
      <c r="T269" s="1"/>
      <c r="U269" s="2"/>
      <c r="V269" s="1"/>
      <c r="W269" s="1"/>
      <c r="X269" s="1"/>
      <c r="Y269" s="1"/>
      <c r="Z269" s="1"/>
    </row>
    <row r="270" spans="1:26" ht="24.75" customHeight="1">
      <c r="A270" s="1"/>
      <c r="B270" s="1"/>
      <c r="C270" s="1"/>
      <c r="D270" s="1"/>
      <c r="E270" s="1"/>
      <c r="F270" s="1"/>
      <c r="G270" s="1"/>
      <c r="H270" s="1"/>
      <c r="I270" s="1"/>
      <c r="J270" s="1"/>
      <c r="K270" s="1"/>
      <c r="L270" s="1"/>
      <c r="M270" s="1"/>
      <c r="N270" s="1"/>
      <c r="O270" s="1"/>
      <c r="P270" s="1"/>
      <c r="Q270" s="1"/>
      <c r="R270" s="1"/>
      <c r="S270" s="1"/>
      <c r="T270" s="1"/>
      <c r="U270" s="2"/>
      <c r="V270" s="1"/>
      <c r="W270" s="1"/>
      <c r="X270" s="1"/>
      <c r="Y270" s="1"/>
      <c r="Z270" s="1"/>
    </row>
    <row r="271" spans="1:26" ht="24.75" customHeight="1">
      <c r="A271" s="1"/>
      <c r="B271" s="1"/>
      <c r="C271" s="1"/>
      <c r="D271" s="1"/>
      <c r="E271" s="1"/>
      <c r="F271" s="1"/>
      <c r="G271" s="1"/>
      <c r="H271" s="1"/>
      <c r="I271" s="1"/>
      <c r="J271" s="1"/>
      <c r="K271" s="1"/>
      <c r="L271" s="1"/>
      <c r="M271" s="1"/>
      <c r="N271" s="1"/>
      <c r="O271" s="1"/>
      <c r="P271" s="1"/>
      <c r="Q271" s="1"/>
      <c r="R271" s="1"/>
      <c r="S271" s="1"/>
      <c r="T271" s="1"/>
      <c r="U271" s="2"/>
      <c r="V271" s="1"/>
      <c r="W271" s="1"/>
      <c r="X271" s="1"/>
      <c r="Y271" s="1"/>
      <c r="Z271" s="1"/>
    </row>
    <row r="272" spans="1:26" ht="24.75" customHeight="1">
      <c r="A272" s="1"/>
      <c r="B272" s="1"/>
      <c r="C272" s="1"/>
      <c r="D272" s="1"/>
      <c r="E272" s="1"/>
      <c r="F272" s="1"/>
      <c r="G272" s="1"/>
      <c r="H272" s="1"/>
      <c r="I272" s="1"/>
      <c r="J272" s="1"/>
      <c r="K272" s="1"/>
      <c r="L272" s="1"/>
      <c r="M272" s="1"/>
      <c r="N272" s="1"/>
      <c r="O272" s="1"/>
      <c r="P272" s="1"/>
      <c r="Q272" s="1"/>
      <c r="R272" s="1"/>
      <c r="S272" s="1"/>
      <c r="T272" s="1"/>
      <c r="U272" s="2"/>
      <c r="V272" s="1"/>
      <c r="W272" s="1"/>
      <c r="X272" s="1"/>
      <c r="Y272" s="1"/>
      <c r="Z272" s="1"/>
    </row>
    <row r="273" spans="1:26" ht="24.75" customHeight="1">
      <c r="A273" s="1"/>
      <c r="B273" s="1"/>
      <c r="C273" s="1"/>
      <c r="D273" s="1"/>
      <c r="E273" s="1"/>
      <c r="F273" s="1"/>
      <c r="G273" s="1"/>
      <c r="H273" s="1"/>
      <c r="I273" s="1"/>
      <c r="J273" s="1"/>
      <c r="K273" s="1"/>
      <c r="L273" s="1"/>
      <c r="M273" s="1"/>
      <c r="N273" s="1"/>
      <c r="O273" s="1"/>
      <c r="P273" s="1"/>
      <c r="Q273" s="1"/>
      <c r="R273" s="1"/>
      <c r="S273" s="1"/>
      <c r="T273" s="1"/>
      <c r="U273" s="2"/>
      <c r="V273" s="1"/>
      <c r="W273" s="1"/>
      <c r="X273" s="1"/>
      <c r="Y273" s="1"/>
      <c r="Z273" s="1"/>
    </row>
    <row r="274" spans="1:26" ht="24.75" customHeight="1">
      <c r="A274" s="1"/>
      <c r="B274" s="1"/>
      <c r="C274" s="1"/>
      <c r="D274" s="1"/>
      <c r="E274" s="1"/>
      <c r="F274" s="1"/>
      <c r="G274" s="1"/>
      <c r="H274" s="1"/>
      <c r="I274" s="1"/>
      <c r="J274" s="1"/>
      <c r="K274" s="1"/>
      <c r="L274" s="1"/>
      <c r="M274" s="1"/>
      <c r="N274" s="1"/>
      <c r="O274" s="1"/>
      <c r="P274" s="1"/>
      <c r="Q274" s="1"/>
      <c r="R274" s="1"/>
      <c r="S274" s="1"/>
      <c r="T274" s="1"/>
      <c r="U274" s="2"/>
      <c r="V274" s="1"/>
      <c r="W274" s="1"/>
      <c r="X274" s="1"/>
      <c r="Y274" s="1"/>
      <c r="Z274" s="1"/>
    </row>
    <row r="275" spans="1:26" ht="24.75" customHeight="1">
      <c r="A275" s="1"/>
      <c r="B275" s="1"/>
      <c r="C275" s="1"/>
      <c r="D275" s="1"/>
      <c r="E275" s="1"/>
      <c r="F275" s="1"/>
      <c r="G275" s="1"/>
      <c r="H275" s="1"/>
      <c r="I275" s="1"/>
      <c r="J275" s="1"/>
      <c r="K275" s="1"/>
      <c r="L275" s="1"/>
      <c r="M275" s="1"/>
      <c r="N275" s="1"/>
      <c r="O275" s="1"/>
      <c r="P275" s="1"/>
      <c r="Q275" s="1"/>
      <c r="R275" s="1"/>
      <c r="S275" s="1"/>
      <c r="T275" s="1"/>
      <c r="U275" s="2"/>
      <c r="V275" s="1"/>
      <c r="W275" s="1"/>
      <c r="X275" s="1"/>
      <c r="Y275" s="1"/>
      <c r="Z275" s="1"/>
    </row>
    <row r="276" spans="1:26" ht="24.75" customHeight="1">
      <c r="A276" s="1"/>
      <c r="B276" s="1"/>
      <c r="C276" s="1"/>
      <c r="D276" s="1"/>
      <c r="E276" s="1"/>
      <c r="F276" s="1"/>
      <c r="G276" s="1"/>
      <c r="H276" s="1"/>
      <c r="I276" s="1"/>
      <c r="J276" s="1"/>
      <c r="K276" s="1"/>
      <c r="L276" s="1"/>
      <c r="M276" s="1"/>
      <c r="N276" s="1"/>
      <c r="O276" s="1"/>
      <c r="P276" s="1"/>
      <c r="Q276" s="1"/>
      <c r="R276" s="1"/>
      <c r="S276" s="1"/>
      <c r="T276" s="1"/>
      <c r="U276" s="2"/>
      <c r="V276" s="1"/>
      <c r="W276" s="1"/>
      <c r="X276" s="1"/>
      <c r="Y276" s="1"/>
      <c r="Z276" s="1"/>
    </row>
    <row r="277" spans="1:26" ht="24.75" customHeight="1">
      <c r="A277" s="1"/>
      <c r="B277" s="1"/>
      <c r="C277" s="1"/>
      <c r="D277" s="1"/>
      <c r="E277" s="1"/>
      <c r="F277" s="1"/>
      <c r="G277" s="1"/>
      <c r="H277" s="1"/>
      <c r="I277" s="1"/>
      <c r="J277" s="1"/>
      <c r="K277" s="1"/>
      <c r="L277" s="1"/>
      <c r="M277" s="1"/>
      <c r="N277" s="1"/>
      <c r="O277" s="1"/>
      <c r="P277" s="1"/>
      <c r="Q277" s="1"/>
      <c r="R277" s="1"/>
      <c r="S277" s="1"/>
      <c r="T277" s="1"/>
      <c r="U277" s="2"/>
      <c r="V277" s="1"/>
      <c r="W277" s="1"/>
      <c r="X277" s="1"/>
      <c r="Y277" s="1"/>
      <c r="Z277" s="1"/>
    </row>
    <row r="278" spans="1:26" ht="24.75" customHeight="1">
      <c r="A278" s="1"/>
      <c r="B278" s="1"/>
      <c r="C278" s="1"/>
      <c r="D278" s="1"/>
      <c r="E278" s="1"/>
      <c r="F278" s="1"/>
      <c r="G278" s="1"/>
      <c r="H278" s="1"/>
      <c r="I278" s="1"/>
      <c r="J278" s="1"/>
      <c r="K278" s="1"/>
      <c r="L278" s="1"/>
      <c r="M278" s="1"/>
      <c r="N278" s="1"/>
      <c r="O278" s="1"/>
      <c r="P278" s="1"/>
      <c r="Q278" s="1"/>
      <c r="R278" s="1"/>
      <c r="S278" s="1"/>
      <c r="T278" s="1"/>
      <c r="U278" s="2"/>
      <c r="V278" s="1"/>
      <c r="W278" s="1"/>
      <c r="X278" s="1"/>
      <c r="Y278" s="1"/>
      <c r="Z278" s="1"/>
    </row>
    <row r="279" spans="1:26" ht="24.75" customHeight="1">
      <c r="A279" s="1"/>
      <c r="B279" s="1"/>
      <c r="C279" s="1"/>
      <c r="D279" s="1"/>
      <c r="E279" s="1"/>
      <c r="F279" s="1"/>
      <c r="G279" s="1"/>
      <c r="H279" s="1"/>
      <c r="I279" s="1"/>
      <c r="J279" s="1"/>
      <c r="K279" s="1"/>
      <c r="L279" s="1"/>
      <c r="M279" s="1"/>
      <c r="N279" s="1"/>
      <c r="O279" s="1"/>
      <c r="P279" s="1"/>
      <c r="Q279" s="1"/>
      <c r="R279" s="1"/>
      <c r="S279" s="1"/>
      <c r="T279" s="1"/>
      <c r="U279" s="2"/>
      <c r="V279" s="1"/>
      <c r="W279" s="1"/>
      <c r="X279" s="1"/>
      <c r="Y279" s="1"/>
      <c r="Z279" s="1"/>
    </row>
    <row r="280" spans="1:26" ht="24.75" customHeight="1">
      <c r="A280" s="1"/>
      <c r="B280" s="1"/>
      <c r="C280" s="1"/>
      <c r="D280" s="1"/>
      <c r="E280" s="1"/>
      <c r="F280" s="1"/>
      <c r="G280" s="1"/>
      <c r="H280" s="1"/>
      <c r="I280" s="1"/>
      <c r="J280" s="1"/>
      <c r="K280" s="1"/>
      <c r="L280" s="1"/>
      <c r="M280" s="1"/>
      <c r="N280" s="1"/>
      <c r="O280" s="1"/>
      <c r="P280" s="1"/>
      <c r="Q280" s="1"/>
      <c r="R280" s="1"/>
      <c r="S280" s="1"/>
      <c r="T280" s="1"/>
      <c r="U280" s="2"/>
      <c r="V280" s="1"/>
      <c r="W280" s="1"/>
      <c r="X280" s="1"/>
      <c r="Y280" s="1"/>
      <c r="Z280" s="1"/>
    </row>
    <row r="281" spans="1:26" ht="24.75" customHeight="1">
      <c r="A281" s="1"/>
      <c r="B281" s="1"/>
      <c r="C281" s="1"/>
      <c r="D281" s="1"/>
      <c r="E281" s="1"/>
      <c r="F281" s="1"/>
      <c r="G281" s="1"/>
      <c r="H281" s="1"/>
      <c r="I281" s="1"/>
      <c r="J281" s="1"/>
      <c r="K281" s="1"/>
      <c r="L281" s="1"/>
      <c r="M281" s="1"/>
      <c r="N281" s="1"/>
      <c r="O281" s="1"/>
      <c r="P281" s="1"/>
      <c r="Q281" s="1"/>
      <c r="R281" s="1"/>
      <c r="S281" s="1"/>
      <c r="T281" s="1"/>
      <c r="U281" s="2"/>
      <c r="V281" s="1"/>
      <c r="W281" s="1"/>
      <c r="X281" s="1"/>
      <c r="Y281" s="1"/>
      <c r="Z281" s="1"/>
    </row>
    <row r="282" spans="1:26" ht="24.75" customHeight="1">
      <c r="A282" s="1"/>
      <c r="B282" s="1"/>
      <c r="C282" s="1"/>
      <c r="D282" s="1"/>
      <c r="E282" s="1"/>
      <c r="F282" s="1"/>
      <c r="G282" s="1"/>
      <c r="H282" s="1"/>
      <c r="I282" s="1"/>
      <c r="J282" s="1"/>
      <c r="K282" s="1"/>
      <c r="L282" s="1"/>
      <c r="M282" s="1"/>
      <c r="N282" s="1"/>
      <c r="O282" s="1"/>
      <c r="P282" s="1"/>
      <c r="Q282" s="1"/>
      <c r="R282" s="1"/>
      <c r="S282" s="1"/>
      <c r="T282" s="1"/>
      <c r="U282" s="2"/>
      <c r="V282" s="1"/>
      <c r="W282" s="1"/>
      <c r="X282" s="1"/>
      <c r="Y282" s="1"/>
      <c r="Z282" s="1"/>
    </row>
    <row r="283" spans="1:26" ht="24.75" customHeight="1">
      <c r="A283" s="1"/>
      <c r="B283" s="1"/>
      <c r="C283" s="1"/>
      <c r="D283" s="1"/>
      <c r="E283" s="1"/>
      <c r="F283" s="1"/>
      <c r="G283" s="1"/>
      <c r="H283" s="1"/>
      <c r="I283" s="1"/>
      <c r="J283" s="1"/>
      <c r="K283" s="1"/>
      <c r="L283" s="1"/>
      <c r="M283" s="1"/>
      <c r="N283" s="1"/>
      <c r="O283" s="1"/>
      <c r="P283" s="1"/>
      <c r="Q283" s="1"/>
      <c r="R283" s="1"/>
      <c r="S283" s="1"/>
      <c r="T283" s="1"/>
      <c r="U283" s="2"/>
      <c r="V283" s="1"/>
      <c r="W283" s="1"/>
      <c r="X283" s="1"/>
      <c r="Y283" s="1"/>
      <c r="Z283" s="1"/>
    </row>
    <row r="284" spans="1:26" ht="24.75" customHeight="1">
      <c r="A284" s="1"/>
      <c r="B284" s="1"/>
      <c r="C284" s="1"/>
      <c r="D284" s="1"/>
      <c r="E284" s="1"/>
      <c r="F284" s="1"/>
      <c r="G284" s="1"/>
      <c r="H284" s="1"/>
      <c r="I284" s="1"/>
      <c r="J284" s="1"/>
      <c r="K284" s="1"/>
      <c r="L284" s="1"/>
      <c r="M284" s="1"/>
      <c r="N284" s="1"/>
      <c r="O284" s="1"/>
      <c r="P284" s="1"/>
      <c r="Q284" s="1"/>
      <c r="R284" s="1"/>
      <c r="S284" s="1"/>
      <c r="T284" s="1"/>
      <c r="U284" s="2"/>
      <c r="V284" s="1"/>
      <c r="W284" s="1"/>
      <c r="X284" s="1"/>
      <c r="Y284" s="1"/>
      <c r="Z284" s="1"/>
    </row>
    <row r="285" spans="1:26" ht="24.75" customHeight="1">
      <c r="A285" s="1"/>
      <c r="B285" s="1"/>
      <c r="C285" s="1"/>
      <c r="D285" s="1"/>
      <c r="E285" s="1"/>
      <c r="F285" s="1"/>
      <c r="G285" s="1"/>
      <c r="H285" s="1"/>
      <c r="I285" s="1"/>
      <c r="J285" s="1"/>
      <c r="K285" s="1"/>
      <c r="L285" s="1"/>
      <c r="M285" s="1"/>
      <c r="N285" s="1"/>
      <c r="O285" s="1"/>
      <c r="P285" s="1"/>
      <c r="Q285" s="1"/>
      <c r="R285" s="1"/>
      <c r="S285" s="1"/>
      <c r="T285" s="1"/>
      <c r="U285" s="2"/>
      <c r="V285" s="1"/>
      <c r="W285" s="1"/>
      <c r="X285" s="1"/>
      <c r="Y285" s="1"/>
      <c r="Z285" s="1"/>
    </row>
    <row r="286" spans="1:26" ht="24.75" customHeight="1">
      <c r="A286" s="1"/>
      <c r="B286" s="1"/>
      <c r="C286" s="1"/>
      <c r="D286" s="1"/>
      <c r="E286" s="1"/>
      <c r="F286" s="1"/>
      <c r="G286" s="1"/>
      <c r="H286" s="1"/>
      <c r="I286" s="1"/>
      <c r="J286" s="1"/>
      <c r="K286" s="1"/>
      <c r="L286" s="1"/>
      <c r="M286" s="1"/>
      <c r="N286" s="1"/>
      <c r="O286" s="1"/>
      <c r="P286" s="1"/>
      <c r="Q286" s="1"/>
      <c r="R286" s="1"/>
      <c r="S286" s="1"/>
      <c r="T286" s="1"/>
      <c r="U286" s="2"/>
      <c r="V286" s="1"/>
      <c r="W286" s="1"/>
      <c r="X286" s="1"/>
      <c r="Y286" s="1"/>
      <c r="Z286" s="1"/>
    </row>
    <row r="287" spans="1:26" ht="24.75" customHeight="1">
      <c r="A287" s="1"/>
      <c r="B287" s="1"/>
      <c r="C287" s="1"/>
      <c r="D287" s="1"/>
      <c r="E287" s="1"/>
      <c r="F287" s="1"/>
      <c r="G287" s="1"/>
      <c r="H287" s="1"/>
      <c r="I287" s="1"/>
      <c r="J287" s="1"/>
      <c r="K287" s="1"/>
      <c r="L287" s="1"/>
      <c r="M287" s="1"/>
      <c r="N287" s="1"/>
      <c r="O287" s="1"/>
      <c r="P287" s="1"/>
      <c r="Q287" s="1"/>
      <c r="R287" s="1"/>
      <c r="S287" s="1"/>
      <c r="T287" s="1"/>
      <c r="U287" s="2"/>
      <c r="V287" s="1"/>
      <c r="W287" s="1"/>
      <c r="X287" s="1"/>
      <c r="Y287" s="1"/>
      <c r="Z287" s="1"/>
    </row>
    <row r="288" spans="1:26" ht="24.75" customHeight="1">
      <c r="A288" s="1"/>
      <c r="B288" s="1"/>
      <c r="C288" s="1"/>
      <c r="D288" s="1"/>
      <c r="E288" s="1"/>
      <c r="F288" s="1"/>
      <c r="G288" s="1"/>
      <c r="H288" s="1"/>
      <c r="I288" s="1"/>
      <c r="J288" s="1"/>
      <c r="K288" s="1"/>
      <c r="L288" s="1"/>
      <c r="M288" s="1"/>
      <c r="N288" s="1"/>
      <c r="O288" s="1"/>
      <c r="P288" s="1"/>
      <c r="Q288" s="1"/>
      <c r="R288" s="1"/>
      <c r="S288" s="1"/>
      <c r="T288" s="1"/>
      <c r="U288" s="2"/>
      <c r="V288" s="1"/>
      <c r="W288" s="1"/>
      <c r="X288" s="1"/>
      <c r="Y288" s="1"/>
      <c r="Z288" s="1"/>
    </row>
    <row r="289" spans="1:26" ht="24.75" customHeight="1">
      <c r="A289" s="1"/>
      <c r="B289" s="1"/>
      <c r="C289" s="1"/>
      <c r="D289" s="1"/>
      <c r="E289" s="1"/>
      <c r="F289" s="1"/>
      <c r="G289" s="1"/>
      <c r="H289" s="1"/>
      <c r="I289" s="1"/>
      <c r="J289" s="1"/>
      <c r="K289" s="1"/>
      <c r="L289" s="1"/>
      <c r="M289" s="1"/>
      <c r="N289" s="1"/>
      <c r="O289" s="1"/>
      <c r="P289" s="1"/>
      <c r="Q289" s="1"/>
      <c r="R289" s="1"/>
      <c r="S289" s="1"/>
      <c r="T289" s="1"/>
      <c r="U289" s="2"/>
      <c r="V289" s="1"/>
      <c r="W289" s="1"/>
      <c r="X289" s="1"/>
      <c r="Y289" s="1"/>
      <c r="Z289" s="1"/>
    </row>
    <row r="290" spans="1:26" ht="24.75" customHeight="1">
      <c r="A290" s="1"/>
      <c r="B290" s="1"/>
      <c r="C290" s="1"/>
      <c r="D290" s="1"/>
      <c r="E290" s="1"/>
      <c r="F290" s="1"/>
      <c r="G290" s="1"/>
      <c r="H290" s="1"/>
      <c r="I290" s="1"/>
      <c r="J290" s="1"/>
      <c r="K290" s="1"/>
      <c r="L290" s="1"/>
      <c r="M290" s="1"/>
      <c r="N290" s="1"/>
      <c r="O290" s="1"/>
      <c r="P290" s="1"/>
      <c r="Q290" s="1"/>
      <c r="R290" s="1"/>
      <c r="S290" s="1"/>
      <c r="T290" s="1"/>
      <c r="U290" s="2"/>
      <c r="V290" s="1"/>
      <c r="W290" s="1"/>
      <c r="X290" s="1"/>
      <c r="Y290" s="1"/>
      <c r="Z290" s="1"/>
    </row>
    <row r="291" spans="1:26" ht="24.75" customHeight="1">
      <c r="A291" s="1"/>
      <c r="B291" s="1"/>
      <c r="C291" s="1"/>
      <c r="D291" s="1"/>
      <c r="E291" s="1"/>
      <c r="F291" s="1"/>
      <c r="G291" s="1"/>
      <c r="H291" s="1"/>
      <c r="I291" s="1"/>
      <c r="J291" s="1"/>
      <c r="K291" s="1"/>
      <c r="L291" s="1"/>
      <c r="M291" s="1"/>
      <c r="N291" s="1"/>
      <c r="O291" s="1"/>
      <c r="P291" s="1"/>
      <c r="Q291" s="1"/>
      <c r="R291" s="1"/>
      <c r="S291" s="1"/>
      <c r="T291" s="1"/>
      <c r="U291" s="2"/>
      <c r="V291" s="1"/>
      <c r="W291" s="1"/>
      <c r="X291" s="1"/>
      <c r="Y291" s="1"/>
      <c r="Z291" s="1"/>
    </row>
    <row r="292" spans="1:26" ht="24.75" customHeight="1">
      <c r="A292" s="1"/>
      <c r="B292" s="1"/>
      <c r="C292" s="1"/>
      <c r="D292" s="1"/>
      <c r="E292" s="1"/>
      <c r="F292" s="1"/>
      <c r="G292" s="1"/>
      <c r="H292" s="1"/>
      <c r="I292" s="1"/>
      <c r="J292" s="1"/>
      <c r="K292" s="1"/>
      <c r="L292" s="1"/>
      <c r="M292" s="1"/>
      <c r="N292" s="1"/>
      <c r="O292" s="1"/>
      <c r="P292" s="1"/>
      <c r="Q292" s="1"/>
      <c r="R292" s="1"/>
      <c r="S292" s="1"/>
      <c r="T292" s="1"/>
      <c r="U292" s="2"/>
      <c r="V292" s="1"/>
      <c r="W292" s="1"/>
      <c r="X292" s="1"/>
      <c r="Y292" s="1"/>
      <c r="Z292" s="1"/>
    </row>
    <row r="293" spans="1:26" ht="24.75" customHeight="1">
      <c r="A293" s="1"/>
      <c r="B293" s="1"/>
      <c r="C293" s="1"/>
      <c r="D293" s="1"/>
      <c r="E293" s="1"/>
      <c r="F293" s="1"/>
      <c r="G293" s="1"/>
      <c r="H293" s="1"/>
      <c r="I293" s="1"/>
      <c r="J293" s="1"/>
      <c r="K293" s="1"/>
      <c r="L293" s="1"/>
      <c r="M293" s="1"/>
      <c r="N293" s="1"/>
      <c r="O293" s="1"/>
      <c r="P293" s="1"/>
      <c r="Q293" s="1"/>
      <c r="R293" s="1"/>
      <c r="S293" s="1"/>
      <c r="T293" s="1"/>
      <c r="U293" s="2"/>
      <c r="V293" s="1"/>
      <c r="W293" s="1"/>
      <c r="X293" s="1"/>
      <c r="Y293" s="1"/>
      <c r="Z293" s="1"/>
    </row>
    <row r="294" spans="1:26" ht="24.75" customHeight="1">
      <c r="A294" s="1"/>
      <c r="B294" s="1"/>
      <c r="C294" s="1"/>
      <c r="D294" s="1"/>
      <c r="E294" s="1"/>
      <c r="F294" s="1"/>
      <c r="G294" s="1"/>
      <c r="H294" s="1"/>
      <c r="I294" s="1"/>
      <c r="J294" s="1"/>
      <c r="K294" s="1"/>
      <c r="L294" s="1"/>
      <c r="M294" s="1"/>
      <c r="N294" s="1"/>
      <c r="O294" s="1"/>
      <c r="P294" s="1"/>
      <c r="Q294" s="1"/>
      <c r="R294" s="1"/>
      <c r="S294" s="1"/>
      <c r="T294" s="1"/>
      <c r="U294" s="2"/>
      <c r="V294" s="1"/>
      <c r="W294" s="1"/>
      <c r="X294" s="1"/>
      <c r="Y294" s="1"/>
      <c r="Z294" s="1"/>
    </row>
    <row r="295" spans="1:26" ht="24.75" customHeight="1">
      <c r="A295" s="1"/>
      <c r="B295" s="1"/>
      <c r="C295" s="1"/>
      <c r="D295" s="1"/>
      <c r="E295" s="1"/>
      <c r="F295" s="1"/>
      <c r="G295" s="1"/>
      <c r="H295" s="1"/>
      <c r="I295" s="1"/>
      <c r="J295" s="1"/>
      <c r="K295" s="1"/>
      <c r="L295" s="1"/>
      <c r="M295" s="1"/>
      <c r="N295" s="1"/>
      <c r="O295" s="1"/>
      <c r="P295" s="1"/>
      <c r="Q295" s="1"/>
      <c r="R295" s="1"/>
      <c r="S295" s="1"/>
      <c r="T295" s="1"/>
      <c r="U295" s="2"/>
      <c r="V295" s="1"/>
      <c r="W295" s="1"/>
      <c r="X295" s="1"/>
      <c r="Y295" s="1"/>
      <c r="Z295" s="1"/>
    </row>
    <row r="296" spans="1:26" ht="24.75" customHeight="1">
      <c r="A296" s="1"/>
      <c r="B296" s="1"/>
      <c r="C296" s="1"/>
      <c r="D296" s="1"/>
      <c r="E296" s="1"/>
      <c r="F296" s="1"/>
      <c r="G296" s="1"/>
      <c r="H296" s="1"/>
      <c r="I296" s="1"/>
      <c r="J296" s="1"/>
      <c r="K296" s="1"/>
      <c r="L296" s="1"/>
      <c r="M296" s="1"/>
      <c r="N296" s="1"/>
      <c r="O296" s="1"/>
      <c r="P296" s="1"/>
      <c r="Q296" s="1"/>
      <c r="R296" s="1"/>
      <c r="S296" s="1"/>
      <c r="T296" s="1"/>
      <c r="U296" s="2"/>
      <c r="V296" s="1"/>
      <c r="W296" s="1"/>
      <c r="X296" s="1"/>
      <c r="Y296" s="1"/>
      <c r="Z296" s="1"/>
    </row>
    <row r="297" spans="1:26" ht="24.75" customHeight="1">
      <c r="A297" s="1"/>
      <c r="B297" s="1"/>
      <c r="C297" s="1"/>
      <c r="D297" s="1"/>
      <c r="E297" s="1"/>
      <c r="F297" s="1"/>
      <c r="G297" s="1"/>
      <c r="H297" s="1"/>
      <c r="I297" s="1"/>
      <c r="J297" s="1"/>
      <c r="K297" s="1"/>
      <c r="L297" s="1"/>
      <c r="M297" s="1"/>
      <c r="N297" s="1"/>
      <c r="O297" s="1"/>
      <c r="P297" s="1"/>
      <c r="Q297" s="1"/>
      <c r="R297" s="1"/>
      <c r="S297" s="1"/>
      <c r="T297" s="1"/>
      <c r="U297" s="2"/>
      <c r="V297" s="1"/>
      <c r="W297" s="1"/>
      <c r="X297" s="1"/>
      <c r="Y297" s="1"/>
      <c r="Z297" s="1"/>
    </row>
    <row r="298" spans="1:26" ht="24.75" customHeight="1">
      <c r="A298" s="1"/>
      <c r="B298" s="1"/>
      <c r="C298" s="1"/>
      <c r="D298" s="1"/>
      <c r="E298" s="1"/>
      <c r="F298" s="1"/>
      <c r="G298" s="1"/>
      <c r="H298" s="1"/>
      <c r="I298" s="1"/>
      <c r="J298" s="1"/>
      <c r="K298" s="1"/>
      <c r="L298" s="1"/>
      <c r="M298" s="1"/>
      <c r="N298" s="1"/>
      <c r="O298" s="1"/>
      <c r="P298" s="1"/>
      <c r="Q298" s="1"/>
      <c r="R298" s="1"/>
      <c r="S298" s="1"/>
      <c r="T298" s="1"/>
      <c r="U298" s="2"/>
      <c r="V298" s="1"/>
      <c r="W298" s="1"/>
      <c r="X298" s="1"/>
      <c r="Y298" s="1"/>
      <c r="Z298" s="1"/>
    </row>
    <row r="299" spans="1:26" ht="24.75" customHeight="1">
      <c r="A299" s="1"/>
      <c r="B299" s="1"/>
      <c r="C299" s="1"/>
      <c r="D299" s="1"/>
      <c r="E299" s="1"/>
      <c r="F299" s="1"/>
      <c r="G299" s="1"/>
      <c r="H299" s="1"/>
      <c r="I299" s="1"/>
      <c r="J299" s="1"/>
      <c r="K299" s="1"/>
      <c r="L299" s="1"/>
      <c r="M299" s="1"/>
      <c r="N299" s="1"/>
      <c r="O299" s="1"/>
      <c r="P299" s="1"/>
      <c r="Q299" s="1"/>
      <c r="R299" s="1"/>
      <c r="S299" s="1"/>
      <c r="T299" s="1"/>
      <c r="U299" s="2"/>
      <c r="V299" s="1"/>
      <c r="W299" s="1"/>
      <c r="X299" s="1"/>
      <c r="Y299" s="1"/>
      <c r="Z299" s="1"/>
    </row>
    <row r="300" spans="1:26" ht="24.75" customHeight="1">
      <c r="A300" s="1"/>
      <c r="B300" s="1"/>
      <c r="C300" s="1"/>
      <c r="D300" s="1"/>
      <c r="E300" s="1"/>
      <c r="F300" s="1"/>
      <c r="G300" s="1"/>
      <c r="H300" s="1"/>
      <c r="I300" s="1"/>
      <c r="J300" s="1"/>
      <c r="K300" s="1"/>
      <c r="L300" s="1"/>
      <c r="M300" s="1"/>
      <c r="N300" s="1"/>
      <c r="O300" s="1"/>
      <c r="P300" s="1"/>
      <c r="Q300" s="1"/>
      <c r="R300" s="1"/>
      <c r="S300" s="1"/>
      <c r="T300" s="1"/>
      <c r="U300" s="2"/>
      <c r="V300" s="1"/>
      <c r="W300" s="1"/>
      <c r="X300" s="1"/>
      <c r="Y300" s="1"/>
      <c r="Z300" s="1"/>
    </row>
    <row r="301" spans="1:26" ht="24.75" customHeight="1">
      <c r="A301" s="1"/>
      <c r="B301" s="1"/>
      <c r="C301" s="1"/>
      <c r="D301" s="1"/>
      <c r="E301" s="1"/>
      <c r="F301" s="1"/>
      <c r="G301" s="1"/>
      <c r="H301" s="1"/>
      <c r="I301" s="1"/>
      <c r="J301" s="1"/>
      <c r="K301" s="1"/>
      <c r="L301" s="1"/>
      <c r="M301" s="1"/>
      <c r="N301" s="1"/>
      <c r="O301" s="1"/>
      <c r="P301" s="1"/>
      <c r="Q301" s="1"/>
      <c r="R301" s="1"/>
      <c r="S301" s="1"/>
      <c r="T301" s="1"/>
      <c r="U301" s="2"/>
      <c r="V301" s="1"/>
      <c r="W301" s="1"/>
      <c r="X301" s="1"/>
      <c r="Y301" s="1"/>
      <c r="Z301" s="1"/>
    </row>
    <row r="302" spans="1:26" ht="24.75" customHeight="1">
      <c r="A302" s="1"/>
      <c r="B302" s="1"/>
      <c r="C302" s="1"/>
      <c r="D302" s="1"/>
      <c r="E302" s="1"/>
      <c r="F302" s="1"/>
      <c r="G302" s="1"/>
      <c r="H302" s="1"/>
      <c r="I302" s="1"/>
      <c r="J302" s="1"/>
      <c r="K302" s="1"/>
      <c r="L302" s="1"/>
      <c r="M302" s="1"/>
      <c r="N302" s="1"/>
      <c r="O302" s="1"/>
      <c r="P302" s="1"/>
      <c r="Q302" s="1"/>
      <c r="R302" s="1"/>
      <c r="S302" s="1"/>
      <c r="T302" s="1"/>
      <c r="U302" s="2"/>
      <c r="V302" s="1"/>
      <c r="W302" s="1"/>
      <c r="X302" s="1"/>
      <c r="Y302" s="1"/>
      <c r="Z302" s="1"/>
    </row>
    <row r="303" spans="1:26" ht="24.75" customHeight="1">
      <c r="A303" s="1"/>
      <c r="B303" s="1"/>
      <c r="C303" s="1"/>
      <c r="D303" s="1"/>
      <c r="E303" s="1"/>
      <c r="F303" s="1"/>
      <c r="G303" s="1"/>
      <c r="H303" s="1"/>
      <c r="I303" s="1"/>
      <c r="J303" s="1"/>
      <c r="K303" s="1"/>
      <c r="L303" s="1"/>
      <c r="M303" s="1"/>
      <c r="N303" s="1"/>
      <c r="O303" s="1"/>
      <c r="P303" s="1"/>
      <c r="Q303" s="1"/>
      <c r="R303" s="1"/>
      <c r="S303" s="1"/>
      <c r="T303" s="1"/>
      <c r="U303" s="2"/>
      <c r="V303" s="1"/>
      <c r="W303" s="1"/>
      <c r="X303" s="1"/>
      <c r="Y303" s="1"/>
      <c r="Z303" s="1"/>
    </row>
    <row r="304" spans="1:26" ht="24.75" customHeight="1">
      <c r="A304" s="1"/>
      <c r="B304" s="1"/>
      <c r="C304" s="1"/>
      <c r="D304" s="1"/>
      <c r="E304" s="1"/>
      <c r="F304" s="1"/>
      <c r="G304" s="1"/>
      <c r="H304" s="1"/>
      <c r="I304" s="1"/>
      <c r="J304" s="1"/>
      <c r="K304" s="1"/>
      <c r="L304" s="1"/>
      <c r="M304" s="1"/>
      <c r="N304" s="1"/>
      <c r="O304" s="1"/>
      <c r="P304" s="1"/>
      <c r="Q304" s="1"/>
      <c r="R304" s="1"/>
      <c r="S304" s="1"/>
      <c r="T304" s="1"/>
      <c r="U304" s="2"/>
      <c r="V304" s="1"/>
      <c r="W304" s="1"/>
      <c r="X304" s="1"/>
      <c r="Y304" s="1"/>
      <c r="Z304" s="1"/>
    </row>
    <row r="305" spans="1:26" ht="24.75" customHeight="1">
      <c r="A305" s="1"/>
      <c r="B305" s="1"/>
      <c r="C305" s="1"/>
      <c r="D305" s="1"/>
      <c r="E305" s="1"/>
      <c r="F305" s="1"/>
      <c r="G305" s="1"/>
      <c r="H305" s="1"/>
      <c r="I305" s="1"/>
      <c r="J305" s="1"/>
      <c r="K305" s="1"/>
      <c r="L305" s="1"/>
      <c r="M305" s="1"/>
      <c r="N305" s="1"/>
      <c r="O305" s="1"/>
      <c r="P305" s="1"/>
      <c r="Q305" s="1"/>
      <c r="R305" s="1"/>
      <c r="S305" s="1"/>
      <c r="T305" s="1"/>
      <c r="U305" s="2"/>
      <c r="V305" s="1"/>
      <c r="W305" s="1"/>
      <c r="X305" s="1"/>
      <c r="Y305" s="1"/>
      <c r="Z305" s="1"/>
    </row>
    <row r="306" spans="1:26" ht="24.75" customHeight="1">
      <c r="A306" s="1"/>
      <c r="B306" s="1"/>
      <c r="C306" s="1"/>
      <c r="D306" s="1"/>
      <c r="E306" s="1"/>
      <c r="F306" s="1"/>
      <c r="G306" s="1"/>
      <c r="H306" s="1"/>
      <c r="I306" s="1"/>
      <c r="J306" s="1"/>
      <c r="K306" s="1"/>
      <c r="L306" s="1"/>
      <c r="M306" s="1"/>
      <c r="N306" s="1"/>
      <c r="O306" s="1"/>
      <c r="P306" s="1"/>
      <c r="Q306" s="1"/>
      <c r="R306" s="1"/>
      <c r="S306" s="1"/>
      <c r="T306" s="1"/>
      <c r="U306" s="2"/>
      <c r="V306" s="1"/>
      <c r="W306" s="1"/>
      <c r="X306" s="1"/>
      <c r="Y306" s="1"/>
      <c r="Z306" s="1"/>
    </row>
    <row r="307" spans="1:26" ht="24.75" customHeight="1">
      <c r="A307" s="1"/>
      <c r="B307" s="1"/>
      <c r="C307" s="1"/>
      <c r="D307" s="1"/>
      <c r="E307" s="1"/>
      <c r="F307" s="1"/>
      <c r="G307" s="1"/>
      <c r="H307" s="1"/>
      <c r="I307" s="1"/>
      <c r="J307" s="1"/>
      <c r="K307" s="1"/>
      <c r="L307" s="1"/>
      <c r="M307" s="1"/>
      <c r="N307" s="1"/>
      <c r="O307" s="1"/>
      <c r="P307" s="1"/>
      <c r="Q307" s="1"/>
      <c r="R307" s="1"/>
      <c r="S307" s="1"/>
      <c r="T307" s="1"/>
      <c r="U307" s="2"/>
      <c r="V307" s="1"/>
      <c r="W307" s="1"/>
      <c r="X307" s="1"/>
      <c r="Y307" s="1"/>
      <c r="Z307" s="1"/>
    </row>
    <row r="308" spans="1:26" ht="24.75" customHeight="1">
      <c r="A308" s="1"/>
      <c r="B308" s="1"/>
      <c r="C308" s="1"/>
      <c r="D308" s="1"/>
      <c r="E308" s="1"/>
      <c r="F308" s="1"/>
      <c r="G308" s="1"/>
      <c r="H308" s="1"/>
      <c r="I308" s="1"/>
      <c r="J308" s="1"/>
      <c r="K308" s="1"/>
      <c r="L308" s="1"/>
      <c r="M308" s="1"/>
      <c r="N308" s="1"/>
      <c r="O308" s="1"/>
      <c r="P308" s="1"/>
      <c r="Q308" s="1"/>
      <c r="R308" s="1"/>
      <c r="S308" s="1"/>
      <c r="T308" s="1"/>
      <c r="U308" s="2"/>
      <c r="V308" s="1"/>
      <c r="W308" s="1"/>
      <c r="X308" s="1"/>
      <c r="Y308" s="1"/>
      <c r="Z308" s="1"/>
    </row>
    <row r="309" spans="1:26" ht="24.75" customHeight="1">
      <c r="A309" s="1"/>
      <c r="B309" s="1"/>
      <c r="C309" s="1"/>
      <c r="D309" s="1"/>
      <c r="E309" s="1"/>
      <c r="F309" s="1"/>
      <c r="G309" s="1"/>
      <c r="H309" s="1"/>
      <c r="I309" s="1"/>
      <c r="J309" s="1"/>
      <c r="K309" s="1"/>
      <c r="L309" s="1"/>
      <c r="M309" s="1"/>
      <c r="N309" s="1"/>
      <c r="O309" s="1"/>
      <c r="P309" s="1"/>
      <c r="Q309" s="1"/>
      <c r="R309" s="1"/>
      <c r="S309" s="1"/>
      <c r="T309" s="1"/>
      <c r="U309" s="2"/>
      <c r="V309" s="1"/>
      <c r="W309" s="1"/>
      <c r="X309" s="1"/>
      <c r="Y309" s="1"/>
      <c r="Z309" s="1"/>
    </row>
    <row r="310" spans="1:26" ht="24.75" customHeight="1">
      <c r="A310" s="1"/>
      <c r="B310" s="1"/>
      <c r="C310" s="1"/>
      <c r="D310" s="1"/>
      <c r="E310" s="1"/>
      <c r="F310" s="1"/>
      <c r="G310" s="1"/>
      <c r="H310" s="1"/>
      <c r="I310" s="1"/>
      <c r="J310" s="1"/>
      <c r="K310" s="1"/>
      <c r="L310" s="1"/>
      <c r="M310" s="1"/>
      <c r="N310" s="1"/>
      <c r="O310" s="1"/>
      <c r="P310" s="1"/>
      <c r="Q310" s="1"/>
      <c r="R310" s="1"/>
      <c r="S310" s="1"/>
      <c r="T310" s="1"/>
      <c r="U310" s="2"/>
      <c r="V310" s="1"/>
      <c r="W310" s="1"/>
      <c r="X310" s="1"/>
      <c r="Y310" s="1"/>
      <c r="Z310" s="1"/>
    </row>
    <row r="311" spans="1:26" ht="24.75" customHeight="1">
      <c r="A311" s="1"/>
      <c r="B311" s="1"/>
      <c r="C311" s="1"/>
      <c r="D311" s="1"/>
      <c r="E311" s="1"/>
      <c r="F311" s="1"/>
      <c r="G311" s="1"/>
      <c r="H311" s="1"/>
      <c r="I311" s="1"/>
      <c r="J311" s="1"/>
      <c r="K311" s="1"/>
      <c r="L311" s="1"/>
      <c r="M311" s="1"/>
      <c r="N311" s="1"/>
      <c r="O311" s="1"/>
      <c r="P311" s="1"/>
      <c r="Q311" s="1"/>
      <c r="R311" s="1"/>
      <c r="S311" s="1"/>
      <c r="T311" s="1"/>
      <c r="U311" s="2"/>
      <c r="V311" s="1"/>
      <c r="W311" s="1"/>
      <c r="X311" s="1"/>
      <c r="Y311" s="1"/>
      <c r="Z311" s="1"/>
    </row>
    <row r="312" spans="1:26" ht="24.75" customHeight="1">
      <c r="A312" s="1"/>
      <c r="B312" s="1"/>
      <c r="C312" s="1"/>
      <c r="D312" s="1"/>
      <c r="E312" s="1"/>
      <c r="F312" s="1"/>
      <c r="G312" s="1"/>
      <c r="H312" s="1"/>
      <c r="I312" s="1"/>
      <c r="J312" s="1"/>
      <c r="K312" s="1"/>
      <c r="L312" s="1"/>
      <c r="M312" s="1"/>
      <c r="N312" s="1"/>
      <c r="O312" s="1"/>
      <c r="P312" s="1"/>
      <c r="Q312" s="1"/>
      <c r="R312" s="1"/>
      <c r="S312" s="1"/>
      <c r="T312" s="1"/>
      <c r="U312" s="2"/>
      <c r="V312" s="1"/>
      <c r="W312" s="1"/>
      <c r="X312" s="1"/>
      <c r="Y312" s="1"/>
      <c r="Z312" s="1"/>
    </row>
    <row r="313" spans="1:26" ht="24.75" customHeight="1">
      <c r="A313" s="1"/>
      <c r="B313" s="1"/>
      <c r="C313" s="1"/>
      <c r="D313" s="1"/>
      <c r="E313" s="1"/>
      <c r="F313" s="1"/>
      <c r="G313" s="1"/>
      <c r="H313" s="1"/>
      <c r="I313" s="1"/>
      <c r="J313" s="1"/>
      <c r="K313" s="1"/>
      <c r="L313" s="1"/>
      <c r="M313" s="1"/>
      <c r="N313" s="1"/>
      <c r="O313" s="1"/>
      <c r="P313" s="1"/>
      <c r="Q313" s="1"/>
      <c r="R313" s="1"/>
      <c r="S313" s="1"/>
      <c r="T313" s="1"/>
      <c r="U313" s="2"/>
      <c r="V313" s="1"/>
      <c r="W313" s="1"/>
      <c r="X313" s="1"/>
      <c r="Y313" s="1"/>
      <c r="Z313" s="1"/>
    </row>
    <row r="314" spans="1:26" ht="24.75" customHeight="1">
      <c r="A314" s="1"/>
      <c r="B314" s="1"/>
      <c r="C314" s="1"/>
      <c r="D314" s="1"/>
      <c r="E314" s="1"/>
      <c r="F314" s="1"/>
      <c r="G314" s="1"/>
      <c r="H314" s="1"/>
      <c r="I314" s="1"/>
      <c r="J314" s="1"/>
      <c r="K314" s="1"/>
      <c r="L314" s="1"/>
      <c r="M314" s="1"/>
      <c r="N314" s="1"/>
      <c r="O314" s="1"/>
      <c r="P314" s="1"/>
      <c r="Q314" s="1"/>
      <c r="R314" s="1"/>
      <c r="S314" s="1"/>
      <c r="T314" s="1"/>
      <c r="U314" s="2"/>
      <c r="V314" s="1"/>
      <c r="W314" s="1"/>
      <c r="X314" s="1"/>
      <c r="Y314" s="1"/>
      <c r="Z314" s="1"/>
    </row>
    <row r="315" spans="1:26" ht="24.75" customHeight="1">
      <c r="A315" s="1"/>
      <c r="B315" s="1"/>
      <c r="C315" s="1"/>
      <c r="D315" s="1"/>
      <c r="E315" s="1"/>
      <c r="F315" s="1"/>
      <c r="G315" s="1"/>
      <c r="H315" s="1"/>
      <c r="I315" s="1"/>
      <c r="J315" s="1"/>
      <c r="K315" s="1"/>
      <c r="L315" s="1"/>
      <c r="M315" s="1"/>
      <c r="N315" s="1"/>
      <c r="O315" s="1"/>
      <c r="P315" s="1"/>
      <c r="Q315" s="1"/>
      <c r="R315" s="1"/>
      <c r="S315" s="1"/>
      <c r="T315" s="1"/>
      <c r="U315" s="2"/>
      <c r="V315" s="1"/>
      <c r="W315" s="1"/>
      <c r="X315" s="1"/>
      <c r="Y315" s="1"/>
      <c r="Z315" s="1"/>
    </row>
    <row r="316" spans="1:26" ht="24.75" customHeight="1">
      <c r="A316" s="1"/>
      <c r="B316" s="1"/>
      <c r="C316" s="1"/>
      <c r="D316" s="1"/>
      <c r="E316" s="1"/>
      <c r="F316" s="1"/>
      <c r="G316" s="1"/>
      <c r="H316" s="1"/>
      <c r="I316" s="1"/>
      <c r="J316" s="1"/>
      <c r="K316" s="1"/>
      <c r="L316" s="1"/>
      <c r="M316" s="1"/>
      <c r="N316" s="1"/>
      <c r="O316" s="1"/>
      <c r="P316" s="1"/>
      <c r="Q316" s="1"/>
      <c r="R316" s="1"/>
      <c r="S316" s="1"/>
      <c r="T316" s="1"/>
      <c r="U316" s="2"/>
      <c r="V316" s="1"/>
      <c r="W316" s="1"/>
      <c r="X316" s="1"/>
      <c r="Y316" s="1"/>
      <c r="Z316" s="1"/>
    </row>
    <row r="317" spans="1:26" ht="24.75" customHeight="1">
      <c r="A317" s="1"/>
      <c r="B317" s="1"/>
      <c r="C317" s="1"/>
      <c r="D317" s="1"/>
      <c r="E317" s="1"/>
      <c r="F317" s="1"/>
      <c r="G317" s="1"/>
      <c r="H317" s="1"/>
      <c r="I317" s="1"/>
      <c r="J317" s="1"/>
      <c r="K317" s="1"/>
      <c r="L317" s="1"/>
      <c r="M317" s="1"/>
      <c r="N317" s="1"/>
      <c r="O317" s="1"/>
      <c r="P317" s="1"/>
      <c r="Q317" s="1"/>
      <c r="R317" s="1"/>
      <c r="S317" s="1"/>
      <c r="T317" s="1"/>
      <c r="U317" s="2"/>
      <c r="V317" s="1"/>
      <c r="W317" s="1"/>
      <c r="X317" s="1"/>
      <c r="Y317" s="1"/>
      <c r="Z317" s="1"/>
    </row>
    <row r="318" spans="1:26" ht="24.75" customHeight="1">
      <c r="A318" s="1"/>
      <c r="B318" s="1"/>
      <c r="C318" s="1"/>
      <c r="D318" s="1"/>
      <c r="E318" s="1"/>
      <c r="F318" s="1"/>
      <c r="G318" s="1"/>
      <c r="H318" s="1"/>
      <c r="I318" s="1"/>
      <c r="J318" s="1"/>
      <c r="K318" s="1"/>
      <c r="L318" s="1"/>
      <c r="M318" s="1"/>
      <c r="N318" s="1"/>
      <c r="O318" s="1"/>
      <c r="P318" s="1"/>
      <c r="Q318" s="1"/>
      <c r="R318" s="1"/>
      <c r="S318" s="1"/>
      <c r="T318" s="1"/>
      <c r="U318" s="2"/>
      <c r="V318" s="1"/>
      <c r="W318" s="1"/>
      <c r="X318" s="1"/>
      <c r="Y318" s="1"/>
      <c r="Z318" s="1"/>
    </row>
    <row r="319" spans="1:26" ht="24.75" customHeight="1">
      <c r="A319" s="1"/>
      <c r="B319" s="1"/>
      <c r="C319" s="1"/>
      <c r="D319" s="1"/>
      <c r="E319" s="1"/>
      <c r="F319" s="1"/>
      <c r="G319" s="1"/>
      <c r="H319" s="1"/>
      <c r="I319" s="1"/>
      <c r="J319" s="1"/>
      <c r="K319" s="1"/>
      <c r="L319" s="1"/>
      <c r="M319" s="1"/>
      <c r="N319" s="1"/>
      <c r="O319" s="1"/>
      <c r="P319" s="1"/>
      <c r="Q319" s="1"/>
      <c r="R319" s="1"/>
      <c r="S319" s="1"/>
      <c r="T319" s="1"/>
      <c r="U319" s="2"/>
      <c r="V319" s="1"/>
      <c r="W319" s="1"/>
      <c r="X319" s="1"/>
      <c r="Y319" s="1"/>
      <c r="Z319" s="1"/>
    </row>
    <row r="320" spans="1:26" ht="24.75" customHeight="1">
      <c r="A320" s="1"/>
      <c r="B320" s="1"/>
      <c r="C320" s="1"/>
      <c r="D320" s="1"/>
      <c r="E320" s="1"/>
      <c r="F320" s="1"/>
      <c r="G320" s="1"/>
      <c r="H320" s="1"/>
      <c r="I320" s="1"/>
      <c r="J320" s="1"/>
      <c r="K320" s="1"/>
      <c r="L320" s="1"/>
      <c r="M320" s="1"/>
      <c r="N320" s="1"/>
      <c r="O320" s="1"/>
      <c r="P320" s="1"/>
      <c r="Q320" s="1"/>
      <c r="R320" s="1"/>
      <c r="S320" s="1"/>
      <c r="T320" s="1"/>
      <c r="U320" s="2"/>
      <c r="V320" s="1"/>
      <c r="W320" s="1"/>
      <c r="X320" s="1"/>
      <c r="Y320" s="1"/>
      <c r="Z320" s="1"/>
    </row>
    <row r="321" spans="1:26" ht="24.75" customHeight="1">
      <c r="A321" s="1"/>
      <c r="B321" s="1"/>
      <c r="C321" s="1"/>
      <c r="D321" s="1"/>
      <c r="E321" s="1"/>
      <c r="F321" s="1"/>
      <c r="G321" s="1"/>
      <c r="H321" s="1"/>
      <c r="I321" s="1"/>
      <c r="J321" s="1"/>
      <c r="K321" s="1"/>
      <c r="L321" s="1"/>
      <c r="M321" s="1"/>
      <c r="N321" s="1"/>
      <c r="O321" s="1"/>
      <c r="P321" s="1"/>
      <c r="Q321" s="1"/>
      <c r="R321" s="1"/>
      <c r="S321" s="1"/>
      <c r="T321" s="1"/>
      <c r="U321" s="2"/>
      <c r="V321" s="1"/>
      <c r="W321" s="1"/>
      <c r="X321" s="1"/>
      <c r="Y321" s="1"/>
      <c r="Z321" s="1"/>
    </row>
    <row r="322" spans="1:26" ht="24.75" customHeight="1">
      <c r="A322" s="1"/>
      <c r="B322" s="1"/>
      <c r="C322" s="1"/>
      <c r="D322" s="1"/>
      <c r="E322" s="1"/>
      <c r="F322" s="1"/>
      <c r="G322" s="1"/>
      <c r="H322" s="1"/>
      <c r="I322" s="1"/>
      <c r="J322" s="1"/>
      <c r="K322" s="1"/>
      <c r="L322" s="1"/>
      <c r="M322" s="1"/>
      <c r="N322" s="1"/>
      <c r="O322" s="1"/>
      <c r="P322" s="1"/>
      <c r="Q322" s="1"/>
      <c r="R322" s="1"/>
      <c r="S322" s="1"/>
      <c r="T322" s="1"/>
      <c r="U322" s="2"/>
      <c r="V322" s="1"/>
      <c r="W322" s="1"/>
      <c r="X322" s="1"/>
      <c r="Y322" s="1"/>
      <c r="Z322" s="1"/>
    </row>
    <row r="323" spans="1:26" ht="24.75" customHeight="1">
      <c r="A323" s="1"/>
      <c r="B323" s="1"/>
      <c r="C323" s="1"/>
      <c r="D323" s="1"/>
      <c r="E323" s="1"/>
      <c r="F323" s="1"/>
      <c r="G323" s="1"/>
      <c r="H323" s="1"/>
      <c r="I323" s="1"/>
      <c r="J323" s="1"/>
      <c r="K323" s="1"/>
      <c r="L323" s="1"/>
      <c r="M323" s="1"/>
      <c r="N323" s="1"/>
      <c r="O323" s="1"/>
      <c r="P323" s="1"/>
      <c r="Q323" s="1"/>
      <c r="R323" s="1"/>
      <c r="S323" s="1"/>
      <c r="T323" s="1"/>
      <c r="U323" s="2"/>
      <c r="V323" s="1"/>
      <c r="W323" s="1"/>
      <c r="X323" s="1"/>
      <c r="Y323" s="1"/>
      <c r="Z323" s="1"/>
    </row>
    <row r="324" spans="1:26" ht="24.75" customHeight="1">
      <c r="A324" s="1"/>
      <c r="B324" s="1"/>
      <c r="C324" s="1"/>
      <c r="D324" s="1"/>
      <c r="E324" s="1"/>
      <c r="F324" s="1"/>
      <c r="G324" s="1"/>
      <c r="H324" s="1"/>
      <c r="I324" s="1"/>
      <c r="J324" s="1"/>
      <c r="K324" s="1"/>
      <c r="L324" s="1"/>
      <c r="M324" s="1"/>
      <c r="N324" s="1"/>
      <c r="O324" s="1"/>
      <c r="P324" s="1"/>
      <c r="Q324" s="1"/>
      <c r="R324" s="1"/>
      <c r="S324" s="1"/>
      <c r="T324" s="1"/>
      <c r="U324" s="2"/>
      <c r="V324" s="1"/>
      <c r="W324" s="1"/>
      <c r="X324" s="1"/>
      <c r="Y324" s="1"/>
      <c r="Z324" s="1"/>
    </row>
    <row r="325" spans="1:26" ht="24.75" customHeight="1">
      <c r="A325" s="1"/>
      <c r="B325" s="1"/>
      <c r="C325" s="1"/>
      <c r="D325" s="1"/>
      <c r="E325" s="1"/>
      <c r="F325" s="1"/>
      <c r="G325" s="1"/>
      <c r="H325" s="1"/>
      <c r="I325" s="1"/>
      <c r="J325" s="1"/>
      <c r="K325" s="1"/>
      <c r="L325" s="1"/>
      <c r="M325" s="1"/>
      <c r="N325" s="1"/>
      <c r="O325" s="1"/>
      <c r="P325" s="1"/>
      <c r="Q325" s="1"/>
      <c r="R325" s="1"/>
      <c r="S325" s="1"/>
      <c r="T325" s="1"/>
      <c r="U325" s="2"/>
      <c r="V325" s="1"/>
      <c r="W325" s="1"/>
      <c r="X325" s="1"/>
      <c r="Y325" s="1"/>
      <c r="Z325" s="1"/>
    </row>
    <row r="326" spans="1:26" ht="24.75" customHeight="1">
      <c r="A326" s="1"/>
      <c r="B326" s="1"/>
      <c r="C326" s="1"/>
      <c r="D326" s="1"/>
      <c r="E326" s="1"/>
      <c r="F326" s="1"/>
      <c r="G326" s="1"/>
      <c r="H326" s="1"/>
      <c r="I326" s="1"/>
      <c r="J326" s="1"/>
      <c r="K326" s="1"/>
      <c r="L326" s="1"/>
      <c r="M326" s="1"/>
      <c r="N326" s="1"/>
      <c r="O326" s="1"/>
      <c r="P326" s="1"/>
      <c r="Q326" s="1"/>
      <c r="R326" s="1"/>
      <c r="S326" s="1"/>
      <c r="T326" s="1"/>
      <c r="U326" s="2"/>
      <c r="V326" s="1"/>
      <c r="W326" s="1"/>
      <c r="X326" s="1"/>
      <c r="Y326" s="1"/>
      <c r="Z326" s="1"/>
    </row>
    <row r="327" spans="1:26" ht="24.75" customHeight="1">
      <c r="A327" s="1"/>
      <c r="B327" s="1"/>
      <c r="C327" s="1"/>
      <c r="D327" s="1"/>
      <c r="E327" s="1"/>
      <c r="F327" s="1"/>
      <c r="G327" s="1"/>
      <c r="H327" s="1"/>
      <c r="I327" s="1"/>
      <c r="J327" s="1"/>
      <c r="K327" s="1"/>
      <c r="L327" s="1"/>
      <c r="M327" s="1"/>
      <c r="N327" s="1"/>
      <c r="O327" s="1"/>
      <c r="P327" s="1"/>
      <c r="Q327" s="1"/>
      <c r="R327" s="1"/>
      <c r="S327" s="1"/>
      <c r="T327" s="1"/>
      <c r="U327" s="2"/>
      <c r="V327" s="1"/>
      <c r="W327" s="1"/>
      <c r="X327" s="1"/>
      <c r="Y327" s="1"/>
      <c r="Z327" s="1"/>
    </row>
    <row r="328" spans="1:26" ht="24.75" customHeight="1">
      <c r="A328" s="1"/>
      <c r="B328" s="1"/>
      <c r="C328" s="1"/>
      <c r="D328" s="1"/>
      <c r="E328" s="1"/>
      <c r="F328" s="1"/>
      <c r="G328" s="1"/>
      <c r="H328" s="1"/>
      <c r="I328" s="1"/>
      <c r="J328" s="1"/>
      <c r="K328" s="1"/>
      <c r="L328" s="1"/>
      <c r="M328" s="1"/>
      <c r="N328" s="1"/>
      <c r="O328" s="1"/>
      <c r="P328" s="1"/>
      <c r="Q328" s="1"/>
      <c r="R328" s="1"/>
      <c r="S328" s="1"/>
      <c r="T328" s="1"/>
      <c r="U328" s="2"/>
      <c r="V328" s="1"/>
      <c r="W328" s="1"/>
      <c r="X328" s="1"/>
      <c r="Y328" s="1"/>
      <c r="Z328" s="1"/>
    </row>
    <row r="329" spans="1:26" ht="24.75" customHeight="1">
      <c r="A329" s="1"/>
      <c r="B329" s="1"/>
      <c r="C329" s="1"/>
      <c r="D329" s="1"/>
      <c r="E329" s="1"/>
      <c r="F329" s="1"/>
      <c r="G329" s="1"/>
      <c r="H329" s="1"/>
      <c r="I329" s="1"/>
      <c r="J329" s="1"/>
      <c r="K329" s="1"/>
      <c r="L329" s="1"/>
      <c r="M329" s="1"/>
      <c r="N329" s="1"/>
      <c r="O329" s="1"/>
      <c r="P329" s="1"/>
      <c r="Q329" s="1"/>
      <c r="R329" s="1"/>
      <c r="S329" s="1"/>
      <c r="T329" s="1"/>
      <c r="U329" s="2"/>
      <c r="V329" s="1"/>
      <c r="W329" s="1"/>
      <c r="X329" s="1"/>
      <c r="Y329" s="1"/>
      <c r="Z329" s="1"/>
    </row>
    <row r="330" spans="1:26" ht="24.75" customHeight="1">
      <c r="A330" s="1"/>
      <c r="B330" s="1"/>
      <c r="C330" s="1"/>
      <c r="D330" s="1"/>
      <c r="E330" s="1"/>
      <c r="F330" s="1"/>
      <c r="G330" s="1"/>
      <c r="H330" s="1"/>
      <c r="I330" s="1"/>
      <c r="J330" s="1"/>
      <c r="K330" s="1"/>
      <c r="L330" s="1"/>
      <c r="M330" s="1"/>
      <c r="N330" s="1"/>
      <c r="O330" s="1"/>
      <c r="P330" s="1"/>
      <c r="Q330" s="1"/>
      <c r="R330" s="1"/>
      <c r="S330" s="1"/>
      <c r="T330" s="1"/>
      <c r="U330" s="2"/>
      <c r="V330" s="1"/>
      <c r="W330" s="1"/>
      <c r="X330" s="1"/>
      <c r="Y330" s="1"/>
      <c r="Z330" s="1"/>
    </row>
    <row r="331" spans="1:26" ht="24.75" customHeight="1">
      <c r="A331" s="1"/>
      <c r="B331" s="1"/>
      <c r="C331" s="1"/>
      <c r="D331" s="1"/>
      <c r="E331" s="1"/>
      <c r="F331" s="1"/>
      <c r="G331" s="1"/>
      <c r="H331" s="1"/>
      <c r="I331" s="1"/>
      <c r="J331" s="1"/>
      <c r="K331" s="1"/>
      <c r="L331" s="1"/>
      <c r="M331" s="1"/>
      <c r="N331" s="1"/>
      <c r="O331" s="1"/>
      <c r="P331" s="1"/>
      <c r="Q331" s="1"/>
      <c r="R331" s="1"/>
      <c r="S331" s="1"/>
      <c r="T331" s="1"/>
      <c r="U331" s="2"/>
      <c r="V331" s="1"/>
      <c r="W331" s="1"/>
      <c r="X331" s="1"/>
      <c r="Y331" s="1"/>
      <c r="Z331" s="1"/>
    </row>
    <row r="332" spans="1:26" ht="24.75" customHeight="1">
      <c r="A332" s="1"/>
      <c r="B332" s="1"/>
      <c r="C332" s="1"/>
      <c r="D332" s="1"/>
      <c r="E332" s="1"/>
      <c r="F332" s="1"/>
      <c r="G332" s="1"/>
      <c r="H332" s="1"/>
      <c r="I332" s="1"/>
      <c r="J332" s="1"/>
      <c r="K332" s="1"/>
      <c r="L332" s="1"/>
      <c r="M332" s="1"/>
      <c r="N332" s="1"/>
      <c r="O332" s="1"/>
      <c r="P332" s="1"/>
      <c r="Q332" s="1"/>
      <c r="R332" s="1"/>
      <c r="S332" s="1"/>
      <c r="T332" s="1"/>
      <c r="U332" s="2"/>
      <c r="V332" s="1"/>
      <c r="W332" s="1"/>
      <c r="X332" s="1"/>
      <c r="Y332" s="1"/>
      <c r="Z332" s="1"/>
    </row>
    <row r="333" spans="1:26" ht="24.75" customHeight="1">
      <c r="A333" s="1"/>
      <c r="B333" s="1"/>
      <c r="C333" s="1"/>
      <c r="D333" s="1"/>
      <c r="E333" s="1"/>
      <c r="F333" s="1"/>
      <c r="G333" s="1"/>
      <c r="H333" s="1"/>
      <c r="I333" s="1"/>
      <c r="J333" s="1"/>
      <c r="K333" s="1"/>
      <c r="L333" s="1"/>
      <c r="M333" s="1"/>
      <c r="N333" s="1"/>
      <c r="O333" s="1"/>
      <c r="P333" s="1"/>
      <c r="Q333" s="1"/>
      <c r="R333" s="1"/>
      <c r="S333" s="1"/>
      <c r="T333" s="1"/>
      <c r="U333" s="2"/>
      <c r="V333" s="1"/>
      <c r="W333" s="1"/>
      <c r="X333" s="1"/>
      <c r="Y333" s="1"/>
      <c r="Z333" s="1"/>
    </row>
    <row r="334" spans="1:26" ht="24.75" customHeight="1">
      <c r="A334" s="1"/>
      <c r="B334" s="1"/>
      <c r="C334" s="1"/>
      <c r="D334" s="1"/>
      <c r="E334" s="1"/>
      <c r="F334" s="1"/>
      <c r="G334" s="1"/>
      <c r="H334" s="1"/>
      <c r="I334" s="1"/>
      <c r="J334" s="1"/>
      <c r="K334" s="1"/>
      <c r="L334" s="1"/>
      <c r="M334" s="1"/>
      <c r="N334" s="1"/>
      <c r="O334" s="1"/>
      <c r="P334" s="1"/>
      <c r="Q334" s="1"/>
      <c r="R334" s="1"/>
      <c r="S334" s="1"/>
      <c r="T334" s="1"/>
      <c r="U334" s="2"/>
      <c r="V334" s="1"/>
      <c r="W334" s="1"/>
      <c r="X334" s="1"/>
      <c r="Y334" s="1"/>
      <c r="Z334" s="1"/>
    </row>
    <row r="335" spans="1:26" ht="24.75" customHeight="1">
      <c r="A335" s="1"/>
      <c r="B335" s="1"/>
      <c r="C335" s="1"/>
      <c r="D335" s="1"/>
      <c r="E335" s="1"/>
      <c r="F335" s="1"/>
      <c r="G335" s="1"/>
      <c r="H335" s="1"/>
      <c r="I335" s="1"/>
      <c r="J335" s="1"/>
      <c r="K335" s="1"/>
      <c r="L335" s="1"/>
      <c r="M335" s="1"/>
      <c r="N335" s="1"/>
      <c r="O335" s="1"/>
      <c r="P335" s="1"/>
      <c r="Q335" s="1"/>
      <c r="R335" s="1"/>
      <c r="S335" s="1"/>
      <c r="T335" s="1"/>
      <c r="U335" s="2"/>
      <c r="V335" s="1"/>
      <c r="W335" s="1"/>
      <c r="X335" s="1"/>
      <c r="Y335" s="1"/>
      <c r="Z335" s="1"/>
    </row>
    <row r="336" spans="1:26" ht="24.75" customHeight="1">
      <c r="A336" s="1"/>
      <c r="B336" s="1"/>
      <c r="C336" s="1"/>
      <c r="D336" s="1"/>
      <c r="E336" s="1"/>
      <c r="F336" s="1"/>
      <c r="G336" s="1"/>
      <c r="H336" s="1"/>
      <c r="I336" s="1"/>
      <c r="J336" s="1"/>
      <c r="K336" s="1"/>
      <c r="L336" s="1"/>
      <c r="M336" s="1"/>
      <c r="N336" s="1"/>
      <c r="O336" s="1"/>
      <c r="P336" s="1"/>
      <c r="Q336" s="1"/>
      <c r="R336" s="1"/>
      <c r="S336" s="1"/>
      <c r="T336" s="1"/>
      <c r="U336" s="2"/>
      <c r="V336" s="1"/>
      <c r="W336" s="1"/>
      <c r="X336" s="1"/>
      <c r="Y336" s="1"/>
      <c r="Z336" s="1"/>
    </row>
    <row r="337" spans="1:26" ht="24.75" customHeight="1">
      <c r="A337" s="1"/>
      <c r="B337" s="1"/>
      <c r="C337" s="1"/>
      <c r="D337" s="1"/>
      <c r="E337" s="1"/>
      <c r="F337" s="1"/>
      <c r="G337" s="1"/>
      <c r="H337" s="1"/>
      <c r="I337" s="1"/>
      <c r="J337" s="1"/>
      <c r="K337" s="1"/>
      <c r="L337" s="1"/>
      <c r="M337" s="1"/>
      <c r="N337" s="1"/>
      <c r="O337" s="1"/>
      <c r="P337" s="1"/>
      <c r="Q337" s="1"/>
      <c r="R337" s="1"/>
      <c r="S337" s="1"/>
      <c r="T337" s="1"/>
      <c r="U337" s="2"/>
      <c r="V337" s="1"/>
      <c r="W337" s="1"/>
      <c r="X337" s="1"/>
      <c r="Y337" s="1"/>
      <c r="Z337" s="1"/>
    </row>
    <row r="338" spans="1:26" ht="24.75" customHeight="1">
      <c r="A338" s="1"/>
      <c r="B338" s="1"/>
      <c r="C338" s="1"/>
      <c r="D338" s="1"/>
      <c r="E338" s="1"/>
      <c r="F338" s="1"/>
      <c r="G338" s="1"/>
      <c r="H338" s="1"/>
      <c r="I338" s="1"/>
      <c r="J338" s="1"/>
      <c r="K338" s="1"/>
      <c r="L338" s="1"/>
      <c r="M338" s="1"/>
      <c r="N338" s="1"/>
      <c r="O338" s="1"/>
      <c r="P338" s="1"/>
      <c r="Q338" s="1"/>
      <c r="R338" s="1"/>
      <c r="S338" s="1"/>
      <c r="T338" s="1"/>
      <c r="U338" s="2"/>
      <c r="V338" s="1"/>
      <c r="W338" s="1"/>
      <c r="X338" s="1"/>
      <c r="Y338" s="1"/>
      <c r="Z338" s="1"/>
    </row>
    <row r="339" spans="1:26" ht="24.75" customHeight="1">
      <c r="A339" s="1"/>
      <c r="B339" s="1"/>
      <c r="C339" s="1"/>
      <c r="D339" s="1"/>
      <c r="E339" s="1"/>
      <c r="F339" s="1"/>
      <c r="G339" s="1"/>
      <c r="H339" s="1"/>
      <c r="I339" s="1"/>
      <c r="J339" s="1"/>
      <c r="K339" s="1"/>
      <c r="L339" s="1"/>
      <c r="M339" s="1"/>
      <c r="N339" s="1"/>
      <c r="O339" s="1"/>
      <c r="P339" s="1"/>
      <c r="Q339" s="1"/>
      <c r="R339" s="1"/>
      <c r="S339" s="1"/>
      <c r="T339" s="1"/>
      <c r="U339" s="2"/>
      <c r="V339" s="1"/>
      <c r="W339" s="1"/>
      <c r="X339" s="1"/>
      <c r="Y339" s="1"/>
      <c r="Z339" s="1"/>
    </row>
    <row r="340" spans="1:26" ht="24.75" customHeight="1">
      <c r="A340" s="1"/>
      <c r="B340" s="1"/>
      <c r="C340" s="1"/>
      <c r="D340" s="1"/>
      <c r="E340" s="1"/>
      <c r="F340" s="1"/>
      <c r="G340" s="1"/>
      <c r="H340" s="1"/>
      <c r="I340" s="1"/>
      <c r="J340" s="1"/>
      <c r="K340" s="1"/>
      <c r="L340" s="1"/>
      <c r="M340" s="1"/>
      <c r="N340" s="1"/>
      <c r="O340" s="1"/>
      <c r="P340" s="1"/>
      <c r="Q340" s="1"/>
      <c r="R340" s="1"/>
      <c r="S340" s="1"/>
      <c r="T340" s="1"/>
      <c r="U340" s="2"/>
      <c r="V340" s="1"/>
      <c r="W340" s="1"/>
      <c r="X340" s="1"/>
      <c r="Y340" s="1"/>
      <c r="Z340" s="1"/>
    </row>
    <row r="341" spans="1:26" ht="24.75" customHeight="1">
      <c r="A341" s="1"/>
      <c r="B341" s="1"/>
      <c r="C341" s="1"/>
      <c r="D341" s="1"/>
      <c r="E341" s="1"/>
      <c r="F341" s="1"/>
      <c r="G341" s="1"/>
      <c r="H341" s="1"/>
      <c r="I341" s="1"/>
      <c r="J341" s="1"/>
      <c r="K341" s="1"/>
      <c r="L341" s="1"/>
      <c r="M341" s="1"/>
      <c r="N341" s="1"/>
      <c r="O341" s="1"/>
      <c r="P341" s="1"/>
      <c r="Q341" s="1"/>
      <c r="R341" s="1"/>
      <c r="S341" s="1"/>
      <c r="T341" s="1"/>
      <c r="U341" s="2"/>
      <c r="V341" s="1"/>
      <c r="W341" s="1"/>
      <c r="X341" s="1"/>
      <c r="Y341" s="1"/>
      <c r="Z341" s="1"/>
    </row>
    <row r="342" spans="1:26" ht="24.75" customHeight="1">
      <c r="A342" s="1"/>
      <c r="B342" s="1"/>
      <c r="C342" s="1"/>
      <c r="D342" s="1"/>
      <c r="E342" s="1"/>
      <c r="F342" s="1"/>
      <c r="G342" s="1"/>
      <c r="H342" s="1"/>
      <c r="I342" s="1"/>
      <c r="J342" s="1"/>
      <c r="K342" s="1"/>
      <c r="L342" s="1"/>
      <c r="M342" s="1"/>
      <c r="N342" s="1"/>
      <c r="O342" s="1"/>
      <c r="P342" s="1"/>
      <c r="Q342" s="1"/>
      <c r="R342" s="1"/>
      <c r="S342" s="1"/>
      <c r="T342" s="1"/>
      <c r="U342" s="2"/>
      <c r="V342" s="1"/>
      <c r="W342" s="1"/>
      <c r="X342" s="1"/>
      <c r="Y342" s="1"/>
      <c r="Z342" s="1"/>
    </row>
    <row r="343" spans="1:26" ht="24.75" customHeight="1">
      <c r="A343" s="1"/>
      <c r="B343" s="1"/>
      <c r="C343" s="1"/>
      <c r="D343" s="1"/>
      <c r="E343" s="1"/>
      <c r="F343" s="1"/>
      <c r="G343" s="1"/>
      <c r="H343" s="1"/>
      <c r="I343" s="1"/>
      <c r="J343" s="1"/>
      <c r="K343" s="1"/>
      <c r="L343" s="1"/>
      <c r="M343" s="1"/>
      <c r="N343" s="1"/>
      <c r="O343" s="1"/>
      <c r="P343" s="1"/>
      <c r="Q343" s="1"/>
      <c r="R343" s="1"/>
      <c r="S343" s="1"/>
      <c r="T343" s="1"/>
      <c r="U343" s="2"/>
      <c r="V343" s="1"/>
      <c r="W343" s="1"/>
      <c r="X343" s="1"/>
      <c r="Y343" s="1"/>
      <c r="Z343" s="1"/>
    </row>
    <row r="344" spans="1:26" ht="24.75" customHeight="1">
      <c r="A344" s="1"/>
      <c r="B344" s="1"/>
      <c r="C344" s="1"/>
      <c r="D344" s="1"/>
      <c r="E344" s="1"/>
      <c r="F344" s="1"/>
      <c r="G344" s="1"/>
      <c r="H344" s="1"/>
      <c r="I344" s="1"/>
      <c r="J344" s="1"/>
      <c r="K344" s="1"/>
      <c r="L344" s="1"/>
      <c r="M344" s="1"/>
      <c r="N344" s="1"/>
      <c r="O344" s="1"/>
      <c r="P344" s="1"/>
      <c r="Q344" s="1"/>
      <c r="R344" s="1"/>
      <c r="S344" s="1"/>
      <c r="T344" s="1"/>
      <c r="U344" s="2"/>
      <c r="V344" s="1"/>
      <c r="W344" s="1"/>
      <c r="X344" s="1"/>
      <c r="Y344" s="1"/>
      <c r="Z344" s="1"/>
    </row>
    <row r="345" spans="1:26" ht="24.75" customHeight="1">
      <c r="A345" s="1"/>
      <c r="B345" s="1"/>
      <c r="C345" s="1"/>
      <c r="D345" s="1"/>
      <c r="E345" s="1"/>
      <c r="F345" s="1"/>
      <c r="G345" s="1"/>
      <c r="H345" s="1"/>
      <c r="I345" s="1"/>
      <c r="J345" s="1"/>
      <c r="K345" s="1"/>
      <c r="L345" s="1"/>
      <c r="M345" s="1"/>
      <c r="N345" s="1"/>
      <c r="O345" s="1"/>
      <c r="P345" s="1"/>
      <c r="Q345" s="1"/>
      <c r="R345" s="1"/>
      <c r="S345" s="1"/>
      <c r="T345" s="1"/>
      <c r="U345" s="2"/>
      <c r="V345" s="1"/>
      <c r="W345" s="1"/>
      <c r="X345" s="1"/>
      <c r="Y345" s="1"/>
      <c r="Z345" s="1"/>
    </row>
    <row r="346" spans="1:26" ht="24.75" customHeight="1">
      <c r="A346" s="1"/>
      <c r="B346" s="1"/>
      <c r="C346" s="1"/>
      <c r="D346" s="1"/>
      <c r="E346" s="1"/>
      <c r="F346" s="1"/>
      <c r="G346" s="1"/>
      <c r="H346" s="1"/>
      <c r="I346" s="1"/>
      <c r="J346" s="1"/>
      <c r="K346" s="1"/>
      <c r="L346" s="1"/>
      <c r="M346" s="1"/>
      <c r="N346" s="1"/>
      <c r="O346" s="1"/>
      <c r="P346" s="1"/>
      <c r="Q346" s="1"/>
      <c r="R346" s="1"/>
      <c r="S346" s="1"/>
      <c r="T346" s="1"/>
      <c r="U346" s="2"/>
      <c r="V346" s="1"/>
      <c r="W346" s="1"/>
      <c r="X346" s="1"/>
      <c r="Y346" s="1"/>
      <c r="Z346" s="1"/>
    </row>
    <row r="347" spans="1:26" ht="24.75" customHeight="1">
      <c r="A347" s="1"/>
      <c r="B347" s="1"/>
      <c r="C347" s="1"/>
      <c r="D347" s="1"/>
      <c r="E347" s="1"/>
      <c r="F347" s="1"/>
      <c r="G347" s="1"/>
      <c r="H347" s="1"/>
      <c r="I347" s="1"/>
      <c r="J347" s="1"/>
      <c r="K347" s="1"/>
      <c r="L347" s="1"/>
      <c r="M347" s="1"/>
      <c r="N347" s="1"/>
      <c r="O347" s="1"/>
      <c r="P347" s="1"/>
      <c r="Q347" s="1"/>
      <c r="R347" s="1"/>
      <c r="S347" s="1"/>
      <c r="T347" s="1"/>
      <c r="U347" s="2"/>
      <c r="V347" s="1"/>
      <c r="W347" s="1"/>
      <c r="X347" s="1"/>
      <c r="Y347" s="1"/>
      <c r="Z347" s="1"/>
    </row>
    <row r="348" spans="1:26" ht="24.75" customHeight="1">
      <c r="A348" s="1"/>
      <c r="B348" s="1"/>
      <c r="C348" s="1"/>
      <c r="D348" s="1"/>
      <c r="E348" s="1"/>
      <c r="F348" s="1"/>
      <c r="G348" s="1"/>
      <c r="H348" s="1"/>
      <c r="I348" s="1"/>
      <c r="J348" s="1"/>
      <c r="K348" s="1"/>
      <c r="L348" s="1"/>
      <c r="M348" s="1"/>
      <c r="N348" s="1"/>
      <c r="O348" s="1"/>
      <c r="P348" s="1"/>
      <c r="Q348" s="1"/>
      <c r="R348" s="1"/>
      <c r="S348" s="1"/>
      <c r="T348" s="1"/>
      <c r="U348" s="2"/>
      <c r="V348" s="1"/>
      <c r="W348" s="1"/>
      <c r="X348" s="1"/>
      <c r="Y348" s="1"/>
      <c r="Z348" s="1"/>
    </row>
    <row r="349" spans="1:26" ht="24.75" customHeight="1">
      <c r="A349" s="1"/>
      <c r="B349" s="1"/>
      <c r="C349" s="1"/>
      <c r="D349" s="1"/>
      <c r="E349" s="1"/>
      <c r="F349" s="1"/>
      <c r="G349" s="1"/>
      <c r="H349" s="1"/>
      <c r="I349" s="1"/>
      <c r="J349" s="1"/>
      <c r="K349" s="1"/>
      <c r="L349" s="1"/>
      <c r="M349" s="1"/>
      <c r="N349" s="1"/>
      <c r="O349" s="1"/>
      <c r="P349" s="1"/>
      <c r="Q349" s="1"/>
      <c r="R349" s="1"/>
      <c r="S349" s="1"/>
      <c r="T349" s="1"/>
      <c r="U349" s="2"/>
      <c r="V349" s="1"/>
      <c r="W349" s="1"/>
      <c r="X349" s="1"/>
      <c r="Y349" s="1"/>
      <c r="Z349" s="1"/>
    </row>
    <row r="350" spans="1:26" ht="24.75" customHeight="1">
      <c r="A350" s="1"/>
      <c r="B350" s="1"/>
      <c r="C350" s="1"/>
      <c r="D350" s="1"/>
      <c r="E350" s="1"/>
      <c r="F350" s="1"/>
      <c r="G350" s="1"/>
      <c r="H350" s="1"/>
      <c r="I350" s="1"/>
      <c r="J350" s="1"/>
      <c r="K350" s="1"/>
      <c r="L350" s="1"/>
      <c r="M350" s="1"/>
      <c r="N350" s="1"/>
      <c r="O350" s="1"/>
      <c r="P350" s="1"/>
      <c r="Q350" s="1"/>
      <c r="R350" s="1"/>
      <c r="S350" s="1"/>
      <c r="T350" s="1"/>
      <c r="U350" s="2"/>
      <c r="V350" s="1"/>
      <c r="W350" s="1"/>
      <c r="X350" s="1"/>
      <c r="Y350" s="1"/>
      <c r="Z350" s="1"/>
    </row>
    <row r="351" spans="1:26" ht="24.75" customHeight="1">
      <c r="A351" s="1"/>
      <c r="B351" s="1"/>
      <c r="C351" s="1"/>
      <c r="D351" s="1"/>
      <c r="E351" s="1"/>
      <c r="F351" s="1"/>
      <c r="G351" s="1"/>
      <c r="H351" s="1"/>
      <c r="I351" s="1"/>
      <c r="J351" s="1"/>
      <c r="K351" s="1"/>
      <c r="L351" s="1"/>
      <c r="M351" s="1"/>
      <c r="N351" s="1"/>
      <c r="O351" s="1"/>
      <c r="P351" s="1"/>
      <c r="Q351" s="1"/>
      <c r="R351" s="1"/>
      <c r="S351" s="1"/>
      <c r="T351" s="1"/>
      <c r="U351" s="2"/>
      <c r="V351" s="1"/>
      <c r="W351" s="1"/>
      <c r="X351" s="1"/>
      <c r="Y351" s="1"/>
      <c r="Z351" s="1"/>
    </row>
    <row r="352" spans="1:26" ht="24.75" customHeight="1">
      <c r="A352" s="1"/>
      <c r="B352" s="1"/>
      <c r="C352" s="1"/>
      <c r="D352" s="1"/>
      <c r="E352" s="1"/>
      <c r="F352" s="1"/>
      <c r="G352" s="1"/>
      <c r="H352" s="1"/>
      <c r="I352" s="1"/>
      <c r="J352" s="1"/>
      <c r="K352" s="1"/>
      <c r="L352" s="1"/>
      <c r="M352" s="1"/>
      <c r="N352" s="1"/>
      <c r="O352" s="1"/>
      <c r="P352" s="1"/>
      <c r="Q352" s="1"/>
      <c r="R352" s="1"/>
      <c r="S352" s="1"/>
      <c r="T352" s="1"/>
      <c r="U352" s="2"/>
      <c r="V352" s="1"/>
      <c r="W352" s="1"/>
      <c r="X352" s="1"/>
      <c r="Y352" s="1"/>
      <c r="Z352" s="1"/>
    </row>
    <row r="353" spans="1:26" ht="24.75" customHeight="1">
      <c r="A353" s="1"/>
      <c r="B353" s="1"/>
      <c r="C353" s="1"/>
      <c r="D353" s="1"/>
      <c r="E353" s="1"/>
      <c r="F353" s="1"/>
      <c r="G353" s="1"/>
      <c r="H353" s="1"/>
      <c r="I353" s="1"/>
      <c r="J353" s="1"/>
      <c r="K353" s="1"/>
      <c r="L353" s="1"/>
      <c r="M353" s="1"/>
      <c r="N353" s="1"/>
      <c r="O353" s="1"/>
      <c r="P353" s="1"/>
      <c r="Q353" s="1"/>
      <c r="R353" s="1"/>
      <c r="S353" s="1"/>
      <c r="T353" s="1"/>
      <c r="U353" s="2"/>
      <c r="V353" s="1"/>
      <c r="W353" s="1"/>
      <c r="X353" s="1"/>
      <c r="Y353" s="1"/>
      <c r="Z353" s="1"/>
    </row>
    <row r="354" spans="1:26" ht="24.75" customHeight="1">
      <c r="A354" s="1"/>
      <c r="B354" s="1"/>
      <c r="C354" s="1"/>
      <c r="D354" s="1"/>
      <c r="E354" s="1"/>
      <c r="F354" s="1"/>
      <c r="G354" s="1"/>
      <c r="H354" s="1"/>
      <c r="I354" s="1"/>
      <c r="J354" s="1"/>
      <c r="K354" s="1"/>
      <c r="L354" s="1"/>
      <c r="M354" s="1"/>
      <c r="N354" s="1"/>
      <c r="O354" s="1"/>
      <c r="P354" s="1"/>
      <c r="Q354" s="1"/>
      <c r="R354" s="1"/>
      <c r="S354" s="1"/>
      <c r="T354" s="1"/>
      <c r="U354" s="2"/>
      <c r="V354" s="1"/>
      <c r="W354" s="1"/>
      <c r="X354" s="1"/>
      <c r="Y354" s="1"/>
      <c r="Z354" s="1"/>
    </row>
    <row r="355" spans="1:26" ht="24.75" customHeight="1">
      <c r="A355" s="1"/>
      <c r="B355" s="1"/>
      <c r="C355" s="1"/>
      <c r="D355" s="1"/>
      <c r="E355" s="1"/>
      <c r="F355" s="1"/>
      <c r="G355" s="1"/>
      <c r="H355" s="1"/>
      <c r="I355" s="1"/>
      <c r="J355" s="1"/>
      <c r="K355" s="1"/>
      <c r="L355" s="1"/>
      <c r="M355" s="1"/>
      <c r="N355" s="1"/>
      <c r="O355" s="1"/>
      <c r="P355" s="1"/>
      <c r="Q355" s="1"/>
      <c r="R355" s="1"/>
      <c r="S355" s="1"/>
      <c r="T355" s="1"/>
      <c r="U355" s="2"/>
      <c r="V355" s="1"/>
      <c r="W355" s="1"/>
      <c r="X355" s="1"/>
      <c r="Y355" s="1"/>
      <c r="Z355" s="1"/>
    </row>
    <row r="356" spans="1:26" ht="24.75" customHeight="1">
      <c r="A356" s="1"/>
      <c r="B356" s="1"/>
      <c r="C356" s="1"/>
      <c r="D356" s="1"/>
      <c r="E356" s="1"/>
      <c r="F356" s="1"/>
      <c r="G356" s="1"/>
      <c r="H356" s="1"/>
      <c r="I356" s="1"/>
      <c r="J356" s="1"/>
      <c r="K356" s="1"/>
      <c r="L356" s="1"/>
      <c r="M356" s="1"/>
      <c r="N356" s="1"/>
      <c r="O356" s="1"/>
      <c r="P356" s="1"/>
      <c r="Q356" s="1"/>
      <c r="R356" s="1"/>
      <c r="S356" s="1"/>
      <c r="T356" s="1"/>
      <c r="U356" s="2"/>
      <c r="V356" s="1"/>
      <c r="W356" s="1"/>
      <c r="X356" s="1"/>
      <c r="Y356" s="1"/>
      <c r="Z356" s="1"/>
    </row>
    <row r="357" spans="1:26" ht="24.75" customHeight="1">
      <c r="A357" s="1"/>
      <c r="B357" s="1"/>
      <c r="C357" s="1"/>
      <c r="D357" s="1"/>
      <c r="E357" s="1"/>
      <c r="F357" s="1"/>
      <c r="G357" s="1"/>
      <c r="H357" s="1"/>
      <c r="I357" s="1"/>
      <c r="J357" s="1"/>
      <c r="K357" s="1"/>
      <c r="L357" s="1"/>
      <c r="M357" s="1"/>
      <c r="N357" s="1"/>
      <c r="O357" s="1"/>
      <c r="P357" s="1"/>
      <c r="Q357" s="1"/>
      <c r="R357" s="1"/>
      <c r="S357" s="1"/>
      <c r="T357" s="1"/>
      <c r="U357" s="2"/>
      <c r="V357" s="1"/>
      <c r="W357" s="1"/>
      <c r="X357" s="1"/>
      <c r="Y357" s="1"/>
      <c r="Z357" s="1"/>
    </row>
    <row r="358" spans="1:26" ht="24.75" customHeight="1">
      <c r="A358" s="1"/>
      <c r="B358" s="1"/>
      <c r="C358" s="1"/>
      <c r="D358" s="1"/>
      <c r="E358" s="1"/>
      <c r="F358" s="1"/>
      <c r="G358" s="1"/>
      <c r="H358" s="1"/>
      <c r="I358" s="1"/>
      <c r="J358" s="1"/>
      <c r="K358" s="1"/>
      <c r="L358" s="1"/>
      <c r="M358" s="1"/>
      <c r="N358" s="1"/>
      <c r="O358" s="1"/>
      <c r="P358" s="1"/>
      <c r="Q358" s="1"/>
      <c r="R358" s="1"/>
      <c r="S358" s="1"/>
      <c r="T358" s="1"/>
      <c r="U358" s="2"/>
      <c r="V358" s="1"/>
      <c r="W358" s="1"/>
      <c r="X358" s="1"/>
      <c r="Y358" s="1"/>
      <c r="Z358" s="1"/>
    </row>
    <row r="359" spans="1:26" ht="24.75" customHeight="1">
      <c r="A359" s="1"/>
      <c r="B359" s="1"/>
      <c r="C359" s="1"/>
      <c r="D359" s="1"/>
      <c r="E359" s="1"/>
      <c r="F359" s="1"/>
      <c r="G359" s="1"/>
      <c r="H359" s="1"/>
      <c r="I359" s="1"/>
      <c r="J359" s="1"/>
      <c r="K359" s="1"/>
      <c r="L359" s="1"/>
      <c r="M359" s="1"/>
      <c r="N359" s="1"/>
      <c r="O359" s="1"/>
      <c r="P359" s="1"/>
      <c r="Q359" s="1"/>
      <c r="R359" s="1"/>
      <c r="S359" s="1"/>
      <c r="T359" s="1"/>
      <c r="U359" s="2"/>
      <c r="V359" s="1"/>
      <c r="W359" s="1"/>
      <c r="X359" s="1"/>
      <c r="Y359" s="1"/>
      <c r="Z359" s="1"/>
    </row>
    <row r="360" spans="1:26" ht="24.75" customHeight="1">
      <c r="A360" s="1"/>
      <c r="B360" s="1"/>
      <c r="C360" s="1"/>
      <c r="D360" s="1"/>
      <c r="E360" s="1"/>
      <c r="F360" s="1"/>
      <c r="G360" s="1"/>
      <c r="H360" s="1"/>
      <c r="I360" s="1"/>
      <c r="J360" s="1"/>
      <c r="K360" s="1"/>
      <c r="L360" s="1"/>
      <c r="M360" s="1"/>
      <c r="N360" s="1"/>
      <c r="O360" s="1"/>
      <c r="P360" s="1"/>
      <c r="Q360" s="1"/>
      <c r="R360" s="1"/>
      <c r="S360" s="1"/>
      <c r="T360" s="1"/>
      <c r="U360" s="2"/>
      <c r="V360" s="1"/>
      <c r="W360" s="1"/>
      <c r="X360" s="1"/>
      <c r="Y360" s="1"/>
      <c r="Z360" s="1"/>
    </row>
    <row r="361" spans="1:26" ht="24.75" customHeight="1">
      <c r="A361" s="1"/>
      <c r="B361" s="1"/>
      <c r="C361" s="1"/>
      <c r="D361" s="1"/>
      <c r="E361" s="1"/>
      <c r="F361" s="1"/>
      <c r="G361" s="1"/>
      <c r="H361" s="1"/>
      <c r="I361" s="1"/>
      <c r="J361" s="1"/>
      <c r="K361" s="1"/>
      <c r="L361" s="1"/>
      <c r="M361" s="1"/>
      <c r="N361" s="1"/>
      <c r="O361" s="1"/>
      <c r="P361" s="1"/>
      <c r="Q361" s="1"/>
      <c r="R361" s="1"/>
      <c r="S361" s="1"/>
      <c r="T361" s="1"/>
      <c r="U361" s="2"/>
      <c r="V361" s="1"/>
      <c r="W361" s="1"/>
      <c r="X361" s="1"/>
      <c r="Y361" s="1"/>
      <c r="Z361" s="1"/>
    </row>
    <row r="362" spans="1:26" ht="24.75" customHeight="1">
      <c r="A362" s="1"/>
      <c r="B362" s="1"/>
      <c r="C362" s="1"/>
      <c r="D362" s="1"/>
      <c r="E362" s="1"/>
      <c r="F362" s="1"/>
      <c r="G362" s="1"/>
      <c r="H362" s="1"/>
      <c r="I362" s="1"/>
      <c r="J362" s="1"/>
      <c r="K362" s="1"/>
      <c r="L362" s="1"/>
      <c r="M362" s="1"/>
      <c r="N362" s="1"/>
      <c r="O362" s="1"/>
      <c r="P362" s="1"/>
      <c r="Q362" s="1"/>
      <c r="R362" s="1"/>
      <c r="S362" s="1"/>
      <c r="T362" s="1"/>
      <c r="U362" s="2"/>
      <c r="V362" s="1"/>
      <c r="W362" s="1"/>
      <c r="X362" s="1"/>
      <c r="Y362" s="1"/>
      <c r="Z362" s="1"/>
    </row>
    <row r="363" spans="1:26" ht="24.75" customHeight="1">
      <c r="A363" s="1"/>
      <c r="B363" s="1"/>
      <c r="C363" s="1"/>
      <c r="D363" s="1"/>
      <c r="E363" s="1"/>
      <c r="F363" s="1"/>
      <c r="G363" s="1"/>
      <c r="H363" s="1"/>
      <c r="I363" s="1"/>
      <c r="J363" s="1"/>
      <c r="K363" s="1"/>
      <c r="L363" s="1"/>
      <c r="M363" s="1"/>
      <c r="N363" s="1"/>
      <c r="O363" s="1"/>
      <c r="P363" s="1"/>
      <c r="Q363" s="1"/>
      <c r="R363" s="1"/>
      <c r="S363" s="1"/>
      <c r="T363" s="1"/>
      <c r="U363" s="2"/>
      <c r="V363" s="1"/>
      <c r="W363" s="1"/>
      <c r="X363" s="1"/>
      <c r="Y363" s="1"/>
      <c r="Z363" s="1"/>
    </row>
    <row r="364" spans="1:26" ht="24.75" customHeight="1">
      <c r="A364" s="1"/>
      <c r="B364" s="1"/>
      <c r="C364" s="1"/>
      <c r="D364" s="1"/>
      <c r="E364" s="1"/>
      <c r="F364" s="1"/>
      <c r="G364" s="1"/>
      <c r="H364" s="1"/>
      <c r="I364" s="1"/>
      <c r="J364" s="1"/>
      <c r="K364" s="1"/>
      <c r="L364" s="1"/>
      <c r="M364" s="1"/>
      <c r="N364" s="1"/>
      <c r="O364" s="1"/>
      <c r="P364" s="1"/>
      <c r="Q364" s="1"/>
      <c r="R364" s="1"/>
      <c r="S364" s="1"/>
      <c r="T364" s="1"/>
      <c r="U364" s="2"/>
      <c r="V364" s="1"/>
      <c r="W364" s="1"/>
      <c r="X364" s="1"/>
      <c r="Y364" s="1"/>
      <c r="Z364" s="1"/>
    </row>
    <row r="365" spans="1:26" ht="24.75" customHeight="1">
      <c r="A365" s="1"/>
      <c r="B365" s="1"/>
      <c r="C365" s="1"/>
      <c r="D365" s="1"/>
      <c r="E365" s="1"/>
      <c r="F365" s="1"/>
      <c r="G365" s="1"/>
      <c r="H365" s="1"/>
      <c r="I365" s="1"/>
      <c r="J365" s="1"/>
      <c r="K365" s="1"/>
      <c r="L365" s="1"/>
      <c r="M365" s="1"/>
      <c r="N365" s="1"/>
      <c r="O365" s="1"/>
      <c r="P365" s="1"/>
      <c r="Q365" s="1"/>
      <c r="R365" s="1"/>
      <c r="S365" s="1"/>
      <c r="T365" s="1"/>
      <c r="U365" s="2"/>
      <c r="V365" s="1"/>
      <c r="W365" s="1"/>
      <c r="X365" s="1"/>
      <c r="Y365" s="1"/>
      <c r="Z365" s="1"/>
    </row>
    <row r="366" spans="1:26" ht="24.75" customHeight="1">
      <c r="A366" s="1"/>
      <c r="B366" s="1"/>
      <c r="C366" s="1"/>
      <c r="D366" s="1"/>
      <c r="E366" s="1"/>
      <c r="F366" s="1"/>
      <c r="G366" s="1"/>
      <c r="H366" s="1"/>
      <c r="I366" s="1"/>
      <c r="J366" s="1"/>
      <c r="K366" s="1"/>
      <c r="L366" s="1"/>
      <c r="M366" s="1"/>
      <c r="N366" s="1"/>
      <c r="O366" s="1"/>
      <c r="P366" s="1"/>
      <c r="Q366" s="1"/>
      <c r="R366" s="1"/>
      <c r="S366" s="1"/>
      <c r="T366" s="1"/>
      <c r="U366" s="2"/>
      <c r="V366" s="1"/>
      <c r="W366" s="1"/>
      <c r="X366" s="1"/>
      <c r="Y366" s="1"/>
      <c r="Z366" s="1"/>
    </row>
    <row r="367" spans="1:26" ht="24.75" customHeight="1">
      <c r="A367" s="1"/>
      <c r="B367" s="1"/>
      <c r="C367" s="1"/>
      <c r="D367" s="1"/>
      <c r="E367" s="1"/>
      <c r="F367" s="1"/>
      <c r="G367" s="1"/>
      <c r="H367" s="1"/>
      <c r="I367" s="1"/>
      <c r="J367" s="1"/>
      <c r="K367" s="1"/>
      <c r="L367" s="1"/>
      <c r="M367" s="1"/>
      <c r="N367" s="1"/>
      <c r="O367" s="1"/>
      <c r="P367" s="1"/>
      <c r="Q367" s="1"/>
      <c r="R367" s="1"/>
      <c r="S367" s="1"/>
      <c r="T367" s="1"/>
      <c r="U367" s="2"/>
      <c r="V367" s="1"/>
      <c r="W367" s="1"/>
      <c r="X367" s="1"/>
      <c r="Y367" s="1"/>
      <c r="Z367" s="1"/>
    </row>
    <row r="368" spans="1:26" ht="24.75" customHeight="1">
      <c r="A368" s="1"/>
      <c r="B368" s="1"/>
      <c r="C368" s="1"/>
      <c r="D368" s="1"/>
      <c r="E368" s="1"/>
      <c r="F368" s="1"/>
      <c r="G368" s="1"/>
      <c r="H368" s="1"/>
      <c r="I368" s="1"/>
      <c r="J368" s="1"/>
      <c r="K368" s="1"/>
      <c r="L368" s="1"/>
      <c r="M368" s="1"/>
      <c r="N368" s="1"/>
      <c r="O368" s="1"/>
      <c r="P368" s="1"/>
      <c r="Q368" s="1"/>
      <c r="R368" s="1"/>
      <c r="S368" s="1"/>
      <c r="T368" s="1"/>
      <c r="U368" s="2"/>
      <c r="V368" s="1"/>
      <c r="W368" s="1"/>
      <c r="X368" s="1"/>
      <c r="Y368" s="1"/>
      <c r="Z368" s="1"/>
    </row>
    <row r="369" spans="1:26" ht="24.75" customHeight="1">
      <c r="A369" s="1"/>
      <c r="B369" s="1"/>
      <c r="C369" s="1"/>
      <c r="D369" s="1"/>
      <c r="E369" s="1"/>
      <c r="F369" s="1"/>
      <c r="G369" s="1"/>
      <c r="H369" s="1"/>
      <c r="I369" s="1"/>
      <c r="J369" s="1"/>
      <c r="K369" s="1"/>
      <c r="L369" s="1"/>
      <c r="M369" s="1"/>
      <c r="N369" s="1"/>
      <c r="O369" s="1"/>
      <c r="P369" s="1"/>
      <c r="Q369" s="1"/>
      <c r="R369" s="1"/>
      <c r="S369" s="1"/>
      <c r="T369" s="1"/>
      <c r="U369" s="2"/>
      <c r="V369" s="1"/>
      <c r="W369" s="1"/>
      <c r="X369" s="1"/>
      <c r="Y369" s="1"/>
      <c r="Z369" s="1"/>
    </row>
    <row r="370" spans="1:26" ht="24.75" customHeight="1">
      <c r="A370" s="1"/>
      <c r="B370" s="1"/>
      <c r="C370" s="1"/>
      <c r="D370" s="1"/>
      <c r="E370" s="1"/>
      <c r="F370" s="1"/>
      <c r="G370" s="1"/>
      <c r="H370" s="1"/>
      <c r="I370" s="1"/>
      <c r="J370" s="1"/>
      <c r="K370" s="1"/>
      <c r="L370" s="1"/>
      <c r="M370" s="1"/>
      <c r="N370" s="1"/>
      <c r="O370" s="1"/>
      <c r="P370" s="1"/>
      <c r="Q370" s="1"/>
      <c r="R370" s="1"/>
      <c r="S370" s="1"/>
      <c r="T370" s="1"/>
      <c r="U370" s="2"/>
      <c r="V370" s="1"/>
      <c r="W370" s="1"/>
      <c r="X370" s="1"/>
      <c r="Y370" s="1"/>
      <c r="Z370" s="1"/>
    </row>
    <row r="371" spans="1:26" ht="24.75" customHeight="1">
      <c r="A371" s="1"/>
      <c r="B371" s="1"/>
      <c r="C371" s="1"/>
      <c r="D371" s="1"/>
      <c r="E371" s="1"/>
      <c r="F371" s="1"/>
      <c r="G371" s="1"/>
      <c r="H371" s="1"/>
      <c r="I371" s="1"/>
      <c r="J371" s="1"/>
      <c r="K371" s="1"/>
      <c r="L371" s="1"/>
      <c r="M371" s="1"/>
      <c r="N371" s="1"/>
      <c r="O371" s="1"/>
      <c r="P371" s="1"/>
      <c r="Q371" s="1"/>
      <c r="R371" s="1"/>
      <c r="S371" s="1"/>
      <c r="T371" s="1"/>
      <c r="U371" s="2"/>
      <c r="V371" s="1"/>
      <c r="W371" s="1"/>
      <c r="X371" s="1"/>
      <c r="Y371" s="1"/>
      <c r="Z371" s="1"/>
    </row>
    <row r="372" spans="1:26" ht="24.75" customHeight="1">
      <c r="A372" s="1"/>
      <c r="B372" s="1"/>
      <c r="C372" s="1"/>
      <c r="D372" s="1"/>
      <c r="E372" s="1"/>
      <c r="F372" s="1"/>
      <c r="G372" s="1"/>
      <c r="H372" s="1"/>
      <c r="I372" s="1"/>
      <c r="J372" s="1"/>
      <c r="K372" s="1"/>
      <c r="L372" s="1"/>
      <c r="M372" s="1"/>
      <c r="N372" s="1"/>
      <c r="O372" s="1"/>
      <c r="P372" s="1"/>
      <c r="Q372" s="1"/>
      <c r="R372" s="1"/>
      <c r="S372" s="1"/>
      <c r="T372" s="1"/>
      <c r="U372" s="2"/>
      <c r="V372" s="1"/>
      <c r="W372" s="1"/>
      <c r="X372" s="1"/>
      <c r="Y372" s="1"/>
      <c r="Z372" s="1"/>
    </row>
    <row r="373" spans="1:26" ht="24.75" customHeight="1">
      <c r="A373" s="1"/>
      <c r="B373" s="1"/>
      <c r="C373" s="1"/>
      <c r="D373" s="1"/>
      <c r="E373" s="1"/>
      <c r="F373" s="1"/>
      <c r="G373" s="1"/>
      <c r="H373" s="1"/>
      <c r="I373" s="1"/>
      <c r="J373" s="1"/>
      <c r="K373" s="1"/>
      <c r="L373" s="1"/>
      <c r="M373" s="1"/>
      <c r="N373" s="1"/>
      <c r="O373" s="1"/>
      <c r="P373" s="1"/>
      <c r="Q373" s="1"/>
      <c r="R373" s="1"/>
      <c r="S373" s="1"/>
      <c r="T373" s="1"/>
      <c r="U373" s="2"/>
      <c r="V373" s="1"/>
      <c r="W373" s="1"/>
      <c r="X373" s="1"/>
      <c r="Y373" s="1"/>
      <c r="Z373" s="1"/>
    </row>
    <row r="374" spans="1:26" ht="24.75" customHeight="1">
      <c r="A374" s="1"/>
      <c r="B374" s="1"/>
      <c r="C374" s="1"/>
      <c r="D374" s="1"/>
      <c r="E374" s="1"/>
      <c r="F374" s="1"/>
      <c r="G374" s="1"/>
      <c r="H374" s="1"/>
      <c r="I374" s="1"/>
      <c r="J374" s="1"/>
      <c r="K374" s="1"/>
      <c r="L374" s="1"/>
      <c r="M374" s="1"/>
      <c r="N374" s="1"/>
      <c r="O374" s="1"/>
      <c r="P374" s="1"/>
      <c r="Q374" s="1"/>
      <c r="R374" s="1"/>
      <c r="S374" s="1"/>
      <c r="T374" s="1"/>
      <c r="U374" s="2"/>
      <c r="V374" s="1"/>
      <c r="W374" s="1"/>
      <c r="X374" s="1"/>
      <c r="Y374" s="1"/>
      <c r="Z374" s="1"/>
    </row>
    <row r="375" spans="1:26" ht="24.75" customHeight="1">
      <c r="A375" s="1"/>
      <c r="B375" s="1"/>
      <c r="C375" s="1"/>
      <c r="D375" s="1"/>
      <c r="E375" s="1"/>
      <c r="F375" s="1"/>
      <c r="G375" s="1"/>
      <c r="H375" s="1"/>
      <c r="I375" s="1"/>
      <c r="J375" s="1"/>
      <c r="K375" s="1"/>
      <c r="L375" s="1"/>
      <c r="M375" s="1"/>
      <c r="N375" s="1"/>
      <c r="O375" s="1"/>
      <c r="P375" s="1"/>
      <c r="Q375" s="1"/>
      <c r="R375" s="1"/>
      <c r="S375" s="1"/>
      <c r="T375" s="1"/>
      <c r="U375" s="2"/>
      <c r="V375" s="1"/>
      <c r="W375" s="1"/>
      <c r="X375" s="1"/>
      <c r="Y375" s="1"/>
      <c r="Z375" s="1"/>
    </row>
    <row r="376" spans="1:26" ht="24.75" customHeight="1">
      <c r="A376" s="1"/>
      <c r="B376" s="1"/>
      <c r="C376" s="1"/>
      <c r="D376" s="1"/>
      <c r="E376" s="1"/>
      <c r="F376" s="1"/>
      <c r="G376" s="1"/>
      <c r="H376" s="1"/>
      <c r="I376" s="1"/>
      <c r="J376" s="1"/>
      <c r="K376" s="1"/>
      <c r="L376" s="1"/>
      <c r="M376" s="1"/>
      <c r="N376" s="1"/>
      <c r="O376" s="1"/>
      <c r="P376" s="1"/>
      <c r="Q376" s="1"/>
      <c r="R376" s="1"/>
      <c r="S376" s="1"/>
      <c r="T376" s="1"/>
      <c r="U376" s="2"/>
      <c r="V376" s="1"/>
      <c r="W376" s="1"/>
      <c r="X376" s="1"/>
      <c r="Y376" s="1"/>
      <c r="Z376" s="1"/>
    </row>
    <row r="377" spans="1:26" ht="24.75" customHeight="1">
      <c r="A377" s="1"/>
      <c r="B377" s="1"/>
      <c r="C377" s="1"/>
      <c r="D377" s="1"/>
      <c r="E377" s="1"/>
      <c r="F377" s="1"/>
      <c r="G377" s="1"/>
      <c r="H377" s="1"/>
      <c r="I377" s="1"/>
      <c r="J377" s="1"/>
      <c r="K377" s="1"/>
      <c r="L377" s="1"/>
      <c r="M377" s="1"/>
      <c r="N377" s="1"/>
      <c r="O377" s="1"/>
      <c r="P377" s="1"/>
      <c r="Q377" s="1"/>
      <c r="R377" s="1"/>
      <c r="S377" s="1"/>
      <c r="T377" s="1"/>
      <c r="U377" s="2"/>
      <c r="V377" s="1"/>
      <c r="W377" s="1"/>
      <c r="X377" s="1"/>
      <c r="Y377" s="1"/>
      <c r="Z377" s="1"/>
    </row>
    <row r="378" spans="1:26" ht="24.75" customHeight="1">
      <c r="A378" s="1"/>
      <c r="B378" s="1"/>
      <c r="C378" s="1"/>
      <c r="D378" s="1"/>
      <c r="E378" s="1"/>
      <c r="F378" s="1"/>
      <c r="G378" s="1"/>
      <c r="H378" s="1"/>
      <c r="I378" s="1"/>
      <c r="J378" s="1"/>
      <c r="K378" s="1"/>
      <c r="L378" s="1"/>
      <c r="M378" s="1"/>
      <c r="N378" s="1"/>
      <c r="O378" s="1"/>
      <c r="P378" s="1"/>
      <c r="Q378" s="1"/>
      <c r="R378" s="1"/>
      <c r="S378" s="1"/>
      <c r="T378" s="1"/>
      <c r="U378" s="2"/>
      <c r="V378" s="1"/>
      <c r="W378" s="1"/>
      <c r="X378" s="1"/>
      <c r="Y378" s="1"/>
      <c r="Z378" s="1"/>
    </row>
    <row r="379" spans="1:26" ht="24.75" customHeight="1">
      <c r="A379" s="1"/>
      <c r="B379" s="1"/>
      <c r="C379" s="1"/>
      <c r="D379" s="1"/>
      <c r="E379" s="1"/>
      <c r="F379" s="1"/>
      <c r="G379" s="1"/>
      <c r="H379" s="1"/>
      <c r="I379" s="1"/>
      <c r="J379" s="1"/>
      <c r="K379" s="1"/>
      <c r="L379" s="1"/>
      <c r="M379" s="1"/>
      <c r="N379" s="1"/>
      <c r="O379" s="1"/>
      <c r="P379" s="1"/>
      <c r="Q379" s="1"/>
      <c r="R379" s="1"/>
      <c r="S379" s="1"/>
      <c r="T379" s="1"/>
      <c r="U379" s="2"/>
      <c r="V379" s="1"/>
      <c r="W379" s="1"/>
      <c r="X379" s="1"/>
      <c r="Y379" s="1"/>
      <c r="Z379" s="1"/>
    </row>
    <row r="380" spans="1:26" ht="24.75" customHeight="1">
      <c r="A380" s="1"/>
      <c r="B380" s="1"/>
      <c r="C380" s="1"/>
      <c r="D380" s="1"/>
      <c r="E380" s="1"/>
      <c r="F380" s="1"/>
      <c r="G380" s="1"/>
      <c r="H380" s="1"/>
      <c r="I380" s="1"/>
      <c r="J380" s="1"/>
      <c r="K380" s="1"/>
      <c r="L380" s="1"/>
      <c r="M380" s="1"/>
      <c r="N380" s="1"/>
      <c r="O380" s="1"/>
      <c r="P380" s="1"/>
      <c r="Q380" s="1"/>
      <c r="R380" s="1"/>
      <c r="S380" s="1"/>
      <c r="T380" s="1"/>
      <c r="U380" s="2"/>
      <c r="V380" s="1"/>
      <c r="W380" s="1"/>
      <c r="X380" s="1"/>
      <c r="Y380" s="1"/>
      <c r="Z380" s="1"/>
    </row>
    <row r="381" spans="1:26" ht="24.75" customHeight="1">
      <c r="A381" s="1"/>
      <c r="B381" s="1"/>
      <c r="C381" s="1"/>
      <c r="D381" s="1"/>
      <c r="E381" s="1"/>
      <c r="F381" s="1"/>
      <c r="G381" s="1"/>
      <c r="H381" s="1"/>
      <c r="I381" s="1"/>
      <c r="J381" s="1"/>
      <c r="K381" s="1"/>
      <c r="L381" s="1"/>
      <c r="M381" s="1"/>
      <c r="N381" s="1"/>
      <c r="O381" s="1"/>
      <c r="P381" s="1"/>
      <c r="Q381" s="1"/>
      <c r="R381" s="1"/>
      <c r="S381" s="1"/>
      <c r="T381" s="1"/>
      <c r="U381" s="2"/>
      <c r="V381" s="1"/>
      <c r="W381" s="1"/>
      <c r="X381" s="1"/>
      <c r="Y381" s="1"/>
      <c r="Z381" s="1"/>
    </row>
    <row r="382" spans="1:26" ht="24.75" customHeight="1">
      <c r="A382" s="1"/>
      <c r="B382" s="1"/>
      <c r="C382" s="1"/>
      <c r="D382" s="1"/>
      <c r="E382" s="1"/>
      <c r="F382" s="1"/>
      <c r="G382" s="1"/>
      <c r="H382" s="1"/>
      <c r="I382" s="1"/>
      <c r="J382" s="1"/>
      <c r="K382" s="1"/>
      <c r="L382" s="1"/>
      <c r="M382" s="1"/>
      <c r="N382" s="1"/>
      <c r="O382" s="1"/>
      <c r="P382" s="1"/>
      <c r="Q382" s="1"/>
      <c r="R382" s="1"/>
      <c r="S382" s="1"/>
      <c r="T382" s="1"/>
      <c r="U382" s="2"/>
      <c r="V382" s="1"/>
      <c r="W382" s="1"/>
      <c r="X382" s="1"/>
      <c r="Y382" s="1"/>
      <c r="Z382" s="1"/>
    </row>
    <row r="383" spans="1:26" ht="24.75" customHeight="1">
      <c r="A383" s="1"/>
      <c r="B383" s="1"/>
      <c r="C383" s="1"/>
      <c r="D383" s="1"/>
      <c r="E383" s="1"/>
      <c r="F383" s="1"/>
      <c r="G383" s="1"/>
      <c r="H383" s="1"/>
      <c r="I383" s="1"/>
      <c r="J383" s="1"/>
      <c r="K383" s="1"/>
      <c r="L383" s="1"/>
      <c r="M383" s="1"/>
      <c r="N383" s="1"/>
      <c r="O383" s="1"/>
      <c r="P383" s="1"/>
      <c r="Q383" s="1"/>
      <c r="R383" s="1"/>
      <c r="S383" s="1"/>
      <c r="T383" s="1"/>
      <c r="U383" s="2"/>
      <c r="V383" s="1"/>
      <c r="W383" s="1"/>
      <c r="X383" s="1"/>
      <c r="Y383" s="1"/>
      <c r="Z383" s="1"/>
    </row>
    <row r="384" spans="1:26" ht="24.75" customHeight="1">
      <c r="A384" s="1"/>
      <c r="B384" s="1"/>
      <c r="C384" s="1"/>
      <c r="D384" s="1"/>
      <c r="E384" s="1"/>
      <c r="F384" s="1"/>
      <c r="G384" s="1"/>
      <c r="H384" s="1"/>
      <c r="I384" s="1"/>
      <c r="J384" s="1"/>
      <c r="K384" s="1"/>
      <c r="L384" s="1"/>
      <c r="M384" s="1"/>
      <c r="N384" s="1"/>
      <c r="O384" s="1"/>
      <c r="P384" s="1"/>
      <c r="Q384" s="1"/>
      <c r="R384" s="1"/>
      <c r="S384" s="1"/>
      <c r="T384" s="1"/>
      <c r="U384" s="2"/>
      <c r="V384" s="1"/>
      <c r="W384" s="1"/>
      <c r="X384" s="1"/>
      <c r="Y384" s="1"/>
      <c r="Z384" s="1"/>
    </row>
    <row r="385" spans="1:26" ht="24.75" customHeight="1">
      <c r="A385" s="1"/>
      <c r="B385" s="1"/>
      <c r="C385" s="1"/>
      <c r="D385" s="1"/>
      <c r="E385" s="1"/>
      <c r="F385" s="1"/>
      <c r="G385" s="1"/>
      <c r="H385" s="1"/>
      <c r="I385" s="1"/>
      <c r="J385" s="1"/>
      <c r="K385" s="1"/>
      <c r="L385" s="1"/>
      <c r="M385" s="1"/>
      <c r="N385" s="1"/>
      <c r="O385" s="1"/>
      <c r="P385" s="1"/>
      <c r="Q385" s="1"/>
      <c r="R385" s="1"/>
      <c r="S385" s="1"/>
      <c r="T385" s="1"/>
      <c r="U385" s="2"/>
      <c r="V385" s="1"/>
      <c r="W385" s="1"/>
      <c r="X385" s="1"/>
      <c r="Y385" s="1"/>
      <c r="Z385" s="1"/>
    </row>
    <row r="386" spans="1:26" ht="24.75" customHeight="1">
      <c r="A386" s="1"/>
      <c r="B386" s="1"/>
      <c r="C386" s="1"/>
      <c r="D386" s="1"/>
      <c r="E386" s="1"/>
      <c r="F386" s="1"/>
      <c r="G386" s="1"/>
      <c r="H386" s="1"/>
      <c r="I386" s="1"/>
      <c r="J386" s="1"/>
      <c r="K386" s="1"/>
      <c r="L386" s="1"/>
      <c r="M386" s="1"/>
      <c r="N386" s="1"/>
      <c r="O386" s="1"/>
      <c r="P386" s="1"/>
      <c r="Q386" s="1"/>
      <c r="R386" s="1"/>
      <c r="S386" s="1"/>
      <c r="T386" s="1"/>
      <c r="U386" s="2"/>
      <c r="V386" s="1"/>
      <c r="W386" s="1"/>
      <c r="X386" s="1"/>
      <c r="Y386" s="1"/>
      <c r="Z386" s="1"/>
    </row>
    <row r="387" spans="1:26" ht="24.75" customHeight="1">
      <c r="A387" s="1"/>
      <c r="B387" s="1"/>
      <c r="C387" s="1"/>
      <c r="D387" s="1"/>
      <c r="E387" s="1"/>
      <c r="F387" s="1"/>
      <c r="G387" s="1"/>
      <c r="H387" s="1"/>
      <c r="I387" s="1"/>
      <c r="J387" s="1"/>
      <c r="K387" s="1"/>
      <c r="L387" s="1"/>
      <c r="M387" s="1"/>
      <c r="N387" s="1"/>
      <c r="O387" s="1"/>
      <c r="P387" s="1"/>
      <c r="Q387" s="1"/>
      <c r="R387" s="1"/>
      <c r="S387" s="1"/>
      <c r="T387" s="1"/>
      <c r="U387" s="2"/>
      <c r="V387" s="1"/>
      <c r="W387" s="1"/>
      <c r="X387" s="1"/>
      <c r="Y387" s="1"/>
      <c r="Z387" s="1"/>
    </row>
    <row r="388" spans="1:26" ht="24.75" customHeight="1">
      <c r="A388" s="1"/>
      <c r="B388" s="1"/>
      <c r="C388" s="1"/>
      <c r="D388" s="1"/>
      <c r="E388" s="1"/>
      <c r="F388" s="1"/>
      <c r="G388" s="1"/>
      <c r="H388" s="1"/>
      <c r="I388" s="1"/>
      <c r="J388" s="1"/>
      <c r="K388" s="1"/>
      <c r="L388" s="1"/>
      <c r="M388" s="1"/>
      <c r="N388" s="1"/>
      <c r="O388" s="1"/>
      <c r="P388" s="1"/>
      <c r="Q388" s="1"/>
      <c r="R388" s="1"/>
      <c r="S388" s="1"/>
      <c r="T388" s="1"/>
      <c r="U388" s="2"/>
      <c r="V388" s="1"/>
      <c r="W388" s="1"/>
      <c r="X388" s="1"/>
      <c r="Y388" s="1"/>
      <c r="Z388" s="1"/>
    </row>
    <row r="389" spans="1:26" ht="24.75" customHeight="1">
      <c r="A389" s="1"/>
      <c r="B389" s="1"/>
      <c r="C389" s="1"/>
      <c r="D389" s="1"/>
      <c r="E389" s="1"/>
      <c r="F389" s="1"/>
      <c r="G389" s="1"/>
      <c r="H389" s="1"/>
      <c r="I389" s="1"/>
      <c r="J389" s="1"/>
      <c r="K389" s="1"/>
      <c r="L389" s="1"/>
      <c r="M389" s="1"/>
      <c r="N389" s="1"/>
      <c r="O389" s="1"/>
      <c r="P389" s="1"/>
      <c r="Q389" s="1"/>
      <c r="R389" s="1"/>
      <c r="S389" s="1"/>
      <c r="T389" s="1"/>
      <c r="U389" s="2"/>
      <c r="V389" s="1"/>
      <c r="W389" s="1"/>
      <c r="X389" s="1"/>
      <c r="Y389" s="1"/>
      <c r="Z389" s="1"/>
    </row>
    <row r="390" spans="1:26" ht="24.75" customHeight="1">
      <c r="A390" s="1"/>
      <c r="B390" s="1"/>
      <c r="C390" s="1"/>
      <c r="D390" s="1"/>
      <c r="E390" s="1"/>
      <c r="F390" s="1"/>
      <c r="G390" s="1"/>
      <c r="H390" s="1"/>
      <c r="I390" s="1"/>
      <c r="J390" s="1"/>
      <c r="K390" s="1"/>
      <c r="L390" s="1"/>
      <c r="M390" s="1"/>
      <c r="N390" s="1"/>
      <c r="O390" s="1"/>
      <c r="P390" s="1"/>
      <c r="Q390" s="1"/>
      <c r="R390" s="1"/>
      <c r="S390" s="1"/>
      <c r="T390" s="1"/>
      <c r="U390" s="2"/>
      <c r="V390" s="1"/>
      <c r="W390" s="1"/>
      <c r="X390" s="1"/>
      <c r="Y390" s="1"/>
      <c r="Z390" s="1"/>
    </row>
    <row r="391" spans="1:26" ht="24.75" customHeight="1">
      <c r="A391" s="1"/>
      <c r="B391" s="1"/>
      <c r="C391" s="1"/>
      <c r="D391" s="1"/>
      <c r="E391" s="1"/>
      <c r="F391" s="1"/>
      <c r="G391" s="1"/>
      <c r="H391" s="1"/>
      <c r="I391" s="1"/>
      <c r="J391" s="1"/>
      <c r="K391" s="1"/>
      <c r="L391" s="1"/>
      <c r="M391" s="1"/>
      <c r="N391" s="1"/>
      <c r="O391" s="1"/>
      <c r="P391" s="1"/>
      <c r="Q391" s="1"/>
      <c r="R391" s="1"/>
      <c r="S391" s="1"/>
      <c r="T391" s="1"/>
      <c r="U391" s="2"/>
      <c r="V391" s="1"/>
      <c r="W391" s="1"/>
      <c r="X391" s="1"/>
      <c r="Y391" s="1"/>
      <c r="Z391" s="1"/>
    </row>
    <row r="392" spans="1:26" ht="24.75" customHeight="1">
      <c r="A392" s="1"/>
      <c r="B392" s="1"/>
      <c r="C392" s="1"/>
      <c r="D392" s="1"/>
      <c r="E392" s="1"/>
      <c r="F392" s="1"/>
      <c r="G392" s="1"/>
      <c r="H392" s="1"/>
      <c r="I392" s="1"/>
      <c r="J392" s="1"/>
      <c r="K392" s="1"/>
      <c r="L392" s="1"/>
      <c r="M392" s="1"/>
      <c r="N392" s="1"/>
      <c r="O392" s="1"/>
      <c r="P392" s="1"/>
      <c r="Q392" s="1"/>
      <c r="R392" s="1"/>
      <c r="S392" s="1"/>
      <c r="T392" s="1"/>
      <c r="U392" s="2"/>
      <c r="V392" s="1"/>
      <c r="W392" s="1"/>
      <c r="X392" s="1"/>
      <c r="Y392" s="1"/>
      <c r="Z392" s="1"/>
    </row>
    <row r="393" spans="1:26" ht="24.75" customHeight="1">
      <c r="A393" s="1"/>
      <c r="B393" s="1"/>
      <c r="C393" s="1"/>
      <c r="D393" s="1"/>
      <c r="E393" s="1"/>
      <c r="F393" s="1"/>
      <c r="G393" s="1"/>
      <c r="H393" s="1"/>
      <c r="I393" s="1"/>
      <c r="J393" s="1"/>
      <c r="K393" s="1"/>
      <c r="L393" s="1"/>
      <c r="M393" s="1"/>
      <c r="N393" s="1"/>
      <c r="O393" s="1"/>
      <c r="P393" s="1"/>
      <c r="Q393" s="1"/>
      <c r="R393" s="1"/>
      <c r="S393" s="1"/>
      <c r="T393" s="1"/>
      <c r="U393" s="2"/>
      <c r="V393" s="1"/>
      <c r="W393" s="1"/>
      <c r="X393" s="1"/>
      <c r="Y393" s="1"/>
      <c r="Z393" s="1"/>
    </row>
    <row r="394" spans="1:26" ht="24.75" customHeight="1">
      <c r="A394" s="1"/>
      <c r="B394" s="1"/>
      <c r="C394" s="1"/>
      <c r="D394" s="1"/>
      <c r="E394" s="1"/>
      <c r="F394" s="1"/>
      <c r="G394" s="1"/>
      <c r="H394" s="1"/>
      <c r="I394" s="1"/>
      <c r="J394" s="1"/>
      <c r="K394" s="1"/>
      <c r="L394" s="1"/>
      <c r="M394" s="1"/>
      <c r="N394" s="1"/>
      <c r="O394" s="1"/>
      <c r="P394" s="1"/>
      <c r="Q394" s="1"/>
      <c r="R394" s="1"/>
      <c r="S394" s="1"/>
      <c r="T394" s="1"/>
      <c r="U394" s="2"/>
      <c r="V394" s="1"/>
      <c r="W394" s="1"/>
      <c r="X394" s="1"/>
      <c r="Y394" s="1"/>
      <c r="Z394" s="1"/>
    </row>
    <row r="395" spans="1:26" ht="24.75" customHeight="1">
      <c r="A395" s="1"/>
      <c r="B395" s="1"/>
      <c r="C395" s="1"/>
      <c r="D395" s="1"/>
      <c r="E395" s="1"/>
      <c r="F395" s="1"/>
      <c r="G395" s="1"/>
      <c r="H395" s="1"/>
      <c r="I395" s="1"/>
      <c r="J395" s="1"/>
      <c r="K395" s="1"/>
      <c r="L395" s="1"/>
      <c r="M395" s="1"/>
      <c r="N395" s="1"/>
      <c r="O395" s="1"/>
      <c r="P395" s="1"/>
      <c r="Q395" s="1"/>
      <c r="R395" s="1"/>
      <c r="S395" s="1"/>
      <c r="T395" s="1"/>
      <c r="U395" s="2"/>
      <c r="V395" s="1"/>
      <c r="W395" s="1"/>
      <c r="X395" s="1"/>
      <c r="Y395" s="1"/>
      <c r="Z395" s="1"/>
    </row>
    <row r="396" spans="1:26" ht="24.75" customHeight="1">
      <c r="A396" s="1"/>
      <c r="B396" s="1"/>
      <c r="C396" s="1"/>
      <c r="D396" s="1"/>
      <c r="E396" s="1"/>
      <c r="F396" s="1"/>
      <c r="G396" s="1"/>
      <c r="H396" s="1"/>
      <c r="I396" s="1"/>
      <c r="J396" s="1"/>
      <c r="K396" s="1"/>
      <c r="L396" s="1"/>
      <c r="M396" s="1"/>
      <c r="N396" s="1"/>
      <c r="O396" s="1"/>
      <c r="P396" s="1"/>
      <c r="Q396" s="1"/>
      <c r="R396" s="1"/>
      <c r="S396" s="1"/>
      <c r="T396" s="1"/>
      <c r="U396" s="2"/>
      <c r="V396" s="1"/>
      <c r="W396" s="1"/>
      <c r="X396" s="1"/>
      <c r="Y396" s="1"/>
      <c r="Z396" s="1"/>
    </row>
    <row r="397" spans="1:26" ht="24.75" customHeight="1">
      <c r="A397" s="1"/>
      <c r="B397" s="1"/>
      <c r="C397" s="1"/>
      <c r="D397" s="1"/>
      <c r="E397" s="1"/>
      <c r="F397" s="1"/>
      <c r="G397" s="1"/>
      <c r="H397" s="1"/>
      <c r="I397" s="1"/>
      <c r="J397" s="1"/>
      <c r="K397" s="1"/>
      <c r="L397" s="1"/>
      <c r="M397" s="1"/>
      <c r="N397" s="1"/>
      <c r="O397" s="1"/>
      <c r="P397" s="1"/>
      <c r="Q397" s="1"/>
      <c r="R397" s="1"/>
      <c r="S397" s="1"/>
      <c r="T397" s="1"/>
      <c r="U397" s="2"/>
      <c r="V397" s="1"/>
      <c r="W397" s="1"/>
      <c r="X397" s="1"/>
      <c r="Y397" s="1"/>
      <c r="Z397" s="1"/>
    </row>
    <row r="398" spans="1:26" ht="24.75" customHeight="1">
      <c r="A398" s="1"/>
      <c r="B398" s="1"/>
      <c r="C398" s="1"/>
      <c r="D398" s="1"/>
      <c r="E398" s="1"/>
      <c r="F398" s="1"/>
      <c r="G398" s="1"/>
      <c r="H398" s="1"/>
      <c r="I398" s="1"/>
      <c r="J398" s="1"/>
      <c r="K398" s="1"/>
      <c r="L398" s="1"/>
      <c r="M398" s="1"/>
      <c r="N398" s="1"/>
      <c r="O398" s="1"/>
      <c r="P398" s="1"/>
      <c r="Q398" s="1"/>
      <c r="R398" s="1"/>
      <c r="S398" s="1"/>
      <c r="T398" s="1"/>
      <c r="U398" s="2"/>
      <c r="V398" s="1"/>
      <c r="W398" s="1"/>
      <c r="X398" s="1"/>
      <c r="Y398" s="1"/>
      <c r="Z398" s="1"/>
    </row>
    <row r="399" spans="1:26" ht="24.75" customHeight="1">
      <c r="A399" s="1"/>
      <c r="B399" s="1"/>
      <c r="C399" s="1"/>
      <c r="D399" s="1"/>
      <c r="E399" s="1"/>
      <c r="F399" s="1"/>
      <c r="G399" s="1"/>
      <c r="H399" s="1"/>
      <c r="I399" s="1"/>
      <c r="J399" s="1"/>
      <c r="K399" s="1"/>
      <c r="L399" s="1"/>
      <c r="M399" s="1"/>
      <c r="N399" s="1"/>
      <c r="O399" s="1"/>
      <c r="P399" s="1"/>
      <c r="Q399" s="1"/>
      <c r="R399" s="1"/>
      <c r="S399" s="1"/>
      <c r="T399" s="1"/>
      <c r="U399" s="2"/>
      <c r="V399" s="1"/>
      <c r="W399" s="1"/>
      <c r="X399" s="1"/>
      <c r="Y399" s="1"/>
      <c r="Z399" s="1"/>
    </row>
    <row r="400" spans="1:26" ht="24.75" customHeight="1">
      <c r="A400" s="1"/>
      <c r="B400" s="1"/>
      <c r="C400" s="1"/>
      <c r="D400" s="1"/>
      <c r="E400" s="1"/>
      <c r="F400" s="1"/>
      <c r="G400" s="1"/>
      <c r="H400" s="1"/>
      <c r="I400" s="1"/>
      <c r="J400" s="1"/>
      <c r="K400" s="1"/>
      <c r="L400" s="1"/>
      <c r="M400" s="1"/>
      <c r="N400" s="1"/>
      <c r="O400" s="1"/>
      <c r="P400" s="1"/>
      <c r="Q400" s="1"/>
      <c r="R400" s="1"/>
      <c r="S400" s="1"/>
      <c r="T400" s="1"/>
      <c r="U400" s="2"/>
      <c r="V400" s="1"/>
      <c r="W400" s="1"/>
      <c r="X400" s="1"/>
      <c r="Y400" s="1"/>
      <c r="Z400" s="1"/>
    </row>
    <row r="401" spans="1:26" ht="24.75" customHeight="1">
      <c r="A401" s="1"/>
      <c r="B401" s="1"/>
      <c r="C401" s="1"/>
      <c r="D401" s="1"/>
      <c r="E401" s="1"/>
      <c r="F401" s="1"/>
      <c r="G401" s="1"/>
      <c r="H401" s="1"/>
      <c r="I401" s="1"/>
      <c r="J401" s="1"/>
      <c r="K401" s="1"/>
      <c r="L401" s="1"/>
      <c r="M401" s="1"/>
      <c r="N401" s="1"/>
      <c r="O401" s="1"/>
      <c r="P401" s="1"/>
      <c r="Q401" s="1"/>
      <c r="R401" s="1"/>
      <c r="S401" s="1"/>
      <c r="T401" s="1"/>
      <c r="U401" s="2"/>
      <c r="V401" s="1"/>
      <c r="W401" s="1"/>
      <c r="X401" s="1"/>
      <c r="Y401" s="1"/>
      <c r="Z401" s="1"/>
    </row>
    <row r="402" spans="1:26" ht="24.75" customHeight="1">
      <c r="A402" s="1"/>
      <c r="B402" s="1"/>
      <c r="C402" s="1"/>
      <c r="D402" s="1"/>
      <c r="E402" s="1"/>
      <c r="F402" s="1"/>
      <c r="G402" s="1"/>
      <c r="H402" s="1"/>
      <c r="I402" s="1"/>
      <c r="J402" s="1"/>
      <c r="K402" s="1"/>
      <c r="L402" s="1"/>
      <c r="M402" s="1"/>
      <c r="N402" s="1"/>
      <c r="O402" s="1"/>
      <c r="P402" s="1"/>
      <c r="Q402" s="1"/>
      <c r="R402" s="1"/>
      <c r="S402" s="1"/>
      <c r="T402" s="1"/>
      <c r="U402" s="2"/>
      <c r="V402" s="1"/>
      <c r="W402" s="1"/>
      <c r="X402" s="1"/>
      <c r="Y402" s="1"/>
      <c r="Z402" s="1"/>
    </row>
    <row r="403" spans="1:26" ht="24.75" customHeight="1">
      <c r="A403" s="1"/>
      <c r="B403" s="1"/>
      <c r="C403" s="1"/>
      <c r="D403" s="1"/>
      <c r="E403" s="1"/>
      <c r="F403" s="1"/>
      <c r="G403" s="1"/>
      <c r="H403" s="1"/>
      <c r="I403" s="1"/>
      <c r="J403" s="1"/>
      <c r="K403" s="1"/>
      <c r="L403" s="1"/>
      <c r="M403" s="1"/>
      <c r="N403" s="1"/>
      <c r="O403" s="1"/>
      <c r="P403" s="1"/>
      <c r="Q403" s="1"/>
      <c r="R403" s="1"/>
      <c r="S403" s="1"/>
      <c r="T403" s="1"/>
      <c r="U403" s="2"/>
      <c r="V403" s="1"/>
      <c r="W403" s="1"/>
      <c r="X403" s="1"/>
      <c r="Y403" s="1"/>
      <c r="Z403" s="1"/>
    </row>
    <row r="404" spans="1:26" ht="24.75" customHeight="1">
      <c r="A404" s="1"/>
      <c r="B404" s="1"/>
      <c r="C404" s="1"/>
      <c r="D404" s="1"/>
      <c r="E404" s="1"/>
      <c r="F404" s="1"/>
      <c r="G404" s="1"/>
      <c r="H404" s="1"/>
      <c r="I404" s="1"/>
      <c r="J404" s="1"/>
      <c r="K404" s="1"/>
      <c r="L404" s="1"/>
      <c r="M404" s="1"/>
      <c r="N404" s="1"/>
      <c r="O404" s="1"/>
      <c r="P404" s="1"/>
      <c r="Q404" s="1"/>
      <c r="R404" s="1"/>
      <c r="S404" s="1"/>
      <c r="T404" s="1"/>
      <c r="U404" s="2"/>
      <c r="V404" s="1"/>
      <c r="W404" s="1"/>
      <c r="X404" s="1"/>
      <c r="Y404" s="1"/>
      <c r="Z404" s="1"/>
    </row>
    <row r="405" spans="1:26" ht="24.75" customHeight="1">
      <c r="A405" s="1"/>
      <c r="B405" s="1"/>
      <c r="C405" s="1"/>
      <c r="D405" s="1"/>
      <c r="E405" s="1"/>
      <c r="F405" s="1"/>
      <c r="G405" s="1"/>
      <c r="H405" s="1"/>
      <c r="I405" s="1"/>
      <c r="J405" s="1"/>
      <c r="K405" s="1"/>
      <c r="L405" s="1"/>
      <c r="M405" s="1"/>
      <c r="N405" s="1"/>
      <c r="O405" s="1"/>
      <c r="P405" s="1"/>
      <c r="Q405" s="1"/>
      <c r="R405" s="1"/>
      <c r="S405" s="1"/>
      <c r="T405" s="1"/>
      <c r="U405" s="2"/>
      <c r="V405" s="1"/>
      <c r="W405" s="1"/>
      <c r="X405" s="1"/>
      <c r="Y405" s="1"/>
      <c r="Z405" s="1"/>
    </row>
    <row r="406" spans="1:26" ht="24.75" customHeight="1">
      <c r="A406" s="1"/>
      <c r="B406" s="1"/>
      <c r="C406" s="1"/>
      <c r="D406" s="1"/>
      <c r="E406" s="1"/>
      <c r="F406" s="1"/>
      <c r="G406" s="1"/>
      <c r="H406" s="1"/>
      <c r="I406" s="1"/>
      <c r="J406" s="1"/>
      <c r="K406" s="1"/>
      <c r="L406" s="1"/>
      <c r="M406" s="1"/>
      <c r="N406" s="1"/>
      <c r="O406" s="1"/>
      <c r="P406" s="1"/>
      <c r="Q406" s="1"/>
      <c r="R406" s="1"/>
      <c r="S406" s="1"/>
      <c r="T406" s="1"/>
      <c r="U406" s="2"/>
      <c r="V406" s="1"/>
      <c r="W406" s="1"/>
      <c r="X406" s="1"/>
      <c r="Y406" s="1"/>
      <c r="Z406" s="1"/>
    </row>
    <row r="407" spans="1:26" ht="24.75" customHeight="1">
      <c r="A407" s="1"/>
      <c r="B407" s="1"/>
      <c r="C407" s="1"/>
      <c r="D407" s="1"/>
      <c r="E407" s="1"/>
      <c r="F407" s="1"/>
      <c r="G407" s="1"/>
      <c r="H407" s="1"/>
      <c r="I407" s="1"/>
      <c r="J407" s="1"/>
      <c r="K407" s="1"/>
      <c r="L407" s="1"/>
      <c r="M407" s="1"/>
      <c r="N407" s="1"/>
      <c r="O407" s="1"/>
      <c r="P407" s="1"/>
      <c r="Q407" s="1"/>
      <c r="R407" s="1"/>
      <c r="S407" s="1"/>
      <c r="T407" s="1"/>
      <c r="U407" s="2"/>
      <c r="V407" s="1"/>
      <c r="W407" s="1"/>
      <c r="X407" s="1"/>
      <c r="Y407" s="1"/>
      <c r="Z407" s="1"/>
    </row>
    <row r="408" spans="1:26" ht="24.75" customHeight="1">
      <c r="A408" s="1"/>
      <c r="B408" s="1"/>
      <c r="C408" s="1"/>
      <c r="D408" s="1"/>
      <c r="E408" s="1"/>
      <c r="F408" s="1"/>
      <c r="G408" s="1"/>
      <c r="H408" s="1"/>
      <c r="I408" s="1"/>
      <c r="J408" s="1"/>
      <c r="K408" s="1"/>
      <c r="L408" s="1"/>
      <c r="M408" s="1"/>
      <c r="N408" s="1"/>
      <c r="O408" s="1"/>
      <c r="P408" s="1"/>
      <c r="Q408" s="1"/>
      <c r="R408" s="1"/>
      <c r="S408" s="1"/>
      <c r="T408" s="1"/>
      <c r="U408" s="2"/>
      <c r="V408" s="1"/>
      <c r="W408" s="1"/>
      <c r="X408" s="1"/>
      <c r="Y408" s="1"/>
      <c r="Z408" s="1"/>
    </row>
    <row r="409" spans="1:26" ht="24.75" customHeight="1">
      <c r="A409" s="1"/>
      <c r="B409" s="1"/>
      <c r="C409" s="1"/>
      <c r="D409" s="1"/>
      <c r="E409" s="1"/>
      <c r="F409" s="1"/>
      <c r="G409" s="1"/>
      <c r="H409" s="1"/>
      <c r="I409" s="1"/>
      <c r="J409" s="1"/>
      <c r="K409" s="1"/>
      <c r="L409" s="1"/>
      <c r="M409" s="1"/>
      <c r="N409" s="1"/>
      <c r="O409" s="1"/>
      <c r="P409" s="1"/>
      <c r="Q409" s="1"/>
      <c r="R409" s="1"/>
      <c r="S409" s="1"/>
      <c r="T409" s="1"/>
      <c r="U409" s="2"/>
      <c r="V409" s="1"/>
      <c r="W409" s="1"/>
      <c r="X409" s="1"/>
      <c r="Y409" s="1"/>
      <c r="Z409" s="1"/>
    </row>
    <row r="410" spans="1:26" ht="24.75" customHeight="1">
      <c r="A410" s="1"/>
      <c r="B410" s="1"/>
      <c r="C410" s="1"/>
      <c r="D410" s="1"/>
      <c r="E410" s="1"/>
      <c r="F410" s="1"/>
      <c r="G410" s="1"/>
      <c r="H410" s="1"/>
      <c r="I410" s="1"/>
      <c r="J410" s="1"/>
      <c r="K410" s="1"/>
      <c r="L410" s="1"/>
      <c r="M410" s="1"/>
      <c r="N410" s="1"/>
      <c r="O410" s="1"/>
      <c r="P410" s="1"/>
      <c r="Q410" s="1"/>
      <c r="R410" s="1"/>
      <c r="S410" s="1"/>
      <c r="T410" s="1"/>
      <c r="U410" s="2"/>
      <c r="V410" s="1"/>
      <c r="W410" s="1"/>
      <c r="X410" s="1"/>
      <c r="Y410" s="1"/>
      <c r="Z410" s="1"/>
    </row>
    <row r="411" spans="1:26" ht="24.75" customHeight="1">
      <c r="A411" s="1"/>
      <c r="B411" s="1"/>
      <c r="C411" s="1"/>
      <c r="D411" s="1"/>
      <c r="E411" s="1"/>
      <c r="F411" s="1"/>
      <c r="G411" s="1"/>
      <c r="H411" s="1"/>
      <c r="I411" s="1"/>
      <c r="J411" s="1"/>
      <c r="K411" s="1"/>
      <c r="L411" s="1"/>
      <c r="M411" s="1"/>
      <c r="N411" s="1"/>
      <c r="O411" s="1"/>
      <c r="P411" s="1"/>
      <c r="Q411" s="1"/>
      <c r="R411" s="1"/>
      <c r="S411" s="1"/>
      <c r="T411" s="1"/>
      <c r="U411" s="2"/>
      <c r="V411" s="1"/>
      <c r="W411" s="1"/>
      <c r="X411" s="1"/>
      <c r="Y411" s="1"/>
      <c r="Z411" s="1"/>
    </row>
    <row r="412" spans="1:26" ht="24.75" customHeight="1">
      <c r="A412" s="1"/>
      <c r="B412" s="1"/>
      <c r="C412" s="1"/>
      <c r="D412" s="1"/>
      <c r="E412" s="1"/>
      <c r="F412" s="1"/>
      <c r="G412" s="1"/>
      <c r="H412" s="1"/>
      <c r="I412" s="1"/>
      <c r="J412" s="1"/>
      <c r="K412" s="1"/>
      <c r="L412" s="1"/>
      <c r="M412" s="1"/>
      <c r="N412" s="1"/>
      <c r="O412" s="1"/>
      <c r="P412" s="1"/>
      <c r="Q412" s="1"/>
      <c r="R412" s="1"/>
      <c r="S412" s="1"/>
      <c r="T412" s="1"/>
      <c r="U412" s="2"/>
      <c r="V412" s="1"/>
      <c r="W412" s="1"/>
      <c r="X412" s="1"/>
      <c r="Y412" s="1"/>
      <c r="Z412" s="1"/>
    </row>
    <row r="413" spans="1:26" ht="24.75" customHeight="1">
      <c r="A413" s="1"/>
      <c r="B413" s="1"/>
      <c r="C413" s="1"/>
      <c r="D413" s="1"/>
      <c r="E413" s="1"/>
      <c r="F413" s="1"/>
      <c r="G413" s="1"/>
      <c r="H413" s="1"/>
      <c r="I413" s="1"/>
      <c r="J413" s="1"/>
      <c r="K413" s="1"/>
      <c r="L413" s="1"/>
      <c r="M413" s="1"/>
      <c r="N413" s="1"/>
      <c r="O413" s="1"/>
      <c r="P413" s="1"/>
      <c r="Q413" s="1"/>
      <c r="R413" s="1"/>
      <c r="S413" s="1"/>
      <c r="T413" s="1"/>
      <c r="U413" s="2"/>
      <c r="V413" s="1"/>
      <c r="W413" s="1"/>
      <c r="X413" s="1"/>
      <c r="Y413" s="1"/>
      <c r="Z413" s="1"/>
    </row>
    <row r="414" spans="1:26" ht="24.75" customHeight="1">
      <c r="A414" s="1"/>
      <c r="B414" s="1"/>
      <c r="C414" s="1"/>
      <c r="D414" s="1"/>
      <c r="E414" s="1"/>
      <c r="F414" s="1"/>
      <c r="G414" s="1"/>
      <c r="H414" s="1"/>
      <c r="I414" s="1"/>
      <c r="J414" s="1"/>
      <c r="K414" s="1"/>
      <c r="L414" s="1"/>
      <c r="M414" s="1"/>
      <c r="N414" s="1"/>
      <c r="O414" s="1"/>
      <c r="P414" s="1"/>
      <c r="Q414" s="1"/>
      <c r="R414" s="1"/>
      <c r="S414" s="1"/>
      <c r="T414" s="1"/>
      <c r="U414" s="2"/>
      <c r="V414" s="1"/>
      <c r="W414" s="1"/>
      <c r="X414" s="1"/>
      <c r="Y414" s="1"/>
      <c r="Z414" s="1"/>
    </row>
    <row r="415" spans="1:26" ht="24.75" customHeight="1">
      <c r="A415" s="1"/>
      <c r="B415" s="1"/>
      <c r="C415" s="1"/>
      <c r="D415" s="1"/>
      <c r="E415" s="1"/>
      <c r="F415" s="1"/>
      <c r="G415" s="1"/>
      <c r="H415" s="1"/>
      <c r="I415" s="1"/>
      <c r="J415" s="1"/>
      <c r="K415" s="1"/>
      <c r="L415" s="1"/>
      <c r="M415" s="1"/>
      <c r="N415" s="1"/>
      <c r="O415" s="1"/>
      <c r="P415" s="1"/>
      <c r="Q415" s="1"/>
      <c r="R415" s="1"/>
      <c r="S415" s="1"/>
      <c r="T415" s="1"/>
      <c r="U415" s="2"/>
      <c r="V415" s="1"/>
      <c r="W415" s="1"/>
      <c r="X415" s="1"/>
      <c r="Y415" s="1"/>
      <c r="Z415" s="1"/>
    </row>
    <row r="416" spans="1:26" ht="24.75" customHeight="1">
      <c r="A416" s="1"/>
      <c r="B416" s="1"/>
      <c r="C416" s="1"/>
      <c r="D416" s="1"/>
      <c r="E416" s="1"/>
      <c r="F416" s="1"/>
      <c r="G416" s="1"/>
      <c r="H416" s="1"/>
      <c r="I416" s="1"/>
      <c r="J416" s="1"/>
      <c r="K416" s="1"/>
      <c r="L416" s="1"/>
      <c r="M416" s="1"/>
      <c r="N416" s="1"/>
      <c r="O416" s="1"/>
      <c r="P416" s="1"/>
      <c r="Q416" s="1"/>
      <c r="R416" s="1"/>
      <c r="S416" s="1"/>
      <c r="T416" s="1"/>
      <c r="U416" s="2"/>
      <c r="V416" s="1"/>
      <c r="W416" s="1"/>
      <c r="X416" s="1"/>
      <c r="Y416" s="1"/>
      <c r="Z416" s="1"/>
    </row>
    <row r="417" spans="1:26" ht="24.75" customHeight="1">
      <c r="A417" s="1"/>
      <c r="B417" s="1"/>
      <c r="C417" s="1"/>
      <c r="D417" s="1"/>
      <c r="E417" s="1"/>
      <c r="F417" s="1"/>
      <c r="G417" s="1"/>
      <c r="H417" s="1"/>
      <c r="I417" s="1"/>
      <c r="J417" s="1"/>
      <c r="K417" s="1"/>
      <c r="L417" s="1"/>
      <c r="M417" s="1"/>
      <c r="N417" s="1"/>
      <c r="O417" s="1"/>
      <c r="P417" s="1"/>
      <c r="Q417" s="1"/>
      <c r="R417" s="1"/>
      <c r="S417" s="1"/>
      <c r="T417" s="1"/>
      <c r="U417" s="2"/>
      <c r="V417" s="1"/>
      <c r="W417" s="1"/>
      <c r="X417" s="1"/>
      <c r="Y417" s="1"/>
      <c r="Z417" s="1"/>
    </row>
    <row r="418" spans="1:26" ht="24.75" customHeight="1">
      <c r="A418" s="1"/>
      <c r="B418" s="1"/>
      <c r="C418" s="1"/>
      <c r="D418" s="1"/>
      <c r="E418" s="1"/>
      <c r="F418" s="1"/>
      <c r="G418" s="1"/>
      <c r="H418" s="1"/>
      <c r="I418" s="1"/>
      <c r="J418" s="1"/>
      <c r="K418" s="1"/>
      <c r="L418" s="1"/>
      <c r="M418" s="1"/>
      <c r="N418" s="1"/>
      <c r="O418" s="1"/>
      <c r="P418" s="1"/>
      <c r="Q418" s="1"/>
      <c r="R418" s="1"/>
      <c r="S418" s="1"/>
      <c r="T418" s="1"/>
      <c r="U418" s="2"/>
      <c r="V418" s="1"/>
      <c r="W418" s="1"/>
      <c r="X418" s="1"/>
      <c r="Y418" s="1"/>
      <c r="Z418" s="1"/>
    </row>
    <row r="419" spans="1:26" ht="24.75" customHeight="1">
      <c r="A419" s="1"/>
      <c r="B419" s="1"/>
      <c r="C419" s="1"/>
      <c r="D419" s="1"/>
      <c r="E419" s="1"/>
      <c r="F419" s="1"/>
      <c r="G419" s="1"/>
      <c r="H419" s="1"/>
      <c r="I419" s="1"/>
      <c r="J419" s="1"/>
      <c r="K419" s="1"/>
      <c r="L419" s="1"/>
      <c r="M419" s="1"/>
      <c r="N419" s="1"/>
      <c r="O419" s="1"/>
      <c r="P419" s="1"/>
      <c r="Q419" s="1"/>
      <c r="R419" s="1"/>
      <c r="S419" s="1"/>
      <c r="T419" s="1"/>
      <c r="U419" s="2"/>
      <c r="V419" s="1"/>
      <c r="W419" s="1"/>
      <c r="X419" s="1"/>
      <c r="Y419" s="1"/>
      <c r="Z419" s="1"/>
    </row>
    <row r="420" spans="1:26" ht="24.75" customHeight="1">
      <c r="A420" s="1"/>
      <c r="B420" s="1"/>
      <c r="C420" s="1"/>
      <c r="D420" s="1"/>
      <c r="E420" s="1"/>
      <c r="F420" s="1"/>
      <c r="G420" s="1"/>
      <c r="H420" s="1"/>
      <c r="I420" s="1"/>
      <c r="J420" s="1"/>
      <c r="K420" s="1"/>
      <c r="L420" s="1"/>
      <c r="M420" s="1"/>
      <c r="N420" s="1"/>
      <c r="O420" s="1"/>
      <c r="P420" s="1"/>
      <c r="Q420" s="1"/>
      <c r="R420" s="1"/>
      <c r="S420" s="1"/>
      <c r="T420" s="1"/>
      <c r="U420" s="2"/>
      <c r="V420" s="1"/>
      <c r="W420" s="1"/>
      <c r="X420" s="1"/>
      <c r="Y420" s="1"/>
      <c r="Z420" s="1"/>
    </row>
    <row r="421" spans="1:26" ht="24.75" customHeight="1">
      <c r="A421" s="1"/>
      <c r="B421" s="1"/>
      <c r="C421" s="1"/>
      <c r="D421" s="1"/>
      <c r="E421" s="1"/>
      <c r="F421" s="1"/>
      <c r="G421" s="1"/>
      <c r="H421" s="1"/>
      <c r="I421" s="1"/>
      <c r="J421" s="1"/>
      <c r="K421" s="1"/>
      <c r="L421" s="1"/>
      <c r="M421" s="1"/>
      <c r="N421" s="1"/>
      <c r="O421" s="1"/>
      <c r="P421" s="1"/>
      <c r="Q421" s="1"/>
      <c r="R421" s="1"/>
      <c r="S421" s="1"/>
      <c r="T421" s="1"/>
      <c r="U421" s="2"/>
      <c r="V421" s="1"/>
      <c r="W421" s="1"/>
      <c r="X421" s="1"/>
      <c r="Y421" s="1"/>
      <c r="Z421" s="1"/>
    </row>
    <row r="422" spans="1:26" ht="24.75" customHeight="1">
      <c r="A422" s="1"/>
      <c r="B422" s="1"/>
      <c r="C422" s="1"/>
      <c r="D422" s="1"/>
      <c r="E422" s="1"/>
      <c r="F422" s="1"/>
      <c r="G422" s="1"/>
      <c r="H422" s="1"/>
      <c r="I422" s="1"/>
      <c r="J422" s="1"/>
      <c r="K422" s="1"/>
      <c r="L422" s="1"/>
      <c r="M422" s="1"/>
      <c r="N422" s="1"/>
      <c r="O422" s="1"/>
      <c r="P422" s="1"/>
      <c r="Q422" s="1"/>
      <c r="R422" s="1"/>
      <c r="S422" s="1"/>
      <c r="T422" s="1"/>
      <c r="U422" s="2"/>
      <c r="V422" s="1"/>
      <c r="W422" s="1"/>
      <c r="X422" s="1"/>
      <c r="Y422" s="1"/>
      <c r="Z422" s="1"/>
    </row>
    <row r="423" spans="1:26" ht="24.75" customHeight="1">
      <c r="A423" s="1"/>
      <c r="B423" s="1"/>
      <c r="C423" s="1"/>
      <c r="D423" s="1"/>
      <c r="E423" s="1"/>
      <c r="F423" s="1"/>
      <c r="G423" s="1"/>
      <c r="H423" s="1"/>
      <c r="I423" s="1"/>
      <c r="J423" s="1"/>
      <c r="K423" s="1"/>
      <c r="L423" s="1"/>
      <c r="M423" s="1"/>
      <c r="N423" s="1"/>
      <c r="O423" s="1"/>
      <c r="P423" s="1"/>
      <c r="Q423" s="1"/>
      <c r="R423" s="1"/>
      <c r="S423" s="1"/>
      <c r="T423" s="1"/>
      <c r="U423" s="2"/>
      <c r="V423" s="1"/>
      <c r="W423" s="1"/>
      <c r="X423" s="1"/>
      <c r="Y423" s="1"/>
      <c r="Z423" s="1"/>
    </row>
    <row r="424" spans="1:26" ht="24.75" customHeight="1">
      <c r="A424" s="1"/>
      <c r="B424" s="1"/>
      <c r="C424" s="1"/>
      <c r="D424" s="1"/>
      <c r="E424" s="1"/>
      <c r="F424" s="1"/>
      <c r="G424" s="1"/>
      <c r="H424" s="1"/>
      <c r="I424" s="1"/>
      <c r="J424" s="1"/>
      <c r="K424" s="1"/>
      <c r="L424" s="1"/>
      <c r="M424" s="1"/>
      <c r="N424" s="1"/>
      <c r="O424" s="1"/>
      <c r="P424" s="1"/>
      <c r="Q424" s="1"/>
      <c r="R424" s="1"/>
      <c r="S424" s="1"/>
      <c r="T424" s="1"/>
      <c r="U424" s="2"/>
      <c r="V424" s="1"/>
      <c r="W424" s="1"/>
      <c r="X424" s="1"/>
      <c r="Y424" s="1"/>
      <c r="Z424" s="1"/>
    </row>
    <row r="425" spans="1:26" ht="24.75" customHeight="1">
      <c r="A425" s="1"/>
      <c r="B425" s="1"/>
      <c r="C425" s="1"/>
      <c r="D425" s="1"/>
      <c r="E425" s="1"/>
      <c r="F425" s="1"/>
      <c r="G425" s="1"/>
      <c r="H425" s="1"/>
      <c r="I425" s="1"/>
      <c r="J425" s="1"/>
      <c r="K425" s="1"/>
      <c r="L425" s="1"/>
      <c r="M425" s="1"/>
      <c r="N425" s="1"/>
      <c r="O425" s="1"/>
      <c r="P425" s="1"/>
      <c r="Q425" s="1"/>
      <c r="R425" s="1"/>
      <c r="S425" s="1"/>
      <c r="T425" s="1"/>
      <c r="U425" s="2"/>
      <c r="V425" s="1"/>
      <c r="W425" s="1"/>
      <c r="X425" s="1"/>
      <c r="Y425" s="1"/>
      <c r="Z425" s="1"/>
    </row>
    <row r="426" spans="1:26" ht="24.75" customHeight="1">
      <c r="A426" s="1"/>
      <c r="B426" s="1"/>
      <c r="C426" s="1"/>
      <c r="D426" s="1"/>
      <c r="E426" s="1"/>
      <c r="F426" s="1"/>
      <c r="G426" s="1"/>
      <c r="H426" s="1"/>
      <c r="I426" s="1"/>
      <c r="J426" s="1"/>
      <c r="K426" s="1"/>
      <c r="L426" s="1"/>
      <c r="M426" s="1"/>
      <c r="N426" s="1"/>
      <c r="O426" s="1"/>
      <c r="P426" s="1"/>
      <c r="Q426" s="1"/>
      <c r="R426" s="1"/>
      <c r="S426" s="1"/>
      <c r="T426" s="1"/>
      <c r="U426" s="2"/>
      <c r="V426" s="1"/>
      <c r="W426" s="1"/>
      <c r="X426" s="1"/>
      <c r="Y426" s="1"/>
      <c r="Z426" s="1"/>
    </row>
    <row r="427" spans="1:26" ht="24.75" customHeight="1">
      <c r="A427" s="1"/>
      <c r="B427" s="1"/>
      <c r="C427" s="1"/>
      <c r="D427" s="1"/>
      <c r="E427" s="1"/>
      <c r="F427" s="1"/>
      <c r="G427" s="1"/>
      <c r="H427" s="1"/>
      <c r="I427" s="1"/>
      <c r="J427" s="1"/>
      <c r="K427" s="1"/>
      <c r="L427" s="1"/>
      <c r="M427" s="1"/>
      <c r="N427" s="1"/>
      <c r="O427" s="1"/>
      <c r="P427" s="1"/>
      <c r="Q427" s="1"/>
      <c r="R427" s="1"/>
      <c r="S427" s="1"/>
      <c r="T427" s="1"/>
      <c r="U427" s="2"/>
      <c r="V427" s="1"/>
      <c r="W427" s="1"/>
      <c r="X427" s="1"/>
      <c r="Y427" s="1"/>
      <c r="Z427" s="1"/>
    </row>
    <row r="428" spans="1:26" ht="24.75" customHeight="1">
      <c r="A428" s="1"/>
      <c r="B428" s="1"/>
      <c r="C428" s="1"/>
      <c r="D428" s="1"/>
      <c r="E428" s="1"/>
      <c r="F428" s="1"/>
      <c r="G428" s="1"/>
      <c r="H428" s="1"/>
      <c r="I428" s="1"/>
      <c r="J428" s="1"/>
      <c r="K428" s="1"/>
      <c r="L428" s="1"/>
      <c r="M428" s="1"/>
      <c r="N428" s="1"/>
      <c r="O428" s="1"/>
      <c r="P428" s="1"/>
      <c r="Q428" s="1"/>
      <c r="R428" s="1"/>
      <c r="S428" s="1"/>
      <c r="T428" s="1"/>
      <c r="U428" s="2"/>
      <c r="V428" s="1"/>
      <c r="W428" s="1"/>
      <c r="X428" s="1"/>
      <c r="Y428" s="1"/>
      <c r="Z428" s="1"/>
    </row>
    <row r="429" spans="1:26" ht="24.75" customHeight="1">
      <c r="A429" s="1"/>
      <c r="B429" s="1"/>
      <c r="C429" s="1"/>
      <c r="D429" s="1"/>
      <c r="E429" s="1"/>
      <c r="F429" s="1"/>
      <c r="G429" s="1"/>
      <c r="H429" s="1"/>
      <c r="I429" s="1"/>
      <c r="J429" s="1"/>
      <c r="K429" s="1"/>
      <c r="L429" s="1"/>
      <c r="M429" s="1"/>
      <c r="N429" s="1"/>
      <c r="O429" s="1"/>
      <c r="P429" s="1"/>
      <c r="Q429" s="1"/>
      <c r="R429" s="1"/>
      <c r="S429" s="1"/>
      <c r="T429" s="1"/>
      <c r="U429" s="2"/>
      <c r="V429" s="1"/>
      <c r="W429" s="1"/>
      <c r="X429" s="1"/>
      <c r="Y429" s="1"/>
      <c r="Z429" s="1"/>
    </row>
    <row r="430" spans="1:26" ht="24.75" customHeight="1">
      <c r="A430" s="1"/>
      <c r="B430" s="1"/>
      <c r="C430" s="1"/>
      <c r="D430" s="1"/>
      <c r="E430" s="1"/>
      <c r="F430" s="1"/>
      <c r="G430" s="1"/>
      <c r="H430" s="1"/>
      <c r="I430" s="1"/>
      <c r="J430" s="1"/>
      <c r="K430" s="1"/>
      <c r="L430" s="1"/>
      <c r="M430" s="1"/>
      <c r="N430" s="1"/>
      <c r="O430" s="1"/>
      <c r="P430" s="1"/>
      <c r="Q430" s="1"/>
      <c r="R430" s="1"/>
      <c r="S430" s="1"/>
      <c r="T430" s="1"/>
      <c r="U430" s="2"/>
      <c r="V430" s="1"/>
      <c r="W430" s="1"/>
      <c r="X430" s="1"/>
      <c r="Y430" s="1"/>
      <c r="Z430" s="1"/>
    </row>
    <row r="431" spans="1:26" ht="24.75" customHeight="1">
      <c r="A431" s="1"/>
      <c r="B431" s="1"/>
      <c r="C431" s="1"/>
      <c r="D431" s="1"/>
      <c r="E431" s="1"/>
      <c r="F431" s="1"/>
      <c r="G431" s="1"/>
      <c r="H431" s="1"/>
      <c r="I431" s="1"/>
      <c r="J431" s="1"/>
      <c r="K431" s="1"/>
      <c r="L431" s="1"/>
      <c r="M431" s="1"/>
      <c r="N431" s="1"/>
      <c r="O431" s="1"/>
      <c r="P431" s="1"/>
      <c r="Q431" s="1"/>
      <c r="R431" s="1"/>
      <c r="S431" s="1"/>
      <c r="T431" s="1"/>
      <c r="U431" s="2"/>
      <c r="V431" s="1"/>
      <c r="W431" s="1"/>
      <c r="X431" s="1"/>
      <c r="Y431" s="1"/>
      <c r="Z431" s="1"/>
    </row>
    <row r="432" spans="1:26" ht="24.75" customHeight="1">
      <c r="A432" s="1"/>
      <c r="B432" s="1"/>
      <c r="C432" s="1"/>
      <c r="D432" s="1"/>
      <c r="E432" s="1"/>
      <c r="F432" s="1"/>
      <c r="G432" s="1"/>
      <c r="H432" s="1"/>
      <c r="I432" s="1"/>
      <c r="J432" s="1"/>
      <c r="K432" s="1"/>
      <c r="L432" s="1"/>
      <c r="M432" s="1"/>
      <c r="N432" s="1"/>
      <c r="O432" s="1"/>
      <c r="P432" s="1"/>
      <c r="Q432" s="1"/>
      <c r="R432" s="1"/>
      <c r="S432" s="1"/>
      <c r="T432" s="1"/>
      <c r="U432" s="2"/>
      <c r="V432" s="1"/>
      <c r="W432" s="1"/>
      <c r="X432" s="1"/>
      <c r="Y432" s="1"/>
      <c r="Z432" s="1"/>
    </row>
    <row r="433" spans="1:26" ht="24.75" customHeight="1">
      <c r="A433" s="1"/>
      <c r="B433" s="1"/>
      <c r="C433" s="1"/>
      <c r="D433" s="1"/>
      <c r="E433" s="1"/>
      <c r="F433" s="1"/>
      <c r="G433" s="1"/>
      <c r="H433" s="1"/>
      <c r="I433" s="1"/>
      <c r="J433" s="1"/>
      <c r="K433" s="1"/>
      <c r="L433" s="1"/>
      <c r="M433" s="1"/>
      <c r="N433" s="1"/>
      <c r="O433" s="1"/>
      <c r="P433" s="1"/>
      <c r="Q433" s="1"/>
      <c r="R433" s="1"/>
      <c r="S433" s="1"/>
      <c r="T433" s="1"/>
      <c r="U433" s="2"/>
      <c r="V433" s="1"/>
      <c r="W433" s="1"/>
      <c r="X433" s="1"/>
      <c r="Y433" s="1"/>
      <c r="Z433" s="1"/>
    </row>
    <row r="434" spans="1:26" ht="24.75" customHeight="1">
      <c r="A434" s="1"/>
      <c r="B434" s="1"/>
      <c r="C434" s="1"/>
      <c r="D434" s="1"/>
      <c r="E434" s="1"/>
      <c r="F434" s="1"/>
      <c r="G434" s="1"/>
      <c r="H434" s="1"/>
      <c r="I434" s="1"/>
      <c r="J434" s="1"/>
      <c r="K434" s="1"/>
      <c r="L434" s="1"/>
      <c r="M434" s="1"/>
      <c r="N434" s="1"/>
      <c r="O434" s="1"/>
      <c r="P434" s="1"/>
      <c r="Q434" s="1"/>
      <c r="R434" s="1"/>
      <c r="S434" s="1"/>
      <c r="T434" s="1"/>
      <c r="U434" s="2"/>
      <c r="V434" s="1"/>
      <c r="W434" s="1"/>
      <c r="X434" s="1"/>
      <c r="Y434" s="1"/>
      <c r="Z434" s="1"/>
    </row>
    <row r="435" spans="1:26" ht="24.75" customHeight="1">
      <c r="A435" s="1"/>
      <c r="B435" s="1"/>
      <c r="C435" s="1"/>
      <c r="D435" s="1"/>
      <c r="E435" s="1"/>
      <c r="F435" s="1"/>
      <c r="G435" s="1"/>
      <c r="H435" s="1"/>
      <c r="I435" s="1"/>
      <c r="J435" s="1"/>
      <c r="K435" s="1"/>
      <c r="L435" s="1"/>
      <c r="M435" s="1"/>
      <c r="N435" s="1"/>
      <c r="O435" s="1"/>
      <c r="P435" s="1"/>
      <c r="Q435" s="1"/>
      <c r="R435" s="1"/>
      <c r="S435" s="1"/>
      <c r="T435" s="1"/>
      <c r="U435" s="2"/>
      <c r="V435" s="1"/>
      <c r="W435" s="1"/>
      <c r="X435" s="1"/>
      <c r="Y435" s="1"/>
      <c r="Z435" s="1"/>
    </row>
    <row r="436" spans="1:26" ht="24.75" customHeight="1">
      <c r="A436" s="1"/>
      <c r="B436" s="1"/>
      <c r="C436" s="1"/>
      <c r="D436" s="1"/>
      <c r="E436" s="1"/>
      <c r="F436" s="1"/>
      <c r="G436" s="1"/>
      <c r="H436" s="1"/>
      <c r="I436" s="1"/>
      <c r="J436" s="1"/>
      <c r="K436" s="1"/>
      <c r="L436" s="1"/>
      <c r="M436" s="1"/>
      <c r="N436" s="1"/>
      <c r="O436" s="1"/>
      <c r="P436" s="1"/>
      <c r="Q436" s="1"/>
      <c r="R436" s="1"/>
      <c r="S436" s="1"/>
      <c r="T436" s="1"/>
      <c r="U436" s="2"/>
      <c r="V436" s="1"/>
      <c r="W436" s="1"/>
      <c r="X436" s="1"/>
      <c r="Y436" s="1"/>
      <c r="Z436" s="1"/>
    </row>
    <row r="437" spans="1:26" ht="24.75" customHeight="1">
      <c r="A437" s="1"/>
      <c r="B437" s="1"/>
      <c r="C437" s="1"/>
      <c r="D437" s="1"/>
      <c r="E437" s="1"/>
      <c r="F437" s="1"/>
      <c r="G437" s="1"/>
      <c r="H437" s="1"/>
      <c r="I437" s="1"/>
      <c r="J437" s="1"/>
      <c r="K437" s="1"/>
      <c r="L437" s="1"/>
      <c r="M437" s="1"/>
      <c r="N437" s="1"/>
      <c r="O437" s="1"/>
      <c r="P437" s="1"/>
      <c r="Q437" s="1"/>
      <c r="R437" s="1"/>
      <c r="S437" s="1"/>
      <c r="T437" s="1"/>
      <c r="U437" s="2"/>
      <c r="V437" s="1"/>
      <c r="W437" s="1"/>
      <c r="X437" s="1"/>
      <c r="Y437" s="1"/>
      <c r="Z437" s="1"/>
    </row>
    <row r="438" spans="1:26" ht="24.75" customHeight="1">
      <c r="A438" s="1"/>
      <c r="B438" s="1"/>
      <c r="C438" s="1"/>
      <c r="D438" s="1"/>
      <c r="E438" s="1"/>
      <c r="F438" s="1"/>
      <c r="G438" s="1"/>
      <c r="H438" s="1"/>
      <c r="I438" s="1"/>
      <c r="J438" s="1"/>
      <c r="K438" s="1"/>
      <c r="L438" s="1"/>
      <c r="M438" s="1"/>
      <c r="N438" s="1"/>
      <c r="O438" s="1"/>
      <c r="P438" s="1"/>
      <c r="Q438" s="1"/>
      <c r="R438" s="1"/>
      <c r="S438" s="1"/>
      <c r="T438" s="1"/>
      <c r="U438" s="2"/>
      <c r="V438" s="1"/>
      <c r="W438" s="1"/>
      <c r="X438" s="1"/>
      <c r="Y438" s="1"/>
      <c r="Z438" s="1"/>
    </row>
    <row r="439" spans="1:26" ht="24.75" customHeight="1">
      <c r="A439" s="1"/>
      <c r="B439" s="1"/>
      <c r="C439" s="1"/>
      <c r="D439" s="1"/>
      <c r="E439" s="1"/>
      <c r="F439" s="1"/>
      <c r="G439" s="1"/>
      <c r="H439" s="1"/>
      <c r="I439" s="1"/>
      <c r="J439" s="1"/>
      <c r="K439" s="1"/>
      <c r="L439" s="1"/>
      <c r="M439" s="1"/>
      <c r="N439" s="1"/>
      <c r="O439" s="1"/>
      <c r="P439" s="1"/>
      <c r="Q439" s="1"/>
      <c r="R439" s="1"/>
      <c r="S439" s="1"/>
      <c r="T439" s="1"/>
      <c r="U439" s="2"/>
      <c r="V439" s="1"/>
      <c r="W439" s="1"/>
      <c r="X439" s="1"/>
      <c r="Y439" s="1"/>
      <c r="Z439" s="1"/>
    </row>
    <row r="440" spans="1:26" ht="24.75" customHeight="1">
      <c r="A440" s="1"/>
      <c r="B440" s="1"/>
      <c r="C440" s="1"/>
      <c r="D440" s="1"/>
      <c r="E440" s="1"/>
      <c r="F440" s="1"/>
      <c r="G440" s="1"/>
      <c r="H440" s="1"/>
      <c r="I440" s="1"/>
      <c r="J440" s="1"/>
      <c r="K440" s="1"/>
      <c r="L440" s="1"/>
      <c r="M440" s="1"/>
      <c r="N440" s="1"/>
      <c r="O440" s="1"/>
      <c r="P440" s="1"/>
      <c r="Q440" s="1"/>
      <c r="R440" s="1"/>
      <c r="S440" s="1"/>
      <c r="T440" s="1"/>
      <c r="U440" s="2"/>
      <c r="V440" s="1"/>
      <c r="W440" s="1"/>
      <c r="X440" s="1"/>
      <c r="Y440" s="1"/>
      <c r="Z440" s="1"/>
    </row>
    <row r="441" spans="1:26" ht="24.75" customHeight="1">
      <c r="A441" s="1"/>
      <c r="B441" s="1"/>
      <c r="C441" s="1"/>
      <c r="D441" s="1"/>
      <c r="E441" s="1"/>
      <c r="F441" s="1"/>
      <c r="G441" s="1"/>
      <c r="H441" s="1"/>
      <c r="I441" s="1"/>
      <c r="J441" s="1"/>
      <c r="K441" s="1"/>
      <c r="L441" s="1"/>
      <c r="M441" s="1"/>
      <c r="N441" s="1"/>
      <c r="O441" s="1"/>
      <c r="P441" s="1"/>
      <c r="Q441" s="1"/>
      <c r="R441" s="1"/>
      <c r="S441" s="1"/>
      <c r="T441" s="1"/>
      <c r="U441" s="2"/>
      <c r="V441" s="1"/>
      <c r="W441" s="1"/>
      <c r="X441" s="1"/>
      <c r="Y441" s="1"/>
      <c r="Z441" s="1"/>
    </row>
    <row r="442" spans="1:26" ht="24.75" customHeight="1">
      <c r="A442" s="1"/>
      <c r="B442" s="1"/>
      <c r="C442" s="1"/>
      <c r="D442" s="1"/>
      <c r="E442" s="1"/>
      <c r="F442" s="1"/>
      <c r="G442" s="1"/>
      <c r="H442" s="1"/>
      <c r="I442" s="1"/>
      <c r="J442" s="1"/>
      <c r="K442" s="1"/>
      <c r="L442" s="1"/>
      <c r="M442" s="1"/>
      <c r="N442" s="1"/>
      <c r="O442" s="1"/>
      <c r="P442" s="1"/>
      <c r="Q442" s="1"/>
      <c r="R442" s="1"/>
      <c r="S442" s="1"/>
      <c r="T442" s="1"/>
      <c r="U442" s="2"/>
      <c r="V442" s="1"/>
      <c r="W442" s="1"/>
      <c r="X442" s="1"/>
      <c r="Y442" s="1"/>
      <c r="Z442" s="1"/>
    </row>
    <row r="443" spans="1:26" ht="24.75" customHeight="1">
      <c r="A443" s="1"/>
      <c r="B443" s="1"/>
      <c r="C443" s="1"/>
      <c r="D443" s="1"/>
      <c r="E443" s="1"/>
      <c r="F443" s="1"/>
      <c r="G443" s="1"/>
      <c r="H443" s="1"/>
      <c r="I443" s="1"/>
      <c r="J443" s="1"/>
      <c r="K443" s="1"/>
      <c r="L443" s="1"/>
      <c r="M443" s="1"/>
      <c r="N443" s="1"/>
      <c r="O443" s="1"/>
      <c r="P443" s="1"/>
      <c r="Q443" s="1"/>
      <c r="R443" s="1"/>
      <c r="S443" s="1"/>
      <c r="T443" s="1"/>
      <c r="U443" s="2"/>
      <c r="V443" s="1"/>
      <c r="W443" s="1"/>
      <c r="X443" s="1"/>
      <c r="Y443" s="1"/>
      <c r="Z443" s="1"/>
    </row>
    <row r="444" spans="1:26" ht="24.75" customHeight="1">
      <c r="A444" s="1"/>
      <c r="B444" s="1"/>
      <c r="C444" s="1"/>
      <c r="D444" s="1"/>
      <c r="E444" s="1"/>
      <c r="F444" s="1"/>
      <c r="G444" s="1"/>
      <c r="H444" s="1"/>
      <c r="I444" s="1"/>
      <c r="J444" s="1"/>
      <c r="K444" s="1"/>
      <c r="L444" s="1"/>
      <c r="M444" s="1"/>
      <c r="N444" s="1"/>
      <c r="O444" s="1"/>
      <c r="P444" s="1"/>
      <c r="Q444" s="1"/>
      <c r="R444" s="1"/>
      <c r="S444" s="1"/>
      <c r="T444" s="1"/>
      <c r="U444" s="2"/>
      <c r="V444" s="1"/>
      <c r="W444" s="1"/>
      <c r="X444" s="1"/>
      <c r="Y444" s="1"/>
      <c r="Z444" s="1"/>
    </row>
    <row r="445" spans="1:26" ht="24.75" customHeight="1">
      <c r="A445" s="1"/>
      <c r="B445" s="1"/>
      <c r="C445" s="1"/>
      <c r="D445" s="1"/>
      <c r="E445" s="1"/>
      <c r="F445" s="1"/>
      <c r="G445" s="1"/>
      <c r="H445" s="1"/>
      <c r="I445" s="1"/>
      <c r="J445" s="1"/>
      <c r="K445" s="1"/>
      <c r="L445" s="1"/>
      <c r="M445" s="1"/>
      <c r="N445" s="1"/>
      <c r="O445" s="1"/>
      <c r="P445" s="1"/>
      <c r="Q445" s="1"/>
      <c r="R445" s="1"/>
      <c r="S445" s="1"/>
      <c r="T445" s="1"/>
      <c r="U445" s="2"/>
      <c r="V445" s="1"/>
      <c r="W445" s="1"/>
      <c r="X445" s="1"/>
      <c r="Y445" s="1"/>
      <c r="Z445" s="1"/>
    </row>
    <row r="446" spans="1:26" ht="24.75" customHeight="1">
      <c r="A446" s="1"/>
      <c r="B446" s="1"/>
      <c r="C446" s="1"/>
      <c r="D446" s="1"/>
      <c r="E446" s="1"/>
      <c r="F446" s="1"/>
      <c r="G446" s="1"/>
      <c r="H446" s="1"/>
      <c r="I446" s="1"/>
      <c r="J446" s="1"/>
      <c r="K446" s="1"/>
      <c r="L446" s="1"/>
      <c r="M446" s="1"/>
      <c r="N446" s="1"/>
      <c r="O446" s="1"/>
      <c r="P446" s="1"/>
      <c r="Q446" s="1"/>
      <c r="R446" s="1"/>
      <c r="S446" s="1"/>
      <c r="T446" s="1"/>
      <c r="U446" s="2"/>
      <c r="V446" s="1"/>
      <c r="W446" s="1"/>
      <c r="X446" s="1"/>
      <c r="Y446" s="1"/>
      <c r="Z446" s="1"/>
    </row>
    <row r="447" spans="1:26" ht="24.75" customHeight="1">
      <c r="A447" s="1"/>
      <c r="B447" s="1"/>
      <c r="C447" s="1"/>
      <c r="D447" s="1"/>
      <c r="E447" s="1"/>
      <c r="F447" s="1"/>
      <c r="G447" s="1"/>
      <c r="H447" s="1"/>
      <c r="I447" s="1"/>
      <c r="J447" s="1"/>
      <c r="K447" s="1"/>
      <c r="L447" s="1"/>
      <c r="M447" s="1"/>
      <c r="N447" s="1"/>
      <c r="O447" s="1"/>
      <c r="P447" s="1"/>
      <c r="Q447" s="1"/>
      <c r="R447" s="1"/>
      <c r="S447" s="1"/>
      <c r="T447" s="1"/>
      <c r="U447" s="2"/>
      <c r="V447" s="1"/>
      <c r="W447" s="1"/>
      <c r="X447" s="1"/>
      <c r="Y447" s="1"/>
      <c r="Z447" s="1"/>
    </row>
    <row r="448" spans="1:26" ht="24.75" customHeight="1">
      <c r="A448" s="1"/>
      <c r="B448" s="1"/>
      <c r="C448" s="1"/>
      <c r="D448" s="1"/>
      <c r="E448" s="1"/>
      <c r="F448" s="1"/>
      <c r="G448" s="1"/>
      <c r="H448" s="1"/>
      <c r="I448" s="1"/>
      <c r="J448" s="1"/>
      <c r="K448" s="1"/>
      <c r="L448" s="1"/>
      <c r="M448" s="1"/>
      <c r="N448" s="1"/>
      <c r="O448" s="1"/>
      <c r="P448" s="1"/>
      <c r="Q448" s="1"/>
      <c r="R448" s="1"/>
      <c r="S448" s="1"/>
      <c r="T448" s="1"/>
      <c r="U448" s="2"/>
      <c r="V448" s="1"/>
      <c r="W448" s="1"/>
      <c r="X448" s="1"/>
      <c r="Y448" s="1"/>
      <c r="Z448" s="1"/>
    </row>
    <row r="449" spans="1:26" ht="24.75" customHeight="1">
      <c r="A449" s="1"/>
      <c r="B449" s="1"/>
      <c r="C449" s="1"/>
      <c r="D449" s="1"/>
      <c r="E449" s="1"/>
      <c r="F449" s="1"/>
      <c r="G449" s="1"/>
      <c r="H449" s="1"/>
      <c r="I449" s="1"/>
      <c r="J449" s="1"/>
      <c r="K449" s="1"/>
      <c r="L449" s="1"/>
      <c r="M449" s="1"/>
      <c r="N449" s="1"/>
      <c r="O449" s="1"/>
      <c r="P449" s="1"/>
      <c r="Q449" s="1"/>
      <c r="R449" s="1"/>
      <c r="S449" s="1"/>
      <c r="T449" s="1"/>
      <c r="U449" s="2"/>
      <c r="V449" s="1"/>
      <c r="W449" s="1"/>
      <c r="X449" s="1"/>
      <c r="Y449" s="1"/>
      <c r="Z449" s="1"/>
    </row>
    <row r="450" spans="1:26" ht="24.75" customHeight="1">
      <c r="A450" s="1"/>
      <c r="B450" s="1"/>
      <c r="C450" s="1"/>
      <c r="D450" s="1"/>
      <c r="E450" s="1"/>
      <c r="F450" s="1"/>
      <c r="G450" s="1"/>
      <c r="H450" s="1"/>
      <c r="I450" s="1"/>
      <c r="J450" s="1"/>
      <c r="K450" s="1"/>
      <c r="L450" s="1"/>
      <c r="M450" s="1"/>
      <c r="N450" s="1"/>
      <c r="O450" s="1"/>
      <c r="P450" s="1"/>
      <c r="Q450" s="1"/>
      <c r="R450" s="1"/>
      <c r="S450" s="1"/>
      <c r="T450" s="1"/>
      <c r="U450" s="2"/>
      <c r="V450" s="1"/>
      <c r="W450" s="1"/>
      <c r="X450" s="1"/>
      <c r="Y450" s="1"/>
      <c r="Z450" s="1"/>
    </row>
    <row r="451" spans="1:26" ht="24.75" customHeight="1">
      <c r="A451" s="1"/>
      <c r="B451" s="1"/>
      <c r="C451" s="1"/>
      <c r="D451" s="1"/>
      <c r="E451" s="1"/>
      <c r="F451" s="1"/>
      <c r="G451" s="1"/>
      <c r="H451" s="1"/>
      <c r="I451" s="1"/>
      <c r="J451" s="1"/>
      <c r="K451" s="1"/>
      <c r="L451" s="1"/>
      <c r="M451" s="1"/>
      <c r="N451" s="1"/>
      <c r="O451" s="1"/>
      <c r="P451" s="1"/>
      <c r="Q451" s="1"/>
      <c r="R451" s="1"/>
      <c r="S451" s="1"/>
      <c r="T451" s="1"/>
      <c r="U451" s="2"/>
      <c r="V451" s="1"/>
      <c r="W451" s="1"/>
      <c r="X451" s="1"/>
      <c r="Y451" s="1"/>
      <c r="Z451" s="1"/>
    </row>
    <row r="452" spans="1:26" ht="24.75" customHeight="1">
      <c r="A452" s="1"/>
      <c r="B452" s="1"/>
      <c r="C452" s="1"/>
      <c r="D452" s="1"/>
      <c r="E452" s="1"/>
      <c r="F452" s="1"/>
      <c r="G452" s="1"/>
      <c r="H452" s="1"/>
      <c r="I452" s="1"/>
      <c r="J452" s="1"/>
      <c r="K452" s="1"/>
      <c r="L452" s="1"/>
      <c r="M452" s="1"/>
      <c r="N452" s="1"/>
      <c r="O452" s="1"/>
      <c r="P452" s="1"/>
      <c r="Q452" s="1"/>
      <c r="R452" s="1"/>
      <c r="S452" s="1"/>
      <c r="T452" s="1"/>
      <c r="U452" s="2"/>
      <c r="V452" s="1"/>
      <c r="W452" s="1"/>
      <c r="X452" s="1"/>
      <c r="Y452" s="1"/>
      <c r="Z452" s="1"/>
    </row>
    <row r="453" spans="1:26" ht="24.75" customHeight="1">
      <c r="A453" s="1"/>
      <c r="B453" s="1"/>
      <c r="C453" s="1"/>
      <c r="D453" s="1"/>
      <c r="E453" s="1"/>
      <c r="F453" s="1"/>
      <c r="G453" s="1"/>
      <c r="H453" s="1"/>
      <c r="I453" s="1"/>
      <c r="J453" s="1"/>
      <c r="K453" s="1"/>
      <c r="L453" s="1"/>
      <c r="M453" s="1"/>
      <c r="N453" s="1"/>
      <c r="O453" s="1"/>
      <c r="P453" s="1"/>
      <c r="Q453" s="1"/>
      <c r="R453" s="1"/>
      <c r="S453" s="1"/>
      <c r="T453" s="1"/>
      <c r="U453" s="2"/>
      <c r="V453" s="1"/>
      <c r="W453" s="1"/>
      <c r="X453" s="1"/>
      <c r="Y453" s="1"/>
      <c r="Z453" s="1"/>
    </row>
    <row r="454" spans="1:26" ht="24.75" customHeight="1">
      <c r="A454" s="1"/>
      <c r="B454" s="1"/>
      <c r="C454" s="1"/>
      <c r="D454" s="1"/>
      <c r="E454" s="1"/>
      <c r="F454" s="1"/>
      <c r="G454" s="1"/>
      <c r="H454" s="1"/>
      <c r="I454" s="1"/>
      <c r="J454" s="1"/>
      <c r="K454" s="1"/>
      <c r="L454" s="1"/>
      <c r="M454" s="1"/>
      <c r="N454" s="1"/>
      <c r="O454" s="1"/>
      <c r="P454" s="1"/>
      <c r="Q454" s="1"/>
      <c r="R454" s="1"/>
      <c r="S454" s="1"/>
      <c r="T454" s="1"/>
      <c r="U454" s="2"/>
      <c r="V454" s="1"/>
      <c r="W454" s="1"/>
      <c r="X454" s="1"/>
      <c r="Y454" s="1"/>
      <c r="Z454" s="1"/>
    </row>
    <row r="455" spans="1:26" ht="24.75" customHeight="1">
      <c r="A455" s="1"/>
      <c r="B455" s="1"/>
      <c r="C455" s="1"/>
      <c r="D455" s="1"/>
      <c r="E455" s="1"/>
      <c r="F455" s="1"/>
      <c r="G455" s="1"/>
      <c r="H455" s="1"/>
      <c r="I455" s="1"/>
      <c r="J455" s="1"/>
      <c r="K455" s="1"/>
      <c r="L455" s="1"/>
      <c r="M455" s="1"/>
      <c r="N455" s="1"/>
      <c r="O455" s="1"/>
      <c r="P455" s="1"/>
      <c r="Q455" s="1"/>
      <c r="R455" s="1"/>
      <c r="S455" s="1"/>
      <c r="T455" s="1"/>
      <c r="U455" s="2"/>
      <c r="V455" s="1"/>
      <c r="W455" s="1"/>
      <c r="X455" s="1"/>
      <c r="Y455" s="1"/>
      <c r="Z455" s="1"/>
    </row>
    <row r="456" spans="1:26" ht="24.75" customHeight="1">
      <c r="A456" s="1"/>
      <c r="B456" s="1"/>
      <c r="C456" s="1"/>
      <c r="D456" s="1"/>
      <c r="E456" s="1"/>
      <c r="F456" s="1"/>
      <c r="G456" s="1"/>
      <c r="H456" s="1"/>
      <c r="I456" s="1"/>
      <c r="J456" s="1"/>
      <c r="K456" s="1"/>
      <c r="L456" s="1"/>
      <c r="M456" s="1"/>
      <c r="N456" s="1"/>
      <c r="O456" s="1"/>
      <c r="P456" s="1"/>
      <c r="Q456" s="1"/>
      <c r="R456" s="1"/>
      <c r="S456" s="1"/>
      <c r="T456" s="1"/>
      <c r="U456" s="2"/>
      <c r="V456" s="1"/>
      <c r="W456" s="1"/>
      <c r="X456" s="1"/>
      <c r="Y456" s="1"/>
      <c r="Z456" s="1"/>
    </row>
    <row r="457" spans="1:26" ht="24.75" customHeight="1">
      <c r="A457" s="1"/>
      <c r="B457" s="1"/>
      <c r="C457" s="1"/>
      <c r="D457" s="1"/>
      <c r="E457" s="1"/>
      <c r="F457" s="1"/>
      <c r="G457" s="1"/>
      <c r="H457" s="1"/>
      <c r="I457" s="1"/>
      <c r="J457" s="1"/>
      <c r="K457" s="1"/>
      <c r="L457" s="1"/>
      <c r="M457" s="1"/>
      <c r="N457" s="1"/>
      <c r="O457" s="1"/>
      <c r="P457" s="1"/>
      <c r="Q457" s="1"/>
      <c r="R457" s="1"/>
      <c r="S457" s="1"/>
      <c r="T457" s="1"/>
      <c r="U457" s="2"/>
      <c r="V457" s="1"/>
      <c r="W457" s="1"/>
      <c r="X457" s="1"/>
      <c r="Y457" s="1"/>
      <c r="Z457" s="1"/>
    </row>
    <row r="458" spans="1:26" ht="24.75" customHeight="1">
      <c r="A458" s="1"/>
      <c r="B458" s="1"/>
      <c r="C458" s="1"/>
      <c r="D458" s="1"/>
      <c r="E458" s="1"/>
      <c r="F458" s="1"/>
      <c r="G458" s="1"/>
      <c r="H458" s="1"/>
      <c r="I458" s="1"/>
      <c r="J458" s="1"/>
      <c r="K458" s="1"/>
      <c r="L458" s="1"/>
      <c r="M458" s="1"/>
      <c r="N458" s="1"/>
      <c r="O458" s="1"/>
      <c r="P458" s="1"/>
      <c r="Q458" s="1"/>
      <c r="R458" s="1"/>
      <c r="S458" s="1"/>
      <c r="T458" s="1"/>
      <c r="U458" s="2"/>
      <c r="V458" s="1"/>
      <c r="W458" s="1"/>
      <c r="X458" s="1"/>
      <c r="Y458" s="1"/>
      <c r="Z458" s="1"/>
    </row>
    <row r="459" spans="1:26" ht="24.75" customHeight="1">
      <c r="A459" s="1"/>
      <c r="B459" s="1"/>
      <c r="C459" s="1"/>
      <c r="D459" s="1"/>
      <c r="E459" s="1"/>
      <c r="F459" s="1"/>
      <c r="G459" s="1"/>
      <c r="H459" s="1"/>
      <c r="I459" s="1"/>
      <c r="J459" s="1"/>
      <c r="K459" s="1"/>
      <c r="L459" s="1"/>
      <c r="M459" s="1"/>
      <c r="N459" s="1"/>
      <c r="O459" s="1"/>
      <c r="P459" s="1"/>
      <c r="Q459" s="1"/>
      <c r="R459" s="1"/>
      <c r="S459" s="1"/>
      <c r="T459" s="1"/>
      <c r="U459" s="2"/>
      <c r="V459" s="1"/>
      <c r="W459" s="1"/>
      <c r="X459" s="1"/>
      <c r="Y459" s="1"/>
      <c r="Z459" s="1"/>
    </row>
    <row r="460" spans="1:26" ht="24.75" customHeight="1">
      <c r="A460" s="1"/>
      <c r="B460" s="1"/>
      <c r="C460" s="1"/>
      <c r="D460" s="1"/>
      <c r="E460" s="1"/>
      <c r="F460" s="1"/>
      <c r="G460" s="1"/>
      <c r="H460" s="1"/>
      <c r="I460" s="1"/>
      <c r="J460" s="1"/>
      <c r="K460" s="1"/>
      <c r="L460" s="1"/>
      <c r="M460" s="1"/>
      <c r="N460" s="1"/>
      <c r="O460" s="1"/>
      <c r="P460" s="1"/>
      <c r="Q460" s="1"/>
      <c r="R460" s="1"/>
      <c r="S460" s="1"/>
      <c r="T460" s="1"/>
      <c r="U460" s="2"/>
      <c r="V460" s="1"/>
      <c r="W460" s="1"/>
      <c r="X460" s="1"/>
      <c r="Y460" s="1"/>
      <c r="Z460" s="1"/>
    </row>
    <row r="461" spans="1:26" ht="24.75" customHeight="1">
      <c r="A461" s="1"/>
      <c r="B461" s="1"/>
      <c r="C461" s="1"/>
      <c r="D461" s="1"/>
      <c r="E461" s="1"/>
      <c r="F461" s="1"/>
      <c r="G461" s="1"/>
      <c r="H461" s="1"/>
      <c r="I461" s="1"/>
      <c r="J461" s="1"/>
      <c r="K461" s="1"/>
      <c r="L461" s="1"/>
      <c r="M461" s="1"/>
      <c r="N461" s="1"/>
      <c r="O461" s="1"/>
      <c r="P461" s="1"/>
      <c r="Q461" s="1"/>
      <c r="R461" s="1"/>
      <c r="S461" s="1"/>
      <c r="T461" s="1"/>
      <c r="U461" s="2"/>
      <c r="V461" s="1"/>
      <c r="W461" s="1"/>
      <c r="X461" s="1"/>
      <c r="Y461" s="1"/>
      <c r="Z461" s="1"/>
    </row>
    <row r="462" spans="1:26" ht="24.75" customHeight="1">
      <c r="A462" s="1"/>
      <c r="B462" s="1"/>
      <c r="C462" s="1"/>
      <c r="D462" s="1"/>
      <c r="E462" s="1"/>
      <c r="F462" s="1"/>
      <c r="G462" s="1"/>
      <c r="H462" s="1"/>
      <c r="I462" s="1"/>
      <c r="J462" s="1"/>
      <c r="K462" s="1"/>
      <c r="L462" s="1"/>
      <c r="M462" s="1"/>
      <c r="N462" s="1"/>
      <c r="O462" s="1"/>
      <c r="P462" s="1"/>
      <c r="Q462" s="1"/>
      <c r="R462" s="1"/>
      <c r="S462" s="1"/>
      <c r="T462" s="1"/>
      <c r="U462" s="2"/>
      <c r="V462" s="1"/>
      <c r="W462" s="1"/>
      <c r="X462" s="1"/>
      <c r="Y462" s="1"/>
      <c r="Z462" s="1"/>
    </row>
    <row r="463" spans="1:26" ht="24.75" customHeight="1">
      <c r="A463" s="1"/>
      <c r="B463" s="1"/>
      <c r="C463" s="1"/>
      <c r="D463" s="1"/>
      <c r="E463" s="1"/>
      <c r="F463" s="1"/>
      <c r="G463" s="1"/>
      <c r="H463" s="1"/>
      <c r="I463" s="1"/>
      <c r="J463" s="1"/>
      <c r="K463" s="1"/>
      <c r="L463" s="1"/>
      <c r="M463" s="1"/>
      <c r="N463" s="1"/>
      <c r="O463" s="1"/>
      <c r="P463" s="1"/>
      <c r="Q463" s="1"/>
      <c r="R463" s="1"/>
      <c r="S463" s="1"/>
      <c r="T463" s="1"/>
      <c r="U463" s="2"/>
      <c r="V463" s="1"/>
      <c r="W463" s="1"/>
      <c r="X463" s="1"/>
      <c r="Y463" s="1"/>
      <c r="Z463" s="1"/>
    </row>
    <row r="464" spans="1:26" ht="24.75" customHeight="1">
      <c r="A464" s="1"/>
      <c r="B464" s="1"/>
      <c r="C464" s="1"/>
      <c r="D464" s="1"/>
      <c r="E464" s="1"/>
      <c r="F464" s="1"/>
      <c r="G464" s="1"/>
      <c r="H464" s="1"/>
      <c r="I464" s="1"/>
      <c r="J464" s="1"/>
      <c r="K464" s="1"/>
      <c r="L464" s="1"/>
      <c r="M464" s="1"/>
      <c r="N464" s="1"/>
      <c r="O464" s="1"/>
      <c r="P464" s="1"/>
      <c r="Q464" s="1"/>
      <c r="R464" s="1"/>
      <c r="S464" s="1"/>
      <c r="T464" s="1"/>
      <c r="U464" s="2"/>
      <c r="V464" s="1"/>
      <c r="W464" s="1"/>
      <c r="X464" s="1"/>
      <c r="Y464" s="1"/>
      <c r="Z464" s="1"/>
    </row>
    <row r="465" spans="1:26" ht="24.75" customHeight="1">
      <c r="A465" s="1"/>
      <c r="B465" s="1"/>
      <c r="C465" s="1"/>
      <c r="D465" s="1"/>
      <c r="E465" s="1"/>
      <c r="F465" s="1"/>
      <c r="G465" s="1"/>
      <c r="H465" s="1"/>
      <c r="I465" s="1"/>
      <c r="J465" s="1"/>
      <c r="K465" s="1"/>
      <c r="L465" s="1"/>
      <c r="M465" s="1"/>
      <c r="N465" s="1"/>
      <c r="O465" s="1"/>
      <c r="P465" s="1"/>
      <c r="Q465" s="1"/>
      <c r="R465" s="1"/>
      <c r="S465" s="1"/>
      <c r="T465" s="1"/>
      <c r="U465" s="2"/>
      <c r="V465" s="1"/>
      <c r="W465" s="1"/>
      <c r="X465" s="1"/>
      <c r="Y465" s="1"/>
      <c r="Z465" s="1"/>
    </row>
    <row r="466" spans="1:26" ht="24.75" customHeight="1">
      <c r="A466" s="1"/>
      <c r="B466" s="1"/>
      <c r="C466" s="1"/>
      <c r="D466" s="1"/>
      <c r="E466" s="1"/>
      <c r="F466" s="1"/>
      <c r="G466" s="1"/>
      <c r="H466" s="1"/>
      <c r="I466" s="1"/>
      <c r="J466" s="1"/>
      <c r="K466" s="1"/>
      <c r="L466" s="1"/>
      <c r="M466" s="1"/>
      <c r="N466" s="1"/>
      <c r="O466" s="1"/>
      <c r="P466" s="1"/>
      <c r="Q466" s="1"/>
      <c r="R466" s="1"/>
      <c r="S466" s="1"/>
      <c r="T466" s="1"/>
      <c r="U466" s="2"/>
      <c r="V466" s="1"/>
      <c r="W466" s="1"/>
      <c r="X466" s="1"/>
      <c r="Y466" s="1"/>
      <c r="Z466" s="1"/>
    </row>
    <row r="467" spans="1:26" ht="24.75" customHeight="1">
      <c r="A467" s="1"/>
      <c r="B467" s="1"/>
      <c r="C467" s="1"/>
      <c r="D467" s="1"/>
      <c r="E467" s="1"/>
      <c r="F467" s="1"/>
      <c r="G467" s="1"/>
      <c r="H467" s="1"/>
      <c r="I467" s="1"/>
      <c r="J467" s="1"/>
      <c r="K467" s="1"/>
      <c r="L467" s="1"/>
      <c r="M467" s="1"/>
      <c r="N467" s="1"/>
      <c r="O467" s="1"/>
      <c r="P467" s="1"/>
      <c r="Q467" s="1"/>
      <c r="R467" s="1"/>
      <c r="S467" s="1"/>
      <c r="T467" s="1"/>
      <c r="U467" s="2"/>
      <c r="V467" s="1"/>
      <c r="W467" s="1"/>
      <c r="X467" s="1"/>
      <c r="Y467" s="1"/>
      <c r="Z467" s="1"/>
    </row>
    <row r="468" spans="1:26" ht="24.75" customHeight="1">
      <c r="A468" s="1"/>
      <c r="B468" s="1"/>
      <c r="C468" s="1"/>
      <c r="D468" s="1"/>
      <c r="E468" s="1"/>
      <c r="F468" s="1"/>
      <c r="G468" s="1"/>
      <c r="H468" s="1"/>
      <c r="I468" s="1"/>
      <c r="J468" s="1"/>
      <c r="K468" s="1"/>
      <c r="L468" s="1"/>
      <c r="M468" s="1"/>
      <c r="N468" s="1"/>
      <c r="O468" s="1"/>
      <c r="P468" s="1"/>
      <c r="Q468" s="1"/>
      <c r="R468" s="1"/>
      <c r="S468" s="1"/>
      <c r="T468" s="1"/>
      <c r="U468" s="2"/>
      <c r="V468" s="1"/>
      <c r="W468" s="1"/>
      <c r="X468" s="1"/>
      <c r="Y468" s="1"/>
      <c r="Z468" s="1"/>
    </row>
    <row r="469" spans="1:26" ht="24.75" customHeight="1">
      <c r="A469" s="1"/>
      <c r="B469" s="1"/>
      <c r="C469" s="1"/>
      <c r="D469" s="1"/>
      <c r="E469" s="1"/>
      <c r="F469" s="1"/>
      <c r="G469" s="1"/>
      <c r="H469" s="1"/>
      <c r="I469" s="1"/>
      <c r="J469" s="1"/>
      <c r="K469" s="1"/>
      <c r="L469" s="1"/>
      <c r="M469" s="1"/>
      <c r="N469" s="1"/>
      <c r="O469" s="1"/>
      <c r="P469" s="1"/>
      <c r="Q469" s="1"/>
      <c r="R469" s="1"/>
      <c r="S469" s="1"/>
      <c r="T469" s="1"/>
      <c r="U469" s="2"/>
      <c r="V469" s="1"/>
      <c r="W469" s="1"/>
      <c r="X469" s="1"/>
      <c r="Y469" s="1"/>
      <c r="Z469" s="1"/>
    </row>
    <row r="470" spans="1:26" ht="24.75" customHeight="1">
      <c r="A470" s="1"/>
      <c r="B470" s="1"/>
      <c r="C470" s="1"/>
      <c r="D470" s="1"/>
      <c r="E470" s="1"/>
      <c r="F470" s="1"/>
      <c r="G470" s="1"/>
      <c r="H470" s="1"/>
      <c r="I470" s="1"/>
      <c r="J470" s="1"/>
      <c r="K470" s="1"/>
      <c r="L470" s="1"/>
      <c r="M470" s="1"/>
      <c r="N470" s="1"/>
      <c r="O470" s="1"/>
      <c r="P470" s="1"/>
      <c r="Q470" s="1"/>
      <c r="R470" s="1"/>
      <c r="S470" s="1"/>
      <c r="T470" s="1"/>
      <c r="U470" s="2"/>
      <c r="V470" s="1"/>
      <c r="W470" s="1"/>
      <c r="X470" s="1"/>
      <c r="Y470" s="1"/>
      <c r="Z470" s="1"/>
    </row>
    <row r="471" spans="1:26" ht="24.75" customHeight="1">
      <c r="A471" s="1"/>
      <c r="B471" s="1"/>
      <c r="C471" s="1"/>
      <c r="D471" s="1"/>
      <c r="E471" s="1"/>
      <c r="F471" s="1"/>
      <c r="G471" s="1"/>
      <c r="H471" s="1"/>
      <c r="I471" s="1"/>
      <c r="J471" s="1"/>
      <c r="K471" s="1"/>
      <c r="L471" s="1"/>
      <c r="M471" s="1"/>
      <c r="N471" s="1"/>
      <c r="O471" s="1"/>
      <c r="P471" s="1"/>
      <c r="Q471" s="1"/>
      <c r="R471" s="1"/>
      <c r="S471" s="1"/>
      <c r="T471" s="1"/>
      <c r="U471" s="2"/>
      <c r="V471" s="1"/>
      <c r="W471" s="1"/>
      <c r="X471" s="1"/>
      <c r="Y471" s="1"/>
      <c r="Z471" s="1"/>
    </row>
    <row r="472" spans="1:26" ht="24.75" customHeight="1">
      <c r="A472" s="1"/>
      <c r="B472" s="1"/>
      <c r="C472" s="1"/>
      <c r="D472" s="1"/>
      <c r="E472" s="1"/>
      <c r="F472" s="1"/>
      <c r="G472" s="1"/>
      <c r="H472" s="1"/>
      <c r="I472" s="1"/>
      <c r="J472" s="1"/>
      <c r="K472" s="1"/>
      <c r="L472" s="1"/>
      <c r="M472" s="1"/>
      <c r="N472" s="1"/>
      <c r="O472" s="1"/>
      <c r="P472" s="1"/>
      <c r="Q472" s="1"/>
      <c r="R472" s="1"/>
      <c r="S472" s="1"/>
      <c r="T472" s="1"/>
      <c r="U472" s="2"/>
      <c r="V472" s="1"/>
      <c r="W472" s="1"/>
      <c r="X472" s="1"/>
      <c r="Y472" s="1"/>
      <c r="Z472" s="1"/>
    </row>
    <row r="473" spans="1:26" ht="24.75" customHeight="1">
      <c r="A473" s="1"/>
      <c r="B473" s="1"/>
      <c r="C473" s="1"/>
      <c r="D473" s="1"/>
      <c r="E473" s="1"/>
      <c r="F473" s="1"/>
      <c r="G473" s="1"/>
      <c r="H473" s="1"/>
      <c r="I473" s="1"/>
      <c r="J473" s="1"/>
      <c r="K473" s="1"/>
      <c r="L473" s="1"/>
      <c r="M473" s="1"/>
      <c r="N473" s="1"/>
      <c r="O473" s="1"/>
      <c r="P473" s="1"/>
      <c r="Q473" s="1"/>
      <c r="R473" s="1"/>
      <c r="S473" s="1"/>
      <c r="T473" s="1"/>
      <c r="U473" s="2"/>
      <c r="V473" s="1"/>
      <c r="W473" s="1"/>
      <c r="X473" s="1"/>
      <c r="Y473" s="1"/>
      <c r="Z473" s="1"/>
    </row>
    <row r="474" spans="1:26" ht="24.75" customHeight="1">
      <c r="A474" s="1"/>
      <c r="B474" s="1"/>
      <c r="C474" s="1"/>
      <c r="D474" s="1"/>
      <c r="E474" s="1"/>
      <c r="F474" s="1"/>
      <c r="G474" s="1"/>
      <c r="H474" s="1"/>
      <c r="I474" s="1"/>
      <c r="J474" s="1"/>
      <c r="K474" s="1"/>
      <c r="L474" s="1"/>
      <c r="M474" s="1"/>
      <c r="N474" s="1"/>
      <c r="O474" s="1"/>
      <c r="P474" s="1"/>
      <c r="Q474" s="1"/>
      <c r="R474" s="1"/>
      <c r="S474" s="1"/>
      <c r="T474" s="1"/>
      <c r="U474" s="2"/>
      <c r="V474" s="1"/>
      <c r="W474" s="1"/>
      <c r="X474" s="1"/>
      <c r="Y474" s="1"/>
      <c r="Z474" s="1"/>
    </row>
    <row r="475" spans="1:26" ht="24.75" customHeight="1">
      <c r="A475" s="1"/>
      <c r="B475" s="1"/>
      <c r="C475" s="1"/>
      <c r="D475" s="1"/>
      <c r="E475" s="1"/>
      <c r="F475" s="1"/>
      <c r="G475" s="1"/>
      <c r="H475" s="1"/>
      <c r="I475" s="1"/>
      <c r="J475" s="1"/>
      <c r="K475" s="1"/>
      <c r="L475" s="1"/>
      <c r="M475" s="1"/>
      <c r="N475" s="1"/>
      <c r="O475" s="1"/>
      <c r="P475" s="1"/>
      <c r="Q475" s="1"/>
      <c r="R475" s="1"/>
      <c r="S475" s="1"/>
      <c r="T475" s="1"/>
      <c r="U475" s="2"/>
      <c r="V475" s="1"/>
      <c r="W475" s="1"/>
      <c r="X475" s="1"/>
      <c r="Y475" s="1"/>
      <c r="Z475" s="1"/>
    </row>
    <row r="476" spans="1:26" ht="24.75" customHeight="1">
      <c r="A476" s="1"/>
      <c r="B476" s="1"/>
      <c r="C476" s="1"/>
      <c r="D476" s="1"/>
      <c r="E476" s="1"/>
      <c r="F476" s="1"/>
      <c r="G476" s="1"/>
      <c r="H476" s="1"/>
      <c r="I476" s="1"/>
      <c r="J476" s="1"/>
      <c r="K476" s="1"/>
      <c r="L476" s="1"/>
      <c r="M476" s="1"/>
      <c r="N476" s="1"/>
      <c r="O476" s="1"/>
      <c r="P476" s="1"/>
      <c r="Q476" s="1"/>
      <c r="R476" s="1"/>
      <c r="S476" s="1"/>
      <c r="T476" s="1"/>
      <c r="U476" s="2"/>
      <c r="V476" s="1"/>
      <c r="W476" s="1"/>
      <c r="X476" s="1"/>
      <c r="Y476" s="1"/>
      <c r="Z476" s="1"/>
    </row>
    <row r="477" spans="1:26" ht="24.75" customHeight="1">
      <c r="A477" s="1"/>
      <c r="B477" s="1"/>
      <c r="C477" s="1"/>
      <c r="D477" s="1"/>
      <c r="E477" s="1"/>
      <c r="F477" s="1"/>
      <c r="G477" s="1"/>
      <c r="H477" s="1"/>
      <c r="I477" s="1"/>
      <c r="J477" s="1"/>
      <c r="K477" s="1"/>
      <c r="L477" s="1"/>
      <c r="M477" s="1"/>
      <c r="N477" s="1"/>
      <c r="O477" s="1"/>
      <c r="P477" s="1"/>
      <c r="Q477" s="1"/>
      <c r="R477" s="1"/>
      <c r="S477" s="1"/>
      <c r="T477" s="1"/>
      <c r="U477" s="2"/>
      <c r="V477" s="1"/>
      <c r="W477" s="1"/>
      <c r="X477" s="1"/>
      <c r="Y477" s="1"/>
      <c r="Z477" s="1"/>
    </row>
    <row r="478" spans="1:26" ht="24.75" customHeight="1">
      <c r="A478" s="1"/>
      <c r="B478" s="1"/>
      <c r="C478" s="1"/>
      <c r="D478" s="1"/>
      <c r="E478" s="1"/>
      <c r="F478" s="1"/>
      <c r="G478" s="1"/>
      <c r="H478" s="1"/>
      <c r="I478" s="1"/>
      <c r="J478" s="1"/>
      <c r="K478" s="1"/>
      <c r="L478" s="1"/>
      <c r="M478" s="1"/>
      <c r="N478" s="1"/>
      <c r="O478" s="1"/>
      <c r="P478" s="1"/>
      <c r="Q478" s="1"/>
      <c r="R478" s="1"/>
      <c r="S478" s="1"/>
      <c r="T478" s="1"/>
      <c r="U478" s="2"/>
      <c r="V478" s="1"/>
      <c r="W478" s="1"/>
      <c r="X478" s="1"/>
      <c r="Y478" s="1"/>
      <c r="Z478" s="1"/>
    </row>
    <row r="479" spans="1:26" ht="24.75" customHeight="1">
      <c r="A479" s="1"/>
      <c r="B479" s="1"/>
      <c r="C479" s="1"/>
      <c r="D479" s="1"/>
      <c r="E479" s="1"/>
      <c r="F479" s="1"/>
      <c r="G479" s="1"/>
      <c r="H479" s="1"/>
      <c r="I479" s="1"/>
      <c r="J479" s="1"/>
      <c r="K479" s="1"/>
      <c r="L479" s="1"/>
      <c r="M479" s="1"/>
      <c r="N479" s="1"/>
      <c r="O479" s="1"/>
      <c r="P479" s="1"/>
      <c r="Q479" s="1"/>
      <c r="R479" s="1"/>
      <c r="S479" s="1"/>
      <c r="T479" s="1"/>
      <c r="U479" s="2"/>
      <c r="V479" s="1"/>
      <c r="W479" s="1"/>
      <c r="X479" s="1"/>
      <c r="Y479" s="1"/>
      <c r="Z479" s="1"/>
    </row>
    <row r="480" spans="1:26" ht="24.75" customHeight="1">
      <c r="A480" s="1"/>
      <c r="B480" s="1"/>
      <c r="C480" s="1"/>
      <c r="D480" s="1"/>
      <c r="E480" s="1"/>
      <c r="F480" s="1"/>
      <c r="G480" s="1"/>
      <c r="H480" s="1"/>
      <c r="I480" s="1"/>
      <c r="J480" s="1"/>
      <c r="K480" s="1"/>
      <c r="L480" s="1"/>
      <c r="M480" s="1"/>
      <c r="N480" s="1"/>
      <c r="O480" s="1"/>
      <c r="P480" s="1"/>
      <c r="Q480" s="1"/>
      <c r="R480" s="1"/>
      <c r="S480" s="1"/>
      <c r="T480" s="1"/>
      <c r="U480" s="2"/>
      <c r="V480" s="1"/>
      <c r="W480" s="1"/>
      <c r="X480" s="1"/>
      <c r="Y480" s="1"/>
      <c r="Z480" s="1"/>
    </row>
    <row r="481" spans="1:26" ht="24.75" customHeight="1">
      <c r="A481" s="1"/>
      <c r="B481" s="1"/>
      <c r="C481" s="1"/>
      <c r="D481" s="1"/>
      <c r="E481" s="1"/>
      <c r="F481" s="1"/>
      <c r="G481" s="1"/>
      <c r="H481" s="1"/>
      <c r="I481" s="1"/>
      <c r="J481" s="1"/>
      <c r="K481" s="1"/>
      <c r="L481" s="1"/>
      <c r="M481" s="1"/>
      <c r="N481" s="1"/>
      <c r="O481" s="1"/>
      <c r="P481" s="1"/>
      <c r="Q481" s="1"/>
      <c r="R481" s="1"/>
      <c r="S481" s="1"/>
      <c r="T481" s="1"/>
      <c r="U481" s="2"/>
      <c r="V481" s="1"/>
      <c r="W481" s="1"/>
      <c r="X481" s="1"/>
      <c r="Y481" s="1"/>
      <c r="Z481" s="1"/>
    </row>
    <row r="482" spans="1:26" ht="24.75" customHeight="1">
      <c r="A482" s="1"/>
      <c r="B482" s="1"/>
      <c r="C482" s="1"/>
      <c r="D482" s="1"/>
      <c r="E482" s="1"/>
      <c r="F482" s="1"/>
      <c r="G482" s="1"/>
      <c r="H482" s="1"/>
      <c r="I482" s="1"/>
      <c r="J482" s="1"/>
      <c r="K482" s="1"/>
      <c r="L482" s="1"/>
      <c r="M482" s="1"/>
      <c r="N482" s="1"/>
      <c r="O482" s="1"/>
      <c r="P482" s="1"/>
      <c r="Q482" s="1"/>
      <c r="R482" s="1"/>
      <c r="S482" s="1"/>
      <c r="T482" s="1"/>
      <c r="U482" s="2"/>
      <c r="V482" s="1"/>
      <c r="W482" s="1"/>
      <c r="X482" s="1"/>
      <c r="Y482" s="1"/>
      <c r="Z482" s="1"/>
    </row>
    <row r="483" spans="1:26" ht="24.75" customHeight="1">
      <c r="A483" s="1"/>
      <c r="B483" s="1"/>
      <c r="C483" s="1"/>
      <c r="D483" s="1"/>
      <c r="E483" s="1"/>
      <c r="F483" s="1"/>
      <c r="G483" s="1"/>
      <c r="H483" s="1"/>
      <c r="I483" s="1"/>
      <c r="J483" s="1"/>
      <c r="K483" s="1"/>
      <c r="L483" s="1"/>
      <c r="M483" s="1"/>
      <c r="N483" s="1"/>
      <c r="O483" s="1"/>
      <c r="P483" s="1"/>
      <c r="Q483" s="1"/>
      <c r="R483" s="1"/>
      <c r="S483" s="1"/>
      <c r="T483" s="1"/>
      <c r="U483" s="2"/>
      <c r="V483" s="1"/>
      <c r="W483" s="1"/>
      <c r="X483" s="1"/>
      <c r="Y483" s="1"/>
      <c r="Z483" s="1"/>
    </row>
    <row r="484" spans="1:26" ht="24.75" customHeight="1">
      <c r="A484" s="1"/>
      <c r="B484" s="1"/>
      <c r="C484" s="1"/>
      <c r="D484" s="1"/>
      <c r="E484" s="1"/>
      <c r="F484" s="1"/>
      <c r="G484" s="1"/>
      <c r="H484" s="1"/>
      <c r="I484" s="1"/>
      <c r="J484" s="1"/>
      <c r="K484" s="1"/>
      <c r="L484" s="1"/>
      <c r="M484" s="1"/>
      <c r="N484" s="1"/>
      <c r="O484" s="1"/>
      <c r="P484" s="1"/>
      <c r="Q484" s="1"/>
      <c r="R484" s="1"/>
      <c r="S484" s="1"/>
      <c r="T484" s="1"/>
      <c r="U484" s="2"/>
      <c r="V484" s="1"/>
      <c r="W484" s="1"/>
      <c r="X484" s="1"/>
      <c r="Y484" s="1"/>
      <c r="Z484" s="1"/>
    </row>
    <row r="485" spans="1:26" ht="24.75" customHeight="1">
      <c r="A485" s="1"/>
      <c r="B485" s="1"/>
      <c r="C485" s="1"/>
      <c r="D485" s="1"/>
      <c r="E485" s="1"/>
      <c r="F485" s="1"/>
      <c r="G485" s="1"/>
      <c r="H485" s="1"/>
      <c r="I485" s="1"/>
      <c r="J485" s="1"/>
      <c r="K485" s="1"/>
      <c r="L485" s="1"/>
      <c r="M485" s="1"/>
      <c r="N485" s="1"/>
      <c r="O485" s="1"/>
      <c r="P485" s="1"/>
      <c r="Q485" s="1"/>
      <c r="R485" s="1"/>
      <c r="S485" s="1"/>
      <c r="T485" s="1"/>
      <c r="U485" s="2"/>
      <c r="V485" s="1"/>
      <c r="W485" s="1"/>
      <c r="X485" s="1"/>
      <c r="Y485" s="1"/>
      <c r="Z485" s="1"/>
    </row>
    <row r="486" spans="1:26" ht="24.75" customHeight="1">
      <c r="A486" s="1"/>
      <c r="B486" s="1"/>
      <c r="C486" s="1"/>
      <c r="D486" s="1"/>
      <c r="E486" s="1"/>
      <c r="F486" s="1"/>
      <c r="G486" s="1"/>
      <c r="H486" s="1"/>
      <c r="I486" s="1"/>
      <c r="J486" s="1"/>
      <c r="K486" s="1"/>
      <c r="L486" s="1"/>
      <c r="M486" s="1"/>
      <c r="N486" s="1"/>
      <c r="O486" s="1"/>
      <c r="P486" s="1"/>
      <c r="Q486" s="1"/>
      <c r="R486" s="1"/>
      <c r="S486" s="1"/>
      <c r="T486" s="1"/>
      <c r="U486" s="2"/>
      <c r="V486" s="1"/>
      <c r="W486" s="1"/>
      <c r="X486" s="1"/>
      <c r="Y486" s="1"/>
      <c r="Z486" s="1"/>
    </row>
    <row r="487" spans="1:26" ht="24.75" customHeight="1">
      <c r="A487" s="1"/>
      <c r="B487" s="1"/>
      <c r="C487" s="1"/>
      <c r="D487" s="1"/>
      <c r="E487" s="1"/>
      <c r="F487" s="1"/>
      <c r="G487" s="1"/>
      <c r="H487" s="1"/>
      <c r="I487" s="1"/>
      <c r="J487" s="1"/>
      <c r="K487" s="1"/>
      <c r="L487" s="1"/>
      <c r="M487" s="1"/>
      <c r="N487" s="1"/>
      <c r="O487" s="1"/>
      <c r="P487" s="1"/>
      <c r="Q487" s="1"/>
      <c r="R487" s="1"/>
      <c r="S487" s="1"/>
      <c r="T487" s="1"/>
      <c r="U487" s="2"/>
      <c r="V487" s="1"/>
      <c r="W487" s="1"/>
      <c r="X487" s="1"/>
      <c r="Y487" s="1"/>
      <c r="Z487" s="1"/>
    </row>
    <row r="488" spans="1:26" ht="24.75" customHeight="1">
      <c r="A488" s="1"/>
      <c r="B488" s="1"/>
      <c r="C488" s="1"/>
      <c r="D488" s="1"/>
      <c r="E488" s="1"/>
      <c r="F488" s="1"/>
      <c r="G488" s="1"/>
      <c r="H488" s="1"/>
      <c r="I488" s="1"/>
      <c r="J488" s="1"/>
      <c r="K488" s="1"/>
      <c r="L488" s="1"/>
      <c r="M488" s="1"/>
      <c r="N488" s="1"/>
      <c r="O488" s="1"/>
      <c r="P488" s="1"/>
      <c r="Q488" s="1"/>
      <c r="R488" s="1"/>
      <c r="S488" s="1"/>
      <c r="T488" s="1"/>
      <c r="U488" s="2"/>
      <c r="V488" s="1"/>
      <c r="W488" s="1"/>
      <c r="X488" s="1"/>
      <c r="Y488" s="1"/>
      <c r="Z488" s="1"/>
    </row>
    <row r="489" spans="1:26" ht="24.75" customHeight="1">
      <c r="A489" s="1"/>
      <c r="B489" s="1"/>
      <c r="C489" s="1"/>
      <c r="D489" s="1"/>
      <c r="E489" s="1"/>
      <c r="F489" s="1"/>
      <c r="G489" s="1"/>
      <c r="H489" s="1"/>
      <c r="I489" s="1"/>
      <c r="J489" s="1"/>
      <c r="K489" s="1"/>
      <c r="L489" s="1"/>
      <c r="M489" s="1"/>
      <c r="N489" s="1"/>
      <c r="O489" s="1"/>
      <c r="P489" s="1"/>
      <c r="Q489" s="1"/>
      <c r="R489" s="1"/>
      <c r="S489" s="1"/>
      <c r="T489" s="1"/>
      <c r="U489" s="2"/>
      <c r="V489" s="1"/>
      <c r="W489" s="1"/>
      <c r="X489" s="1"/>
      <c r="Y489" s="1"/>
      <c r="Z489" s="1"/>
    </row>
    <row r="490" spans="1:26" ht="24.75" customHeight="1">
      <c r="A490" s="1"/>
      <c r="B490" s="1"/>
      <c r="C490" s="1"/>
      <c r="D490" s="1"/>
      <c r="E490" s="1"/>
      <c r="F490" s="1"/>
      <c r="G490" s="1"/>
      <c r="H490" s="1"/>
      <c r="I490" s="1"/>
      <c r="J490" s="1"/>
      <c r="K490" s="1"/>
      <c r="L490" s="1"/>
      <c r="M490" s="1"/>
      <c r="N490" s="1"/>
      <c r="O490" s="1"/>
      <c r="P490" s="1"/>
      <c r="Q490" s="1"/>
      <c r="R490" s="1"/>
      <c r="S490" s="1"/>
      <c r="T490" s="1"/>
      <c r="U490" s="2"/>
      <c r="V490" s="1"/>
      <c r="W490" s="1"/>
      <c r="X490" s="1"/>
      <c r="Y490" s="1"/>
      <c r="Z490" s="1"/>
    </row>
    <row r="491" spans="1:26" ht="24.75" customHeight="1">
      <c r="A491" s="1"/>
      <c r="B491" s="1"/>
      <c r="C491" s="1"/>
      <c r="D491" s="1"/>
      <c r="E491" s="1"/>
      <c r="F491" s="1"/>
      <c r="G491" s="1"/>
      <c r="H491" s="1"/>
      <c r="I491" s="1"/>
      <c r="J491" s="1"/>
      <c r="K491" s="1"/>
      <c r="L491" s="1"/>
      <c r="M491" s="1"/>
      <c r="N491" s="1"/>
      <c r="O491" s="1"/>
      <c r="P491" s="1"/>
      <c r="Q491" s="1"/>
      <c r="R491" s="1"/>
      <c r="S491" s="1"/>
      <c r="T491" s="1"/>
      <c r="U491" s="2"/>
      <c r="V491" s="1"/>
      <c r="W491" s="1"/>
      <c r="X491" s="1"/>
      <c r="Y491" s="1"/>
      <c r="Z491" s="1"/>
    </row>
    <row r="492" spans="1:26" ht="24.75" customHeight="1">
      <c r="A492" s="1"/>
      <c r="B492" s="1"/>
      <c r="C492" s="1"/>
      <c r="D492" s="1"/>
      <c r="E492" s="1"/>
      <c r="F492" s="1"/>
      <c r="G492" s="1"/>
      <c r="H492" s="1"/>
      <c r="I492" s="1"/>
      <c r="J492" s="1"/>
      <c r="K492" s="1"/>
      <c r="L492" s="1"/>
      <c r="M492" s="1"/>
      <c r="N492" s="1"/>
      <c r="O492" s="1"/>
      <c r="P492" s="1"/>
      <c r="Q492" s="1"/>
      <c r="R492" s="1"/>
      <c r="S492" s="1"/>
      <c r="T492" s="1"/>
      <c r="U492" s="2"/>
      <c r="V492" s="1"/>
      <c r="W492" s="1"/>
      <c r="X492" s="1"/>
      <c r="Y492" s="1"/>
      <c r="Z492" s="1"/>
    </row>
    <row r="493" spans="1:26" ht="24.75" customHeight="1">
      <c r="A493" s="1"/>
      <c r="B493" s="1"/>
      <c r="C493" s="1"/>
      <c r="D493" s="1"/>
      <c r="E493" s="1"/>
      <c r="F493" s="1"/>
      <c r="G493" s="1"/>
      <c r="H493" s="1"/>
      <c r="I493" s="1"/>
      <c r="J493" s="1"/>
      <c r="K493" s="1"/>
      <c r="L493" s="1"/>
      <c r="M493" s="1"/>
      <c r="N493" s="1"/>
      <c r="O493" s="1"/>
      <c r="P493" s="1"/>
      <c r="Q493" s="1"/>
      <c r="R493" s="1"/>
      <c r="S493" s="1"/>
      <c r="T493" s="1"/>
      <c r="U493" s="2"/>
      <c r="V493" s="1"/>
      <c r="W493" s="1"/>
      <c r="X493" s="1"/>
      <c r="Y493" s="1"/>
      <c r="Z493" s="1"/>
    </row>
    <row r="494" spans="1:26" ht="24.75" customHeight="1">
      <c r="A494" s="1"/>
      <c r="B494" s="1"/>
      <c r="C494" s="1"/>
      <c r="D494" s="1"/>
      <c r="E494" s="1"/>
      <c r="F494" s="1"/>
      <c r="G494" s="1"/>
      <c r="H494" s="1"/>
      <c r="I494" s="1"/>
      <c r="J494" s="1"/>
      <c r="K494" s="1"/>
      <c r="L494" s="1"/>
      <c r="M494" s="1"/>
      <c r="N494" s="1"/>
      <c r="O494" s="1"/>
      <c r="P494" s="1"/>
      <c r="Q494" s="1"/>
      <c r="R494" s="1"/>
      <c r="S494" s="1"/>
      <c r="T494" s="1"/>
      <c r="U494" s="2"/>
      <c r="V494" s="1"/>
      <c r="W494" s="1"/>
      <c r="X494" s="1"/>
      <c r="Y494" s="1"/>
      <c r="Z494" s="1"/>
    </row>
    <row r="495" spans="1:26" ht="24.75" customHeight="1">
      <c r="A495" s="1"/>
      <c r="B495" s="1"/>
      <c r="C495" s="1"/>
      <c r="D495" s="1"/>
      <c r="E495" s="1"/>
      <c r="F495" s="1"/>
      <c r="G495" s="1"/>
      <c r="H495" s="1"/>
      <c r="I495" s="1"/>
      <c r="J495" s="1"/>
      <c r="K495" s="1"/>
      <c r="L495" s="1"/>
      <c r="M495" s="1"/>
      <c r="N495" s="1"/>
      <c r="O495" s="1"/>
      <c r="P495" s="1"/>
      <c r="Q495" s="1"/>
      <c r="R495" s="1"/>
      <c r="S495" s="1"/>
      <c r="T495" s="1"/>
      <c r="U495" s="2"/>
      <c r="V495" s="1"/>
      <c r="W495" s="1"/>
      <c r="X495" s="1"/>
      <c r="Y495" s="1"/>
      <c r="Z495" s="1"/>
    </row>
    <row r="496" spans="1:26" ht="24.75" customHeight="1">
      <c r="A496" s="1"/>
      <c r="B496" s="1"/>
      <c r="C496" s="1"/>
      <c r="D496" s="1"/>
      <c r="E496" s="1"/>
      <c r="F496" s="1"/>
      <c r="G496" s="1"/>
      <c r="H496" s="1"/>
      <c r="I496" s="1"/>
      <c r="J496" s="1"/>
      <c r="K496" s="1"/>
      <c r="L496" s="1"/>
      <c r="M496" s="1"/>
      <c r="N496" s="1"/>
      <c r="O496" s="1"/>
      <c r="P496" s="1"/>
      <c r="Q496" s="1"/>
      <c r="R496" s="1"/>
      <c r="S496" s="1"/>
      <c r="T496" s="1"/>
      <c r="U496" s="2"/>
      <c r="V496" s="1"/>
      <c r="W496" s="1"/>
      <c r="X496" s="1"/>
      <c r="Y496" s="1"/>
      <c r="Z496" s="1"/>
    </row>
    <row r="497" spans="1:26" ht="24.75" customHeight="1">
      <c r="A497" s="1"/>
      <c r="B497" s="1"/>
      <c r="C497" s="1"/>
      <c r="D497" s="1"/>
      <c r="E497" s="1"/>
      <c r="F497" s="1"/>
      <c r="G497" s="1"/>
      <c r="H497" s="1"/>
      <c r="I497" s="1"/>
      <c r="J497" s="1"/>
      <c r="K497" s="1"/>
      <c r="L497" s="1"/>
      <c r="M497" s="1"/>
      <c r="N497" s="1"/>
      <c r="O497" s="1"/>
      <c r="P497" s="1"/>
      <c r="Q497" s="1"/>
      <c r="R497" s="1"/>
      <c r="S497" s="1"/>
      <c r="T497" s="1"/>
      <c r="U497" s="2"/>
      <c r="V497" s="1"/>
      <c r="W497" s="1"/>
      <c r="X497" s="1"/>
      <c r="Y497" s="1"/>
      <c r="Z497" s="1"/>
    </row>
    <row r="498" spans="1:26" ht="24.75" customHeight="1">
      <c r="A498" s="1"/>
      <c r="B498" s="1"/>
      <c r="C498" s="1"/>
      <c r="D498" s="1"/>
      <c r="E498" s="1"/>
      <c r="F498" s="1"/>
      <c r="G498" s="1"/>
      <c r="H498" s="1"/>
      <c r="I498" s="1"/>
      <c r="J498" s="1"/>
      <c r="K498" s="1"/>
      <c r="L498" s="1"/>
      <c r="M498" s="1"/>
      <c r="N498" s="1"/>
      <c r="O498" s="1"/>
      <c r="P498" s="1"/>
      <c r="Q498" s="1"/>
      <c r="R498" s="1"/>
      <c r="S498" s="1"/>
      <c r="T498" s="1"/>
      <c r="U498" s="2"/>
      <c r="V498" s="1"/>
      <c r="W498" s="1"/>
      <c r="X498" s="1"/>
      <c r="Y498" s="1"/>
      <c r="Z498" s="1"/>
    </row>
    <row r="499" spans="1:26" ht="24.75" customHeight="1">
      <c r="A499" s="1"/>
      <c r="B499" s="1"/>
      <c r="C499" s="1"/>
      <c r="D499" s="1"/>
      <c r="E499" s="1"/>
      <c r="F499" s="1"/>
      <c r="G499" s="1"/>
      <c r="H499" s="1"/>
      <c r="I499" s="1"/>
      <c r="J499" s="1"/>
      <c r="K499" s="1"/>
      <c r="L499" s="1"/>
      <c r="M499" s="1"/>
      <c r="N499" s="1"/>
      <c r="O499" s="1"/>
      <c r="P499" s="1"/>
      <c r="Q499" s="1"/>
      <c r="R499" s="1"/>
      <c r="S499" s="1"/>
      <c r="T499" s="1"/>
      <c r="U499" s="2"/>
      <c r="V499" s="1"/>
      <c r="W499" s="1"/>
      <c r="X499" s="1"/>
      <c r="Y499" s="1"/>
      <c r="Z499" s="1"/>
    </row>
    <row r="500" spans="1:26" ht="24.75" customHeight="1">
      <c r="A500" s="1"/>
      <c r="B500" s="1"/>
      <c r="C500" s="1"/>
      <c r="D500" s="1"/>
      <c r="E500" s="1"/>
      <c r="F500" s="1"/>
      <c r="G500" s="1"/>
      <c r="H500" s="1"/>
      <c r="I500" s="1"/>
      <c r="J500" s="1"/>
      <c r="K500" s="1"/>
      <c r="L500" s="1"/>
      <c r="M500" s="1"/>
      <c r="N500" s="1"/>
      <c r="O500" s="1"/>
      <c r="P500" s="1"/>
      <c r="Q500" s="1"/>
      <c r="R500" s="1"/>
      <c r="S500" s="1"/>
      <c r="T500" s="1"/>
      <c r="U500" s="2"/>
      <c r="V500" s="1"/>
      <c r="W500" s="1"/>
      <c r="X500" s="1"/>
      <c r="Y500" s="1"/>
      <c r="Z500" s="1"/>
    </row>
    <row r="501" spans="1:26" ht="24.75" customHeight="1">
      <c r="A501" s="1"/>
      <c r="B501" s="1"/>
      <c r="C501" s="1"/>
      <c r="D501" s="1"/>
      <c r="E501" s="1"/>
      <c r="F501" s="1"/>
      <c r="G501" s="1"/>
      <c r="H501" s="1"/>
      <c r="I501" s="1"/>
      <c r="J501" s="1"/>
      <c r="K501" s="1"/>
      <c r="L501" s="1"/>
      <c r="M501" s="1"/>
      <c r="N501" s="1"/>
      <c r="O501" s="1"/>
      <c r="P501" s="1"/>
      <c r="Q501" s="1"/>
      <c r="R501" s="1"/>
      <c r="S501" s="1"/>
      <c r="T501" s="1"/>
      <c r="U501" s="2"/>
      <c r="V501" s="1"/>
      <c r="W501" s="1"/>
      <c r="X501" s="1"/>
      <c r="Y501" s="1"/>
      <c r="Z501" s="1"/>
    </row>
    <row r="502" spans="1:26" ht="24.75" customHeight="1">
      <c r="A502" s="1"/>
      <c r="B502" s="1"/>
      <c r="C502" s="1"/>
      <c r="D502" s="1"/>
      <c r="E502" s="1"/>
      <c r="F502" s="1"/>
      <c r="G502" s="1"/>
      <c r="H502" s="1"/>
      <c r="I502" s="1"/>
      <c r="J502" s="1"/>
      <c r="K502" s="1"/>
      <c r="L502" s="1"/>
      <c r="M502" s="1"/>
      <c r="N502" s="1"/>
      <c r="O502" s="1"/>
      <c r="P502" s="1"/>
      <c r="Q502" s="1"/>
      <c r="R502" s="1"/>
      <c r="S502" s="1"/>
      <c r="T502" s="1"/>
      <c r="U502" s="2"/>
      <c r="V502" s="1"/>
      <c r="W502" s="1"/>
      <c r="X502" s="1"/>
      <c r="Y502" s="1"/>
      <c r="Z502" s="1"/>
    </row>
    <row r="503" spans="1:26" ht="24.75" customHeight="1">
      <c r="A503" s="1"/>
      <c r="B503" s="1"/>
      <c r="C503" s="1"/>
      <c r="D503" s="1"/>
      <c r="E503" s="1"/>
      <c r="F503" s="1"/>
      <c r="G503" s="1"/>
      <c r="H503" s="1"/>
      <c r="I503" s="1"/>
      <c r="J503" s="1"/>
      <c r="K503" s="1"/>
      <c r="L503" s="1"/>
      <c r="M503" s="1"/>
      <c r="N503" s="1"/>
      <c r="O503" s="1"/>
      <c r="P503" s="1"/>
      <c r="Q503" s="1"/>
      <c r="R503" s="1"/>
      <c r="S503" s="1"/>
      <c r="T503" s="1"/>
      <c r="U503" s="2"/>
      <c r="V503" s="1"/>
      <c r="W503" s="1"/>
      <c r="X503" s="1"/>
      <c r="Y503" s="1"/>
      <c r="Z503" s="1"/>
    </row>
    <row r="504" spans="1:26" ht="24.75" customHeight="1">
      <c r="A504" s="1"/>
      <c r="B504" s="1"/>
      <c r="C504" s="1"/>
      <c r="D504" s="1"/>
      <c r="E504" s="1"/>
      <c r="F504" s="1"/>
      <c r="G504" s="1"/>
      <c r="H504" s="1"/>
      <c r="I504" s="1"/>
      <c r="J504" s="1"/>
      <c r="K504" s="1"/>
      <c r="L504" s="1"/>
      <c r="M504" s="1"/>
      <c r="N504" s="1"/>
      <c r="O504" s="1"/>
      <c r="P504" s="1"/>
      <c r="Q504" s="1"/>
      <c r="R504" s="1"/>
      <c r="S504" s="1"/>
      <c r="T504" s="1"/>
      <c r="U504" s="2"/>
      <c r="V504" s="1"/>
      <c r="W504" s="1"/>
      <c r="X504" s="1"/>
      <c r="Y504" s="1"/>
      <c r="Z504" s="1"/>
    </row>
    <row r="505" spans="1:26" ht="24.75" customHeight="1">
      <c r="A505" s="1"/>
      <c r="B505" s="1"/>
      <c r="C505" s="1"/>
      <c r="D505" s="1"/>
      <c r="E505" s="1"/>
      <c r="F505" s="1"/>
      <c r="G505" s="1"/>
      <c r="H505" s="1"/>
      <c r="I505" s="1"/>
      <c r="J505" s="1"/>
      <c r="K505" s="1"/>
      <c r="L505" s="1"/>
      <c r="M505" s="1"/>
      <c r="N505" s="1"/>
      <c r="O505" s="1"/>
      <c r="P505" s="1"/>
      <c r="Q505" s="1"/>
      <c r="R505" s="1"/>
      <c r="S505" s="1"/>
      <c r="T505" s="1"/>
      <c r="U505" s="2"/>
      <c r="V505" s="1"/>
      <c r="W505" s="1"/>
      <c r="X505" s="1"/>
      <c r="Y505" s="1"/>
      <c r="Z505" s="1"/>
    </row>
    <row r="506" spans="1:26" ht="24.75" customHeight="1">
      <c r="A506" s="1"/>
      <c r="B506" s="1"/>
      <c r="C506" s="1"/>
      <c r="D506" s="1"/>
      <c r="E506" s="1"/>
      <c r="F506" s="1"/>
      <c r="G506" s="1"/>
      <c r="H506" s="1"/>
      <c r="I506" s="1"/>
      <c r="J506" s="1"/>
      <c r="K506" s="1"/>
      <c r="L506" s="1"/>
      <c r="M506" s="1"/>
      <c r="N506" s="1"/>
      <c r="O506" s="1"/>
      <c r="P506" s="1"/>
      <c r="Q506" s="1"/>
      <c r="R506" s="1"/>
      <c r="S506" s="1"/>
      <c r="T506" s="1"/>
      <c r="U506" s="2"/>
      <c r="V506" s="1"/>
      <c r="W506" s="1"/>
      <c r="X506" s="1"/>
      <c r="Y506" s="1"/>
      <c r="Z506" s="1"/>
    </row>
    <row r="507" spans="1:26" ht="24.75" customHeight="1">
      <c r="A507" s="1"/>
      <c r="B507" s="1"/>
      <c r="C507" s="1"/>
      <c r="D507" s="1"/>
      <c r="E507" s="1"/>
      <c r="F507" s="1"/>
      <c r="G507" s="1"/>
      <c r="H507" s="1"/>
      <c r="I507" s="1"/>
      <c r="J507" s="1"/>
      <c r="K507" s="1"/>
      <c r="L507" s="1"/>
      <c r="M507" s="1"/>
      <c r="N507" s="1"/>
      <c r="O507" s="1"/>
      <c r="P507" s="1"/>
      <c r="Q507" s="1"/>
      <c r="R507" s="1"/>
      <c r="S507" s="1"/>
      <c r="T507" s="1"/>
      <c r="U507" s="2"/>
      <c r="V507" s="1"/>
      <c r="W507" s="1"/>
      <c r="X507" s="1"/>
      <c r="Y507" s="1"/>
      <c r="Z507" s="1"/>
    </row>
    <row r="508" spans="1:26" ht="24.75" customHeight="1">
      <c r="A508" s="1"/>
      <c r="B508" s="1"/>
      <c r="C508" s="1"/>
      <c r="D508" s="1"/>
      <c r="E508" s="1"/>
      <c r="F508" s="1"/>
      <c r="G508" s="1"/>
      <c r="H508" s="1"/>
      <c r="I508" s="1"/>
      <c r="J508" s="1"/>
      <c r="K508" s="1"/>
      <c r="L508" s="1"/>
      <c r="M508" s="1"/>
      <c r="N508" s="1"/>
      <c r="O508" s="1"/>
      <c r="P508" s="1"/>
      <c r="Q508" s="1"/>
      <c r="R508" s="1"/>
      <c r="S508" s="1"/>
      <c r="T508" s="1"/>
      <c r="U508" s="2"/>
      <c r="V508" s="1"/>
      <c r="W508" s="1"/>
      <c r="X508" s="1"/>
      <c r="Y508" s="1"/>
      <c r="Z508" s="1"/>
    </row>
    <row r="509" spans="1:26" ht="24.75" customHeight="1">
      <c r="A509" s="1"/>
      <c r="B509" s="1"/>
      <c r="C509" s="1"/>
      <c r="D509" s="1"/>
      <c r="E509" s="1"/>
      <c r="F509" s="1"/>
      <c r="G509" s="1"/>
      <c r="H509" s="1"/>
      <c r="I509" s="1"/>
      <c r="J509" s="1"/>
      <c r="K509" s="1"/>
      <c r="L509" s="1"/>
      <c r="M509" s="1"/>
      <c r="N509" s="1"/>
      <c r="O509" s="1"/>
      <c r="P509" s="1"/>
      <c r="Q509" s="1"/>
      <c r="R509" s="1"/>
      <c r="S509" s="1"/>
      <c r="T509" s="1"/>
      <c r="U509" s="2"/>
      <c r="V509" s="1"/>
      <c r="W509" s="1"/>
      <c r="X509" s="1"/>
      <c r="Y509" s="1"/>
      <c r="Z509" s="1"/>
    </row>
    <row r="510" spans="1:26" ht="24.75" customHeight="1">
      <c r="A510" s="1"/>
      <c r="B510" s="1"/>
      <c r="C510" s="1"/>
      <c r="D510" s="1"/>
      <c r="E510" s="1"/>
      <c r="F510" s="1"/>
      <c r="G510" s="1"/>
      <c r="H510" s="1"/>
      <c r="I510" s="1"/>
      <c r="J510" s="1"/>
      <c r="K510" s="1"/>
      <c r="L510" s="1"/>
      <c r="M510" s="1"/>
      <c r="N510" s="1"/>
      <c r="O510" s="1"/>
      <c r="P510" s="1"/>
      <c r="Q510" s="1"/>
      <c r="R510" s="1"/>
      <c r="S510" s="1"/>
      <c r="T510" s="1"/>
      <c r="U510" s="2"/>
      <c r="V510" s="1"/>
      <c r="W510" s="1"/>
      <c r="X510" s="1"/>
      <c r="Y510" s="1"/>
      <c r="Z510" s="1"/>
    </row>
    <row r="511" spans="1:26" ht="24.75" customHeight="1">
      <c r="A511" s="1"/>
      <c r="B511" s="1"/>
      <c r="C511" s="1"/>
      <c r="D511" s="1"/>
      <c r="E511" s="1"/>
      <c r="F511" s="1"/>
      <c r="G511" s="1"/>
      <c r="H511" s="1"/>
      <c r="I511" s="1"/>
      <c r="J511" s="1"/>
      <c r="K511" s="1"/>
      <c r="L511" s="1"/>
      <c r="M511" s="1"/>
      <c r="N511" s="1"/>
      <c r="O511" s="1"/>
      <c r="P511" s="1"/>
      <c r="Q511" s="1"/>
      <c r="R511" s="1"/>
      <c r="S511" s="1"/>
      <c r="T511" s="1"/>
      <c r="U511" s="2"/>
      <c r="V511" s="1"/>
      <c r="W511" s="1"/>
      <c r="X511" s="1"/>
      <c r="Y511" s="1"/>
      <c r="Z511" s="1"/>
    </row>
    <row r="512" spans="1:26" ht="24.75" customHeight="1">
      <c r="A512" s="1"/>
      <c r="B512" s="1"/>
      <c r="C512" s="1"/>
      <c r="D512" s="1"/>
      <c r="E512" s="1"/>
      <c r="F512" s="1"/>
      <c r="G512" s="1"/>
      <c r="H512" s="1"/>
      <c r="I512" s="1"/>
      <c r="J512" s="1"/>
      <c r="K512" s="1"/>
      <c r="L512" s="1"/>
      <c r="M512" s="1"/>
      <c r="N512" s="1"/>
      <c r="O512" s="1"/>
      <c r="P512" s="1"/>
      <c r="Q512" s="1"/>
      <c r="R512" s="1"/>
      <c r="S512" s="1"/>
      <c r="T512" s="1"/>
      <c r="U512" s="2"/>
      <c r="V512" s="1"/>
      <c r="W512" s="1"/>
      <c r="X512" s="1"/>
      <c r="Y512" s="1"/>
      <c r="Z512" s="1"/>
    </row>
    <row r="513" spans="1:26" ht="24.75" customHeight="1">
      <c r="A513" s="1"/>
      <c r="B513" s="1"/>
      <c r="C513" s="1"/>
      <c r="D513" s="1"/>
      <c r="E513" s="1"/>
      <c r="F513" s="1"/>
      <c r="G513" s="1"/>
      <c r="H513" s="1"/>
      <c r="I513" s="1"/>
      <c r="J513" s="1"/>
      <c r="K513" s="1"/>
      <c r="L513" s="1"/>
      <c r="M513" s="1"/>
      <c r="N513" s="1"/>
      <c r="O513" s="1"/>
      <c r="P513" s="1"/>
      <c r="Q513" s="1"/>
      <c r="R513" s="1"/>
      <c r="S513" s="1"/>
      <c r="T513" s="1"/>
      <c r="U513" s="2"/>
      <c r="V513" s="1"/>
      <c r="W513" s="1"/>
      <c r="X513" s="1"/>
      <c r="Y513" s="1"/>
      <c r="Z513" s="1"/>
    </row>
    <row r="514" spans="1:26" ht="24.75" customHeight="1">
      <c r="A514" s="1"/>
      <c r="B514" s="1"/>
      <c r="C514" s="1"/>
      <c r="D514" s="1"/>
      <c r="E514" s="1"/>
      <c r="F514" s="1"/>
      <c r="G514" s="1"/>
      <c r="H514" s="1"/>
      <c r="I514" s="1"/>
      <c r="J514" s="1"/>
      <c r="K514" s="1"/>
      <c r="L514" s="1"/>
      <c r="M514" s="1"/>
      <c r="N514" s="1"/>
      <c r="O514" s="1"/>
      <c r="P514" s="1"/>
      <c r="Q514" s="1"/>
      <c r="R514" s="1"/>
      <c r="S514" s="1"/>
      <c r="T514" s="1"/>
      <c r="U514" s="2"/>
      <c r="V514" s="1"/>
      <c r="W514" s="1"/>
      <c r="X514" s="1"/>
      <c r="Y514" s="1"/>
      <c r="Z514" s="1"/>
    </row>
    <row r="515" spans="1:26" ht="24.75" customHeight="1">
      <c r="A515" s="1"/>
      <c r="B515" s="1"/>
      <c r="C515" s="1"/>
      <c r="D515" s="1"/>
      <c r="E515" s="1"/>
      <c r="F515" s="1"/>
      <c r="G515" s="1"/>
      <c r="H515" s="1"/>
      <c r="I515" s="1"/>
      <c r="J515" s="1"/>
      <c r="K515" s="1"/>
      <c r="L515" s="1"/>
      <c r="M515" s="1"/>
      <c r="N515" s="1"/>
      <c r="O515" s="1"/>
      <c r="P515" s="1"/>
      <c r="Q515" s="1"/>
      <c r="R515" s="1"/>
      <c r="S515" s="1"/>
      <c r="T515" s="1"/>
      <c r="U515" s="2"/>
      <c r="V515" s="1"/>
      <c r="W515" s="1"/>
      <c r="X515" s="1"/>
      <c r="Y515" s="1"/>
      <c r="Z515" s="1"/>
    </row>
    <row r="516" spans="1:26" ht="24.75" customHeight="1">
      <c r="A516" s="1"/>
      <c r="B516" s="1"/>
      <c r="C516" s="1"/>
      <c r="D516" s="1"/>
      <c r="E516" s="1"/>
      <c r="F516" s="1"/>
      <c r="G516" s="1"/>
      <c r="H516" s="1"/>
      <c r="I516" s="1"/>
      <c r="J516" s="1"/>
      <c r="K516" s="1"/>
      <c r="L516" s="1"/>
      <c r="M516" s="1"/>
      <c r="N516" s="1"/>
      <c r="O516" s="1"/>
      <c r="P516" s="1"/>
      <c r="Q516" s="1"/>
      <c r="R516" s="1"/>
      <c r="S516" s="1"/>
      <c r="T516" s="1"/>
      <c r="U516" s="2"/>
      <c r="V516" s="1"/>
      <c r="W516" s="1"/>
      <c r="X516" s="1"/>
      <c r="Y516" s="1"/>
      <c r="Z516" s="1"/>
    </row>
    <row r="517" spans="1:26" ht="24.75" customHeight="1">
      <c r="A517" s="1"/>
      <c r="B517" s="1"/>
      <c r="C517" s="1"/>
      <c r="D517" s="1"/>
      <c r="E517" s="1"/>
      <c r="F517" s="1"/>
      <c r="G517" s="1"/>
      <c r="H517" s="1"/>
      <c r="I517" s="1"/>
      <c r="J517" s="1"/>
      <c r="K517" s="1"/>
      <c r="L517" s="1"/>
      <c r="M517" s="1"/>
      <c r="N517" s="1"/>
      <c r="O517" s="1"/>
      <c r="P517" s="1"/>
      <c r="Q517" s="1"/>
      <c r="R517" s="1"/>
      <c r="S517" s="1"/>
      <c r="T517" s="1"/>
      <c r="U517" s="2"/>
      <c r="V517" s="1"/>
      <c r="W517" s="1"/>
      <c r="X517" s="1"/>
      <c r="Y517" s="1"/>
      <c r="Z517" s="1"/>
    </row>
    <row r="518" spans="1:26" ht="24.75" customHeight="1">
      <c r="A518" s="1"/>
      <c r="B518" s="1"/>
      <c r="C518" s="1"/>
      <c r="D518" s="1"/>
      <c r="E518" s="1"/>
      <c r="F518" s="1"/>
      <c r="G518" s="1"/>
      <c r="H518" s="1"/>
      <c r="I518" s="1"/>
      <c r="J518" s="1"/>
      <c r="K518" s="1"/>
      <c r="L518" s="1"/>
      <c r="M518" s="1"/>
      <c r="N518" s="1"/>
      <c r="O518" s="1"/>
      <c r="P518" s="1"/>
      <c r="Q518" s="1"/>
      <c r="R518" s="1"/>
      <c r="S518" s="1"/>
      <c r="T518" s="1"/>
      <c r="U518" s="2"/>
      <c r="V518" s="1"/>
      <c r="W518" s="1"/>
      <c r="X518" s="1"/>
      <c r="Y518" s="1"/>
      <c r="Z518" s="1"/>
    </row>
    <row r="519" spans="1:26" ht="24.75" customHeight="1">
      <c r="A519" s="1"/>
      <c r="B519" s="1"/>
      <c r="C519" s="1"/>
      <c r="D519" s="1"/>
      <c r="E519" s="1"/>
      <c r="F519" s="1"/>
      <c r="G519" s="1"/>
      <c r="H519" s="1"/>
      <c r="I519" s="1"/>
      <c r="J519" s="1"/>
      <c r="K519" s="1"/>
      <c r="L519" s="1"/>
      <c r="M519" s="1"/>
      <c r="N519" s="1"/>
      <c r="O519" s="1"/>
      <c r="P519" s="1"/>
      <c r="Q519" s="1"/>
      <c r="R519" s="1"/>
      <c r="S519" s="1"/>
      <c r="T519" s="1"/>
      <c r="U519" s="2"/>
      <c r="V519" s="1"/>
      <c r="W519" s="1"/>
      <c r="X519" s="1"/>
      <c r="Y519" s="1"/>
      <c r="Z519" s="1"/>
    </row>
    <row r="520" spans="1:26" ht="24.75" customHeight="1">
      <c r="A520" s="1"/>
      <c r="B520" s="1"/>
      <c r="C520" s="1"/>
      <c r="D520" s="1"/>
      <c r="E520" s="1"/>
      <c r="F520" s="1"/>
      <c r="G520" s="1"/>
      <c r="H520" s="1"/>
      <c r="I520" s="1"/>
      <c r="J520" s="1"/>
      <c r="K520" s="1"/>
      <c r="L520" s="1"/>
      <c r="M520" s="1"/>
      <c r="N520" s="1"/>
      <c r="O520" s="1"/>
      <c r="P520" s="1"/>
      <c r="Q520" s="1"/>
      <c r="R520" s="1"/>
      <c r="S520" s="1"/>
      <c r="T520" s="1"/>
      <c r="U520" s="2"/>
      <c r="V520" s="1"/>
      <c r="W520" s="1"/>
      <c r="X520" s="1"/>
      <c r="Y520" s="1"/>
      <c r="Z520" s="1"/>
    </row>
    <row r="521" spans="1:26" ht="24.75" customHeight="1">
      <c r="A521" s="1"/>
      <c r="B521" s="1"/>
      <c r="C521" s="1"/>
      <c r="D521" s="1"/>
      <c r="E521" s="1"/>
      <c r="F521" s="1"/>
      <c r="G521" s="1"/>
      <c r="H521" s="1"/>
      <c r="I521" s="1"/>
      <c r="J521" s="1"/>
      <c r="K521" s="1"/>
      <c r="L521" s="1"/>
      <c r="M521" s="1"/>
      <c r="N521" s="1"/>
      <c r="O521" s="1"/>
      <c r="P521" s="1"/>
      <c r="Q521" s="1"/>
      <c r="R521" s="1"/>
      <c r="S521" s="1"/>
      <c r="T521" s="1"/>
      <c r="U521" s="2"/>
      <c r="V521" s="1"/>
      <c r="W521" s="1"/>
      <c r="X521" s="1"/>
      <c r="Y521" s="1"/>
      <c r="Z521" s="1"/>
    </row>
    <row r="522" spans="1:26" ht="24.75" customHeight="1">
      <c r="A522" s="1"/>
      <c r="B522" s="1"/>
      <c r="C522" s="1"/>
      <c r="D522" s="1"/>
      <c r="E522" s="1"/>
      <c r="F522" s="1"/>
      <c r="G522" s="1"/>
      <c r="H522" s="1"/>
      <c r="I522" s="1"/>
      <c r="J522" s="1"/>
      <c r="K522" s="1"/>
      <c r="L522" s="1"/>
      <c r="M522" s="1"/>
      <c r="N522" s="1"/>
      <c r="O522" s="1"/>
      <c r="P522" s="1"/>
      <c r="Q522" s="1"/>
      <c r="R522" s="1"/>
      <c r="S522" s="1"/>
      <c r="T522" s="1"/>
      <c r="U522" s="2"/>
      <c r="V522" s="1"/>
      <c r="W522" s="1"/>
      <c r="X522" s="1"/>
      <c r="Y522" s="1"/>
      <c r="Z522" s="1"/>
    </row>
    <row r="523" spans="1:26" ht="24.75" customHeight="1">
      <c r="A523" s="1"/>
      <c r="B523" s="1"/>
      <c r="C523" s="1"/>
      <c r="D523" s="1"/>
      <c r="E523" s="1"/>
      <c r="F523" s="1"/>
      <c r="G523" s="1"/>
      <c r="H523" s="1"/>
      <c r="I523" s="1"/>
      <c r="J523" s="1"/>
      <c r="K523" s="1"/>
      <c r="L523" s="1"/>
      <c r="M523" s="1"/>
      <c r="N523" s="1"/>
      <c r="O523" s="1"/>
      <c r="P523" s="1"/>
      <c r="Q523" s="1"/>
      <c r="R523" s="1"/>
      <c r="S523" s="1"/>
      <c r="T523" s="1"/>
      <c r="U523" s="2"/>
      <c r="V523" s="1"/>
      <c r="W523" s="1"/>
      <c r="X523" s="1"/>
      <c r="Y523" s="1"/>
      <c r="Z523" s="1"/>
    </row>
    <row r="524" spans="1:26" ht="24.75" customHeight="1">
      <c r="A524" s="1"/>
      <c r="B524" s="1"/>
      <c r="C524" s="1"/>
      <c r="D524" s="1"/>
      <c r="E524" s="1"/>
      <c r="F524" s="1"/>
      <c r="G524" s="1"/>
      <c r="H524" s="1"/>
      <c r="I524" s="1"/>
      <c r="J524" s="1"/>
      <c r="K524" s="1"/>
      <c r="L524" s="1"/>
      <c r="M524" s="1"/>
      <c r="N524" s="1"/>
      <c r="O524" s="1"/>
      <c r="P524" s="1"/>
      <c r="Q524" s="1"/>
      <c r="R524" s="1"/>
      <c r="S524" s="1"/>
      <c r="T524" s="1"/>
      <c r="U524" s="2"/>
      <c r="V524" s="1"/>
      <c r="W524" s="1"/>
      <c r="X524" s="1"/>
      <c r="Y524" s="1"/>
      <c r="Z524" s="1"/>
    </row>
    <row r="525" spans="1:26" ht="24.75" customHeight="1">
      <c r="A525" s="1"/>
      <c r="B525" s="1"/>
      <c r="C525" s="1"/>
      <c r="D525" s="1"/>
      <c r="E525" s="1"/>
      <c r="F525" s="1"/>
      <c r="G525" s="1"/>
      <c r="H525" s="1"/>
      <c r="I525" s="1"/>
      <c r="J525" s="1"/>
      <c r="K525" s="1"/>
      <c r="L525" s="1"/>
      <c r="M525" s="1"/>
      <c r="N525" s="1"/>
      <c r="O525" s="1"/>
      <c r="P525" s="1"/>
      <c r="Q525" s="1"/>
      <c r="R525" s="1"/>
      <c r="S525" s="1"/>
      <c r="T525" s="1"/>
      <c r="U525" s="2"/>
      <c r="V525" s="1"/>
      <c r="W525" s="1"/>
      <c r="X525" s="1"/>
      <c r="Y525" s="1"/>
      <c r="Z525" s="1"/>
    </row>
    <row r="526" spans="1:26" ht="24.75" customHeight="1">
      <c r="A526" s="1"/>
      <c r="B526" s="1"/>
      <c r="C526" s="1"/>
      <c r="D526" s="1"/>
      <c r="E526" s="1"/>
      <c r="F526" s="1"/>
      <c r="G526" s="1"/>
      <c r="H526" s="1"/>
      <c r="I526" s="1"/>
      <c r="J526" s="1"/>
      <c r="K526" s="1"/>
      <c r="L526" s="1"/>
      <c r="M526" s="1"/>
      <c r="N526" s="1"/>
      <c r="O526" s="1"/>
      <c r="P526" s="1"/>
      <c r="Q526" s="1"/>
      <c r="R526" s="1"/>
      <c r="S526" s="1"/>
      <c r="T526" s="1"/>
      <c r="U526" s="2"/>
      <c r="V526" s="1"/>
      <c r="W526" s="1"/>
      <c r="X526" s="1"/>
      <c r="Y526" s="1"/>
      <c r="Z526" s="1"/>
    </row>
    <row r="527" spans="1:26" ht="24.75" customHeight="1">
      <c r="A527" s="1"/>
      <c r="B527" s="1"/>
      <c r="C527" s="1"/>
      <c r="D527" s="1"/>
      <c r="E527" s="1"/>
      <c r="F527" s="1"/>
      <c r="G527" s="1"/>
      <c r="H527" s="1"/>
      <c r="I527" s="1"/>
      <c r="J527" s="1"/>
      <c r="K527" s="1"/>
      <c r="L527" s="1"/>
      <c r="M527" s="1"/>
      <c r="N527" s="1"/>
      <c r="O527" s="1"/>
      <c r="P527" s="1"/>
      <c r="Q527" s="1"/>
      <c r="R527" s="1"/>
      <c r="S527" s="1"/>
      <c r="T527" s="1"/>
      <c r="U527" s="2"/>
      <c r="V527" s="1"/>
      <c r="W527" s="1"/>
      <c r="X527" s="1"/>
      <c r="Y527" s="1"/>
      <c r="Z527" s="1"/>
    </row>
    <row r="528" spans="1:26" ht="24.75" customHeight="1">
      <c r="A528" s="1"/>
      <c r="B528" s="1"/>
      <c r="C528" s="1"/>
      <c r="D528" s="1"/>
      <c r="E528" s="1"/>
      <c r="F528" s="1"/>
      <c r="G528" s="1"/>
      <c r="H528" s="1"/>
      <c r="I528" s="1"/>
      <c r="J528" s="1"/>
      <c r="K528" s="1"/>
      <c r="L528" s="1"/>
      <c r="M528" s="1"/>
      <c r="N528" s="1"/>
      <c r="O528" s="1"/>
      <c r="P528" s="1"/>
      <c r="Q528" s="1"/>
      <c r="R528" s="1"/>
      <c r="S528" s="1"/>
      <c r="T528" s="1"/>
      <c r="U528" s="2"/>
      <c r="V528" s="1"/>
      <c r="W528" s="1"/>
      <c r="X528" s="1"/>
      <c r="Y528" s="1"/>
      <c r="Z528" s="1"/>
    </row>
    <row r="529" spans="1:26" ht="24.75" customHeight="1">
      <c r="A529" s="1"/>
      <c r="B529" s="1"/>
      <c r="C529" s="1"/>
      <c r="D529" s="1"/>
      <c r="E529" s="1"/>
      <c r="F529" s="1"/>
      <c r="G529" s="1"/>
      <c r="H529" s="1"/>
      <c r="I529" s="1"/>
      <c r="J529" s="1"/>
      <c r="K529" s="1"/>
      <c r="L529" s="1"/>
      <c r="M529" s="1"/>
      <c r="N529" s="1"/>
      <c r="O529" s="1"/>
      <c r="P529" s="1"/>
      <c r="Q529" s="1"/>
      <c r="R529" s="1"/>
      <c r="S529" s="1"/>
      <c r="T529" s="1"/>
      <c r="U529" s="2"/>
      <c r="V529" s="1"/>
      <c r="W529" s="1"/>
      <c r="X529" s="1"/>
      <c r="Y529" s="1"/>
      <c r="Z529" s="1"/>
    </row>
    <row r="530" spans="1:26" ht="24.75" customHeight="1">
      <c r="A530" s="1"/>
      <c r="B530" s="1"/>
      <c r="C530" s="1"/>
      <c r="D530" s="1"/>
      <c r="E530" s="1"/>
      <c r="F530" s="1"/>
      <c r="G530" s="1"/>
      <c r="H530" s="1"/>
      <c r="I530" s="1"/>
      <c r="J530" s="1"/>
      <c r="K530" s="1"/>
      <c r="L530" s="1"/>
      <c r="M530" s="1"/>
      <c r="N530" s="1"/>
      <c r="O530" s="1"/>
      <c r="P530" s="1"/>
      <c r="Q530" s="1"/>
      <c r="R530" s="1"/>
      <c r="S530" s="1"/>
      <c r="T530" s="1"/>
      <c r="U530" s="2"/>
      <c r="V530" s="1"/>
      <c r="W530" s="1"/>
      <c r="X530" s="1"/>
      <c r="Y530" s="1"/>
      <c r="Z530" s="1"/>
    </row>
    <row r="531" spans="1:26" ht="24.75" customHeight="1">
      <c r="A531" s="1"/>
      <c r="B531" s="1"/>
      <c r="C531" s="1"/>
      <c r="D531" s="1"/>
      <c r="E531" s="1"/>
      <c r="F531" s="1"/>
      <c r="G531" s="1"/>
      <c r="H531" s="1"/>
      <c r="I531" s="1"/>
      <c r="J531" s="1"/>
      <c r="K531" s="1"/>
      <c r="L531" s="1"/>
      <c r="M531" s="1"/>
      <c r="N531" s="1"/>
      <c r="O531" s="1"/>
      <c r="P531" s="1"/>
      <c r="Q531" s="1"/>
      <c r="R531" s="1"/>
      <c r="S531" s="1"/>
      <c r="T531" s="1"/>
      <c r="U531" s="2"/>
      <c r="V531" s="1"/>
      <c r="W531" s="1"/>
      <c r="X531" s="1"/>
      <c r="Y531" s="1"/>
      <c r="Z531" s="1"/>
    </row>
    <row r="532" spans="1:26" ht="24.75" customHeight="1">
      <c r="A532" s="1"/>
      <c r="B532" s="1"/>
      <c r="C532" s="1"/>
      <c r="D532" s="1"/>
      <c r="E532" s="1"/>
      <c r="F532" s="1"/>
      <c r="G532" s="1"/>
      <c r="H532" s="1"/>
      <c r="I532" s="1"/>
      <c r="J532" s="1"/>
      <c r="K532" s="1"/>
      <c r="L532" s="1"/>
      <c r="M532" s="1"/>
      <c r="N532" s="1"/>
      <c r="O532" s="1"/>
      <c r="P532" s="1"/>
      <c r="Q532" s="1"/>
      <c r="R532" s="1"/>
      <c r="S532" s="1"/>
      <c r="T532" s="1"/>
      <c r="U532" s="2"/>
      <c r="V532" s="1"/>
      <c r="W532" s="1"/>
      <c r="X532" s="1"/>
      <c r="Y532" s="1"/>
      <c r="Z532" s="1"/>
    </row>
    <row r="533" spans="1:26" ht="24.75" customHeight="1">
      <c r="A533" s="1"/>
      <c r="B533" s="1"/>
      <c r="C533" s="1"/>
      <c r="D533" s="1"/>
      <c r="E533" s="1"/>
      <c r="F533" s="1"/>
      <c r="G533" s="1"/>
      <c r="H533" s="1"/>
      <c r="I533" s="1"/>
      <c r="J533" s="1"/>
      <c r="K533" s="1"/>
      <c r="L533" s="1"/>
      <c r="M533" s="1"/>
      <c r="N533" s="1"/>
      <c r="O533" s="1"/>
      <c r="P533" s="1"/>
      <c r="Q533" s="1"/>
      <c r="R533" s="1"/>
      <c r="S533" s="1"/>
      <c r="T533" s="1"/>
      <c r="U533" s="2"/>
      <c r="V533" s="1"/>
      <c r="W533" s="1"/>
      <c r="X533" s="1"/>
      <c r="Y533" s="1"/>
      <c r="Z533" s="1"/>
    </row>
    <row r="534" spans="1:26" ht="24.75" customHeight="1">
      <c r="A534" s="1"/>
      <c r="B534" s="1"/>
      <c r="C534" s="1"/>
      <c r="D534" s="1"/>
      <c r="E534" s="1"/>
      <c r="F534" s="1"/>
      <c r="G534" s="1"/>
      <c r="H534" s="1"/>
      <c r="I534" s="1"/>
      <c r="J534" s="1"/>
      <c r="K534" s="1"/>
      <c r="L534" s="1"/>
      <c r="M534" s="1"/>
      <c r="N534" s="1"/>
      <c r="O534" s="1"/>
      <c r="P534" s="1"/>
      <c r="Q534" s="1"/>
      <c r="R534" s="1"/>
      <c r="S534" s="1"/>
      <c r="T534" s="1"/>
      <c r="U534" s="2"/>
      <c r="V534" s="1"/>
      <c r="W534" s="1"/>
      <c r="X534" s="1"/>
      <c r="Y534" s="1"/>
      <c r="Z534" s="1"/>
    </row>
    <row r="535" spans="1:26" ht="24.75" customHeight="1">
      <c r="A535" s="1"/>
      <c r="B535" s="1"/>
      <c r="C535" s="1"/>
      <c r="D535" s="1"/>
      <c r="E535" s="1"/>
      <c r="F535" s="1"/>
      <c r="G535" s="1"/>
      <c r="H535" s="1"/>
      <c r="I535" s="1"/>
      <c r="J535" s="1"/>
      <c r="K535" s="1"/>
      <c r="L535" s="1"/>
      <c r="M535" s="1"/>
      <c r="N535" s="1"/>
      <c r="O535" s="1"/>
      <c r="P535" s="1"/>
      <c r="Q535" s="1"/>
      <c r="R535" s="1"/>
      <c r="S535" s="1"/>
      <c r="T535" s="1"/>
      <c r="U535" s="2"/>
      <c r="V535" s="1"/>
      <c r="W535" s="1"/>
      <c r="X535" s="1"/>
      <c r="Y535" s="1"/>
      <c r="Z535" s="1"/>
    </row>
    <row r="536" spans="1:26" ht="24.75" customHeight="1">
      <c r="A536" s="1"/>
      <c r="B536" s="1"/>
      <c r="C536" s="1"/>
      <c r="D536" s="1"/>
      <c r="E536" s="1"/>
      <c r="F536" s="1"/>
      <c r="G536" s="1"/>
      <c r="H536" s="1"/>
      <c r="I536" s="1"/>
      <c r="J536" s="1"/>
      <c r="K536" s="1"/>
      <c r="L536" s="1"/>
      <c r="M536" s="1"/>
      <c r="N536" s="1"/>
      <c r="O536" s="1"/>
      <c r="P536" s="1"/>
      <c r="Q536" s="1"/>
      <c r="R536" s="1"/>
      <c r="S536" s="1"/>
      <c r="T536" s="1"/>
      <c r="U536" s="2"/>
      <c r="V536" s="1"/>
      <c r="W536" s="1"/>
      <c r="X536" s="1"/>
      <c r="Y536" s="1"/>
      <c r="Z536" s="1"/>
    </row>
    <row r="537" spans="1:26" ht="24.75" customHeight="1">
      <c r="A537" s="1"/>
      <c r="B537" s="1"/>
      <c r="C537" s="1"/>
      <c r="D537" s="1"/>
      <c r="E537" s="1"/>
      <c r="F537" s="1"/>
      <c r="G537" s="1"/>
      <c r="H537" s="1"/>
      <c r="I537" s="1"/>
      <c r="J537" s="1"/>
      <c r="K537" s="1"/>
      <c r="L537" s="1"/>
      <c r="M537" s="1"/>
      <c r="N537" s="1"/>
      <c r="O537" s="1"/>
      <c r="P537" s="1"/>
      <c r="Q537" s="1"/>
      <c r="R537" s="1"/>
      <c r="S537" s="1"/>
      <c r="T537" s="1"/>
      <c r="U537" s="2"/>
      <c r="V537" s="1"/>
      <c r="W537" s="1"/>
      <c r="X537" s="1"/>
      <c r="Y537" s="1"/>
      <c r="Z537" s="1"/>
    </row>
    <row r="538" spans="1:26" ht="24.75" customHeight="1">
      <c r="A538" s="1"/>
      <c r="B538" s="1"/>
      <c r="C538" s="1"/>
      <c r="D538" s="1"/>
      <c r="E538" s="1"/>
      <c r="F538" s="1"/>
      <c r="G538" s="1"/>
      <c r="H538" s="1"/>
      <c r="I538" s="1"/>
      <c r="J538" s="1"/>
      <c r="K538" s="1"/>
      <c r="L538" s="1"/>
      <c r="M538" s="1"/>
      <c r="N538" s="1"/>
      <c r="O538" s="1"/>
      <c r="P538" s="1"/>
      <c r="Q538" s="1"/>
      <c r="R538" s="1"/>
      <c r="S538" s="1"/>
      <c r="T538" s="1"/>
      <c r="U538" s="2"/>
      <c r="V538" s="1"/>
      <c r="W538" s="1"/>
      <c r="X538" s="1"/>
      <c r="Y538" s="1"/>
      <c r="Z538" s="1"/>
    </row>
    <row r="539" spans="1:26" ht="24.75" customHeight="1">
      <c r="A539" s="1"/>
      <c r="B539" s="1"/>
      <c r="C539" s="1"/>
      <c r="D539" s="1"/>
      <c r="E539" s="1"/>
      <c r="F539" s="1"/>
      <c r="G539" s="1"/>
      <c r="H539" s="1"/>
      <c r="I539" s="1"/>
      <c r="J539" s="1"/>
      <c r="K539" s="1"/>
      <c r="L539" s="1"/>
      <c r="M539" s="1"/>
      <c r="N539" s="1"/>
      <c r="O539" s="1"/>
      <c r="P539" s="1"/>
      <c r="Q539" s="1"/>
      <c r="R539" s="1"/>
      <c r="S539" s="1"/>
      <c r="T539" s="1"/>
      <c r="U539" s="2"/>
      <c r="V539" s="1"/>
      <c r="W539" s="1"/>
      <c r="X539" s="1"/>
      <c r="Y539" s="1"/>
      <c r="Z539" s="1"/>
    </row>
    <row r="540" spans="1:26" ht="24.75" customHeight="1">
      <c r="A540" s="1"/>
      <c r="B540" s="1"/>
      <c r="C540" s="1"/>
      <c r="D540" s="1"/>
      <c r="E540" s="1"/>
      <c r="F540" s="1"/>
      <c r="G540" s="1"/>
      <c r="H540" s="1"/>
      <c r="I540" s="1"/>
      <c r="J540" s="1"/>
      <c r="K540" s="1"/>
      <c r="L540" s="1"/>
      <c r="M540" s="1"/>
      <c r="N540" s="1"/>
      <c r="O540" s="1"/>
      <c r="P540" s="1"/>
      <c r="Q540" s="1"/>
      <c r="R540" s="1"/>
      <c r="S540" s="1"/>
      <c r="T540" s="1"/>
      <c r="U540" s="2"/>
      <c r="V540" s="1"/>
      <c r="W540" s="1"/>
      <c r="X540" s="1"/>
      <c r="Y540" s="1"/>
      <c r="Z540" s="1"/>
    </row>
    <row r="541" spans="1:26" ht="24.75" customHeight="1">
      <c r="A541" s="1"/>
      <c r="B541" s="1"/>
      <c r="C541" s="1"/>
      <c r="D541" s="1"/>
      <c r="E541" s="1"/>
      <c r="F541" s="1"/>
      <c r="G541" s="1"/>
      <c r="H541" s="1"/>
      <c r="I541" s="1"/>
      <c r="J541" s="1"/>
      <c r="K541" s="1"/>
      <c r="L541" s="1"/>
      <c r="M541" s="1"/>
      <c r="N541" s="1"/>
      <c r="O541" s="1"/>
      <c r="P541" s="1"/>
      <c r="Q541" s="1"/>
      <c r="R541" s="1"/>
      <c r="S541" s="1"/>
      <c r="T541" s="1"/>
      <c r="U541" s="2"/>
      <c r="V541" s="1"/>
      <c r="W541" s="1"/>
      <c r="X541" s="1"/>
      <c r="Y541" s="1"/>
      <c r="Z541" s="1"/>
    </row>
    <row r="542" spans="1:26" ht="24.75" customHeight="1">
      <c r="A542" s="1"/>
      <c r="B542" s="1"/>
      <c r="C542" s="1"/>
      <c r="D542" s="1"/>
      <c r="E542" s="1"/>
      <c r="F542" s="1"/>
      <c r="G542" s="1"/>
      <c r="H542" s="1"/>
      <c r="I542" s="1"/>
      <c r="J542" s="1"/>
      <c r="K542" s="1"/>
      <c r="L542" s="1"/>
      <c r="M542" s="1"/>
      <c r="N542" s="1"/>
      <c r="O542" s="1"/>
      <c r="P542" s="1"/>
      <c r="Q542" s="1"/>
      <c r="R542" s="1"/>
      <c r="S542" s="1"/>
      <c r="T542" s="1"/>
      <c r="U542" s="2"/>
      <c r="V542" s="1"/>
      <c r="W542" s="1"/>
      <c r="X542" s="1"/>
      <c r="Y542" s="1"/>
      <c r="Z542" s="1"/>
    </row>
    <row r="543" spans="1:26" ht="24.75" customHeight="1">
      <c r="A543" s="1"/>
      <c r="B543" s="1"/>
      <c r="C543" s="1"/>
      <c r="D543" s="1"/>
      <c r="E543" s="1"/>
      <c r="F543" s="1"/>
      <c r="G543" s="1"/>
      <c r="H543" s="1"/>
      <c r="I543" s="1"/>
      <c r="J543" s="1"/>
      <c r="K543" s="1"/>
      <c r="L543" s="1"/>
      <c r="M543" s="1"/>
      <c r="N543" s="1"/>
      <c r="O543" s="1"/>
      <c r="P543" s="1"/>
      <c r="Q543" s="1"/>
      <c r="R543" s="1"/>
      <c r="S543" s="1"/>
      <c r="T543" s="1"/>
      <c r="U543" s="2"/>
      <c r="V543" s="1"/>
      <c r="W543" s="1"/>
      <c r="X543" s="1"/>
      <c r="Y543" s="1"/>
      <c r="Z543" s="1"/>
    </row>
    <row r="544" spans="1:26" ht="24.75" customHeight="1">
      <c r="A544" s="1"/>
      <c r="B544" s="1"/>
      <c r="C544" s="1"/>
      <c r="D544" s="1"/>
      <c r="E544" s="1"/>
      <c r="F544" s="1"/>
      <c r="G544" s="1"/>
      <c r="H544" s="1"/>
      <c r="I544" s="1"/>
      <c r="J544" s="1"/>
      <c r="K544" s="1"/>
      <c r="L544" s="1"/>
      <c r="M544" s="1"/>
      <c r="N544" s="1"/>
      <c r="O544" s="1"/>
      <c r="P544" s="1"/>
      <c r="Q544" s="1"/>
      <c r="R544" s="1"/>
      <c r="S544" s="1"/>
      <c r="T544" s="1"/>
      <c r="U544" s="2"/>
      <c r="V544" s="1"/>
      <c r="W544" s="1"/>
      <c r="X544" s="1"/>
      <c r="Y544" s="1"/>
      <c r="Z544" s="1"/>
    </row>
    <row r="545" spans="1:26" ht="24.75" customHeight="1">
      <c r="A545" s="1"/>
      <c r="B545" s="1"/>
      <c r="C545" s="1"/>
      <c r="D545" s="1"/>
      <c r="E545" s="1"/>
      <c r="F545" s="1"/>
      <c r="G545" s="1"/>
      <c r="H545" s="1"/>
      <c r="I545" s="1"/>
      <c r="J545" s="1"/>
      <c r="K545" s="1"/>
      <c r="L545" s="1"/>
      <c r="M545" s="1"/>
      <c r="N545" s="1"/>
      <c r="O545" s="1"/>
      <c r="P545" s="1"/>
      <c r="Q545" s="1"/>
      <c r="R545" s="1"/>
      <c r="S545" s="1"/>
      <c r="T545" s="1"/>
      <c r="U545" s="2"/>
      <c r="V545" s="1"/>
      <c r="W545" s="1"/>
      <c r="X545" s="1"/>
      <c r="Y545" s="1"/>
      <c r="Z545" s="1"/>
    </row>
    <row r="546" spans="1:26" ht="24.75" customHeight="1">
      <c r="A546" s="1"/>
      <c r="B546" s="1"/>
      <c r="C546" s="1"/>
      <c r="D546" s="1"/>
      <c r="E546" s="1"/>
      <c r="F546" s="1"/>
      <c r="G546" s="1"/>
      <c r="H546" s="1"/>
      <c r="I546" s="1"/>
      <c r="J546" s="1"/>
      <c r="K546" s="1"/>
      <c r="L546" s="1"/>
      <c r="M546" s="1"/>
      <c r="N546" s="1"/>
      <c r="O546" s="1"/>
      <c r="P546" s="1"/>
      <c r="Q546" s="1"/>
      <c r="R546" s="1"/>
      <c r="S546" s="1"/>
      <c r="T546" s="1"/>
      <c r="U546" s="2"/>
      <c r="V546" s="1"/>
      <c r="W546" s="1"/>
      <c r="X546" s="1"/>
      <c r="Y546" s="1"/>
      <c r="Z546" s="1"/>
    </row>
    <row r="547" spans="1:26" ht="24.75" customHeight="1">
      <c r="A547" s="1"/>
      <c r="B547" s="1"/>
      <c r="C547" s="1"/>
      <c r="D547" s="1"/>
      <c r="E547" s="1"/>
      <c r="F547" s="1"/>
      <c r="G547" s="1"/>
      <c r="H547" s="1"/>
      <c r="I547" s="1"/>
      <c r="J547" s="1"/>
      <c r="K547" s="1"/>
      <c r="L547" s="1"/>
      <c r="M547" s="1"/>
      <c r="N547" s="1"/>
      <c r="O547" s="1"/>
      <c r="P547" s="1"/>
      <c r="Q547" s="1"/>
      <c r="R547" s="1"/>
      <c r="S547" s="1"/>
      <c r="T547" s="1"/>
      <c r="U547" s="2"/>
      <c r="V547" s="1"/>
      <c r="W547" s="1"/>
      <c r="X547" s="1"/>
      <c r="Y547" s="1"/>
      <c r="Z547" s="1"/>
    </row>
    <row r="548" spans="1:26" ht="24.75" customHeight="1">
      <c r="A548" s="1"/>
      <c r="B548" s="1"/>
      <c r="C548" s="1"/>
      <c r="D548" s="1"/>
      <c r="E548" s="1"/>
      <c r="F548" s="1"/>
      <c r="G548" s="1"/>
      <c r="H548" s="1"/>
      <c r="I548" s="1"/>
      <c r="J548" s="1"/>
      <c r="K548" s="1"/>
      <c r="L548" s="1"/>
      <c r="M548" s="1"/>
      <c r="N548" s="1"/>
      <c r="O548" s="1"/>
      <c r="P548" s="1"/>
      <c r="Q548" s="1"/>
      <c r="R548" s="1"/>
      <c r="S548" s="1"/>
      <c r="T548" s="1"/>
      <c r="U548" s="2"/>
      <c r="V548" s="1"/>
      <c r="W548" s="1"/>
      <c r="X548" s="1"/>
      <c r="Y548" s="1"/>
      <c r="Z548" s="1"/>
    </row>
    <row r="549" spans="1:26" ht="24.75" customHeight="1">
      <c r="A549" s="1"/>
      <c r="B549" s="1"/>
      <c r="C549" s="1"/>
      <c r="D549" s="1"/>
      <c r="E549" s="1"/>
      <c r="F549" s="1"/>
      <c r="G549" s="1"/>
      <c r="H549" s="1"/>
      <c r="I549" s="1"/>
      <c r="J549" s="1"/>
      <c r="K549" s="1"/>
      <c r="L549" s="1"/>
      <c r="M549" s="1"/>
      <c r="N549" s="1"/>
      <c r="O549" s="1"/>
      <c r="P549" s="1"/>
      <c r="Q549" s="1"/>
      <c r="R549" s="1"/>
      <c r="S549" s="1"/>
      <c r="T549" s="1"/>
      <c r="U549" s="2"/>
      <c r="V549" s="1"/>
      <c r="W549" s="1"/>
      <c r="X549" s="1"/>
      <c r="Y549" s="1"/>
      <c r="Z549" s="1"/>
    </row>
    <row r="550" spans="1:26" ht="24.75" customHeight="1">
      <c r="A550" s="1"/>
      <c r="B550" s="1"/>
      <c r="C550" s="1"/>
      <c r="D550" s="1"/>
      <c r="E550" s="1"/>
      <c r="F550" s="1"/>
      <c r="G550" s="1"/>
      <c r="H550" s="1"/>
      <c r="I550" s="1"/>
      <c r="J550" s="1"/>
      <c r="K550" s="1"/>
      <c r="L550" s="1"/>
      <c r="M550" s="1"/>
      <c r="N550" s="1"/>
      <c r="O550" s="1"/>
      <c r="P550" s="1"/>
      <c r="Q550" s="1"/>
      <c r="R550" s="1"/>
      <c r="S550" s="1"/>
      <c r="T550" s="1"/>
      <c r="U550" s="2"/>
      <c r="V550" s="1"/>
      <c r="W550" s="1"/>
      <c r="X550" s="1"/>
      <c r="Y550" s="1"/>
      <c r="Z550" s="1"/>
    </row>
    <row r="551" spans="1:26" ht="24.75" customHeight="1">
      <c r="A551" s="1"/>
      <c r="B551" s="1"/>
      <c r="C551" s="1"/>
      <c r="D551" s="1"/>
      <c r="E551" s="1"/>
      <c r="F551" s="1"/>
      <c r="G551" s="1"/>
      <c r="H551" s="1"/>
      <c r="I551" s="1"/>
      <c r="J551" s="1"/>
      <c r="K551" s="1"/>
      <c r="L551" s="1"/>
      <c r="M551" s="1"/>
      <c r="N551" s="1"/>
      <c r="O551" s="1"/>
      <c r="P551" s="1"/>
      <c r="Q551" s="1"/>
      <c r="R551" s="1"/>
      <c r="S551" s="1"/>
      <c r="T551" s="1"/>
      <c r="U551" s="2"/>
      <c r="V551" s="1"/>
      <c r="W551" s="1"/>
      <c r="X551" s="1"/>
      <c r="Y551" s="1"/>
      <c r="Z551" s="1"/>
    </row>
    <row r="552" spans="1:26" ht="24.75" customHeight="1">
      <c r="A552" s="1"/>
      <c r="B552" s="1"/>
      <c r="C552" s="1"/>
      <c r="D552" s="1"/>
      <c r="E552" s="1"/>
      <c r="F552" s="1"/>
      <c r="G552" s="1"/>
      <c r="H552" s="1"/>
      <c r="I552" s="1"/>
      <c r="J552" s="1"/>
      <c r="K552" s="1"/>
      <c r="L552" s="1"/>
      <c r="M552" s="1"/>
      <c r="N552" s="1"/>
      <c r="O552" s="1"/>
      <c r="P552" s="1"/>
      <c r="Q552" s="1"/>
      <c r="R552" s="1"/>
      <c r="S552" s="1"/>
      <c r="T552" s="1"/>
      <c r="U552" s="2"/>
      <c r="V552" s="1"/>
      <c r="W552" s="1"/>
      <c r="X552" s="1"/>
      <c r="Y552" s="1"/>
      <c r="Z552" s="1"/>
    </row>
    <row r="553" spans="1:26" ht="24.75" customHeight="1">
      <c r="A553" s="1"/>
      <c r="B553" s="1"/>
      <c r="C553" s="1"/>
      <c r="D553" s="1"/>
      <c r="E553" s="1"/>
      <c r="F553" s="1"/>
      <c r="G553" s="1"/>
      <c r="H553" s="1"/>
      <c r="I553" s="1"/>
      <c r="J553" s="1"/>
      <c r="K553" s="1"/>
      <c r="L553" s="1"/>
      <c r="M553" s="1"/>
      <c r="N553" s="1"/>
      <c r="O553" s="1"/>
      <c r="P553" s="1"/>
      <c r="Q553" s="1"/>
      <c r="R553" s="1"/>
      <c r="S553" s="1"/>
      <c r="T553" s="1"/>
      <c r="U553" s="2"/>
      <c r="V553" s="1"/>
      <c r="W553" s="1"/>
      <c r="X553" s="1"/>
      <c r="Y553" s="1"/>
      <c r="Z553" s="1"/>
    </row>
    <row r="554" spans="1:26" ht="24.75" customHeight="1">
      <c r="A554" s="1"/>
      <c r="B554" s="1"/>
      <c r="C554" s="1"/>
      <c r="D554" s="1"/>
      <c r="E554" s="1"/>
      <c r="F554" s="1"/>
      <c r="G554" s="1"/>
      <c r="H554" s="1"/>
      <c r="I554" s="1"/>
      <c r="J554" s="1"/>
      <c r="K554" s="1"/>
      <c r="L554" s="1"/>
      <c r="M554" s="1"/>
      <c r="N554" s="1"/>
      <c r="O554" s="1"/>
      <c r="P554" s="1"/>
      <c r="Q554" s="1"/>
      <c r="R554" s="1"/>
      <c r="S554" s="1"/>
      <c r="T554" s="1"/>
      <c r="U554" s="2"/>
      <c r="V554" s="1"/>
      <c r="W554" s="1"/>
      <c r="X554" s="1"/>
      <c r="Y554" s="1"/>
      <c r="Z554" s="1"/>
    </row>
    <row r="555" spans="1:26" ht="24.75" customHeight="1">
      <c r="A555" s="1"/>
      <c r="B555" s="1"/>
      <c r="C555" s="1"/>
      <c r="D555" s="1"/>
      <c r="E555" s="1"/>
      <c r="F555" s="1"/>
      <c r="G555" s="1"/>
      <c r="H555" s="1"/>
      <c r="I555" s="1"/>
      <c r="J555" s="1"/>
      <c r="K555" s="1"/>
      <c r="L555" s="1"/>
      <c r="M555" s="1"/>
      <c r="N555" s="1"/>
      <c r="O555" s="1"/>
      <c r="P555" s="1"/>
      <c r="Q555" s="1"/>
      <c r="R555" s="1"/>
      <c r="S555" s="1"/>
      <c r="T555" s="1"/>
      <c r="U555" s="2"/>
      <c r="V555" s="1"/>
      <c r="W555" s="1"/>
      <c r="X555" s="1"/>
      <c r="Y555" s="1"/>
      <c r="Z555" s="1"/>
    </row>
    <row r="556" spans="1:26" ht="24.75" customHeight="1">
      <c r="A556" s="1"/>
      <c r="B556" s="1"/>
      <c r="C556" s="1"/>
      <c r="D556" s="1"/>
      <c r="E556" s="1"/>
      <c r="F556" s="1"/>
      <c r="G556" s="1"/>
      <c r="H556" s="1"/>
      <c r="I556" s="1"/>
      <c r="J556" s="1"/>
      <c r="K556" s="1"/>
      <c r="L556" s="1"/>
      <c r="M556" s="1"/>
      <c r="N556" s="1"/>
      <c r="O556" s="1"/>
      <c r="P556" s="1"/>
      <c r="Q556" s="1"/>
      <c r="R556" s="1"/>
      <c r="S556" s="1"/>
      <c r="T556" s="1"/>
      <c r="U556" s="2"/>
      <c r="V556" s="1"/>
      <c r="W556" s="1"/>
      <c r="X556" s="1"/>
      <c r="Y556" s="1"/>
      <c r="Z556" s="1"/>
    </row>
    <row r="557" spans="1:26" ht="24.75" customHeight="1">
      <c r="A557" s="1"/>
      <c r="B557" s="1"/>
      <c r="C557" s="1"/>
      <c r="D557" s="1"/>
      <c r="E557" s="1"/>
      <c r="F557" s="1"/>
      <c r="G557" s="1"/>
      <c r="H557" s="1"/>
      <c r="I557" s="1"/>
      <c r="J557" s="1"/>
      <c r="K557" s="1"/>
      <c r="L557" s="1"/>
      <c r="M557" s="1"/>
      <c r="N557" s="1"/>
      <c r="O557" s="1"/>
      <c r="P557" s="1"/>
      <c r="Q557" s="1"/>
      <c r="R557" s="1"/>
      <c r="S557" s="1"/>
      <c r="T557" s="1"/>
      <c r="U557" s="2"/>
      <c r="V557" s="1"/>
      <c r="W557" s="1"/>
      <c r="X557" s="1"/>
      <c r="Y557" s="1"/>
      <c r="Z557" s="1"/>
    </row>
    <row r="558" spans="1:26" ht="24.75" customHeight="1">
      <c r="A558" s="1"/>
      <c r="B558" s="1"/>
      <c r="C558" s="1"/>
      <c r="D558" s="1"/>
      <c r="E558" s="1"/>
      <c r="F558" s="1"/>
      <c r="G558" s="1"/>
      <c r="H558" s="1"/>
      <c r="I558" s="1"/>
      <c r="J558" s="1"/>
      <c r="K558" s="1"/>
      <c r="L558" s="1"/>
      <c r="M558" s="1"/>
      <c r="N558" s="1"/>
      <c r="O558" s="1"/>
      <c r="P558" s="1"/>
      <c r="Q558" s="1"/>
      <c r="R558" s="1"/>
      <c r="S558" s="1"/>
      <c r="T558" s="1"/>
      <c r="U558" s="2"/>
      <c r="V558" s="1"/>
      <c r="W558" s="1"/>
      <c r="X558" s="1"/>
      <c r="Y558" s="1"/>
      <c r="Z558" s="1"/>
    </row>
    <row r="559" spans="1:26" ht="24.75" customHeight="1">
      <c r="A559" s="1"/>
      <c r="B559" s="1"/>
      <c r="C559" s="1"/>
      <c r="D559" s="1"/>
      <c r="E559" s="1"/>
      <c r="F559" s="1"/>
      <c r="G559" s="1"/>
      <c r="H559" s="1"/>
      <c r="I559" s="1"/>
      <c r="J559" s="1"/>
      <c r="K559" s="1"/>
      <c r="L559" s="1"/>
      <c r="M559" s="1"/>
      <c r="N559" s="1"/>
      <c r="O559" s="1"/>
      <c r="P559" s="1"/>
      <c r="Q559" s="1"/>
      <c r="R559" s="1"/>
      <c r="S559" s="1"/>
      <c r="T559" s="1"/>
      <c r="U559" s="2"/>
      <c r="V559" s="1"/>
      <c r="W559" s="1"/>
      <c r="X559" s="1"/>
      <c r="Y559" s="1"/>
      <c r="Z559" s="1"/>
    </row>
    <row r="560" spans="1:26" ht="24.75" customHeight="1">
      <c r="A560" s="1"/>
      <c r="B560" s="1"/>
      <c r="C560" s="1"/>
      <c r="D560" s="1"/>
      <c r="E560" s="1"/>
      <c r="F560" s="1"/>
      <c r="G560" s="1"/>
      <c r="H560" s="1"/>
      <c r="I560" s="1"/>
      <c r="J560" s="1"/>
      <c r="K560" s="1"/>
      <c r="L560" s="1"/>
      <c r="M560" s="1"/>
      <c r="N560" s="1"/>
      <c r="O560" s="1"/>
      <c r="P560" s="1"/>
      <c r="Q560" s="1"/>
      <c r="R560" s="1"/>
      <c r="S560" s="1"/>
      <c r="T560" s="1"/>
      <c r="U560" s="2"/>
      <c r="V560" s="1"/>
      <c r="W560" s="1"/>
      <c r="X560" s="1"/>
      <c r="Y560" s="1"/>
      <c r="Z560" s="1"/>
    </row>
    <row r="561" spans="1:26" ht="24.75" customHeight="1">
      <c r="A561" s="1"/>
      <c r="B561" s="1"/>
      <c r="C561" s="1"/>
      <c r="D561" s="1"/>
      <c r="E561" s="1"/>
      <c r="F561" s="1"/>
      <c r="G561" s="1"/>
      <c r="H561" s="1"/>
      <c r="I561" s="1"/>
      <c r="J561" s="1"/>
      <c r="K561" s="1"/>
      <c r="L561" s="1"/>
      <c r="M561" s="1"/>
      <c r="N561" s="1"/>
      <c r="O561" s="1"/>
      <c r="P561" s="1"/>
      <c r="Q561" s="1"/>
      <c r="R561" s="1"/>
      <c r="S561" s="1"/>
      <c r="T561" s="1"/>
      <c r="U561" s="2"/>
      <c r="V561" s="1"/>
      <c r="W561" s="1"/>
      <c r="X561" s="1"/>
      <c r="Y561" s="1"/>
      <c r="Z561" s="1"/>
    </row>
    <row r="562" spans="1:26" ht="24.75" customHeight="1">
      <c r="A562" s="1"/>
      <c r="B562" s="1"/>
      <c r="C562" s="1"/>
      <c r="D562" s="1"/>
      <c r="E562" s="1"/>
      <c r="F562" s="1"/>
      <c r="G562" s="1"/>
      <c r="H562" s="1"/>
      <c r="I562" s="1"/>
      <c r="J562" s="1"/>
      <c r="K562" s="1"/>
      <c r="L562" s="1"/>
      <c r="M562" s="1"/>
      <c r="N562" s="1"/>
      <c r="O562" s="1"/>
      <c r="P562" s="1"/>
      <c r="Q562" s="1"/>
      <c r="R562" s="1"/>
      <c r="S562" s="1"/>
      <c r="T562" s="1"/>
      <c r="U562" s="2"/>
      <c r="V562" s="1"/>
      <c r="W562" s="1"/>
      <c r="X562" s="1"/>
      <c r="Y562" s="1"/>
      <c r="Z562" s="1"/>
    </row>
    <row r="563" spans="1:26" ht="24.75" customHeight="1">
      <c r="A563" s="1"/>
      <c r="B563" s="1"/>
      <c r="C563" s="1"/>
      <c r="D563" s="1"/>
      <c r="E563" s="1"/>
      <c r="F563" s="1"/>
      <c r="G563" s="1"/>
      <c r="H563" s="1"/>
      <c r="I563" s="1"/>
      <c r="J563" s="1"/>
      <c r="K563" s="1"/>
      <c r="L563" s="1"/>
      <c r="M563" s="1"/>
      <c r="N563" s="1"/>
      <c r="O563" s="1"/>
      <c r="P563" s="1"/>
      <c r="Q563" s="1"/>
      <c r="R563" s="1"/>
      <c r="S563" s="1"/>
      <c r="T563" s="1"/>
      <c r="U563" s="2"/>
      <c r="V563" s="1"/>
      <c r="W563" s="1"/>
      <c r="X563" s="1"/>
      <c r="Y563" s="1"/>
      <c r="Z563" s="1"/>
    </row>
    <row r="564" spans="1:26" ht="24.75" customHeight="1">
      <c r="A564" s="1"/>
      <c r="B564" s="1"/>
      <c r="C564" s="1"/>
      <c r="D564" s="1"/>
      <c r="E564" s="1"/>
      <c r="F564" s="1"/>
      <c r="G564" s="1"/>
      <c r="H564" s="1"/>
      <c r="I564" s="1"/>
      <c r="J564" s="1"/>
      <c r="K564" s="1"/>
      <c r="L564" s="1"/>
      <c r="M564" s="1"/>
      <c r="N564" s="1"/>
      <c r="O564" s="1"/>
      <c r="P564" s="1"/>
      <c r="Q564" s="1"/>
      <c r="R564" s="1"/>
      <c r="S564" s="1"/>
      <c r="T564" s="1"/>
      <c r="U564" s="2"/>
      <c r="V564" s="1"/>
      <c r="W564" s="1"/>
      <c r="X564" s="1"/>
      <c r="Y564" s="1"/>
      <c r="Z564" s="1"/>
    </row>
    <row r="565" spans="1:26" ht="24.75" customHeight="1">
      <c r="A565" s="1"/>
      <c r="B565" s="1"/>
      <c r="C565" s="1"/>
      <c r="D565" s="1"/>
      <c r="E565" s="1"/>
      <c r="F565" s="1"/>
      <c r="G565" s="1"/>
      <c r="H565" s="1"/>
      <c r="I565" s="1"/>
      <c r="J565" s="1"/>
      <c r="K565" s="1"/>
      <c r="L565" s="1"/>
      <c r="M565" s="1"/>
      <c r="N565" s="1"/>
      <c r="O565" s="1"/>
      <c r="P565" s="1"/>
      <c r="Q565" s="1"/>
      <c r="R565" s="1"/>
      <c r="S565" s="1"/>
      <c r="T565" s="1"/>
      <c r="U565" s="2"/>
      <c r="V565" s="1"/>
      <c r="W565" s="1"/>
      <c r="X565" s="1"/>
      <c r="Y565" s="1"/>
      <c r="Z565" s="1"/>
    </row>
    <row r="566" spans="1:26" ht="24.75" customHeight="1">
      <c r="A566" s="1"/>
      <c r="B566" s="1"/>
      <c r="C566" s="1"/>
      <c r="D566" s="1"/>
      <c r="E566" s="1"/>
      <c r="F566" s="1"/>
      <c r="G566" s="1"/>
      <c r="H566" s="1"/>
      <c r="I566" s="1"/>
      <c r="J566" s="1"/>
      <c r="K566" s="1"/>
      <c r="L566" s="1"/>
      <c r="M566" s="1"/>
      <c r="N566" s="1"/>
      <c r="O566" s="1"/>
      <c r="P566" s="1"/>
      <c r="Q566" s="1"/>
      <c r="R566" s="1"/>
      <c r="S566" s="1"/>
      <c r="T566" s="1"/>
      <c r="U566" s="2"/>
      <c r="V566" s="1"/>
      <c r="W566" s="1"/>
      <c r="X566" s="1"/>
      <c r="Y566" s="1"/>
      <c r="Z566" s="1"/>
    </row>
    <row r="567" spans="1:26" ht="24.75" customHeight="1">
      <c r="A567" s="1"/>
      <c r="B567" s="1"/>
      <c r="C567" s="1"/>
      <c r="D567" s="1"/>
      <c r="E567" s="1"/>
      <c r="F567" s="1"/>
      <c r="G567" s="1"/>
      <c r="H567" s="1"/>
      <c r="I567" s="1"/>
      <c r="J567" s="1"/>
      <c r="K567" s="1"/>
      <c r="L567" s="1"/>
      <c r="M567" s="1"/>
      <c r="N567" s="1"/>
      <c r="O567" s="1"/>
      <c r="P567" s="1"/>
      <c r="Q567" s="1"/>
      <c r="R567" s="1"/>
      <c r="S567" s="1"/>
      <c r="T567" s="1"/>
      <c r="U567" s="2"/>
      <c r="V567" s="1"/>
      <c r="W567" s="1"/>
      <c r="X567" s="1"/>
      <c r="Y567" s="1"/>
      <c r="Z567" s="1"/>
    </row>
    <row r="568" spans="1:26" ht="24.75" customHeight="1">
      <c r="A568" s="1"/>
      <c r="B568" s="1"/>
      <c r="C568" s="1"/>
      <c r="D568" s="1"/>
      <c r="E568" s="1"/>
      <c r="F568" s="1"/>
      <c r="G568" s="1"/>
      <c r="H568" s="1"/>
      <c r="I568" s="1"/>
      <c r="J568" s="1"/>
      <c r="K568" s="1"/>
      <c r="L568" s="1"/>
      <c r="M568" s="1"/>
      <c r="N568" s="1"/>
      <c r="O568" s="1"/>
      <c r="P568" s="1"/>
      <c r="Q568" s="1"/>
      <c r="R568" s="1"/>
      <c r="S568" s="1"/>
      <c r="T568" s="1"/>
      <c r="U568" s="2"/>
      <c r="V568" s="1"/>
      <c r="W568" s="1"/>
      <c r="X568" s="1"/>
      <c r="Y568" s="1"/>
      <c r="Z568" s="1"/>
    </row>
    <row r="569" spans="1:26" ht="24.75" customHeight="1">
      <c r="A569" s="1"/>
      <c r="B569" s="1"/>
      <c r="C569" s="1"/>
      <c r="D569" s="1"/>
      <c r="E569" s="1"/>
      <c r="F569" s="1"/>
      <c r="G569" s="1"/>
      <c r="H569" s="1"/>
      <c r="I569" s="1"/>
      <c r="J569" s="1"/>
      <c r="K569" s="1"/>
      <c r="L569" s="1"/>
      <c r="M569" s="1"/>
      <c r="N569" s="1"/>
      <c r="O569" s="1"/>
      <c r="P569" s="1"/>
      <c r="Q569" s="1"/>
      <c r="R569" s="1"/>
      <c r="S569" s="1"/>
      <c r="T569" s="1"/>
      <c r="U569" s="2"/>
      <c r="V569" s="1"/>
      <c r="W569" s="1"/>
      <c r="X569" s="1"/>
      <c r="Y569" s="1"/>
      <c r="Z569" s="1"/>
    </row>
    <row r="570" spans="1:26" ht="24.75" customHeight="1">
      <c r="A570" s="1"/>
      <c r="B570" s="1"/>
      <c r="C570" s="1"/>
      <c r="D570" s="1"/>
      <c r="E570" s="1"/>
      <c r="F570" s="1"/>
      <c r="G570" s="1"/>
      <c r="H570" s="1"/>
      <c r="I570" s="1"/>
      <c r="J570" s="1"/>
      <c r="K570" s="1"/>
      <c r="L570" s="1"/>
      <c r="M570" s="1"/>
      <c r="N570" s="1"/>
      <c r="O570" s="1"/>
      <c r="P570" s="1"/>
      <c r="Q570" s="1"/>
      <c r="R570" s="1"/>
      <c r="S570" s="1"/>
      <c r="T570" s="1"/>
      <c r="U570" s="2"/>
      <c r="V570" s="1"/>
      <c r="W570" s="1"/>
      <c r="X570" s="1"/>
      <c r="Y570" s="1"/>
      <c r="Z570" s="1"/>
    </row>
    <row r="571" spans="1:26" ht="24.75" customHeight="1">
      <c r="A571" s="1"/>
      <c r="B571" s="1"/>
      <c r="C571" s="1"/>
      <c r="D571" s="1"/>
      <c r="E571" s="1"/>
      <c r="F571" s="1"/>
      <c r="G571" s="1"/>
      <c r="H571" s="1"/>
      <c r="I571" s="1"/>
      <c r="J571" s="1"/>
      <c r="K571" s="1"/>
      <c r="L571" s="1"/>
      <c r="M571" s="1"/>
      <c r="N571" s="1"/>
      <c r="O571" s="1"/>
      <c r="P571" s="1"/>
      <c r="Q571" s="1"/>
      <c r="R571" s="1"/>
      <c r="S571" s="1"/>
      <c r="T571" s="1"/>
      <c r="U571" s="2"/>
      <c r="V571" s="1"/>
      <c r="W571" s="1"/>
      <c r="X571" s="1"/>
      <c r="Y571" s="1"/>
      <c r="Z571" s="1"/>
    </row>
    <row r="572" spans="1:26" ht="24.75" customHeight="1">
      <c r="A572" s="1"/>
      <c r="B572" s="1"/>
      <c r="C572" s="1"/>
      <c r="D572" s="1"/>
      <c r="E572" s="1"/>
      <c r="F572" s="1"/>
      <c r="G572" s="1"/>
      <c r="H572" s="1"/>
      <c r="I572" s="1"/>
      <c r="J572" s="1"/>
      <c r="K572" s="1"/>
      <c r="L572" s="1"/>
      <c r="M572" s="1"/>
      <c r="N572" s="1"/>
      <c r="O572" s="1"/>
      <c r="P572" s="1"/>
      <c r="Q572" s="1"/>
      <c r="R572" s="1"/>
      <c r="S572" s="1"/>
      <c r="T572" s="1"/>
      <c r="U572" s="2"/>
      <c r="V572" s="1"/>
      <c r="W572" s="1"/>
      <c r="X572" s="1"/>
      <c r="Y572" s="1"/>
      <c r="Z572" s="1"/>
    </row>
    <row r="573" spans="1:26" ht="24.75" customHeight="1">
      <c r="A573" s="1"/>
      <c r="B573" s="1"/>
      <c r="C573" s="1"/>
      <c r="D573" s="1"/>
      <c r="E573" s="1"/>
      <c r="F573" s="1"/>
      <c r="G573" s="1"/>
      <c r="H573" s="1"/>
      <c r="I573" s="1"/>
      <c r="J573" s="1"/>
      <c r="K573" s="1"/>
      <c r="L573" s="1"/>
      <c r="M573" s="1"/>
      <c r="N573" s="1"/>
      <c r="O573" s="1"/>
      <c r="P573" s="1"/>
      <c r="Q573" s="1"/>
      <c r="R573" s="1"/>
      <c r="S573" s="1"/>
      <c r="T573" s="1"/>
      <c r="U573" s="2"/>
      <c r="V573" s="1"/>
      <c r="W573" s="1"/>
      <c r="X573" s="1"/>
      <c r="Y573" s="1"/>
      <c r="Z573" s="1"/>
    </row>
    <row r="574" spans="1:26" ht="24.75" customHeight="1">
      <c r="A574" s="1"/>
      <c r="B574" s="1"/>
      <c r="C574" s="1"/>
      <c r="D574" s="1"/>
      <c r="E574" s="1"/>
      <c r="F574" s="1"/>
      <c r="G574" s="1"/>
      <c r="H574" s="1"/>
      <c r="I574" s="1"/>
      <c r="J574" s="1"/>
      <c r="K574" s="1"/>
      <c r="L574" s="1"/>
      <c r="M574" s="1"/>
      <c r="N574" s="1"/>
      <c r="O574" s="1"/>
      <c r="P574" s="1"/>
      <c r="Q574" s="1"/>
      <c r="R574" s="1"/>
      <c r="S574" s="1"/>
      <c r="T574" s="1"/>
      <c r="U574" s="2"/>
      <c r="V574" s="1"/>
      <c r="W574" s="1"/>
      <c r="X574" s="1"/>
      <c r="Y574" s="1"/>
      <c r="Z574" s="1"/>
    </row>
    <row r="575" spans="1:26" ht="24.75" customHeight="1">
      <c r="A575" s="1"/>
      <c r="B575" s="1"/>
      <c r="C575" s="1"/>
      <c r="D575" s="1"/>
      <c r="E575" s="1"/>
      <c r="F575" s="1"/>
      <c r="G575" s="1"/>
      <c r="H575" s="1"/>
      <c r="I575" s="1"/>
      <c r="J575" s="1"/>
      <c r="K575" s="1"/>
      <c r="L575" s="1"/>
      <c r="M575" s="1"/>
      <c r="N575" s="1"/>
      <c r="O575" s="1"/>
      <c r="P575" s="1"/>
      <c r="Q575" s="1"/>
      <c r="R575" s="1"/>
      <c r="S575" s="1"/>
      <c r="T575" s="1"/>
      <c r="U575" s="2"/>
      <c r="V575" s="1"/>
      <c r="W575" s="1"/>
      <c r="X575" s="1"/>
      <c r="Y575" s="1"/>
      <c r="Z575" s="1"/>
    </row>
    <row r="576" spans="1:26" ht="24.75" customHeight="1">
      <c r="A576" s="1"/>
      <c r="B576" s="1"/>
      <c r="C576" s="1"/>
      <c r="D576" s="1"/>
      <c r="E576" s="1"/>
      <c r="F576" s="1"/>
      <c r="G576" s="1"/>
      <c r="H576" s="1"/>
      <c r="I576" s="1"/>
      <c r="J576" s="1"/>
      <c r="K576" s="1"/>
      <c r="L576" s="1"/>
      <c r="M576" s="1"/>
      <c r="N576" s="1"/>
      <c r="O576" s="1"/>
      <c r="P576" s="1"/>
      <c r="Q576" s="1"/>
      <c r="R576" s="1"/>
      <c r="S576" s="1"/>
      <c r="T576" s="1"/>
      <c r="U576" s="2"/>
      <c r="V576" s="1"/>
      <c r="W576" s="1"/>
      <c r="X576" s="1"/>
      <c r="Y576" s="1"/>
      <c r="Z576" s="1"/>
    </row>
    <row r="577" spans="1:26" ht="24.75" customHeight="1">
      <c r="A577" s="1"/>
      <c r="B577" s="1"/>
      <c r="C577" s="1"/>
      <c r="D577" s="1"/>
      <c r="E577" s="1"/>
      <c r="F577" s="1"/>
      <c r="G577" s="1"/>
      <c r="H577" s="1"/>
      <c r="I577" s="1"/>
      <c r="J577" s="1"/>
      <c r="K577" s="1"/>
      <c r="L577" s="1"/>
      <c r="M577" s="1"/>
      <c r="N577" s="1"/>
      <c r="O577" s="1"/>
      <c r="P577" s="1"/>
      <c r="Q577" s="1"/>
      <c r="R577" s="1"/>
      <c r="S577" s="1"/>
      <c r="T577" s="1"/>
      <c r="U577" s="2"/>
      <c r="V577" s="1"/>
      <c r="W577" s="1"/>
      <c r="X577" s="1"/>
      <c r="Y577" s="1"/>
      <c r="Z577" s="1"/>
    </row>
    <row r="578" spans="1:26" ht="24.75" customHeight="1">
      <c r="A578" s="1"/>
      <c r="B578" s="1"/>
      <c r="C578" s="1"/>
      <c r="D578" s="1"/>
      <c r="E578" s="1"/>
      <c r="F578" s="1"/>
      <c r="G578" s="1"/>
      <c r="H578" s="1"/>
      <c r="I578" s="1"/>
      <c r="J578" s="1"/>
      <c r="K578" s="1"/>
      <c r="L578" s="1"/>
      <c r="M578" s="1"/>
      <c r="N578" s="1"/>
      <c r="O578" s="1"/>
      <c r="P578" s="1"/>
      <c r="Q578" s="1"/>
      <c r="R578" s="1"/>
      <c r="S578" s="1"/>
      <c r="T578" s="1"/>
      <c r="U578" s="2"/>
      <c r="V578" s="1"/>
      <c r="W578" s="1"/>
      <c r="X578" s="1"/>
      <c r="Y578" s="1"/>
      <c r="Z578" s="1"/>
    </row>
    <row r="579" spans="1:26" ht="24.75" customHeight="1">
      <c r="A579" s="1"/>
      <c r="B579" s="1"/>
      <c r="C579" s="1"/>
      <c r="D579" s="1"/>
      <c r="E579" s="1"/>
      <c r="F579" s="1"/>
      <c r="G579" s="1"/>
      <c r="H579" s="1"/>
      <c r="I579" s="1"/>
      <c r="J579" s="1"/>
      <c r="K579" s="1"/>
      <c r="L579" s="1"/>
      <c r="M579" s="1"/>
      <c r="N579" s="1"/>
      <c r="O579" s="1"/>
      <c r="P579" s="1"/>
      <c r="Q579" s="1"/>
      <c r="R579" s="1"/>
      <c r="S579" s="1"/>
      <c r="T579" s="1"/>
      <c r="U579" s="2"/>
      <c r="V579" s="1"/>
      <c r="W579" s="1"/>
      <c r="X579" s="1"/>
      <c r="Y579" s="1"/>
      <c r="Z579" s="1"/>
    </row>
    <row r="580" spans="1:26" ht="24.75" customHeight="1">
      <c r="A580" s="1"/>
      <c r="B580" s="1"/>
      <c r="C580" s="1"/>
      <c r="D580" s="1"/>
      <c r="E580" s="1"/>
      <c r="F580" s="1"/>
      <c r="G580" s="1"/>
      <c r="H580" s="1"/>
      <c r="I580" s="1"/>
      <c r="J580" s="1"/>
      <c r="K580" s="1"/>
      <c r="L580" s="1"/>
      <c r="M580" s="1"/>
      <c r="N580" s="1"/>
      <c r="O580" s="1"/>
      <c r="P580" s="1"/>
      <c r="Q580" s="1"/>
      <c r="R580" s="1"/>
      <c r="S580" s="1"/>
      <c r="T580" s="1"/>
      <c r="U580" s="2"/>
      <c r="V580" s="1"/>
      <c r="W580" s="1"/>
      <c r="X580" s="1"/>
      <c r="Y580" s="1"/>
      <c r="Z580" s="1"/>
    </row>
    <row r="581" spans="1:26" ht="24.75" customHeight="1">
      <c r="A581" s="1"/>
      <c r="B581" s="1"/>
      <c r="C581" s="1"/>
      <c r="D581" s="1"/>
      <c r="E581" s="1"/>
      <c r="F581" s="1"/>
      <c r="G581" s="1"/>
      <c r="H581" s="1"/>
      <c r="I581" s="1"/>
      <c r="J581" s="1"/>
      <c r="K581" s="1"/>
      <c r="L581" s="1"/>
      <c r="M581" s="1"/>
      <c r="N581" s="1"/>
      <c r="O581" s="1"/>
      <c r="P581" s="1"/>
      <c r="Q581" s="1"/>
      <c r="R581" s="1"/>
      <c r="S581" s="1"/>
      <c r="T581" s="1"/>
      <c r="U581" s="2"/>
      <c r="V581" s="1"/>
      <c r="W581" s="1"/>
      <c r="X581" s="1"/>
      <c r="Y581" s="1"/>
      <c r="Z581" s="1"/>
    </row>
    <row r="582" spans="1:26" ht="24.75" customHeight="1">
      <c r="A582" s="1"/>
      <c r="B582" s="1"/>
      <c r="C582" s="1"/>
      <c r="D582" s="1"/>
      <c r="E582" s="1"/>
      <c r="F582" s="1"/>
      <c r="G582" s="1"/>
      <c r="H582" s="1"/>
      <c r="I582" s="1"/>
      <c r="J582" s="1"/>
      <c r="K582" s="1"/>
      <c r="L582" s="1"/>
      <c r="M582" s="1"/>
      <c r="N582" s="1"/>
      <c r="O582" s="1"/>
      <c r="P582" s="1"/>
      <c r="Q582" s="1"/>
      <c r="R582" s="1"/>
      <c r="S582" s="1"/>
      <c r="T582" s="1"/>
      <c r="U582" s="2"/>
      <c r="V582" s="1"/>
      <c r="W582" s="1"/>
      <c r="X582" s="1"/>
      <c r="Y582" s="1"/>
      <c r="Z582" s="1"/>
    </row>
    <row r="583" spans="1:26" ht="24.75" customHeight="1">
      <c r="A583" s="1"/>
      <c r="B583" s="1"/>
      <c r="C583" s="1"/>
      <c r="D583" s="1"/>
      <c r="E583" s="1"/>
      <c r="F583" s="1"/>
      <c r="G583" s="1"/>
      <c r="H583" s="1"/>
      <c r="I583" s="1"/>
      <c r="J583" s="1"/>
      <c r="K583" s="1"/>
      <c r="L583" s="1"/>
      <c r="M583" s="1"/>
      <c r="N583" s="1"/>
      <c r="O583" s="1"/>
      <c r="P583" s="1"/>
      <c r="Q583" s="1"/>
      <c r="R583" s="1"/>
      <c r="S583" s="1"/>
      <c r="T583" s="1"/>
      <c r="U583" s="2"/>
      <c r="V583" s="1"/>
      <c r="W583" s="1"/>
      <c r="X583" s="1"/>
      <c r="Y583" s="1"/>
      <c r="Z583" s="1"/>
    </row>
    <row r="584" spans="1:26" ht="24.75" customHeight="1">
      <c r="A584" s="1"/>
      <c r="B584" s="1"/>
      <c r="C584" s="1"/>
      <c r="D584" s="1"/>
      <c r="E584" s="1"/>
      <c r="F584" s="1"/>
      <c r="G584" s="1"/>
      <c r="H584" s="1"/>
      <c r="I584" s="1"/>
      <c r="J584" s="1"/>
      <c r="K584" s="1"/>
      <c r="L584" s="1"/>
      <c r="M584" s="1"/>
      <c r="N584" s="1"/>
      <c r="O584" s="1"/>
      <c r="P584" s="1"/>
      <c r="Q584" s="1"/>
      <c r="R584" s="1"/>
      <c r="S584" s="1"/>
      <c r="T584" s="1"/>
      <c r="U584" s="2"/>
      <c r="V584" s="1"/>
      <c r="W584" s="1"/>
      <c r="X584" s="1"/>
      <c r="Y584" s="1"/>
      <c r="Z584" s="1"/>
    </row>
    <row r="585" spans="1:26" ht="24.75" customHeight="1">
      <c r="A585" s="1"/>
      <c r="B585" s="1"/>
      <c r="C585" s="1"/>
      <c r="D585" s="1"/>
      <c r="E585" s="1"/>
      <c r="F585" s="1"/>
      <c r="G585" s="1"/>
      <c r="H585" s="1"/>
      <c r="I585" s="1"/>
      <c r="J585" s="1"/>
      <c r="K585" s="1"/>
      <c r="L585" s="1"/>
      <c r="M585" s="1"/>
      <c r="N585" s="1"/>
      <c r="O585" s="1"/>
      <c r="P585" s="1"/>
      <c r="Q585" s="1"/>
      <c r="R585" s="1"/>
      <c r="S585" s="1"/>
      <c r="T585" s="1"/>
      <c r="U585" s="2"/>
      <c r="V585" s="1"/>
      <c r="W585" s="1"/>
      <c r="X585" s="1"/>
      <c r="Y585" s="1"/>
      <c r="Z585" s="1"/>
    </row>
    <row r="586" spans="1:26" ht="24.75" customHeight="1">
      <c r="A586" s="1"/>
      <c r="B586" s="1"/>
      <c r="C586" s="1"/>
      <c r="D586" s="1"/>
      <c r="E586" s="1"/>
      <c r="F586" s="1"/>
      <c r="G586" s="1"/>
      <c r="H586" s="1"/>
      <c r="I586" s="1"/>
      <c r="J586" s="1"/>
      <c r="K586" s="1"/>
      <c r="L586" s="1"/>
      <c r="M586" s="1"/>
      <c r="N586" s="1"/>
      <c r="O586" s="1"/>
      <c r="P586" s="1"/>
      <c r="Q586" s="1"/>
      <c r="R586" s="1"/>
      <c r="S586" s="1"/>
      <c r="T586" s="1"/>
      <c r="U586" s="2"/>
      <c r="V586" s="1"/>
      <c r="W586" s="1"/>
      <c r="X586" s="1"/>
      <c r="Y586" s="1"/>
      <c r="Z586" s="1"/>
    </row>
    <row r="587" spans="1:26" ht="24.75" customHeight="1">
      <c r="A587" s="1"/>
      <c r="B587" s="1"/>
      <c r="C587" s="1"/>
      <c r="D587" s="1"/>
      <c r="E587" s="1"/>
      <c r="F587" s="1"/>
      <c r="G587" s="1"/>
      <c r="H587" s="1"/>
      <c r="I587" s="1"/>
      <c r="J587" s="1"/>
      <c r="K587" s="1"/>
      <c r="L587" s="1"/>
      <c r="M587" s="1"/>
      <c r="N587" s="1"/>
      <c r="O587" s="1"/>
      <c r="P587" s="1"/>
      <c r="Q587" s="1"/>
      <c r="R587" s="1"/>
      <c r="S587" s="1"/>
      <c r="T587" s="1"/>
      <c r="U587" s="2"/>
      <c r="V587" s="1"/>
      <c r="W587" s="1"/>
      <c r="X587" s="1"/>
      <c r="Y587" s="1"/>
      <c r="Z587" s="1"/>
    </row>
    <row r="588" spans="1:26" ht="24.75" customHeight="1">
      <c r="A588" s="1"/>
      <c r="B588" s="1"/>
      <c r="C588" s="1"/>
      <c r="D588" s="1"/>
      <c r="E588" s="1"/>
      <c r="F588" s="1"/>
      <c r="G588" s="1"/>
      <c r="H588" s="1"/>
      <c r="I588" s="1"/>
      <c r="J588" s="1"/>
      <c r="K588" s="1"/>
      <c r="L588" s="1"/>
      <c r="M588" s="1"/>
      <c r="N588" s="1"/>
      <c r="O588" s="1"/>
      <c r="P588" s="1"/>
      <c r="Q588" s="1"/>
      <c r="R588" s="1"/>
      <c r="S588" s="1"/>
      <c r="T588" s="1"/>
      <c r="U588" s="2"/>
      <c r="V588" s="1"/>
      <c r="W588" s="1"/>
      <c r="X588" s="1"/>
      <c r="Y588" s="1"/>
      <c r="Z588" s="1"/>
    </row>
    <row r="589" spans="1:26" ht="24.75" customHeight="1">
      <c r="A589" s="1"/>
      <c r="B589" s="1"/>
      <c r="C589" s="1"/>
      <c r="D589" s="1"/>
      <c r="E589" s="1"/>
      <c r="F589" s="1"/>
      <c r="G589" s="1"/>
      <c r="H589" s="1"/>
      <c r="I589" s="1"/>
      <c r="J589" s="1"/>
      <c r="K589" s="1"/>
      <c r="L589" s="1"/>
      <c r="M589" s="1"/>
      <c r="N589" s="1"/>
      <c r="O589" s="1"/>
      <c r="P589" s="1"/>
      <c r="Q589" s="1"/>
      <c r="R589" s="1"/>
      <c r="S589" s="1"/>
      <c r="T589" s="1"/>
      <c r="U589" s="2"/>
      <c r="V589" s="1"/>
      <c r="W589" s="1"/>
      <c r="X589" s="1"/>
      <c r="Y589" s="1"/>
      <c r="Z589" s="1"/>
    </row>
    <row r="590" spans="1:26" ht="24.75" customHeight="1">
      <c r="A590" s="1"/>
      <c r="B590" s="1"/>
      <c r="C590" s="1"/>
      <c r="D590" s="1"/>
      <c r="E590" s="1"/>
      <c r="F590" s="1"/>
      <c r="G590" s="1"/>
      <c r="H590" s="1"/>
      <c r="I590" s="1"/>
      <c r="J590" s="1"/>
      <c r="K590" s="1"/>
      <c r="L590" s="1"/>
      <c r="M590" s="1"/>
      <c r="N590" s="1"/>
      <c r="O590" s="1"/>
      <c r="P590" s="1"/>
      <c r="Q590" s="1"/>
      <c r="R590" s="1"/>
      <c r="S590" s="1"/>
      <c r="T590" s="1"/>
      <c r="U590" s="2"/>
      <c r="V590" s="1"/>
      <c r="W590" s="1"/>
      <c r="X590" s="1"/>
      <c r="Y590" s="1"/>
      <c r="Z590" s="1"/>
    </row>
    <row r="591" spans="1:26" ht="24.75" customHeight="1">
      <c r="A591" s="1"/>
      <c r="B591" s="1"/>
      <c r="C591" s="1"/>
      <c r="D591" s="1"/>
      <c r="E591" s="1"/>
      <c r="F591" s="1"/>
      <c r="G591" s="1"/>
      <c r="H591" s="1"/>
      <c r="I591" s="1"/>
      <c r="J591" s="1"/>
      <c r="K591" s="1"/>
      <c r="L591" s="1"/>
      <c r="M591" s="1"/>
      <c r="N591" s="1"/>
      <c r="O591" s="1"/>
      <c r="P591" s="1"/>
      <c r="Q591" s="1"/>
      <c r="R591" s="1"/>
      <c r="S591" s="1"/>
      <c r="T591" s="1"/>
      <c r="U591" s="2"/>
      <c r="V591" s="1"/>
      <c r="W591" s="1"/>
      <c r="X591" s="1"/>
      <c r="Y591" s="1"/>
      <c r="Z591" s="1"/>
    </row>
    <row r="592" spans="1:26" ht="24.75" customHeight="1">
      <c r="A592" s="1"/>
      <c r="B592" s="1"/>
      <c r="C592" s="1"/>
      <c r="D592" s="1"/>
      <c r="E592" s="1"/>
      <c r="F592" s="1"/>
      <c r="G592" s="1"/>
      <c r="H592" s="1"/>
      <c r="I592" s="1"/>
      <c r="J592" s="1"/>
      <c r="K592" s="1"/>
      <c r="L592" s="1"/>
      <c r="M592" s="1"/>
      <c r="N592" s="1"/>
      <c r="O592" s="1"/>
      <c r="P592" s="1"/>
      <c r="Q592" s="1"/>
      <c r="R592" s="1"/>
      <c r="S592" s="1"/>
      <c r="T592" s="1"/>
      <c r="U592" s="2"/>
      <c r="V592" s="1"/>
      <c r="W592" s="1"/>
      <c r="X592" s="1"/>
      <c r="Y592" s="1"/>
      <c r="Z592" s="1"/>
    </row>
    <row r="593" spans="1:26" ht="24.75" customHeight="1">
      <c r="A593" s="1"/>
      <c r="B593" s="1"/>
      <c r="C593" s="1"/>
      <c r="D593" s="1"/>
      <c r="E593" s="1"/>
      <c r="F593" s="1"/>
      <c r="G593" s="1"/>
      <c r="H593" s="1"/>
      <c r="I593" s="1"/>
      <c r="J593" s="1"/>
      <c r="K593" s="1"/>
      <c r="L593" s="1"/>
      <c r="M593" s="1"/>
      <c r="N593" s="1"/>
      <c r="O593" s="1"/>
      <c r="P593" s="1"/>
      <c r="Q593" s="1"/>
      <c r="R593" s="1"/>
      <c r="S593" s="1"/>
      <c r="T593" s="1"/>
      <c r="U593" s="2"/>
      <c r="V593" s="1"/>
      <c r="W593" s="1"/>
      <c r="X593" s="1"/>
      <c r="Y593" s="1"/>
      <c r="Z593" s="1"/>
    </row>
    <row r="594" spans="1:26" ht="24.75" customHeight="1">
      <c r="A594" s="1"/>
      <c r="B594" s="1"/>
      <c r="C594" s="1"/>
      <c r="D594" s="1"/>
      <c r="E594" s="1"/>
      <c r="F594" s="1"/>
      <c r="G594" s="1"/>
      <c r="H594" s="1"/>
      <c r="I594" s="1"/>
      <c r="J594" s="1"/>
      <c r="K594" s="1"/>
      <c r="L594" s="1"/>
      <c r="M594" s="1"/>
      <c r="N594" s="1"/>
      <c r="O594" s="1"/>
      <c r="P594" s="1"/>
      <c r="Q594" s="1"/>
      <c r="R594" s="1"/>
      <c r="S594" s="1"/>
      <c r="T594" s="1"/>
      <c r="U594" s="2"/>
      <c r="V594" s="1"/>
      <c r="W594" s="1"/>
      <c r="X594" s="1"/>
      <c r="Y594" s="1"/>
      <c r="Z594" s="1"/>
    </row>
    <row r="595" spans="1:26" ht="24.75" customHeight="1">
      <c r="A595" s="1"/>
      <c r="B595" s="1"/>
      <c r="C595" s="1"/>
      <c r="D595" s="1"/>
      <c r="E595" s="1"/>
      <c r="F595" s="1"/>
      <c r="G595" s="1"/>
      <c r="H595" s="1"/>
      <c r="I595" s="1"/>
      <c r="J595" s="1"/>
      <c r="K595" s="1"/>
      <c r="L595" s="1"/>
      <c r="M595" s="1"/>
      <c r="N595" s="1"/>
      <c r="O595" s="1"/>
      <c r="P595" s="1"/>
      <c r="Q595" s="1"/>
      <c r="R595" s="1"/>
      <c r="S595" s="1"/>
      <c r="T595" s="1"/>
      <c r="U595" s="2"/>
      <c r="V595" s="1"/>
      <c r="W595" s="1"/>
      <c r="X595" s="1"/>
      <c r="Y595" s="1"/>
      <c r="Z595" s="1"/>
    </row>
    <row r="596" spans="1:26" ht="24.75" customHeight="1">
      <c r="A596" s="1"/>
      <c r="B596" s="1"/>
      <c r="C596" s="1"/>
      <c r="D596" s="1"/>
      <c r="E596" s="1"/>
      <c r="F596" s="1"/>
      <c r="G596" s="1"/>
      <c r="H596" s="1"/>
      <c r="I596" s="1"/>
      <c r="J596" s="1"/>
      <c r="K596" s="1"/>
      <c r="L596" s="1"/>
      <c r="M596" s="1"/>
      <c r="N596" s="1"/>
      <c r="O596" s="1"/>
      <c r="P596" s="1"/>
      <c r="Q596" s="1"/>
      <c r="R596" s="1"/>
      <c r="S596" s="1"/>
      <c r="T596" s="1"/>
      <c r="U596" s="2"/>
      <c r="V596" s="1"/>
      <c r="W596" s="1"/>
      <c r="X596" s="1"/>
      <c r="Y596" s="1"/>
      <c r="Z596" s="1"/>
    </row>
    <row r="597" spans="1:26" ht="24.75" customHeight="1">
      <c r="A597" s="1"/>
      <c r="B597" s="1"/>
      <c r="C597" s="1"/>
      <c r="D597" s="1"/>
      <c r="E597" s="1"/>
      <c r="F597" s="1"/>
      <c r="G597" s="1"/>
      <c r="H597" s="1"/>
      <c r="I597" s="1"/>
      <c r="J597" s="1"/>
      <c r="K597" s="1"/>
      <c r="L597" s="1"/>
      <c r="M597" s="1"/>
      <c r="N597" s="1"/>
      <c r="O597" s="1"/>
      <c r="P597" s="1"/>
      <c r="Q597" s="1"/>
      <c r="R597" s="1"/>
      <c r="S597" s="1"/>
      <c r="T597" s="1"/>
      <c r="U597" s="2"/>
      <c r="V597" s="1"/>
      <c r="W597" s="1"/>
      <c r="X597" s="1"/>
      <c r="Y597" s="1"/>
      <c r="Z597" s="1"/>
    </row>
    <row r="598" spans="1:26" ht="24.75" customHeight="1">
      <c r="A598" s="1"/>
      <c r="B598" s="1"/>
      <c r="C598" s="1"/>
      <c r="D598" s="1"/>
      <c r="E598" s="1"/>
      <c r="F598" s="1"/>
      <c r="G598" s="1"/>
      <c r="H598" s="1"/>
      <c r="I598" s="1"/>
      <c r="J598" s="1"/>
      <c r="K598" s="1"/>
      <c r="L598" s="1"/>
      <c r="M598" s="1"/>
      <c r="N598" s="1"/>
      <c r="O598" s="1"/>
      <c r="P598" s="1"/>
      <c r="Q598" s="1"/>
      <c r="R598" s="1"/>
      <c r="S598" s="1"/>
      <c r="T598" s="1"/>
      <c r="U598" s="2"/>
      <c r="V598" s="1"/>
      <c r="W598" s="1"/>
      <c r="X598" s="1"/>
      <c r="Y598" s="1"/>
      <c r="Z598" s="1"/>
    </row>
    <row r="599" spans="1:26" ht="24.75" customHeight="1">
      <c r="A599" s="1"/>
      <c r="B599" s="1"/>
      <c r="C599" s="1"/>
      <c r="D599" s="1"/>
      <c r="E599" s="1"/>
      <c r="F599" s="1"/>
      <c r="G599" s="1"/>
      <c r="H599" s="1"/>
      <c r="I599" s="1"/>
      <c r="J599" s="1"/>
      <c r="K599" s="1"/>
      <c r="L599" s="1"/>
      <c r="M599" s="1"/>
      <c r="N599" s="1"/>
      <c r="O599" s="1"/>
      <c r="P599" s="1"/>
      <c r="Q599" s="1"/>
      <c r="R599" s="1"/>
      <c r="S599" s="1"/>
      <c r="T599" s="1"/>
      <c r="U599" s="2"/>
      <c r="V599" s="1"/>
      <c r="W599" s="1"/>
      <c r="X599" s="1"/>
      <c r="Y599" s="1"/>
      <c r="Z599" s="1"/>
    </row>
    <row r="600" spans="1:26" ht="24.75" customHeight="1">
      <c r="A600" s="1"/>
      <c r="B600" s="1"/>
      <c r="C600" s="1"/>
      <c r="D600" s="1"/>
      <c r="E600" s="1"/>
      <c r="F600" s="1"/>
      <c r="G600" s="1"/>
      <c r="H600" s="1"/>
      <c r="I600" s="1"/>
      <c r="J600" s="1"/>
      <c r="K600" s="1"/>
      <c r="L600" s="1"/>
      <c r="M600" s="1"/>
      <c r="N600" s="1"/>
      <c r="O600" s="1"/>
      <c r="P600" s="1"/>
      <c r="Q600" s="1"/>
      <c r="R600" s="1"/>
      <c r="S600" s="1"/>
      <c r="T600" s="1"/>
      <c r="U600" s="2"/>
      <c r="V600" s="1"/>
      <c r="W600" s="1"/>
      <c r="X600" s="1"/>
      <c r="Y600" s="1"/>
      <c r="Z600" s="1"/>
    </row>
    <row r="601" spans="1:26" ht="24.75" customHeight="1">
      <c r="A601" s="1"/>
      <c r="B601" s="1"/>
      <c r="C601" s="1"/>
      <c r="D601" s="1"/>
      <c r="E601" s="1"/>
      <c r="F601" s="1"/>
      <c r="G601" s="1"/>
      <c r="H601" s="1"/>
      <c r="I601" s="1"/>
      <c r="J601" s="1"/>
      <c r="K601" s="1"/>
      <c r="L601" s="1"/>
      <c r="M601" s="1"/>
      <c r="N601" s="1"/>
      <c r="O601" s="1"/>
      <c r="P601" s="1"/>
      <c r="Q601" s="1"/>
      <c r="R601" s="1"/>
      <c r="S601" s="1"/>
      <c r="T601" s="1"/>
      <c r="U601" s="2"/>
      <c r="V601" s="1"/>
      <c r="W601" s="1"/>
      <c r="X601" s="1"/>
      <c r="Y601" s="1"/>
      <c r="Z601" s="1"/>
    </row>
    <row r="602" spans="1:26" ht="24.75" customHeight="1">
      <c r="A602" s="1"/>
      <c r="B602" s="1"/>
      <c r="C602" s="1"/>
      <c r="D602" s="1"/>
      <c r="E602" s="1"/>
      <c r="F602" s="1"/>
      <c r="G602" s="1"/>
      <c r="H602" s="1"/>
      <c r="I602" s="1"/>
      <c r="J602" s="1"/>
      <c r="K602" s="1"/>
      <c r="L602" s="1"/>
      <c r="M602" s="1"/>
      <c r="N602" s="1"/>
      <c r="O602" s="1"/>
      <c r="P602" s="1"/>
      <c r="Q602" s="1"/>
      <c r="R602" s="1"/>
      <c r="S602" s="1"/>
      <c r="T602" s="1"/>
      <c r="U602" s="2"/>
      <c r="V602" s="1"/>
      <c r="W602" s="1"/>
      <c r="X602" s="1"/>
      <c r="Y602" s="1"/>
      <c r="Z602" s="1"/>
    </row>
    <row r="603" spans="1:26" ht="24.75" customHeight="1">
      <c r="A603" s="1"/>
      <c r="B603" s="1"/>
      <c r="C603" s="1"/>
      <c r="D603" s="1"/>
      <c r="E603" s="1"/>
      <c r="F603" s="1"/>
      <c r="G603" s="1"/>
      <c r="H603" s="1"/>
      <c r="I603" s="1"/>
      <c r="J603" s="1"/>
      <c r="K603" s="1"/>
      <c r="L603" s="1"/>
      <c r="M603" s="1"/>
      <c r="N603" s="1"/>
      <c r="O603" s="1"/>
      <c r="P603" s="1"/>
      <c r="Q603" s="1"/>
      <c r="R603" s="1"/>
      <c r="S603" s="1"/>
      <c r="T603" s="1"/>
      <c r="U603" s="2"/>
      <c r="V603" s="1"/>
      <c r="W603" s="1"/>
      <c r="X603" s="1"/>
      <c r="Y603" s="1"/>
      <c r="Z603" s="1"/>
    </row>
    <row r="604" spans="1:26" ht="24.75" customHeight="1">
      <c r="A604" s="1"/>
      <c r="B604" s="1"/>
      <c r="C604" s="1"/>
      <c r="D604" s="1"/>
      <c r="E604" s="1"/>
      <c r="F604" s="1"/>
      <c r="G604" s="1"/>
      <c r="H604" s="1"/>
      <c r="I604" s="1"/>
      <c r="J604" s="1"/>
      <c r="K604" s="1"/>
      <c r="L604" s="1"/>
      <c r="M604" s="1"/>
      <c r="N604" s="1"/>
      <c r="O604" s="1"/>
      <c r="P604" s="1"/>
      <c r="Q604" s="1"/>
      <c r="R604" s="1"/>
      <c r="S604" s="1"/>
      <c r="T604" s="1"/>
      <c r="U604" s="2"/>
      <c r="V604" s="1"/>
      <c r="W604" s="1"/>
      <c r="X604" s="1"/>
      <c r="Y604" s="1"/>
      <c r="Z604" s="1"/>
    </row>
    <row r="605" spans="1:26" ht="24.75" customHeight="1">
      <c r="A605" s="1"/>
      <c r="B605" s="1"/>
      <c r="C605" s="1"/>
      <c r="D605" s="1"/>
      <c r="E605" s="1"/>
      <c r="F605" s="1"/>
      <c r="G605" s="1"/>
      <c r="H605" s="1"/>
      <c r="I605" s="1"/>
      <c r="J605" s="1"/>
      <c r="K605" s="1"/>
      <c r="L605" s="1"/>
      <c r="M605" s="1"/>
      <c r="N605" s="1"/>
      <c r="O605" s="1"/>
      <c r="P605" s="1"/>
      <c r="Q605" s="1"/>
      <c r="R605" s="1"/>
      <c r="S605" s="1"/>
      <c r="T605" s="1"/>
      <c r="U605" s="2"/>
      <c r="V605" s="1"/>
      <c r="W605" s="1"/>
      <c r="X605" s="1"/>
      <c r="Y605" s="1"/>
      <c r="Z605" s="1"/>
    </row>
    <row r="606" spans="1:26" ht="24.75" customHeight="1">
      <c r="A606" s="1"/>
      <c r="B606" s="1"/>
      <c r="C606" s="1"/>
      <c r="D606" s="1"/>
      <c r="E606" s="1"/>
      <c r="F606" s="1"/>
      <c r="G606" s="1"/>
      <c r="H606" s="1"/>
      <c r="I606" s="1"/>
      <c r="J606" s="1"/>
      <c r="K606" s="1"/>
      <c r="L606" s="1"/>
      <c r="M606" s="1"/>
      <c r="N606" s="1"/>
      <c r="O606" s="1"/>
      <c r="P606" s="1"/>
      <c r="Q606" s="1"/>
      <c r="R606" s="1"/>
      <c r="S606" s="1"/>
      <c r="T606" s="1"/>
      <c r="U606" s="2"/>
      <c r="V606" s="1"/>
      <c r="W606" s="1"/>
      <c r="X606" s="1"/>
      <c r="Y606" s="1"/>
      <c r="Z606" s="1"/>
    </row>
    <row r="607" spans="1:26" ht="24.75" customHeight="1">
      <c r="A607" s="1"/>
      <c r="B607" s="1"/>
      <c r="C607" s="1"/>
      <c r="D607" s="1"/>
      <c r="E607" s="1"/>
      <c r="F607" s="1"/>
      <c r="G607" s="1"/>
      <c r="H607" s="1"/>
      <c r="I607" s="1"/>
      <c r="J607" s="1"/>
      <c r="K607" s="1"/>
      <c r="L607" s="1"/>
      <c r="M607" s="1"/>
      <c r="N607" s="1"/>
      <c r="O607" s="1"/>
      <c r="P607" s="1"/>
      <c r="Q607" s="1"/>
      <c r="R607" s="1"/>
      <c r="S607" s="1"/>
      <c r="T607" s="1"/>
      <c r="U607" s="2"/>
      <c r="V607" s="1"/>
      <c r="W607" s="1"/>
      <c r="X607" s="1"/>
      <c r="Y607" s="1"/>
      <c r="Z607" s="1"/>
    </row>
    <row r="608" spans="1:26" ht="24.75" customHeight="1">
      <c r="A608" s="1"/>
      <c r="B608" s="1"/>
      <c r="C608" s="1"/>
      <c r="D608" s="1"/>
      <c r="E608" s="1"/>
      <c r="F608" s="1"/>
      <c r="G608" s="1"/>
      <c r="H608" s="1"/>
      <c r="I608" s="1"/>
      <c r="J608" s="1"/>
      <c r="K608" s="1"/>
      <c r="L608" s="1"/>
      <c r="M608" s="1"/>
      <c r="N608" s="1"/>
      <c r="O608" s="1"/>
      <c r="P608" s="1"/>
      <c r="Q608" s="1"/>
      <c r="R608" s="1"/>
      <c r="S608" s="1"/>
      <c r="T608" s="1"/>
      <c r="U608" s="2"/>
      <c r="V608" s="1"/>
      <c r="W608" s="1"/>
      <c r="X608" s="1"/>
      <c r="Y608" s="1"/>
      <c r="Z608" s="1"/>
    </row>
    <row r="609" spans="1:26" ht="24.75" customHeight="1">
      <c r="A609" s="1"/>
      <c r="B609" s="1"/>
      <c r="C609" s="1"/>
      <c r="D609" s="1"/>
      <c r="E609" s="1"/>
      <c r="F609" s="1"/>
      <c r="G609" s="1"/>
      <c r="H609" s="1"/>
      <c r="I609" s="1"/>
      <c r="J609" s="1"/>
      <c r="K609" s="1"/>
      <c r="L609" s="1"/>
      <c r="M609" s="1"/>
      <c r="N609" s="1"/>
      <c r="O609" s="1"/>
      <c r="P609" s="1"/>
      <c r="Q609" s="1"/>
      <c r="R609" s="1"/>
      <c r="S609" s="1"/>
      <c r="T609" s="1"/>
      <c r="U609" s="2"/>
      <c r="V609" s="1"/>
      <c r="W609" s="1"/>
      <c r="X609" s="1"/>
      <c r="Y609" s="1"/>
      <c r="Z609" s="1"/>
    </row>
    <row r="610" spans="1:26" ht="24.75" customHeight="1">
      <c r="A610" s="1"/>
      <c r="B610" s="1"/>
      <c r="C610" s="1"/>
      <c r="D610" s="1"/>
      <c r="E610" s="1"/>
      <c r="F610" s="1"/>
      <c r="G610" s="1"/>
      <c r="H610" s="1"/>
      <c r="I610" s="1"/>
      <c r="J610" s="1"/>
      <c r="K610" s="1"/>
      <c r="L610" s="1"/>
      <c r="M610" s="1"/>
      <c r="N610" s="1"/>
      <c r="O610" s="1"/>
      <c r="P610" s="1"/>
      <c r="Q610" s="1"/>
      <c r="R610" s="1"/>
      <c r="S610" s="1"/>
      <c r="T610" s="1"/>
      <c r="U610" s="2"/>
      <c r="V610" s="1"/>
      <c r="W610" s="1"/>
      <c r="X610" s="1"/>
      <c r="Y610" s="1"/>
      <c r="Z610" s="1"/>
    </row>
    <row r="611" spans="1:26" ht="24.75" customHeight="1">
      <c r="A611" s="1"/>
      <c r="B611" s="1"/>
      <c r="C611" s="1"/>
      <c r="D611" s="1"/>
      <c r="E611" s="1"/>
      <c r="F611" s="1"/>
      <c r="G611" s="1"/>
      <c r="H611" s="1"/>
      <c r="I611" s="1"/>
      <c r="J611" s="1"/>
      <c r="K611" s="1"/>
      <c r="L611" s="1"/>
      <c r="M611" s="1"/>
      <c r="N611" s="1"/>
      <c r="O611" s="1"/>
      <c r="P611" s="1"/>
      <c r="Q611" s="1"/>
      <c r="R611" s="1"/>
      <c r="S611" s="1"/>
      <c r="T611" s="1"/>
      <c r="U611" s="2"/>
      <c r="V611" s="1"/>
      <c r="W611" s="1"/>
      <c r="X611" s="1"/>
      <c r="Y611" s="1"/>
      <c r="Z611" s="1"/>
    </row>
    <row r="612" spans="1:26" ht="24.75" customHeight="1">
      <c r="A612" s="1"/>
      <c r="B612" s="1"/>
      <c r="C612" s="1"/>
      <c r="D612" s="1"/>
      <c r="E612" s="1"/>
      <c r="F612" s="1"/>
      <c r="G612" s="1"/>
      <c r="H612" s="1"/>
      <c r="I612" s="1"/>
      <c r="J612" s="1"/>
      <c r="K612" s="1"/>
      <c r="L612" s="1"/>
      <c r="M612" s="1"/>
      <c r="N612" s="1"/>
      <c r="O612" s="1"/>
      <c r="P612" s="1"/>
      <c r="Q612" s="1"/>
      <c r="R612" s="1"/>
      <c r="S612" s="1"/>
      <c r="T612" s="1"/>
      <c r="U612" s="2"/>
      <c r="V612" s="1"/>
      <c r="W612" s="1"/>
      <c r="X612" s="1"/>
      <c r="Y612" s="1"/>
      <c r="Z612" s="1"/>
    </row>
    <row r="613" spans="1:26" ht="24.75" customHeight="1">
      <c r="A613" s="1"/>
      <c r="B613" s="1"/>
      <c r="C613" s="1"/>
      <c r="D613" s="1"/>
      <c r="E613" s="1"/>
      <c r="F613" s="1"/>
      <c r="G613" s="1"/>
      <c r="H613" s="1"/>
      <c r="I613" s="1"/>
      <c r="J613" s="1"/>
      <c r="K613" s="1"/>
      <c r="L613" s="1"/>
      <c r="M613" s="1"/>
      <c r="N613" s="1"/>
      <c r="O613" s="1"/>
      <c r="P613" s="1"/>
      <c r="Q613" s="1"/>
      <c r="R613" s="1"/>
      <c r="S613" s="1"/>
      <c r="T613" s="1"/>
      <c r="U613" s="2"/>
      <c r="V613" s="1"/>
      <c r="W613" s="1"/>
      <c r="X613" s="1"/>
      <c r="Y613" s="1"/>
      <c r="Z613" s="1"/>
    </row>
    <row r="614" spans="1:26" ht="24.75" customHeight="1">
      <c r="A614" s="1"/>
      <c r="B614" s="1"/>
      <c r="C614" s="1"/>
      <c r="D614" s="1"/>
      <c r="E614" s="1"/>
      <c r="F614" s="1"/>
      <c r="G614" s="1"/>
      <c r="H614" s="1"/>
      <c r="I614" s="1"/>
      <c r="J614" s="1"/>
      <c r="K614" s="1"/>
      <c r="L614" s="1"/>
      <c r="M614" s="1"/>
      <c r="N614" s="1"/>
      <c r="O614" s="1"/>
      <c r="P614" s="1"/>
      <c r="Q614" s="1"/>
      <c r="R614" s="1"/>
      <c r="S614" s="1"/>
      <c r="T614" s="1"/>
      <c r="U614" s="2"/>
      <c r="V614" s="1"/>
      <c r="W614" s="1"/>
      <c r="X614" s="1"/>
      <c r="Y614" s="1"/>
      <c r="Z614" s="1"/>
    </row>
    <row r="615" spans="1:26" ht="24.75" customHeight="1">
      <c r="A615" s="1"/>
      <c r="B615" s="1"/>
      <c r="C615" s="1"/>
      <c r="D615" s="1"/>
      <c r="E615" s="1"/>
      <c r="F615" s="1"/>
      <c r="G615" s="1"/>
      <c r="H615" s="1"/>
      <c r="I615" s="1"/>
      <c r="J615" s="1"/>
      <c r="K615" s="1"/>
      <c r="L615" s="1"/>
      <c r="M615" s="1"/>
      <c r="N615" s="1"/>
      <c r="O615" s="1"/>
      <c r="P615" s="1"/>
      <c r="Q615" s="1"/>
      <c r="R615" s="1"/>
      <c r="S615" s="1"/>
      <c r="T615" s="1"/>
      <c r="U615" s="2"/>
      <c r="V615" s="1"/>
      <c r="W615" s="1"/>
      <c r="X615" s="1"/>
      <c r="Y615" s="1"/>
      <c r="Z615" s="1"/>
    </row>
    <row r="616" spans="1:26" ht="24.75" customHeight="1">
      <c r="A616" s="1"/>
      <c r="B616" s="1"/>
      <c r="C616" s="1"/>
      <c r="D616" s="1"/>
      <c r="E616" s="1"/>
      <c r="F616" s="1"/>
      <c r="G616" s="1"/>
      <c r="H616" s="1"/>
      <c r="I616" s="1"/>
      <c r="J616" s="1"/>
      <c r="K616" s="1"/>
      <c r="L616" s="1"/>
      <c r="M616" s="1"/>
      <c r="N616" s="1"/>
      <c r="O616" s="1"/>
      <c r="P616" s="1"/>
      <c r="Q616" s="1"/>
      <c r="R616" s="1"/>
      <c r="S616" s="1"/>
      <c r="T616" s="1"/>
      <c r="U616" s="2"/>
      <c r="V616" s="1"/>
      <c r="W616" s="1"/>
      <c r="X616" s="1"/>
      <c r="Y616" s="1"/>
      <c r="Z616" s="1"/>
    </row>
    <row r="617" spans="1:26" ht="24.75" customHeight="1">
      <c r="A617" s="1"/>
      <c r="B617" s="1"/>
      <c r="C617" s="1"/>
      <c r="D617" s="1"/>
      <c r="E617" s="1"/>
      <c r="F617" s="1"/>
      <c r="G617" s="1"/>
      <c r="H617" s="1"/>
      <c r="I617" s="1"/>
      <c r="J617" s="1"/>
      <c r="K617" s="1"/>
      <c r="L617" s="1"/>
      <c r="M617" s="1"/>
      <c r="N617" s="1"/>
      <c r="O617" s="1"/>
      <c r="P617" s="1"/>
      <c r="Q617" s="1"/>
      <c r="R617" s="1"/>
      <c r="S617" s="1"/>
      <c r="T617" s="1"/>
      <c r="U617" s="2"/>
      <c r="V617" s="1"/>
      <c r="W617" s="1"/>
      <c r="X617" s="1"/>
      <c r="Y617" s="1"/>
      <c r="Z617" s="1"/>
    </row>
    <row r="618" spans="1:26" ht="24.75" customHeight="1">
      <c r="A618" s="1"/>
      <c r="B618" s="1"/>
      <c r="C618" s="1"/>
      <c r="D618" s="1"/>
      <c r="E618" s="1"/>
      <c r="F618" s="1"/>
      <c r="G618" s="1"/>
      <c r="H618" s="1"/>
      <c r="I618" s="1"/>
      <c r="J618" s="1"/>
      <c r="K618" s="1"/>
      <c r="L618" s="1"/>
      <c r="M618" s="1"/>
      <c r="N618" s="1"/>
      <c r="O618" s="1"/>
      <c r="P618" s="1"/>
      <c r="Q618" s="1"/>
      <c r="R618" s="1"/>
      <c r="S618" s="1"/>
      <c r="T618" s="1"/>
      <c r="U618" s="2"/>
      <c r="V618" s="1"/>
      <c r="W618" s="1"/>
      <c r="X618" s="1"/>
      <c r="Y618" s="1"/>
      <c r="Z618" s="1"/>
    </row>
    <row r="619" spans="1:26" ht="24.75" customHeight="1">
      <c r="A619" s="1"/>
      <c r="B619" s="1"/>
      <c r="C619" s="1"/>
      <c r="D619" s="1"/>
      <c r="E619" s="1"/>
      <c r="F619" s="1"/>
      <c r="G619" s="1"/>
      <c r="H619" s="1"/>
      <c r="I619" s="1"/>
      <c r="J619" s="1"/>
      <c r="K619" s="1"/>
      <c r="L619" s="1"/>
      <c r="M619" s="1"/>
      <c r="N619" s="1"/>
      <c r="O619" s="1"/>
      <c r="P619" s="1"/>
      <c r="Q619" s="1"/>
      <c r="R619" s="1"/>
      <c r="S619" s="1"/>
      <c r="T619" s="1"/>
      <c r="U619" s="2"/>
      <c r="V619" s="1"/>
      <c r="W619" s="1"/>
      <c r="X619" s="1"/>
      <c r="Y619" s="1"/>
      <c r="Z619" s="1"/>
    </row>
    <row r="620" spans="1:26" ht="24.75" customHeight="1">
      <c r="A620" s="1"/>
      <c r="B620" s="1"/>
      <c r="C620" s="1"/>
      <c r="D620" s="1"/>
      <c r="E620" s="1"/>
      <c r="F620" s="1"/>
      <c r="G620" s="1"/>
      <c r="H620" s="1"/>
      <c r="I620" s="1"/>
      <c r="J620" s="1"/>
      <c r="K620" s="1"/>
      <c r="L620" s="1"/>
      <c r="M620" s="1"/>
      <c r="N620" s="1"/>
      <c r="O620" s="1"/>
      <c r="P620" s="1"/>
      <c r="Q620" s="1"/>
      <c r="R620" s="1"/>
      <c r="S620" s="1"/>
      <c r="T620" s="1"/>
      <c r="U620" s="2"/>
      <c r="V620" s="1"/>
      <c r="W620" s="1"/>
      <c r="X620" s="1"/>
      <c r="Y620" s="1"/>
      <c r="Z620" s="1"/>
    </row>
    <row r="621" spans="1:26" ht="24.75" customHeight="1">
      <c r="A621" s="1"/>
      <c r="B621" s="1"/>
      <c r="C621" s="1"/>
      <c r="D621" s="1"/>
      <c r="E621" s="1"/>
      <c r="F621" s="1"/>
      <c r="G621" s="1"/>
      <c r="H621" s="1"/>
      <c r="I621" s="1"/>
      <c r="J621" s="1"/>
      <c r="K621" s="1"/>
      <c r="L621" s="1"/>
      <c r="M621" s="1"/>
      <c r="N621" s="1"/>
      <c r="O621" s="1"/>
      <c r="P621" s="1"/>
      <c r="Q621" s="1"/>
      <c r="R621" s="1"/>
      <c r="S621" s="1"/>
      <c r="T621" s="1"/>
      <c r="U621" s="2"/>
      <c r="V621" s="1"/>
      <c r="W621" s="1"/>
      <c r="X621" s="1"/>
      <c r="Y621" s="1"/>
      <c r="Z621" s="1"/>
    </row>
    <row r="622" spans="1:26" ht="24.75" customHeight="1">
      <c r="A622" s="1"/>
      <c r="B622" s="1"/>
      <c r="C622" s="1"/>
      <c r="D622" s="1"/>
      <c r="E622" s="1"/>
      <c r="F622" s="1"/>
      <c r="G622" s="1"/>
      <c r="H622" s="1"/>
      <c r="I622" s="1"/>
      <c r="J622" s="1"/>
      <c r="K622" s="1"/>
      <c r="L622" s="1"/>
      <c r="M622" s="1"/>
      <c r="N622" s="1"/>
      <c r="O622" s="1"/>
      <c r="P622" s="1"/>
      <c r="Q622" s="1"/>
      <c r="R622" s="1"/>
      <c r="S622" s="1"/>
      <c r="T622" s="1"/>
      <c r="U622" s="2"/>
      <c r="V622" s="1"/>
      <c r="W622" s="1"/>
      <c r="X622" s="1"/>
      <c r="Y622" s="1"/>
      <c r="Z622" s="1"/>
    </row>
    <row r="623" spans="1:26" ht="24.75" customHeight="1">
      <c r="A623" s="1"/>
      <c r="B623" s="1"/>
      <c r="C623" s="1"/>
      <c r="D623" s="1"/>
      <c r="E623" s="1"/>
      <c r="F623" s="1"/>
      <c r="G623" s="1"/>
      <c r="H623" s="1"/>
      <c r="I623" s="1"/>
      <c r="J623" s="1"/>
      <c r="K623" s="1"/>
      <c r="L623" s="1"/>
      <c r="M623" s="1"/>
      <c r="N623" s="1"/>
      <c r="O623" s="1"/>
      <c r="P623" s="1"/>
      <c r="Q623" s="1"/>
      <c r="R623" s="1"/>
      <c r="S623" s="1"/>
      <c r="T623" s="1"/>
      <c r="U623" s="2"/>
      <c r="V623" s="1"/>
      <c r="W623" s="1"/>
      <c r="X623" s="1"/>
      <c r="Y623" s="1"/>
      <c r="Z623" s="1"/>
    </row>
    <row r="624" spans="1:26" ht="24.75" customHeight="1">
      <c r="A624" s="1"/>
      <c r="B624" s="1"/>
      <c r="C624" s="1"/>
      <c r="D624" s="1"/>
      <c r="E624" s="1"/>
      <c r="F624" s="1"/>
      <c r="G624" s="1"/>
      <c r="H624" s="1"/>
      <c r="I624" s="1"/>
      <c r="J624" s="1"/>
      <c r="K624" s="1"/>
      <c r="L624" s="1"/>
      <c r="M624" s="1"/>
      <c r="N624" s="1"/>
      <c r="O624" s="1"/>
      <c r="P624" s="1"/>
      <c r="Q624" s="1"/>
      <c r="R624" s="1"/>
      <c r="S624" s="1"/>
      <c r="T624" s="1"/>
      <c r="U624" s="2"/>
      <c r="V624" s="1"/>
      <c r="W624" s="1"/>
      <c r="X624" s="1"/>
      <c r="Y624" s="1"/>
      <c r="Z624" s="1"/>
    </row>
    <row r="625" spans="1:26" ht="24.75" customHeight="1">
      <c r="A625" s="1"/>
      <c r="B625" s="1"/>
      <c r="C625" s="1"/>
      <c r="D625" s="1"/>
      <c r="E625" s="1"/>
      <c r="F625" s="1"/>
      <c r="G625" s="1"/>
      <c r="H625" s="1"/>
      <c r="I625" s="1"/>
      <c r="J625" s="1"/>
      <c r="K625" s="1"/>
      <c r="L625" s="1"/>
      <c r="M625" s="1"/>
      <c r="N625" s="1"/>
      <c r="O625" s="1"/>
      <c r="P625" s="1"/>
      <c r="Q625" s="1"/>
      <c r="R625" s="1"/>
      <c r="S625" s="1"/>
      <c r="T625" s="1"/>
      <c r="U625" s="2"/>
      <c r="V625" s="1"/>
      <c r="W625" s="1"/>
      <c r="X625" s="1"/>
      <c r="Y625" s="1"/>
      <c r="Z625" s="1"/>
    </row>
    <row r="626" spans="1:26" ht="24.75" customHeight="1">
      <c r="A626" s="1"/>
      <c r="B626" s="1"/>
      <c r="C626" s="1"/>
      <c r="D626" s="1"/>
      <c r="E626" s="1"/>
      <c r="F626" s="1"/>
      <c r="G626" s="1"/>
      <c r="H626" s="1"/>
      <c r="I626" s="1"/>
      <c r="J626" s="1"/>
      <c r="K626" s="1"/>
      <c r="L626" s="1"/>
      <c r="M626" s="1"/>
      <c r="N626" s="1"/>
      <c r="O626" s="1"/>
      <c r="P626" s="1"/>
      <c r="Q626" s="1"/>
      <c r="R626" s="1"/>
      <c r="S626" s="1"/>
      <c r="T626" s="1"/>
      <c r="U626" s="2"/>
      <c r="V626" s="1"/>
      <c r="W626" s="1"/>
      <c r="X626" s="1"/>
      <c r="Y626" s="1"/>
      <c r="Z626" s="1"/>
    </row>
    <row r="627" spans="1:26" ht="24.75" customHeight="1">
      <c r="A627" s="1"/>
      <c r="B627" s="1"/>
      <c r="C627" s="1"/>
      <c r="D627" s="1"/>
      <c r="E627" s="1"/>
      <c r="F627" s="1"/>
      <c r="G627" s="1"/>
      <c r="H627" s="1"/>
      <c r="I627" s="1"/>
      <c r="J627" s="1"/>
      <c r="K627" s="1"/>
      <c r="L627" s="1"/>
      <c r="M627" s="1"/>
      <c r="N627" s="1"/>
      <c r="O627" s="1"/>
      <c r="P627" s="1"/>
      <c r="Q627" s="1"/>
      <c r="R627" s="1"/>
      <c r="S627" s="1"/>
      <c r="T627" s="1"/>
      <c r="U627" s="2"/>
      <c r="V627" s="1"/>
      <c r="W627" s="1"/>
      <c r="X627" s="1"/>
      <c r="Y627" s="1"/>
      <c r="Z627" s="1"/>
    </row>
    <row r="628" spans="1:26" ht="24.75" customHeight="1">
      <c r="A628" s="1"/>
      <c r="B628" s="1"/>
      <c r="C628" s="1"/>
      <c r="D628" s="1"/>
      <c r="E628" s="1"/>
      <c r="F628" s="1"/>
      <c r="G628" s="1"/>
      <c r="H628" s="1"/>
      <c r="I628" s="1"/>
      <c r="J628" s="1"/>
      <c r="K628" s="1"/>
      <c r="L628" s="1"/>
      <c r="M628" s="1"/>
      <c r="N628" s="1"/>
      <c r="O628" s="1"/>
      <c r="P628" s="1"/>
      <c r="Q628" s="1"/>
      <c r="R628" s="1"/>
      <c r="S628" s="1"/>
      <c r="T628" s="1"/>
      <c r="U628" s="2"/>
      <c r="V628" s="1"/>
      <c r="W628" s="1"/>
      <c r="X628" s="1"/>
      <c r="Y628" s="1"/>
      <c r="Z628" s="1"/>
    </row>
    <row r="629" spans="1:26" ht="24.75" customHeight="1">
      <c r="A629" s="1"/>
      <c r="B629" s="1"/>
      <c r="C629" s="1"/>
      <c r="D629" s="1"/>
      <c r="E629" s="1"/>
      <c r="F629" s="1"/>
      <c r="G629" s="1"/>
      <c r="H629" s="1"/>
      <c r="I629" s="1"/>
      <c r="J629" s="1"/>
      <c r="K629" s="1"/>
      <c r="L629" s="1"/>
      <c r="M629" s="1"/>
      <c r="N629" s="1"/>
      <c r="O629" s="1"/>
      <c r="P629" s="1"/>
      <c r="Q629" s="1"/>
      <c r="R629" s="1"/>
      <c r="S629" s="1"/>
      <c r="T629" s="1"/>
      <c r="U629" s="2"/>
      <c r="V629" s="1"/>
      <c r="W629" s="1"/>
      <c r="X629" s="1"/>
      <c r="Y629" s="1"/>
      <c r="Z629" s="1"/>
    </row>
    <row r="630" spans="1:26" ht="24.75" customHeight="1">
      <c r="A630" s="1"/>
      <c r="B630" s="1"/>
      <c r="C630" s="1"/>
      <c r="D630" s="1"/>
      <c r="E630" s="1"/>
      <c r="F630" s="1"/>
      <c r="G630" s="1"/>
      <c r="H630" s="1"/>
      <c r="I630" s="1"/>
      <c r="J630" s="1"/>
      <c r="K630" s="1"/>
      <c r="L630" s="1"/>
      <c r="M630" s="1"/>
      <c r="N630" s="1"/>
      <c r="O630" s="1"/>
      <c r="P630" s="1"/>
      <c r="Q630" s="1"/>
      <c r="R630" s="1"/>
      <c r="S630" s="1"/>
      <c r="T630" s="1"/>
      <c r="U630" s="2"/>
      <c r="V630" s="1"/>
      <c r="W630" s="1"/>
      <c r="X630" s="1"/>
      <c r="Y630" s="1"/>
      <c r="Z630" s="1"/>
    </row>
    <row r="631" spans="1:26" ht="24.75" customHeight="1">
      <c r="A631" s="1"/>
      <c r="B631" s="1"/>
      <c r="C631" s="1"/>
      <c r="D631" s="1"/>
      <c r="E631" s="1"/>
      <c r="F631" s="1"/>
      <c r="G631" s="1"/>
      <c r="H631" s="1"/>
      <c r="I631" s="1"/>
      <c r="J631" s="1"/>
      <c r="K631" s="1"/>
      <c r="L631" s="1"/>
      <c r="M631" s="1"/>
      <c r="N631" s="1"/>
      <c r="O631" s="1"/>
      <c r="P631" s="1"/>
      <c r="Q631" s="1"/>
      <c r="R631" s="1"/>
      <c r="S631" s="1"/>
      <c r="T631" s="1"/>
      <c r="U631" s="2"/>
      <c r="V631" s="1"/>
      <c r="W631" s="1"/>
      <c r="X631" s="1"/>
      <c r="Y631" s="1"/>
      <c r="Z631" s="1"/>
    </row>
    <row r="632" spans="1:26" ht="24.75" customHeight="1">
      <c r="A632" s="1"/>
      <c r="B632" s="1"/>
      <c r="C632" s="1"/>
      <c r="D632" s="1"/>
      <c r="E632" s="1"/>
      <c r="F632" s="1"/>
      <c r="G632" s="1"/>
      <c r="H632" s="1"/>
      <c r="I632" s="1"/>
      <c r="J632" s="1"/>
      <c r="K632" s="1"/>
      <c r="L632" s="1"/>
      <c r="M632" s="1"/>
      <c r="N632" s="1"/>
      <c r="O632" s="1"/>
      <c r="P632" s="1"/>
      <c r="Q632" s="1"/>
      <c r="R632" s="1"/>
      <c r="S632" s="1"/>
      <c r="T632" s="1"/>
      <c r="U632" s="2"/>
      <c r="V632" s="1"/>
      <c r="W632" s="1"/>
      <c r="X632" s="1"/>
      <c r="Y632" s="1"/>
      <c r="Z632" s="1"/>
    </row>
    <row r="633" spans="1:26" ht="24.75" customHeight="1">
      <c r="A633" s="1"/>
      <c r="B633" s="1"/>
      <c r="C633" s="1"/>
      <c r="D633" s="1"/>
      <c r="E633" s="1"/>
      <c r="F633" s="1"/>
      <c r="G633" s="1"/>
      <c r="H633" s="1"/>
      <c r="I633" s="1"/>
      <c r="J633" s="1"/>
      <c r="K633" s="1"/>
      <c r="L633" s="1"/>
      <c r="M633" s="1"/>
      <c r="N633" s="1"/>
      <c r="O633" s="1"/>
      <c r="P633" s="1"/>
      <c r="Q633" s="1"/>
      <c r="R633" s="1"/>
      <c r="S633" s="1"/>
      <c r="T633" s="1"/>
      <c r="U633" s="2"/>
      <c r="V633" s="1"/>
      <c r="W633" s="1"/>
      <c r="X633" s="1"/>
      <c r="Y633" s="1"/>
      <c r="Z633" s="1"/>
    </row>
    <row r="634" spans="1:26" ht="24.75" customHeight="1">
      <c r="A634" s="1"/>
      <c r="B634" s="1"/>
      <c r="C634" s="1"/>
      <c r="D634" s="1"/>
      <c r="E634" s="1"/>
      <c r="F634" s="1"/>
      <c r="G634" s="1"/>
      <c r="H634" s="1"/>
      <c r="I634" s="1"/>
      <c r="J634" s="1"/>
      <c r="K634" s="1"/>
      <c r="L634" s="1"/>
      <c r="M634" s="1"/>
      <c r="N634" s="1"/>
      <c r="O634" s="1"/>
      <c r="P634" s="1"/>
      <c r="Q634" s="1"/>
      <c r="R634" s="1"/>
      <c r="S634" s="1"/>
      <c r="T634" s="1"/>
      <c r="U634" s="2"/>
      <c r="V634" s="1"/>
      <c r="W634" s="1"/>
      <c r="X634" s="1"/>
      <c r="Y634" s="1"/>
      <c r="Z634" s="1"/>
    </row>
    <row r="635" spans="1:26" ht="24.75" customHeight="1">
      <c r="A635" s="1"/>
      <c r="B635" s="1"/>
      <c r="C635" s="1"/>
      <c r="D635" s="1"/>
      <c r="E635" s="1"/>
      <c r="F635" s="1"/>
      <c r="G635" s="1"/>
      <c r="H635" s="1"/>
      <c r="I635" s="1"/>
      <c r="J635" s="1"/>
      <c r="K635" s="1"/>
      <c r="L635" s="1"/>
      <c r="M635" s="1"/>
      <c r="N635" s="1"/>
      <c r="O635" s="1"/>
      <c r="P635" s="1"/>
      <c r="Q635" s="1"/>
      <c r="R635" s="1"/>
      <c r="S635" s="1"/>
      <c r="T635" s="1"/>
      <c r="U635" s="2"/>
      <c r="V635" s="1"/>
      <c r="W635" s="1"/>
      <c r="X635" s="1"/>
      <c r="Y635" s="1"/>
      <c r="Z635" s="1"/>
    </row>
    <row r="636" spans="1:26" ht="24.75" customHeight="1">
      <c r="A636" s="1"/>
      <c r="B636" s="1"/>
      <c r="C636" s="1"/>
      <c r="D636" s="1"/>
      <c r="E636" s="1"/>
      <c r="F636" s="1"/>
      <c r="G636" s="1"/>
      <c r="H636" s="1"/>
      <c r="I636" s="1"/>
      <c r="J636" s="1"/>
      <c r="K636" s="1"/>
      <c r="L636" s="1"/>
      <c r="M636" s="1"/>
      <c r="N636" s="1"/>
      <c r="O636" s="1"/>
      <c r="P636" s="1"/>
      <c r="Q636" s="1"/>
      <c r="R636" s="1"/>
      <c r="S636" s="1"/>
      <c r="T636" s="1"/>
      <c r="U636" s="2"/>
      <c r="V636" s="1"/>
      <c r="W636" s="1"/>
      <c r="X636" s="1"/>
      <c r="Y636" s="1"/>
      <c r="Z636" s="1"/>
    </row>
    <row r="637" spans="1:26" ht="24.75" customHeight="1">
      <c r="A637" s="1"/>
      <c r="B637" s="1"/>
      <c r="C637" s="1"/>
      <c r="D637" s="1"/>
      <c r="E637" s="1"/>
      <c r="F637" s="1"/>
      <c r="G637" s="1"/>
      <c r="H637" s="1"/>
      <c r="I637" s="1"/>
      <c r="J637" s="1"/>
      <c r="K637" s="1"/>
      <c r="L637" s="1"/>
      <c r="M637" s="1"/>
      <c r="N637" s="1"/>
      <c r="O637" s="1"/>
      <c r="P637" s="1"/>
      <c r="Q637" s="1"/>
      <c r="R637" s="1"/>
      <c r="S637" s="1"/>
      <c r="T637" s="1"/>
      <c r="U637" s="2"/>
      <c r="V637" s="1"/>
      <c r="W637" s="1"/>
      <c r="X637" s="1"/>
      <c r="Y637" s="1"/>
      <c r="Z637" s="1"/>
    </row>
    <row r="638" spans="1:26" ht="24.75" customHeight="1">
      <c r="A638" s="1"/>
      <c r="B638" s="1"/>
      <c r="C638" s="1"/>
      <c r="D638" s="1"/>
      <c r="E638" s="1"/>
      <c r="F638" s="1"/>
      <c r="G638" s="1"/>
      <c r="H638" s="1"/>
      <c r="I638" s="1"/>
      <c r="J638" s="1"/>
      <c r="K638" s="1"/>
      <c r="L638" s="1"/>
      <c r="M638" s="1"/>
      <c r="N638" s="1"/>
      <c r="O638" s="1"/>
      <c r="P638" s="1"/>
      <c r="Q638" s="1"/>
      <c r="R638" s="1"/>
      <c r="S638" s="1"/>
      <c r="T638" s="1"/>
      <c r="U638" s="2"/>
      <c r="V638" s="1"/>
      <c r="W638" s="1"/>
      <c r="X638" s="1"/>
      <c r="Y638" s="1"/>
      <c r="Z638" s="1"/>
    </row>
    <row r="639" spans="1:26" ht="24.75" customHeight="1">
      <c r="A639" s="1"/>
      <c r="B639" s="1"/>
      <c r="C639" s="1"/>
      <c r="D639" s="1"/>
      <c r="E639" s="1"/>
      <c r="F639" s="1"/>
      <c r="G639" s="1"/>
      <c r="H639" s="1"/>
      <c r="I639" s="1"/>
      <c r="J639" s="1"/>
      <c r="K639" s="1"/>
      <c r="L639" s="1"/>
      <c r="M639" s="1"/>
      <c r="N639" s="1"/>
      <c r="O639" s="1"/>
      <c r="P639" s="1"/>
      <c r="Q639" s="1"/>
      <c r="R639" s="1"/>
      <c r="S639" s="1"/>
      <c r="T639" s="1"/>
      <c r="U639" s="2"/>
      <c r="V639" s="1"/>
      <c r="W639" s="1"/>
      <c r="X639" s="1"/>
      <c r="Y639" s="1"/>
      <c r="Z639" s="1"/>
    </row>
    <row r="640" spans="1:26" ht="24.75" customHeight="1">
      <c r="A640" s="1"/>
      <c r="B640" s="1"/>
      <c r="C640" s="1"/>
      <c r="D640" s="1"/>
      <c r="E640" s="1"/>
      <c r="F640" s="1"/>
      <c r="G640" s="1"/>
      <c r="H640" s="1"/>
      <c r="I640" s="1"/>
      <c r="J640" s="1"/>
      <c r="K640" s="1"/>
      <c r="L640" s="1"/>
      <c r="M640" s="1"/>
      <c r="N640" s="1"/>
      <c r="O640" s="1"/>
      <c r="P640" s="1"/>
      <c r="Q640" s="1"/>
      <c r="R640" s="1"/>
      <c r="S640" s="1"/>
      <c r="T640" s="1"/>
      <c r="U640" s="2"/>
      <c r="V640" s="1"/>
      <c r="W640" s="1"/>
      <c r="X640" s="1"/>
      <c r="Y640" s="1"/>
      <c r="Z640" s="1"/>
    </row>
    <row r="641" spans="1:26" ht="24.75" customHeight="1">
      <c r="A641" s="1"/>
      <c r="B641" s="1"/>
      <c r="C641" s="1"/>
      <c r="D641" s="1"/>
      <c r="E641" s="1"/>
      <c r="F641" s="1"/>
      <c r="G641" s="1"/>
      <c r="H641" s="1"/>
      <c r="I641" s="1"/>
      <c r="J641" s="1"/>
      <c r="K641" s="1"/>
      <c r="L641" s="1"/>
      <c r="M641" s="1"/>
      <c r="N641" s="1"/>
      <c r="O641" s="1"/>
      <c r="P641" s="1"/>
      <c r="Q641" s="1"/>
      <c r="R641" s="1"/>
      <c r="S641" s="1"/>
      <c r="T641" s="1"/>
      <c r="U641" s="2"/>
      <c r="V641" s="1"/>
      <c r="W641" s="1"/>
      <c r="X641" s="1"/>
      <c r="Y641" s="1"/>
      <c r="Z641" s="1"/>
    </row>
    <row r="642" spans="1:26" ht="24.75" customHeight="1">
      <c r="A642" s="1"/>
      <c r="B642" s="1"/>
      <c r="C642" s="1"/>
      <c r="D642" s="1"/>
      <c r="E642" s="1"/>
      <c r="F642" s="1"/>
      <c r="G642" s="1"/>
      <c r="H642" s="1"/>
      <c r="I642" s="1"/>
      <c r="J642" s="1"/>
      <c r="K642" s="1"/>
      <c r="L642" s="1"/>
      <c r="M642" s="1"/>
      <c r="N642" s="1"/>
      <c r="O642" s="1"/>
      <c r="P642" s="1"/>
      <c r="Q642" s="1"/>
      <c r="R642" s="1"/>
      <c r="S642" s="1"/>
      <c r="T642" s="1"/>
      <c r="U642" s="2"/>
      <c r="V642" s="1"/>
      <c r="W642" s="1"/>
      <c r="X642" s="1"/>
      <c r="Y642" s="1"/>
      <c r="Z642" s="1"/>
    </row>
    <row r="643" spans="1:26" ht="24.75" customHeight="1">
      <c r="A643" s="1"/>
      <c r="B643" s="1"/>
      <c r="C643" s="1"/>
      <c r="D643" s="1"/>
      <c r="E643" s="1"/>
      <c r="F643" s="1"/>
      <c r="G643" s="1"/>
      <c r="H643" s="1"/>
      <c r="I643" s="1"/>
      <c r="J643" s="1"/>
      <c r="K643" s="1"/>
      <c r="L643" s="1"/>
      <c r="M643" s="1"/>
      <c r="N643" s="1"/>
      <c r="O643" s="1"/>
      <c r="P643" s="1"/>
      <c r="Q643" s="1"/>
      <c r="R643" s="1"/>
      <c r="S643" s="1"/>
      <c r="T643" s="1"/>
      <c r="U643" s="2"/>
      <c r="V643" s="1"/>
      <c r="W643" s="1"/>
      <c r="X643" s="1"/>
      <c r="Y643" s="1"/>
      <c r="Z643" s="1"/>
    </row>
    <row r="644" spans="1:26" ht="24.75" customHeight="1">
      <c r="A644" s="1"/>
      <c r="B644" s="1"/>
      <c r="C644" s="1"/>
      <c r="D644" s="1"/>
      <c r="E644" s="1"/>
      <c r="F644" s="1"/>
      <c r="G644" s="1"/>
      <c r="H644" s="1"/>
      <c r="I644" s="1"/>
      <c r="J644" s="1"/>
      <c r="K644" s="1"/>
      <c r="L644" s="1"/>
      <c r="M644" s="1"/>
      <c r="N644" s="1"/>
      <c r="O644" s="1"/>
      <c r="P644" s="1"/>
      <c r="Q644" s="1"/>
      <c r="R644" s="1"/>
      <c r="S644" s="1"/>
      <c r="T644" s="1"/>
      <c r="U644" s="2"/>
      <c r="V644" s="1"/>
      <c r="W644" s="1"/>
      <c r="X644" s="1"/>
      <c r="Y644" s="1"/>
      <c r="Z644" s="1"/>
    </row>
    <row r="645" spans="1:26" ht="24.75" customHeight="1">
      <c r="A645" s="1"/>
      <c r="B645" s="1"/>
      <c r="C645" s="1"/>
      <c r="D645" s="1"/>
      <c r="E645" s="1"/>
      <c r="F645" s="1"/>
      <c r="G645" s="1"/>
      <c r="H645" s="1"/>
      <c r="I645" s="1"/>
      <c r="J645" s="1"/>
      <c r="K645" s="1"/>
      <c r="L645" s="1"/>
      <c r="M645" s="1"/>
      <c r="N645" s="1"/>
      <c r="O645" s="1"/>
      <c r="P645" s="1"/>
      <c r="Q645" s="1"/>
      <c r="R645" s="1"/>
      <c r="S645" s="1"/>
      <c r="T645" s="1"/>
      <c r="U645" s="2"/>
      <c r="V645" s="1"/>
      <c r="W645" s="1"/>
      <c r="X645" s="1"/>
      <c r="Y645" s="1"/>
      <c r="Z645" s="1"/>
    </row>
    <row r="646" spans="1:26" ht="24.75" customHeight="1">
      <c r="A646" s="1"/>
      <c r="B646" s="1"/>
      <c r="C646" s="1"/>
      <c r="D646" s="1"/>
      <c r="E646" s="1"/>
      <c r="F646" s="1"/>
      <c r="G646" s="1"/>
      <c r="H646" s="1"/>
      <c r="I646" s="1"/>
      <c r="J646" s="1"/>
      <c r="K646" s="1"/>
      <c r="L646" s="1"/>
      <c r="M646" s="1"/>
      <c r="N646" s="1"/>
      <c r="O646" s="1"/>
      <c r="P646" s="1"/>
      <c r="Q646" s="1"/>
      <c r="R646" s="1"/>
      <c r="S646" s="1"/>
      <c r="T646" s="1"/>
      <c r="U646" s="2"/>
      <c r="V646" s="1"/>
      <c r="W646" s="1"/>
      <c r="X646" s="1"/>
      <c r="Y646" s="1"/>
      <c r="Z646" s="1"/>
    </row>
    <row r="647" spans="1:26" ht="24.75" customHeight="1">
      <c r="A647" s="1"/>
      <c r="B647" s="1"/>
      <c r="C647" s="1"/>
      <c r="D647" s="1"/>
      <c r="E647" s="1"/>
      <c r="F647" s="1"/>
      <c r="G647" s="1"/>
      <c r="H647" s="1"/>
      <c r="I647" s="1"/>
      <c r="J647" s="1"/>
      <c r="K647" s="1"/>
      <c r="L647" s="1"/>
      <c r="M647" s="1"/>
      <c r="N647" s="1"/>
      <c r="O647" s="1"/>
      <c r="P647" s="1"/>
      <c r="Q647" s="1"/>
      <c r="R647" s="1"/>
      <c r="S647" s="1"/>
      <c r="T647" s="1"/>
      <c r="U647" s="2"/>
      <c r="V647" s="1"/>
      <c r="W647" s="1"/>
      <c r="X647" s="1"/>
      <c r="Y647" s="1"/>
      <c r="Z647" s="1"/>
    </row>
    <row r="648" spans="1:26" ht="24.75" customHeight="1">
      <c r="A648" s="1"/>
      <c r="B648" s="1"/>
      <c r="C648" s="1"/>
      <c r="D648" s="1"/>
      <c r="E648" s="1"/>
      <c r="F648" s="1"/>
      <c r="G648" s="1"/>
      <c r="H648" s="1"/>
      <c r="I648" s="1"/>
      <c r="J648" s="1"/>
      <c r="K648" s="1"/>
      <c r="L648" s="1"/>
      <c r="M648" s="1"/>
      <c r="N648" s="1"/>
      <c r="O648" s="1"/>
      <c r="P648" s="1"/>
      <c r="Q648" s="1"/>
      <c r="R648" s="1"/>
      <c r="S648" s="1"/>
      <c r="T648" s="1"/>
      <c r="U648" s="2"/>
      <c r="V648" s="1"/>
      <c r="W648" s="1"/>
      <c r="X648" s="1"/>
      <c r="Y648" s="1"/>
      <c r="Z648" s="1"/>
    </row>
    <row r="649" spans="1:26" ht="24.75" customHeight="1">
      <c r="A649" s="1"/>
      <c r="B649" s="1"/>
      <c r="C649" s="1"/>
      <c r="D649" s="1"/>
      <c r="E649" s="1"/>
      <c r="F649" s="1"/>
      <c r="G649" s="1"/>
      <c r="H649" s="1"/>
      <c r="I649" s="1"/>
      <c r="J649" s="1"/>
      <c r="K649" s="1"/>
      <c r="L649" s="1"/>
      <c r="M649" s="1"/>
      <c r="N649" s="1"/>
      <c r="O649" s="1"/>
      <c r="P649" s="1"/>
      <c r="Q649" s="1"/>
      <c r="R649" s="1"/>
      <c r="S649" s="1"/>
      <c r="T649" s="1"/>
      <c r="U649" s="2"/>
      <c r="V649" s="1"/>
      <c r="W649" s="1"/>
      <c r="X649" s="1"/>
      <c r="Y649" s="1"/>
      <c r="Z649" s="1"/>
    </row>
    <row r="650" spans="1:26" ht="24.75" customHeight="1">
      <c r="A650" s="1"/>
      <c r="B650" s="1"/>
      <c r="C650" s="1"/>
      <c r="D650" s="1"/>
      <c r="E650" s="1"/>
      <c r="F650" s="1"/>
      <c r="G650" s="1"/>
      <c r="H650" s="1"/>
      <c r="I650" s="1"/>
      <c r="J650" s="1"/>
      <c r="K650" s="1"/>
      <c r="L650" s="1"/>
      <c r="M650" s="1"/>
      <c r="N650" s="1"/>
      <c r="O650" s="1"/>
      <c r="P650" s="1"/>
      <c r="Q650" s="1"/>
      <c r="R650" s="1"/>
      <c r="S650" s="1"/>
      <c r="T650" s="1"/>
      <c r="U650" s="2"/>
      <c r="V650" s="1"/>
      <c r="W650" s="1"/>
      <c r="X650" s="1"/>
      <c r="Y650" s="1"/>
      <c r="Z650" s="1"/>
    </row>
    <row r="651" spans="1:26" ht="24.75" customHeight="1">
      <c r="A651" s="1"/>
      <c r="B651" s="1"/>
      <c r="C651" s="1"/>
      <c r="D651" s="1"/>
      <c r="E651" s="1"/>
      <c r="F651" s="1"/>
      <c r="G651" s="1"/>
      <c r="H651" s="1"/>
      <c r="I651" s="1"/>
      <c r="J651" s="1"/>
      <c r="K651" s="1"/>
      <c r="L651" s="1"/>
      <c r="M651" s="1"/>
      <c r="N651" s="1"/>
      <c r="O651" s="1"/>
      <c r="P651" s="1"/>
      <c r="Q651" s="1"/>
      <c r="R651" s="1"/>
      <c r="S651" s="1"/>
      <c r="T651" s="1"/>
      <c r="U651" s="2"/>
      <c r="V651" s="1"/>
      <c r="W651" s="1"/>
      <c r="X651" s="1"/>
      <c r="Y651" s="1"/>
      <c r="Z651" s="1"/>
    </row>
    <row r="652" spans="1:26" ht="24.75" customHeight="1">
      <c r="A652" s="1"/>
      <c r="B652" s="1"/>
      <c r="C652" s="1"/>
      <c r="D652" s="1"/>
      <c r="E652" s="1"/>
      <c r="F652" s="1"/>
      <c r="G652" s="1"/>
      <c r="H652" s="1"/>
      <c r="I652" s="1"/>
      <c r="J652" s="1"/>
      <c r="K652" s="1"/>
      <c r="L652" s="1"/>
      <c r="M652" s="1"/>
      <c r="N652" s="1"/>
      <c r="O652" s="1"/>
      <c r="P652" s="1"/>
      <c r="Q652" s="1"/>
      <c r="R652" s="1"/>
      <c r="S652" s="1"/>
      <c r="T652" s="1"/>
      <c r="U652" s="2"/>
      <c r="V652" s="1"/>
      <c r="W652" s="1"/>
      <c r="X652" s="1"/>
      <c r="Y652" s="1"/>
      <c r="Z652" s="1"/>
    </row>
    <row r="653" spans="1:26" ht="24.75" customHeight="1">
      <c r="A653" s="1"/>
      <c r="B653" s="1"/>
      <c r="C653" s="1"/>
      <c r="D653" s="1"/>
      <c r="E653" s="1"/>
      <c r="F653" s="1"/>
      <c r="G653" s="1"/>
      <c r="H653" s="1"/>
      <c r="I653" s="1"/>
      <c r="J653" s="1"/>
      <c r="K653" s="1"/>
      <c r="L653" s="1"/>
      <c r="M653" s="1"/>
      <c r="N653" s="1"/>
      <c r="O653" s="1"/>
      <c r="P653" s="1"/>
      <c r="Q653" s="1"/>
      <c r="R653" s="1"/>
      <c r="S653" s="1"/>
      <c r="T653" s="1"/>
      <c r="U653" s="2"/>
      <c r="V653" s="1"/>
      <c r="W653" s="1"/>
      <c r="X653" s="1"/>
      <c r="Y653" s="1"/>
      <c r="Z653" s="1"/>
    </row>
    <row r="654" spans="1:26" ht="24.75" customHeight="1">
      <c r="A654" s="1"/>
      <c r="B654" s="1"/>
      <c r="C654" s="1"/>
      <c r="D654" s="1"/>
      <c r="E654" s="1"/>
      <c r="F654" s="1"/>
      <c r="G654" s="1"/>
      <c r="H654" s="1"/>
      <c r="I654" s="1"/>
      <c r="J654" s="1"/>
      <c r="K654" s="1"/>
      <c r="L654" s="1"/>
      <c r="M654" s="1"/>
      <c r="N654" s="1"/>
      <c r="O654" s="1"/>
      <c r="P654" s="1"/>
      <c r="Q654" s="1"/>
      <c r="R654" s="1"/>
      <c r="S654" s="1"/>
      <c r="T654" s="1"/>
      <c r="U654" s="2"/>
      <c r="V654" s="1"/>
      <c r="W654" s="1"/>
      <c r="X654" s="1"/>
      <c r="Y654" s="1"/>
      <c r="Z654" s="1"/>
    </row>
    <row r="655" spans="1:26" ht="24.75" customHeight="1">
      <c r="A655" s="1"/>
      <c r="B655" s="1"/>
      <c r="C655" s="1"/>
      <c r="D655" s="1"/>
      <c r="E655" s="1"/>
      <c r="F655" s="1"/>
      <c r="G655" s="1"/>
      <c r="H655" s="1"/>
      <c r="I655" s="1"/>
      <c r="J655" s="1"/>
      <c r="K655" s="1"/>
      <c r="L655" s="1"/>
      <c r="M655" s="1"/>
      <c r="N655" s="1"/>
      <c r="O655" s="1"/>
      <c r="P655" s="1"/>
      <c r="Q655" s="1"/>
      <c r="R655" s="1"/>
      <c r="S655" s="1"/>
      <c r="T655" s="1"/>
      <c r="U655" s="2"/>
      <c r="V655" s="1"/>
      <c r="W655" s="1"/>
      <c r="X655" s="1"/>
      <c r="Y655" s="1"/>
      <c r="Z655" s="1"/>
    </row>
    <row r="656" spans="1:26" ht="24.75" customHeight="1">
      <c r="A656" s="1"/>
      <c r="B656" s="1"/>
      <c r="C656" s="1"/>
      <c r="D656" s="1"/>
      <c r="E656" s="1"/>
      <c r="F656" s="1"/>
      <c r="G656" s="1"/>
      <c r="H656" s="1"/>
      <c r="I656" s="1"/>
      <c r="J656" s="1"/>
      <c r="K656" s="1"/>
      <c r="L656" s="1"/>
      <c r="M656" s="1"/>
      <c r="N656" s="1"/>
      <c r="O656" s="1"/>
      <c r="P656" s="1"/>
      <c r="Q656" s="1"/>
      <c r="R656" s="1"/>
      <c r="S656" s="1"/>
      <c r="T656" s="1"/>
      <c r="U656" s="2"/>
      <c r="V656" s="1"/>
      <c r="W656" s="1"/>
      <c r="X656" s="1"/>
      <c r="Y656" s="1"/>
      <c r="Z656" s="1"/>
    </row>
    <row r="657" spans="1:26" ht="24.75" customHeight="1">
      <c r="A657" s="1"/>
      <c r="B657" s="1"/>
      <c r="C657" s="1"/>
      <c r="D657" s="1"/>
      <c r="E657" s="1"/>
      <c r="F657" s="1"/>
      <c r="G657" s="1"/>
      <c r="H657" s="1"/>
      <c r="I657" s="1"/>
      <c r="J657" s="1"/>
      <c r="K657" s="1"/>
      <c r="L657" s="1"/>
      <c r="M657" s="1"/>
      <c r="N657" s="1"/>
      <c r="O657" s="1"/>
      <c r="P657" s="1"/>
      <c r="Q657" s="1"/>
      <c r="R657" s="1"/>
      <c r="S657" s="1"/>
      <c r="T657" s="1"/>
      <c r="U657" s="2"/>
      <c r="V657" s="1"/>
      <c r="W657" s="1"/>
      <c r="X657" s="1"/>
      <c r="Y657" s="1"/>
      <c r="Z657" s="1"/>
    </row>
    <row r="658" spans="1:26" ht="24.75" customHeight="1">
      <c r="A658" s="1"/>
      <c r="B658" s="1"/>
      <c r="C658" s="1"/>
      <c r="D658" s="1"/>
      <c r="E658" s="1"/>
      <c r="F658" s="1"/>
      <c r="G658" s="1"/>
      <c r="H658" s="1"/>
      <c r="I658" s="1"/>
      <c r="J658" s="1"/>
      <c r="K658" s="1"/>
      <c r="L658" s="1"/>
      <c r="M658" s="1"/>
      <c r="N658" s="1"/>
      <c r="O658" s="1"/>
      <c r="P658" s="1"/>
      <c r="Q658" s="1"/>
      <c r="R658" s="1"/>
      <c r="S658" s="1"/>
      <c r="T658" s="1"/>
      <c r="U658" s="2"/>
      <c r="V658" s="1"/>
      <c r="W658" s="1"/>
      <c r="X658" s="1"/>
      <c r="Y658" s="1"/>
      <c r="Z658" s="1"/>
    </row>
    <row r="659" spans="1:26" ht="24.75" customHeight="1">
      <c r="A659" s="1"/>
      <c r="B659" s="1"/>
      <c r="C659" s="1"/>
      <c r="D659" s="1"/>
      <c r="E659" s="1"/>
      <c r="F659" s="1"/>
      <c r="G659" s="1"/>
      <c r="H659" s="1"/>
      <c r="I659" s="1"/>
      <c r="J659" s="1"/>
      <c r="K659" s="1"/>
      <c r="L659" s="1"/>
      <c r="M659" s="1"/>
      <c r="N659" s="1"/>
      <c r="O659" s="1"/>
      <c r="P659" s="1"/>
      <c r="Q659" s="1"/>
      <c r="R659" s="1"/>
      <c r="S659" s="1"/>
      <c r="T659" s="1"/>
      <c r="U659" s="2"/>
      <c r="V659" s="1"/>
      <c r="W659" s="1"/>
      <c r="X659" s="1"/>
      <c r="Y659" s="1"/>
      <c r="Z659" s="1"/>
    </row>
    <row r="660" spans="1:26" ht="24.75" customHeight="1">
      <c r="A660" s="1"/>
      <c r="B660" s="1"/>
      <c r="C660" s="1"/>
      <c r="D660" s="1"/>
      <c r="E660" s="1"/>
      <c r="F660" s="1"/>
      <c r="G660" s="1"/>
      <c r="H660" s="1"/>
      <c r="I660" s="1"/>
      <c r="J660" s="1"/>
      <c r="K660" s="1"/>
      <c r="L660" s="1"/>
      <c r="M660" s="1"/>
      <c r="N660" s="1"/>
      <c r="O660" s="1"/>
      <c r="P660" s="1"/>
      <c r="Q660" s="1"/>
      <c r="R660" s="1"/>
      <c r="S660" s="1"/>
      <c r="T660" s="1"/>
      <c r="U660" s="2"/>
      <c r="V660" s="1"/>
      <c r="W660" s="1"/>
      <c r="X660" s="1"/>
      <c r="Y660" s="1"/>
      <c r="Z660" s="1"/>
    </row>
    <row r="661" spans="1:26" ht="24.75" customHeight="1">
      <c r="A661" s="1"/>
      <c r="B661" s="1"/>
      <c r="C661" s="1"/>
      <c r="D661" s="1"/>
      <c r="E661" s="1"/>
      <c r="F661" s="1"/>
      <c r="G661" s="1"/>
      <c r="H661" s="1"/>
      <c r="I661" s="1"/>
      <c r="J661" s="1"/>
      <c r="K661" s="1"/>
      <c r="L661" s="1"/>
      <c r="M661" s="1"/>
      <c r="N661" s="1"/>
      <c r="O661" s="1"/>
      <c r="P661" s="1"/>
      <c r="Q661" s="1"/>
      <c r="R661" s="1"/>
      <c r="S661" s="1"/>
      <c r="T661" s="1"/>
      <c r="U661" s="2"/>
      <c r="V661" s="1"/>
      <c r="W661" s="1"/>
      <c r="X661" s="1"/>
      <c r="Y661" s="1"/>
      <c r="Z661" s="1"/>
    </row>
    <row r="662" spans="1:26" ht="24.75" customHeight="1">
      <c r="A662" s="1"/>
      <c r="B662" s="1"/>
      <c r="C662" s="1"/>
      <c r="D662" s="1"/>
      <c r="E662" s="1"/>
      <c r="F662" s="1"/>
      <c r="G662" s="1"/>
      <c r="H662" s="1"/>
      <c r="I662" s="1"/>
      <c r="J662" s="1"/>
      <c r="K662" s="1"/>
      <c r="L662" s="1"/>
      <c r="M662" s="1"/>
      <c r="N662" s="1"/>
      <c r="O662" s="1"/>
      <c r="P662" s="1"/>
      <c r="Q662" s="1"/>
      <c r="R662" s="1"/>
      <c r="S662" s="1"/>
      <c r="T662" s="1"/>
      <c r="U662" s="2"/>
      <c r="V662" s="1"/>
      <c r="W662" s="1"/>
      <c r="X662" s="1"/>
      <c r="Y662" s="1"/>
      <c r="Z662" s="1"/>
    </row>
    <row r="663" spans="1:26" ht="24.75" customHeight="1">
      <c r="A663" s="1"/>
      <c r="B663" s="1"/>
      <c r="C663" s="1"/>
      <c r="D663" s="1"/>
      <c r="E663" s="1"/>
      <c r="F663" s="1"/>
      <c r="G663" s="1"/>
      <c r="H663" s="1"/>
      <c r="I663" s="1"/>
      <c r="J663" s="1"/>
      <c r="K663" s="1"/>
      <c r="L663" s="1"/>
      <c r="M663" s="1"/>
      <c r="N663" s="1"/>
      <c r="O663" s="1"/>
      <c r="P663" s="1"/>
      <c r="Q663" s="1"/>
      <c r="R663" s="1"/>
      <c r="S663" s="1"/>
      <c r="T663" s="1"/>
      <c r="U663" s="2"/>
      <c r="V663" s="1"/>
      <c r="W663" s="1"/>
      <c r="X663" s="1"/>
      <c r="Y663" s="1"/>
      <c r="Z663" s="1"/>
    </row>
    <row r="664" spans="1:26" ht="24.75" customHeight="1">
      <c r="A664" s="1"/>
      <c r="B664" s="1"/>
      <c r="C664" s="1"/>
      <c r="D664" s="1"/>
      <c r="E664" s="1"/>
      <c r="F664" s="1"/>
      <c r="G664" s="1"/>
      <c r="H664" s="1"/>
      <c r="I664" s="1"/>
      <c r="J664" s="1"/>
      <c r="K664" s="1"/>
      <c r="L664" s="1"/>
      <c r="M664" s="1"/>
      <c r="N664" s="1"/>
      <c r="O664" s="1"/>
      <c r="P664" s="1"/>
      <c r="Q664" s="1"/>
      <c r="R664" s="1"/>
      <c r="S664" s="1"/>
      <c r="T664" s="1"/>
      <c r="U664" s="2"/>
      <c r="V664" s="1"/>
      <c r="W664" s="1"/>
      <c r="X664" s="1"/>
      <c r="Y664" s="1"/>
      <c r="Z664" s="1"/>
    </row>
    <row r="665" spans="1:26" ht="24.75" customHeight="1">
      <c r="A665" s="1"/>
      <c r="B665" s="1"/>
      <c r="C665" s="1"/>
      <c r="D665" s="1"/>
      <c r="E665" s="1"/>
      <c r="F665" s="1"/>
      <c r="G665" s="1"/>
      <c r="H665" s="1"/>
      <c r="I665" s="1"/>
      <c r="J665" s="1"/>
      <c r="K665" s="1"/>
      <c r="L665" s="1"/>
      <c r="M665" s="1"/>
      <c r="N665" s="1"/>
      <c r="O665" s="1"/>
      <c r="P665" s="1"/>
      <c r="Q665" s="1"/>
      <c r="R665" s="1"/>
      <c r="S665" s="1"/>
      <c r="T665" s="1"/>
      <c r="U665" s="2"/>
      <c r="V665" s="1"/>
      <c r="W665" s="1"/>
      <c r="X665" s="1"/>
      <c r="Y665" s="1"/>
      <c r="Z665" s="1"/>
    </row>
    <row r="666" spans="1:26" ht="24.75" customHeight="1">
      <c r="A666" s="1"/>
      <c r="B666" s="1"/>
      <c r="C666" s="1"/>
      <c r="D666" s="1"/>
      <c r="E666" s="1"/>
      <c r="F666" s="1"/>
      <c r="G666" s="1"/>
      <c r="H666" s="1"/>
      <c r="I666" s="1"/>
      <c r="J666" s="1"/>
      <c r="K666" s="1"/>
      <c r="L666" s="1"/>
      <c r="M666" s="1"/>
      <c r="N666" s="1"/>
      <c r="O666" s="1"/>
      <c r="P666" s="1"/>
      <c r="Q666" s="1"/>
      <c r="R666" s="1"/>
      <c r="S666" s="1"/>
      <c r="T666" s="1"/>
      <c r="U666" s="2"/>
      <c r="V666" s="1"/>
      <c r="W666" s="1"/>
      <c r="X666" s="1"/>
      <c r="Y666" s="1"/>
      <c r="Z666" s="1"/>
    </row>
    <row r="667" spans="1:26" ht="24.75" customHeight="1">
      <c r="A667" s="1"/>
      <c r="B667" s="1"/>
      <c r="C667" s="1"/>
      <c r="D667" s="1"/>
      <c r="E667" s="1"/>
      <c r="F667" s="1"/>
      <c r="G667" s="1"/>
      <c r="H667" s="1"/>
      <c r="I667" s="1"/>
      <c r="J667" s="1"/>
      <c r="K667" s="1"/>
      <c r="L667" s="1"/>
      <c r="M667" s="1"/>
      <c r="N667" s="1"/>
      <c r="O667" s="1"/>
      <c r="P667" s="1"/>
      <c r="Q667" s="1"/>
      <c r="R667" s="1"/>
      <c r="S667" s="1"/>
      <c r="T667" s="1"/>
      <c r="U667" s="2"/>
      <c r="V667" s="1"/>
      <c r="W667" s="1"/>
      <c r="X667" s="1"/>
      <c r="Y667" s="1"/>
      <c r="Z667" s="1"/>
    </row>
    <row r="668" spans="1:26" ht="24.75" customHeight="1">
      <c r="A668" s="1"/>
      <c r="B668" s="1"/>
      <c r="C668" s="1"/>
      <c r="D668" s="1"/>
      <c r="E668" s="1"/>
      <c r="F668" s="1"/>
      <c r="G668" s="1"/>
      <c r="H668" s="1"/>
      <c r="I668" s="1"/>
      <c r="J668" s="1"/>
      <c r="K668" s="1"/>
      <c r="L668" s="1"/>
      <c r="M668" s="1"/>
      <c r="N668" s="1"/>
      <c r="O668" s="1"/>
      <c r="P668" s="1"/>
      <c r="Q668" s="1"/>
      <c r="R668" s="1"/>
      <c r="S668" s="1"/>
      <c r="T668" s="1"/>
      <c r="U668" s="2"/>
      <c r="V668" s="1"/>
      <c r="W668" s="1"/>
      <c r="X668" s="1"/>
      <c r="Y668" s="1"/>
      <c r="Z668" s="1"/>
    </row>
    <row r="669" spans="1:26" ht="24.75" customHeight="1">
      <c r="A669" s="1"/>
      <c r="B669" s="1"/>
      <c r="C669" s="1"/>
      <c r="D669" s="1"/>
      <c r="E669" s="1"/>
      <c r="F669" s="1"/>
      <c r="G669" s="1"/>
      <c r="H669" s="1"/>
      <c r="I669" s="1"/>
      <c r="J669" s="1"/>
      <c r="K669" s="1"/>
      <c r="L669" s="1"/>
      <c r="M669" s="1"/>
      <c r="N669" s="1"/>
      <c r="O669" s="1"/>
      <c r="P669" s="1"/>
      <c r="Q669" s="1"/>
      <c r="R669" s="1"/>
      <c r="S669" s="1"/>
      <c r="T669" s="1"/>
      <c r="U669" s="2"/>
      <c r="V669" s="1"/>
      <c r="W669" s="1"/>
      <c r="X669" s="1"/>
      <c r="Y669" s="1"/>
      <c r="Z669" s="1"/>
    </row>
    <row r="670" spans="1:26" ht="24.75" customHeight="1">
      <c r="A670" s="1"/>
      <c r="B670" s="1"/>
      <c r="C670" s="1"/>
      <c r="D670" s="1"/>
      <c r="E670" s="1"/>
      <c r="F670" s="1"/>
      <c r="G670" s="1"/>
      <c r="H670" s="1"/>
      <c r="I670" s="1"/>
      <c r="J670" s="1"/>
      <c r="K670" s="1"/>
      <c r="L670" s="1"/>
      <c r="M670" s="1"/>
      <c r="N670" s="1"/>
      <c r="O670" s="1"/>
      <c r="P670" s="1"/>
      <c r="Q670" s="1"/>
      <c r="R670" s="1"/>
      <c r="S670" s="1"/>
      <c r="T670" s="1"/>
      <c r="U670" s="2"/>
      <c r="V670" s="1"/>
      <c r="W670" s="1"/>
      <c r="X670" s="1"/>
      <c r="Y670" s="1"/>
      <c r="Z670" s="1"/>
    </row>
    <row r="671" spans="1:26" ht="24.75" customHeight="1">
      <c r="A671" s="1"/>
      <c r="B671" s="1"/>
      <c r="C671" s="1"/>
      <c r="D671" s="1"/>
      <c r="E671" s="1"/>
      <c r="F671" s="1"/>
      <c r="G671" s="1"/>
      <c r="H671" s="1"/>
      <c r="I671" s="1"/>
      <c r="J671" s="1"/>
      <c r="K671" s="1"/>
      <c r="L671" s="1"/>
      <c r="M671" s="1"/>
      <c r="N671" s="1"/>
      <c r="O671" s="1"/>
      <c r="P671" s="1"/>
      <c r="Q671" s="1"/>
      <c r="R671" s="1"/>
      <c r="S671" s="1"/>
      <c r="T671" s="1"/>
      <c r="U671" s="2"/>
      <c r="V671" s="1"/>
      <c r="W671" s="1"/>
      <c r="X671" s="1"/>
      <c r="Y671" s="1"/>
      <c r="Z671" s="1"/>
    </row>
    <row r="672" spans="1:26" ht="24.75" customHeight="1">
      <c r="A672" s="1"/>
      <c r="B672" s="1"/>
      <c r="C672" s="1"/>
      <c r="D672" s="1"/>
      <c r="E672" s="1"/>
      <c r="F672" s="1"/>
      <c r="G672" s="1"/>
      <c r="H672" s="1"/>
      <c r="I672" s="1"/>
      <c r="J672" s="1"/>
      <c r="K672" s="1"/>
      <c r="L672" s="1"/>
      <c r="M672" s="1"/>
      <c r="N672" s="1"/>
      <c r="O672" s="1"/>
      <c r="P672" s="1"/>
      <c r="Q672" s="1"/>
      <c r="R672" s="1"/>
      <c r="S672" s="1"/>
      <c r="T672" s="1"/>
      <c r="U672" s="2"/>
      <c r="V672" s="1"/>
      <c r="W672" s="1"/>
      <c r="X672" s="1"/>
      <c r="Y672" s="1"/>
      <c r="Z672" s="1"/>
    </row>
    <row r="673" spans="1:26" ht="24.75" customHeight="1">
      <c r="A673" s="1"/>
      <c r="B673" s="1"/>
      <c r="C673" s="1"/>
      <c r="D673" s="1"/>
      <c r="E673" s="1"/>
      <c r="F673" s="1"/>
      <c r="G673" s="1"/>
      <c r="H673" s="1"/>
      <c r="I673" s="1"/>
      <c r="J673" s="1"/>
      <c r="K673" s="1"/>
      <c r="L673" s="1"/>
      <c r="M673" s="1"/>
      <c r="N673" s="1"/>
      <c r="O673" s="1"/>
      <c r="P673" s="1"/>
      <c r="Q673" s="1"/>
      <c r="R673" s="1"/>
      <c r="S673" s="1"/>
      <c r="T673" s="1"/>
      <c r="U673" s="2"/>
      <c r="V673" s="1"/>
      <c r="W673" s="1"/>
      <c r="X673" s="1"/>
      <c r="Y673" s="1"/>
      <c r="Z673" s="1"/>
    </row>
    <row r="674" spans="1:26" ht="24.75" customHeight="1">
      <c r="A674" s="1"/>
      <c r="B674" s="1"/>
      <c r="C674" s="1"/>
      <c r="D674" s="1"/>
      <c r="E674" s="1"/>
      <c r="F674" s="1"/>
      <c r="G674" s="1"/>
      <c r="H674" s="1"/>
      <c r="I674" s="1"/>
      <c r="J674" s="1"/>
      <c r="K674" s="1"/>
      <c r="L674" s="1"/>
      <c r="M674" s="1"/>
      <c r="N674" s="1"/>
      <c r="O674" s="1"/>
      <c r="P674" s="1"/>
      <c r="Q674" s="1"/>
      <c r="R674" s="1"/>
      <c r="S674" s="1"/>
      <c r="T674" s="1"/>
      <c r="U674" s="2"/>
      <c r="V674" s="1"/>
      <c r="W674" s="1"/>
      <c r="X674" s="1"/>
      <c r="Y674" s="1"/>
      <c r="Z674" s="1"/>
    </row>
    <row r="675" spans="1:26" ht="24.75" customHeight="1">
      <c r="A675" s="1"/>
      <c r="B675" s="1"/>
      <c r="C675" s="1"/>
      <c r="D675" s="1"/>
      <c r="E675" s="1"/>
      <c r="F675" s="1"/>
      <c r="G675" s="1"/>
      <c r="H675" s="1"/>
      <c r="I675" s="1"/>
      <c r="J675" s="1"/>
      <c r="K675" s="1"/>
      <c r="L675" s="1"/>
      <c r="M675" s="1"/>
      <c r="N675" s="1"/>
      <c r="O675" s="1"/>
      <c r="P675" s="1"/>
      <c r="Q675" s="1"/>
      <c r="R675" s="1"/>
      <c r="S675" s="1"/>
      <c r="T675" s="1"/>
      <c r="U675" s="2"/>
      <c r="V675" s="1"/>
      <c r="W675" s="1"/>
      <c r="X675" s="1"/>
      <c r="Y675" s="1"/>
      <c r="Z675" s="1"/>
    </row>
    <row r="676" spans="1:26" ht="24.75" customHeight="1">
      <c r="A676" s="1"/>
      <c r="B676" s="1"/>
      <c r="C676" s="1"/>
      <c r="D676" s="1"/>
      <c r="E676" s="1"/>
      <c r="F676" s="1"/>
      <c r="G676" s="1"/>
      <c r="H676" s="1"/>
      <c r="I676" s="1"/>
      <c r="J676" s="1"/>
      <c r="K676" s="1"/>
      <c r="L676" s="1"/>
      <c r="M676" s="1"/>
      <c r="N676" s="1"/>
      <c r="O676" s="1"/>
      <c r="P676" s="1"/>
      <c r="Q676" s="1"/>
      <c r="R676" s="1"/>
      <c r="S676" s="1"/>
      <c r="T676" s="1"/>
      <c r="U676" s="2"/>
      <c r="V676" s="1"/>
      <c r="W676" s="1"/>
      <c r="X676" s="1"/>
      <c r="Y676" s="1"/>
      <c r="Z676" s="1"/>
    </row>
    <row r="677" spans="1:26" ht="24.75" customHeight="1">
      <c r="A677" s="1"/>
      <c r="B677" s="1"/>
      <c r="C677" s="1"/>
      <c r="D677" s="1"/>
      <c r="E677" s="1"/>
      <c r="F677" s="1"/>
      <c r="G677" s="1"/>
      <c r="H677" s="1"/>
      <c r="I677" s="1"/>
      <c r="J677" s="1"/>
      <c r="K677" s="1"/>
      <c r="L677" s="1"/>
      <c r="M677" s="1"/>
      <c r="N677" s="1"/>
      <c r="O677" s="1"/>
      <c r="P677" s="1"/>
      <c r="Q677" s="1"/>
      <c r="R677" s="1"/>
      <c r="S677" s="1"/>
      <c r="T677" s="1"/>
      <c r="U677" s="2"/>
      <c r="V677" s="1"/>
      <c r="W677" s="1"/>
      <c r="X677" s="1"/>
      <c r="Y677" s="1"/>
      <c r="Z677" s="1"/>
    </row>
    <row r="678" spans="1:26" ht="24.75" customHeight="1">
      <c r="A678" s="1"/>
      <c r="B678" s="1"/>
      <c r="C678" s="1"/>
      <c r="D678" s="1"/>
      <c r="E678" s="1"/>
      <c r="F678" s="1"/>
      <c r="G678" s="1"/>
      <c r="H678" s="1"/>
      <c r="I678" s="1"/>
      <c r="J678" s="1"/>
      <c r="K678" s="1"/>
      <c r="L678" s="1"/>
      <c r="M678" s="1"/>
      <c r="N678" s="1"/>
      <c r="O678" s="1"/>
      <c r="P678" s="1"/>
      <c r="Q678" s="1"/>
      <c r="R678" s="1"/>
      <c r="S678" s="1"/>
      <c r="T678" s="1"/>
      <c r="U678" s="2"/>
      <c r="V678" s="1"/>
      <c r="W678" s="1"/>
      <c r="X678" s="1"/>
      <c r="Y678" s="1"/>
      <c r="Z678" s="1"/>
    </row>
    <row r="679" spans="1:26" ht="24.75" customHeight="1">
      <c r="A679" s="1"/>
      <c r="B679" s="1"/>
      <c r="C679" s="1"/>
      <c r="D679" s="1"/>
      <c r="E679" s="1"/>
      <c r="F679" s="1"/>
      <c r="G679" s="1"/>
      <c r="H679" s="1"/>
      <c r="I679" s="1"/>
      <c r="J679" s="1"/>
      <c r="K679" s="1"/>
      <c r="L679" s="1"/>
      <c r="M679" s="1"/>
      <c r="N679" s="1"/>
      <c r="O679" s="1"/>
      <c r="P679" s="1"/>
      <c r="Q679" s="1"/>
      <c r="R679" s="1"/>
      <c r="S679" s="1"/>
      <c r="T679" s="1"/>
      <c r="U679" s="2"/>
      <c r="V679" s="1"/>
      <c r="W679" s="1"/>
      <c r="X679" s="1"/>
      <c r="Y679" s="1"/>
      <c r="Z679" s="1"/>
    </row>
    <row r="680" spans="1:26" ht="24.75" customHeight="1">
      <c r="A680" s="1"/>
      <c r="B680" s="1"/>
      <c r="C680" s="1"/>
      <c r="D680" s="1"/>
      <c r="E680" s="1"/>
      <c r="F680" s="1"/>
      <c r="G680" s="1"/>
      <c r="H680" s="1"/>
      <c r="I680" s="1"/>
      <c r="J680" s="1"/>
      <c r="K680" s="1"/>
      <c r="L680" s="1"/>
      <c r="M680" s="1"/>
      <c r="N680" s="1"/>
      <c r="O680" s="1"/>
      <c r="P680" s="1"/>
      <c r="Q680" s="1"/>
      <c r="R680" s="1"/>
      <c r="S680" s="1"/>
      <c r="T680" s="1"/>
      <c r="U680" s="2"/>
      <c r="V680" s="1"/>
      <c r="W680" s="1"/>
      <c r="X680" s="1"/>
      <c r="Y680" s="1"/>
      <c r="Z680" s="1"/>
    </row>
    <row r="681" spans="1:26" ht="24.75" customHeight="1">
      <c r="A681" s="1"/>
      <c r="B681" s="1"/>
      <c r="C681" s="1"/>
      <c r="D681" s="1"/>
      <c r="E681" s="1"/>
      <c r="F681" s="1"/>
      <c r="G681" s="1"/>
      <c r="H681" s="1"/>
      <c r="I681" s="1"/>
      <c r="J681" s="1"/>
      <c r="K681" s="1"/>
      <c r="L681" s="1"/>
      <c r="M681" s="1"/>
      <c r="N681" s="1"/>
      <c r="O681" s="1"/>
      <c r="P681" s="1"/>
      <c r="Q681" s="1"/>
      <c r="R681" s="1"/>
      <c r="S681" s="1"/>
      <c r="T681" s="1"/>
      <c r="U681" s="2"/>
      <c r="V681" s="1"/>
      <c r="W681" s="1"/>
      <c r="X681" s="1"/>
      <c r="Y681" s="1"/>
      <c r="Z681" s="1"/>
    </row>
    <row r="682" spans="1:26" ht="24.75" customHeight="1">
      <c r="A682" s="1"/>
      <c r="B682" s="1"/>
      <c r="C682" s="1"/>
      <c r="D682" s="1"/>
      <c r="E682" s="1"/>
      <c r="F682" s="1"/>
      <c r="G682" s="1"/>
      <c r="H682" s="1"/>
      <c r="I682" s="1"/>
      <c r="J682" s="1"/>
      <c r="K682" s="1"/>
      <c r="L682" s="1"/>
      <c r="M682" s="1"/>
      <c r="N682" s="1"/>
      <c r="O682" s="1"/>
      <c r="P682" s="1"/>
      <c r="Q682" s="1"/>
      <c r="R682" s="1"/>
      <c r="S682" s="1"/>
      <c r="T682" s="1"/>
      <c r="U682" s="2"/>
      <c r="V682" s="1"/>
      <c r="W682" s="1"/>
      <c r="X682" s="1"/>
      <c r="Y682" s="1"/>
      <c r="Z682" s="1"/>
    </row>
    <row r="683" spans="1:26" ht="24.75" customHeight="1">
      <c r="A683" s="1"/>
      <c r="B683" s="1"/>
      <c r="C683" s="1"/>
      <c r="D683" s="1"/>
      <c r="E683" s="1"/>
      <c r="F683" s="1"/>
      <c r="G683" s="1"/>
      <c r="H683" s="1"/>
      <c r="I683" s="1"/>
      <c r="J683" s="1"/>
      <c r="K683" s="1"/>
      <c r="L683" s="1"/>
      <c r="M683" s="1"/>
      <c r="N683" s="1"/>
      <c r="O683" s="1"/>
      <c r="P683" s="1"/>
      <c r="Q683" s="1"/>
      <c r="R683" s="1"/>
      <c r="S683" s="1"/>
      <c r="T683" s="1"/>
      <c r="U683" s="2"/>
      <c r="V683" s="1"/>
      <c r="W683" s="1"/>
      <c r="X683" s="1"/>
      <c r="Y683" s="1"/>
      <c r="Z683" s="1"/>
    </row>
    <row r="684" spans="1:26" ht="24.75" customHeight="1">
      <c r="A684" s="1"/>
      <c r="B684" s="1"/>
      <c r="C684" s="1"/>
      <c r="D684" s="1"/>
      <c r="E684" s="1"/>
      <c r="F684" s="1"/>
      <c r="G684" s="1"/>
      <c r="H684" s="1"/>
      <c r="I684" s="1"/>
      <c r="J684" s="1"/>
      <c r="K684" s="1"/>
      <c r="L684" s="1"/>
      <c r="M684" s="1"/>
      <c r="N684" s="1"/>
      <c r="O684" s="1"/>
      <c r="P684" s="1"/>
      <c r="Q684" s="1"/>
      <c r="R684" s="1"/>
      <c r="S684" s="1"/>
      <c r="T684" s="1"/>
      <c r="U684" s="2"/>
      <c r="V684" s="1"/>
      <c r="W684" s="1"/>
      <c r="X684" s="1"/>
      <c r="Y684" s="1"/>
      <c r="Z684" s="1"/>
    </row>
    <row r="685" spans="1:26" ht="24.75" customHeight="1">
      <c r="A685" s="1"/>
      <c r="B685" s="1"/>
      <c r="C685" s="1"/>
      <c r="D685" s="1"/>
      <c r="E685" s="1"/>
      <c r="F685" s="1"/>
      <c r="G685" s="1"/>
      <c r="H685" s="1"/>
      <c r="I685" s="1"/>
      <c r="J685" s="1"/>
      <c r="K685" s="1"/>
      <c r="L685" s="1"/>
      <c r="M685" s="1"/>
      <c r="N685" s="1"/>
      <c r="O685" s="1"/>
      <c r="P685" s="1"/>
      <c r="Q685" s="1"/>
      <c r="R685" s="1"/>
      <c r="S685" s="1"/>
      <c r="T685" s="1"/>
      <c r="U685" s="2"/>
      <c r="V685" s="1"/>
      <c r="W685" s="1"/>
      <c r="X685" s="1"/>
      <c r="Y685" s="1"/>
      <c r="Z685" s="1"/>
    </row>
    <row r="686" spans="1:26" ht="24.75" customHeight="1">
      <c r="A686" s="1"/>
      <c r="B686" s="1"/>
      <c r="C686" s="1"/>
      <c r="D686" s="1"/>
      <c r="E686" s="1"/>
      <c r="F686" s="1"/>
      <c r="G686" s="1"/>
      <c r="H686" s="1"/>
      <c r="I686" s="1"/>
      <c r="J686" s="1"/>
      <c r="K686" s="1"/>
      <c r="L686" s="1"/>
      <c r="M686" s="1"/>
      <c r="N686" s="1"/>
      <c r="O686" s="1"/>
      <c r="P686" s="1"/>
      <c r="Q686" s="1"/>
      <c r="R686" s="1"/>
      <c r="S686" s="1"/>
      <c r="T686" s="1"/>
      <c r="U686" s="2"/>
      <c r="V686" s="1"/>
      <c r="W686" s="1"/>
      <c r="X686" s="1"/>
      <c r="Y686" s="1"/>
      <c r="Z686" s="1"/>
    </row>
    <row r="687" spans="1:26" ht="24.75" customHeight="1">
      <c r="A687" s="1"/>
      <c r="B687" s="1"/>
      <c r="C687" s="1"/>
      <c r="D687" s="1"/>
      <c r="E687" s="1"/>
      <c r="F687" s="1"/>
      <c r="G687" s="1"/>
      <c r="H687" s="1"/>
      <c r="I687" s="1"/>
      <c r="J687" s="1"/>
      <c r="K687" s="1"/>
      <c r="L687" s="1"/>
      <c r="M687" s="1"/>
      <c r="N687" s="1"/>
      <c r="O687" s="1"/>
      <c r="P687" s="1"/>
      <c r="Q687" s="1"/>
      <c r="R687" s="1"/>
      <c r="S687" s="1"/>
      <c r="T687" s="1"/>
      <c r="U687" s="2"/>
      <c r="V687" s="1"/>
      <c r="W687" s="1"/>
      <c r="X687" s="1"/>
      <c r="Y687" s="1"/>
      <c r="Z687" s="1"/>
    </row>
    <row r="688" spans="1:26" ht="24.75" customHeight="1">
      <c r="A688" s="1"/>
      <c r="B688" s="1"/>
      <c r="C688" s="1"/>
      <c r="D688" s="1"/>
      <c r="E688" s="1"/>
      <c r="F688" s="1"/>
      <c r="G688" s="1"/>
      <c r="H688" s="1"/>
      <c r="I688" s="1"/>
      <c r="J688" s="1"/>
      <c r="K688" s="1"/>
      <c r="L688" s="1"/>
      <c r="M688" s="1"/>
      <c r="N688" s="1"/>
      <c r="O688" s="1"/>
      <c r="P688" s="1"/>
      <c r="Q688" s="1"/>
      <c r="R688" s="1"/>
      <c r="S688" s="1"/>
      <c r="T688" s="1"/>
      <c r="U688" s="2"/>
      <c r="V688" s="1"/>
      <c r="W688" s="1"/>
      <c r="X688" s="1"/>
      <c r="Y688" s="1"/>
      <c r="Z688" s="1"/>
    </row>
    <row r="689" spans="1:26" ht="24.75" customHeight="1">
      <c r="A689" s="1"/>
      <c r="B689" s="1"/>
      <c r="C689" s="1"/>
      <c r="D689" s="1"/>
      <c r="E689" s="1"/>
      <c r="F689" s="1"/>
      <c r="G689" s="1"/>
      <c r="H689" s="1"/>
      <c r="I689" s="1"/>
      <c r="J689" s="1"/>
      <c r="K689" s="1"/>
      <c r="L689" s="1"/>
      <c r="M689" s="1"/>
      <c r="N689" s="1"/>
      <c r="O689" s="1"/>
      <c r="P689" s="1"/>
      <c r="Q689" s="1"/>
      <c r="R689" s="1"/>
      <c r="S689" s="1"/>
      <c r="T689" s="1"/>
      <c r="U689" s="2"/>
      <c r="V689" s="1"/>
      <c r="W689" s="1"/>
      <c r="X689" s="1"/>
      <c r="Y689" s="1"/>
      <c r="Z689" s="1"/>
    </row>
    <row r="690" spans="1:26" ht="24.75" customHeight="1">
      <c r="A690" s="1"/>
      <c r="B690" s="1"/>
      <c r="C690" s="1"/>
      <c r="D690" s="1"/>
      <c r="E690" s="1"/>
      <c r="F690" s="1"/>
      <c r="G690" s="1"/>
      <c r="H690" s="1"/>
      <c r="I690" s="1"/>
      <c r="J690" s="1"/>
      <c r="K690" s="1"/>
      <c r="L690" s="1"/>
      <c r="M690" s="1"/>
      <c r="N690" s="1"/>
      <c r="O690" s="1"/>
      <c r="P690" s="1"/>
      <c r="Q690" s="1"/>
      <c r="R690" s="1"/>
      <c r="S690" s="1"/>
      <c r="T690" s="1"/>
      <c r="U690" s="2"/>
      <c r="V690" s="1"/>
      <c r="W690" s="1"/>
      <c r="X690" s="1"/>
      <c r="Y690" s="1"/>
      <c r="Z690" s="1"/>
    </row>
    <row r="691" spans="1:26" ht="24.75" customHeight="1">
      <c r="A691" s="1"/>
      <c r="B691" s="1"/>
      <c r="C691" s="1"/>
      <c r="D691" s="1"/>
      <c r="E691" s="1"/>
      <c r="F691" s="1"/>
      <c r="G691" s="1"/>
      <c r="H691" s="1"/>
      <c r="I691" s="1"/>
      <c r="J691" s="1"/>
      <c r="K691" s="1"/>
      <c r="L691" s="1"/>
      <c r="M691" s="1"/>
      <c r="N691" s="1"/>
      <c r="O691" s="1"/>
      <c r="P691" s="1"/>
      <c r="Q691" s="1"/>
      <c r="R691" s="1"/>
      <c r="S691" s="1"/>
      <c r="T691" s="1"/>
      <c r="U691" s="2"/>
      <c r="V691" s="1"/>
      <c r="W691" s="1"/>
      <c r="X691" s="1"/>
      <c r="Y691" s="1"/>
      <c r="Z691" s="1"/>
    </row>
    <row r="692" spans="1:26" ht="24.75" customHeight="1">
      <c r="A692" s="1"/>
      <c r="B692" s="1"/>
      <c r="C692" s="1"/>
      <c r="D692" s="1"/>
      <c r="E692" s="1"/>
      <c r="F692" s="1"/>
      <c r="G692" s="1"/>
      <c r="H692" s="1"/>
      <c r="I692" s="1"/>
      <c r="J692" s="1"/>
      <c r="K692" s="1"/>
      <c r="L692" s="1"/>
      <c r="M692" s="1"/>
      <c r="N692" s="1"/>
      <c r="O692" s="1"/>
      <c r="P692" s="1"/>
      <c r="Q692" s="1"/>
      <c r="R692" s="1"/>
      <c r="S692" s="1"/>
      <c r="T692" s="1"/>
      <c r="U692" s="2"/>
      <c r="V692" s="1"/>
      <c r="W692" s="1"/>
      <c r="X692" s="1"/>
      <c r="Y692" s="1"/>
      <c r="Z692" s="1"/>
    </row>
    <row r="693" spans="1:26" ht="24.75" customHeight="1">
      <c r="A693" s="1"/>
      <c r="B693" s="1"/>
      <c r="C693" s="1"/>
      <c r="D693" s="1"/>
      <c r="E693" s="1"/>
      <c r="F693" s="1"/>
      <c r="G693" s="1"/>
      <c r="H693" s="1"/>
      <c r="I693" s="1"/>
      <c r="J693" s="1"/>
      <c r="K693" s="1"/>
      <c r="L693" s="1"/>
      <c r="M693" s="1"/>
      <c r="N693" s="1"/>
      <c r="O693" s="1"/>
      <c r="P693" s="1"/>
      <c r="Q693" s="1"/>
      <c r="R693" s="1"/>
      <c r="S693" s="1"/>
      <c r="T693" s="1"/>
      <c r="U693" s="2"/>
      <c r="V693" s="1"/>
      <c r="W693" s="1"/>
      <c r="X693" s="1"/>
      <c r="Y693" s="1"/>
      <c r="Z693" s="1"/>
    </row>
    <row r="694" spans="1:26" ht="24.75" customHeight="1">
      <c r="A694" s="1"/>
      <c r="B694" s="1"/>
      <c r="C694" s="1"/>
      <c r="D694" s="1"/>
      <c r="E694" s="1"/>
      <c r="F694" s="1"/>
      <c r="G694" s="1"/>
      <c r="H694" s="1"/>
      <c r="I694" s="1"/>
      <c r="J694" s="1"/>
      <c r="K694" s="1"/>
      <c r="L694" s="1"/>
      <c r="M694" s="1"/>
      <c r="N694" s="1"/>
      <c r="O694" s="1"/>
      <c r="P694" s="1"/>
      <c r="Q694" s="1"/>
      <c r="R694" s="1"/>
      <c r="S694" s="1"/>
      <c r="T694" s="1"/>
      <c r="U694" s="2"/>
      <c r="V694" s="1"/>
      <c r="W694" s="1"/>
      <c r="X694" s="1"/>
      <c r="Y694" s="1"/>
      <c r="Z694" s="1"/>
    </row>
    <row r="695" spans="1:26" ht="24.75" customHeight="1">
      <c r="A695" s="1"/>
      <c r="B695" s="1"/>
      <c r="C695" s="1"/>
      <c r="D695" s="1"/>
      <c r="E695" s="1"/>
      <c r="F695" s="1"/>
      <c r="G695" s="1"/>
      <c r="H695" s="1"/>
      <c r="I695" s="1"/>
      <c r="J695" s="1"/>
      <c r="K695" s="1"/>
      <c r="L695" s="1"/>
      <c r="M695" s="1"/>
      <c r="N695" s="1"/>
      <c r="O695" s="1"/>
      <c r="P695" s="1"/>
      <c r="Q695" s="1"/>
      <c r="R695" s="1"/>
      <c r="S695" s="1"/>
      <c r="T695" s="1"/>
      <c r="U695" s="2"/>
      <c r="V695" s="1"/>
      <c r="W695" s="1"/>
      <c r="X695" s="1"/>
      <c r="Y695" s="1"/>
      <c r="Z695" s="1"/>
    </row>
    <row r="696" spans="1:26" ht="24.75" customHeight="1">
      <c r="A696" s="1"/>
      <c r="B696" s="1"/>
      <c r="C696" s="1"/>
      <c r="D696" s="1"/>
      <c r="E696" s="1"/>
      <c r="F696" s="1"/>
      <c r="G696" s="1"/>
      <c r="H696" s="1"/>
      <c r="I696" s="1"/>
      <c r="J696" s="1"/>
      <c r="K696" s="1"/>
      <c r="L696" s="1"/>
      <c r="M696" s="1"/>
      <c r="N696" s="1"/>
      <c r="O696" s="1"/>
      <c r="P696" s="1"/>
      <c r="Q696" s="1"/>
      <c r="R696" s="1"/>
      <c r="S696" s="1"/>
      <c r="T696" s="1"/>
      <c r="U696" s="2"/>
      <c r="V696" s="1"/>
      <c r="W696" s="1"/>
      <c r="X696" s="1"/>
      <c r="Y696" s="1"/>
      <c r="Z696" s="1"/>
    </row>
    <row r="697" spans="1:26" ht="24.75" customHeight="1">
      <c r="A697" s="1"/>
      <c r="B697" s="1"/>
      <c r="C697" s="1"/>
      <c r="D697" s="1"/>
      <c r="E697" s="1"/>
      <c r="F697" s="1"/>
      <c r="G697" s="1"/>
      <c r="H697" s="1"/>
      <c r="I697" s="1"/>
      <c r="J697" s="1"/>
      <c r="K697" s="1"/>
      <c r="L697" s="1"/>
      <c r="M697" s="1"/>
      <c r="N697" s="1"/>
      <c r="O697" s="1"/>
      <c r="P697" s="1"/>
      <c r="Q697" s="1"/>
      <c r="R697" s="1"/>
      <c r="S697" s="1"/>
      <c r="T697" s="1"/>
      <c r="U697" s="2"/>
      <c r="V697" s="1"/>
      <c r="W697" s="1"/>
      <c r="X697" s="1"/>
      <c r="Y697" s="1"/>
      <c r="Z697" s="1"/>
    </row>
    <row r="698" spans="1:26" ht="24.75" customHeight="1">
      <c r="A698" s="1"/>
      <c r="B698" s="1"/>
      <c r="C698" s="1"/>
      <c r="D698" s="1"/>
      <c r="E698" s="1"/>
      <c r="F698" s="1"/>
      <c r="G698" s="1"/>
      <c r="H698" s="1"/>
      <c r="I698" s="1"/>
      <c r="J698" s="1"/>
      <c r="K698" s="1"/>
      <c r="L698" s="1"/>
      <c r="M698" s="1"/>
      <c r="N698" s="1"/>
      <c r="O698" s="1"/>
      <c r="P698" s="1"/>
      <c r="Q698" s="1"/>
      <c r="R698" s="1"/>
      <c r="S698" s="1"/>
      <c r="T698" s="1"/>
      <c r="U698" s="2"/>
      <c r="V698" s="1"/>
      <c r="W698" s="1"/>
      <c r="X698" s="1"/>
      <c r="Y698" s="1"/>
      <c r="Z698" s="1"/>
    </row>
    <row r="699" spans="1:26" ht="24.75" customHeight="1">
      <c r="A699" s="1"/>
      <c r="B699" s="1"/>
      <c r="C699" s="1"/>
      <c r="D699" s="1"/>
      <c r="E699" s="1"/>
      <c r="F699" s="1"/>
      <c r="G699" s="1"/>
      <c r="H699" s="1"/>
      <c r="I699" s="1"/>
      <c r="J699" s="1"/>
      <c r="K699" s="1"/>
      <c r="L699" s="1"/>
      <c r="M699" s="1"/>
      <c r="N699" s="1"/>
      <c r="O699" s="1"/>
      <c r="P699" s="1"/>
      <c r="Q699" s="1"/>
      <c r="R699" s="1"/>
      <c r="S699" s="1"/>
      <c r="T699" s="1"/>
      <c r="U699" s="2"/>
      <c r="V699" s="1"/>
      <c r="W699" s="1"/>
      <c r="X699" s="1"/>
      <c r="Y699" s="1"/>
      <c r="Z699" s="1"/>
    </row>
    <row r="700" spans="1:26" ht="24.75" customHeight="1">
      <c r="A700" s="1"/>
      <c r="B700" s="1"/>
      <c r="C700" s="1"/>
      <c r="D700" s="1"/>
      <c r="E700" s="1"/>
      <c r="F700" s="1"/>
      <c r="G700" s="1"/>
      <c r="H700" s="1"/>
      <c r="I700" s="1"/>
      <c r="J700" s="1"/>
      <c r="K700" s="1"/>
      <c r="L700" s="1"/>
      <c r="M700" s="1"/>
      <c r="N700" s="1"/>
      <c r="O700" s="1"/>
      <c r="P700" s="1"/>
      <c r="Q700" s="1"/>
      <c r="R700" s="1"/>
      <c r="S700" s="1"/>
      <c r="T700" s="1"/>
      <c r="U700" s="2"/>
      <c r="V700" s="1"/>
      <c r="W700" s="1"/>
      <c r="X700" s="1"/>
      <c r="Y700" s="1"/>
      <c r="Z700" s="1"/>
    </row>
    <row r="701" spans="1:26" ht="24.75" customHeight="1">
      <c r="A701" s="1"/>
      <c r="B701" s="1"/>
      <c r="C701" s="1"/>
      <c r="D701" s="1"/>
      <c r="E701" s="1"/>
      <c r="F701" s="1"/>
      <c r="G701" s="1"/>
      <c r="H701" s="1"/>
      <c r="I701" s="1"/>
      <c r="J701" s="1"/>
      <c r="K701" s="1"/>
      <c r="L701" s="1"/>
      <c r="M701" s="1"/>
      <c r="N701" s="1"/>
      <c r="O701" s="1"/>
      <c r="P701" s="1"/>
      <c r="Q701" s="1"/>
      <c r="R701" s="1"/>
      <c r="S701" s="1"/>
      <c r="T701" s="1"/>
      <c r="U701" s="2"/>
      <c r="V701" s="1"/>
      <c r="W701" s="1"/>
      <c r="X701" s="1"/>
      <c r="Y701" s="1"/>
      <c r="Z701" s="1"/>
    </row>
    <row r="702" spans="1:26" ht="24.75" customHeight="1">
      <c r="A702" s="1"/>
      <c r="B702" s="1"/>
      <c r="C702" s="1"/>
      <c r="D702" s="1"/>
      <c r="E702" s="1"/>
      <c r="F702" s="1"/>
      <c r="G702" s="1"/>
      <c r="H702" s="1"/>
      <c r="I702" s="1"/>
      <c r="J702" s="1"/>
      <c r="K702" s="1"/>
      <c r="L702" s="1"/>
      <c r="M702" s="1"/>
      <c r="N702" s="1"/>
      <c r="O702" s="1"/>
      <c r="P702" s="1"/>
      <c r="Q702" s="1"/>
      <c r="R702" s="1"/>
      <c r="S702" s="1"/>
      <c r="T702" s="1"/>
      <c r="U702" s="2"/>
      <c r="V702" s="1"/>
      <c r="W702" s="1"/>
      <c r="X702" s="1"/>
      <c r="Y702" s="1"/>
      <c r="Z702" s="1"/>
    </row>
    <row r="703" spans="1:26" ht="24.75" customHeight="1">
      <c r="A703" s="1"/>
      <c r="B703" s="1"/>
      <c r="C703" s="1"/>
      <c r="D703" s="1"/>
      <c r="E703" s="1"/>
      <c r="F703" s="1"/>
      <c r="G703" s="1"/>
      <c r="H703" s="1"/>
      <c r="I703" s="1"/>
      <c r="J703" s="1"/>
      <c r="K703" s="1"/>
      <c r="L703" s="1"/>
      <c r="M703" s="1"/>
      <c r="N703" s="1"/>
      <c r="O703" s="1"/>
      <c r="P703" s="1"/>
      <c r="Q703" s="1"/>
      <c r="R703" s="1"/>
      <c r="S703" s="1"/>
      <c r="T703" s="1"/>
      <c r="U703" s="2"/>
      <c r="V703" s="1"/>
      <c r="W703" s="1"/>
      <c r="X703" s="1"/>
      <c r="Y703" s="1"/>
      <c r="Z703" s="1"/>
    </row>
    <row r="704" spans="1:26" ht="24.75" customHeight="1">
      <c r="A704" s="1"/>
      <c r="B704" s="1"/>
      <c r="C704" s="1"/>
      <c r="D704" s="1"/>
      <c r="E704" s="1"/>
      <c r="F704" s="1"/>
      <c r="G704" s="1"/>
      <c r="H704" s="1"/>
      <c r="I704" s="1"/>
      <c r="J704" s="1"/>
      <c r="K704" s="1"/>
      <c r="L704" s="1"/>
      <c r="M704" s="1"/>
      <c r="N704" s="1"/>
      <c r="O704" s="1"/>
      <c r="P704" s="1"/>
      <c r="Q704" s="1"/>
      <c r="R704" s="1"/>
      <c r="S704" s="1"/>
      <c r="T704" s="1"/>
      <c r="U704" s="2"/>
      <c r="V704" s="1"/>
      <c r="W704" s="1"/>
      <c r="X704" s="1"/>
      <c r="Y704" s="1"/>
      <c r="Z704" s="1"/>
    </row>
    <row r="705" spans="1:26" ht="24.75" customHeight="1">
      <c r="A705" s="1"/>
      <c r="B705" s="1"/>
      <c r="C705" s="1"/>
      <c r="D705" s="1"/>
      <c r="E705" s="1"/>
      <c r="F705" s="1"/>
      <c r="G705" s="1"/>
      <c r="H705" s="1"/>
      <c r="I705" s="1"/>
      <c r="J705" s="1"/>
      <c r="K705" s="1"/>
      <c r="L705" s="1"/>
      <c r="M705" s="1"/>
      <c r="N705" s="1"/>
      <c r="O705" s="1"/>
      <c r="P705" s="1"/>
      <c r="Q705" s="1"/>
      <c r="R705" s="1"/>
      <c r="S705" s="1"/>
      <c r="T705" s="1"/>
      <c r="U705" s="2"/>
      <c r="V705" s="1"/>
      <c r="W705" s="1"/>
      <c r="X705" s="1"/>
      <c r="Y705" s="1"/>
      <c r="Z705" s="1"/>
    </row>
    <row r="706" spans="1:26" ht="24.75" customHeight="1">
      <c r="A706" s="1"/>
      <c r="B706" s="1"/>
      <c r="C706" s="1"/>
      <c r="D706" s="1"/>
      <c r="E706" s="1"/>
      <c r="F706" s="1"/>
      <c r="G706" s="1"/>
      <c r="H706" s="1"/>
      <c r="I706" s="1"/>
      <c r="J706" s="1"/>
      <c r="K706" s="1"/>
      <c r="L706" s="1"/>
      <c r="M706" s="1"/>
      <c r="N706" s="1"/>
      <c r="O706" s="1"/>
      <c r="P706" s="1"/>
      <c r="Q706" s="1"/>
      <c r="R706" s="1"/>
      <c r="S706" s="1"/>
      <c r="T706" s="1"/>
      <c r="U706" s="2"/>
      <c r="V706" s="1"/>
      <c r="W706" s="1"/>
      <c r="X706" s="1"/>
      <c r="Y706" s="1"/>
      <c r="Z706" s="1"/>
    </row>
    <row r="707" spans="1:26" ht="24.75" customHeight="1">
      <c r="A707" s="1"/>
      <c r="B707" s="1"/>
      <c r="C707" s="1"/>
      <c r="D707" s="1"/>
      <c r="E707" s="1"/>
      <c r="F707" s="1"/>
      <c r="G707" s="1"/>
      <c r="H707" s="1"/>
      <c r="I707" s="1"/>
      <c r="J707" s="1"/>
      <c r="K707" s="1"/>
      <c r="L707" s="1"/>
      <c r="M707" s="1"/>
      <c r="N707" s="1"/>
      <c r="O707" s="1"/>
      <c r="P707" s="1"/>
      <c r="Q707" s="1"/>
      <c r="R707" s="1"/>
      <c r="S707" s="1"/>
      <c r="T707" s="1"/>
      <c r="U707" s="2"/>
      <c r="V707" s="1"/>
      <c r="W707" s="1"/>
      <c r="X707" s="1"/>
      <c r="Y707" s="1"/>
      <c r="Z707" s="1"/>
    </row>
    <row r="708" spans="1:26" ht="24.75" customHeight="1">
      <c r="A708" s="1"/>
      <c r="B708" s="1"/>
      <c r="C708" s="1"/>
      <c r="D708" s="1"/>
      <c r="E708" s="1"/>
      <c r="F708" s="1"/>
      <c r="G708" s="1"/>
      <c r="H708" s="1"/>
      <c r="I708" s="1"/>
      <c r="J708" s="1"/>
      <c r="K708" s="1"/>
      <c r="L708" s="1"/>
      <c r="M708" s="1"/>
      <c r="N708" s="1"/>
      <c r="O708" s="1"/>
      <c r="P708" s="1"/>
      <c r="Q708" s="1"/>
      <c r="R708" s="1"/>
      <c r="S708" s="1"/>
      <c r="T708" s="1"/>
      <c r="U708" s="2"/>
      <c r="V708" s="1"/>
      <c r="W708" s="1"/>
      <c r="X708" s="1"/>
      <c r="Y708" s="1"/>
      <c r="Z708" s="1"/>
    </row>
    <row r="709" spans="1:26" ht="24.75" customHeight="1">
      <c r="A709" s="1"/>
      <c r="B709" s="1"/>
      <c r="C709" s="1"/>
      <c r="D709" s="1"/>
      <c r="E709" s="1"/>
      <c r="F709" s="1"/>
      <c r="G709" s="1"/>
      <c r="H709" s="1"/>
      <c r="I709" s="1"/>
      <c r="J709" s="1"/>
      <c r="K709" s="1"/>
      <c r="L709" s="1"/>
      <c r="M709" s="1"/>
      <c r="N709" s="1"/>
      <c r="O709" s="1"/>
      <c r="P709" s="1"/>
      <c r="Q709" s="1"/>
      <c r="R709" s="1"/>
      <c r="S709" s="1"/>
      <c r="T709" s="1"/>
      <c r="U709" s="2"/>
      <c r="V709" s="1"/>
      <c r="W709" s="1"/>
      <c r="X709" s="1"/>
      <c r="Y709" s="1"/>
      <c r="Z709" s="1"/>
    </row>
    <row r="710" spans="1:26" ht="24.75" customHeight="1">
      <c r="A710" s="1"/>
      <c r="B710" s="1"/>
      <c r="C710" s="1"/>
      <c r="D710" s="1"/>
      <c r="E710" s="1"/>
      <c r="F710" s="1"/>
      <c r="G710" s="1"/>
      <c r="H710" s="1"/>
      <c r="I710" s="1"/>
      <c r="J710" s="1"/>
      <c r="K710" s="1"/>
      <c r="L710" s="1"/>
      <c r="M710" s="1"/>
      <c r="N710" s="1"/>
      <c r="O710" s="1"/>
      <c r="P710" s="1"/>
      <c r="Q710" s="1"/>
      <c r="R710" s="1"/>
      <c r="S710" s="1"/>
      <c r="T710" s="1"/>
      <c r="U710" s="2"/>
      <c r="V710" s="1"/>
      <c r="W710" s="1"/>
      <c r="X710" s="1"/>
      <c r="Y710" s="1"/>
      <c r="Z710" s="1"/>
    </row>
    <row r="711" spans="1:26" ht="24.75" customHeight="1">
      <c r="A711" s="1"/>
      <c r="B711" s="1"/>
      <c r="C711" s="1"/>
      <c r="D711" s="1"/>
      <c r="E711" s="1"/>
      <c r="F711" s="1"/>
      <c r="G711" s="1"/>
      <c r="H711" s="1"/>
      <c r="I711" s="1"/>
      <c r="J711" s="1"/>
      <c r="K711" s="1"/>
      <c r="L711" s="1"/>
      <c r="M711" s="1"/>
      <c r="N711" s="1"/>
      <c r="O711" s="1"/>
      <c r="P711" s="1"/>
      <c r="Q711" s="1"/>
      <c r="R711" s="1"/>
      <c r="S711" s="1"/>
      <c r="T711" s="1"/>
      <c r="U711" s="2"/>
      <c r="V711" s="1"/>
      <c r="W711" s="1"/>
      <c r="X711" s="1"/>
      <c r="Y711" s="1"/>
      <c r="Z711" s="1"/>
    </row>
    <row r="712" spans="1:26" ht="24.75" customHeight="1">
      <c r="A712" s="1"/>
      <c r="B712" s="1"/>
      <c r="C712" s="1"/>
      <c r="D712" s="1"/>
      <c r="E712" s="1"/>
      <c r="F712" s="1"/>
      <c r="G712" s="1"/>
      <c r="H712" s="1"/>
      <c r="I712" s="1"/>
      <c r="J712" s="1"/>
      <c r="K712" s="1"/>
      <c r="L712" s="1"/>
      <c r="M712" s="1"/>
      <c r="N712" s="1"/>
      <c r="O712" s="1"/>
      <c r="P712" s="1"/>
      <c r="Q712" s="1"/>
      <c r="R712" s="1"/>
      <c r="S712" s="1"/>
      <c r="T712" s="1"/>
      <c r="U712" s="2"/>
      <c r="V712" s="1"/>
      <c r="W712" s="1"/>
      <c r="X712" s="1"/>
      <c r="Y712" s="1"/>
      <c r="Z712" s="1"/>
    </row>
    <row r="713" spans="1:26" ht="24.75" customHeight="1">
      <c r="A713" s="1"/>
      <c r="B713" s="1"/>
      <c r="C713" s="1"/>
      <c r="D713" s="1"/>
      <c r="E713" s="1"/>
      <c r="F713" s="1"/>
      <c r="G713" s="1"/>
      <c r="H713" s="1"/>
      <c r="I713" s="1"/>
      <c r="J713" s="1"/>
      <c r="K713" s="1"/>
      <c r="L713" s="1"/>
      <c r="M713" s="1"/>
      <c r="N713" s="1"/>
      <c r="O713" s="1"/>
      <c r="P713" s="1"/>
      <c r="Q713" s="1"/>
      <c r="R713" s="1"/>
      <c r="S713" s="1"/>
      <c r="T713" s="1"/>
      <c r="U713" s="2"/>
      <c r="V713" s="1"/>
      <c r="W713" s="1"/>
      <c r="X713" s="1"/>
      <c r="Y713" s="1"/>
      <c r="Z713" s="1"/>
    </row>
    <row r="714" spans="1:26" ht="24.75" customHeight="1">
      <c r="A714" s="1"/>
      <c r="B714" s="1"/>
      <c r="C714" s="1"/>
      <c r="D714" s="1"/>
      <c r="E714" s="1"/>
      <c r="F714" s="1"/>
      <c r="G714" s="1"/>
      <c r="H714" s="1"/>
      <c r="I714" s="1"/>
      <c r="J714" s="1"/>
      <c r="K714" s="1"/>
      <c r="L714" s="1"/>
      <c r="M714" s="1"/>
      <c r="N714" s="1"/>
      <c r="O714" s="1"/>
      <c r="P714" s="1"/>
      <c r="Q714" s="1"/>
      <c r="R714" s="1"/>
      <c r="S714" s="1"/>
      <c r="T714" s="1"/>
      <c r="U714" s="2"/>
      <c r="V714" s="1"/>
      <c r="W714" s="1"/>
      <c r="X714" s="1"/>
      <c r="Y714" s="1"/>
      <c r="Z714" s="1"/>
    </row>
    <row r="715" spans="1:26" ht="24.75" customHeight="1">
      <c r="A715" s="1"/>
      <c r="B715" s="1"/>
      <c r="C715" s="1"/>
      <c r="D715" s="1"/>
      <c r="E715" s="1"/>
      <c r="F715" s="1"/>
      <c r="G715" s="1"/>
      <c r="H715" s="1"/>
      <c r="I715" s="1"/>
      <c r="J715" s="1"/>
      <c r="K715" s="1"/>
      <c r="L715" s="1"/>
      <c r="M715" s="1"/>
      <c r="N715" s="1"/>
      <c r="O715" s="1"/>
      <c r="P715" s="1"/>
      <c r="Q715" s="1"/>
      <c r="R715" s="1"/>
      <c r="S715" s="1"/>
      <c r="T715" s="1"/>
      <c r="U715" s="2"/>
      <c r="V715" s="1"/>
      <c r="W715" s="1"/>
      <c r="X715" s="1"/>
      <c r="Y715" s="1"/>
      <c r="Z715" s="1"/>
    </row>
    <row r="716" spans="1:26" ht="24.75" customHeight="1">
      <c r="A716" s="1"/>
      <c r="B716" s="1"/>
      <c r="C716" s="1"/>
      <c r="D716" s="1"/>
      <c r="E716" s="1"/>
      <c r="F716" s="1"/>
      <c r="G716" s="1"/>
      <c r="H716" s="1"/>
      <c r="I716" s="1"/>
      <c r="J716" s="1"/>
      <c r="K716" s="1"/>
      <c r="L716" s="1"/>
      <c r="M716" s="1"/>
      <c r="N716" s="1"/>
      <c r="O716" s="1"/>
      <c r="P716" s="1"/>
      <c r="Q716" s="1"/>
      <c r="R716" s="1"/>
      <c r="S716" s="1"/>
      <c r="T716" s="1"/>
      <c r="U716" s="2"/>
      <c r="V716" s="1"/>
      <c r="W716" s="1"/>
      <c r="X716" s="1"/>
      <c r="Y716" s="1"/>
      <c r="Z716" s="1"/>
    </row>
    <row r="717" spans="1:26" ht="24.75" customHeight="1">
      <c r="A717" s="1"/>
      <c r="B717" s="1"/>
      <c r="C717" s="1"/>
      <c r="D717" s="1"/>
      <c r="E717" s="1"/>
      <c r="F717" s="1"/>
      <c r="G717" s="1"/>
      <c r="H717" s="1"/>
      <c r="I717" s="1"/>
      <c r="J717" s="1"/>
      <c r="K717" s="1"/>
      <c r="L717" s="1"/>
      <c r="M717" s="1"/>
      <c r="N717" s="1"/>
      <c r="O717" s="1"/>
      <c r="P717" s="1"/>
      <c r="Q717" s="1"/>
      <c r="R717" s="1"/>
      <c r="S717" s="1"/>
      <c r="T717" s="1"/>
      <c r="U717" s="2"/>
      <c r="V717" s="1"/>
      <c r="W717" s="1"/>
      <c r="X717" s="1"/>
      <c r="Y717" s="1"/>
      <c r="Z717" s="1"/>
    </row>
    <row r="718" spans="1:26" ht="24.75" customHeight="1">
      <c r="A718" s="1"/>
      <c r="B718" s="1"/>
      <c r="C718" s="1"/>
      <c r="D718" s="1"/>
      <c r="E718" s="1"/>
      <c r="F718" s="1"/>
      <c r="G718" s="1"/>
      <c r="H718" s="1"/>
      <c r="I718" s="1"/>
      <c r="J718" s="1"/>
      <c r="K718" s="1"/>
      <c r="L718" s="1"/>
      <c r="M718" s="1"/>
      <c r="N718" s="1"/>
      <c r="O718" s="1"/>
      <c r="P718" s="1"/>
      <c r="Q718" s="1"/>
      <c r="R718" s="1"/>
      <c r="S718" s="1"/>
      <c r="T718" s="1"/>
      <c r="U718" s="2"/>
      <c r="V718" s="1"/>
      <c r="W718" s="1"/>
      <c r="X718" s="1"/>
      <c r="Y718" s="1"/>
      <c r="Z718" s="1"/>
    </row>
    <row r="719" spans="1:26" ht="24.75" customHeight="1">
      <c r="A719" s="1"/>
      <c r="B719" s="1"/>
      <c r="C719" s="1"/>
      <c r="D719" s="1"/>
      <c r="E719" s="1"/>
      <c r="F719" s="1"/>
      <c r="G719" s="1"/>
      <c r="H719" s="1"/>
      <c r="I719" s="1"/>
      <c r="J719" s="1"/>
      <c r="K719" s="1"/>
      <c r="L719" s="1"/>
      <c r="M719" s="1"/>
      <c r="N719" s="1"/>
      <c r="O719" s="1"/>
      <c r="P719" s="1"/>
      <c r="Q719" s="1"/>
      <c r="R719" s="1"/>
      <c r="S719" s="1"/>
      <c r="T719" s="1"/>
      <c r="U719" s="2"/>
      <c r="V719" s="1"/>
      <c r="W719" s="1"/>
      <c r="X719" s="1"/>
      <c r="Y719" s="1"/>
      <c r="Z719" s="1"/>
    </row>
    <row r="720" spans="1:26" ht="24.75" customHeight="1">
      <c r="A720" s="1"/>
      <c r="B720" s="1"/>
      <c r="C720" s="1"/>
      <c r="D720" s="1"/>
      <c r="E720" s="1"/>
      <c r="F720" s="1"/>
      <c r="G720" s="1"/>
      <c r="H720" s="1"/>
      <c r="I720" s="1"/>
      <c r="J720" s="1"/>
      <c r="K720" s="1"/>
      <c r="L720" s="1"/>
      <c r="M720" s="1"/>
      <c r="N720" s="1"/>
      <c r="O720" s="1"/>
      <c r="P720" s="1"/>
      <c r="Q720" s="1"/>
      <c r="R720" s="1"/>
      <c r="S720" s="1"/>
      <c r="T720" s="1"/>
      <c r="U720" s="2"/>
      <c r="V720" s="1"/>
      <c r="W720" s="1"/>
      <c r="X720" s="1"/>
      <c r="Y720" s="1"/>
      <c r="Z720" s="1"/>
    </row>
    <row r="721" spans="1:26" ht="24.75" customHeight="1">
      <c r="A721" s="1"/>
      <c r="B721" s="1"/>
      <c r="C721" s="1"/>
      <c r="D721" s="1"/>
      <c r="E721" s="1"/>
      <c r="F721" s="1"/>
      <c r="G721" s="1"/>
      <c r="H721" s="1"/>
      <c r="I721" s="1"/>
      <c r="J721" s="1"/>
      <c r="K721" s="1"/>
      <c r="L721" s="1"/>
      <c r="M721" s="1"/>
      <c r="N721" s="1"/>
      <c r="O721" s="1"/>
      <c r="P721" s="1"/>
      <c r="Q721" s="1"/>
      <c r="R721" s="1"/>
      <c r="S721" s="1"/>
      <c r="T721" s="1"/>
      <c r="U721" s="2"/>
      <c r="V721" s="1"/>
      <c r="W721" s="1"/>
      <c r="X721" s="1"/>
      <c r="Y721" s="1"/>
      <c r="Z721" s="1"/>
    </row>
    <row r="722" spans="1:26" ht="24.75" customHeight="1">
      <c r="A722" s="1"/>
      <c r="B722" s="1"/>
      <c r="C722" s="1"/>
      <c r="D722" s="1"/>
      <c r="E722" s="1"/>
      <c r="F722" s="1"/>
      <c r="G722" s="1"/>
      <c r="H722" s="1"/>
      <c r="I722" s="1"/>
      <c r="J722" s="1"/>
      <c r="K722" s="1"/>
      <c r="L722" s="1"/>
      <c r="M722" s="1"/>
      <c r="N722" s="1"/>
      <c r="O722" s="1"/>
      <c r="P722" s="1"/>
      <c r="Q722" s="1"/>
      <c r="R722" s="1"/>
      <c r="S722" s="1"/>
      <c r="T722" s="1"/>
      <c r="U722" s="2"/>
      <c r="V722" s="1"/>
      <c r="W722" s="1"/>
      <c r="X722" s="1"/>
      <c r="Y722" s="1"/>
      <c r="Z722" s="1"/>
    </row>
    <row r="723" spans="1:26" ht="24.75" customHeight="1">
      <c r="A723" s="1"/>
      <c r="B723" s="1"/>
      <c r="C723" s="1"/>
      <c r="D723" s="1"/>
      <c r="E723" s="1"/>
      <c r="F723" s="1"/>
      <c r="G723" s="1"/>
      <c r="H723" s="1"/>
      <c r="I723" s="1"/>
      <c r="J723" s="1"/>
      <c r="K723" s="1"/>
      <c r="L723" s="1"/>
      <c r="M723" s="1"/>
      <c r="N723" s="1"/>
      <c r="O723" s="1"/>
      <c r="P723" s="1"/>
      <c r="Q723" s="1"/>
      <c r="R723" s="1"/>
      <c r="S723" s="1"/>
      <c r="T723" s="1"/>
      <c r="U723" s="2"/>
      <c r="V723" s="1"/>
      <c r="W723" s="1"/>
      <c r="X723" s="1"/>
      <c r="Y723" s="1"/>
      <c r="Z723" s="1"/>
    </row>
    <row r="724" spans="1:26" ht="24.75" customHeight="1">
      <c r="A724" s="1"/>
      <c r="B724" s="1"/>
      <c r="C724" s="1"/>
      <c r="D724" s="1"/>
      <c r="E724" s="1"/>
      <c r="F724" s="1"/>
      <c r="G724" s="1"/>
      <c r="H724" s="1"/>
      <c r="I724" s="1"/>
      <c r="J724" s="1"/>
      <c r="K724" s="1"/>
      <c r="L724" s="1"/>
      <c r="M724" s="1"/>
      <c r="N724" s="1"/>
      <c r="O724" s="1"/>
      <c r="P724" s="1"/>
      <c r="Q724" s="1"/>
      <c r="R724" s="1"/>
      <c r="S724" s="1"/>
      <c r="T724" s="1"/>
      <c r="U724" s="2"/>
      <c r="V724" s="1"/>
      <c r="W724" s="1"/>
      <c r="X724" s="1"/>
      <c r="Y724" s="1"/>
      <c r="Z724" s="1"/>
    </row>
    <row r="725" spans="1:26" ht="24.75" customHeight="1">
      <c r="A725" s="1"/>
      <c r="B725" s="1"/>
      <c r="C725" s="1"/>
      <c r="D725" s="1"/>
      <c r="E725" s="1"/>
      <c r="F725" s="1"/>
      <c r="G725" s="1"/>
      <c r="H725" s="1"/>
      <c r="I725" s="1"/>
      <c r="J725" s="1"/>
      <c r="K725" s="1"/>
      <c r="L725" s="1"/>
      <c r="M725" s="1"/>
      <c r="N725" s="1"/>
      <c r="O725" s="1"/>
      <c r="P725" s="1"/>
      <c r="Q725" s="1"/>
      <c r="R725" s="1"/>
      <c r="S725" s="1"/>
      <c r="T725" s="1"/>
      <c r="U725" s="2"/>
      <c r="V725" s="1"/>
      <c r="W725" s="1"/>
      <c r="X725" s="1"/>
      <c r="Y725" s="1"/>
      <c r="Z725" s="1"/>
    </row>
    <row r="726" spans="1:26" ht="24.75" customHeight="1">
      <c r="A726" s="1"/>
      <c r="B726" s="1"/>
      <c r="C726" s="1"/>
      <c r="D726" s="1"/>
      <c r="E726" s="1"/>
      <c r="F726" s="1"/>
      <c r="G726" s="1"/>
      <c r="H726" s="1"/>
      <c r="I726" s="1"/>
      <c r="J726" s="1"/>
      <c r="K726" s="1"/>
      <c r="L726" s="1"/>
      <c r="M726" s="1"/>
      <c r="N726" s="1"/>
      <c r="O726" s="1"/>
      <c r="P726" s="1"/>
      <c r="Q726" s="1"/>
      <c r="R726" s="1"/>
      <c r="S726" s="1"/>
      <c r="T726" s="1"/>
      <c r="U726" s="2"/>
      <c r="V726" s="1"/>
      <c r="W726" s="1"/>
      <c r="X726" s="1"/>
      <c r="Y726" s="1"/>
      <c r="Z726" s="1"/>
    </row>
    <row r="727" spans="1:26" ht="24.75" customHeight="1">
      <c r="A727" s="1"/>
      <c r="B727" s="1"/>
      <c r="C727" s="1"/>
      <c r="D727" s="1"/>
      <c r="E727" s="1"/>
      <c r="F727" s="1"/>
      <c r="G727" s="1"/>
      <c r="H727" s="1"/>
      <c r="I727" s="1"/>
      <c r="J727" s="1"/>
      <c r="K727" s="1"/>
      <c r="L727" s="1"/>
      <c r="M727" s="1"/>
      <c r="N727" s="1"/>
      <c r="O727" s="1"/>
      <c r="P727" s="1"/>
      <c r="Q727" s="1"/>
      <c r="R727" s="1"/>
      <c r="S727" s="1"/>
      <c r="T727" s="1"/>
      <c r="U727" s="2"/>
      <c r="V727" s="1"/>
      <c r="W727" s="1"/>
      <c r="X727" s="1"/>
      <c r="Y727" s="1"/>
      <c r="Z727" s="1"/>
    </row>
    <row r="728" spans="1:26" ht="24.75" customHeight="1">
      <c r="A728" s="1"/>
      <c r="B728" s="1"/>
      <c r="C728" s="1"/>
      <c r="D728" s="1"/>
      <c r="E728" s="1"/>
      <c r="F728" s="1"/>
      <c r="G728" s="1"/>
      <c r="H728" s="1"/>
      <c r="I728" s="1"/>
      <c r="J728" s="1"/>
      <c r="K728" s="1"/>
      <c r="L728" s="1"/>
      <c r="M728" s="1"/>
      <c r="N728" s="1"/>
      <c r="O728" s="1"/>
      <c r="P728" s="1"/>
      <c r="Q728" s="1"/>
      <c r="R728" s="1"/>
      <c r="S728" s="1"/>
      <c r="T728" s="1"/>
      <c r="U728" s="2"/>
      <c r="V728" s="1"/>
      <c r="W728" s="1"/>
      <c r="X728" s="1"/>
      <c r="Y728" s="1"/>
      <c r="Z728" s="1"/>
    </row>
    <row r="729" spans="1:26" ht="24.75" customHeight="1">
      <c r="A729" s="1"/>
      <c r="B729" s="1"/>
      <c r="C729" s="1"/>
      <c r="D729" s="1"/>
      <c r="E729" s="1"/>
      <c r="F729" s="1"/>
      <c r="G729" s="1"/>
      <c r="H729" s="1"/>
      <c r="I729" s="1"/>
      <c r="J729" s="1"/>
      <c r="K729" s="1"/>
      <c r="L729" s="1"/>
      <c r="M729" s="1"/>
      <c r="N729" s="1"/>
      <c r="O729" s="1"/>
      <c r="P729" s="1"/>
      <c r="Q729" s="1"/>
      <c r="R729" s="1"/>
      <c r="S729" s="1"/>
      <c r="T729" s="1"/>
      <c r="U729" s="2"/>
      <c r="V729" s="1"/>
      <c r="W729" s="1"/>
      <c r="X729" s="1"/>
      <c r="Y729" s="1"/>
      <c r="Z729" s="1"/>
    </row>
    <row r="730" spans="1:26" ht="24.75" customHeight="1">
      <c r="A730" s="1"/>
      <c r="B730" s="1"/>
      <c r="C730" s="1"/>
      <c r="D730" s="1"/>
      <c r="E730" s="1"/>
      <c r="F730" s="1"/>
      <c r="G730" s="1"/>
      <c r="H730" s="1"/>
      <c r="I730" s="1"/>
      <c r="J730" s="1"/>
      <c r="K730" s="1"/>
      <c r="L730" s="1"/>
      <c r="M730" s="1"/>
      <c r="N730" s="1"/>
      <c r="O730" s="1"/>
      <c r="P730" s="1"/>
      <c r="Q730" s="1"/>
      <c r="R730" s="1"/>
      <c r="S730" s="1"/>
      <c r="T730" s="1"/>
      <c r="U730" s="2"/>
      <c r="V730" s="1"/>
      <c r="W730" s="1"/>
      <c r="X730" s="1"/>
      <c r="Y730" s="1"/>
      <c r="Z730" s="1"/>
    </row>
    <row r="731" spans="1:26" ht="24.75" customHeight="1">
      <c r="A731" s="1"/>
      <c r="B731" s="1"/>
      <c r="C731" s="1"/>
      <c r="D731" s="1"/>
      <c r="E731" s="1"/>
      <c r="F731" s="1"/>
      <c r="G731" s="1"/>
      <c r="H731" s="1"/>
      <c r="I731" s="1"/>
      <c r="J731" s="1"/>
      <c r="K731" s="1"/>
      <c r="L731" s="1"/>
      <c r="M731" s="1"/>
      <c r="N731" s="1"/>
      <c r="O731" s="1"/>
      <c r="P731" s="1"/>
      <c r="Q731" s="1"/>
      <c r="R731" s="1"/>
      <c r="S731" s="1"/>
      <c r="T731" s="1"/>
      <c r="U731" s="2"/>
      <c r="V731" s="1"/>
      <c r="W731" s="1"/>
      <c r="X731" s="1"/>
      <c r="Y731" s="1"/>
      <c r="Z731" s="1"/>
    </row>
    <row r="732" spans="1:26" ht="24.75" customHeight="1">
      <c r="A732" s="1"/>
      <c r="B732" s="1"/>
      <c r="C732" s="1"/>
      <c r="D732" s="1"/>
      <c r="E732" s="1"/>
      <c r="F732" s="1"/>
      <c r="G732" s="1"/>
      <c r="H732" s="1"/>
      <c r="I732" s="1"/>
      <c r="J732" s="1"/>
      <c r="K732" s="1"/>
      <c r="L732" s="1"/>
      <c r="M732" s="1"/>
      <c r="N732" s="1"/>
      <c r="O732" s="1"/>
      <c r="P732" s="1"/>
      <c r="Q732" s="1"/>
      <c r="R732" s="1"/>
      <c r="S732" s="1"/>
      <c r="T732" s="1"/>
      <c r="U732" s="2"/>
      <c r="V732" s="1"/>
      <c r="W732" s="1"/>
      <c r="X732" s="1"/>
      <c r="Y732" s="1"/>
      <c r="Z732" s="1"/>
    </row>
    <row r="733" spans="1:26" ht="24.75" customHeight="1">
      <c r="A733" s="1"/>
      <c r="B733" s="1"/>
      <c r="C733" s="1"/>
      <c r="D733" s="1"/>
      <c r="E733" s="1"/>
      <c r="F733" s="1"/>
      <c r="G733" s="1"/>
      <c r="H733" s="1"/>
      <c r="I733" s="1"/>
      <c r="J733" s="1"/>
      <c r="K733" s="1"/>
      <c r="L733" s="1"/>
      <c r="M733" s="1"/>
      <c r="N733" s="1"/>
      <c r="O733" s="1"/>
      <c r="P733" s="1"/>
      <c r="Q733" s="1"/>
      <c r="R733" s="1"/>
      <c r="S733" s="1"/>
      <c r="T733" s="1"/>
      <c r="U733" s="2"/>
      <c r="V733" s="1"/>
      <c r="W733" s="1"/>
      <c r="X733" s="1"/>
      <c r="Y733" s="1"/>
      <c r="Z733" s="1"/>
    </row>
    <row r="734" spans="1:26" ht="24.75" customHeight="1">
      <c r="A734" s="1"/>
      <c r="B734" s="1"/>
      <c r="C734" s="1"/>
      <c r="D734" s="1"/>
      <c r="E734" s="1"/>
      <c r="F734" s="1"/>
      <c r="G734" s="1"/>
      <c r="H734" s="1"/>
      <c r="I734" s="1"/>
      <c r="J734" s="1"/>
      <c r="K734" s="1"/>
      <c r="L734" s="1"/>
      <c r="M734" s="1"/>
      <c r="N734" s="1"/>
      <c r="O734" s="1"/>
      <c r="P734" s="1"/>
      <c r="Q734" s="1"/>
      <c r="R734" s="1"/>
      <c r="S734" s="1"/>
      <c r="T734" s="1"/>
      <c r="U734" s="2"/>
      <c r="V734" s="1"/>
      <c r="W734" s="1"/>
      <c r="X734" s="1"/>
      <c r="Y734" s="1"/>
      <c r="Z734" s="1"/>
    </row>
    <row r="735" spans="1:26" ht="24.75" customHeight="1">
      <c r="A735" s="1"/>
      <c r="B735" s="1"/>
      <c r="C735" s="1"/>
      <c r="D735" s="1"/>
      <c r="E735" s="1"/>
      <c r="F735" s="1"/>
      <c r="G735" s="1"/>
      <c r="H735" s="1"/>
      <c r="I735" s="1"/>
      <c r="J735" s="1"/>
      <c r="K735" s="1"/>
      <c r="L735" s="1"/>
      <c r="M735" s="1"/>
      <c r="N735" s="1"/>
      <c r="O735" s="1"/>
      <c r="P735" s="1"/>
      <c r="Q735" s="1"/>
      <c r="R735" s="1"/>
      <c r="S735" s="1"/>
      <c r="T735" s="1"/>
      <c r="U735" s="2"/>
      <c r="V735" s="1"/>
      <c r="W735" s="1"/>
      <c r="X735" s="1"/>
      <c r="Y735" s="1"/>
      <c r="Z735" s="1"/>
    </row>
    <row r="736" spans="1:26" ht="24.75" customHeight="1">
      <c r="A736" s="1"/>
      <c r="B736" s="1"/>
      <c r="C736" s="1"/>
      <c r="D736" s="1"/>
      <c r="E736" s="1"/>
      <c r="F736" s="1"/>
      <c r="G736" s="1"/>
      <c r="H736" s="1"/>
      <c r="I736" s="1"/>
      <c r="J736" s="1"/>
      <c r="K736" s="1"/>
      <c r="L736" s="1"/>
      <c r="M736" s="1"/>
      <c r="N736" s="1"/>
      <c r="O736" s="1"/>
      <c r="P736" s="1"/>
      <c r="Q736" s="1"/>
      <c r="R736" s="1"/>
      <c r="S736" s="1"/>
      <c r="T736" s="1"/>
      <c r="U736" s="2"/>
      <c r="V736" s="1"/>
      <c r="W736" s="1"/>
      <c r="X736" s="1"/>
      <c r="Y736" s="1"/>
      <c r="Z736" s="1"/>
    </row>
    <row r="737" spans="1:26" ht="24.75" customHeight="1">
      <c r="A737" s="1"/>
      <c r="B737" s="1"/>
      <c r="C737" s="1"/>
      <c r="D737" s="1"/>
      <c r="E737" s="1"/>
      <c r="F737" s="1"/>
      <c r="G737" s="1"/>
      <c r="H737" s="1"/>
      <c r="I737" s="1"/>
      <c r="J737" s="1"/>
      <c r="K737" s="1"/>
      <c r="L737" s="1"/>
      <c r="M737" s="1"/>
      <c r="N737" s="1"/>
      <c r="O737" s="1"/>
      <c r="P737" s="1"/>
      <c r="Q737" s="1"/>
      <c r="R737" s="1"/>
      <c r="S737" s="1"/>
      <c r="T737" s="1"/>
      <c r="U737" s="2"/>
      <c r="V737" s="1"/>
      <c r="W737" s="1"/>
      <c r="X737" s="1"/>
      <c r="Y737" s="1"/>
      <c r="Z737" s="1"/>
    </row>
    <row r="738" spans="1:26" ht="24.75" customHeight="1">
      <c r="A738" s="1"/>
      <c r="B738" s="1"/>
      <c r="C738" s="1"/>
      <c r="D738" s="1"/>
      <c r="E738" s="1"/>
      <c r="F738" s="1"/>
      <c r="G738" s="1"/>
      <c r="H738" s="1"/>
      <c r="I738" s="1"/>
      <c r="J738" s="1"/>
      <c r="K738" s="1"/>
      <c r="L738" s="1"/>
      <c r="M738" s="1"/>
      <c r="N738" s="1"/>
      <c r="O738" s="1"/>
      <c r="P738" s="1"/>
      <c r="Q738" s="1"/>
      <c r="R738" s="1"/>
      <c r="S738" s="1"/>
      <c r="T738" s="1"/>
      <c r="U738" s="2"/>
      <c r="V738" s="1"/>
      <c r="W738" s="1"/>
      <c r="X738" s="1"/>
      <c r="Y738" s="1"/>
      <c r="Z738" s="1"/>
    </row>
    <row r="739" spans="1:26" ht="24.75" customHeight="1">
      <c r="A739" s="1"/>
      <c r="B739" s="1"/>
      <c r="C739" s="1"/>
      <c r="D739" s="1"/>
      <c r="E739" s="1"/>
      <c r="F739" s="1"/>
      <c r="G739" s="1"/>
      <c r="H739" s="1"/>
      <c r="I739" s="1"/>
      <c r="J739" s="1"/>
      <c r="K739" s="1"/>
      <c r="L739" s="1"/>
      <c r="M739" s="1"/>
      <c r="N739" s="1"/>
      <c r="O739" s="1"/>
      <c r="P739" s="1"/>
      <c r="Q739" s="1"/>
      <c r="R739" s="1"/>
      <c r="S739" s="1"/>
      <c r="T739" s="1"/>
      <c r="U739" s="2"/>
      <c r="V739" s="1"/>
      <c r="W739" s="1"/>
      <c r="X739" s="1"/>
      <c r="Y739" s="1"/>
      <c r="Z739" s="1"/>
    </row>
    <row r="740" spans="1:26" ht="24.75" customHeight="1">
      <c r="A740" s="1"/>
      <c r="B740" s="1"/>
      <c r="C740" s="1"/>
      <c r="D740" s="1"/>
      <c r="E740" s="1"/>
      <c r="F740" s="1"/>
      <c r="G740" s="1"/>
      <c r="H740" s="1"/>
      <c r="I740" s="1"/>
      <c r="J740" s="1"/>
      <c r="K740" s="1"/>
      <c r="L740" s="1"/>
      <c r="M740" s="1"/>
      <c r="N740" s="1"/>
      <c r="O740" s="1"/>
      <c r="P740" s="1"/>
      <c r="Q740" s="1"/>
      <c r="R740" s="1"/>
      <c r="S740" s="1"/>
      <c r="T740" s="1"/>
      <c r="U740" s="2"/>
      <c r="V740" s="1"/>
      <c r="W740" s="1"/>
      <c r="X740" s="1"/>
      <c r="Y740" s="1"/>
      <c r="Z740" s="1"/>
    </row>
    <row r="741" spans="1:26" ht="24.75" customHeight="1">
      <c r="A741" s="1"/>
      <c r="B741" s="1"/>
      <c r="C741" s="1"/>
      <c r="D741" s="1"/>
      <c r="E741" s="1"/>
      <c r="F741" s="1"/>
      <c r="G741" s="1"/>
      <c r="H741" s="1"/>
      <c r="I741" s="1"/>
      <c r="J741" s="1"/>
      <c r="K741" s="1"/>
      <c r="L741" s="1"/>
      <c r="M741" s="1"/>
      <c r="N741" s="1"/>
      <c r="O741" s="1"/>
      <c r="P741" s="1"/>
      <c r="Q741" s="1"/>
      <c r="R741" s="1"/>
      <c r="S741" s="1"/>
      <c r="T741" s="1"/>
      <c r="U741" s="2"/>
      <c r="V741" s="1"/>
      <c r="W741" s="1"/>
      <c r="X741" s="1"/>
      <c r="Y741" s="1"/>
      <c r="Z741" s="1"/>
    </row>
    <row r="742" spans="1:26" ht="24.75" customHeight="1">
      <c r="A742" s="1"/>
      <c r="B742" s="1"/>
      <c r="C742" s="1"/>
      <c r="D742" s="1"/>
      <c r="E742" s="1"/>
      <c r="F742" s="1"/>
      <c r="G742" s="1"/>
      <c r="H742" s="1"/>
      <c r="I742" s="1"/>
      <c r="J742" s="1"/>
      <c r="K742" s="1"/>
      <c r="L742" s="1"/>
      <c r="M742" s="1"/>
      <c r="N742" s="1"/>
      <c r="O742" s="1"/>
      <c r="P742" s="1"/>
      <c r="Q742" s="1"/>
      <c r="R742" s="1"/>
      <c r="S742" s="1"/>
      <c r="T742" s="1"/>
      <c r="U742" s="2"/>
      <c r="V742" s="1"/>
      <c r="W742" s="1"/>
      <c r="X742" s="1"/>
      <c r="Y742" s="1"/>
      <c r="Z742" s="1"/>
    </row>
    <row r="743" spans="1:26" ht="24.75" customHeight="1">
      <c r="A743" s="1"/>
      <c r="B743" s="1"/>
      <c r="C743" s="1"/>
      <c r="D743" s="1"/>
      <c r="E743" s="1"/>
      <c r="F743" s="1"/>
      <c r="G743" s="1"/>
      <c r="H743" s="1"/>
      <c r="I743" s="1"/>
      <c r="J743" s="1"/>
      <c r="K743" s="1"/>
      <c r="L743" s="1"/>
      <c r="M743" s="1"/>
      <c r="N743" s="1"/>
      <c r="O743" s="1"/>
      <c r="P743" s="1"/>
      <c r="Q743" s="1"/>
      <c r="R743" s="1"/>
      <c r="S743" s="1"/>
      <c r="T743" s="1"/>
      <c r="U743" s="2"/>
      <c r="V743" s="1"/>
      <c r="W743" s="1"/>
      <c r="X743" s="1"/>
      <c r="Y743" s="1"/>
      <c r="Z743" s="1"/>
    </row>
    <row r="744" spans="1:26" ht="24.75" customHeight="1">
      <c r="A744" s="1"/>
      <c r="B744" s="1"/>
      <c r="C744" s="1"/>
      <c r="D744" s="1"/>
      <c r="E744" s="1"/>
      <c r="F744" s="1"/>
      <c r="G744" s="1"/>
      <c r="H744" s="1"/>
      <c r="I744" s="1"/>
      <c r="J744" s="1"/>
      <c r="K744" s="1"/>
      <c r="L744" s="1"/>
      <c r="M744" s="1"/>
      <c r="N744" s="1"/>
      <c r="O744" s="1"/>
      <c r="P744" s="1"/>
      <c r="Q744" s="1"/>
      <c r="R744" s="1"/>
      <c r="S744" s="1"/>
      <c r="T744" s="1"/>
      <c r="U744" s="2"/>
      <c r="V744" s="1"/>
      <c r="W744" s="1"/>
      <c r="X744" s="1"/>
      <c r="Y744" s="1"/>
      <c r="Z744" s="1"/>
    </row>
    <row r="745" spans="1:26" ht="24.75" customHeight="1">
      <c r="A745" s="1"/>
      <c r="B745" s="1"/>
      <c r="C745" s="1"/>
      <c r="D745" s="1"/>
      <c r="E745" s="1"/>
      <c r="F745" s="1"/>
      <c r="G745" s="1"/>
      <c r="H745" s="1"/>
      <c r="I745" s="1"/>
      <c r="J745" s="1"/>
      <c r="K745" s="1"/>
      <c r="L745" s="1"/>
      <c r="M745" s="1"/>
      <c r="N745" s="1"/>
      <c r="O745" s="1"/>
      <c r="P745" s="1"/>
      <c r="Q745" s="1"/>
      <c r="R745" s="1"/>
      <c r="S745" s="1"/>
      <c r="T745" s="1"/>
      <c r="U745" s="2"/>
      <c r="V745" s="1"/>
      <c r="W745" s="1"/>
      <c r="X745" s="1"/>
      <c r="Y745" s="1"/>
      <c r="Z745" s="1"/>
    </row>
    <row r="746" spans="1:26" ht="24.75" customHeight="1">
      <c r="A746" s="1"/>
      <c r="B746" s="1"/>
      <c r="C746" s="1"/>
      <c r="D746" s="1"/>
      <c r="E746" s="1"/>
      <c r="F746" s="1"/>
      <c r="G746" s="1"/>
      <c r="H746" s="1"/>
      <c r="I746" s="1"/>
      <c r="J746" s="1"/>
      <c r="K746" s="1"/>
      <c r="L746" s="1"/>
      <c r="M746" s="1"/>
      <c r="N746" s="1"/>
      <c r="O746" s="1"/>
      <c r="P746" s="1"/>
      <c r="Q746" s="1"/>
      <c r="R746" s="1"/>
      <c r="S746" s="1"/>
      <c r="T746" s="1"/>
      <c r="U746" s="2"/>
      <c r="V746" s="1"/>
      <c r="W746" s="1"/>
      <c r="X746" s="1"/>
      <c r="Y746" s="1"/>
      <c r="Z746" s="1"/>
    </row>
    <row r="747" spans="1:26" ht="24.75" customHeight="1">
      <c r="A747" s="1"/>
      <c r="B747" s="1"/>
      <c r="C747" s="1"/>
      <c r="D747" s="1"/>
      <c r="E747" s="1"/>
      <c r="F747" s="1"/>
      <c r="G747" s="1"/>
      <c r="H747" s="1"/>
      <c r="I747" s="1"/>
      <c r="J747" s="1"/>
      <c r="K747" s="1"/>
      <c r="L747" s="1"/>
      <c r="M747" s="1"/>
      <c r="N747" s="1"/>
      <c r="O747" s="1"/>
      <c r="P747" s="1"/>
      <c r="Q747" s="1"/>
      <c r="R747" s="1"/>
      <c r="S747" s="1"/>
      <c r="T747" s="1"/>
      <c r="U747" s="2"/>
      <c r="V747" s="1"/>
      <c r="W747" s="1"/>
      <c r="X747" s="1"/>
      <c r="Y747" s="1"/>
      <c r="Z747" s="1"/>
    </row>
    <row r="748" spans="1:26" ht="24.75" customHeight="1">
      <c r="A748" s="1"/>
      <c r="B748" s="1"/>
      <c r="C748" s="1"/>
      <c r="D748" s="1"/>
      <c r="E748" s="1"/>
      <c r="F748" s="1"/>
      <c r="G748" s="1"/>
      <c r="H748" s="1"/>
      <c r="I748" s="1"/>
      <c r="J748" s="1"/>
      <c r="K748" s="1"/>
      <c r="L748" s="1"/>
      <c r="M748" s="1"/>
      <c r="N748" s="1"/>
      <c r="O748" s="1"/>
      <c r="P748" s="1"/>
      <c r="Q748" s="1"/>
      <c r="R748" s="1"/>
      <c r="S748" s="1"/>
      <c r="T748" s="1"/>
      <c r="U748" s="2"/>
      <c r="V748" s="1"/>
      <c r="W748" s="1"/>
      <c r="X748" s="1"/>
      <c r="Y748" s="1"/>
      <c r="Z748" s="1"/>
    </row>
    <row r="749" spans="1:26" ht="24.75" customHeight="1">
      <c r="A749" s="1"/>
      <c r="B749" s="1"/>
      <c r="C749" s="1"/>
      <c r="D749" s="1"/>
      <c r="E749" s="1"/>
      <c r="F749" s="1"/>
      <c r="G749" s="1"/>
      <c r="H749" s="1"/>
      <c r="I749" s="1"/>
      <c r="J749" s="1"/>
      <c r="K749" s="1"/>
      <c r="L749" s="1"/>
      <c r="M749" s="1"/>
      <c r="N749" s="1"/>
      <c r="O749" s="1"/>
      <c r="P749" s="1"/>
      <c r="Q749" s="1"/>
      <c r="R749" s="1"/>
      <c r="S749" s="1"/>
      <c r="T749" s="1"/>
      <c r="U749" s="2"/>
      <c r="V749" s="1"/>
      <c r="W749" s="1"/>
      <c r="X749" s="1"/>
      <c r="Y749" s="1"/>
      <c r="Z749" s="1"/>
    </row>
    <row r="750" spans="1:26" ht="24.75" customHeight="1">
      <c r="A750" s="1"/>
      <c r="B750" s="1"/>
      <c r="C750" s="1"/>
      <c r="D750" s="1"/>
      <c r="E750" s="1"/>
      <c r="F750" s="1"/>
      <c r="G750" s="1"/>
      <c r="H750" s="1"/>
      <c r="I750" s="1"/>
      <c r="J750" s="1"/>
      <c r="K750" s="1"/>
      <c r="L750" s="1"/>
      <c r="M750" s="1"/>
      <c r="N750" s="1"/>
      <c r="O750" s="1"/>
      <c r="P750" s="1"/>
      <c r="Q750" s="1"/>
      <c r="R750" s="1"/>
      <c r="S750" s="1"/>
      <c r="T750" s="1"/>
      <c r="U750" s="2"/>
      <c r="V750" s="1"/>
      <c r="W750" s="1"/>
      <c r="X750" s="1"/>
      <c r="Y750" s="1"/>
      <c r="Z750" s="1"/>
    </row>
    <row r="751" spans="1:26" ht="24.75" customHeight="1">
      <c r="A751" s="1"/>
      <c r="B751" s="1"/>
      <c r="C751" s="1"/>
      <c r="D751" s="1"/>
      <c r="E751" s="1"/>
      <c r="F751" s="1"/>
      <c r="G751" s="1"/>
      <c r="H751" s="1"/>
      <c r="I751" s="1"/>
      <c r="J751" s="1"/>
      <c r="K751" s="1"/>
      <c r="L751" s="1"/>
      <c r="M751" s="1"/>
      <c r="N751" s="1"/>
      <c r="O751" s="1"/>
      <c r="P751" s="1"/>
      <c r="Q751" s="1"/>
      <c r="R751" s="1"/>
      <c r="S751" s="1"/>
      <c r="T751" s="1"/>
      <c r="U751" s="2"/>
      <c r="V751" s="1"/>
      <c r="W751" s="1"/>
      <c r="X751" s="1"/>
      <c r="Y751" s="1"/>
      <c r="Z751" s="1"/>
    </row>
    <row r="752" spans="1:26" ht="24.75" customHeight="1">
      <c r="A752" s="1"/>
      <c r="B752" s="1"/>
      <c r="C752" s="1"/>
      <c r="D752" s="1"/>
      <c r="E752" s="1"/>
      <c r="F752" s="1"/>
      <c r="G752" s="1"/>
      <c r="H752" s="1"/>
      <c r="I752" s="1"/>
      <c r="J752" s="1"/>
      <c r="K752" s="1"/>
      <c r="L752" s="1"/>
      <c r="M752" s="1"/>
      <c r="N752" s="1"/>
      <c r="O752" s="1"/>
      <c r="P752" s="1"/>
      <c r="Q752" s="1"/>
      <c r="R752" s="1"/>
      <c r="S752" s="1"/>
      <c r="T752" s="1"/>
      <c r="U752" s="2"/>
      <c r="V752" s="1"/>
      <c r="W752" s="1"/>
      <c r="X752" s="1"/>
      <c r="Y752" s="1"/>
      <c r="Z752" s="1"/>
    </row>
    <row r="753" spans="1:26" ht="24.75" customHeight="1">
      <c r="A753" s="1"/>
      <c r="B753" s="1"/>
      <c r="C753" s="1"/>
      <c r="D753" s="1"/>
      <c r="E753" s="1"/>
      <c r="F753" s="1"/>
      <c r="G753" s="1"/>
      <c r="H753" s="1"/>
      <c r="I753" s="1"/>
      <c r="J753" s="1"/>
      <c r="K753" s="1"/>
      <c r="L753" s="1"/>
      <c r="M753" s="1"/>
      <c r="N753" s="1"/>
      <c r="O753" s="1"/>
      <c r="P753" s="1"/>
      <c r="Q753" s="1"/>
      <c r="R753" s="1"/>
      <c r="S753" s="1"/>
      <c r="T753" s="1"/>
      <c r="U753" s="2"/>
      <c r="V753" s="1"/>
      <c r="W753" s="1"/>
      <c r="X753" s="1"/>
      <c r="Y753" s="1"/>
      <c r="Z753" s="1"/>
    </row>
    <row r="754" spans="1:26" ht="24.75" customHeight="1">
      <c r="A754" s="1"/>
      <c r="B754" s="1"/>
      <c r="C754" s="1"/>
      <c r="D754" s="1"/>
      <c r="E754" s="1"/>
      <c r="F754" s="1"/>
      <c r="G754" s="1"/>
      <c r="H754" s="1"/>
      <c r="I754" s="1"/>
      <c r="J754" s="1"/>
      <c r="K754" s="1"/>
      <c r="L754" s="1"/>
      <c r="M754" s="1"/>
      <c r="N754" s="1"/>
      <c r="O754" s="1"/>
      <c r="P754" s="1"/>
      <c r="Q754" s="1"/>
      <c r="R754" s="1"/>
      <c r="S754" s="1"/>
      <c r="T754" s="1"/>
      <c r="U754" s="2"/>
      <c r="V754" s="1"/>
      <c r="W754" s="1"/>
      <c r="X754" s="1"/>
      <c r="Y754" s="1"/>
      <c r="Z754" s="1"/>
    </row>
    <row r="755" spans="1:26" ht="24.75" customHeight="1">
      <c r="A755" s="1"/>
      <c r="B755" s="1"/>
      <c r="C755" s="1"/>
      <c r="D755" s="1"/>
      <c r="E755" s="1"/>
      <c r="F755" s="1"/>
      <c r="G755" s="1"/>
      <c r="H755" s="1"/>
      <c r="I755" s="1"/>
      <c r="J755" s="1"/>
      <c r="K755" s="1"/>
      <c r="L755" s="1"/>
      <c r="M755" s="1"/>
      <c r="N755" s="1"/>
      <c r="O755" s="1"/>
      <c r="P755" s="1"/>
      <c r="Q755" s="1"/>
      <c r="R755" s="1"/>
      <c r="S755" s="1"/>
      <c r="T755" s="1"/>
      <c r="U755" s="2"/>
      <c r="V755" s="1"/>
      <c r="W755" s="1"/>
      <c r="X755" s="1"/>
      <c r="Y755" s="1"/>
      <c r="Z755" s="1"/>
    </row>
    <row r="756" spans="1:26" ht="24.75" customHeight="1">
      <c r="A756" s="1"/>
      <c r="B756" s="1"/>
      <c r="C756" s="1"/>
      <c r="D756" s="1"/>
      <c r="E756" s="1"/>
      <c r="F756" s="1"/>
      <c r="G756" s="1"/>
      <c r="H756" s="1"/>
      <c r="I756" s="1"/>
      <c r="J756" s="1"/>
      <c r="K756" s="1"/>
      <c r="L756" s="1"/>
      <c r="M756" s="1"/>
      <c r="N756" s="1"/>
      <c r="O756" s="1"/>
      <c r="P756" s="1"/>
      <c r="Q756" s="1"/>
      <c r="R756" s="1"/>
      <c r="S756" s="1"/>
      <c r="T756" s="1"/>
      <c r="U756" s="2"/>
      <c r="V756" s="1"/>
      <c r="W756" s="1"/>
      <c r="X756" s="1"/>
      <c r="Y756" s="1"/>
      <c r="Z756" s="1"/>
    </row>
    <row r="757" spans="1:26" ht="24.75" customHeight="1">
      <c r="A757" s="1"/>
      <c r="B757" s="1"/>
      <c r="C757" s="1"/>
      <c r="D757" s="1"/>
      <c r="E757" s="1"/>
      <c r="F757" s="1"/>
      <c r="G757" s="1"/>
      <c r="H757" s="1"/>
      <c r="I757" s="1"/>
      <c r="J757" s="1"/>
      <c r="K757" s="1"/>
      <c r="L757" s="1"/>
      <c r="M757" s="1"/>
      <c r="N757" s="1"/>
      <c r="O757" s="1"/>
      <c r="P757" s="1"/>
      <c r="Q757" s="1"/>
      <c r="R757" s="1"/>
      <c r="S757" s="1"/>
      <c r="T757" s="1"/>
      <c r="U757" s="2"/>
      <c r="V757" s="1"/>
      <c r="W757" s="1"/>
      <c r="X757" s="1"/>
      <c r="Y757" s="1"/>
      <c r="Z757" s="1"/>
    </row>
    <row r="758" spans="1:26" ht="24.75" customHeight="1">
      <c r="A758" s="1"/>
      <c r="B758" s="1"/>
      <c r="C758" s="1"/>
      <c r="D758" s="1"/>
      <c r="E758" s="1"/>
      <c r="F758" s="1"/>
      <c r="G758" s="1"/>
      <c r="H758" s="1"/>
      <c r="I758" s="1"/>
      <c r="J758" s="1"/>
      <c r="K758" s="1"/>
      <c r="L758" s="1"/>
      <c r="M758" s="1"/>
      <c r="N758" s="1"/>
      <c r="O758" s="1"/>
      <c r="P758" s="1"/>
      <c r="Q758" s="1"/>
      <c r="R758" s="1"/>
      <c r="S758" s="1"/>
      <c r="T758" s="1"/>
      <c r="U758" s="2"/>
      <c r="V758" s="1"/>
      <c r="W758" s="1"/>
      <c r="X758" s="1"/>
      <c r="Y758" s="1"/>
      <c r="Z758" s="1"/>
    </row>
    <row r="759" spans="1:26" ht="24.75" customHeight="1">
      <c r="A759" s="1"/>
      <c r="B759" s="1"/>
      <c r="C759" s="1"/>
      <c r="D759" s="1"/>
      <c r="E759" s="1"/>
      <c r="F759" s="1"/>
      <c r="G759" s="1"/>
      <c r="H759" s="1"/>
      <c r="I759" s="1"/>
      <c r="J759" s="1"/>
      <c r="K759" s="1"/>
      <c r="L759" s="1"/>
      <c r="M759" s="1"/>
      <c r="N759" s="1"/>
      <c r="O759" s="1"/>
      <c r="P759" s="1"/>
      <c r="Q759" s="1"/>
      <c r="R759" s="1"/>
      <c r="S759" s="1"/>
      <c r="T759" s="1"/>
      <c r="U759" s="2"/>
      <c r="V759" s="1"/>
      <c r="W759" s="1"/>
      <c r="X759" s="1"/>
      <c r="Y759" s="1"/>
      <c r="Z759" s="1"/>
    </row>
    <row r="760" spans="1:26" ht="24.75" customHeight="1">
      <c r="A760" s="1"/>
      <c r="B760" s="1"/>
      <c r="C760" s="1"/>
      <c r="D760" s="1"/>
      <c r="E760" s="1"/>
      <c r="F760" s="1"/>
      <c r="G760" s="1"/>
      <c r="H760" s="1"/>
      <c r="I760" s="1"/>
      <c r="J760" s="1"/>
      <c r="K760" s="1"/>
      <c r="L760" s="1"/>
      <c r="M760" s="1"/>
      <c r="N760" s="1"/>
      <c r="O760" s="1"/>
      <c r="P760" s="1"/>
      <c r="Q760" s="1"/>
      <c r="R760" s="1"/>
      <c r="S760" s="1"/>
      <c r="T760" s="1"/>
      <c r="U760" s="2"/>
      <c r="V760" s="1"/>
      <c r="W760" s="1"/>
      <c r="X760" s="1"/>
      <c r="Y760" s="1"/>
      <c r="Z760" s="1"/>
    </row>
    <row r="761" spans="1:26" ht="24.75" customHeight="1">
      <c r="A761" s="1"/>
      <c r="B761" s="1"/>
      <c r="C761" s="1"/>
      <c r="D761" s="1"/>
      <c r="E761" s="1"/>
      <c r="F761" s="1"/>
      <c r="G761" s="1"/>
      <c r="H761" s="1"/>
      <c r="I761" s="1"/>
      <c r="J761" s="1"/>
      <c r="K761" s="1"/>
      <c r="L761" s="1"/>
      <c r="M761" s="1"/>
      <c r="N761" s="1"/>
      <c r="O761" s="1"/>
      <c r="P761" s="1"/>
      <c r="Q761" s="1"/>
      <c r="R761" s="1"/>
      <c r="S761" s="1"/>
      <c r="T761" s="1"/>
      <c r="U761" s="2"/>
      <c r="V761" s="1"/>
      <c r="W761" s="1"/>
      <c r="X761" s="1"/>
      <c r="Y761" s="1"/>
      <c r="Z761" s="1"/>
    </row>
    <row r="762" spans="1:26" ht="24.75" customHeight="1">
      <c r="A762" s="1"/>
      <c r="B762" s="1"/>
      <c r="C762" s="1"/>
      <c r="D762" s="1"/>
      <c r="E762" s="1"/>
      <c r="F762" s="1"/>
      <c r="G762" s="1"/>
      <c r="H762" s="1"/>
      <c r="I762" s="1"/>
      <c r="J762" s="1"/>
      <c r="K762" s="1"/>
      <c r="L762" s="1"/>
      <c r="M762" s="1"/>
      <c r="N762" s="1"/>
      <c r="O762" s="1"/>
      <c r="P762" s="1"/>
      <c r="Q762" s="1"/>
      <c r="R762" s="1"/>
      <c r="S762" s="1"/>
      <c r="T762" s="1"/>
      <c r="U762" s="2"/>
      <c r="V762" s="1"/>
      <c r="W762" s="1"/>
      <c r="X762" s="1"/>
      <c r="Y762" s="1"/>
      <c r="Z762" s="1"/>
    </row>
    <row r="763" spans="1:26" ht="24.75" customHeight="1">
      <c r="A763" s="1"/>
      <c r="B763" s="1"/>
      <c r="C763" s="1"/>
      <c r="D763" s="1"/>
      <c r="E763" s="1"/>
      <c r="F763" s="1"/>
      <c r="G763" s="1"/>
      <c r="H763" s="1"/>
      <c r="I763" s="1"/>
      <c r="J763" s="1"/>
      <c r="K763" s="1"/>
      <c r="L763" s="1"/>
      <c r="M763" s="1"/>
      <c r="N763" s="1"/>
      <c r="O763" s="1"/>
      <c r="P763" s="1"/>
      <c r="Q763" s="1"/>
      <c r="R763" s="1"/>
      <c r="S763" s="1"/>
      <c r="T763" s="1"/>
      <c r="U763" s="2"/>
      <c r="V763" s="1"/>
      <c r="W763" s="1"/>
      <c r="X763" s="1"/>
      <c r="Y763" s="1"/>
      <c r="Z763" s="1"/>
    </row>
    <row r="764" spans="1:26" ht="24.75" customHeight="1">
      <c r="A764" s="1"/>
      <c r="B764" s="1"/>
      <c r="C764" s="1"/>
      <c r="D764" s="1"/>
      <c r="E764" s="1"/>
      <c r="F764" s="1"/>
      <c r="G764" s="1"/>
      <c r="H764" s="1"/>
      <c r="I764" s="1"/>
      <c r="J764" s="1"/>
      <c r="K764" s="1"/>
      <c r="L764" s="1"/>
      <c r="M764" s="1"/>
      <c r="N764" s="1"/>
      <c r="O764" s="1"/>
      <c r="P764" s="1"/>
      <c r="Q764" s="1"/>
      <c r="R764" s="1"/>
      <c r="S764" s="1"/>
      <c r="T764" s="1"/>
      <c r="U764" s="2"/>
      <c r="V764" s="1"/>
      <c r="W764" s="1"/>
      <c r="X764" s="1"/>
      <c r="Y764" s="1"/>
      <c r="Z764" s="1"/>
    </row>
    <row r="765" spans="1:26" ht="24.75" customHeight="1">
      <c r="A765" s="1"/>
      <c r="B765" s="1"/>
      <c r="C765" s="1"/>
      <c r="D765" s="1"/>
      <c r="E765" s="1"/>
      <c r="F765" s="1"/>
      <c r="G765" s="1"/>
      <c r="H765" s="1"/>
      <c r="I765" s="1"/>
      <c r="J765" s="1"/>
      <c r="K765" s="1"/>
      <c r="L765" s="1"/>
      <c r="M765" s="1"/>
      <c r="N765" s="1"/>
      <c r="O765" s="1"/>
      <c r="P765" s="1"/>
      <c r="Q765" s="1"/>
      <c r="R765" s="1"/>
      <c r="S765" s="1"/>
      <c r="T765" s="1"/>
      <c r="U765" s="2"/>
      <c r="V765" s="1"/>
      <c r="W765" s="1"/>
      <c r="X765" s="1"/>
      <c r="Y765" s="1"/>
      <c r="Z765" s="1"/>
    </row>
    <row r="766" spans="1:26" ht="24.75" customHeight="1">
      <c r="A766" s="1"/>
      <c r="B766" s="1"/>
      <c r="C766" s="1"/>
      <c r="D766" s="1"/>
      <c r="E766" s="1"/>
      <c r="F766" s="1"/>
      <c r="G766" s="1"/>
      <c r="H766" s="1"/>
      <c r="I766" s="1"/>
      <c r="J766" s="1"/>
      <c r="K766" s="1"/>
      <c r="L766" s="1"/>
      <c r="M766" s="1"/>
      <c r="N766" s="1"/>
      <c r="O766" s="1"/>
      <c r="P766" s="1"/>
      <c r="Q766" s="1"/>
      <c r="R766" s="1"/>
      <c r="S766" s="1"/>
      <c r="T766" s="1"/>
      <c r="U766" s="2"/>
      <c r="V766" s="1"/>
      <c r="W766" s="1"/>
      <c r="X766" s="1"/>
      <c r="Y766" s="1"/>
      <c r="Z766" s="1"/>
    </row>
    <row r="767" spans="1:26" ht="24.75" customHeight="1">
      <c r="A767" s="1"/>
      <c r="B767" s="1"/>
      <c r="C767" s="1"/>
      <c r="D767" s="1"/>
      <c r="E767" s="1"/>
      <c r="F767" s="1"/>
      <c r="G767" s="1"/>
      <c r="H767" s="1"/>
      <c r="I767" s="1"/>
      <c r="J767" s="1"/>
      <c r="K767" s="1"/>
      <c r="L767" s="1"/>
      <c r="M767" s="1"/>
      <c r="N767" s="1"/>
      <c r="O767" s="1"/>
      <c r="P767" s="1"/>
      <c r="Q767" s="1"/>
      <c r="R767" s="1"/>
      <c r="S767" s="1"/>
      <c r="T767" s="1"/>
      <c r="U767" s="2"/>
      <c r="V767" s="1"/>
      <c r="W767" s="1"/>
      <c r="X767" s="1"/>
      <c r="Y767" s="1"/>
      <c r="Z767" s="1"/>
    </row>
    <row r="768" spans="1:26" ht="24.75" customHeight="1">
      <c r="A768" s="1"/>
      <c r="B768" s="1"/>
      <c r="C768" s="1"/>
      <c r="D768" s="1"/>
      <c r="E768" s="1"/>
      <c r="F768" s="1"/>
      <c r="G768" s="1"/>
      <c r="H768" s="1"/>
      <c r="I768" s="1"/>
      <c r="J768" s="1"/>
      <c r="K768" s="1"/>
      <c r="L768" s="1"/>
      <c r="M768" s="1"/>
      <c r="N768" s="1"/>
      <c r="O768" s="1"/>
      <c r="P768" s="1"/>
      <c r="Q768" s="1"/>
      <c r="R768" s="1"/>
      <c r="S768" s="1"/>
      <c r="T768" s="1"/>
      <c r="U768" s="2"/>
      <c r="V768" s="1"/>
      <c r="W768" s="1"/>
      <c r="X768" s="1"/>
      <c r="Y768" s="1"/>
      <c r="Z768" s="1"/>
    </row>
    <row r="769" spans="1:26" ht="24.75" customHeight="1">
      <c r="A769" s="1"/>
      <c r="B769" s="1"/>
      <c r="C769" s="1"/>
      <c r="D769" s="1"/>
      <c r="E769" s="1"/>
      <c r="F769" s="1"/>
      <c r="G769" s="1"/>
      <c r="H769" s="1"/>
      <c r="I769" s="1"/>
      <c r="J769" s="1"/>
      <c r="K769" s="1"/>
      <c r="L769" s="1"/>
      <c r="M769" s="1"/>
      <c r="N769" s="1"/>
      <c r="O769" s="1"/>
      <c r="P769" s="1"/>
      <c r="Q769" s="1"/>
      <c r="R769" s="1"/>
      <c r="S769" s="1"/>
      <c r="T769" s="1"/>
      <c r="U769" s="2"/>
      <c r="V769" s="1"/>
      <c r="W769" s="1"/>
      <c r="X769" s="1"/>
      <c r="Y769" s="1"/>
      <c r="Z769" s="1"/>
    </row>
    <row r="770" spans="1:26" ht="24.75" customHeight="1">
      <c r="A770" s="1"/>
      <c r="B770" s="1"/>
      <c r="C770" s="1"/>
      <c r="D770" s="1"/>
      <c r="E770" s="1"/>
      <c r="F770" s="1"/>
      <c r="G770" s="1"/>
      <c r="H770" s="1"/>
      <c r="I770" s="1"/>
      <c r="J770" s="1"/>
      <c r="K770" s="1"/>
      <c r="L770" s="1"/>
      <c r="M770" s="1"/>
      <c r="N770" s="1"/>
      <c r="O770" s="1"/>
      <c r="P770" s="1"/>
      <c r="Q770" s="1"/>
      <c r="R770" s="1"/>
      <c r="S770" s="1"/>
      <c r="T770" s="1"/>
      <c r="U770" s="2"/>
      <c r="V770" s="1"/>
      <c r="W770" s="1"/>
      <c r="X770" s="1"/>
      <c r="Y770" s="1"/>
      <c r="Z770" s="1"/>
    </row>
    <row r="771" spans="1:26" ht="24.75" customHeight="1">
      <c r="A771" s="1"/>
      <c r="B771" s="1"/>
      <c r="C771" s="1"/>
      <c r="D771" s="1"/>
      <c r="E771" s="1"/>
      <c r="F771" s="1"/>
      <c r="G771" s="1"/>
      <c r="H771" s="1"/>
      <c r="I771" s="1"/>
      <c r="J771" s="1"/>
      <c r="K771" s="1"/>
      <c r="L771" s="1"/>
      <c r="M771" s="1"/>
      <c r="N771" s="1"/>
      <c r="O771" s="1"/>
      <c r="P771" s="1"/>
      <c r="Q771" s="1"/>
      <c r="R771" s="1"/>
      <c r="S771" s="1"/>
      <c r="T771" s="1"/>
      <c r="U771" s="2"/>
      <c r="V771" s="1"/>
      <c r="W771" s="1"/>
      <c r="X771" s="1"/>
      <c r="Y771" s="1"/>
      <c r="Z771" s="1"/>
    </row>
    <row r="772" spans="1:26" ht="24.75" customHeight="1">
      <c r="A772" s="1"/>
      <c r="B772" s="1"/>
      <c r="C772" s="1"/>
      <c r="D772" s="1"/>
      <c r="E772" s="1"/>
      <c r="F772" s="1"/>
      <c r="G772" s="1"/>
      <c r="H772" s="1"/>
      <c r="I772" s="1"/>
      <c r="J772" s="1"/>
      <c r="K772" s="1"/>
      <c r="L772" s="1"/>
      <c r="M772" s="1"/>
      <c r="N772" s="1"/>
      <c r="O772" s="1"/>
      <c r="P772" s="1"/>
      <c r="Q772" s="1"/>
      <c r="R772" s="1"/>
      <c r="S772" s="1"/>
      <c r="T772" s="1"/>
      <c r="U772" s="2"/>
      <c r="V772" s="1"/>
      <c r="W772" s="1"/>
      <c r="X772" s="1"/>
      <c r="Y772" s="1"/>
      <c r="Z772" s="1"/>
    </row>
    <row r="773" spans="1:26" ht="24.75" customHeight="1">
      <c r="A773" s="1"/>
      <c r="B773" s="1"/>
      <c r="C773" s="1"/>
      <c r="D773" s="1"/>
      <c r="E773" s="1"/>
      <c r="F773" s="1"/>
      <c r="G773" s="1"/>
      <c r="H773" s="1"/>
      <c r="I773" s="1"/>
      <c r="J773" s="1"/>
      <c r="K773" s="1"/>
      <c r="L773" s="1"/>
      <c r="M773" s="1"/>
      <c r="N773" s="1"/>
      <c r="O773" s="1"/>
      <c r="P773" s="1"/>
      <c r="Q773" s="1"/>
      <c r="R773" s="1"/>
      <c r="S773" s="1"/>
      <c r="T773" s="1"/>
      <c r="U773" s="2"/>
      <c r="V773" s="1"/>
      <c r="W773" s="1"/>
      <c r="X773" s="1"/>
      <c r="Y773" s="1"/>
      <c r="Z773" s="1"/>
    </row>
    <row r="774" spans="1:26" ht="24.75" customHeight="1">
      <c r="A774" s="1"/>
      <c r="B774" s="1"/>
      <c r="C774" s="1"/>
      <c r="D774" s="1"/>
      <c r="E774" s="1"/>
      <c r="F774" s="1"/>
      <c r="G774" s="1"/>
      <c r="H774" s="1"/>
      <c r="I774" s="1"/>
      <c r="J774" s="1"/>
      <c r="K774" s="1"/>
      <c r="L774" s="1"/>
      <c r="M774" s="1"/>
      <c r="N774" s="1"/>
      <c r="O774" s="1"/>
      <c r="P774" s="1"/>
      <c r="Q774" s="1"/>
      <c r="R774" s="1"/>
      <c r="S774" s="1"/>
      <c r="T774" s="1"/>
      <c r="U774" s="2"/>
      <c r="V774" s="1"/>
      <c r="W774" s="1"/>
      <c r="X774" s="1"/>
      <c r="Y774" s="1"/>
      <c r="Z774" s="1"/>
    </row>
    <row r="775" spans="1:26" ht="24.75" customHeight="1">
      <c r="A775" s="1"/>
      <c r="B775" s="1"/>
      <c r="C775" s="1"/>
      <c r="D775" s="1"/>
      <c r="E775" s="1"/>
      <c r="F775" s="1"/>
      <c r="G775" s="1"/>
      <c r="H775" s="1"/>
      <c r="I775" s="1"/>
      <c r="J775" s="1"/>
      <c r="K775" s="1"/>
      <c r="L775" s="1"/>
      <c r="M775" s="1"/>
      <c r="N775" s="1"/>
      <c r="O775" s="1"/>
      <c r="P775" s="1"/>
      <c r="Q775" s="1"/>
      <c r="R775" s="1"/>
      <c r="S775" s="1"/>
      <c r="T775" s="1"/>
      <c r="U775" s="2"/>
      <c r="V775" s="1"/>
      <c r="W775" s="1"/>
      <c r="X775" s="1"/>
      <c r="Y775" s="1"/>
      <c r="Z775" s="1"/>
    </row>
    <row r="776" spans="1:26" ht="24.75" customHeight="1">
      <c r="A776" s="1"/>
      <c r="B776" s="1"/>
      <c r="C776" s="1"/>
      <c r="D776" s="1"/>
      <c r="E776" s="1"/>
      <c r="F776" s="1"/>
      <c r="G776" s="1"/>
      <c r="H776" s="1"/>
      <c r="I776" s="1"/>
      <c r="J776" s="1"/>
      <c r="K776" s="1"/>
      <c r="L776" s="1"/>
      <c r="M776" s="1"/>
      <c r="N776" s="1"/>
      <c r="O776" s="1"/>
      <c r="P776" s="1"/>
      <c r="Q776" s="1"/>
      <c r="R776" s="1"/>
      <c r="S776" s="1"/>
      <c r="T776" s="1"/>
      <c r="U776" s="2"/>
      <c r="V776" s="1"/>
      <c r="W776" s="1"/>
      <c r="X776" s="1"/>
      <c r="Y776" s="1"/>
      <c r="Z776" s="1"/>
    </row>
    <row r="777" spans="1:26" ht="24.75" customHeight="1">
      <c r="A777" s="1"/>
      <c r="B777" s="1"/>
      <c r="C777" s="1"/>
      <c r="D777" s="1"/>
      <c r="E777" s="1"/>
      <c r="F777" s="1"/>
      <c r="G777" s="1"/>
      <c r="H777" s="1"/>
      <c r="I777" s="1"/>
      <c r="J777" s="1"/>
      <c r="K777" s="1"/>
      <c r="L777" s="1"/>
      <c r="M777" s="1"/>
      <c r="N777" s="1"/>
      <c r="O777" s="1"/>
      <c r="P777" s="1"/>
      <c r="Q777" s="1"/>
      <c r="R777" s="1"/>
      <c r="S777" s="1"/>
      <c r="T777" s="1"/>
      <c r="U777" s="2"/>
      <c r="V777" s="1"/>
      <c r="W777" s="1"/>
      <c r="X777" s="1"/>
      <c r="Y777" s="1"/>
      <c r="Z777" s="1"/>
    </row>
    <row r="778" spans="1:26" ht="24.75" customHeight="1">
      <c r="A778" s="1"/>
      <c r="B778" s="1"/>
      <c r="C778" s="1"/>
      <c r="D778" s="1"/>
      <c r="E778" s="1"/>
      <c r="F778" s="1"/>
      <c r="G778" s="1"/>
      <c r="H778" s="1"/>
      <c r="I778" s="1"/>
      <c r="J778" s="1"/>
      <c r="K778" s="1"/>
      <c r="L778" s="1"/>
      <c r="M778" s="1"/>
      <c r="N778" s="1"/>
      <c r="O778" s="1"/>
      <c r="P778" s="1"/>
      <c r="Q778" s="1"/>
      <c r="R778" s="1"/>
      <c r="S778" s="1"/>
      <c r="T778" s="1"/>
      <c r="U778" s="2"/>
      <c r="V778" s="1"/>
      <c r="W778" s="1"/>
      <c r="X778" s="1"/>
      <c r="Y778" s="1"/>
      <c r="Z778" s="1"/>
    </row>
    <row r="779" spans="1:26" ht="24.75" customHeight="1">
      <c r="A779" s="1"/>
      <c r="B779" s="1"/>
      <c r="C779" s="1"/>
      <c r="D779" s="1"/>
      <c r="E779" s="1"/>
      <c r="F779" s="1"/>
      <c r="G779" s="1"/>
      <c r="H779" s="1"/>
      <c r="I779" s="1"/>
      <c r="J779" s="1"/>
      <c r="K779" s="1"/>
      <c r="L779" s="1"/>
      <c r="M779" s="1"/>
      <c r="N779" s="1"/>
      <c r="O779" s="1"/>
      <c r="P779" s="1"/>
      <c r="Q779" s="1"/>
      <c r="R779" s="1"/>
      <c r="S779" s="1"/>
      <c r="T779" s="1"/>
      <c r="U779" s="2"/>
      <c r="V779" s="1"/>
      <c r="W779" s="1"/>
      <c r="X779" s="1"/>
      <c r="Y779" s="1"/>
      <c r="Z779" s="1"/>
    </row>
    <row r="780" spans="1:26" ht="24.75" customHeight="1">
      <c r="A780" s="1"/>
      <c r="B780" s="1"/>
      <c r="C780" s="1"/>
      <c r="D780" s="1"/>
      <c r="E780" s="1"/>
      <c r="F780" s="1"/>
      <c r="G780" s="1"/>
      <c r="H780" s="1"/>
      <c r="I780" s="1"/>
      <c r="J780" s="1"/>
      <c r="K780" s="1"/>
      <c r="L780" s="1"/>
      <c r="M780" s="1"/>
      <c r="N780" s="1"/>
      <c r="O780" s="1"/>
      <c r="P780" s="1"/>
      <c r="Q780" s="1"/>
      <c r="R780" s="1"/>
      <c r="S780" s="1"/>
      <c r="T780" s="1"/>
      <c r="U780" s="2"/>
      <c r="V780" s="1"/>
      <c r="W780" s="1"/>
      <c r="X780" s="1"/>
      <c r="Y780" s="1"/>
      <c r="Z780" s="1"/>
    </row>
    <row r="781" spans="1:26" ht="24.75" customHeight="1">
      <c r="A781" s="1"/>
      <c r="B781" s="1"/>
      <c r="C781" s="1"/>
      <c r="D781" s="1"/>
      <c r="E781" s="1"/>
      <c r="F781" s="1"/>
      <c r="G781" s="1"/>
      <c r="H781" s="1"/>
      <c r="I781" s="1"/>
      <c r="J781" s="1"/>
      <c r="K781" s="1"/>
      <c r="L781" s="1"/>
      <c r="M781" s="1"/>
      <c r="N781" s="1"/>
      <c r="O781" s="1"/>
      <c r="P781" s="1"/>
      <c r="Q781" s="1"/>
      <c r="R781" s="1"/>
      <c r="S781" s="1"/>
      <c r="T781" s="1"/>
      <c r="U781" s="2"/>
      <c r="V781" s="1"/>
      <c r="W781" s="1"/>
      <c r="X781" s="1"/>
      <c r="Y781" s="1"/>
      <c r="Z781" s="1"/>
    </row>
    <row r="782" spans="1:26" ht="24.75" customHeight="1">
      <c r="A782" s="1"/>
      <c r="B782" s="1"/>
      <c r="C782" s="1"/>
      <c r="D782" s="1"/>
      <c r="E782" s="1"/>
      <c r="F782" s="1"/>
      <c r="G782" s="1"/>
      <c r="H782" s="1"/>
      <c r="I782" s="1"/>
      <c r="J782" s="1"/>
      <c r="K782" s="1"/>
      <c r="L782" s="1"/>
      <c r="M782" s="1"/>
      <c r="N782" s="1"/>
      <c r="O782" s="1"/>
      <c r="P782" s="1"/>
      <c r="Q782" s="1"/>
      <c r="R782" s="1"/>
      <c r="S782" s="1"/>
      <c r="T782" s="1"/>
      <c r="U782" s="2"/>
      <c r="V782" s="1"/>
      <c r="W782" s="1"/>
      <c r="X782" s="1"/>
      <c r="Y782" s="1"/>
      <c r="Z782" s="1"/>
    </row>
    <row r="783" spans="1:26" ht="24.75" customHeight="1">
      <c r="A783" s="1"/>
      <c r="B783" s="1"/>
      <c r="C783" s="1"/>
      <c r="D783" s="1"/>
      <c r="E783" s="1"/>
      <c r="F783" s="1"/>
      <c r="G783" s="1"/>
      <c r="H783" s="1"/>
      <c r="I783" s="1"/>
      <c r="J783" s="1"/>
      <c r="K783" s="1"/>
      <c r="L783" s="1"/>
      <c r="M783" s="1"/>
      <c r="N783" s="1"/>
      <c r="O783" s="1"/>
      <c r="P783" s="1"/>
      <c r="Q783" s="1"/>
      <c r="R783" s="1"/>
      <c r="S783" s="1"/>
      <c r="T783" s="1"/>
      <c r="U783" s="2"/>
      <c r="V783" s="1"/>
      <c r="W783" s="1"/>
      <c r="X783" s="1"/>
      <c r="Y783" s="1"/>
      <c r="Z783" s="1"/>
    </row>
    <row r="784" spans="1:26" ht="24.75" customHeight="1">
      <c r="A784" s="1"/>
      <c r="B784" s="1"/>
      <c r="C784" s="1"/>
      <c r="D784" s="1"/>
      <c r="E784" s="1"/>
      <c r="F784" s="1"/>
      <c r="G784" s="1"/>
      <c r="H784" s="1"/>
      <c r="I784" s="1"/>
      <c r="J784" s="1"/>
      <c r="K784" s="1"/>
      <c r="L784" s="1"/>
      <c r="M784" s="1"/>
      <c r="N784" s="1"/>
      <c r="O784" s="1"/>
      <c r="P784" s="1"/>
      <c r="Q784" s="1"/>
      <c r="R784" s="1"/>
      <c r="S784" s="1"/>
      <c r="T784" s="1"/>
      <c r="U784" s="2"/>
      <c r="V784" s="1"/>
      <c r="W784" s="1"/>
      <c r="X784" s="1"/>
      <c r="Y784" s="1"/>
      <c r="Z784" s="1"/>
    </row>
    <row r="785" spans="1:26" ht="24.75" customHeight="1">
      <c r="A785" s="1"/>
      <c r="B785" s="1"/>
      <c r="C785" s="1"/>
      <c r="D785" s="1"/>
      <c r="E785" s="1"/>
      <c r="F785" s="1"/>
      <c r="G785" s="1"/>
      <c r="H785" s="1"/>
      <c r="I785" s="1"/>
      <c r="J785" s="1"/>
      <c r="K785" s="1"/>
      <c r="L785" s="1"/>
      <c r="M785" s="1"/>
      <c r="N785" s="1"/>
      <c r="O785" s="1"/>
      <c r="P785" s="1"/>
      <c r="Q785" s="1"/>
      <c r="R785" s="1"/>
      <c r="S785" s="1"/>
      <c r="T785" s="1"/>
      <c r="U785" s="2"/>
      <c r="V785" s="1"/>
      <c r="W785" s="1"/>
      <c r="X785" s="1"/>
      <c r="Y785" s="1"/>
      <c r="Z785" s="1"/>
    </row>
    <row r="786" spans="1:26" ht="24.75" customHeight="1">
      <c r="A786" s="1"/>
      <c r="B786" s="1"/>
      <c r="C786" s="1"/>
      <c r="D786" s="1"/>
      <c r="E786" s="1"/>
      <c r="F786" s="1"/>
      <c r="G786" s="1"/>
      <c r="H786" s="1"/>
      <c r="I786" s="1"/>
      <c r="J786" s="1"/>
      <c r="K786" s="1"/>
      <c r="L786" s="1"/>
      <c r="M786" s="1"/>
      <c r="N786" s="1"/>
      <c r="O786" s="1"/>
      <c r="P786" s="1"/>
      <c r="Q786" s="1"/>
      <c r="R786" s="1"/>
      <c r="S786" s="1"/>
      <c r="T786" s="1"/>
      <c r="U786" s="2"/>
      <c r="V786" s="1"/>
      <c r="W786" s="1"/>
      <c r="X786" s="1"/>
      <c r="Y786" s="1"/>
      <c r="Z786" s="1"/>
    </row>
    <row r="787" spans="1:26" ht="24.75" customHeight="1">
      <c r="A787" s="1"/>
      <c r="B787" s="1"/>
      <c r="C787" s="1"/>
      <c r="D787" s="1"/>
      <c r="E787" s="1"/>
      <c r="F787" s="1"/>
      <c r="G787" s="1"/>
      <c r="H787" s="1"/>
      <c r="I787" s="1"/>
      <c r="J787" s="1"/>
      <c r="K787" s="1"/>
      <c r="L787" s="1"/>
      <c r="M787" s="1"/>
      <c r="N787" s="1"/>
      <c r="O787" s="1"/>
      <c r="P787" s="1"/>
      <c r="Q787" s="1"/>
      <c r="R787" s="1"/>
      <c r="S787" s="1"/>
      <c r="T787" s="1"/>
      <c r="U787" s="2"/>
      <c r="V787" s="1"/>
      <c r="W787" s="1"/>
      <c r="X787" s="1"/>
      <c r="Y787" s="1"/>
      <c r="Z787" s="1"/>
    </row>
    <row r="788" spans="1:26" ht="24.75" customHeight="1">
      <c r="A788" s="1"/>
      <c r="B788" s="1"/>
      <c r="C788" s="1"/>
      <c r="D788" s="1"/>
      <c r="E788" s="1"/>
      <c r="F788" s="1"/>
      <c r="G788" s="1"/>
      <c r="H788" s="1"/>
      <c r="I788" s="1"/>
      <c r="J788" s="1"/>
      <c r="K788" s="1"/>
      <c r="L788" s="1"/>
      <c r="M788" s="1"/>
      <c r="N788" s="1"/>
      <c r="O788" s="1"/>
      <c r="P788" s="1"/>
      <c r="Q788" s="1"/>
      <c r="R788" s="1"/>
      <c r="S788" s="1"/>
      <c r="T788" s="1"/>
      <c r="U788" s="2"/>
      <c r="V788" s="1"/>
      <c r="W788" s="1"/>
      <c r="X788" s="1"/>
      <c r="Y788" s="1"/>
      <c r="Z788" s="1"/>
    </row>
    <row r="789" spans="1:26" ht="24.75" customHeight="1">
      <c r="A789" s="1"/>
      <c r="B789" s="1"/>
      <c r="C789" s="1"/>
      <c r="D789" s="1"/>
      <c r="E789" s="1"/>
      <c r="F789" s="1"/>
      <c r="G789" s="1"/>
      <c r="H789" s="1"/>
      <c r="I789" s="1"/>
      <c r="J789" s="1"/>
      <c r="K789" s="1"/>
      <c r="L789" s="1"/>
      <c r="M789" s="1"/>
      <c r="N789" s="1"/>
      <c r="O789" s="1"/>
      <c r="P789" s="1"/>
      <c r="Q789" s="1"/>
      <c r="R789" s="1"/>
      <c r="S789" s="1"/>
      <c r="T789" s="1"/>
      <c r="U789" s="2"/>
      <c r="V789" s="1"/>
      <c r="W789" s="1"/>
      <c r="X789" s="1"/>
      <c r="Y789" s="1"/>
      <c r="Z789" s="1"/>
    </row>
    <row r="790" spans="1:26" ht="24.75" customHeight="1">
      <c r="A790" s="1"/>
      <c r="B790" s="1"/>
      <c r="C790" s="1"/>
      <c r="D790" s="1"/>
      <c r="E790" s="1"/>
      <c r="F790" s="1"/>
      <c r="G790" s="1"/>
      <c r="H790" s="1"/>
      <c r="I790" s="1"/>
      <c r="J790" s="1"/>
      <c r="K790" s="1"/>
      <c r="L790" s="1"/>
      <c r="M790" s="1"/>
      <c r="N790" s="1"/>
      <c r="O790" s="1"/>
      <c r="P790" s="1"/>
      <c r="Q790" s="1"/>
      <c r="R790" s="1"/>
      <c r="S790" s="1"/>
      <c r="T790" s="1"/>
      <c r="U790" s="2"/>
      <c r="V790" s="1"/>
      <c r="W790" s="1"/>
      <c r="X790" s="1"/>
      <c r="Y790" s="1"/>
      <c r="Z790" s="1"/>
    </row>
    <row r="791" spans="1:26" ht="24.75" customHeight="1">
      <c r="A791" s="1"/>
      <c r="B791" s="1"/>
      <c r="C791" s="1"/>
      <c r="D791" s="1"/>
      <c r="E791" s="1"/>
      <c r="F791" s="1"/>
      <c r="G791" s="1"/>
      <c r="H791" s="1"/>
      <c r="I791" s="1"/>
      <c r="J791" s="1"/>
      <c r="K791" s="1"/>
      <c r="L791" s="1"/>
      <c r="M791" s="1"/>
      <c r="N791" s="1"/>
      <c r="O791" s="1"/>
      <c r="P791" s="1"/>
      <c r="Q791" s="1"/>
      <c r="R791" s="1"/>
      <c r="S791" s="1"/>
      <c r="T791" s="1"/>
      <c r="U791" s="2"/>
      <c r="V791" s="1"/>
      <c r="W791" s="1"/>
      <c r="X791" s="1"/>
      <c r="Y791" s="1"/>
      <c r="Z791" s="1"/>
    </row>
    <row r="792" spans="1:26" ht="24.75" customHeight="1">
      <c r="A792" s="1"/>
      <c r="B792" s="1"/>
      <c r="C792" s="1"/>
      <c r="D792" s="1"/>
      <c r="E792" s="1"/>
      <c r="F792" s="1"/>
      <c r="G792" s="1"/>
      <c r="H792" s="1"/>
      <c r="I792" s="1"/>
      <c r="J792" s="1"/>
      <c r="K792" s="1"/>
      <c r="L792" s="1"/>
      <c r="M792" s="1"/>
      <c r="N792" s="1"/>
      <c r="O792" s="1"/>
      <c r="P792" s="1"/>
      <c r="Q792" s="1"/>
      <c r="R792" s="1"/>
      <c r="S792" s="1"/>
      <c r="T792" s="1"/>
      <c r="U792" s="2"/>
      <c r="V792" s="1"/>
      <c r="W792" s="1"/>
      <c r="X792" s="1"/>
      <c r="Y792" s="1"/>
      <c r="Z792" s="1"/>
    </row>
    <row r="793" spans="1:26" ht="24.75" customHeight="1">
      <c r="A793" s="1"/>
      <c r="B793" s="1"/>
      <c r="C793" s="1"/>
      <c r="D793" s="1"/>
      <c r="E793" s="1"/>
      <c r="F793" s="1"/>
      <c r="G793" s="1"/>
      <c r="H793" s="1"/>
      <c r="I793" s="1"/>
      <c r="J793" s="1"/>
      <c r="K793" s="1"/>
      <c r="L793" s="1"/>
      <c r="M793" s="1"/>
      <c r="N793" s="1"/>
      <c r="O793" s="1"/>
      <c r="P793" s="1"/>
      <c r="Q793" s="1"/>
      <c r="R793" s="1"/>
      <c r="S793" s="1"/>
      <c r="T793" s="1"/>
      <c r="U793" s="2"/>
      <c r="V793" s="1"/>
      <c r="W793" s="1"/>
      <c r="X793" s="1"/>
      <c r="Y793" s="1"/>
      <c r="Z793" s="1"/>
    </row>
    <row r="794" spans="1:26" ht="24.75" customHeight="1">
      <c r="A794" s="1"/>
      <c r="B794" s="1"/>
      <c r="C794" s="1"/>
      <c r="D794" s="1"/>
      <c r="E794" s="1"/>
      <c r="F794" s="1"/>
      <c r="G794" s="1"/>
      <c r="H794" s="1"/>
      <c r="I794" s="1"/>
      <c r="J794" s="1"/>
      <c r="K794" s="1"/>
      <c r="L794" s="1"/>
      <c r="M794" s="1"/>
      <c r="N794" s="1"/>
      <c r="O794" s="1"/>
      <c r="P794" s="1"/>
      <c r="Q794" s="1"/>
      <c r="R794" s="1"/>
      <c r="S794" s="1"/>
      <c r="T794" s="1"/>
      <c r="U794" s="2"/>
      <c r="V794" s="1"/>
      <c r="W794" s="1"/>
      <c r="X794" s="1"/>
      <c r="Y794" s="1"/>
      <c r="Z794" s="1"/>
    </row>
    <row r="795" spans="1:26" ht="24.75" customHeight="1">
      <c r="A795" s="1"/>
      <c r="B795" s="1"/>
      <c r="C795" s="1"/>
      <c r="D795" s="1"/>
      <c r="E795" s="1"/>
      <c r="F795" s="1"/>
      <c r="G795" s="1"/>
      <c r="H795" s="1"/>
      <c r="I795" s="1"/>
      <c r="J795" s="1"/>
      <c r="K795" s="1"/>
      <c r="L795" s="1"/>
      <c r="M795" s="1"/>
      <c r="N795" s="1"/>
      <c r="O795" s="1"/>
      <c r="P795" s="1"/>
      <c r="Q795" s="1"/>
      <c r="R795" s="1"/>
      <c r="S795" s="1"/>
      <c r="T795" s="1"/>
      <c r="U795" s="2"/>
      <c r="V795" s="1"/>
      <c r="W795" s="1"/>
      <c r="X795" s="1"/>
      <c r="Y795" s="1"/>
      <c r="Z795" s="1"/>
    </row>
    <row r="796" spans="1:26" ht="24.75" customHeight="1">
      <c r="A796" s="1"/>
      <c r="B796" s="1"/>
      <c r="C796" s="1"/>
      <c r="D796" s="1"/>
      <c r="E796" s="1"/>
      <c r="F796" s="1"/>
      <c r="G796" s="1"/>
      <c r="H796" s="1"/>
      <c r="I796" s="1"/>
      <c r="J796" s="1"/>
      <c r="K796" s="1"/>
      <c r="L796" s="1"/>
      <c r="M796" s="1"/>
      <c r="N796" s="1"/>
      <c r="O796" s="1"/>
      <c r="P796" s="1"/>
      <c r="Q796" s="1"/>
      <c r="R796" s="1"/>
      <c r="S796" s="1"/>
      <c r="T796" s="1"/>
      <c r="U796" s="2"/>
      <c r="V796" s="1"/>
      <c r="W796" s="1"/>
      <c r="X796" s="1"/>
      <c r="Y796" s="1"/>
      <c r="Z796" s="1"/>
    </row>
    <row r="797" spans="1:26" ht="24.75" customHeight="1">
      <c r="A797" s="1"/>
      <c r="B797" s="1"/>
      <c r="C797" s="1"/>
      <c r="D797" s="1"/>
      <c r="E797" s="1"/>
      <c r="F797" s="1"/>
      <c r="G797" s="1"/>
      <c r="H797" s="1"/>
      <c r="I797" s="1"/>
      <c r="J797" s="1"/>
      <c r="K797" s="1"/>
      <c r="L797" s="1"/>
      <c r="M797" s="1"/>
      <c r="N797" s="1"/>
      <c r="O797" s="1"/>
      <c r="P797" s="1"/>
      <c r="Q797" s="1"/>
      <c r="R797" s="1"/>
      <c r="S797" s="1"/>
      <c r="T797" s="1"/>
      <c r="U797" s="2"/>
      <c r="V797" s="1"/>
      <c r="W797" s="1"/>
      <c r="X797" s="1"/>
      <c r="Y797" s="1"/>
      <c r="Z797" s="1"/>
    </row>
    <row r="798" spans="1:26" ht="24.75" customHeight="1">
      <c r="A798" s="1"/>
      <c r="B798" s="1"/>
      <c r="C798" s="1"/>
      <c r="D798" s="1"/>
      <c r="E798" s="1"/>
      <c r="F798" s="1"/>
      <c r="G798" s="1"/>
      <c r="H798" s="1"/>
      <c r="I798" s="1"/>
      <c r="J798" s="1"/>
      <c r="K798" s="1"/>
      <c r="L798" s="1"/>
      <c r="M798" s="1"/>
      <c r="N798" s="1"/>
      <c r="O798" s="1"/>
      <c r="P798" s="1"/>
      <c r="Q798" s="1"/>
      <c r="R798" s="1"/>
      <c r="S798" s="1"/>
      <c r="T798" s="1"/>
      <c r="U798" s="2"/>
      <c r="V798" s="1"/>
      <c r="W798" s="1"/>
      <c r="X798" s="1"/>
      <c r="Y798" s="1"/>
      <c r="Z798" s="1"/>
    </row>
    <row r="799" spans="1:26" ht="24.75" customHeight="1">
      <c r="A799" s="1"/>
      <c r="B799" s="1"/>
      <c r="C799" s="1"/>
      <c r="D799" s="1"/>
      <c r="E799" s="1"/>
      <c r="F799" s="1"/>
      <c r="G799" s="1"/>
      <c r="H799" s="1"/>
      <c r="I799" s="1"/>
      <c r="J799" s="1"/>
      <c r="K799" s="1"/>
      <c r="L799" s="1"/>
      <c r="M799" s="1"/>
      <c r="N799" s="1"/>
      <c r="O799" s="1"/>
      <c r="P799" s="1"/>
      <c r="Q799" s="1"/>
      <c r="R799" s="1"/>
      <c r="S799" s="1"/>
      <c r="T799" s="1"/>
      <c r="U799" s="2"/>
      <c r="V799" s="1"/>
      <c r="W799" s="1"/>
      <c r="X799" s="1"/>
      <c r="Y799" s="1"/>
      <c r="Z799" s="1"/>
    </row>
    <row r="800" spans="1:26" ht="24.75" customHeight="1">
      <c r="A800" s="1"/>
      <c r="B800" s="1"/>
      <c r="C800" s="1"/>
      <c r="D800" s="1"/>
      <c r="E800" s="1"/>
      <c r="F800" s="1"/>
      <c r="G800" s="1"/>
      <c r="H800" s="1"/>
      <c r="I800" s="1"/>
      <c r="J800" s="1"/>
      <c r="K800" s="1"/>
      <c r="L800" s="1"/>
      <c r="M800" s="1"/>
      <c r="N800" s="1"/>
      <c r="O800" s="1"/>
      <c r="P800" s="1"/>
      <c r="Q800" s="1"/>
      <c r="R800" s="1"/>
      <c r="S800" s="1"/>
      <c r="T800" s="1"/>
      <c r="U800" s="2"/>
      <c r="V800" s="1"/>
      <c r="W800" s="1"/>
      <c r="X800" s="1"/>
      <c r="Y800" s="1"/>
      <c r="Z800" s="1"/>
    </row>
    <row r="801" spans="1:26" ht="24.75" customHeight="1">
      <c r="A801" s="1"/>
      <c r="B801" s="1"/>
      <c r="C801" s="1"/>
      <c r="D801" s="1"/>
      <c r="E801" s="1"/>
      <c r="F801" s="1"/>
      <c r="G801" s="1"/>
      <c r="H801" s="1"/>
      <c r="I801" s="1"/>
      <c r="J801" s="1"/>
      <c r="K801" s="1"/>
      <c r="L801" s="1"/>
      <c r="M801" s="1"/>
      <c r="N801" s="1"/>
      <c r="O801" s="1"/>
      <c r="P801" s="1"/>
      <c r="Q801" s="1"/>
      <c r="R801" s="1"/>
      <c r="S801" s="1"/>
      <c r="T801" s="1"/>
      <c r="U801" s="2"/>
      <c r="V801" s="1"/>
      <c r="W801" s="1"/>
      <c r="X801" s="1"/>
      <c r="Y801" s="1"/>
      <c r="Z801" s="1"/>
    </row>
    <row r="802" spans="1:26" ht="24.75" customHeight="1">
      <c r="A802" s="1"/>
      <c r="B802" s="1"/>
      <c r="C802" s="1"/>
      <c r="D802" s="1"/>
      <c r="E802" s="1"/>
      <c r="F802" s="1"/>
      <c r="G802" s="1"/>
      <c r="H802" s="1"/>
      <c r="I802" s="1"/>
      <c r="J802" s="1"/>
      <c r="K802" s="1"/>
      <c r="L802" s="1"/>
      <c r="M802" s="1"/>
      <c r="N802" s="1"/>
      <c r="O802" s="1"/>
      <c r="P802" s="1"/>
      <c r="Q802" s="1"/>
      <c r="R802" s="1"/>
      <c r="S802" s="1"/>
      <c r="T802" s="1"/>
      <c r="U802" s="2"/>
      <c r="V802" s="1"/>
      <c r="W802" s="1"/>
      <c r="X802" s="1"/>
      <c r="Y802" s="1"/>
      <c r="Z802" s="1"/>
    </row>
    <row r="803" spans="1:26" ht="24.75" customHeight="1">
      <c r="A803" s="1"/>
      <c r="B803" s="1"/>
      <c r="C803" s="1"/>
      <c r="D803" s="1"/>
      <c r="E803" s="1"/>
      <c r="F803" s="1"/>
      <c r="G803" s="1"/>
      <c r="H803" s="1"/>
      <c r="I803" s="1"/>
      <c r="J803" s="1"/>
      <c r="K803" s="1"/>
      <c r="L803" s="1"/>
      <c r="M803" s="1"/>
      <c r="N803" s="1"/>
      <c r="O803" s="1"/>
      <c r="P803" s="1"/>
      <c r="Q803" s="1"/>
      <c r="R803" s="1"/>
      <c r="S803" s="1"/>
      <c r="T803" s="1"/>
      <c r="U803" s="2"/>
      <c r="V803" s="1"/>
      <c r="W803" s="1"/>
      <c r="X803" s="1"/>
      <c r="Y803" s="1"/>
      <c r="Z803" s="1"/>
    </row>
    <row r="804" spans="1:26" ht="24.75" customHeight="1">
      <c r="A804" s="1"/>
      <c r="B804" s="1"/>
      <c r="C804" s="1"/>
      <c r="D804" s="1"/>
      <c r="E804" s="1"/>
      <c r="F804" s="1"/>
      <c r="G804" s="1"/>
      <c r="H804" s="1"/>
      <c r="I804" s="1"/>
      <c r="J804" s="1"/>
      <c r="K804" s="1"/>
      <c r="L804" s="1"/>
      <c r="M804" s="1"/>
      <c r="N804" s="1"/>
      <c r="O804" s="1"/>
      <c r="P804" s="1"/>
      <c r="Q804" s="1"/>
      <c r="R804" s="1"/>
      <c r="S804" s="1"/>
      <c r="T804" s="1"/>
      <c r="U804" s="2"/>
      <c r="V804" s="1"/>
      <c r="W804" s="1"/>
      <c r="X804" s="1"/>
      <c r="Y804" s="1"/>
      <c r="Z804" s="1"/>
    </row>
    <row r="805" spans="1:26" ht="24.75" customHeight="1">
      <c r="A805" s="1"/>
      <c r="B805" s="1"/>
      <c r="C805" s="1"/>
      <c r="D805" s="1"/>
      <c r="E805" s="1"/>
      <c r="F805" s="1"/>
      <c r="G805" s="1"/>
      <c r="H805" s="1"/>
      <c r="I805" s="1"/>
      <c r="J805" s="1"/>
      <c r="K805" s="1"/>
      <c r="L805" s="1"/>
      <c r="M805" s="1"/>
      <c r="N805" s="1"/>
      <c r="O805" s="1"/>
      <c r="P805" s="1"/>
      <c r="Q805" s="1"/>
      <c r="R805" s="1"/>
      <c r="S805" s="1"/>
      <c r="T805" s="1"/>
      <c r="U805" s="2"/>
      <c r="V805" s="1"/>
      <c r="W805" s="1"/>
      <c r="X805" s="1"/>
      <c r="Y805" s="1"/>
      <c r="Z805" s="1"/>
    </row>
    <row r="806" spans="1:26" ht="24.75" customHeight="1">
      <c r="A806" s="1"/>
      <c r="B806" s="1"/>
      <c r="C806" s="1"/>
      <c r="D806" s="1"/>
      <c r="E806" s="1"/>
      <c r="F806" s="1"/>
      <c r="G806" s="1"/>
      <c r="H806" s="1"/>
      <c r="I806" s="1"/>
      <c r="J806" s="1"/>
      <c r="K806" s="1"/>
      <c r="L806" s="1"/>
      <c r="M806" s="1"/>
      <c r="N806" s="1"/>
      <c r="O806" s="1"/>
      <c r="P806" s="1"/>
      <c r="Q806" s="1"/>
      <c r="R806" s="1"/>
      <c r="S806" s="1"/>
      <c r="T806" s="1"/>
      <c r="U806" s="2"/>
      <c r="V806" s="1"/>
      <c r="W806" s="1"/>
      <c r="X806" s="1"/>
      <c r="Y806" s="1"/>
      <c r="Z806" s="1"/>
    </row>
    <row r="807" spans="1:26" ht="24.75" customHeight="1">
      <c r="A807" s="1"/>
      <c r="B807" s="1"/>
      <c r="C807" s="1"/>
      <c r="D807" s="1"/>
      <c r="E807" s="1"/>
      <c r="F807" s="1"/>
      <c r="G807" s="1"/>
      <c r="H807" s="1"/>
      <c r="I807" s="1"/>
      <c r="J807" s="1"/>
      <c r="K807" s="1"/>
      <c r="L807" s="1"/>
      <c r="M807" s="1"/>
      <c r="N807" s="1"/>
      <c r="O807" s="1"/>
      <c r="P807" s="1"/>
      <c r="Q807" s="1"/>
      <c r="R807" s="1"/>
      <c r="S807" s="1"/>
      <c r="T807" s="1"/>
      <c r="U807" s="2"/>
      <c r="V807" s="1"/>
      <c r="W807" s="1"/>
      <c r="X807" s="1"/>
      <c r="Y807" s="1"/>
      <c r="Z807" s="1"/>
    </row>
    <row r="808" spans="1:26" ht="24.75" customHeight="1">
      <c r="A808" s="1"/>
      <c r="B808" s="1"/>
      <c r="C808" s="1"/>
      <c r="D808" s="1"/>
      <c r="E808" s="1"/>
      <c r="F808" s="1"/>
      <c r="G808" s="1"/>
      <c r="H808" s="1"/>
      <c r="I808" s="1"/>
      <c r="J808" s="1"/>
      <c r="K808" s="1"/>
      <c r="L808" s="1"/>
      <c r="M808" s="1"/>
      <c r="N808" s="1"/>
      <c r="O808" s="1"/>
      <c r="P808" s="1"/>
      <c r="Q808" s="1"/>
      <c r="R808" s="1"/>
      <c r="S808" s="1"/>
      <c r="T808" s="1"/>
      <c r="U808" s="2"/>
      <c r="V808" s="1"/>
      <c r="W808" s="1"/>
      <c r="X808" s="1"/>
      <c r="Y808" s="1"/>
      <c r="Z808" s="1"/>
    </row>
    <row r="809" spans="1:26" ht="24.75" customHeight="1">
      <c r="A809" s="1"/>
      <c r="B809" s="1"/>
      <c r="C809" s="1"/>
      <c r="D809" s="1"/>
      <c r="E809" s="1"/>
      <c r="F809" s="1"/>
      <c r="G809" s="1"/>
      <c r="H809" s="1"/>
      <c r="I809" s="1"/>
      <c r="J809" s="1"/>
      <c r="K809" s="1"/>
      <c r="L809" s="1"/>
      <c r="M809" s="1"/>
      <c r="N809" s="1"/>
      <c r="O809" s="1"/>
      <c r="P809" s="1"/>
      <c r="Q809" s="1"/>
      <c r="R809" s="1"/>
      <c r="S809" s="1"/>
      <c r="T809" s="1"/>
      <c r="U809" s="2"/>
      <c r="V809" s="1"/>
      <c r="W809" s="1"/>
      <c r="X809" s="1"/>
      <c r="Y809" s="1"/>
      <c r="Z809" s="1"/>
    </row>
    <row r="810" spans="1:26" ht="24.75" customHeight="1">
      <c r="A810" s="1"/>
      <c r="B810" s="1"/>
      <c r="C810" s="1"/>
      <c r="D810" s="1"/>
      <c r="E810" s="1"/>
      <c r="F810" s="1"/>
      <c r="G810" s="1"/>
      <c r="H810" s="1"/>
      <c r="I810" s="1"/>
      <c r="J810" s="1"/>
      <c r="K810" s="1"/>
      <c r="L810" s="1"/>
      <c r="M810" s="1"/>
      <c r="N810" s="1"/>
      <c r="O810" s="1"/>
      <c r="P810" s="1"/>
      <c r="Q810" s="1"/>
      <c r="R810" s="1"/>
      <c r="S810" s="1"/>
      <c r="T810" s="1"/>
      <c r="U810" s="2"/>
      <c r="V810" s="1"/>
      <c r="W810" s="1"/>
      <c r="X810" s="1"/>
      <c r="Y810" s="1"/>
      <c r="Z810" s="1"/>
    </row>
    <row r="811" spans="1:26" ht="24.75" customHeight="1">
      <c r="A811" s="1"/>
      <c r="B811" s="1"/>
      <c r="C811" s="1"/>
      <c r="D811" s="1"/>
      <c r="E811" s="1"/>
      <c r="F811" s="1"/>
      <c r="G811" s="1"/>
      <c r="H811" s="1"/>
      <c r="I811" s="1"/>
      <c r="J811" s="1"/>
      <c r="K811" s="1"/>
      <c r="L811" s="1"/>
      <c r="M811" s="1"/>
      <c r="N811" s="1"/>
      <c r="O811" s="1"/>
      <c r="P811" s="1"/>
      <c r="Q811" s="1"/>
      <c r="R811" s="1"/>
      <c r="S811" s="1"/>
      <c r="T811" s="1"/>
      <c r="U811" s="2"/>
      <c r="V811" s="1"/>
      <c r="W811" s="1"/>
      <c r="X811" s="1"/>
      <c r="Y811" s="1"/>
      <c r="Z811" s="1"/>
    </row>
    <row r="812" spans="1:26" ht="24.75" customHeight="1">
      <c r="A812" s="1"/>
      <c r="B812" s="1"/>
      <c r="C812" s="1"/>
      <c r="D812" s="1"/>
      <c r="E812" s="1"/>
      <c r="F812" s="1"/>
      <c r="G812" s="1"/>
      <c r="H812" s="1"/>
      <c r="I812" s="1"/>
      <c r="J812" s="1"/>
      <c r="K812" s="1"/>
      <c r="L812" s="1"/>
      <c r="M812" s="1"/>
      <c r="N812" s="1"/>
      <c r="O812" s="1"/>
      <c r="P812" s="1"/>
      <c r="Q812" s="1"/>
      <c r="R812" s="1"/>
      <c r="S812" s="1"/>
      <c r="T812" s="1"/>
      <c r="U812" s="2"/>
      <c r="V812" s="1"/>
      <c r="W812" s="1"/>
      <c r="X812" s="1"/>
      <c r="Y812" s="1"/>
      <c r="Z812" s="1"/>
    </row>
    <row r="813" spans="1:26" ht="24.75" customHeight="1">
      <c r="A813" s="1"/>
      <c r="B813" s="1"/>
      <c r="C813" s="1"/>
      <c r="D813" s="1"/>
      <c r="E813" s="1"/>
      <c r="F813" s="1"/>
      <c r="G813" s="1"/>
      <c r="H813" s="1"/>
      <c r="I813" s="1"/>
      <c r="J813" s="1"/>
      <c r="K813" s="1"/>
      <c r="L813" s="1"/>
      <c r="M813" s="1"/>
      <c r="N813" s="1"/>
      <c r="O813" s="1"/>
      <c r="P813" s="1"/>
      <c r="Q813" s="1"/>
      <c r="R813" s="1"/>
      <c r="S813" s="1"/>
      <c r="T813" s="1"/>
      <c r="U813" s="2"/>
      <c r="V813" s="1"/>
      <c r="W813" s="1"/>
      <c r="X813" s="1"/>
      <c r="Y813" s="1"/>
      <c r="Z813" s="1"/>
    </row>
    <row r="814" spans="1:26" ht="24.75" customHeight="1">
      <c r="A814" s="1"/>
      <c r="B814" s="1"/>
      <c r="C814" s="1"/>
      <c r="D814" s="1"/>
      <c r="E814" s="1"/>
      <c r="F814" s="1"/>
      <c r="G814" s="1"/>
      <c r="H814" s="1"/>
      <c r="I814" s="1"/>
      <c r="J814" s="1"/>
      <c r="K814" s="1"/>
      <c r="L814" s="1"/>
      <c r="M814" s="1"/>
      <c r="N814" s="1"/>
      <c r="O814" s="1"/>
      <c r="P814" s="1"/>
      <c r="Q814" s="1"/>
      <c r="R814" s="1"/>
      <c r="S814" s="1"/>
      <c r="T814" s="1"/>
      <c r="U814" s="2"/>
      <c r="V814" s="1"/>
      <c r="W814" s="1"/>
      <c r="X814" s="1"/>
      <c r="Y814" s="1"/>
      <c r="Z814" s="1"/>
    </row>
    <row r="815" spans="1:26" ht="24.75" customHeight="1">
      <c r="A815" s="1"/>
      <c r="B815" s="1"/>
      <c r="C815" s="1"/>
      <c r="D815" s="1"/>
      <c r="E815" s="1"/>
      <c r="F815" s="1"/>
      <c r="G815" s="1"/>
      <c r="H815" s="1"/>
      <c r="I815" s="1"/>
      <c r="J815" s="1"/>
      <c r="K815" s="1"/>
      <c r="L815" s="1"/>
      <c r="M815" s="1"/>
      <c r="N815" s="1"/>
      <c r="O815" s="1"/>
      <c r="P815" s="1"/>
      <c r="Q815" s="1"/>
      <c r="R815" s="1"/>
      <c r="S815" s="1"/>
      <c r="T815" s="1"/>
      <c r="U815" s="2"/>
      <c r="V815" s="1"/>
      <c r="W815" s="1"/>
      <c r="X815" s="1"/>
      <c r="Y815" s="1"/>
      <c r="Z815" s="1"/>
    </row>
    <row r="816" spans="1:26" ht="24.75" customHeight="1">
      <c r="A816" s="1"/>
      <c r="B816" s="1"/>
      <c r="C816" s="1"/>
      <c r="D816" s="1"/>
      <c r="E816" s="1"/>
      <c r="F816" s="1"/>
      <c r="G816" s="1"/>
      <c r="H816" s="1"/>
      <c r="I816" s="1"/>
      <c r="J816" s="1"/>
      <c r="K816" s="1"/>
      <c r="L816" s="1"/>
      <c r="M816" s="1"/>
      <c r="N816" s="1"/>
      <c r="O816" s="1"/>
      <c r="P816" s="1"/>
      <c r="Q816" s="1"/>
      <c r="R816" s="1"/>
      <c r="S816" s="1"/>
      <c r="T816" s="1"/>
      <c r="U816" s="2"/>
      <c r="V816" s="1"/>
      <c r="W816" s="1"/>
      <c r="X816" s="1"/>
      <c r="Y816" s="1"/>
      <c r="Z816" s="1"/>
    </row>
    <row r="817" spans="1:26" ht="24.75" customHeight="1">
      <c r="A817" s="1"/>
      <c r="B817" s="1"/>
      <c r="C817" s="1"/>
      <c r="D817" s="1"/>
      <c r="E817" s="1"/>
      <c r="F817" s="1"/>
      <c r="G817" s="1"/>
      <c r="H817" s="1"/>
      <c r="I817" s="1"/>
      <c r="J817" s="1"/>
      <c r="K817" s="1"/>
      <c r="L817" s="1"/>
      <c r="M817" s="1"/>
      <c r="N817" s="1"/>
      <c r="O817" s="1"/>
      <c r="P817" s="1"/>
      <c r="Q817" s="1"/>
      <c r="R817" s="1"/>
      <c r="S817" s="1"/>
      <c r="T817" s="1"/>
      <c r="U817" s="2"/>
      <c r="V817" s="1"/>
      <c r="W817" s="1"/>
      <c r="X817" s="1"/>
      <c r="Y817" s="1"/>
      <c r="Z817" s="1"/>
    </row>
    <row r="818" spans="1:26" ht="24.75" customHeight="1">
      <c r="A818" s="1"/>
      <c r="B818" s="1"/>
      <c r="C818" s="1"/>
      <c r="D818" s="1"/>
      <c r="E818" s="1"/>
      <c r="F818" s="1"/>
      <c r="G818" s="1"/>
      <c r="H818" s="1"/>
      <c r="I818" s="1"/>
      <c r="J818" s="1"/>
      <c r="K818" s="1"/>
      <c r="L818" s="1"/>
      <c r="M818" s="1"/>
      <c r="N818" s="1"/>
      <c r="O818" s="1"/>
      <c r="P818" s="1"/>
      <c r="Q818" s="1"/>
      <c r="R818" s="1"/>
      <c r="S818" s="1"/>
      <c r="T818" s="1"/>
      <c r="U818" s="2"/>
      <c r="V818" s="1"/>
      <c r="W818" s="1"/>
      <c r="X818" s="1"/>
      <c r="Y818" s="1"/>
      <c r="Z818" s="1"/>
    </row>
    <row r="819" spans="1:26" ht="24.75" customHeight="1">
      <c r="A819" s="1"/>
      <c r="B819" s="1"/>
      <c r="C819" s="1"/>
      <c r="D819" s="1"/>
      <c r="E819" s="1"/>
      <c r="F819" s="1"/>
      <c r="G819" s="1"/>
      <c r="H819" s="1"/>
      <c r="I819" s="1"/>
      <c r="J819" s="1"/>
      <c r="K819" s="1"/>
      <c r="L819" s="1"/>
      <c r="M819" s="1"/>
      <c r="N819" s="1"/>
      <c r="O819" s="1"/>
      <c r="P819" s="1"/>
      <c r="Q819" s="1"/>
      <c r="R819" s="1"/>
      <c r="S819" s="1"/>
      <c r="T819" s="1"/>
      <c r="U819" s="2"/>
      <c r="V819" s="1"/>
      <c r="W819" s="1"/>
      <c r="X819" s="1"/>
      <c r="Y819" s="1"/>
      <c r="Z819" s="1"/>
    </row>
    <row r="820" spans="1:26" ht="24.75" customHeight="1">
      <c r="A820" s="1"/>
      <c r="B820" s="1"/>
      <c r="C820" s="1"/>
      <c r="D820" s="1"/>
      <c r="E820" s="1"/>
      <c r="F820" s="1"/>
      <c r="G820" s="1"/>
      <c r="H820" s="1"/>
      <c r="I820" s="1"/>
      <c r="J820" s="1"/>
      <c r="K820" s="1"/>
      <c r="L820" s="1"/>
      <c r="M820" s="1"/>
      <c r="N820" s="1"/>
      <c r="O820" s="1"/>
      <c r="P820" s="1"/>
      <c r="Q820" s="1"/>
      <c r="R820" s="1"/>
      <c r="S820" s="1"/>
      <c r="T820" s="1"/>
      <c r="U820" s="2"/>
      <c r="V820" s="1"/>
      <c r="W820" s="1"/>
      <c r="X820" s="1"/>
      <c r="Y820" s="1"/>
      <c r="Z820" s="1"/>
    </row>
    <row r="821" spans="1:26" ht="24.75" customHeight="1">
      <c r="A821" s="1"/>
      <c r="B821" s="1"/>
      <c r="C821" s="1"/>
      <c r="D821" s="1"/>
      <c r="E821" s="1"/>
      <c r="F821" s="1"/>
      <c r="G821" s="1"/>
      <c r="H821" s="1"/>
      <c r="I821" s="1"/>
      <c r="J821" s="1"/>
      <c r="K821" s="1"/>
      <c r="L821" s="1"/>
      <c r="M821" s="1"/>
      <c r="N821" s="1"/>
      <c r="O821" s="1"/>
      <c r="P821" s="1"/>
      <c r="Q821" s="1"/>
      <c r="R821" s="1"/>
      <c r="S821" s="1"/>
      <c r="T821" s="1"/>
      <c r="U821" s="2"/>
      <c r="V821" s="1"/>
      <c r="W821" s="1"/>
      <c r="X821" s="1"/>
      <c r="Y821" s="1"/>
      <c r="Z821" s="1"/>
    </row>
    <row r="822" spans="1:26" ht="24.75" customHeight="1">
      <c r="A822" s="1"/>
      <c r="B822" s="1"/>
      <c r="C822" s="1"/>
      <c r="D822" s="1"/>
      <c r="E822" s="1"/>
      <c r="F822" s="1"/>
      <c r="G822" s="1"/>
      <c r="H822" s="1"/>
      <c r="I822" s="1"/>
      <c r="J822" s="1"/>
      <c r="K822" s="1"/>
      <c r="L822" s="1"/>
      <c r="M822" s="1"/>
      <c r="N822" s="1"/>
      <c r="O822" s="1"/>
      <c r="P822" s="1"/>
      <c r="Q822" s="1"/>
      <c r="R822" s="1"/>
      <c r="S822" s="1"/>
      <c r="T822" s="1"/>
      <c r="U822" s="2"/>
      <c r="V822" s="1"/>
      <c r="W822" s="1"/>
      <c r="X822" s="1"/>
      <c r="Y822" s="1"/>
      <c r="Z822" s="1"/>
    </row>
    <row r="823" spans="1:26" ht="24.75" customHeight="1">
      <c r="A823" s="1"/>
      <c r="B823" s="1"/>
      <c r="C823" s="1"/>
      <c r="D823" s="1"/>
      <c r="E823" s="1"/>
      <c r="F823" s="1"/>
      <c r="G823" s="1"/>
      <c r="H823" s="1"/>
      <c r="I823" s="1"/>
      <c r="J823" s="1"/>
      <c r="K823" s="1"/>
      <c r="L823" s="1"/>
      <c r="M823" s="1"/>
      <c r="N823" s="1"/>
      <c r="O823" s="1"/>
      <c r="P823" s="1"/>
      <c r="Q823" s="1"/>
      <c r="R823" s="1"/>
      <c r="S823" s="1"/>
      <c r="T823" s="1"/>
      <c r="U823" s="2"/>
      <c r="V823" s="1"/>
      <c r="W823" s="1"/>
      <c r="X823" s="1"/>
      <c r="Y823" s="1"/>
      <c r="Z823" s="1"/>
    </row>
    <row r="824" spans="1:26" ht="24.75" customHeight="1">
      <c r="A824" s="1"/>
      <c r="B824" s="1"/>
      <c r="C824" s="1"/>
      <c r="D824" s="1"/>
      <c r="E824" s="1"/>
      <c r="F824" s="1"/>
      <c r="G824" s="1"/>
      <c r="H824" s="1"/>
      <c r="I824" s="1"/>
      <c r="J824" s="1"/>
      <c r="K824" s="1"/>
      <c r="L824" s="1"/>
      <c r="M824" s="1"/>
      <c r="N824" s="1"/>
      <c r="O824" s="1"/>
      <c r="P824" s="1"/>
      <c r="Q824" s="1"/>
      <c r="R824" s="1"/>
      <c r="S824" s="1"/>
      <c r="T824" s="1"/>
      <c r="U824" s="2"/>
      <c r="V824" s="1"/>
      <c r="W824" s="1"/>
      <c r="X824" s="1"/>
      <c r="Y824" s="1"/>
      <c r="Z824" s="1"/>
    </row>
    <row r="825" spans="1:26" ht="24.75" customHeight="1">
      <c r="A825" s="1"/>
      <c r="B825" s="1"/>
      <c r="C825" s="1"/>
      <c r="D825" s="1"/>
      <c r="E825" s="1"/>
      <c r="F825" s="1"/>
      <c r="G825" s="1"/>
      <c r="H825" s="1"/>
      <c r="I825" s="1"/>
      <c r="J825" s="1"/>
      <c r="K825" s="1"/>
      <c r="L825" s="1"/>
      <c r="M825" s="1"/>
      <c r="N825" s="1"/>
      <c r="O825" s="1"/>
      <c r="P825" s="1"/>
      <c r="Q825" s="1"/>
      <c r="R825" s="1"/>
      <c r="S825" s="1"/>
      <c r="T825" s="1"/>
      <c r="U825" s="2"/>
      <c r="V825" s="1"/>
      <c r="W825" s="1"/>
      <c r="X825" s="1"/>
      <c r="Y825" s="1"/>
      <c r="Z825" s="1"/>
    </row>
    <row r="826" spans="1:26" ht="24.75" customHeight="1">
      <c r="A826" s="1"/>
      <c r="B826" s="1"/>
      <c r="C826" s="1"/>
      <c r="D826" s="1"/>
      <c r="E826" s="1"/>
      <c r="F826" s="1"/>
      <c r="G826" s="1"/>
      <c r="H826" s="1"/>
      <c r="I826" s="1"/>
      <c r="J826" s="1"/>
      <c r="K826" s="1"/>
      <c r="L826" s="1"/>
      <c r="M826" s="1"/>
      <c r="N826" s="1"/>
      <c r="O826" s="1"/>
      <c r="P826" s="1"/>
      <c r="Q826" s="1"/>
      <c r="R826" s="1"/>
      <c r="S826" s="1"/>
      <c r="T826" s="1"/>
      <c r="U826" s="2"/>
      <c r="V826" s="1"/>
      <c r="W826" s="1"/>
      <c r="X826" s="1"/>
      <c r="Y826" s="1"/>
      <c r="Z826" s="1"/>
    </row>
    <row r="827" spans="1:26" ht="24.75" customHeight="1">
      <c r="A827" s="1"/>
      <c r="B827" s="1"/>
      <c r="C827" s="1"/>
      <c r="D827" s="1"/>
      <c r="E827" s="1"/>
      <c r="F827" s="1"/>
      <c r="G827" s="1"/>
      <c r="H827" s="1"/>
      <c r="I827" s="1"/>
      <c r="J827" s="1"/>
      <c r="K827" s="1"/>
      <c r="L827" s="1"/>
      <c r="M827" s="1"/>
      <c r="N827" s="1"/>
      <c r="O827" s="1"/>
      <c r="P827" s="1"/>
      <c r="Q827" s="1"/>
      <c r="R827" s="1"/>
      <c r="S827" s="1"/>
      <c r="T827" s="1"/>
      <c r="U827" s="2"/>
      <c r="V827" s="1"/>
      <c r="W827" s="1"/>
      <c r="X827" s="1"/>
      <c r="Y827" s="1"/>
      <c r="Z827" s="1"/>
    </row>
    <row r="828" spans="1:26" ht="24.75" customHeight="1">
      <c r="A828" s="1"/>
      <c r="B828" s="1"/>
      <c r="C828" s="1"/>
      <c r="D828" s="1"/>
      <c r="E828" s="1"/>
      <c r="F828" s="1"/>
      <c r="G828" s="1"/>
      <c r="H828" s="1"/>
      <c r="I828" s="1"/>
      <c r="J828" s="1"/>
      <c r="K828" s="1"/>
      <c r="L828" s="1"/>
      <c r="M828" s="1"/>
      <c r="N828" s="1"/>
      <c r="O828" s="1"/>
      <c r="P828" s="1"/>
      <c r="Q828" s="1"/>
      <c r="R828" s="1"/>
      <c r="S828" s="1"/>
      <c r="T828" s="1"/>
      <c r="U828" s="2"/>
      <c r="V828" s="1"/>
      <c r="W828" s="1"/>
      <c r="X828" s="1"/>
      <c r="Y828" s="1"/>
      <c r="Z828" s="1"/>
    </row>
    <row r="829" spans="1:26" ht="24.75" customHeight="1">
      <c r="A829" s="1"/>
      <c r="B829" s="1"/>
      <c r="C829" s="1"/>
      <c r="D829" s="1"/>
      <c r="E829" s="1"/>
      <c r="F829" s="1"/>
      <c r="G829" s="1"/>
      <c r="H829" s="1"/>
      <c r="I829" s="1"/>
      <c r="J829" s="1"/>
      <c r="K829" s="1"/>
      <c r="L829" s="1"/>
      <c r="M829" s="1"/>
      <c r="N829" s="1"/>
      <c r="O829" s="1"/>
      <c r="P829" s="1"/>
      <c r="Q829" s="1"/>
      <c r="R829" s="1"/>
      <c r="S829" s="1"/>
      <c r="T829" s="1"/>
      <c r="U829" s="2"/>
      <c r="V829" s="1"/>
      <c r="W829" s="1"/>
      <c r="X829" s="1"/>
      <c r="Y829" s="1"/>
      <c r="Z829" s="1"/>
    </row>
    <row r="830" spans="1:26" ht="24.75" customHeight="1">
      <c r="A830" s="1"/>
      <c r="B830" s="1"/>
      <c r="C830" s="1"/>
      <c r="D830" s="1"/>
      <c r="E830" s="1"/>
      <c r="F830" s="1"/>
      <c r="G830" s="1"/>
      <c r="H830" s="1"/>
      <c r="I830" s="1"/>
      <c r="J830" s="1"/>
      <c r="K830" s="1"/>
      <c r="L830" s="1"/>
      <c r="M830" s="1"/>
      <c r="N830" s="1"/>
      <c r="O830" s="1"/>
      <c r="P830" s="1"/>
      <c r="Q830" s="1"/>
      <c r="R830" s="1"/>
      <c r="S830" s="1"/>
      <c r="T830" s="1"/>
      <c r="U830" s="2"/>
      <c r="V830" s="1"/>
      <c r="W830" s="1"/>
      <c r="X830" s="1"/>
      <c r="Y830" s="1"/>
      <c r="Z830" s="1"/>
    </row>
    <row r="831" spans="1:26" ht="24.75" customHeight="1">
      <c r="A831" s="1"/>
      <c r="B831" s="1"/>
      <c r="C831" s="1"/>
      <c r="D831" s="1"/>
      <c r="E831" s="1"/>
      <c r="F831" s="1"/>
      <c r="G831" s="1"/>
      <c r="H831" s="1"/>
      <c r="I831" s="1"/>
      <c r="J831" s="1"/>
      <c r="K831" s="1"/>
      <c r="L831" s="1"/>
      <c r="M831" s="1"/>
      <c r="N831" s="1"/>
      <c r="O831" s="1"/>
      <c r="P831" s="1"/>
      <c r="Q831" s="1"/>
      <c r="R831" s="1"/>
      <c r="S831" s="1"/>
      <c r="T831" s="1"/>
      <c r="U831" s="2"/>
      <c r="V831" s="1"/>
      <c r="W831" s="1"/>
      <c r="X831" s="1"/>
      <c r="Y831" s="1"/>
      <c r="Z831" s="1"/>
    </row>
    <row r="832" spans="1:26" ht="24.75" customHeight="1">
      <c r="A832" s="1"/>
      <c r="B832" s="1"/>
      <c r="C832" s="1"/>
      <c r="D832" s="1"/>
      <c r="E832" s="1"/>
      <c r="F832" s="1"/>
      <c r="G832" s="1"/>
      <c r="H832" s="1"/>
      <c r="I832" s="1"/>
      <c r="J832" s="1"/>
      <c r="K832" s="1"/>
      <c r="L832" s="1"/>
      <c r="M832" s="1"/>
      <c r="N832" s="1"/>
      <c r="O832" s="1"/>
      <c r="P832" s="1"/>
      <c r="Q832" s="1"/>
      <c r="R832" s="1"/>
      <c r="S832" s="1"/>
      <c r="T832" s="1"/>
      <c r="U832" s="2"/>
      <c r="V832" s="1"/>
      <c r="W832" s="1"/>
      <c r="X832" s="1"/>
      <c r="Y832" s="1"/>
      <c r="Z832" s="1"/>
    </row>
    <row r="833" spans="1:26" ht="24.75" customHeight="1">
      <c r="A833" s="1"/>
      <c r="B833" s="1"/>
      <c r="C833" s="1"/>
      <c r="D833" s="1"/>
      <c r="E833" s="1"/>
      <c r="F833" s="1"/>
      <c r="G833" s="1"/>
      <c r="H833" s="1"/>
      <c r="I833" s="1"/>
      <c r="J833" s="1"/>
      <c r="K833" s="1"/>
      <c r="L833" s="1"/>
      <c r="M833" s="1"/>
      <c r="N833" s="1"/>
      <c r="O833" s="1"/>
      <c r="P833" s="1"/>
      <c r="Q833" s="1"/>
      <c r="R833" s="1"/>
      <c r="S833" s="1"/>
      <c r="T833" s="1"/>
      <c r="U833" s="2"/>
      <c r="V833" s="1"/>
      <c r="W833" s="1"/>
      <c r="X833" s="1"/>
      <c r="Y833" s="1"/>
      <c r="Z833" s="1"/>
    </row>
    <row r="834" spans="1:26" ht="24.75" customHeight="1">
      <c r="A834" s="1"/>
      <c r="B834" s="1"/>
      <c r="C834" s="1"/>
      <c r="D834" s="1"/>
      <c r="E834" s="1"/>
      <c r="F834" s="1"/>
      <c r="G834" s="1"/>
      <c r="H834" s="1"/>
      <c r="I834" s="1"/>
      <c r="J834" s="1"/>
      <c r="K834" s="1"/>
      <c r="L834" s="1"/>
      <c r="M834" s="1"/>
      <c r="N834" s="1"/>
      <c r="O834" s="1"/>
      <c r="P834" s="1"/>
      <c r="Q834" s="1"/>
      <c r="R834" s="1"/>
      <c r="S834" s="1"/>
      <c r="T834" s="1"/>
      <c r="U834" s="2"/>
      <c r="V834" s="1"/>
      <c r="W834" s="1"/>
      <c r="X834" s="1"/>
      <c r="Y834" s="1"/>
      <c r="Z834" s="1"/>
    </row>
    <row r="835" spans="1:26" ht="24.75" customHeight="1">
      <c r="A835" s="1"/>
      <c r="B835" s="1"/>
      <c r="C835" s="1"/>
      <c r="D835" s="1"/>
      <c r="E835" s="1"/>
      <c r="F835" s="1"/>
      <c r="G835" s="1"/>
      <c r="H835" s="1"/>
      <c r="I835" s="1"/>
      <c r="J835" s="1"/>
      <c r="K835" s="1"/>
      <c r="L835" s="1"/>
      <c r="M835" s="1"/>
      <c r="N835" s="1"/>
      <c r="O835" s="1"/>
      <c r="P835" s="1"/>
      <c r="Q835" s="1"/>
      <c r="R835" s="1"/>
      <c r="S835" s="1"/>
      <c r="T835" s="1"/>
      <c r="U835" s="2"/>
      <c r="V835" s="1"/>
      <c r="W835" s="1"/>
      <c r="X835" s="1"/>
      <c r="Y835" s="1"/>
      <c r="Z835" s="1"/>
    </row>
    <row r="836" spans="1:26" ht="24.75" customHeight="1">
      <c r="A836" s="1"/>
      <c r="B836" s="1"/>
      <c r="C836" s="1"/>
      <c r="D836" s="1"/>
      <c r="E836" s="1"/>
      <c r="F836" s="1"/>
      <c r="G836" s="1"/>
      <c r="H836" s="1"/>
      <c r="I836" s="1"/>
      <c r="J836" s="1"/>
      <c r="K836" s="1"/>
      <c r="L836" s="1"/>
      <c r="M836" s="1"/>
      <c r="N836" s="1"/>
      <c r="O836" s="1"/>
      <c r="P836" s="1"/>
      <c r="Q836" s="1"/>
      <c r="R836" s="1"/>
      <c r="S836" s="1"/>
      <c r="T836" s="1"/>
      <c r="U836" s="2"/>
      <c r="V836" s="1"/>
      <c r="W836" s="1"/>
      <c r="X836" s="1"/>
      <c r="Y836" s="1"/>
      <c r="Z836" s="1"/>
    </row>
    <row r="837" spans="1:26" ht="24.75" customHeight="1">
      <c r="A837" s="1"/>
      <c r="B837" s="1"/>
      <c r="C837" s="1"/>
      <c r="D837" s="1"/>
      <c r="E837" s="1"/>
      <c r="F837" s="1"/>
      <c r="G837" s="1"/>
      <c r="H837" s="1"/>
      <c r="I837" s="1"/>
      <c r="J837" s="1"/>
      <c r="K837" s="1"/>
      <c r="L837" s="1"/>
      <c r="M837" s="1"/>
      <c r="N837" s="1"/>
      <c r="O837" s="1"/>
      <c r="P837" s="1"/>
      <c r="Q837" s="1"/>
      <c r="R837" s="1"/>
      <c r="S837" s="1"/>
      <c r="T837" s="1"/>
      <c r="U837" s="2"/>
      <c r="V837" s="1"/>
      <c r="W837" s="1"/>
      <c r="X837" s="1"/>
      <c r="Y837" s="1"/>
      <c r="Z837" s="1"/>
    </row>
    <row r="838" spans="1:26" ht="24.75" customHeight="1">
      <c r="A838" s="1"/>
      <c r="B838" s="1"/>
      <c r="C838" s="1"/>
      <c r="D838" s="1"/>
      <c r="E838" s="1"/>
      <c r="F838" s="1"/>
      <c r="G838" s="1"/>
      <c r="H838" s="1"/>
      <c r="I838" s="1"/>
      <c r="J838" s="1"/>
      <c r="K838" s="1"/>
      <c r="L838" s="1"/>
      <c r="M838" s="1"/>
      <c r="N838" s="1"/>
      <c r="O838" s="1"/>
      <c r="P838" s="1"/>
      <c r="Q838" s="1"/>
      <c r="R838" s="1"/>
      <c r="S838" s="1"/>
      <c r="T838" s="1"/>
      <c r="U838" s="2"/>
      <c r="V838" s="1"/>
      <c r="W838" s="1"/>
      <c r="X838" s="1"/>
      <c r="Y838" s="1"/>
      <c r="Z838" s="1"/>
    </row>
    <row r="839" spans="1:26" ht="24.75" customHeight="1">
      <c r="A839" s="1"/>
      <c r="B839" s="1"/>
      <c r="C839" s="1"/>
      <c r="D839" s="1"/>
      <c r="E839" s="1"/>
      <c r="F839" s="1"/>
      <c r="G839" s="1"/>
      <c r="H839" s="1"/>
      <c r="I839" s="1"/>
      <c r="J839" s="1"/>
      <c r="K839" s="1"/>
      <c r="L839" s="1"/>
      <c r="M839" s="1"/>
      <c r="N839" s="1"/>
      <c r="O839" s="1"/>
      <c r="P839" s="1"/>
      <c r="Q839" s="1"/>
      <c r="R839" s="1"/>
      <c r="S839" s="1"/>
      <c r="T839" s="1"/>
      <c r="U839" s="2"/>
      <c r="V839" s="1"/>
      <c r="W839" s="1"/>
      <c r="X839" s="1"/>
      <c r="Y839" s="1"/>
      <c r="Z839" s="1"/>
    </row>
    <row r="840" spans="1:26" ht="24.75" customHeight="1">
      <c r="A840" s="1"/>
      <c r="B840" s="1"/>
      <c r="C840" s="1"/>
      <c r="D840" s="1"/>
      <c r="E840" s="1"/>
      <c r="F840" s="1"/>
      <c r="G840" s="1"/>
      <c r="H840" s="1"/>
      <c r="I840" s="1"/>
      <c r="J840" s="1"/>
      <c r="K840" s="1"/>
      <c r="L840" s="1"/>
      <c r="M840" s="1"/>
      <c r="N840" s="1"/>
      <c r="O840" s="1"/>
      <c r="P840" s="1"/>
      <c r="Q840" s="1"/>
      <c r="R840" s="1"/>
      <c r="S840" s="1"/>
      <c r="T840" s="1"/>
      <c r="U840" s="2"/>
      <c r="V840" s="1"/>
      <c r="W840" s="1"/>
      <c r="X840" s="1"/>
      <c r="Y840" s="1"/>
      <c r="Z840" s="1"/>
    </row>
    <row r="841" spans="1:26" ht="24.75" customHeight="1">
      <c r="A841" s="1"/>
      <c r="B841" s="1"/>
      <c r="C841" s="1"/>
      <c r="D841" s="1"/>
      <c r="E841" s="1"/>
      <c r="F841" s="1"/>
      <c r="G841" s="1"/>
      <c r="H841" s="1"/>
      <c r="I841" s="1"/>
      <c r="J841" s="1"/>
      <c r="K841" s="1"/>
      <c r="L841" s="1"/>
      <c r="M841" s="1"/>
      <c r="N841" s="1"/>
      <c r="O841" s="1"/>
      <c r="P841" s="1"/>
      <c r="Q841" s="1"/>
      <c r="R841" s="1"/>
      <c r="S841" s="1"/>
      <c r="T841" s="1"/>
      <c r="U841" s="2"/>
      <c r="V841" s="1"/>
      <c r="W841" s="1"/>
      <c r="X841" s="1"/>
      <c r="Y841" s="1"/>
      <c r="Z841" s="1"/>
    </row>
    <row r="842" spans="1:26" ht="24.75" customHeight="1">
      <c r="A842" s="1"/>
      <c r="B842" s="1"/>
      <c r="C842" s="1"/>
      <c r="D842" s="1"/>
      <c r="E842" s="1"/>
      <c r="F842" s="1"/>
      <c r="G842" s="1"/>
      <c r="H842" s="1"/>
      <c r="I842" s="1"/>
      <c r="J842" s="1"/>
      <c r="K842" s="1"/>
      <c r="L842" s="1"/>
      <c r="M842" s="1"/>
      <c r="N842" s="1"/>
      <c r="O842" s="1"/>
      <c r="P842" s="1"/>
      <c r="Q842" s="1"/>
      <c r="R842" s="1"/>
      <c r="S842" s="1"/>
      <c r="T842" s="1"/>
      <c r="U842" s="2"/>
      <c r="V842" s="1"/>
      <c r="W842" s="1"/>
      <c r="X842" s="1"/>
      <c r="Y842" s="1"/>
      <c r="Z842" s="1"/>
    </row>
    <row r="843" spans="1:26" ht="24.75" customHeight="1">
      <c r="A843" s="1"/>
      <c r="B843" s="1"/>
      <c r="C843" s="1"/>
      <c r="D843" s="1"/>
      <c r="E843" s="1"/>
      <c r="F843" s="1"/>
      <c r="G843" s="1"/>
      <c r="H843" s="1"/>
      <c r="I843" s="1"/>
      <c r="J843" s="1"/>
      <c r="K843" s="1"/>
      <c r="L843" s="1"/>
      <c r="M843" s="1"/>
      <c r="N843" s="1"/>
      <c r="O843" s="1"/>
      <c r="P843" s="1"/>
      <c r="Q843" s="1"/>
      <c r="R843" s="1"/>
      <c r="S843" s="1"/>
      <c r="T843" s="1"/>
      <c r="U843" s="2"/>
      <c r="V843" s="1"/>
      <c r="W843" s="1"/>
      <c r="X843" s="1"/>
      <c r="Y843" s="1"/>
      <c r="Z843" s="1"/>
    </row>
    <row r="844" spans="1:26" ht="24.75" customHeight="1">
      <c r="A844" s="1"/>
      <c r="B844" s="1"/>
      <c r="C844" s="1"/>
      <c r="D844" s="1"/>
      <c r="E844" s="1"/>
      <c r="F844" s="1"/>
      <c r="G844" s="1"/>
      <c r="H844" s="1"/>
      <c r="I844" s="1"/>
      <c r="J844" s="1"/>
      <c r="K844" s="1"/>
      <c r="L844" s="1"/>
      <c r="M844" s="1"/>
      <c r="N844" s="1"/>
      <c r="O844" s="1"/>
      <c r="P844" s="1"/>
      <c r="Q844" s="1"/>
      <c r="R844" s="1"/>
      <c r="S844" s="1"/>
      <c r="T844" s="1"/>
      <c r="U844" s="2"/>
      <c r="V844" s="1"/>
      <c r="W844" s="1"/>
      <c r="X844" s="1"/>
      <c r="Y844" s="1"/>
      <c r="Z844" s="1"/>
    </row>
    <row r="845" spans="1:26" ht="24.75" customHeight="1">
      <c r="A845" s="1"/>
      <c r="B845" s="1"/>
      <c r="C845" s="1"/>
      <c r="D845" s="1"/>
      <c r="E845" s="1"/>
      <c r="F845" s="1"/>
      <c r="G845" s="1"/>
      <c r="H845" s="1"/>
      <c r="I845" s="1"/>
      <c r="J845" s="1"/>
      <c r="K845" s="1"/>
      <c r="L845" s="1"/>
      <c r="M845" s="1"/>
      <c r="N845" s="1"/>
      <c r="O845" s="1"/>
      <c r="P845" s="1"/>
      <c r="Q845" s="1"/>
      <c r="R845" s="1"/>
      <c r="S845" s="1"/>
      <c r="T845" s="1"/>
      <c r="U845" s="2"/>
      <c r="V845" s="1"/>
      <c r="W845" s="1"/>
      <c r="X845" s="1"/>
      <c r="Y845" s="1"/>
      <c r="Z845" s="1"/>
    </row>
    <row r="846" spans="1:26" ht="24.75" customHeight="1">
      <c r="A846" s="1"/>
      <c r="B846" s="1"/>
      <c r="C846" s="1"/>
      <c r="D846" s="1"/>
      <c r="E846" s="1"/>
      <c r="F846" s="1"/>
      <c r="G846" s="1"/>
      <c r="H846" s="1"/>
      <c r="I846" s="1"/>
      <c r="J846" s="1"/>
      <c r="K846" s="1"/>
      <c r="L846" s="1"/>
      <c r="M846" s="1"/>
      <c r="N846" s="1"/>
      <c r="O846" s="1"/>
      <c r="P846" s="1"/>
      <c r="Q846" s="1"/>
      <c r="R846" s="1"/>
      <c r="S846" s="1"/>
      <c r="T846" s="1"/>
      <c r="U846" s="2"/>
      <c r="V846" s="1"/>
      <c r="W846" s="1"/>
      <c r="X846" s="1"/>
      <c r="Y846" s="1"/>
      <c r="Z846" s="1"/>
    </row>
    <row r="847" spans="1:26" ht="24.75" customHeight="1">
      <c r="A847" s="1"/>
      <c r="B847" s="1"/>
      <c r="C847" s="1"/>
      <c r="D847" s="1"/>
      <c r="E847" s="1"/>
      <c r="F847" s="1"/>
      <c r="G847" s="1"/>
      <c r="H847" s="1"/>
      <c r="I847" s="1"/>
      <c r="J847" s="1"/>
      <c r="K847" s="1"/>
      <c r="L847" s="1"/>
      <c r="M847" s="1"/>
      <c r="N847" s="1"/>
      <c r="O847" s="1"/>
      <c r="P847" s="1"/>
      <c r="Q847" s="1"/>
      <c r="R847" s="1"/>
      <c r="S847" s="1"/>
      <c r="T847" s="1"/>
      <c r="U847" s="2"/>
      <c r="V847" s="1"/>
      <c r="W847" s="1"/>
      <c r="X847" s="1"/>
      <c r="Y847" s="1"/>
      <c r="Z847" s="1"/>
    </row>
    <row r="848" spans="1:26" ht="24.75" customHeight="1">
      <c r="A848" s="1"/>
      <c r="B848" s="1"/>
      <c r="C848" s="1"/>
      <c r="D848" s="1"/>
      <c r="E848" s="1"/>
      <c r="F848" s="1"/>
      <c r="G848" s="1"/>
      <c r="H848" s="1"/>
      <c r="I848" s="1"/>
      <c r="J848" s="1"/>
      <c r="K848" s="1"/>
      <c r="L848" s="1"/>
      <c r="M848" s="1"/>
      <c r="N848" s="1"/>
      <c r="O848" s="1"/>
      <c r="P848" s="1"/>
      <c r="Q848" s="1"/>
      <c r="R848" s="1"/>
      <c r="S848" s="1"/>
      <c r="T848" s="1"/>
      <c r="U848" s="2"/>
      <c r="V848" s="1"/>
      <c r="W848" s="1"/>
      <c r="X848" s="1"/>
      <c r="Y848" s="1"/>
      <c r="Z848" s="1"/>
    </row>
    <row r="849" spans="1:26" ht="24.75" customHeight="1">
      <c r="A849" s="1"/>
      <c r="B849" s="1"/>
      <c r="C849" s="1"/>
      <c r="D849" s="1"/>
      <c r="E849" s="1"/>
      <c r="F849" s="1"/>
      <c r="G849" s="1"/>
      <c r="H849" s="1"/>
      <c r="I849" s="1"/>
      <c r="J849" s="1"/>
      <c r="K849" s="1"/>
      <c r="L849" s="1"/>
      <c r="M849" s="1"/>
      <c r="N849" s="1"/>
      <c r="O849" s="1"/>
      <c r="P849" s="1"/>
      <c r="Q849" s="1"/>
      <c r="R849" s="1"/>
      <c r="S849" s="1"/>
      <c r="T849" s="1"/>
      <c r="U849" s="2"/>
      <c r="V849" s="1"/>
      <c r="W849" s="1"/>
      <c r="X849" s="1"/>
      <c r="Y849" s="1"/>
      <c r="Z849" s="1"/>
    </row>
    <row r="850" spans="1:26" ht="24.75" customHeight="1">
      <c r="A850" s="1"/>
      <c r="B850" s="1"/>
      <c r="C850" s="1"/>
      <c r="D850" s="1"/>
      <c r="E850" s="1"/>
      <c r="F850" s="1"/>
      <c r="G850" s="1"/>
      <c r="H850" s="1"/>
      <c r="I850" s="1"/>
      <c r="J850" s="1"/>
      <c r="K850" s="1"/>
      <c r="L850" s="1"/>
      <c r="M850" s="1"/>
      <c r="N850" s="1"/>
      <c r="O850" s="1"/>
      <c r="P850" s="1"/>
      <c r="Q850" s="1"/>
      <c r="R850" s="1"/>
      <c r="S850" s="1"/>
      <c r="T850" s="1"/>
      <c r="U850" s="2"/>
      <c r="V850" s="1"/>
      <c r="W850" s="1"/>
      <c r="X850" s="1"/>
      <c r="Y850" s="1"/>
      <c r="Z850" s="1"/>
    </row>
    <row r="851" spans="1:26" ht="24.75" customHeight="1">
      <c r="A851" s="1"/>
      <c r="B851" s="1"/>
      <c r="C851" s="1"/>
      <c r="D851" s="1"/>
      <c r="E851" s="1"/>
      <c r="F851" s="1"/>
      <c r="G851" s="1"/>
      <c r="H851" s="1"/>
      <c r="I851" s="1"/>
      <c r="J851" s="1"/>
      <c r="K851" s="1"/>
      <c r="L851" s="1"/>
      <c r="M851" s="1"/>
      <c r="N851" s="1"/>
      <c r="O851" s="1"/>
      <c r="P851" s="1"/>
      <c r="Q851" s="1"/>
      <c r="R851" s="1"/>
      <c r="S851" s="1"/>
      <c r="T851" s="1"/>
      <c r="U851" s="2"/>
      <c r="V851" s="1"/>
      <c r="W851" s="1"/>
      <c r="X851" s="1"/>
      <c r="Y851" s="1"/>
      <c r="Z851" s="1"/>
    </row>
    <row r="852" spans="1:26" ht="24.75" customHeight="1">
      <c r="A852" s="1"/>
      <c r="B852" s="1"/>
      <c r="C852" s="1"/>
      <c r="D852" s="1"/>
      <c r="E852" s="1"/>
      <c r="F852" s="1"/>
      <c r="G852" s="1"/>
      <c r="H852" s="1"/>
      <c r="I852" s="1"/>
      <c r="J852" s="1"/>
      <c r="K852" s="1"/>
      <c r="L852" s="1"/>
      <c r="M852" s="1"/>
      <c r="N852" s="1"/>
      <c r="O852" s="1"/>
      <c r="P852" s="1"/>
      <c r="Q852" s="1"/>
      <c r="R852" s="1"/>
      <c r="S852" s="1"/>
      <c r="T852" s="1"/>
      <c r="U852" s="2"/>
      <c r="V852" s="1"/>
      <c r="W852" s="1"/>
      <c r="X852" s="1"/>
      <c r="Y852" s="1"/>
      <c r="Z852" s="1"/>
    </row>
    <row r="853" spans="1:26" ht="24.75" customHeight="1">
      <c r="A853" s="1"/>
      <c r="B853" s="1"/>
      <c r="C853" s="1"/>
      <c r="D853" s="1"/>
      <c r="E853" s="1"/>
      <c r="F853" s="1"/>
      <c r="G853" s="1"/>
      <c r="H853" s="1"/>
      <c r="I853" s="1"/>
      <c r="J853" s="1"/>
      <c r="K853" s="1"/>
      <c r="L853" s="1"/>
      <c r="M853" s="1"/>
      <c r="N853" s="1"/>
      <c r="O853" s="1"/>
      <c r="P853" s="1"/>
      <c r="Q853" s="1"/>
      <c r="R853" s="1"/>
      <c r="S853" s="1"/>
      <c r="T853" s="1"/>
      <c r="U853" s="2"/>
      <c r="V853" s="1"/>
      <c r="W853" s="1"/>
      <c r="X853" s="1"/>
      <c r="Y853" s="1"/>
      <c r="Z853" s="1"/>
    </row>
    <row r="854" spans="1:26" ht="24.75" customHeight="1">
      <c r="A854" s="1"/>
      <c r="B854" s="1"/>
      <c r="C854" s="1"/>
      <c r="D854" s="1"/>
      <c r="E854" s="1"/>
      <c r="F854" s="1"/>
      <c r="G854" s="1"/>
      <c r="H854" s="1"/>
      <c r="I854" s="1"/>
      <c r="J854" s="1"/>
      <c r="K854" s="1"/>
      <c r="L854" s="1"/>
      <c r="M854" s="1"/>
      <c r="N854" s="1"/>
      <c r="O854" s="1"/>
      <c r="P854" s="1"/>
      <c r="Q854" s="1"/>
      <c r="R854" s="1"/>
      <c r="S854" s="1"/>
      <c r="T854" s="1"/>
      <c r="U854" s="2"/>
      <c r="V854" s="1"/>
      <c r="W854" s="1"/>
      <c r="X854" s="1"/>
      <c r="Y854" s="1"/>
      <c r="Z854" s="1"/>
    </row>
    <row r="855" spans="1:26" ht="24.75" customHeight="1">
      <c r="A855" s="1"/>
      <c r="B855" s="1"/>
      <c r="C855" s="1"/>
      <c r="D855" s="1"/>
      <c r="E855" s="1"/>
      <c r="F855" s="1"/>
      <c r="G855" s="1"/>
      <c r="H855" s="1"/>
      <c r="I855" s="1"/>
      <c r="J855" s="1"/>
      <c r="K855" s="1"/>
      <c r="L855" s="1"/>
      <c r="M855" s="1"/>
      <c r="N855" s="1"/>
      <c r="O855" s="1"/>
      <c r="P855" s="1"/>
      <c r="Q855" s="1"/>
      <c r="R855" s="1"/>
      <c r="S855" s="1"/>
      <c r="T855" s="1"/>
      <c r="U855" s="2"/>
      <c r="V855" s="1"/>
      <c r="W855" s="1"/>
      <c r="X855" s="1"/>
      <c r="Y855" s="1"/>
      <c r="Z855" s="1"/>
    </row>
    <row r="856" spans="1:26" ht="24.75" customHeight="1">
      <c r="A856" s="1"/>
      <c r="B856" s="1"/>
      <c r="C856" s="1"/>
      <c r="D856" s="1"/>
      <c r="E856" s="1"/>
      <c r="F856" s="1"/>
      <c r="G856" s="1"/>
      <c r="H856" s="1"/>
      <c r="I856" s="1"/>
      <c r="J856" s="1"/>
      <c r="K856" s="1"/>
      <c r="L856" s="1"/>
      <c r="M856" s="1"/>
      <c r="N856" s="1"/>
      <c r="O856" s="1"/>
      <c r="P856" s="1"/>
      <c r="Q856" s="1"/>
      <c r="R856" s="1"/>
      <c r="S856" s="1"/>
      <c r="T856" s="1"/>
      <c r="U856" s="2"/>
      <c r="V856" s="1"/>
      <c r="W856" s="1"/>
      <c r="X856" s="1"/>
      <c r="Y856" s="1"/>
      <c r="Z856" s="1"/>
    </row>
    <row r="857" spans="1:26" ht="24.75" customHeight="1">
      <c r="A857" s="1"/>
      <c r="B857" s="1"/>
      <c r="C857" s="1"/>
      <c r="D857" s="1"/>
      <c r="E857" s="1"/>
      <c r="F857" s="1"/>
      <c r="G857" s="1"/>
      <c r="H857" s="1"/>
      <c r="I857" s="1"/>
      <c r="J857" s="1"/>
      <c r="K857" s="1"/>
      <c r="L857" s="1"/>
      <c r="M857" s="1"/>
      <c r="N857" s="1"/>
      <c r="O857" s="1"/>
      <c r="P857" s="1"/>
      <c r="Q857" s="1"/>
      <c r="R857" s="1"/>
      <c r="S857" s="1"/>
      <c r="T857" s="1"/>
      <c r="U857" s="2"/>
      <c r="V857" s="1"/>
      <c r="W857" s="1"/>
      <c r="X857" s="1"/>
      <c r="Y857" s="1"/>
      <c r="Z857" s="1"/>
    </row>
    <row r="858" spans="1:26" ht="24.75" customHeight="1">
      <c r="A858" s="1"/>
      <c r="B858" s="1"/>
      <c r="C858" s="1"/>
      <c r="D858" s="1"/>
      <c r="E858" s="1"/>
      <c r="F858" s="1"/>
      <c r="G858" s="1"/>
      <c r="H858" s="1"/>
      <c r="I858" s="1"/>
      <c r="J858" s="1"/>
      <c r="K858" s="1"/>
      <c r="L858" s="1"/>
      <c r="M858" s="1"/>
      <c r="N858" s="1"/>
      <c r="O858" s="1"/>
      <c r="P858" s="1"/>
      <c r="Q858" s="1"/>
      <c r="R858" s="1"/>
      <c r="S858" s="1"/>
      <c r="T858" s="1"/>
      <c r="U858" s="2"/>
      <c r="V858" s="1"/>
      <c r="W858" s="1"/>
      <c r="X858" s="1"/>
      <c r="Y858" s="1"/>
      <c r="Z858" s="1"/>
    </row>
    <row r="859" spans="1:26" ht="24.75" customHeight="1">
      <c r="A859" s="1"/>
      <c r="B859" s="1"/>
      <c r="C859" s="1"/>
      <c r="D859" s="1"/>
      <c r="E859" s="1"/>
      <c r="F859" s="1"/>
      <c r="G859" s="1"/>
      <c r="H859" s="1"/>
      <c r="I859" s="1"/>
      <c r="J859" s="1"/>
      <c r="K859" s="1"/>
      <c r="L859" s="1"/>
      <c r="M859" s="1"/>
      <c r="N859" s="1"/>
      <c r="O859" s="1"/>
      <c r="P859" s="1"/>
      <c r="Q859" s="1"/>
      <c r="R859" s="1"/>
      <c r="S859" s="1"/>
      <c r="T859" s="1"/>
      <c r="U859" s="2"/>
      <c r="V859" s="1"/>
      <c r="W859" s="1"/>
      <c r="X859" s="1"/>
      <c r="Y859" s="1"/>
      <c r="Z859" s="1"/>
    </row>
    <row r="860" spans="1:26" ht="24.75" customHeight="1">
      <c r="A860" s="1"/>
      <c r="B860" s="1"/>
      <c r="C860" s="1"/>
      <c r="D860" s="1"/>
      <c r="E860" s="1"/>
      <c r="F860" s="1"/>
      <c r="G860" s="1"/>
      <c r="H860" s="1"/>
      <c r="I860" s="1"/>
      <c r="J860" s="1"/>
      <c r="K860" s="1"/>
      <c r="L860" s="1"/>
      <c r="M860" s="1"/>
      <c r="N860" s="1"/>
      <c r="O860" s="1"/>
      <c r="P860" s="1"/>
      <c r="Q860" s="1"/>
      <c r="R860" s="1"/>
      <c r="S860" s="1"/>
      <c r="T860" s="1"/>
      <c r="U860" s="2"/>
      <c r="V860" s="1"/>
      <c r="W860" s="1"/>
      <c r="X860" s="1"/>
      <c r="Y860" s="1"/>
      <c r="Z860" s="1"/>
    </row>
    <row r="861" spans="1:26" ht="24.75" customHeight="1">
      <c r="A861" s="1"/>
      <c r="B861" s="1"/>
      <c r="C861" s="1"/>
      <c r="D861" s="1"/>
      <c r="E861" s="1"/>
      <c r="F861" s="1"/>
      <c r="G861" s="1"/>
      <c r="H861" s="1"/>
      <c r="I861" s="1"/>
      <c r="J861" s="1"/>
      <c r="K861" s="1"/>
      <c r="L861" s="1"/>
      <c r="M861" s="1"/>
      <c r="N861" s="1"/>
      <c r="O861" s="1"/>
      <c r="P861" s="1"/>
      <c r="Q861" s="1"/>
      <c r="R861" s="1"/>
      <c r="S861" s="1"/>
      <c r="T861" s="1"/>
      <c r="U861" s="2"/>
      <c r="V861" s="1"/>
      <c r="W861" s="1"/>
      <c r="X861" s="1"/>
      <c r="Y861" s="1"/>
      <c r="Z861" s="1"/>
    </row>
    <row r="862" spans="1:26" ht="24.75" customHeight="1">
      <c r="A862" s="1"/>
      <c r="B862" s="1"/>
      <c r="C862" s="1"/>
      <c r="D862" s="1"/>
      <c r="E862" s="1"/>
      <c r="F862" s="1"/>
      <c r="G862" s="1"/>
      <c r="H862" s="1"/>
      <c r="I862" s="1"/>
      <c r="J862" s="1"/>
      <c r="K862" s="1"/>
      <c r="L862" s="1"/>
      <c r="M862" s="1"/>
      <c r="N862" s="1"/>
      <c r="O862" s="1"/>
      <c r="P862" s="1"/>
      <c r="Q862" s="1"/>
      <c r="R862" s="1"/>
      <c r="S862" s="1"/>
      <c r="T862" s="1"/>
      <c r="U862" s="2"/>
      <c r="V862" s="1"/>
      <c r="W862" s="1"/>
      <c r="X862" s="1"/>
      <c r="Y862" s="1"/>
      <c r="Z862" s="1"/>
    </row>
    <row r="863" spans="1:26" ht="24.75" customHeight="1">
      <c r="A863" s="1"/>
      <c r="B863" s="1"/>
      <c r="C863" s="1"/>
      <c r="D863" s="1"/>
      <c r="E863" s="1"/>
      <c r="F863" s="1"/>
      <c r="G863" s="1"/>
      <c r="H863" s="1"/>
      <c r="I863" s="1"/>
      <c r="J863" s="1"/>
      <c r="K863" s="1"/>
      <c r="L863" s="1"/>
      <c r="M863" s="1"/>
      <c r="N863" s="1"/>
      <c r="O863" s="1"/>
      <c r="P863" s="1"/>
      <c r="Q863" s="1"/>
      <c r="R863" s="1"/>
      <c r="S863" s="1"/>
      <c r="T863" s="1"/>
      <c r="U863" s="2"/>
      <c r="V863" s="1"/>
      <c r="W863" s="1"/>
      <c r="X863" s="1"/>
      <c r="Y863" s="1"/>
      <c r="Z863" s="1"/>
    </row>
    <row r="864" spans="1:26" ht="24.75" customHeight="1">
      <c r="A864" s="1"/>
      <c r="B864" s="1"/>
      <c r="C864" s="1"/>
      <c r="D864" s="1"/>
      <c r="E864" s="1"/>
      <c r="F864" s="1"/>
      <c r="G864" s="1"/>
      <c r="H864" s="1"/>
      <c r="I864" s="1"/>
      <c r="J864" s="1"/>
      <c r="K864" s="1"/>
      <c r="L864" s="1"/>
      <c r="M864" s="1"/>
      <c r="N864" s="1"/>
      <c r="O864" s="1"/>
      <c r="P864" s="1"/>
      <c r="Q864" s="1"/>
      <c r="R864" s="1"/>
      <c r="S864" s="1"/>
      <c r="T864" s="1"/>
      <c r="U864" s="2"/>
      <c r="V864" s="1"/>
      <c r="W864" s="1"/>
      <c r="X864" s="1"/>
      <c r="Y864" s="1"/>
      <c r="Z864" s="1"/>
    </row>
    <row r="865" spans="1:26" ht="24.75" customHeight="1">
      <c r="A865" s="1"/>
      <c r="B865" s="1"/>
      <c r="C865" s="1"/>
      <c r="D865" s="1"/>
      <c r="E865" s="1"/>
      <c r="F865" s="1"/>
      <c r="G865" s="1"/>
      <c r="H865" s="1"/>
      <c r="I865" s="1"/>
      <c r="J865" s="1"/>
      <c r="K865" s="1"/>
      <c r="L865" s="1"/>
      <c r="M865" s="1"/>
      <c r="N865" s="1"/>
      <c r="O865" s="1"/>
      <c r="P865" s="1"/>
      <c r="Q865" s="1"/>
      <c r="R865" s="1"/>
      <c r="S865" s="1"/>
      <c r="T865" s="1"/>
      <c r="U865" s="2"/>
      <c r="V865" s="1"/>
      <c r="W865" s="1"/>
      <c r="X865" s="1"/>
      <c r="Y865" s="1"/>
      <c r="Z865" s="1"/>
    </row>
    <row r="866" spans="1:26" ht="24.75" customHeight="1">
      <c r="A866" s="1"/>
      <c r="B866" s="1"/>
      <c r="C866" s="1"/>
      <c r="D866" s="1"/>
      <c r="E866" s="1"/>
      <c r="F866" s="1"/>
      <c r="G866" s="1"/>
      <c r="H866" s="1"/>
      <c r="I866" s="1"/>
      <c r="J866" s="1"/>
      <c r="K866" s="1"/>
      <c r="L866" s="1"/>
      <c r="M866" s="1"/>
      <c r="N866" s="1"/>
      <c r="O866" s="1"/>
      <c r="P866" s="1"/>
      <c r="Q866" s="1"/>
      <c r="R866" s="1"/>
      <c r="S866" s="1"/>
      <c r="T866" s="1"/>
      <c r="U866" s="2"/>
      <c r="V866" s="1"/>
      <c r="W866" s="1"/>
      <c r="X866" s="1"/>
      <c r="Y866" s="1"/>
      <c r="Z866" s="1"/>
    </row>
    <row r="867" spans="1:26" ht="24.75" customHeight="1">
      <c r="A867" s="1"/>
      <c r="B867" s="1"/>
      <c r="C867" s="1"/>
      <c r="D867" s="1"/>
      <c r="E867" s="1"/>
      <c r="F867" s="1"/>
      <c r="G867" s="1"/>
      <c r="H867" s="1"/>
      <c r="I867" s="1"/>
      <c r="J867" s="1"/>
      <c r="K867" s="1"/>
      <c r="L867" s="1"/>
      <c r="M867" s="1"/>
      <c r="N867" s="1"/>
      <c r="O867" s="1"/>
      <c r="P867" s="1"/>
      <c r="Q867" s="1"/>
      <c r="R867" s="1"/>
      <c r="S867" s="1"/>
      <c r="T867" s="1"/>
      <c r="U867" s="2"/>
      <c r="V867" s="1"/>
      <c r="W867" s="1"/>
      <c r="X867" s="1"/>
      <c r="Y867" s="1"/>
      <c r="Z867" s="1"/>
    </row>
    <row r="868" spans="1:26" ht="24.75" customHeight="1">
      <c r="A868" s="1"/>
      <c r="B868" s="1"/>
      <c r="C868" s="1"/>
      <c r="D868" s="1"/>
      <c r="E868" s="1"/>
      <c r="F868" s="1"/>
      <c r="G868" s="1"/>
      <c r="H868" s="1"/>
      <c r="I868" s="1"/>
      <c r="J868" s="1"/>
      <c r="K868" s="1"/>
      <c r="L868" s="1"/>
      <c r="M868" s="1"/>
      <c r="N868" s="1"/>
      <c r="O868" s="1"/>
      <c r="P868" s="1"/>
      <c r="Q868" s="1"/>
      <c r="R868" s="1"/>
      <c r="S868" s="1"/>
      <c r="T868" s="1"/>
      <c r="U868" s="2"/>
      <c r="V868" s="1"/>
      <c r="W868" s="1"/>
      <c r="X868" s="1"/>
      <c r="Y868" s="1"/>
      <c r="Z868" s="1"/>
    </row>
    <row r="869" spans="1:26" ht="24.75" customHeight="1">
      <c r="A869" s="1"/>
      <c r="B869" s="1"/>
      <c r="C869" s="1"/>
      <c r="D869" s="1"/>
      <c r="E869" s="1"/>
      <c r="F869" s="1"/>
      <c r="G869" s="1"/>
      <c r="H869" s="1"/>
      <c r="I869" s="1"/>
      <c r="J869" s="1"/>
      <c r="K869" s="1"/>
      <c r="L869" s="1"/>
      <c r="M869" s="1"/>
      <c r="N869" s="1"/>
      <c r="O869" s="1"/>
      <c r="P869" s="1"/>
      <c r="Q869" s="1"/>
      <c r="R869" s="1"/>
      <c r="S869" s="1"/>
      <c r="T869" s="1"/>
      <c r="U869" s="2"/>
      <c r="V869" s="1"/>
      <c r="W869" s="1"/>
      <c r="X869" s="1"/>
      <c r="Y869" s="1"/>
      <c r="Z869" s="1"/>
    </row>
    <row r="870" spans="1:26" ht="24.75" customHeight="1">
      <c r="A870" s="1"/>
      <c r="B870" s="1"/>
      <c r="C870" s="1"/>
      <c r="D870" s="1"/>
      <c r="E870" s="1"/>
      <c r="F870" s="1"/>
      <c r="G870" s="1"/>
      <c r="H870" s="1"/>
      <c r="I870" s="1"/>
      <c r="J870" s="1"/>
      <c r="K870" s="1"/>
      <c r="L870" s="1"/>
      <c r="M870" s="1"/>
      <c r="N870" s="1"/>
      <c r="O870" s="1"/>
      <c r="P870" s="1"/>
      <c r="Q870" s="1"/>
      <c r="R870" s="1"/>
      <c r="S870" s="1"/>
      <c r="T870" s="1"/>
      <c r="U870" s="2"/>
      <c r="V870" s="1"/>
      <c r="W870" s="1"/>
      <c r="X870" s="1"/>
      <c r="Y870" s="1"/>
      <c r="Z870" s="1"/>
    </row>
    <row r="871" spans="1:26" ht="24.75" customHeight="1">
      <c r="A871" s="1"/>
      <c r="B871" s="1"/>
      <c r="C871" s="1"/>
      <c r="D871" s="1"/>
      <c r="E871" s="1"/>
      <c r="F871" s="1"/>
      <c r="G871" s="1"/>
      <c r="H871" s="1"/>
      <c r="I871" s="1"/>
      <c r="J871" s="1"/>
      <c r="K871" s="1"/>
      <c r="L871" s="1"/>
      <c r="M871" s="1"/>
      <c r="N871" s="1"/>
      <c r="O871" s="1"/>
      <c r="P871" s="1"/>
      <c r="Q871" s="1"/>
      <c r="R871" s="1"/>
      <c r="S871" s="1"/>
      <c r="T871" s="1"/>
      <c r="U871" s="2"/>
      <c r="V871" s="1"/>
      <c r="W871" s="1"/>
      <c r="X871" s="1"/>
      <c r="Y871" s="1"/>
      <c r="Z871" s="1"/>
    </row>
    <row r="872" spans="1:26" ht="24.75" customHeight="1">
      <c r="A872" s="1"/>
      <c r="B872" s="1"/>
      <c r="C872" s="1"/>
      <c r="D872" s="1"/>
      <c r="E872" s="1"/>
      <c r="F872" s="1"/>
      <c r="G872" s="1"/>
      <c r="H872" s="1"/>
      <c r="I872" s="1"/>
      <c r="J872" s="1"/>
      <c r="K872" s="1"/>
      <c r="L872" s="1"/>
      <c r="M872" s="1"/>
      <c r="N872" s="1"/>
      <c r="O872" s="1"/>
      <c r="P872" s="1"/>
      <c r="Q872" s="1"/>
      <c r="R872" s="1"/>
      <c r="S872" s="1"/>
      <c r="T872" s="1"/>
      <c r="U872" s="2"/>
      <c r="V872" s="1"/>
      <c r="W872" s="1"/>
      <c r="X872" s="1"/>
      <c r="Y872" s="1"/>
      <c r="Z872" s="1"/>
    </row>
    <row r="873" spans="1:26" ht="24.75" customHeight="1">
      <c r="A873" s="1"/>
      <c r="B873" s="1"/>
      <c r="C873" s="1"/>
      <c r="D873" s="1"/>
      <c r="E873" s="1"/>
      <c r="F873" s="1"/>
      <c r="G873" s="1"/>
      <c r="H873" s="1"/>
      <c r="I873" s="1"/>
      <c r="J873" s="1"/>
      <c r="K873" s="1"/>
      <c r="L873" s="1"/>
      <c r="M873" s="1"/>
      <c r="N873" s="1"/>
      <c r="O873" s="1"/>
      <c r="P873" s="1"/>
      <c r="Q873" s="1"/>
      <c r="R873" s="1"/>
      <c r="S873" s="1"/>
      <c r="T873" s="1"/>
      <c r="U873" s="2"/>
      <c r="V873" s="1"/>
      <c r="W873" s="1"/>
      <c r="X873" s="1"/>
      <c r="Y873" s="1"/>
      <c r="Z873" s="1"/>
    </row>
    <row r="874" spans="1:26" ht="24.75" customHeight="1">
      <c r="A874" s="1"/>
      <c r="B874" s="1"/>
      <c r="C874" s="1"/>
      <c r="D874" s="1"/>
      <c r="E874" s="1"/>
      <c r="F874" s="1"/>
      <c r="G874" s="1"/>
      <c r="H874" s="1"/>
      <c r="I874" s="1"/>
      <c r="J874" s="1"/>
      <c r="K874" s="1"/>
      <c r="L874" s="1"/>
      <c r="M874" s="1"/>
      <c r="N874" s="1"/>
      <c r="O874" s="1"/>
      <c r="P874" s="1"/>
      <c r="Q874" s="1"/>
      <c r="R874" s="1"/>
      <c r="S874" s="1"/>
      <c r="T874" s="1"/>
      <c r="U874" s="2"/>
      <c r="V874" s="1"/>
      <c r="W874" s="1"/>
      <c r="X874" s="1"/>
      <c r="Y874" s="1"/>
      <c r="Z874" s="1"/>
    </row>
    <row r="875" spans="1:26" ht="24.75" customHeight="1">
      <c r="A875" s="1"/>
      <c r="B875" s="1"/>
      <c r="C875" s="1"/>
      <c r="D875" s="1"/>
      <c r="E875" s="1"/>
      <c r="F875" s="1"/>
      <c r="G875" s="1"/>
      <c r="H875" s="1"/>
      <c r="I875" s="1"/>
      <c r="J875" s="1"/>
      <c r="K875" s="1"/>
      <c r="L875" s="1"/>
      <c r="M875" s="1"/>
      <c r="N875" s="1"/>
      <c r="O875" s="1"/>
      <c r="P875" s="1"/>
      <c r="Q875" s="1"/>
      <c r="R875" s="1"/>
      <c r="S875" s="1"/>
      <c r="T875" s="1"/>
      <c r="U875" s="2"/>
      <c r="V875" s="1"/>
      <c r="W875" s="1"/>
      <c r="X875" s="1"/>
      <c r="Y875" s="1"/>
      <c r="Z875" s="1"/>
    </row>
    <row r="876" spans="1:26" ht="24.75" customHeight="1">
      <c r="A876" s="1"/>
      <c r="B876" s="1"/>
      <c r="C876" s="1"/>
      <c r="D876" s="1"/>
      <c r="E876" s="1"/>
      <c r="F876" s="1"/>
      <c r="G876" s="1"/>
      <c r="H876" s="1"/>
      <c r="I876" s="1"/>
      <c r="J876" s="1"/>
      <c r="K876" s="1"/>
      <c r="L876" s="1"/>
      <c r="M876" s="1"/>
      <c r="N876" s="1"/>
      <c r="O876" s="1"/>
      <c r="P876" s="1"/>
      <c r="Q876" s="1"/>
      <c r="R876" s="1"/>
      <c r="S876" s="1"/>
      <c r="T876" s="1"/>
      <c r="U876" s="2"/>
      <c r="V876" s="1"/>
      <c r="W876" s="1"/>
      <c r="X876" s="1"/>
      <c r="Y876" s="1"/>
      <c r="Z876" s="1"/>
    </row>
    <row r="877" spans="1:26" ht="24.75" customHeight="1">
      <c r="A877" s="1"/>
      <c r="B877" s="1"/>
      <c r="C877" s="1"/>
      <c r="D877" s="1"/>
      <c r="E877" s="1"/>
      <c r="F877" s="1"/>
      <c r="G877" s="1"/>
      <c r="H877" s="1"/>
      <c r="I877" s="1"/>
      <c r="J877" s="1"/>
      <c r="K877" s="1"/>
      <c r="L877" s="1"/>
      <c r="M877" s="1"/>
      <c r="N877" s="1"/>
      <c r="O877" s="1"/>
      <c r="P877" s="1"/>
      <c r="Q877" s="1"/>
      <c r="R877" s="1"/>
      <c r="S877" s="1"/>
      <c r="T877" s="1"/>
      <c r="U877" s="2"/>
      <c r="V877" s="1"/>
      <c r="W877" s="1"/>
      <c r="X877" s="1"/>
      <c r="Y877" s="1"/>
      <c r="Z877" s="1"/>
    </row>
    <row r="878" spans="1:26" ht="24.75" customHeight="1">
      <c r="A878" s="1"/>
      <c r="B878" s="1"/>
      <c r="C878" s="1"/>
      <c r="D878" s="1"/>
      <c r="E878" s="1"/>
      <c r="F878" s="1"/>
      <c r="G878" s="1"/>
      <c r="H878" s="1"/>
      <c r="I878" s="1"/>
      <c r="J878" s="1"/>
      <c r="K878" s="1"/>
      <c r="L878" s="1"/>
      <c r="M878" s="1"/>
      <c r="N878" s="1"/>
      <c r="O878" s="1"/>
      <c r="P878" s="1"/>
      <c r="Q878" s="1"/>
      <c r="R878" s="1"/>
      <c r="S878" s="1"/>
      <c r="T878" s="1"/>
      <c r="U878" s="2"/>
      <c r="V878" s="1"/>
      <c r="W878" s="1"/>
      <c r="X878" s="1"/>
      <c r="Y878" s="1"/>
      <c r="Z878" s="1"/>
    </row>
    <row r="879" spans="1:26" ht="24.75" customHeight="1">
      <c r="A879" s="1"/>
      <c r="B879" s="1"/>
      <c r="C879" s="1"/>
      <c r="D879" s="1"/>
      <c r="E879" s="1"/>
      <c r="F879" s="1"/>
      <c r="G879" s="1"/>
      <c r="H879" s="1"/>
      <c r="I879" s="1"/>
      <c r="J879" s="1"/>
      <c r="K879" s="1"/>
      <c r="L879" s="1"/>
      <c r="M879" s="1"/>
      <c r="N879" s="1"/>
      <c r="O879" s="1"/>
      <c r="P879" s="1"/>
      <c r="Q879" s="1"/>
      <c r="R879" s="1"/>
      <c r="S879" s="1"/>
      <c r="T879" s="1"/>
      <c r="U879" s="2"/>
      <c r="V879" s="1"/>
      <c r="W879" s="1"/>
      <c r="X879" s="1"/>
      <c r="Y879" s="1"/>
      <c r="Z879" s="1"/>
    </row>
    <row r="880" spans="1:26" ht="24.75" customHeight="1">
      <c r="A880" s="1"/>
      <c r="B880" s="1"/>
      <c r="C880" s="1"/>
      <c r="D880" s="1"/>
      <c r="E880" s="1"/>
      <c r="F880" s="1"/>
      <c r="G880" s="1"/>
      <c r="H880" s="1"/>
      <c r="I880" s="1"/>
      <c r="J880" s="1"/>
      <c r="K880" s="1"/>
      <c r="L880" s="1"/>
      <c r="M880" s="1"/>
      <c r="N880" s="1"/>
      <c r="O880" s="1"/>
      <c r="P880" s="1"/>
      <c r="Q880" s="1"/>
      <c r="R880" s="1"/>
      <c r="S880" s="1"/>
      <c r="T880" s="1"/>
      <c r="U880" s="2"/>
      <c r="V880" s="1"/>
      <c r="W880" s="1"/>
      <c r="X880" s="1"/>
      <c r="Y880" s="1"/>
      <c r="Z880" s="1"/>
    </row>
    <row r="881" spans="1:26" ht="24.75" customHeight="1">
      <c r="A881" s="1"/>
      <c r="B881" s="1"/>
      <c r="C881" s="1"/>
      <c r="D881" s="1"/>
      <c r="E881" s="1"/>
      <c r="F881" s="1"/>
      <c r="G881" s="1"/>
      <c r="H881" s="1"/>
      <c r="I881" s="1"/>
      <c r="J881" s="1"/>
      <c r="K881" s="1"/>
      <c r="L881" s="1"/>
      <c r="M881" s="1"/>
      <c r="N881" s="1"/>
      <c r="O881" s="1"/>
      <c r="P881" s="1"/>
      <c r="Q881" s="1"/>
      <c r="R881" s="1"/>
      <c r="S881" s="1"/>
      <c r="T881" s="1"/>
      <c r="U881" s="2"/>
      <c r="V881" s="1"/>
      <c r="W881" s="1"/>
      <c r="X881" s="1"/>
      <c r="Y881" s="1"/>
      <c r="Z881" s="1"/>
    </row>
    <row r="882" spans="1:26" ht="24.75" customHeight="1">
      <c r="A882" s="1"/>
      <c r="B882" s="1"/>
      <c r="C882" s="1"/>
      <c r="D882" s="1"/>
      <c r="E882" s="1"/>
      <c r="F882" s="1"/>
      <c r="G882" s="1"/>
      <c r="H882" s="1"/>
      <c r="I882" s="1"/>
      <c r="J882" s="1"/>
      <c r="K882" s="1"/>
      <c r="L882" s="1"/>
      <c r="M882" s="1"/>
      <c r="N882" s="1"/>
      <c r="O882" s="1"/>
      <c r="P882" s="1"/>
      <c r="Q882" s="1"/>
      <c r="R882" s="1"/>
      <c r="S882" s="1"/>
      <c r="T882" s="1"/>
      <c r="U882" s="2"/>
      <c r="V882" s="1"/>
      <c r="W882" s="1"/>
      <c r="X882" s="1"/>
      <c r="Y882" s="1"/>
      <c r="Z882" s="1"/>
    </row>
    <row r="883" spans="1:26" ht="24.75" customHeight="1">
      <c r="A883" s="1"/>
      <c r="B883" s="1"/>
      <c r="C883" s="1"/>
      <c r="D883" s="1"/>
      <c r="E883" s="1"/>
      <c r="F883" s="1"/>
      <c r="G883" s="1"/>
      <c r="H883" s="1"/>
      <c r="I883" s="1"/>
      <c r="J883" s="1"/>
      <c r="K883" s="1"/>
      <c r="L883" s="1"/>
      <c r="M883" s="1"/>
      <c r="N883" s="1"/>
      <c r="O883" s="1"/>
      <c r="P883" s="1"/>
      <c r="Q883" s="1"/>
      <c r="R883" s="1"/>
      <c r="S883" s="1"/>
      <c r="T883" s="1"/>
      <c r="U883" s="2"/>
      <c r="V883" s="1"/>
      <c r="W883" s="1"/>
      <c r="X883" s="1"/>
      <c r="Y883" s="1"/>
      <c r="Z883" s="1"/>
    </row>
    <row r="884" spans="1:26" ht="24.75" customHeight="1">
      <c r="A884" s="1"/>
      <c r="B884" s="1"/>
      <c r="C884" s="1"/>
      <c r="D884" s="1"/>
      <c r="E884" s="1"/>
      <c r="F884" s="1"/>
      <c r="G884" s="1"/>
      <c r="H884" s="1"/>
      <c r="I884" s="1"/>
      <c r="J884" s="1"/>
      <c r="K884" s="1"/>
      <c r="L884" s="1"/>
      <c r="M884" s="1"/>
      <c r="N884" s="1"/>
      <c r="O884" s="1"/>
      <c r="P884" s="1"/>
      <c r="Q884" s="1"/>
      <c r="R884" s="1"/>
      <c r="S884" s="1"/>
      <c r="T884" s="1"/>
      <c r="U884" s="2"/>
      <c r="V884" s="1"/>
      <c r="W884" s="1"/>
      <c r="X884" s="1"/>
      <c r="Y884" s="1"/>
      <c r="Z884" s="1"/>
    </row>
    <row r="885" spans="1:26" ht="24.75" customHeight="1">
      <c r="A885" s="1"/>
      <c r="B885" s="1"/>
      <c r="C885" s="1"/>
      <c r="D885" s="1"/>
      <c r="E885" s="1"/>
      <c r="F885" s="1"/>
      <c r="G885" s="1"/>
      <c r="H885" s="1"/>
      <c r="I885" s="1"/>
      <c r="J885" s="1"/>
      <c r="K885" s="1"/>
      <c r="L885" s="1"/>
      <c r="M885" s="1"/>
      <c r="N885" s="1"/>
      <c r="O885" s="1"/>
      <c r="P885" s="1"/>
      <c r="Q885" s="1"/>
      <c r="R885" s="1"/>
      <c r="S885" s="1"/>
      <c r="T885" s="1"/>
      <c r="U885" s="2"/>
      <c r="V885" s="1"/>
      <c r="W885" s="1"/>
      <c r="X885" s="1"/>
      <c r="Y885" s="1"/>
      <c r="Z885" s="1"/>
    </row>
    <row r="886" spans="1:26" ht="24.75" customHeight="1">
      <c r="A886" s="1"/>
      <c r="B886" s="1"/>
      <c r="C886" s="1"/>
      <c r="D886" s="1"/>
      <c r="E886" s="1"/>
      <c r="F886" s="1"/>
      <c r="G886" s="1"/>
      <c r="H886" s="1"/>
      <c r="I886" s="1"/>
      <c r="J886" s="1"/>
      <c r="K886" s="1"/>
      <c r="L886" s="1"/>
      <c r="M886" s="1"/>
      <c r="N886" s="1"/>
      <c r="O886" s="1"/>
      <c r="P886" s="1"/>
      <c r="Q886" s="1"/>
      <c r="R886" s="1"/>
      <c r="S886" s="1"/>
      <c r="T886" s="1"/>
      <c r="U886" s="2"/>
      <c r="V886" s="1"/>
      <c r="W886" s="1"/>
      <c r="X886" s="1"/>
      <c r="Y886" s="1"/>
      <c r="Z886" s="1"/>
    </row>
    <row r="887" spans="1:26" ht="24.75" customHeight="1">
      <c r="A887" s="1"/>
      <c r="B887" s="1"/>
      <c r="C887" s="1"/>
      <c r="D887" s="1"/>
      <c r="E887" s="1"/>
      <c r="F887" s="1"/>
      <c r="G887" s="1"/>
      <c r="H887" s="1"/>
      <c r="I887" s="1"/>
      <c r="J887" s="1"/>
      <c r="K887" s="1"/>
      <c r="L887" s="1"/>
      <c r="M887" s="1"/>
      <c r="N887" s="1"/>
      <c r="O887" s="1"/>
      <c r="P887" s="1"/>
      <c r="Q887" s="1"/>
      <c r="R887" s="1"/>
      <c r="S887" s="1"/>
      <c r="T887" s="1"/>
      <c r="U887" s="2"/>
      <c r="V887" s="1"/>
      <c r="W887" s="1"/>
      <c r="X887" s="1"/>
      <c r="Y887" s="1"/>
      <c r="Z887" s="1"/>
    </row>
    <row r="888" spans="1:26" ht="24.75" customHeight="1">
      <c r="A888" s="1"/>
      <c r="B888" s="1"/>
      <c r="C888" s="1"/>
      <c r="D888" s="1"/>
      <c r="E888" s="1"/>
      <c r="F888" s="1"/>
      <c r="G888" s="1"/>
      <c r="H888" s="1"/>
      <c r="I888" s="1"/>
      <c r="J888" s="1"/>
      <c r="K888" s="1"/>
      <c r="L888" s="1"/>
      <c r="M888" s="1"/>
      <c r="N888" s="1"/>
      <c r="O888" s="1"/>
      <c r="P888" s="1"/>
      <c r="Q888" s="1"/>
      <c r="R888" s="1"/>
      <c r="S888" s="1"/>
      <c r="T888" s="1"/>
      <c r="U888" s="2"/>
      <c r="V888" s="1"/>
      <c r="W888" s="1"/>
      <c r="X888" s="1"/>
      <c r="Y888" s="1"/>
      <c r="Z888" s="1"/>
    </row>
    <row r="889" spans="1:26" ht="24.75" customHeight="1">
      <c r="A889" s="1"/>
      <c r="B889" s="1"/>
      <c r="C889" s="1"/>
      <c r="D889" s="1"/>
      <c r="E889" s="1"/>
      <c r="F889" s="1"/>
      <c r="G889" s="1"/>
      <c r="H889" s="1"/>
      <c r="I889" s="1"/>
      <c r="J889" s="1"/>
      <c r="K889" s="1"/>
      <c r="L889" s="1"/>
      <c r="M889" s="1"/>
      <c r="N889" s="1"/>
      <c r="O889" s="1"/>
      <c r="P889" s="1"/>
      <c r="Q889" s="1"/>
      <c r="R889" s="1"/>
      <c r="S889" s="1"/>
      <c r="T889" s="1"/>
      <c r="U889" s="2"/>
      <c r="V889" s="1"/>
      <c r="W889" s="1"/>
      <c r="X889" s="1"/>
      <c r="Y889" s="1"/>
      <c r="Z889" s="1"/>
    </row>
    <row r="890" spans="1:26" ht="24.75" customHeight="1">
      <c r="A890" s="1"/>
      <c r="B890" s="1"/>
      <c r="C890" s="1"/>
      <c r="D890" s="1"/>
      <c r="E890" s="1"/>
      <c r="F890" s="1"/>
      <c r="G890" s="1"/>
      <c r="H890" s="1"/>
      <c r="I890" s="1"/>
      <c r="J890" s="1"/>
      <c r="K890" s="1"/>
      <c r="L890" s="1"/>
      <c r="M890" s="1"/>
      <c r="N890" s="1"/>
      <c r="O890" s="1"/>
      <c r="P890" s="1"/>
      <c r="Q890" s="1"/>
      <c r="R890" s="1"/>
      <c r="S890" s="1"/>
      <c r="T890" s="1"/>
      <c r="U890" s="2"/>
      <c r="V890" s="1"/>
      <c r="W890" s="1"/>
      <c r="X890" s="1"/>
      <c r="Y890" s="1"/>
      <c r="Z890" s="1"/>
    </row>
    <row r="891" spans="1:26" ht="24.75" customHeight="1">
      <c r="A891" s="1"/>
      <c r="B891" s="1"/>
      <c r="C891" s="1"/>
      <c r="D891" s="1"/>
      <c r="E891" s="1"/>
      <c r="F891" s="1"/>
      <c r="G891" s="1"/>
      <c r="H891" s="1"/>
      <c r="I891" s="1"/>
      <c r="J891" s="1"/>
      <c r="K891" s="1"/>
      <c r="L891" s="1"/>
      <c r="M891" s="1"/>
      <c r="N891" s="1"/>
      <c r="O891" s="1"/>
      <c r="P891" s="1"/>
      <c r="Q891" s="1"/>
      <c r="R891" s="1"/>
      <c r="S891" s="1"/>
      <c r="T891" s="1"/>
      <c r="U891" s="2"/>
      <c r="V891" s="1"/>
      <c r="W891" s="1"/>
      <c r="X891" s="1"/>
      <c r="Y891" s="1"/>
      <c r="Z891" s="1"/>
    </row>
    <row r="892" spans="1:26" ht="24.75" customHeight="1">
      <c r="A892" s="1"/>
      <c r="B892" s="1"/>
      <c r="C892" s="1"/>
      <c r="D892" s="1"/>
      <c r="E892" s="1"/>
      <c r="F892" s="1"/>
      <c r="G892" s="1"/>
      <c r="H892" s="1"/>
      <c r="I892" s="1"/>
      <c r="J892" s="1"/>
      <c r="K892" s="1"/>
      <c r="L892" s="1"/>
      <c r="M892" s="1"/>
      <c r="N892" s="1"/>
      <c r="O892" s="1"/>
      <c r="P892" s="1"/>
      <c r="Q892" s="1"/>
      <c r="R892" s="1"/>
      <c r="S892" s="1"/>
      <c r="T892" s="1"/>
      <c r="U892" s="2"/>
      <c r="V892" s="1"/>
      <c r="W892" s="1"/>
      <c r="X892" s="1"/>
      <c r="Y892" s="1"/>
      <c r="Z892" s="1"/>
    </row>
    <row r="893" spans="1:26" ht="24.75" customHeight="1">
      <c r="A893" s="1"/>
      <c r="B893" s="1"/>
      <c r="C893" s="1"/>
      <c r="D893" s="1"/>
      <c r="E893" s="1"/>
      <c r="F893" s="1"/>
      <c r="G893" s="1"/>
      <c r="H893" s="1"/>
      <c r="I893" s="1"/>
      <c r="J893" s="1"/>
      <c r="K893" s="1"/>
      <c r="L893" s="1"/>
      <c r="M893" s="1"/>
      <c r="N893" s="1"/>
      <c r="O893" s="1"/>
      <c r="P893" s="1"/>
      <c r="Q893" s="1"/>
      <c r="R893" s="1"/>
      <c r="S893" s="1"/>
      <c r="T893" s="1"/>
      <c r="U893" s="2"/>
      <c r="V893" s="1"/>
      <c r="W893" s="1"/>
      <c r="X893" s="1"/>
      <c r="Y893" s="1"/>
      <c r="Z893" s="1"/>
    </row>
    <row r="894" spans="1:26" ht="24.75" customHeight="1">
      <c r="A894" s="1"/>
      <c r="B894" s="1"/>
      <c r="C894" s="1"/>
      <c r="D894" s="1"/>
      <c r="E894" s="1"/>
      <c r="F894" s="1"/>
      <c r="G894" s="1"/>
      <c r="H894" s="1"/>
      <c r="I894" s="1"/>
      <c r="J894" s="1"/>
      <c r="K894" s="1"/>
      <c r="L894" s="1"/>
      <c r="M894" s="1"/>
      <c r="N894" s="1"/>
      <c r="O894" s="1"/>
      <c r="P894" s="1"/>
      <c r="Q894" s="1"/>
      <c r="R894" s="1"/>
      <c r="S894" s="1"/>
      <c r="T894" s="1"/>
      <c r="U894" s="2"/>
      <c r="V894" s="1"/>
      <c r="W894" s="1"/>
      <c r="X894" s="1"/>
      <c r="Y894" s="1"/>
      <c r="Z894" s="1"/>
    </row>
    <row r="895" spans="1:26" ht="24.75" customHeight="1">
      <c r="A895" s="1"/>
      <c r="B895" s="1"/>
      <c r="C895" s="1"/>
      <c r="D895" s="1"/>
      <c r="E895" s="1"/>
      <c r="F895" s="1"/>
      <c r="G895" s="1"/>
      <c r="H895" s="1"/>
      <c r="I895" s="1"/>
      <c r="J895" s="1"/>
      <c r="K895" s="1"/>
      <c r="L895" s="1"/>
      <c r="M895" s="1"/>
      <c r="N895" s="1"/>
      <c r="O895" s="1"/>
      <c r="P895" s="1"/>
      <c r="Q895" s="1"/>
      <c r="R895" s="1"/>
      <c r="S895" s="1"/>
      <c r="T895" s="1"/>
      <c r="U895" s="2"/>
      <c r="V895" s="1"/>
      <c r="W895" s="1"/>
      <c r="X895" s="1"/>
      <c r="Y895" s="1"/>
      <c r="Z895" s="1"/>
    </row>
    <row r="896" spans="1:26" ht="24.75" customHeight="1">
      <c r="A896" s="1"/>
      <c r="B896" s="1"/>
      <c r="C896" s="1"/>
      <c r="D896" s="1"/>
      <c r="E896" s="1"/>
      <c r="F896" s="1"/>
      <c r="G896" s="1"/>
      <c r="H896" s="1"/>
      <c r="I896" s="1"/>
      <c r="J896" s="1"/>
      <c r="K896" s="1"/>
      <c r="L896" s="1"/>
      <c r="M896" s="1"/>
      <c r="N896" s="1"/>
      <c r="O896" s="1"/>
      <c r="P896" s="1"/>
      <c r="Q896" s="1"/>
      <c r="R896" s="1"/>
      <c r="S896" s="1"/>
      <c r="T896" s="1"/>
      <c r="U896" s="2"/>
      <c r="V896" s="1"/>
      <c r="W896" s="1"/>
      <c r="X896" s="1"/>
      <c r="Y896" s="1"/>
      <c r="Z896" s="1"/>
    </row>
    <row r="897" spans="1:26" ht="24.75" customHeight="1">
      <c r="A897" s="1"/>
      <c r="B897" s="1"/>
      <c r="C897" s="1"/>
      <c r="D897" s="1"/>
      <c r="E897" s="1"/>
      <c r="F897" s="1"/>
      <c r="G897" s="1"/>
      <c r="H897" s="1"/>
      <c r="I897" s="1"/>
      <c r="J897" s="1"/>
      <c r="K897" s="1"/>
      <c r="L897" s="1"/>
      <c r="M897" s="1"/>
      <c r="N897" s="1"/>
      <c r="O897" s="1"/>
      <c r="P897" s="1"/>
      <c r="Q897" s="1"/>
      <c r="R897" s="1"/>
      <c r="S897" s="1"/>
      <c r="T897" s="1"/>
      <c r="U897" s="2"/>
      <c r="V897" s="1"/>
      <c r="W897" s="1"/>
      <c r="X897" s="1"/>
      <c r="Y897" s="1"/>
      <c r="Z897" s="1"/>
    </row>
    <row r="898" spans="1:26" ht="24.75" customHeight="1">
      <c r="A898" s="1"/>
      <c r="B898" s="1"/>
      <c r="C898" s="1"/>
      <c r="D898" s="1"/>
      <c r="E898" s="1"/>
      <c r="F898" s="1"/>
      <c r="G898" s="1"/>
      <c r="H898" s="1"/>
      <c r="I898" s="1"/>
      <c r="J898" s="1"/>
      <c r="K898" s="1"/>
      <c r="L898" s="1"/>
      <c r="M898" s="1"/>
      <c r="N898" s="1"/>
      <c r="O898" s="1"/>
      <c r="P898" s="1"/>
      <c r="Q898" s="1"/>
      <c r="R898" s="1"/>
      <c r="S898" s="1"/>
      <c r="T898" s="1"/>
      <c r="U898" s="2"/>
      <c r="V898" s="1"/>
      <c r="W898" s="1"/>
      <c r="X898" s="1"/>
      <c r="Y898" s="1"/>
      <c r="Z898" s="1"/>
    </row>
    <row r="899" spans="1:26" ht="24.75" customHeight="1">
      <c r="A899" s="1"/>
      <c r="B899" s="1"/>
      <c r="C899" s="1"/>
      <c r="D899" s="1"/>
      <c r="E899" s="1"/>
      <c r="F899" s="1"/>
      <c r="G899" s="1"/>
      <c r="H899" s="1"/>
      <c r="I899" s="1"/>
      <c r="J899" s="1"/>
      <c r="K899" s="1"/>
      <c r="L899" s="1"/>
      <c r="M899" s="1"/>
      <c r="N899" s="1"/>
      <c r="O899" s="1"/>
      <c r="P899" s="1"/>
      <c r="Q899" s="1"/>
      <c r="R899" s="1"/>
      <c r="S899" s="1"/>
      <c r="T899" s="1"/>
      <c r="U899" s="2"/>
      <c r="V899" s="1"/>
      <c r="W899" s="1"/>
      <c r="X899" s="1"/>
      <c r="Y899" s="1"/>
      <c r="Z899" s="1"/>
    </row>
    <row r="900" spans="1:26" ht="24.75" customHeight="1">
      <c r="A900" s="1"/>
      <c r="B900" s="1"/>
      <c r="C900" s="1"/>
      <c r="D900" s="1"/>
      <c r="E900" s="1"/>
      <c r="F900" s="1"/>
      <c r="G900" s="1"/>
      <c r="H900" s="1"/>
      <c r="I900" s="1"/>
      <c r="J900" s="1"/>
      <c r="K900" s="1"/>
      <c r="L900" s="1"/>
      <c r="M900" s="1"/>
      <c r="N900" s="1"/>
      <c r="O900" s="1"/>
      <c r="P900" s="1"/>
      <c r="Q900" s="1"/>
      <c r="R900" s="1"/>
      <c r="S900" s="1"/>
      <c r="T900" s="1"/>
      <c r="U900" s="2"/>
      <c r="V900" s="1"/>
      <c r="W900" s="1"/>
      <c r="X900" s="1"/>
      <c r="Y900" s="1"/>
      <c r="Z900" s="1"/>
    </row>
    <row r="901" spans="1:26" ht="24.75" customHeight="1">
      <c r="A901" s="1"/>
      <c r="B901" s="1"/>
      <c r="C901" s="1"/>
      <c r="D901" s="1"/>
      <c r="E901" s="1"/>
      <c r="F901" s="1"/>
      <c r="G901" s="1"/>
      <c r="H901" s="1"/>
      <c r="I901" s="1"/>
      <c r="J901" s="1"/>
      <c r="K901" s="1"/>
      <c r="L901" s="1"/>
      <c r="M901" s="1"/>
      <c r="N901" s="1"/>
      <c r="O901" s="1"/>
      <c r="P901" s="1"/>
      <c r="Q901" s="1"/>
      <c r="R901" s="1"/>
      <c r="S901" s="1"/>
      <c r="T901" s="1"/>
      <c r="U901" s="2"/>
      <c r="V901" s="1"/>
      <c r="W901" s="1"/>
      <c r="X901" s="1"/>
      <c r="Y901" s="1"/>
      <c r="Z901" s="1"/>
    </row>
    <row r="902" spans="1:26" ht="24.75" customHeight="1">
      <c r="A902" s="1"/>
      <c r="B902" s="1"/>
      <c r="C902" s="1"/>
      <c r="D902" s="1"/>
      <c r="E902" s="1"/>
      <c r="F902" s="1"/>
      <c r="G902" s="1"/>
      <c r="H902" s="1"/>
      <c r="I902" s="1"/>
      <c r="J902" s="1"/>
      <c r="K902" s="1"/>
      <c r="L902" s="1"/>
      <c r="M902" s="1"/>
      <c r="N902" s="1"/>
      <c r="O902" s="1"/>
      <c r="P902" s="1"/>
      <c r="Q902" s="1"/>
      <c r="R902" s="1"/>
      <c r="S902" s="1"/>
      <c r="T902" s="1"/>
      <c r="U902" s="2"/>
      <c r="V902" s="1"/>
      <c r="W902" s="1"/>
      <c r="X902" s="1"/>
      <c r="Y902" s="1"/>
      <c r="Z902" s="1"/>
    </row>
    <row r="903" spans="1:26" ht="24.75" customHeight="1">
      <c r="A903" s="1"/>
      <c r="B903" s="1"/>
      <c r="C903" s="1"/>
      <c r="D903" s="1"/>
      <c r="E903" s="1"/>
      <c r="F903" s="1"/>
      <c r="G903" s="1"/>
      <c r="H903" s="1"/>
      <c r="I903" s="1"/>
      <c r="J903" s="1"/>
      <c r="K903" s="1"/>
      <c r="L903" s="1"/>
      <c r="M903" s="1"/>
      <c r="N903" s="1"/>
      <c r="O903" s="1"/>
      <c r="P903" s="1"/>
      <c r="Q903" s="1"/>
      <c r="R903" s="1"/>
      <c r="S903" s="1"/>
      <c r="T903" s="1"/>
      <c r="U903" s="2"/>
      <c r="V903" s="1"/>
      <c r="W903" s="1"/>
      <c r="X903" s="1"/>
      <c r="Y903" s="1"/>
      <c r="Z903" s="1"/>
    </row>
    <row r="904" spans="1:26" ht="24.75" customHeight="1">
      <c r="A904" s="1"/>
      <c r="B904" s="1"/>
      <c r="C904" s="1"/>
      <c r="D904" s="1"/>
      <c r="E904" s="1"/>
      <c r="F904" s="1"/>
      <c r="G904" s="1"/>
      <c r="H904" s="1"/>
      <c r="I904" s="1"/>
      <c r="J904" s="1"/>
      <c r="K904" s="1"/>
      <c r="L904" s="1"/>
      <c r="M904" s="1"/>
      <c r="N904" s="1"/>
      <c r="O904" s="1"/>
      <c r="P904" s="1"/>
      <c r="Q904" s="1"/>
      <c r="R904" s="1"/>
      <c r="S904" s="1"/>
      <c r="T904" s="1"/>
      <c r="U904" s="2"/>
      <c r="V904" s="1"/>
      <c r="W904" s="1"/>
      <c r="X904" s="1"/>
      <c r="Y904" s="1"/>
      <c r="Z904" s="1"/>
    </row>
    <row r="905" spans="1:26" ht="24.75" customHeight="1">
      <c r="A905" s="1"/>
      <c r="B905" s="1"/>
      <c r="C905" s="1"/>
      <c r="D905" s="1"/>
      <c r="E905" s="1"/>
      <c r="F905" s="1"/>
      <c r="G905" s="1"/>
      <c r="H905" s="1"/>
      <c r="I905" s="1"/>
      <c r="J905" s="1"/>
      <c r="K905" s="1"/>
      <c r="L905" s="1"/>
      <c r="M905" s="1"/>
      <c r="N905" s="1"/>
      <c r="O905" s="1"/>
      <c r="P905" s="1"/>
      <c r="Q905" s="1"/>
      <c r="R905" s="1"/>
      <c r="S905" s="1"/>
      <c r="T905" s="1"/>
      <c r="U905" s="2"/>
      <c r="V905" s="1"/>
      <c r="W905" s="1"/>
      <c r="X905" s="1"/>
      <c r="Y905" s="1"/>
      <c r="Z905" s="1"/>
    </row>
    <row r="906" spans="1:26" ht="24.75" customHeight="1">
      <c r="A906" s="1"/>
      <c r="B906" s="1"/>
      <c r="C906" s="1"/>
      <c r="D906" s="1"/>
      <c r="E906" s="1"/>
      <c r="F906" s="1"/>
      <c r="G906" s="1"/>
      <c r="H906" s="1"/>
      <c r="I906" s="1"/>
      <c r="J906" s="1"/>
      <c r="K906" s="1"/>
      <c r="L906" s="1"/>
      <c r="M906" s="1"/>
      <c r="N906" s="1"/>
      <c r="O906" s="1"/>
      <c r="P906" s="1"/>
      <c r="Q906" s="1"/>
      <c r="R906" s="1"/>
      <c r="S906" s="1"/>
      <c r="T906" s="1"/>
      <c r="U906" s="2"/>
      <c r="V906" s="1"/>
      <c r="W906" s="1"/>
      <c r="X906" s="1"/>
      <c r="Y906" s="1"/>
      <c r="Z906" s="1"/>
    </row>
    <row r="907" spans="1:26" ht="24.75" customHeight="1">
      <c r="A907" s="1"/>
      <c r="B907" s="1"/>
      <c r="C907" s="1"/>
      <c r="D907" s="1"/>
      <c r="E907" s="1"/>
      <c r="F907" s="1"/>
      <c r="G907" s="1"/>
      <c r="H907" s="1"/>
      <c r="I907" s="1"/>
      <c r="J907" s="1"/>
      <c r="K907" s="1"/>
      <c r="L907" s="1"/>
      <c r="M907" s="1"/>
      <c r="N907" s="1"/>
      <c r="O907" s="1"/>
      <c r="P907" s="1"/>
      <c r="Q907" s="1"/>
      <c r="R907" s="1"/>
      <c r="S907" s="1"/>
      <c r="T907" s="1"/>
      <c r="U907" s="2"/>
      <c r="V907" s="1"/>
      <c r="W907" s="1"/>
      <c r="X907" s="1"/>
      <c r="Y907" s="1"/>
      <c r="Z907" s="1"/>
    </row>
    <row r="908" spans="1:26" ht="24.75" customHeight="1">
      <c r="A908" s="1"/>
      <c r="B908" s="1"/>
      <c r="C908" s="1"/>
      <c r="D908" s="1"/>
      <c r="E908" s="1"/>
      <c r="F908" s="1"/>
      <c r="G908" s="1"/>
      <c r="H908" s="1"/>
      <c r="I908" s="1"/>
      <c r="J908" s="1"/>
      <c r="K908" s="1"/>
      <c r="L908" s="1"/>
      <c r="M908" s="1"/>
      <c r="N908" s="1"/>
      <c r="O908" s="1"/>
      <c r="P908" s="1"/>
      <c r="Q908" s="1"/>
      <c r="R908" s="1"/>
      <c r="S908" s="1"/>
      <c r="T908" s="1"/>
      <c r="U908" s="2"/>
      <c r="V908" s="1"/>
      <c r="W908" s="1"/>
      <c r="X908" s="1"/>
      <c r="Y908" s="1"/>
      <c r="Z908" s="1"/>
    </row>
    <row r="909" spans="1:26" ht="24.75" customHeight="1">
      <c r="A909" s="1"/>
      <c r="B909" s="1"/>
      <c r="C909" s="1"/>
      <c r="D909" s="1"/>
      <c r="E909" s="1"/>
      <c r="F909" s="1"/>
      <c r="G909" s="1"/>
      <c r="H909" s="1"/>
      <c r="I909" s="1"/>
      <c r="J909" s="1"/>
      <c r="K909" s="1"/>
      <c r="L909" s="1"/>
      <c r="M909" s="1"/>
      <c r="N909" s="1"/>
      <c r="O909" s="1"/>
      <c r="P909" s="1"/>
      <c r="Q909" s="1"/>
      <c r="R909" s="1"/>
      <c r="S909" s="1"/>
      <c r="T909" s="1"/>
      <c r="U909" s="2"/>
      <c r="V909" s="1"/>
      <c r="W909" s="1"/>
      <c r="X909" s="1"/>
      <c r="Y909" s="1"/>
      <c r="Z909" s="1"/>
    </row>
    <row r="910" spans="1:26" ht="24.75" customHeight="1">
      <c r="A910" s="1"/>
      <c r="B910" s="1"/>
      <c r="C910" s="1"/>
      <c r="D910" s="1"/>
      <c r="E910" s="1"/>
      <c r="F910" s="1"/>
      <c r="G910" s="1"/>
      <c r="H910" s="1"/>
      <c r="I910" s="1"/>
      <c r="J910" s="1"/>
      <c r="K910" s="1"/>
      <c r="L910" s="1"/>
      <c r="M910" s="1"/>
      <c r="N910" s="1"/>
      <c r="O910" s="1"/>
      <c r="P910" s="1"/>
      <c r="Q910" s="1"/>
      <c r="R910" s="1"/>
      <c r="S910" s="1"/>
      <c r="T910" s="1"/>
      <c r="U910" s="2"/>
      <c r="V910" s="1"/>
      <c r="W910" s="1"/>
      <c r="X910" s="1"/>
      <c r="Y910" s="1"/>
      <c r="Z910" s="1"/>
    </row>
    <row r="911" spans="1:26" ht="24.75" customHeight="1">
      <c r="A911" s="1"/>
      <c r="B911" s="1"/>
      <c r="C911" s="1"/>
      <c r="D911" s="1"/>
      <c r="E911" s="1"/>
      <c r="F911" s="1"/>
      <c r="G911" s="1"/>
      <c r="H911" s="1"/>
      <c r="I911" s="1"/>
      <c r="J911" s="1"/>
      <c r="K911" s="1"/>
      <c r="L911" s="1"/>
      <c r="M911" s="1"/>
      <c r="N911" s="1"/>
      <c r="O911" s="1"/>
      <c r="P911" s="1"/>
      <c r="Q911" s="1"/>
      <c r="R911" s="1"/>
      <c r="S911" s="1"/>
      <c r="T911" s="1"/>
      <c r="U911" s="2"/>
      <c r="V911" s="1"/>
      <c r="W911" s="1"/>
      <c r="X911" s="1"/>
      <c r="Y911" s="1"/>
      <c r="Z911" s="1"/>
    </row>
    <row r="912" spans="1:26" ht="24.75" customHeight="1">
      <c r="A912" s="1"/>
      <c r="B912" s="1"/>
      <c r="C912" s="1"/>
      <c r="D912" s="1"/>
      <c r="E912" s="1"/>
      <c r="F912" s="1"/>
      <c r="G912" s="1"/>
      <c r="H912" s="1"/>
      <c r="I912" s="1"/>
      <c r="J912" s="1"/>
      <c r="K912" s="1"/>
      <c r="L912" s="1"/>
      <c r="M912" s="1"/>
      <c r="N912" s="1"/>
      <c r="O912" s="1"/>
      <c r="P912" s="1"/>
      <c r="Q912" s="1"/>
      <c r="R912" s="1"/>
      <c r="S912" s="1"/>
      <c r="T912" s="1"/>
      <c r="U912" s="2"/>
      <c r="V912" s="1"/>
      <c r="W912" s="1"/>
      <c r="X912" s="1"/>
      <c r="Y912" s="1"/>
      <c r="Z912" s="1"/>
    </row>
    <row r="913" spans="1:26" ht="24.75" customHeight="1">
      <c r="A913" s="1"/>
      <c r="B913" s="1"/>
      <c r="C913" s="1"/>
      <c r="D913" s="1"/>
      <c r="E913" s="1"/>
      <c r="F913" s="1"/>
      <c r="G913" s="1"/>
      <c r="H913" s="1"/>
      <c r="I913" s="1"/>
      <c r="J913" s="1"/>
      <c r="K913" s="1"/>
      <c r="L913" s="1"/>
      <c r="M913" s="1"/>
      <c r="N913" s="1"/>
      <c r="O913" s="1"/>
      <c r="P913" s="1"/>
      <c r="Q913" s="1"/>
      <c r="R913" s="1"/>
      <c r="S913" s="1"/>
      <c r="T913" s="1"/>
      <c r="U913" s="2"/>
      <c r="V913" s="1"/>
      <c r="W913" s="1"/>
      <c r="X913" s="1"/>
      <c r="Y913" s="1"/>
      <c r="Z913" s="1"/>
    </row>
    <row r="914" spans="1:26" ht="24.75" customHeight="1">
      <c r="A914" s="1"/>
      <c r="B914" s="1"/>
      <c r="C914" s="1"/>
      <c r="D914" s="1"/>
      <c r="E914" s="1"/>
      <c r="F914" s="1"/>
      <c r="G914" s="1"/>
      <c r="H914" s="1"/>
      <c r="I914" s="1"/>
      <c r="J914" s="1"/>
      <c r="K914" s="1"/>
      <c r="L914" s="1"/>
      <c r="M914" s="1"/>
      <c r="N914" s="1"/>
      <c r="O914" s="1"/>
      <c r="P914" s="1"/>
      <c r="Q914" s="1"/>
      <c r="R914" s="1"/>
      <c r="S914" s="1"/>
      <c r="T914" s="1"/>
      <c r="U914" s="2"/>
      <c r="V914" s="1"/>
      <c r="W914" s="1"/>
      <c r="X914" s="1"/>
      <c r="Y914" s="1"/>
      <c r="Z914" s="1"/>
    </row>
    <row r="915" spans="1:26" ht="24.75" customHeight="1">
      <c r="A915" s="1"/>
      <c r="B915" s="1"/>
      <c r="C915" s="1"/>
      <c r="D915" s="1"/>
      <c r="E915" s="1"/>
      <c r="F915" s="1"/>
      <c r="G915" s="1"/>
      <c r="H915" s="1"/>
      <c r="I915" s="1"/>
      <c r="J915" s="1"/>
      <c r="K915" s="1"/>
      <c r="L915" s="1"/>
      <c r="M915" s="1"/>
      <c r="N915" s="1"/>
      <c r="O915" s="1"/>
      <c r="P915" s="1"/>
      <c r="Q915" s="1"/>
      <c r="R915" s="1"/>
      <c r="S915" s="1"/>
      <c r="T915" s="1"/>
      <c r="U915" s="2"/>
      <c r="V915" s="1"/>
      <c r="W915" s="1"/>
      <c r="X915" s="1"/>
      <c r="Y915" s="1"/>
      <c r="Z915" s="1"/>
    </row>
    <row r="916" spans="1:26" ht="24.75" customHeight="1">
      <c r="A916" s="1"/>
      <c r="B916" s="1"/>
      <c r="C916" s="1"/>
      <c r="D916" s="1"/>
      <c r="E916" s="1"/>
      <c r="F916" s="1"/>
      <c r="G916" s="1"/>
      <c r="H916" s="1"/>
      <c r="I916" s="1"/>
      <c r="J916" s="1"/>
      <c r="K916" s="1"/>
      <c r="L916" s="1"/>
      <c r="M916" s="1"/>
      <c r="N916" s="1"/>
      <c r="O916" s="1"/>
      <c r="P916" s="1"/>
      <c r="Q916" s="1"/>
      <c r="R916" s="1"/>
      <c r="S916" s="1"/>
      <c r="T916" s="1"/>
      <c r="U916" s="2"/>
      <c r="V916" s="1"/>
      <c r="W916" s="1"/>
      <c r="X916" s="1"/>
      <c r="Y916" s="1"/>
      <c r="Z916" s="1"/>
    </row>
    <row r="917" spans="1:26" ht="24.75" customHeight="1">
      <c r="A917" s="1"/>
      <c r="B917" s="1"/>
      <c r="C917" s="1"/>
      <c r="D917" s="1"/>
      <c r="E917" s="1"/>
      <c r="F917" s="1"/>
      <c r="G917" s="1"/>
      <c r="H917" s="1"/>
      <c r="I917" s="1"/>
      <c r="J917" s="1"/>
      <c r="K917" s="1"/>
      <c r="L917" s="1"/>
      <c r="M917" s="1"/>
      <c r="N917" s="1"/>
      <c r="O917" s="1"/>
      <c r="P917" s="1"/>
      <c r="Q917" s="1"/>
      <c r="R917" s="1"/>
      <c r="S917" s="1"/>
      <c r="T917" s="1"/>
      <c r="U917" s="2"/>
      <c r="V917" s="1"/>
      <c r="W917" s="1"/>
      <c r="X917" s="1"/>
      <c r="Y917" s="1"/>
      <c r="Z917" s="1"/>
    </row>
    <row r="918" spans="1:26" ht="24.75" customHeight="1">
      <c r="A918" s="1"/>
      <c r="B918" s="1"/>
      <c r="C918" s="1"/>
      <c r="D918" s="1"/>
      <c r="E918" s="1"/>
      <c r="F918" s="1"/>
      <c r="G918" s="1"/>
      <c r="H918" s="1"/>
      <c r="I918" s="1"/>
      <c r="J918" s="1"/>
      <c r="K918" s="1"/>
      <c r="L918" s="1"/>
      <c r="M918" s="1"/>
      <c r="N918" s="1"/>
      <c r="O918" s="1"/>
      <c r="P918" s="1"/>
      <c r="Q918" s="1"/>
      <c r="R918" s="1"/>
      <c r="S918" s="1"/>
      <c r="T918" s="1"/>
      <c r="U918" s="2"/>
      <c r="V918" s="1"/>
      <c r="W918" s="1"/>
      <c r="X918" s="1"/>
      <c r="Y918" s="1"/>
      <c r="Z918" s="1"/>
    </row>
    <row r="919" spans="1:26" ht="24.75" customHeight="1">
      <c r="A919" s="1"/>
      <c r="B919" s="1"/>
      <c r="C919" s="1"/>
      <c r="D919" s="1"/>
      <c r="E919" s="1"/>
      <c r="F919" s="1"/>
      <c r="G919" s="1"/>
      <c r="H919" s="1"/>
      <c r="I919" s="1"/>
      <c r="J919" s="1"/>
      <c r="K919" s="1"/>
      <c r="L919" s="1"/>
      <c r="M919" s="1"/>
      <c r="N919" s="1"/>
      <c r="O919" s="1"/>
      <c r="P919" s="1"/>
      <c r="Q919" s="1"/>
      <c r="R919" s="1"/>
      <c r="S919" s="1"/>
      <c r="T919" s="1"/>
      <c r="U919" s="2"/>
      <c r="V919" s="1"/>
      <c r="W919" s="1"/>
      <c r="X919" s="1"/>
      <c r="Y919" s="1"/>
      <c r="Z919" s="1"/>
    </row>
    <row r="920" spans="1:26" ht="24.75" customHeight="1">
      <c r="A920" s="1"/>
      <c r="B920" s="1"/>
      <c r="C920" s="1"/>
      <c r="D920" s="1"/>
      <c r="E920" s="1"/>
      <c r="F920" s="1"/>
      <c r="G920" s="1"/>
      <c r="H920" s="1"/>
      <c r="I920" s="1"/>
      <c r="J920" s="1"/>
      <c r="K920" s="1"/>
      <c r="L920" s="1"/>
      <c r="M920" s="1"/>
      <c r="N920" s="1"/>
      <c r="O920" s="1"/>
      <c r="P920" s="1"/>
      <c r="Q920" s="1"/>
      <c r="R920" s="1"/>
      <c r="S920" s="1"/>
      <c r="T920" s="1"/>
      <c r="U920" s="2"/>
      <c r="V920" s="1"/>
      <c r="W920" s="1"/>
      <c r="X920" s="1"/>
      <c r="Y920" s="1"/>
      <c r="Z920" s="1"/>
    </row>
    <row r="921" spans="1:26" ht="24.75" customHeight="1">
      <c r="A921" s="1"/>
      <c r="B921" s="1"/>
      <c r="C921" s="1"/>
      <c r="D921" s="1"/>
      <c r="E921" s="1"/>
      <c r="F921" s="1"/>
      <c r="G921" s="1"/>
      <c r="H921" s="1"/>
      <c r="I921" s="1"/>
      <c r="J921" s="1"/>
      <c r="K921" s="1"/>
      <c r="L921" s="1"/>
      <c r="M921" s="1"/>
      <c r="N921" s="1"/>
      <c r="O921" s="1"/>
      <c r="P921" s="1"/>
      <c r="Q921" s="1"/>
      <c r="R921" s="1"/>
      <c r="S921" s="1"/>
      <c r="T921" s="1"/>
      <c r="U921" s="2"/>
      <c r="V921" s="1"/>
      <c r="W921" s="1"/>
      <c r="X921" s="1"/>
      <c r="Y921" s="1"/>
      <c r="Z921" s="1"/>
    </row>
    <row r="922" spans="1:26" ht="24.75" customHeight="1">
      <c r="A922" s="1"/>
      <c r="B922" s="1"/>
      <c r="C922" s="1"/>
      <c r="D922" s="1"/>
      <c r="E922" s="1"/>
      <c r="F922" s="1"/>
      <c r="G922" s="1"/>
      <c r="H922" s="1"/>
      <c r="I922" s="1"/>
      <c r="J922" s="1"/>
      <c r="K922" s="1"/>
      <c r="L922" s="1"/>
      <c r="M922" s="1"/>
      <c r="N922" s="1"/>
      <c r="O922" s="1"/>
      <c r="P922" s="1"/>
      <c r="Q922" s="1"/>
      <c r="R922" s="1"/>
      <c r="S922" s="1"/>
      <c r="T922" s="1"/>
      <c r="U922" s="2"/>
      <c r="V922" s="1"/>
      <c r="W922" s="1"/>
      <c r="X922" s="1"/>
      <c r="Y922" s="1"/>
      <c r="Z922" s="1"/>
    </row>
    <row r="923" spans="1:26" ht="24.75" customHeight="1">
      <c r="A923" s="1"/>
      <c r="B923" s="1"/>
      <c r="C923" s="1"/>
      <c r="D923" s="1"/>
      <c r="E923" s="1"/>
      <c r="F923" s="1"/>
      <c r="G923" s="1"/>
      <c r="H923" s="1"/>
      <c r="I923" s="1"/>
      <c r="J923" s="1"/>
      <c r="K923" s="1"/>
      <c r="L923" s="1"/>
      <c r="M923" s="1"/>
      <c r="N923" s="1"/>
      <c r="O923" s="1"/>
      <c r="P923" s="1"/>
      <c r="Q923" s="1"/>
      <c r="R923" s="1"/>
      <c r="S923" s="1"/>
      <c r="T923" s="1"/>
      <c r="U923" s="2"/>
      <c r="V923" s="1"/>
      <c r="W923" s="1"/>
      <c r="X923" s="1"/>
      <c r="Y923" s="1"/>
      <c r="Z923" s="1"/>
    </row>
    <row r="924" spans="1:26" ht="24.75" customHeight="1">
      <c r="A924" s="1"/>
      <c r="B924" s="1"/>
      <c r="C924" s="1"/>
      <c r="D924" s="1"/>
      <c r="E924" s="1"/>
      <c r="F924" s="1"/>
      <c r="G924" s="1"/>
      <c r="H924" s="1"/>
      <c r="I924" s="1"/>
      <c r="J924" s="1"/>
      <c r="K924" s="1"/>
      <c r="L924" s="1"/>
      <c r="M924" s="1"/>
      <c r="N924" s="1"/>
      <c r="O924" s="1"/>
      <c r="P924" s="1"/>
      <c r="Q924" s="1"/>
      <c r="R924" s="1"/>
      <c r="S924" s="1"/>
      <c r="T924" s="1"/>
      <c r="U924" s="2"/>
      <c r="V924" s="1"/>
      <c r="W924" s="1"/>
      <c r="X924" s="1"/>
      <c r="Y924" s="1"/>
      <c r="Z924" s="1"/>
    </row>
    <row r="925" spans="1:26" ht="24.75" customHeight="1">
      <c r="A925" s="1"/>
      <c r="B925" s="1"/>
      <c r="C925" s="1"/>
      <c r="D925" s="1"/>
      <c r="E925" s="1"/>
      <c r="F925" s="1"/>
      <c r="G925" s="1"/>
      <c r="H925" s="1"/>
      <c r="I925" s="1"/>
      <c r="J925" s="1"/>
      <c r="K925" s="1"/>
      <c r="L925" s="1"/>
      <c r="M925" s="1"/>
      <c r="N925" s="1"/>
      <c r="O925" s="1"/>
      <c r="P925" s="1"/>
      <c r="Q925" s="1"/>
      <c r="R925" s="1"/>
      <c r="S925" s="1"/>
      <c r="T925" s="1"/>
      <c r="U925" s="2"/>
      <c r="V925" s="1"/>
      <c r="W925" s="1"/>
      <c r="X925" s="1"/>
      <c r="Y925" s="1"/>
      <c r="Z925" s="1"/>
    </row>
    <row r="926" spans="1:26" ht="24.75" customHeight="1">
      <c r="A926" s="1"/>
      <c r="B926" s="1"/>
      <c r="C926" s="1"/>
      <c r="D926" s="1"/>
      <c r="E926" s="1"/>
      <c r="F926" s="1"/>
      <c r="G926" s="1"/>
      <c r="H926" s="1"/>
      <c r="I926" s="1"/>
      <c r="J926" s="1"/>
      <c r="K926" s="1"/>
      <c r="L926" s="1"/>
      <c r="M926" s="1"/>
      <c r="N926" s="1"/>
      <c r="O926" s="1"/>
      <c r="P926" s="1"/>
      <c r="Q926" s="1"/>
      <c r="R926" s="1"/>
      <c r="S926" s="1"/>
      <c r="T926" s="1"/>
      <c r="U926" s="2"/>
      <c r="V926" s="1"/>
      <c r="W926" s="1"/>
      <c r="X926" s="1"/>
      <c r="Y926" s="1"/>
      <c r="Z926" s="1"/>
    </row>
    <row r="927" spans="1:26" ht="24.75" customHeight="1">
      <c r="A927" s="1"/>
      <c r="B927" s="1"/>
      <c r="C927" s="1"/>
      <c r="D927" s="1"/>
      <c r="E927" s="1"/>
      <c r="F927" s="1"/>
      <c r="G927" s="1"/>
      <c r="H927" s="1"/>
      <c r="I927" s="1"/>
      <c r="J927" s="1"/>
      <c r="K927" s="1"/>
      <c r="L927" s="1"/>
      <c r="M927" s="1"/>
      <c r="N927" s="1"/>
      <c r="O927" s="1"/>
      <c r="P927" s="1"/>
      <c r="Q927" s="1"/>
      <c r="R927" s="1"/>
      <c r="S927" s="1"/>
      <c r="T927" s="1"/>
      <c r="U927" s="2"/>
      <c r="V927" s="1"/>
      <c r="W927" s="1"/>
      <c r="X927" s="1"/>
      <c r="Y927" s="1"/>
      <c r="Z927" s="1"/>
    </row>
    <row r="928" spans="1:26" ht="24.75" customHeight="1">
      <c r="A928" s="1"/>
      <c r="B928" s="1"/>
      <c r="C928" s="1"/>
      <c r="D928" s="1"/>
      <c r="E928" s="1"/>
      <c r="F928" s="1"/>
      <c r="G928" s="1"/>
      <c r="H928" s="1"/>
      <c r="I928" s="1"/>
      <c r="J928" s="1"/>
      <c r="K928" s="1"/>
      <c r="L928" s="1"/>
      <c r="M928" s="1"/>
      <c r="N928" s="1"/>
      <c r="O928" s="1"/>
      <c r="P928" s="1"/>
      <c r="Q928" s="1"/>
      <c r="R928" s="1"/>
      <c r="S928" s="1"/>
      <c r="T928" s="1"/>
      <c r="U928" s="2"/>
      <c r="V928" s="1"/>
      <c r="W928" s="1"/>
      <c r="X928" s="1"/>
      <c r="Y928" s="1"/>
      <c r="Z928" s="1"/>
    </row>
    <row r="929" spans="1:26" ht="24.75" customHeight="1">
      <c r="A929" s="1"/>
      <c r="B929" s="1"/>
      <c r="C929" s="1"/>
      <c r="D929" s="1"/>
      <c r="E929" s="1"/>
      <c r="F929" s="1"/>
      <c r="G929" s="1"/>
      <c r="H929" s="1"/>
      <c r="I929" s="1"/>
      <c r="J929" s="1"/>
      <c r="K929" s="1"/>
      <c r="L929" s="1"/>
      <c r="M929" s="1"/>
      <c r="N929" s="1"/>
      <c r="O929" s="1"/>
      <c r="P929" s="1"/>
      <c r="Q929" s="1"/>
      <c r="R929" s="1"/>
      <c r="S929" s="1"/>
      <c r="T929" s="1"/>
      <c r="U929" s="2"/>
      <c r="V929" s="1"/>
      <c r="W929" s="1"/>
      <c r="X929" s="1"/>
      <c r="Y929" s="1"/>
      <c r="Z929" s="1"/>
    </row>
    <row r="930" spans="1:26" ht="24.75" customHeight="1">
      <c r="A930" s="1"/>
      <c r="B930" s="1"/>
      <c r="C930" s="1"/>
      <c r="D930" s="1"/>
      <c r="E930" s="1"/>
      <c r="F930" s="1"/>
      <c r="G930" s="1"/>
      <c r="H930" s="1"/>
      <c r="I930" s="1"/>
      <c r="J930" s="1"/>
      <c r="K930" s="1"/>
      <c r="L930" s="1"/>
      <c r="M930" s="1"/>
      <c r="N930" s="1"/>
      <c r="O930" s="1"/>
      <c r="P930" s="1"/>
      <c r="Q930" s="1"/>
      <c r="R930" s="1"/>
      <c r="S930" s="1"/>
      <c r="T930" s="1"/>
      <c r="U930" s="2"/>
      <c r="V930" s="1"/>
      <c r="W930" s="1"/>
      <c r="X930" s="1"/>
      <c r="Y930" s="1"/>
      <c r="Z930" s="1"/>
    </row>
    <row r="931" spans="1:26" ht="24.75" customHeight="1">
      <c r="A931" s="1"/>
      <c r="B931" s="1"/>
      <c r="C931" s="1"/>
      <c r="D931" s="1"/>
      <c r="E931" s="1"/>
      <c r="F931" s="1"/>
      <c r="G931" s="1"/>
      <c r="H931" s="1"/>
      <c r="I931" s="1"/>
      <c r="J931" s="1"/>
      <c r="K931" s="1"/>
      <c r="L931" s="1"/>
      <c r="M931" s="1"/>
      <c r="N931" s="1"/>
      <c r="O931" s="1"/>
      <c r="P931" s="1"/>
      <c r="Q931" s="1"/>
      <c r="R931" s="1"/>
      <c r="S931" s="1"/>
      <c r="T931" s="1"/>
      <c r="U931" s="2"/>
      <c r="V931" s="1"/>
      <c r="W931" s="1"/>
      <c r="X931" s="1"/>
      <c r="Y931" s="1"/>
      <c r="Z931" s="1"/>
    </row>
    <row r="932" spans="1:26" ht="24.75" customHeight="1">
      <c r="A932" s="1"/>
      <c r="B932" s="1"/>
      <c r="C932" s="1"/>
      <c r="D932" s="1"/>
      <c r="E932" s="1"/>
      <c r="F932" s="1"/>
      <c r="G932" s="1"/>
      <c r="H932" s="1"/>
      <c r="I932" s="1"/>
      <c r="J932" s="1"/>
      <c r="K932" s="1"/>
      <c r="L932" s="1"/>
      <c r="M932" s="1"/>
      <c r="N932" s="1"/>
      <c r="O932" s="1"/>
      <c r="P932" s="1"/>
      <c r="Q932" s="1"/>
      <c r="R932" s="1"/>
      <c r="S932" s="1"/>
      <c r="T932" s="1"/>
      <c r="U932" s="2"/>
      <c r="V932" s="1"/>
      <c r="W932" s="1"/>
      <c r="X932" s="1"/>
      <c r="Y932" s="1"/>
      <c r="Z932" s="1"/>
    </row>
    <row r="933" spans="1:26" ht="24.75" customHeight="1">
      <c r="A933" s="1"/>
      <c r="B933" s="1"/>
      <c r="C933" s="1"/>
      <c r="D933" s="1"/>
      <c r="E933" s="1"/>
      <c r="F933" s="1"/>
      <c r="G933" s="1"/>
      <c r="H933" s="1"/>
      <c r="I933" s="1"/>
      <c r="J933" s="1"/>
      <c r="K933" s="1"/>
      <c r="L933" s="1"/>
      <c r="M933" s="1"/>
      <c r="N933" s="1"/>
      <c r="O933" s="1"/>
      <c r="P933" s="1"/>
      <c r="Q933" s="1"/>
      <c r="R933" s="1"/>
      <c r="S933" s="1"/>
      <c r="T933" s="1"/>
      <c r="U933" s="2"/>
      <c r="V933" s="1"/>
      <c r="W933" s="1"/>
      <c r="X933" s="1"/>
      <c r="Y933" s="1"/>
      <c r="Z933" s="1"/>
    </row>
    <row r="934" spans="1:26" ht="24.75" customHeight="1">
      <c r="A934" s="1"/>
      <c r="B934" s="1"/>
      <c r="C934" s="1"/>
      <c r="D934" s="1"/>
      <c r="E934" s="1"/>
      <c r="F934" s="1"/>
      <c r="G934" s="1"/>
      <c r="H934" s="1"/>
      <c r="I934" s="1"/>
      <c r="J934" s="1"/>
      <c r="K934" s="1"/>
      <c r="L934" s="1"/>
      <c r="M934" s="1"/>
      <c r="N934" s="1"/>
      <c r="O934" s="1"/>
      <c r="P934" s="1"/>
      <c r="Q934" s="1"/>
      <c r="R934" s="1"/>
      <c r="S934" s="1"/>
      <c r="T934" s="1"/>
      <c r="U934" s="2"/>
      <c r="V934" s="1"/>
      <c r="W934" s="1"/>
      <c r="X934" s="1"/>
      <c r="Y934" s="1"/>
      <c r="Z934" s="1"/>
    </row>
    <row r="935" spans="1:26" ht="24.75" customHeight="1">
      <c r="A935" s="1"/>
      <c r="B935" s="1"/>
      <c r="C935" s="1"/>
      <c r="D935" s="1"/>
      <c r="E935" s="1"/>
      <c r="F935" s="1"/>
      <c r="G935" s="1"/>
      <c r="H935" s="1"/>
      <c r="I935" s="1"/>
      <c r="J935" s="1"/>
      <c r="K935" s="1"/>
      <c r="L935" s="1"/>
      <c r="M935" s="1"/>
      <c r="N935" s="1"/>
      <c r="O935" s="1"/>
      <c r="P935" s="1"/>
      <c r="Q935" s="1"/>
      <c r="R935" s="1"/>
      <c r="S935" s="1"/>
      <c r="T935" s="1"/>
      <c r="U935" s="2"/>
      <c r="V935" s="1"/>
      <c r="W935" s="1"/>
      <c r="X935" s="1"/>
      <c r="Y935" s="1"/>
      <c r="Z935" s="1"/>
    </row>
    <row r="936" spans="1:26" ht="24.75" customHeight="1">
      <c r="A936" s="1"/>
      <c r="B936" s="1"/>
      <c r="C936" s="1"/>
      <c r="D936" s="1"/>
      <c r="E936" s="1"/>
      <c r="F936" s="1"/>
      <c r="G936" s="1"/>
      <c r="H936" s="1"/>
      <c r="I936" s="1"/>
      <c r="J936" s="1"/>
      <c r="K936" s="1"/>
      <c r="L936" s="1"/>
      <c r="M936" s="1"/>
      <c r="N936" s="1"/>
      <c r="O936" s="1"/>
      <c r="P936" s="1"/>
      <c r="Q936" s="1"/>
      <c r="R936" s="1"/>
      <c r="S936" s="1"/>
      <c r="T936" s="1"/>
      <c r="U936" s="2"/>
      <c r="V936" s="1"/>
      <c r="W936" s="1"/>
      <c r="X936" s="1"/>
      <c r="Y936" s="1"/>
      <c r="Z936" s="1"/>
    </row>
    <row r="937" spans="1:26" ht="24.75" customHeight="1">
      <c r="A937" s="1"/>
      <c r="B937" s="1"/>
      <c r="C937" s="1"/>
      <c r="D937" s="1"/>
      <c r="E937" s="1"/>
      <c r="F937" s="1"/>
      <c r="G937" s="1"/>
      <c r="H937" s="1"/>
      <c r="I937" s="1"/>
      <c r="J937" s="1"/>
      <c r="K937" s="1"/>
      <c r="L937" s="1"/>
      <c r="M937" s="1"/>
      <c r="N937" s="1"/>
      <c r="O937" s="1"/>
      <c r="P937" s="1"/>
      <c r="Q937" s="1"/>
      <c r="R937" s="1"/>
      <c r="S937" s="1"/>
      <c r="T937" s="1"/>
      <c r="U937" s="2"/>
      <c r="V937" s="1"/>
      <c r="W937" s="1"/>
      <c r="X937" s="1"/>
      <c r="Y937" s="1"/>
      <c r="Z937" s="1"/>
    </row>
    <row r="938" spans="1:26" ht="24.75" customHeight="1">
      <c r="A938" s="1"/>
      <c r="B938" s="1"/>
      <c r="C938" s="1"/>
      <c r="D938" s="1"/>
      <c r="E938" s="1"/>
      <c r="F938" s="1"/>
      <c r="G938" s="1"/>
      <c r="H938" s="1"/>
      <c r="I938" s="1"/>
      <c r="J938" s="1"/>
      <c r="K938" s="1"/>
      <c r="L938" s="1"/>
      <c r="M938" s="1"/>
      <c r="N938" s="1"/>
      <c r="O938" s="1"/>
      <c r="P938" s="1"/>
      <c r="Q938" s="1"/>
      <c r="R938" s="1"/>
      <c r="S938" s="1"/>
      <c r="T938" s="1"/>
      <c r="U938" s="2"/>
      <c r="V938" s="1"/>
      <c r="W938" s="1"/>
      <c r="X938" s="1"/>
      <c r="Y938" s="1"/>
      <c r="Z938" s="1"/>
    </row>
    <row r="939" spans="1:26" ht="24.75" customHeight="1">
      <c r="A939" s="1"/>
      <c r="B939" s="1"/>
      <c r="C939" s="1"/>
      <c r="D939" s="1"/>
      <c r="E939" s="1"/>
      <c r="F939" s="1"/>
      <c r="G939" s="1"/>
      <c r="H939" s="1"/>
      <c r="I939" s="1"/>
      <c r="J939" s="1"/>
      <c r="K939" s="1"/>
      <c r="L939" s="1"/>
      <c r="M939" s="1"/>
      <c r="N939" s="1"/>
      <c r="O939" s="1"/>
      <c r="P939" s="1"/>
      <c r="Q939" s="1"/>
      <c r="R939" s="1"/>
      <c r="S939" s="1"/>
      <c r="T939" s="1"/>
      <c r="U939" s="2"/>
      <c r="V939" s="1"/>
      <c r="W939" s="1"/>
      <c r="X939" s="1"/>
      <c r="Y939" s="1"/>
      <c r="Z939" s="1"/>
    </row>
    <row r="940" spans="1:26" ht="24.75" customHeight="1">
      <c r="A940" s="1"/>
      <c r="B940" s="1"/>
      <c r="C940" s="1"/>
      <c r="D940" s="1"/>
      <c r="E940" s="1"/>
      <c r="F940" s="1"/>
      <c r="G940" s="1"/>
      <c r="H940" s="1"/>
      <c r="I940" s="1"/>
      <c r="J940" s="1"/>
      <c r="K940" s="1"/>
      <c r="L940" s="1"/>
      <c r="M940" s="1"/>
      <c r="N940" s="1"/>
      <c r="O940" s="1"/>
      <c r="P940" s="1"/>
      <c r="Q940" s="1"/>
      <c r="R940" s="1"/>
      <c r="S940" s="1"/>
      <c r="T940" s="1"/>
      <c r="U940" s="2"/>
      <c r="V940" s="1"/>
      <c r="W940" s="1"/>
      <c r="X940" s="1"/>
      <c r="Y940" s="1"/>
      <c r="Z940" s="1"/>
    </row>
    <row r="941" spans="1:26" ht="24.75" customHeight="1">
      <c r="A941" s="1"/>
      <c r="B941" s="1"/>
      <c r="C941" s="1"/>
      <c r="D941" s="1"/>
      <c r="E941" s="1"/>
      <c r="F941" s="1"/>
      <c r="G941" s="1"/>
      <c r="H941" s="1"/>
      <c r="I941" s="1"/>
      <c r="J941" s="1"/>
      <c r="K941" s="1"/>
      <c r="L941" s="1"/>
      <c r="M941" s="1"/>
      <c r="N941" s="1"/>
      <c r="O941" s="1"/>
      <c r="P941" s="1"/>
      <c r="Q941" s="1"/>
      <c r="R941" s="1"/>
      <c r="S941" s="1"/>
      <c r="T941" s="1"/>
      <c r="U941" s="2"/>
      <c r="V941" s="1"/>
      <c r="W941" s="1"/>
      <c r="X941" s="1"/>
      <c r="Y941" s="1"/>
      <c r="Z941" s="1"/>
    </row>
    <row r="942" spans="1:26" ht="24.75" customHeight="1">
      <c r="A942" s="1"/>
      <c r="B942" s="1"/>
      <c r="C942" s="1"/>
      <c r="D942" s="1"/>
      <c r="E942" s="1"/>
      <c r="F942" s="1"/>
      <c r="G942" s="1"/>
      <c r="H942" s="1"/>
      <c r="I942" s="1"/>
      <c r="J942" s="1"/>
      <c r="K942" s="1"/>
      <c r="L942" s="1"/>
      <c r="M942" s="1"/>
      <c r="N942" s="1"/>
      <c r="O942" s="1"/>
      <c r="P942" s="1"/>
      <c r="Q942" s="1"/>
      <c r="R942" s="1"/>
      <c r="S942" s="1"/>
      <c r="T942" s="1"/>
      <c r="U942" s="2"/>
      <c r="V942" s="1"/>
      <c r="W942" s="1"/>
      <c r="X942" s="1"/>
      <c r="Y942" s="1"/>
      <c r="Z942" s="1"/>
    </row>
    <row r="943" spans="1:26" ht="24.75" customHeight="1">
      <c r="A943" s="1"/>
      <c r="B943" s="1"/>
      <c r="C943" s="1"/>
      <c r="D943" s="1"/>
      <c r="E943" s="1"/>
      <c r="F943" s="1"/>
      <c r="G943" s="1"/>
      <c r="H943" s="1"/>
      <c r="I943" s="1"/>
      <c r="J943" s="1"/>
      <c r="K943" s="1"/>
      <c r="L943" s="1"/>
      <c r="M943" s="1"/>
      <c r="N943" s="1"/>
      <c r="O943" s="1"/>
      <c r="P943" s="1"/>
      <c r="Q943" s="1"/>
      <c r="R943" s="1"/>
      <c r="S943" s="1"/>
      <c r="T943" s="1"/>
      <c r="U943" s="2"/>
      <c r="V943" s="1"/>
      <c r="W943" s="1"/>
      <c r="X943" s="1"/>
      <c r="Y943" s="1"/>
      <c r="Z943" s="1"/>
    </row>
    <row r="944" spans="1:26" ht="24.75" customHeight="1">
      <c r="A944" s="1"/>
      <c r="B944" s="1"/>
      <c r="C944" s="1"/>
      <c r="D944" s="1"/>
      <c r="E944" s="1"/>
      <c r="F944" s="1"/>
      <c r="G944" s="1"/>
      <c r="H944" s="1"/>
      <c r="I944" s="1"/>
      <c r="J944" s="1"/>
      <c r="K944" s="1"/>
      <c r="L944" s="1"/>
      <c r="M944" s="1"/>
      <c r="N944" s="1"/>
      <c r="O944" s="1"/>
      <c r="P944" s="1"/>
      <c r="Q944" s="1"/>
      <c r="R944" s="1"/>
      <c r="S944" s="1"/>
      <c r="T944" s="1"/>
      <c r="U944" s="2"/>
      <c r="V944" s="1"/>
      <c r="W944" s="1"/>
      <c r="X944" s="1"/>
      <c r="Y944" s="1"/>
      <c r="Z944" s="1"/>
    </row>
    <row r="945" spans="1:26" ht="24.75" customHeight="1">
      <c r="A945" s="1"/>
      <c r="B945" s="1"/>
      <c r="C945" s="1"/>
      <c r="D945" s="1"/>
      <c r="E945" s="1"/>
      <c r="F945" s="1"/>
      <c r="G945" s="1"/>
      <c r="H945" s="1"/>
      <c r="I945" s="1"/>
      <c r="J945" s="1"/>
      <c r="K945" s="1"/>
      <c r="L945" s="1"/>
      <c r="M945" s="1"/>
      <c r="N945" s="1"/>
      <c r="O945" s="1"/>
      <c r="P945" s="1"/>
      <c r="Q945" s="1"/>
      <c r="R945" s="1"/>
      <c r="S945" s="1"/>
      <c r="T945" s="1"/>
      <c r="U945" s="2"/>
      <c r="V945" s="1"/>
      <c r="W945" s="1"/>
      <c r="X945" s="1"/>
      <c r="Y945" s="1"/>
      <c r="Z945" s="1"/>
    </row>
    <row r="946" spans="1:26" ht="24.75" customHeight="1">
      <c r="A946" s="1"/>
      <c r="B946" s="1"/>
      <c r="C946" s="1"/>
      <c r="D946" s="1"/>
      <c r="E946" s="1"/>
      <c r="F946" s="1"/>
      <c r="G946" s="1"/>
      <c r="H946" s="1"/>
      <c r="I946" s="1"/>
      <c r="J946" s="1"/>
      <c r="K946" s="1"/>
      <c r="L946" s="1"/>
      <c r="M946" s="1"/>
      <c r="N946" s="1"/>
      <c r="O946" s="1"/>
      <c r="P946" s="1"/>
      <c r="Q946" s="1"/>
      <c r="R946" s="1"/>
      <c r="S946" s="1"/>
      <c r="T946" s="1"/>
      <c r="U946" s="2"/>
      <c r="V946" s="1"/>
      <c r="W946" s="1"/>
      <c r="X946" s="1"/>
      <c r="Y946" s="1"/>
      <c r="Z946" s="1"/>
    </row>
    <row r="947" spans="1:26" ht="24.75" customHeight="1">
      <c r="A947" s="1"/>
      <c r="B947" s="1"/>
      <c r="C947" s="1"/>
      <c r="D947" s="1"/>
      <c r="E947" s="1"/>
      <c r="F947" s="1"/>
      <c r="G947" s="1"/>
      <c r="H947" s="1"/>
      <c r="I947" s="1"/>
      <c r="J947" s="1"/>
      <c r="K947" s="1"/>
      <c r="L947" s="1"/>
      <c r="M947" s="1"/>
      <c r="N947" s="1"/>
      <c r="O947" s="1"/>
      <c r="P947" s="1"/>
      <c r="Q947" s="1"/>
      <c r="R947" s="1"/>
      <c r="S947" s="1"/>
      <c r="T947" s="1"/>
      <c r="U947" s="2"/>
      <c r="V947" s="1"/>
      <c r="W947" s="1"/>
      <c r="X947" s="1"/>
      <c r="Y947" s="1"/>
      <c r="Z947" s="1"/>
    </row>
    <row r="948" spans="1:26" ht="24.75" customHeight="1">
      <c r="A948" s="1"/>
      <c r="B948" s="1"/>
      <c r="C948" s="1"/>
      <c r="D948" s="1"/>
      <c r="E948" s="1"/>
      <c r="F948" s="1"/>
      <c r="G948" s="1"/>
      <c r="H948" s="1"/>
      <c r="I948" s="1"/>
      <c r="J948" s="1"/>
      <c r="K948" s="1"/>
      <c r="L948" s="1"/>
      <c r="M948" s="1"/>
      <c r="N948" s="1"/>
      <c r="O948" s="1"/>
      <c r="P948" s="1"/>
      <c r="Q948" s="1"/>
      <c r="R948" s="1"/>
      <c r="S948" s="1"/>
      <c r="T948" s="1"/>
      <c r="U948" s="2"/>
      <c r="V948" s="1"/>
      <c r="W948" s="1"/>
      <c r="X948" s="1"/>
      <c r="Y948" s="1"/>
      <c r="Z948" s="1"/>
    </row>
    <row r="949" spans="1:26" ht="24.75" customHeight="1">
      <c r="A949" s="1"/>
      <c r="B949" s="1"/>
      <c r="C949" s="1"/>
      <c r="D949" s="1"/>
      <c r="E949" s="1"/>
      <c r="F949" s="1"/>
      <c r="G949" s="1"/>
      <c r="H949" s="1"/>
      <c r="I949" s="1"/>
      <c r="J949" s="1"/>
      <c r="K949" s="1"/>
      <c r="L949" s="1"/>
      <c r="M949" s="1"/>
      <c r="N949" s="1"/>
      <c r="O949" s="1"/>
      <c r="P949" s="1"/>
      <c r="Q949" s="1"/>
      <c r="R949" s="1"/>
      <c r="S949" s="1"/>
      <c r="T949" s="1"/>
      <c r="U949" s="2"/>
      <c r="V949" s="1"/>
      <c r="W949" s="1"/>
      <c r="X949" s="1"/>
      <c r="Y949" s="1"/>
      <c r="Z949" s="1"/>
    </row>
    <row r="950" spans="1:26" ht="24.75" customHeight="1">
      <c r="A950" s="1"/>
      <c r="B950" s="1"/>
      <c r="C950" s="1"/>
      <c r="D950" s="1"/>
      <c r="E950" s="1"/>
      <c r="F950" s="1"/>
      <c r="G950" s="1"/>
      <c r="H950" s="1"/>
      <c r="I950" s="1"/>
      <c r="J950" s="1"/>
      <c r="K950" s="1"/>
      <c r="L950" s="1"/>
      <c r="M950" s="1"/>
      <c r="N950" s="1"/>
      <c r="O950" s="1"/>
      <c r="P950" s="1"/>
      <c r="Q950" s="1"/>
      <c r="R950" s="1"/>
      <c r="S950" s="1"/>
      <c r="T950" s="1"/>
      <c r="U950" s="2"/>
      <c r="V950" s="1"/>
      <c r="W950" s="1"/>
      <c r="X950" s="1"/>
      <c r="Y950" s="1"/>
      <c r="Z950" s="1"/>
    </row>
    <row r="951" spans="1:26" ht="24.75" customHeight="1">
      <c r="A951" s="1"/>
      <c r="B951" s="1"/>
      <c r="C951" s="1"/>
      <c r="D951" s="1"/>
      <c r="E951" s="1"/>
      <c r="F951" s="1"/>
      <c r="G951" s="1"/>
      <c r="H951" s="1"/>
      <c r="I951" s="1"/>
      <c r="J951" s="1"/>
      <c r="K951" s="1"/>
      <c r="L951" s="1"/>
      <c r="M951" s="1"/>
      <c r="N951" s="1"/>
      <c r="O951" s="1"/>
      <c r="P951" s="1"/>
      <c r="Q951" s="1"/>
      <c r="R951" s="1"/>
      <c r="S951" s="1"/>
      <c r="T951" s="1"/>
      <c r="U951" s="2"/>
      <c r="V951" s="1"/>
      <c r="W951" s="1"/>
      <c r="X951" s="1"/>
      <c r="Y951" s="1"/>
      <c r="Z951" s="1"/>
    </row>
    <row r="952" spans="1:26" ht="24.75" customHeight="1">
      <c r="A952" s="1"/>
      <c r="B952" s="1"/>
      <c r="C952" s="1"/>
      <c r="D952" s="1"/>
      <c r="E952" s="1"/>
      <c r="F952" s="1"/>
      <c r="G952" s="1"/>
      <c r="H952" s="1"/>
      <c r="I952" s="1"/>
      <c r="J952" s="1"/>
      <c r="K952" s="1"/>
      <c r="L952" s="1"/>
      <c r="M952" s="1"/>
      <c r="N952" s="1"/>
      <c r="O952" s="1"/>
      <c r="P952" s="1"/>
      <c r="Q952" s="1"/>
      <c r="R952" s="1"/>
      <c r="S952" s="1"/>
      <c r="T952" s="1"/>
      <c r="U952" s="2"/>
      <c r="V952" s="1"/>
      <c r="W952" s="1"/>
      <c r="X952" s="1"/>
      <c r="Y952" s="1"/>
      <c r="Z952" s="1"/>
    </row>
    <row r="953" spans="1:26" ht="24.75" customHeight="1">
      <c r="A953" s="1"/>
      <c r="B953" s="1"/>
      <c r="C953" s="1"/>
      <c r="D953" s="1"/>
      <c r="E953" s="1"/>
      <c r="F953" s="1"/>
      <c r="G953" s="1"/>
      <c r="H953" s="1"/>
      <c r="I953" s="1"/>
      <c r="J953" s="1"/>
      <c r="K953" s="1"/>
      <c r="L953" s="1"/>
      <c r="M953" s="1"/>
      <c r="N953" s="1"/>
      <c r="O953" s="1"/>
      <c r="P953" s="1"/>
      <c r="Q953" s="1"/>
      <c r="R953" s="1"/>
      <c r="S953" s="1"/>
      <c r="T953" s="1"/>
      <c r="U953" s="2"/>
      <c r="V953" s="1"/>
      <c r="W953" s="1"/>
      <c r="X953" s="1"/>
      <c r="Y953" s="1"/>
      <c r="Z953" s="1"/>
    </row>
    <row r="954" spans="1:26" ht="24.75" customHeight="1">
      <c r="A954" s="1"/>
      <c r="B954" s="1"/>
      <c r="C954" s="1"/>
      <c r="D954" s="1"/>
      <c r="E954" s="1"/>
      <c r="F954" s="1"/>
      <c r="G954" s="1"/>
      <c r="H954" s="1"/>
      <c r="I954" s="1"/>
      <c r="J954" s="1"/>
      <c r="K954" s="1"/>
      <c r="L954" s="1"/>
      <c r="M954" s="1"/>
      <c r="N954" s="1"/>
      <c r="O954" s="1"/>
      <c r="P954" s="1"/>
      <c r="Q954" s="1"/>
      <c r="R954" s="1"/>
      <c r="S954" s="1"/>
      <c r="T954" s="1"/>
      <c r="U954" s="2"/>
      <c r="V954" s="1"/>
      <c r="W954" s="1"/>
      <c r="X954" s="1"/>
      <c r="Y954" s="1"/>
      <c r="Z954" s="1"/>
    </row>
    <row r="955" spans="1:26" ht="24.75" customHeight="1">
      <c r="A955" s="1"/>
      <c r="B955" s="1"/>
      <c r="C955" s="1"/>
      <c r="D955" s="1"/>
      <c r="E955" s="1"/>
      <c r="F955" s="1"/>
      <c r="G955" s="1"/>
      <c r="H955" s="1"/>
      <c r="I955" s="1"/>
      <c r="J955" s="1"/>
      <c r="K955" s="1"/>
      <c r="L955" s="1"/>
      <c r="M955" s="1"/>
      <c r="N955" s="1"/>
      <c r="O955" s="1"/>
      <c r="P955" s="1"/>
      <c r="Q955" s="1"/>
      <c r="R955" s="1"/>
      <c r="S955" s="1"/>
      <c r="T955" s="1"/>
      <c r="U955" s="2"/>
      <c r="V955" s="1"/>
      <c r="W955" s="1"/>
      <c r="X955" s="1"/>
      <c r="Y955" s="1"/>
      <c r="Z955" s="1"/>
    </row>
    <row r="956" spans="1:26" ht="24.75" customHeight="1">
      <c r="A956" s="1"/>
      <c r="B956" s="1"/>
      <c r="C956" s="1"/>
      <c r="D956" s="1"/>
      <c r="E956" s="1"/>
      <c r="F956" s="1"/>
      <c r="G956" s="1"/>
      <c r="H956" s="1"/>
      <c r="I956" s="1"/>
      <c r="J956" s="1"/>
      <c r="K956" s="1"/>
      <c r="L956" s="1"/>
      <c r="M956" s="1"/>
      <c r="N956" s="1"/>
      <c r="O956" s="1"/>
      <c r="P956" s="1"/>
      <c r="Q956" s="1"/>
      <c r="R956" s="1"/>
      <c r="S956" s="1"/>
      <c r="T956" s="1"/>
      <c r="U956" s="2"/>
      <c r="V956" s="1"/>
      <c r="W956" s="1"/>
      <c r="X956" s="1"/>
      <c r="Y956" s="1"/>
      <c r="Z956" s="1"/>
    </row>
    <row r="957" spans="1:26" ht="24.75" customHeight="1">
      <c r="A957" s="1"/>
      <c r="B957" s="1"/>
      <c r="C957" s="1"/>
      <c r="D957" s="1"/>
      <c r="E957" s="1"/>
      <c r="F957" s="1"/>
      <c r="G957" s="1"/>
      <c r="H957" s="1"/>
      <c r="I957" s="1"/>
      <c r="J957" s="1"/>
      <c r="K957" s="1"/>
      <c r="L957" s="1"/>
      <c r="M957" s="1"/>
      <c r="N957" s="1"/>
      <c r="O957" s="1"/>
      <c r="P957" s="1"/>
      <c r="Q957" s="1"/>
      <c r="R957" s="1"/>
      <c r="S957" s="1"/>
      <c r="T957" s="1"/>
      <c r="U957" s="2"/>
      <c r="V957" s="1"/>
      <c r="W957" s="1"/>
      <c r="X957" s="1"/>
      <c r="Y957" s="1"/>
      <c r="Z957" s="1"/>
    </row>
    <row r="958" spans="1:26" ht="24.75" customHeight="1">
      <c r="A958" s="1"/>
      <c r="B958" s="1"/>
      <c r="C958" s="1"/>
      <c r="D958" s="1"/>
      <c r="E958" s="1"/>
      <c r="F958" s="1"/>
      <c r="G958" s="1"/>
      <c r="H958" s="1"/>
      <c r="I958" s="1"/>
      <c r="J958" s="1"/>
      <c r="K958" s="1"/>
      <c r="L958" s="1"/>
      <c r="M958" s="1"/>
      <c r="N958" s="1"/>
      <c r="O958" s="1"/>
      <c r="P958" s="1"/>
      <c r="Q958" s="1"/>
      <c r="R958" s="1"/>
      <c r="S958" s="1"/>
      <c r="T958" s="1"/>
      <c r="U958" s="2"/>
      <c r="V958" s="1"/>
      <c r="W958" s="1"/>
      <c r="X958" s="1"/>
      <c r="Y958" s="1"/>
      <c r="Z958" s="1"/>
    </row>
    <row r="959" spans="1:26" ht="24.75" customHeight="1">
      <c r="A959" s="1"/>
      <c r="B959" s="1"/>
      <c r="C959" s="1"/>
      <c r="D959" s="1"/>
      <c r="E959" s="1"/>
      <c r="F959" s="1"/>
      <c r="G959" s="1"/>
      <c r="H959" s="1"/>
      <c r="I959" s="1"/>
      <c r="J959" s="1"/>
      <c r="K959" s="1"/>
      <c r="L959" s="1"/>
      <c r="M959" s="1"/>
      <c r="N959" s="1"/>
      <c r="O959" s="1"/>
      <c r="P959" s="1"/>
      <c r="Q959" s="1"/>
      <c r="R959" s="1"/>
      <c r="S959" s="1"/>
      <c r="T959" s="1"/>
      <c r="U959" s="2"/>
      <c r="V959" s="1"/>
      <c r="W959" s="1"/>
      <c r="X959" s="1"/>
      <c r="Y959" s="1"/>
      <c r="Z959" s="1"/>
    </row>
    <row r="960" spans="1:26" ht="24.75" customHeight="1">
      <c r="A960" s="1"/>
      <c r="B960" s="1"/>
      <c r="C960" s="1"/>
      <c r="D960" s="1"/>
      <c r="E960" s="1"/>
      <c r="F960" s="1"/>
      <c r="G960" s="1"/>
      <c r="H960" s="1"/>
      <c r="I960" s="1"/>
      <c r="J960" s="1"/>
      <c r="K960" s="1"/>
      <c r="L960" s="1"/>
      <c r="M960" s="1"/>
      <c r="N960" s="1"/>
      <c r="O960" s="1"/>
      <c r="P960" s="1"/>
      <c r="Q960" s="1"/>
      <c r="R960" s="1"/>
      <c r="S960" s="1"/>
      <c r="T960" s="1"/>
      <c r="U960" s="2"/>
      <c r="V960" s="1"/>
      <c r="W960" s="1"/>
      <c r="X960" s="1"/>
      <c r="Y960" s="1"/>
      <c r="Z960" s="1"/>
    </row>
    <row r="961" spans="1:26" ht="24.75" customHeight="1">
      <c r="A961" s="1"/>
      <c r="B961" s="1"/>
      <c r="C961" s="1"/>
      <c r="D961" s="1"/>
      <c r="E961" s="1"/>
      <c r="F961" s="1"/>
      <c r="G961" s="1"/>
      <c r="H961" s="1"/>
      <c r="I961" s="1"/>
      <c r="J961" s="1"/>
      <c r="K961" s="1"/>
      <c r="L961" s="1"/>
      <c r="M961" s="1"/>
      <c r="N961" s="1"/>
      <c r="O961" s="1"/>
      <c r="P961" s="1"/>
      <c r="Q961" s="1"/>
      <c r="R961" s="1"/>
      <c r="S961" s="1"/>
      <c r="T961" s="1"/>
      <c r="U961" s="2"/>
      <c r="V961" s="1"/>
      <c r="W961" s="1"/>
      <c r="X961" s="1"/>
      <c r="Y961" s="1"/>
      <c r="Z961" s="1"/>
    </row>
    <row r="962" spans="1:26" ht="24.75" customHeight="1">
      <c r="A962" s="1"/>
      <c r="B962" s="1"/>
      <c r="C962" s="1"/>
      <c r="D962" s="1"/>
      <c r="E962" s="1"/>
      <c r="F962" s="1"/>
      <c r="G962" s="1"/>
      <c r="H962" s="1"/>
      <c r="I962" s="1"/>
      <c r="J962" s="1"/>
      <c r="K962" s="1"/>
      <c r="L962" s="1"/>
      <c r="M962" s="1"/>
      <c r="N962" s="1"/>
      <c r="O962" s="1"/>
      <c r="P962" s="1"/>
      <c r="Q962" s="1"/>
      <c r="R962" s="1"/>
      <c r="S962" s="1"/>
      <c r="T962" s="1"/>
      <c r="U962" s="2"/>
      <c r="V962" s="1"/>
      <c r="W962" s="1"/>
      <c r="X962" s="1"/>
      <c r="Y962" s="1"/>
      <c r="Z962" s="1"/>
    </row>
    <row r="963" spans="1:26" ht="24.75" customHeight="1">
      <c r="A963" s="1"/>
      <c r="B963" s="1"/>
      <c r="C963" s="1"/>
      <c r="D963" s="1"/>
      <c r="E963" s="1"/>
      <c r="F963" s="1"/>
      <c r="G963" s="1"/>
      <c r="H963" s="1"/>
      <c r="I963" s="1"/>
      <c r="J963" s="1"/>
      <c r="K963" s="1"/>
      <c r="L963" s="1"/>
      <c r="M963" s="1"/>
      <c r="N963" s="1"/>
      <c r="O963" s="1"/>
      <c r="P963" s="1"/>
      <c r="Q963" s="1"/>
      <c r="R963" s="1"/>
      <c r="S963" s="1"/>
      <c r="T963" s="1"/>
      <c r="U963" s="2"/>
      <c r="V963" s="1"/>
      <c r="W963" s="1"/>
      <c r="X963" s="1"/>
      <c r="Y963" s="1"/>
      <c r="Z963" s="1"/>
    </row>
    <row r="964" spans="1:26" ht="24.75" customHeight="1">
      <c r="A964" s="1"/>
      <c r="B964" s="1"/>
      <c r="C964" s="1"/>
      <c r="D964" s="1"/>
      <c r="E964" s="1"/>
      <c r="F964" s="1"/>
      <c r="G964" s="1"/>
      <c r="H964" s="1"/>
      <c r="I964" s="1"/>
      <c r="J964" s="1"/>
      <c r="K964" s="1"/>
      <c r="L964" s="1"/>
      <c r="M964" s="1"/>
      <c r="N964" s="1"/>
      <c r="O964" s="1"/>
      <c r="P964" s="1"/>
      <c r="Q964" s="1"/>
      <c r="R964" s="1"/>
      <c r="S964" s="1"/>
      <c r="T964" s="1"/>
      <c r="U964" s="2"/>
      <c r="V964" s="1"/>
      <c r="W964" s="1"/>
      <c r="X964" s="1"/>
      <c r="Y964" s="1"/>
      <c r="Z964" s="1"/>
    </row>
    <row r="965" spans="1:26" ht="24.75" customHeight="1">
      <c r="A965" s="1"/>
      <c r="B965" s="1"/>
      <c r="C965" s="1"/>
      <c r="D965" s="1"/>
      <c r="E965" s="1"/>
      <c r="F965" s="1"/>
      <c r="G965" s="1"/>
      <c r="H965" s="1"/>
      <c r="I965" s="1"/>
      <c r="J965" s="1"/>
      <c r="K965" s="1"/>
      <c r="L965" s="1"/>
      <c r="M965" s="1"/>
      <c r="N965" s="1"/>
      <c r="O965" s="1"/>
      <c r="P965" s="1"/>
      <c r="Q965" s="1"/>
      <c r="R965" s="1"/>
      <c r="S965" s="1"/>
      <c r="T965" s="1"/>
      <c r="U965" s="2"/>
      <c r="V965" s="1"/>
      <c r="W965" s="1"/>
      <c r="X965" s="1"/>
      <c r="Y965" s="1"/>
      <c r="Z965" s="1"/>
    </row>
    <row r="966" spans="1:26" ht="24.75" customHeight="1">
      <c r="A966" s="1"/>
      <c r="B966" s="1"/>
      <c r="C966" s="1"/>
      <c r="D966" s="1"/>
      <c r="E966" s="1"/>
      <c r="F966" s="1"/>
      <c r="G966" s="1"/>
      <c r="H966" s="1"/>
      <c r="I966" s="1"/>
      <c r="J966" s="1"/>
      <c r="K966" s="1"/>
      <c r="L966" s="1"/>
      <c r="M966" s="1"/>
      <c r="N966" s="1"/>
      <c r="O966" s="1"/>
      <c r="P966" s="1"/>
      <c r="Q966" s="1"/>
      <c r="R966" s="1"/>
      <c r="S966" s="1"/>
      <c r="T966" s="1"/>
      <c r="U966" s="2"/>
      <c r="V966" s="1"/>
      <c r="W966" s="1"/>
      <c r="X966" s="1"/>
      <c r="Y966" s="1"/>
      <c r="Z966" s="1"/>
    </row>
    <row r="967" spans="1:26" ht="24.75" customHeight="1">
      <c r="A967" s="1"/>
      <c r="B967" s="1"/>
      <c r="C967" s="1"/>
      <c r="D967" s="1"/>
      <c r="E967" s="1"/>
      <c r="F967" s="1"/>
      <c r="G967" s="1"/>
      <c r="H967" s="1"/>
      <c r="I967" s="1"/>
      <c r="J967" s="1"/>
      <c r="K967" s="1"/>
      <c r="L967" s="1"/>
      <c r="M967" s="1"/>
      <c r="N967" s="1"/>
      <c r="O967" s="1"/>
      <c r="P967" s="1"/>
      <c r="Q967" s="1"/>
      <c r="R967" s="1"/>
      <c r="S967" s="1"/>
      <c r="T967" s="1"/>
      <c r="U967" s="2"/>
      <c r="V967" s="1"/>
      <c r="W967" s="1"/>
      <c r="X967" s="1"/>
      <c r="Y967" s="1"/>
      <c r="Z967" s="1"/>
    </row>
    <row r="968" spans="1:26" ht="24.75" customHeight="1">
      <c r="A968" s="1"/>
      <c r="B968" s="1"/>
      <c r="C968" s="1"/>
      <c r="D968" s="1"/>
      <c r="E968" s="1"/>
      <c r="F968" s="1"/>
      <c r="G968" s="1"/>
      <c r="H968" s="1"/>
      <c r="I968" s="1"/>
      <c r="J968" s="1"/>
      <c r="K968" s="1"/>
      <c r="L968" s="1"/>
      <c r="M968" s="1"/>
      <c r="N968" s="1"/>
      <c r="O968" s="1"/>
      <c r="P968" s="1"/>
      <c r="Q968" s="1"/>
      <c r="R968" s="1"/>
      <c r="S968" s="1"/>
      <c r="T968" s="1"/>
      <c r="U968" s="2"/>
      <c r="V968" s="1"/>
      <c r="W968" s="1"/>
      <c r="X968" s="1"/>
      <c r="Y968" s="1"/>
      <c r="Z968" s="1"/>
    </row>
    <row r="969" spans="1:26" ht="24.75" customHeight="1">
      <c r="A969" s="1"/>
      <c r="B969" s="1"/>
      <c r="C969" s="1"/>
      <c r="D969" s="1"/>
      <c r="E969" s="1"/>
      <c r="F969" s="1"/>
      <c r="G969" s="1"/>
      <c r="H969" s="1"/>
      <c r="I969" s="1"/>
      <c r="J969" s="1"/>
      <c r="K969" s="1"/>
      <c r="L969" s="1"/>
      <c r="M969" s="1"/>
      <c r="N969" s="1"/>
      <c r="O969" s="1"/>
      <c r="P969" s="1"/>
      <c r="Q969" s="1"/>
      <c r="R969" s="1"/>
      <c r="S969" s="1"/>
      <c r="T969" s="1"/>
      <c r="U969" s="2"/>
      <c r="V969" s="1"/>
      <c r="W969" s="1"/>
      <c r="X969" s="1"/>
      <c r="Y969" s="1"/>
      <c r="Z969" s="1"/>
    </row>
    <row r="970" spans="1:26" ht="24.75" customHeight="1">
      <c r="A970" s="1"/>
      <c r="B970" s="1"/>
      <c r="C970" s="1"/>
      <c r="D970" s="1"/>
      <c r="E970" s="1"/>
      <c r="F970" s="1"/>
      <c r="G970" s="1"/>
      <c r="H970" s="1"/>
      <c r="I970" s="1"/>
      <c r="J970" s="1"/>
      <c r="K970" s="1"/>
      <c r="L970" s="1"/>
      <c r="M970" s="1"/>
      <c r="N970" s="1"/>
      <c r="O970" s="1"/>
      <c r="P970" s="1"/>
      <c r="Q970" s="1"/>
      <c r="R970" s="1"/>
      <c r="S970" s="1"/>
      <c r="T970" s="1"/>
      <c r="U970" s="2"/>
      <c r="V970" s="1"/>
      <c r="W970" s="1"/>
      <c r="X970" s="1"/>
      <c r="Y970" s="1"/>
      <c r="Z970" s="1"/>
    </row>
    <row r="971" spans="1:26" ht="24.75" customHeight="1">
      <c r="A971" s="1"/>
      <c r="B971" s="1"/>
      <c r="C971" s="1"/>
      <c r="D971" s="1"/>
      <c r="E971" s="1"/>
      <c r="F971" s="1"/>
      <c r="G971" s="1"/>
      <c r="H971" s="1"/>
      <c r="I971" s="1"/>
      <c r="J971" s="1"/>
      <c r="K971" s="1"/>
      <c r="L971" s="1"/>
      <c r="M971" s="1"/>
      <c r="N971" s="1"/>
      <c r="O971" s="1"/>
      <c r="P971" s="1"/>
      <c r="Q971" s="1"/>
      <c r="R971" s="1"/>
      <c r="S971" s="1"/>
      <c r="T971" s="1"/>
      <c r="U971" s="2"/>
      <c r="V971" s="1"/>
      <c r="W971" s="1"/>
      <c r="X971" s="1"/>
      <c r="Y971" s="1"/>
      <c r="Z971" s="1"/>
    </row>
    <row r="972" spans="1:26" ht="24.75" customHeight="1">
      <c r="A972" s="1"/>
      <c r="B972" s="1"/>
      <c r="C972" s="1"/>
      <c r="D972" s="1"/>
      <c r="E972" s="1"/>
      <c r="F972" s="1"/>
      <c r="G972" s="1"/>
      <c r="H972" s="1"/>
      <c r="I972" s="1"/>
      <c r="J972" s="1"/>
      <c r="K972" s="1"/>
      <c r="L972" s="1"/>
      <c r="M972" s="1"/>
      <c r="N972" s="1"/>
      <c r="O972" s="1"/>
      <c r="P972" s="1"/>
      <c r="Q972" s="1"/>
      <c r="R972" s="1"/>
      <c r="S972" s="1"/>
      <c r="T972" s="1"/>
      <c r="U972" s="2"/>
      <c r="V972" s="1"/>
      <c r="W972" s="1"/>
      <c r="X972" s="1"/>
      <c r="Y972" s="1"/>
      <c r="Z972" s="1"/>
    </row>
    <row r="973" spans="1:26" ht="24.75" customHeight="1">
      <c r="A973" s="1"/>
      <c r="B973" s="1"/>
      <c r="C973" s="1"/>
      <c r="D973" s="1"/>
      <c r="E973" s="1"/>
      <c r="F973" s="1"/>
      <c r="G973" s="1"/>
      <c r="H973" s="1"/>
      <c r="I973" s="1"/>
      <c r="J973" s="1"/>
      <c r="K973" s="1"/>
      <c r="L973" s="1"/>
      <c r="M973" s="1"/>
      <c r="N973" s="1"/>
      <c r="O973" s="1"/>
      <c r="P973" s="1"/>
      <c r="Q973" s="1"/>
      <c r="R973" s="1"/>
      <c r="S973" s="1"/>
      <c r="T973" s="1"/>
      <c r="U973" s="2"/>
      <c r="V973" s="1"/>
      <c r="W973" s="1"/>
      <c r="X973" s="1"/>
      <c r="Y973" s="1"/>
      <c r="Z973" s="1"/>
    </row>
    <row r="974" spans="1:26" ht="24.75" customHeight="1">
      <c r="A974" s="1"/>
      <c r="B974" s="1"/>
      <c r="C974" s="1"/>
      <c r="D974" s="1"/>
      <c r="E974" s="1"/>
      <c r="F974" s="1"/>
      <c r="G974" s="1"/>
      <c r="H974" s="1"/>
      <c r="I974" s="1"/>
      <c r="J974" s="1"/>
      <c r="K974" s="1"/>
      <c r="L974" s="1"/>
      <c r="M974" s="1"/>
      <c r="N974" s="1"/>
      <c r="O974" s="1"/>
      <c r="P974" s="1"/>
      <c r="Q974" s="1"/>
      <c r="R974" s="1"/>
      <c r="S974" s="1"/>
      <c r="T974" s="1"/>
      <c r="U974" s="2"/>
      <c r="V974" s="1"/>
      <c r="W974" s="1"/>
      <c r="X974" s="1"/>
      <c r="Y974" s="1"/>
      <c r="Z974" s="1"/>
    </row>
    <row r="975" spans="1:26" ht="24.75" customHeight="1">
      <c r="A975" s="1"/>
      <c r="B975" s="1"/>
      <c r="C975" s="1"/>
      <c r="D975" s="1"/>
      <c r="E975" s="1"/>
      <c r="F975" s="1"/>
      <c r="G975" s="1"/>
      <c r="H975" s="1"/>
      <c r="I975" s="1"/>
      <c r="J975" s="1"/>
      <c r="K975" s="1"/>
      <c r="L975" s="1"/>
      <c r="M975" s="1"/>
      <c r="N975" s="1"/>
      <c r="O975" s="1"/>
      <c r="P975" s="1"/>
      <c r="Q975" s="1"/>
      <c r="R975" s="1"/>
      <c r="S975" s="1"/>
      <c r="T975" s="1"/>
      <c r="U975" s="2"/>
      <c r="V975" s="1"/>
      <c r="W975" s="1"/>
      <c r="X975" s="1"/>
      <c r="Y975" s="1"/>
      <c r="Z975" s="1"/>
    </row>
    <row r="976" spans="1:26" ht="24.75" customHeight="1">
      <c r="A976" s="1"/>
      <c r="B976" s="1"/>
      <c r="C976" s="1"/>
      <c r="D976" s="1"/>
      <c r="E976" s="1"/>
      <c r="F976" s="1"/>
      <c r="G976" s="1"/>
      <c r="H976" s="1"/>
      <c r="I976" s="1"/>
      <c r="J976" s="1"/>
      <c r="K976" s="1"/>
      <c r="L976" s="1"/>
      <c r="M976" s="1"/>
      <c r="N976" s="1"/>
      <c r="O976" s="1"/>
      <c r="P976" s="1"/>
      <c r="Q976" s="1"/>
      <c r="R976" s="1"/>
      <c r="S976" s="1"/>
      <c r="T976" s="1"/>
      <c r="U976" s="2"/>
      <c r="V976" s="1"/>
      <c r="W976" s="1"/>
      <c r="X976" s="1"/>
      <c r="Y976" s="1"/>
      <c r="Z976" s="1"/>
    </row>
    <row r="977" spans="1:26" ht="24.75" customHeight="1">
      <c r="A977" s="1"/>
      <c r="B977" s="1"/>
      <c r="C977" s="1"/>
      <c r="D977" s="1"/>
      <c r="E977" s="1"/>
      <c r="F977" s="1"/>
      <c r="G977" s="1"/>
      <c r="H977" s="1"/>
      <c r="I977" s="1"/>
      <c r="J977" s="1"/>
      <c r="K977" s="1"/>
      <c r="L977" s="1"/>
      <c r="M977" s="1"/>
      <c r="N977" s="1"/>
      <c r="O977" s="1"/>
      <c r="P977" s="1"/>
      <c r="Q977" s="1"/>
      <c r="R977" s="1"/>
      <c r="S977" s="1"/>
      <c r="T977" s="1"/>
      <c r="U977" s="2"/>
      <c r="V977" s="1"/>
      <c r="W977" s="1"/>
      <c r="X977" s="1"/>
      <c r="Y977" s="1"/>
      <c r="Z977" s="1"/>
    </row>
    <row r="978" spans="1:26" ht="24.75" customHeight="1">
      <c r="A978" s="1"/>
      <c r="B978" s="1"/>
      <c r="C978" s="1"/>
      <c r="D978" s="1"/>
      <c r="E978" s="1"/>
      <c r="F978" s="1"/>
      <c r="G978" s="1"/>
      <c r="H978" s="1"/>
      <c r="I978" s="1"/>
      <c r="J978" s="1"/>
      <c r="K978" s="1"/>
      <c r="L978" s="1"/>
      <c r="M978" s="1"/>
      <c r="N978" s="1"/>
      <c r="O978" s="1"/>
      <c r="P978" s="1"/>
      <c r="Q978" s="1"/>
      <c r="R978" s="1"/>
      <c r="S978" s="1"/>
      <c r="T978" s="1"/>
      <c r="U978" s="2"/>
      <c r="V978" s="1"/>
      <c r="W978" s="1"/>
      <c r="X978" s="1"/>
      <c r="Y978" s="1"/>
      <c r="Z978" s="1"/>
    </row>
    <row r="979" spans="1:26" ht="24.75" customHeight="1">
      <c r="A979" s="1"/>
      <c r="B979" s="1"/>
      <c r="C979" s="1"/>
      <c r="D979" s="1"/>
      <c r="E979" s="1"/>
      <c r="F979" s="1"/>
      <c r="G979" s="1"/>
      <c r="H979" s="1"/>
      <c r="I979" s="1"/>
      <c r="J979" s="1"/>
      <c r="K979" s="1"/>
      <c r="L979" s="1"/>
      <c r="M979" s="1"/>
      <c r="N979" s="1"/>
      <c r="O979" s="1"/>
      <c r="P979" s="1"/>
      <c r="Q979" s="1"/>
      <c r="R979" s="1"/>
      <c r="S979" s="1"/>
      <c r="T979" s="1"/>
      <c r="U979" s="2"/>
      <c r="V979" s="1"/>
      <c r="W979" s="1"/>
      <c r="X979" s="1"/>
      <c r="Y979" s="1"/>
      <c r="Z979" s="1"/>
    </row>
    <row r="980" spans="1:26" ht="24.75" customHeight="1">
      <c r="A980" s="1"/>
      <c r="B980" s="1"/>
      <c r="C980" s="1"/>
      <c r="D980" s="1"/>
      <c r="E980" s="1"/>
      <c r="F980" s="1"/>
      <c r="G980" s="1"/>
      <c r="H980" s="1"/>
      <c r="I980" s="1"/>
      <c r="J980" s="1"/>
      <c r="K980" s="1"/>
      <c r="L980" s="1"/>
      <c r="M980" s="1"/>
      <c r="N980" s="1"/>
      <c r="O980" s="1"/>
      <c r="P980" s="1"/>
      <c r="Q980" s="1"/>
      <c r="R980" s="1"/>
      <c r="S980" s="1"/>
      <c r="T980" s="1"/>
      <c r="U980" s="2"/>
      <c r="V980" s="1"/>
      <c r="W980" s="1"/>
      <c r="X980" s="1"/>
      <c r="Y980" s="1"/>
      <c r="Z980" s="1"/>
    </row>
    <row r="981" spans="1:26" ht="24.75" customHeight="1">
      <c r="A981" s="1"/>
      <c r="B981" s="1"/>
      <c r="C981" s="1"/>
      <c r="D981" s="1"/>
      <c r="E981" s="1"/>
      <c r="F981" s="1"/>
      <c r="G981" s="1"/>
      <c r="H981" s="1"/>
      <c r="I981" s="1"/>
      <c r="J981" s="1"/>
      <c r="K981" s="1"/>
      <c r="L981" s="1"/>
      <c r="M981" s="1"/>
      <c r="N981" s="1"/>
      <c r="O981" s="1"/>
      <c r="P981" s="1"/>
      <c r="Q981" s="1"/>
      <c r="R981" s="1"/>
      <c r="S981" s="1"/>
      <c r="T981" s="1"/>
      <c r="U981" s="2"/>
      <c r="V981" s="1"/>
      <c r="W981" s="1"/>
      <c r="X981" s="1"/>
      <c r="Y981" s="1"/>
      <c r="Z981" s="1"/>
    </row>
    <row r="982" spans="1:26" ht="24.75" customHeight="1">
      <c r="A982" s="1"/>
      <c r="B982" s="1"/>
      <c r="C982" s="1"/>
      <c r="D982" s="1"/>
      <c r="E982" s="1"/>
      <c r="F982" s="1"/>
      <c r="G982" s="1"/>
      <c r="H982" s="1"/>
      <c r="I982" s="1"/>
      <c r="J982" s="1"/>
      <c r="K982" s="1"/>
      <c r="L982" s="1"/>
      <c r="M982" s="1"/>
      <c r="N982" s="1"/>
      <c r="O982" s="1"/>
      <c r="P982" s="1"/>
      <c r="Q982" s="1"/>
      <c r="R982" s="1"/>
      <c r="S982" s="1"/>
      <c r="T982" s="1"/>
      <c r="U982" s="2"/>
      <c r="V982" s="1"/>
      <c r="W982" s="1"/>
      <c r="X982" s="1"/>
      <c r="Y982" s="1"/>
      <c r="Z982" s="1"/>
    </row>
    <row r="983" spans="1:26" ht="24.75" customHeight="1">
      <c r="A983" s="1"/>
      <c r="B983" s="1"/>
      <c r="C983" s="1"/>
      <c r="D983" s="1"/>
      <c r="E983" s="1"/>
      <c r="F983" s="1"/>
      <c r="G983" s="1"/>
      <c r="H983" s="1"/>
      <c r="I983" s="1"/>
      <c r="J983" s="1"/>
      <c r="K983" s="1"/>
      <c r="L983" s="1"/>
      <c r="M983" s="1"/>
      <c r="N983" s="1"/>
      <c r="O983" s="1"/>
      <c r="P983" s="1"/>
      <c r="Q983" s="1"/>
      <c r="R983" s="1"/>
      <c r="S983" s="1"/>
      <c r="T983" s="1"/>
      <c r="U983" s="2"/>
      <c r="V983" s="1"/>
      <c r="W983" s="1"/>
      <c r="X983" s="1"/>
      <c r="Y983" s="1"/>
      <c r="Z983" s="1"/>
    </row>
    <row r="984" spans="1:26" ht="24.75" customHeight="1">
      <c r="A984" s="1"/>
      <c r="B984" s="1"/>
      <c r="C984" s="1"/>
      <c r="D984" s="1"/>
      <c r="E984" s="1"/>
      <c r="F984" s="1"/>
      <c r="G984" s="1"/>
      <c r="H984" s="1"/>
      <c r="I984" s="1"/>
      <c r="J984" s="1"/>
      <c r="K984" s="1"/>
      <c r="L984" s="1"/>
      <c r="M984" s="1"/>
      <c r="N984" s="1"/>
      <c r="O984" s="1"/>
      <c r="P984" s="1"/>
      <c r="Q984" s="1"/>
      <c r="R984" s="1"/>
      <c r="S984" s="1"/>
      <c r="T984" s="1"/>
      <c r="U984" s="2"/>
      <c r="V984" s="1"/>
      <c r="W984" s="1"/>
      <c r="X984" s="1"/>
      <c r="Y984" s="1"/>
      <c r="Z984" s="1"/>
    </row>
    <row r="985" spans="1:26" ht="24.75" customHeight="1">
      <c r="A985" s="1"/>
      <c r="B985" s="1"/>
      <c r="C985" s="1"/>
      <c r="D985" s="1"/>
      <c r="E985" s="1"/>
      <c r="F985" s="1"/>
      <c r="G985" s="1"/>
      <c r="H985" s="1"/>
      <c r="I985" s="1"/>
      <c r="J985" s="1"/>
      <c r="K985" s="1"/>
      <c r="L985" s="1"/>
      <c r="M985" s="1"/>
      <c r="N985" s="1"/>
      <c r="O985" s="1"/>
      <c r="P985" s="1"/>
      <c r="Q985" s="1"/>
      <c r="R985" s="1"/>
      <c r="S985" s="1"/>
      <c r="T985" s="1"/>
      <c r="U985" s="2"/>
      <c r="V985" s="1"/>
      <c r="W985" s="1"/>
      <c r="X985" s="1"/>
      <c r="Y985" s="1"/>
      <c r="Z985" s="1"/>
    </row>
    <row r="986" spans="1:26" ht="24.75" customHeight="1">
      <c r="A986" s="1"/>
      <c r="B986" s="1"/>
      <c r="C986" s="1"/>
      <c r="D986" s="1"/>
      <c r="E986" s="1"/>
      <c r="F986" s="1"/>
      <c r="G986" s="1"/>
      <c r="H986" s="1"/>
      <c r="I986" s="1"/>
      <c r="J986" s="1"/>
      <c r="K986" s="1"/>
      <c r="L986" s="1"/>
      <c r="M986" s="1"/>
      <c r="N986" s="1"/>
      <c r="O986" s="1"/>
      <c r="P986" s="1"/>
      <c r="Q986" s="1"/>
      <c r="R986" s="1"/>
      <c r="S986" s="1"/>
      <c r="T986" s="1"/>
      <c r="U986" s="2"/>
      <c r="V986" s="1"/>
      <c r="W986" s="1"/>
      <c r="X986" s="1"/>
      <c r="Y986" s="1"/>
      <c r="Z986" s="1"/>
    </row>
    <row r="987" spans="1:26" ht="24.75" customHeight="1">
      <c r="A987" s="1"/>
      <c r="B987" s="1"/>
      <c r="C987" s="1"/>
      <c r="D987" s="1"/>
      <c r="E987" s="1"/>
      <c r="F987" s="1"/>
      <c r="G987" s="1"/>
      <c r="H987" s="1"/>
      <c r="I987" s="1"/>
      <c r="J987" s="1"/>
      <c r="K987" s="1"/>
      <c r="L987" s="1"/>
      <c r="M987" s="1"/>
      <c r="N987" s="1"/>
      <c r="O987" s="1"/>
      <c r="P987" s="1"/>
      <c r="Q987" s="1"/>
      <c r="R987" s="1"/>
      <c r="S987" s="1"/>
      <c r="T987" s="1"/>
      <c r="U987" s="2"/>
      <c r="V987" s="1"/>
      <c r="W987" s="1"/>
      <c r="X987" s="1"/>
      <c r="Y987" s="1"/>
      <c r="Z987" s="1"/>
    </row>
    <row r="988" spans="1:26" ht="24.75" customHeight="1">
      <c r="A988" s="1"/>
      <c r="B988" s="1"/>
      <c r="C988" s="1"/>
      <c r="D988" s="1"/>
      <c r="E988" s="1"/>
      <c r="F988" s="1"/>
      <c r="G988" s="1"/>
      <c r="H988" s="1"/>
      <c r="I988" s="1"/>
      <c r="J988" s="1"/>
      <c r="K988" s="1"/>
      <c r="L988" s="1"/>
      <c r="M988" s="1"/>
      <c r="N988" s="1"/>
      <c r="O988" s="1"/>
      <c r="P988" s="1"/>
      <c r="Q988" s="1"/>
      <c r="R988" s="1"/>
      <c r="S988" s="1"/>
      <c r="T988" s="1"/>
      <c r="U988" s="2"/>
      <c r="V988" s="1"/>
      <c r="W988" s="1"/>
      <c r="X988" s="1"/>
      <c r="Y988" s="1"/>
      <c r="Z988" s="1"/>
    </row>
    <row r="989" spans="1:26" ht="24.75" customHeight="1">
      <c r="A989" s="1"/>
      <c r="B989" s="1"/>
      <c r="C989" s="1"/>
      <c r="D989" s="1"/>
      <c r="E989" s="1"/>
      <c r="F989" s="1"/>
      <c r="G989" s="1"/>
      <c r="H989" s="1"/>
      <c r="I989" s="1"/>
      <c r="J989" s="1"/>
      <c r="K989" s="1"/>
      <c r="L989" s="1"/>
      <c r="M989" s="1"/>
      <c r="N989" s="1"/>
      <c r="O989" s="1"/>
      <c r="P989" s="1"/>
      <c r="Q989" s="1"/>
      <c r="R989" s="1"/>
      <c r="S989" s="1"/>
      <c r="T989" s="1"/>
      <c r="U989" s="2"/>
      <c r="V989" s="1"/>
      <c r="W989" s="1"/>
      <c r="X989" s="1"/>
      <c r="Y989" s="1"/>
      <c r="Z989" s="1"/>
    </row>
    <row r="990" spans="1:26" ht="24.75" customHeight="1">
      <c r="A990" s="1"/>
      <c r="B990" s="1"/>
      <c r="C990" s="1"/>
      <c r="D990" s="1"/>
      <c r="E990" s="1"/>
      <c r="F990" s="1"/>
      <c r="G990" s="1"/>
      <c r="H990" s="1"/>
      <c r="I990" s="1"/>
      <c r="J990" s="1"/>
      <c r="K990" s="1"/>
      <c r="L990" s="1"/>
      <c r="M990" s="1"/>
      <c r="N990" s="1"/>
      <c r="O990" s="1"/>
      <c r="P990" s="1"/>
      <c r="Q990" s="1"/>
      <c r="R990" s="1"/>
      <c r="S990" s="1"/>
      <c r="T990" s="1"/>
      <c r="U990" s="2"/>
      <c r="V990" s="1"/>
      <c r="W990" s="1"/>
      <c r="X990" s="1"/>
      <c r="Y990" s="1"/>
      <c r="Z990" s="1"/>
    </row>
    <row r="991" spans="1:26" ht="24.75" customHeight="1">
      <c r="A991" s="1"/>
      <c r="B991" s="1"/>
      <c r="C991" s="1"/>
      <c r="D991" s="1"/>
      <c r="E991" s="1"/>
      <c r="F991" s="1"/>
      <c r="G991" s="1"/>
      <c r="H991" s="1"/>
      <c r="I991" s="1"/>
      <c r="J991" s="1"/>
      <c r="K991" s="1"/>
      <c r="L991" s="1"/>
      <c r="M991" s="1"/>
      <c r="N991" s="1"/>
      <c r="O991" s="1"/>
      <c r="P991" s="1"/>
      <c r="Q991" s="1"/>
      <c r="R991" s="1"/>
      <c r="S991" s="1"/>
      <c r="T991" s="1"/>
      <c r="U991" s="2"/>
      <c r="V991" s="1"/>
      <c r="W991" s="1"/>
      <c r="X991" s="1"/>
      <c r="Y991" s="1"/>
      <c r="Z991" s="1"/>
    </row>
    <row r="992" spans="1:26" ht="24.75" customHeight="1">
      <c r="A992" s="1"/>
      <c r="B992" s="1"/>
      <c r="C992" s="1"/>
      <c r="D992" s="1"/>
      <c r="E992" s="1"/>
      <c r="F992" s="1"/>
      <c r="G992" s="1"/>
      <c r="H992" s="1"/>
      <c r="I992" s="1"/>
      <c r="J992" s="1"/>
      <c r="K992" s="1"/>
      <c r="L992" s="1"/>
      <c r="M992" s="1"/>
      <c r="N992" s="1"/>
      <c r="O992" s="1"/>
      <c r="P992" s="1"/>
      <c r="Q992" s="1"/>
      <c r="R992" s="1"/>
      <c r="S992" s="1"/>
      <c r="T992" s="1"/>
      <c r="U992" s="2"/>
      <c r="V992" s="1"/>
      <c r="W992" s="1"/>
      <c r="X992" s="1"/>
      <c r="Y992" s="1"/>
      <c r="Z992" s="1"/>
    </row>
    <row r="993" spans="1:26" ht="24.75" customHeight="1">
      <c r="A993" s="1"/>
      <c r="B993" s="1"/>
      <c r="C993" s="1"/>
      <c r="D993" s="1"/>
      <c r="E993" s="1"/>
      <c r="F993" s="1"/>
      <c r="G993" s="1"/>
      <c r="H993" s="1"/>
      <c r="I993" s="1"/>
      <c r="J993" s="1"/>
      <c r="K993" s="1"/>
      <c r="L993" s="1"/>
      <c r="M993" s="1"/>
      <c r="N993" s="1"/>
      <c r="O993" s="1"/>
      <c r="P993" s="1"/>
      <c r="Q993" s="1"/>
      <c r="R993" s="1"/>
      <c r="S993" s="1"/>
      <c r="T993" s="1"/>
      <c r="U993" s="2"/>
      <c r="V993" s="1"/>
      <c r="W993" s="1"/>
      <c r="X993" s="1"/>
      <c r="Y993" s="1"/>
      <c r="Z993" s="1"/>
    </row>
    <row r="994" spans="1:26" ht="24.75" customHeight="1">
      <c r="A994" s="1"/>
      <c r="B994" s="1"/>
      <c r="C994" s="1"/>
      <c r="D994" s="1"/>
      <c r="E994" s="1"/>
      <c r="F994" s="1"/>
      <c r="G994" s="1"/>
      <c r="H994" s="1"/>
      <c r="I994" s="1"/>
      <c r="J994" s="1"/>
      <c r="K994" s="1"/>
      <c r="L994" s="1"/>
      <c r="M994" s="1"/>
      <c r="N994" s="1"/>
      <c r="O994" s="1"/>
      <c r="P994" s="1"/>
      <c r="Q994" s="1"/>
      <c r="R994" s="1"/>
      <c r="S994" s="1"/>
      <c r="T994" s="1"/>
      <c r="U994" s="2"/>
      <c r="V994" s="1"/>
      <c r="W994" s="1"/>
      <c r="X994" s="1"/>
      <c r="Y994" s="1"/>
      <c r="Z994" s="1"/>
    </row>
    <row r="995" spans="1:26" ht="24.75" customHeight="1">
      <c r="A995" s="1"/>
      <c r="B995" s="1"/>
      <c r="C995" s="1"/>
      <c r="D995" s="1"/>
      <c r="E995" s="1"/>
      <c r="F995" s="1"/>
      <c r="G995" s="1"/>
      <c r="H995" s="1"/>
      <c r="I995" s="1"/>
      <c r="J995" s="1"/>
      <c r="K995" s="1"/>
      <c r="L995" s="1"/>
      <c r="M995" s="1"/>
      <c r="N995" s="1"/>
      <c r="O995" s="1"/>
      <c r="P995" s="1"/>
      <c r="Q995" s="1"/>
      <c r="R995" s="1"/>
      <c r="S995" s="1"/>
      <c r="T995" s="1"/>
      <c r="U995" s="2"/>
      <c r="V995" s="1"/>
      <c r="W995" s="1"/>
      <c r="X995" s="1"/>
      <c r="Y995" s="1"/>
      <c r="Z995" s="1"/>
    </row>
    <row r="996" spans="1:26" ht="24.75" customHeight="1">
      <c r="A996" s="1"/>
      <c r="B996" s="1"/>
      <c r="C996" s="1"/>
      <c r="D996" s="1"/>
      <c r="E996" s="1"/>
      <c r="F996" s="1"/>
      <c r="G996" s="1"/>
      <c r="H996" s="1"/>
      <c r="I996" s="1"/>
      <c r="J996" s="1"/>
      <c r="K996" s="1"/>
      <c r="L996" s="1"/>
      <c r="M996" s="1"/>
      <c r="N996" s="1"/>
      <c r="O996" s="1"/>
      <c r="P996" s="1"/>
      <c r="Q996" s="1"/>
      <c r="R996" s="1"/>
      <c r="S996" s="1"/>
      <c r="T996" s="1"/>
      <c r="U996" s="2"/>
      <c r="V996" s="1"/>
      <c r="W996" s="1"/>
      <c r="X996" s="1"/>
      <c r="Y996" s="1"/>
      <c r="Z996" s="1"/>
    </row>
    <row r="997" spans="1:26" ht="24.75" customHeight="1">
      <c r="A997" s="1"/>
      <c r="B997" s="1"/>
      <c r="C997" s="1"/>
      <c r="D997" s="1"/>
      <c r="E997" s="1"/>
      <c r="F997" s="1"/>
      <c r="G997" s="1"/>
      <c r="H997" s="1"/>
      <c r="I997" s="1"/>
      <c r="J997" s="1"/>
      <c r="K997" s="1"/>
      <c r="L997" s="1"/>
      <c r="M997" s="1"/>
      <c r="N997" s="1"/>
      <c r="O997" s="1"/>
      <c r="P997" s="1"/>
      <c r="Q997" s="1"/>
      <c r="R997" s="1"/>
      <c r="S997" s="1"/>
      <c r="T997" s="1"/>
      <c r="U997" s="2"/>
      <c r="V997" s="1"/>
      <c r="W997" s="1"/>
      <c r="X997" s="1"/>
      <c r="Y997" s="1"/>
      <c r="Z997" s="1"/>
    </row>
    <row r="998" spans="1:26" ht="24.75" customHeight="1">
      <c r="A998" s="1"/>
      <c r="B998" s="1"/>
      <c r="C998" s="1"/>
      <c r="D998" s="1"/>
      <c r="E998" s="1"/>
      <c r="F998" s="1"/>
      <c r="G998" s="1"/>
      <c r="H998" s="1"/>
      <c r="I998" s="1"/>
      <c r="J998" s="1"/>
      <c r="K998" s="1"/>
      <c r="L998" s="1"/>
      <c r="M998" s="1"/>
      <c r="N998" s="1"/>
      <c r="O998" s="1"/>
      <c r="P998" s="1"/>
      <c r="Q998" s="1"/>
      <c r="R998" s="1"/>
      <c r="S998" s="1"/>
      <c r="T998" s="1"/>
      <c r="U998" s="2"/>
      <c r="V998" s="1"/>
      <c r="W998" s="1"/>
      <c r="X998" s="1"/>
      <c r="Y998" s="1"/>
      <c r="Z998" s="1"/>
    </row>
    <row r="999" spans="1:26" ht="24.75" customHeight="1">
      <c r="A999" s="1"/>
      <c r="B999" s="1"/>
      <c r="C999" s="1"/>
      <c r="D999" s="1"/>
      <c r="E999" s="1"/>
      <c r="F999" s="1"/>
      <c r="G999" s="1"/>
      <c r="H999" s="1"/>
      <c r="I999" s="1"/>
      <c r="J999" s="1"/>
      <c r="K999" s="1"/>
      <c r="L999" s="1"/>
      <c r="M999" s="1"/>
      <c r="N999" s="1"/>
      <c r="O999" s="1"/>
      <c r="P999" s="1"/>
      <c r="Q999" s="1"/>
      <c r="R999" s="1"/>
      <c r="S999" s="1"/>
      <c r="T999" s="1"/>
      <c r="U999" s="2"/>
      <c r="V999" s="1"/>
      <c r="W999" s="1"/>
      <c r="X999" s="1"/>
      <c r="Y999" s="1"/>
      <c r="Z999" s="1"/>
    </row>
    <row r="1000" spans="1:26" ht="24.75" customHeight="1">
      <c r="A1000" s="1"/>
      <c r="B1000" s="1"/>
      <c r="C1000" s="1"/>
      <c r="D1000" s="1"/>
      <c r="E1000" s="1"/>
      <c r="F1000" s="1"/>
      <c r="G1000" s="1"/>
      <c r="H1000" s="1"/>
      <c r="I1000" s="1"/>
      <c r="J1000" s="1"/>
      <c r="K1000" s="1"/>
      <c r="L1000" s="1"/>
      <c r="M1000" s="1"/>
      <c r="N1000" s="1"/>
      <c r="O1000" s="1"/>
      <c r="P1000" s="1"/>
      <c r="Q1000" s="1"/>
      <c r="R1000" s="1"/>
      <c r="S1000" s="1"/>
      <c r="T1000" s="1"/>
      <c r="U1000" s="2"/>
      <c r="V1000" s="1"/>
      <c r="W1000" s="1"/>
      <c r="X1000" s="1"/>
      <c r="Y1000" s="1"/>
      <c r="Z1000" s="1"/>
    </row>
  </sheetData>
  <mergeCells count="101">
    <mergeCell ref="B204:B206"/>
    <mergeCell ref="C204:C206"/>
    <mergeCell ref="B209:D209"/>
    <mergeCell ref="A210:D210"/>
    <mergeCell ref="A135:A158"/>
    <mergeCell ref="B135:B136"/>
    <mergeCell ref="B138:B144"/>
    <mergeCell ref="B145:B146"/>
    <mergeCell ref="B147:B149"/>
    <mergeCell ref="B158:D158"/>
    <mergeCell ref="A159:A209"/>
    <mergeCell ref="C135:C136"/>
    <mergeCell ref="C138:C144"/>
    <mergeCell ref="C145:C146"/>
    <mergeCell ref="C147:C149"/>
    <mergeCell ref="C150:C153"/>
    <mergeCell ref="B173:B179"/>
    <mergeCell ref="C173:C179"/>
    <mergeCell ref="B180:B183"/>
    <mergeCell ref="C180:C183"/>
    <mergeCell ref="B184:B186"/>
    <mergeCell ref="C184:C186"/>
    <mergeCell ref="B187:B192"/>
    <mergeCell ref="C187:C192"/>
    <mergeCell ref="B150:B153"/>
    <mergeCell ref="B159:B162"/>
    <mergeCell ref="C159:C162"/>
    <mergeCell ref="B163:B167"/>
    <mergeCell ref="C163:C167"/>
    <mergeCell ref="B168:B172"/>
    <mergeCell ref="C168:C172"/>
    <mergeCell ref="B202:B203"/>
    <mergeCell ref="C202:C203"/>
    <mergeCell ref="B194:B199"/>
    <mergeCell ref="C194:C199"/>
    <mergeCell ref="B200:B201"/>
    <mergeCell ref="C200:C201"/>
    <mergeCell ref="C94:C103"/>
    <mergeCell ref="B104:B105"/>
    <mergeCell ref="C104:C105"/>
    <mergeCell ref="B106:B110"/>
    <mergeCell ref="C106:C110"/>
    <mergeCell ref="B111:B113"/>
    <mergeCell ref="C111:C113"/>
    <mergeCell ref="B94:B103"/>
    <mergeCell ref="A94:A134"/>
    <mergeCell ref="B114:B118"/>
    <mergeCell ref="C114:C118"/>
    <mergeCell ref="B119:B120"/>
    <mergeCell ref="C119:C120"/>
    <mergeCell ref="B122:B125"/>
    <mergeCell ref="C122:C125"/>
    <mergeCell ref="B128:B130"/>
    <mergeCell ref="C128:C130"/>
    <mergeCell ref="B131:B132"/>
    <mergeCell ref="C131:C132"/>
    <mergeCell ref="B134:D134"/>
    <mergeCell ref="B79:B85"/>
    <mergeCell ref="C79:C85"/>
    <mergeCell ref="B75:B78"/>
    <mergeCell ref="B57:B66"/>
    <mergeCell ref="C57:C66"/>
    <mergeCell ref="A69:A93"/>
    <mergeCell ref="B70:B74"/>
    <mergeCell ref="C70:C74"/>
    <mergeCell ref="C75:C78"/>
    <mergeCell ref="B86:B89"/>
    <mergeCell ref="C86:C89"/>
    <mergeCell ref="B93:D93"/>
    <mergeCell ref="B47:B56"/>
    <mergeCell ref="C47:C56"/>
    <mergeCell ref="C6:C23"/>
    <mergeCell ref="B24:B25"/>
    <mergeCell ref="C24:C25"/>
    <mergeCell ref="Q4:Q5"/>
    <mergeCell ref="R4:R5"/>
    <mergeCell ref="S4:S5"/>
    <mergeCell ref="A1:E1"/>
    <mergeCell ref="A4:A5"/>
    <mergeCell ref="C4:C5"/>
    <mergeCell ref="D4:D5"/>
    <mergeCell ref="E4:E5"/>
    <mergeCell ref="F4:F5"/>
    <mergeCell ref="A6:A68"/>
    <mergeCell ref="B68:D68"/>
    <mergeCell ref="B4:B5"/>
    <mergeCell ref="B6:B23"/>
    <mergeCell ref="B26:B36"/>
    <mergeCell ref="C26:C36"/>
    <mergeCell ref="B37:B39"/>
    <mergeCell ref="C37:C39"/>
    <mergeCell ref="B40:B46"/>
    <mergeCell ref="U4:U5"/>
    <mergeCell ref="G4:H4"/>
    <mergeCell ref="I4:I5"/>
    <mergeCell ref="J4:L4"/>
    <mergeCell ref="M4:M5"/>
    <mergeCell ref="N4:N5"/>
    <mergeCell ref="O4:O5"/>
    <mergeCell ref="P4:P5"/>
    <mergeCell ref="C40:C46"/>
  </mergeCell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dimension ref="A1:Z1000"/>
  <sheetViews>
    <sheetView workbookViewId="0">
      <pane xSplit="3" ySplit="5" topLeftCell="D81" activePane="bottomRight" state="frozen"/>
      <selection pane="topRight" activeCell="D1" sqref="D1"/>
      <selection pane="bottomLeft" activeCell="A6" sqref="A6"/>
      <selection pane="bottomRight" activeCell="P89" sqref="P89"/>
    </sheetView>
  </sheetViews>
  <sheetFormatPr defaultColWidth="14.42578125" defaultRowHeight="15" customHeight="1"/>
  <cols>
    <col min="1" max="1" width="6.7109375" style="3" customWidth="1"/>
    <col min="2" max="2" width="7.28515625" style="3" customWidth="1"/>
    <col min="3" max="3" width="11.28515625" style="3" customWidth="1"/>
    <col min="4" max="4" width="5.85546875" style="3" customWidth="1"/>
    <col min="5" max="5" width="35.85546875" style="3" customWidth="1"/>
    <col min="6" max="6" width="7.42578125" style="3" customWidth="1"/>
    <col min="7" max="7" width="10.7109375" style="3" customWidth="1"/>
    <col min="8" max="8" width="8.28515625" style="3" customWidth="1"/>
    <col min="9" max="9" width="10.5703125" style="3" customWidth="1"/>
    <col min="10" max="10" width="11.85546875" style="3" customWidth="1"/>
    <col min="11" max="11" width="9.28515625" style="3" customWidth="1"/>
    <col min="12" max="12" width="6.7109375" style="3" customWidth="1"/>
    <col min="13" max="13" width="9" style="3" customWidth="1"/>
    <col min="14" max="14" width="9.7109375" style="3" customWidth="1"/>
    <col min="15" max="15" width="6.5703125" style="3" customWidth="1"/>
    <col min="16" max="16" width="9" style="3" customWidth="1"/>
    <col min="17" max="17" width="8.28515625" style="3" customWidth="1"/>
    <col min="18" max="18" width="9.5703125" style="3" customWidth="1"/>
    <col min="19" max="19" width="10.42578125" style="3" customWidth="1"/>
    <col min="20" max="20" width="15.7109375" style="3" customWidth="1"/>
    <col min="21" max="21" width="47.42578125" style="21" customWidth="1"/>
    <col min="22" max="16384" width="14.42578125" style="3"/>
  </cols>
  <sheetData>
    <row r="1" spans="1:26" ht="24.75" customHeight="1">
      <c r="A1" s="172" t="s">
        <v>379</v>
      </c>
      <c r="B1" s="173"/>
      <c r="C1" s="173"/>
      <c r="D1" s="173"/>
      <c r="E1" s="174"/>
      <c r="F1" s="1"/>
      <c r="G1" s="1"/>
      <c r="H1" s="1"/>
      <c r="I1" s="1"/>
      <c r="J1" s="1"/>
      <c r="K1" s="1"/>
      <c r="L1" s="1"/>
      <c r="M1" s="1"/>
      <c r="N1" s="1"/>
      <c r="O1" s="1"/>
      <c r="P1" s="1"/>
      <c r="Q1" s="1"/>
      <c r="R1" s="1"/>
      <c r="S1" s="1"/>
      <c r="T1" s="1"/>
      <c r="U1" s="2"/>
      <c r="V1" s="1"/>
      <c r="W1" s="1"/>
      <c r="X1" s="1"/>
      <c r="Y1" s="1"/>
      <c r="Z1" s="1"/>
    </row>
    <row r="2" spans="1:26" ht="24.75" hidden="1" customHeight="1">
      <c r="A2" s="1"/>
      <c r="B2" s="1"/>
      <c r="C2" s="1"/>
      <c r="D2" s="1"/>
      <c r="E2" s="1"/>
      <c r="F2" s="1"/>
      <c r="G2" s="1"/>
      <c r="H2" s="1"/>
      <c r="I2" s="1"/>
      <c r="J2" s="1"/>
      <c r="K2" s="1"/>
      <c r="L2" s="1"/>
      <c r="M2" s="1"/>
      <c r="N2" s="1"/>
      <c r="O2" s="1"/>
      <c r="P2" s="1"/>
      <c r="Q2" s="1"/>
      <c r="R2" s="1"/>
      <c r="S2" s="1"/>
      <c r="T2" s="1"/>
      <c r="U2" s="2"/>
      <c r="V2" s="1"/>
      <c r="W2" s="1"/>
      <c r="X2" s="1"/>
      <c r="Y2" s="1"/>
      <c r="Z2" s="1"/>
    </row>
    <row r="3" spans="1:26" ht="24.75" hidden="1" customHeight="1">
      <c r="A3" s="1"/>
      <c r="B3" s="4"/>
      <c r="C3" s="4"/>
      <c r="D3" s="4"/>
      <c r="E3" s="4"/>
      <c r="F3" s="4"/>
      <c r="G3" s="4"/>
      <c r="H3" s="4"/>
      <c r="I3" s="4"/>
      <c r="J3" s="4"/>
      <c r="K3" s="4"/>
      <c r="L3" s="4"/>
      <c r="M3" s="4"/>
      <c r="N3" s="4"/>
      <c r="O3" s="4"/>
      <c r="P3" s="4"/>
      <c r="Q3" s="4"/>
      <c r="R3" s="4"/>
      <c r="S3" s="4"/>
      <c r="T3" s="4"/>
      <c r="U3" s="60" t="s">
        <v>1</v>
      </c>
      <c r="V3" s="1"/>
      <c r="W3" s="1"/>
      <c r="X3" s="1"/>
      <c r="Y3" s="1"/>
      <c r="Z3" s="1"/>
    </row>
    <row r="4" spans="1:26" ht="24.75" customHeight="1">
      <c r="A4" s="168" t="s">
        <v>2</v>
      </c>
      <c r="B4" s="168" t="s">
        <v>3</v>
      </c>
      <c r="C4" s="168" t="s">
        <v>4</v>
      </c>
      <c r="D4" s="168" t="s">
        <v>5</v>
      </c>
      <c r="E4" s="168" t="s">
        <v>6</v>
      </c>
      <c r="F4" s="168" t="s">
        <v>7</v>
      </c>
      <c r="G4" s="166" t="s">
        <v>8</v>
      </c>
      <c r="H4" s="167"/>
      <c r="I4" s="168" t="s">
        <v>9</v>
      </c>
      <c r="J4" s="166" t="s">
        <v>10</v>
      </c>
      <c r="K4" s="170"/>
      <c r="L4" s="167"/>
      <c r="M4" s="168" t="s">
        <v>570</v>
      </c>
      <c r="N4" s="168" t="s">
        <v>11</v>
      </c>
      <c r="O4" s="168" t="s">
        <v>12</v>
      </c>
      <c r="P4" s="168" t="s">
        <v>380</v>
      </c>
      <c r="Q4" s="168" t="s">
        <v>14</v>
      </c>
      <c r="R4" s="168" t="s">
        <v>15</v>
      </c>
      <c r="S4" s="168" t="s">
        <v>16</v>
      </c>
      <c r="T4" s="5" t="s">
        <v>597</v>
      </c>
      <c r="U4" s="164" t="s">
        <v>17</v>
      </c>
      <c r="V4" s="1"/>
      <c r="W4" s="1"/>
      <c r="X4" s="1"/>
      <c r="Y4" s="1"/>
      <c r="Z4" s="1"/>
    </row>
    <row r="5" spans="1:26" ht="24.75" customHeight="1">
      <c r="A5" s="169"/>
      <c r="B5" s="169"/>
      <c r="C5" s="169"/>
      <c r="D5" s="169"/>
      <c r="E5" s="169"/>
      <c r="F5" s="169"/>
      <c r="G5" s="5" t="s">
        <v>18</v>
      </c>
      <c r="H5" s="5" t="s">
        <v>19</v>
      </c>
      <c r="I5" s="169"/>
      <c r="J5" s="5" t="s">
        <v>571</v>
      </c>
      <c r="K5" s="5" t="s">
        <v>20</v>
      </c>
      <c r="L5" s="5" t="s">
        <v>21</v>
      </c>
      <c r="M5" s="169"/>
      <c r="N5" s="169"/>
      <c r="O5" s="169"/>
      <c r="P5" s="169"/>
      <c r="Q5" s="169"/>
      <c r="R5" s="169"/>
      <c r="S5" s="169"/>
      <c r="T5" s="5" t="s">
        <v>22</v>
      </c>
      <c r="U5" s="169"/>
      <c r="V5" s="1"/>
      <c r="W5" s="1"/>
      <c r="X5" s="1"/>
      <c r="Y5" s="1"/>
      <c r="Z5" s="1"/>
    </row>
    <row r="6" spans="1:26" ht="24.75" customHeight="1">
      <c r="A6" s="175" t="s">
        <v>23</v>
      </c>
      <c r="B6" s="168" t="s">
        <v>24</v>
      </c>
      <c r="C6" s="168" t="s">
        <v>25</v>
      </c>
      <c r="D6" s="5">
        <v>1</v>
      </c>
      <c r="E6" s="5" t="s">
        <v>26</v>
      </c>
      <c r="F6" s="5"/>
      <c r="G6" s="5"/>
      <c r="H6" s="5"/>
      <c r="I6" s="5"/>
      <c r="J6" s="5"/>
      <c r="K6" s="5"/>
      <c r="L6" s="5"/>
      <c r="M6" s="5"/>
      <c r="N6" s="5"/>
      <c r="O6" s="5"/>
      <c r="P6" s="5"/>
      <c r="Q6" s="5"/>
      <c r="R6" s="5"/>
      <c r="S6" s="5"/>
      <c r="T6" s="6">
        <f t="shared" ref="T6:T69" si="0">SUM(F6:S6)</f>
        <v>0</v>
      </c>
      <c r="U6" s="9"/>
      <c r="V6" s="1"/>
      <c r="W6" s="1"/>
      <c r="X6" s="1"/>
      <c r="Y6" s="1"/>
      <c r="Z6" s="1"/>
    </row>
    <row r="7" spans="1:26" ht="24.75" customHeight="1">
      <c r="A7" s="171"/>
      <c r="B7" s="171"/>
      <c r="C7" s="171"/>
      <c r="D7" s="5">
        <v>2</v>
      </c>
      <c r="E7" s="5" t="s">
        <v>27</v>
      </c>
      <c r="F7" s="5"/>
      <c r="G7" s="5"/>
      <c r="H7" s="5"/>
      <c r="I7" s="5"/>
      <c r="J7" s="5"/>
      <c r="K7" s="6">
        <v>69.17</v>
      </c>
      <c r="L7" s="5"/>
      <c r="M7" s="5"/>
      <c r="N7" s="5"/>
      <c r="O7" s="5"/>
      <c r="P7" s="8">
        <v>1.2</v>
      </c>
      <c r="Q7" s="5"/>
      <c r="R7" s="5"/>
      <c r="S7" s="5"/>
      <c r="T7" s="6">
        <f t="shared" si="0"/>
        <v>70.37</v>
      </c>
      <c r="U7" s="9" t="s">
        <v>28</v>
      </c>
      <c r="V7" s="1"/>
      <c r="W7" s="1"/>
      <c r="X7" s="1"/>
      <c r="Y7" s="1"/>
      <c r="Z7" s="1"/>
    </row>
    <row r="8" spans="1:26" ht="24.75" customHeight="1">
      <c r="A8" s="171"/>
      <c r="B8" s="171"/>
      <c r="C8" s="171"/>
      <c r="D8" s="5">
        <v>3</v>
      </c>
      <c r="E8" s="5" t="s">
        <v>29</v>
      </c>
      <c r="F8" s="8">
        <v>46.99</v>
      </c>
      <c r="G8" s="5"/>
      <c r="H8" s="5"/>
      <c r="I8" s="5"/>
      <c r="J8" s="5"/>
      <c r="K8" s="5"/>
      <c r="L8" s="5"/>
      <c r="M8" s="5"/>
      <c r="N8" s="5"/>
      <c r="O8" s="8">
        <v>37.53</v>
      </c>
      <c r="P8" s="5"/>
      <c r="Q8" s="5"/>
      <c r="R8" s="8">
        <v>2.16</v>
      </c>
      <c r="S8" s="5"/>
      <c r="T8" s="6">
        <f t="shared" si="0"/>
        <v>86.68</v>
      </c>
      <c r="U8" s="9" t="s">
        <v>30</v>
      </c>
      <c r="V8" s="1"/>
      <c r="W8" s="1"/>
      <c r="X8" s="1"/>
      <c r="Y8" s="1"/>
      <c r="Z8" s="1"/>
    </row>
    <row r="9" spans="1:26" ht="24.75" customHeight="1">
      <c r="A9" s="171"/>
      <c r="B9" s="171"/>
      <c r="C9" s="171"/>
      <c r="D9" s="5">
        <v>4</v>
      </c>
      <c r="E9" s="5" t="s">
        <v>31</v>
      </c>
      <c r="F9" s="5"/>
      <c r="G9" s="5"/>
      <c r="H9" s="5"/>
      <c r="I9" s="5"/>
      <c r="J9" s="5"/>
      <c r="K9" s="5"/>
      <c r="L9" s="5"/>
      <c r="M9" s="6">
        <v>23.58</v>
      </c>
      <c r="N9" s="5"/>
      <c r="O9" s="5"/>
      <c r="P9" s="8">
        <f>21.95+1.18</f>
        <v>23.13</v>
      </c>
      <c r="Q9" s="5"/>
      <c r="R9" s="5"/>
      <c r="S9" s="5"/>
      <c r="T9" s="6">
        <f t="shared" si="0"/>
        <v>46.709999999999994</v>
      </c>
      <c r="U9" s="9" t="s">
        <v>32</v>
      </c>
      <c r="V9" s="1"/>
      <c r="W9" s="1"/>
      <c r="X9" s="1"/>
      <c r="Y9" s="1"/>
      <c r="Z9" s="1"/>
    </row>
    <row r="10" spans="1:26" ht="24.75" customHeight="1">
      <c r="A10" s="171"/>
      <c r="B10" s="171"/>
      <c r="C10" s="171"/>
      <c r="D10" s="5">
        <v>5</v>
      </c>
      <c r="E10" s="5" t="s">
        <v>33</v>
      </c>
      <c r="F10" s="5"/>
      <c r="G10" s="5"/>
      <c r="H10" s="5"/>
      <c r="I10" s="5"/>
      <c r="J10" s="5"/>
      <c r="K10" s="5"/>
      <c r="L10" s="5"/>
      <c r="M10" s="5"/>
      <c r="N10" s="5"/>
      <c r="O10" s="5"/>
      <c r="P10" s="6">
        <v>39.299999999999997</v>
      </c>
      <c r="Q10" s="5"/>
      <c r="R10" s="5"/>
      <c r="S10" s="5"/>
      <c r="T10" s="6">
        <f t="shared" si="0"/>
        <v>39.299999999999997</v>
      </c>
      <c r="U10" s="9" t="s">
        <v>34</v>
      </c>
      <c r="V10" s="1"/>
      <c r="W10" s="1"/>
      <c r="X10" s="1"/>
      <c r="Y10" s="1"/>
      <c r="Z10" s="1"/>
    </row>
    <row r="11" spans="1:26" ht="24.75" customHeight="1">
      <c r="A11" s="171"/>
      <c r="B11" s="171"/>
      <c r="C11" s="171"/>
      <c r="D11" s="5">
        <v>6</v>
      </c>
      <c r="E11" s="5" t="s">
        <v>35</v>
      </c>
      <c r="F11" s="5"/>
      <c r="G11" s="5"/>
      <c r="H11" s="5"/>
      <c r="I11" s="5"/>
      <c r="J11" s="5"/>
      <c r="K11" s="5"/>
      <c r="L11" s="5"/>
      <c r="M11" s="5"/>
      <c r="N11" s="8"/>
      <c r="O11" s="5"/>
      <c r="P11" s="8">
        <v>0.5</v>
      </c>
      <c r="Q11" s="5"/>
      <c r="R11" s="5"/>
      <c r="S11" s="5"/>
      <c r="T11" s="6">
        <f t="shared" si="0"/>
        <v>0.5</v>
      </c>
      <c r="U11" s="9" t="s">
        <v>36</v>
      </c>
      <c r="V11" s="1"/>
      <c r="W11" s="1"/>
      <c r="X11" s="1"/>
      <c r="Y11" s="1"/>
      <c r="Z11" s="1"/>
    </row>
    <row r="12" spans="1:26" ht="24.75" customHeight="1">
      <c r="A12" s="171"/>
      <c r="B12" s="171"/>
      <c r="C12" s="171"/>
      <c r="D12" s="5">
        <v>7</v>
      </c>
      <c r="E12" s="5" t="s">
        <v>37</v>
      </c>
      <c r="F12" s="5"/>
      <c r="G12" s="5"/>
      <c r="H12" s="5"/>
      <c r="I12" s="5"/>
      <c r="J12" s="5"/>
      <c r="K12" s="5"/>
      <c r="L12" s="5"/>
      <c r="M12" s="5"/>
      <c r="N12" s="5"/>
      <c r="O12" s="5"/>
      <c r="P12" s="8">
        <v>0.06</v>
      </c>
      <c r="Q12" s="8"/>
      <c r="R12" s="5"/>
      <c r="S12" s="5"/>
      <c r="T12" s="6">
        <f t="shared" si="0"/>
        <v>0.06</v>
      </c>
      <c r="U12" s="9" t="s">
        <v>38</v>
      </c>
      <c r="V12" s="1"/>
      <c r="W12" s="1"/>
      <c r="X12" s="1"/>
      <c r="Y12" s="1"/>
      <c r="Z12" s="1"/>
    </row>
    <row r="13" spans="1:26" ht="24.75" customHeight="1">
      <c r="A13" s="171"/>
      <c r="B13" s="171"/>
      <c r="C13" s="171"/>
      <c r="D13" s="5">
        <v>8</v>
      </c>
      <c r="E13" s="5" t="s">
        <v>39</v>
      </c>
      <c r="F13" s="5"/>
      <c r="G13" s="5"/>
      <c r="H13" s="5"/>
      <c r="I13" s="5"/>
      <c r="J13" s="5"/>
      <c r="K13" s="5"/>
      <c r="L13" s="5"/>
      <c r="M13" s="5"/>
      <c r="N13" s="6"/>
      <c r="O13" s="5"/>
      <c r="P13" s="5"/>
      <c r="Q13" s="5"/>
      <c r="R13" s="5"/>
      <c r="S13" s="5"/>
      <c r="T13" s="6">
        <f t="shared" si="0"/>
        <v>0</v>
      </c>
      <c r="U13" s="9"/>
      <c r="V13" s="1"/>
      <c r="W13" s="1"/>
      <c r="X13" s="1"/>
      <c r="Y13" s="1"/>
      <c r="Z13" s="1"/>
    </row>
    <row r="14" spans="1:26" ht="24.75" customHeight="1">
      <c r="A14" s="171"/>
      <c r="B14" s="171"/>
      <c r="C14" s="171"/>
      <c r="D14" s="5">
        <v>9</v>
      </c>
      <c r="E14" s="5" t="s">
        <v>40</v>
      </c>
      <c r="F14" s="5"/>
      <c r="G14" s="5"/>
      <c r="H14" s="5"/>
      <c r="I14" s="5"/>
      <c r="J14" s="5"/>
      <c r="K14" s="5"/>
      <c r="L14" s="5"/>
      <c r="M14" s="5"/>
      <c r="N14" s="6">
        <v>0.18</v>
      </c>
      <c r="O14" s="5"/>
      <c r="P14" s="5"/>
      <c r="Q14" s="8"/>
      <c r="R14" s="5"/>
      <c r="S14" s="8">
        <v>0.35</v>
      </c>
      <c r="T14" s="6">
        <f t="shared" si="0"/>
        <v>0.53</v>
      </c>
      <c r="U14" s="9" t="s">
        <v>41</v>
      </c>
      <c r="V14" s="1"/>
      <c r="W14" s="1"/>
      <c r="X14" s="1"/>
      <c r="Y14" s="1"/>
      <c r="Z14" s="1"/>
    </row>
    <row r="15" spans="1:26" ht="24.75" customHeight="1">
      <c r="A15" s="171"/>
      <c r="B15" s="171"/>
      <c r="C15" s="171"/>
      <c r="D15" s="5">
        <v>10</v>
      </c>
      <c r="E15" s="5" t="s">
        <v>42</v>
      </c>
      <c r="F15" s="5"/>
      <c r="G15" s="5"/>
      <c r="H15" s="5"/>
      <c r="I15" s="6"/>
      <c r="J15" s="5"/>
      <c r="K15" s="5"/>
      <c r="L15" s="5"/>
      <c r="M15" s="5"/>
      <c r="N15" s="6">
        <v>0.45750000000000002</v>
      </c>
      <c r="O15" s="5"/>
      <c r="P15" s="5"/>
      <c r="Q15" s="5"/>
      <c r="R15" s="5"/>
      <c r="S15" s="5"/>
      <c r="T15" s="6">
        <f t="shared" si="0"/>
        <v>0.45750000000000002</v>
      </c>
      <c r="U15" s="10" t="s">
        <v>43</v>
      </c>
      <c r="V15" s="1"/>
      <c r="W15" s="1"/>
      <c r="X15" s="1"/>
      <c r="Y15" s="1"/>
      <c r="Z15" s="1"/>
    </row>
    <row r="16" spans="1:26" ht="24.75" customHeight="1">
      <c r="A16" s="171"/>
      <c r="B16" s="171"/>
      <c r="C16" s="171"/>
      <c r="D16" s="5">
        <v>11</v>
      </c>
      <c r="E16" s="5" t="s">
        <v>44</v>
      </c>
      <c r="F16" s="5"/>
      <c r="G16" s="8"/>
      <c r="H16" s="8"/>
      <c r="I16" s="5"/>
      <c r="J16" s="5"/>
      <c r="K16" s="5"/>
      <c r="L16" s="5"/>
      <c r="M16" s="5"/>
      <c r="N16" s="5"/>
      <c r="O16" s="5"/>
      <c r="P16" s="5"/>
      <c r="Q16" s="5"/>
      <c r="R16" s="5"/>
      <c r="S16" s="5"/>
      <c r="T16" s="6">
        <f t="shared" si="0"/>
        <v>0</v>
      </c>
      <c r="U16" s="9"/>
      <c r="V16" s="1"/>
      <c r="W16" s="1"/>
      <c r="X16" s="1"/>
      <c r="Y16" s="1"/>
      <c r="Z16" s="1"/>
    </row>
    <row r="17" spans="1:26" ht="24.75" customHeight="1">
      <c r="A17" s="171"/>
      <c r="B17" s="171"/>
      <c r="C17" s="171"/>
      <c r="D17" s="5">
        <v>12</v>
      </c>
      <c r="E17" s="5" t="s">
        <v>45</v>
      </c>
      <c r="F17" s="5"/>
      <c r="G17" s="5"/>
      <c r="H17" s="5"/>
      <c r="I17" s="5"/>
      <c r="J17" s="5"/>
      <c r="K17" s="5"/>
      <c r="L17" s="5"/>
      <c r="M17" s="5"/>
      <c r="N17" s="6">
        <v>3.4950000000000001</v>
      </c>
      <c r="O17" s="5"/>
      <c r="P17" s="5"/>
      <c r="Q17" s="5"/>
      <c r="R17" s="5"/>
      <c r="S17" s="5"/>
      <c r="T17" s="6">
        <f t="shared" si="0"/>
        <v>3.4950000000000001</v>
      </c>
      <c r="U17" s="9" t="s">
        <v>46</v>
      </c>
      <c r="V17" s="1"/>
      <c r="W17" s="1"/>
      <c r="X17" s="1"/>
      <c r="Y17" s="1"/>
      <c r="Z17" s="1"/>
    </row>
    <row r="18" spans="1:26" ht="24.75" customHeight="1">
      <c r="A18" s="171"/>
      <c r="B18" s="171"/>
      <c r="C18" s="171"/>
      <c r="D18" s="5">
        <v>13</v>
      </c>
      <c r="E18" s="5" t="s">
        <v>47</v>
      </c>
      <c r="F18" s="5"/>
      <c r="G18" s="5"/>
      <c r="H18" s="5"/>
      <c r="I18" s="5"/>
      <c r="J18" s="5"/>
      <c r="K18" s="5"/>
      <c r="L18" s="5"/>
      <c r="M18" s="5"/>
      <c r="N18" s="5"/>
      <c r="O18" s="5"/>
      <c r="P18" s="8"/>
      <c r="Q18" s="5"/>
      <c r="R18" s="5"/>
      <c r="S18" s="5"/>
      <c r="T18" s="6">
        <f t="shared" si="0"/>
        <v>0</v>
      </c>
      <c r="U18" s="9"/>
      <c r="V18" s="1"/>
      <c r="W18" s="1"/>
      <c r="X18" s="1"/>
      <c r="Y18" s="1"/>
      <c r="Z18" s="1"/>
    </row>
    <row r="19" spans="1:26" ht="24.75" customHeight="1">
      <c r="A19" s="171"/>
      <c r="B19" s="171"/>
      <c r="C19" s="171"/>
      <c r="D19" s="5">
        <v>14</v>
      </c>
      <c r="E19" s="5" t="s">
        <v>48</v>
      </c>
      <c r="F19" s="5"/>
      <c r="G19" s="5"/>
      <c r="H19" s="5"/>
      <c r="I19" s="5"/>
      <c r="J19" s="5"/>
      <c r="K19" s="5"/>
      <c r="L19" s="5"/>
      <c r="M19" s="5"/>
      <c r="N19" s="5"/>
      <c r="O19" s="5"/>
      <c r="P19" s="5"/>
      <c r="Q19" s="5"/>
      <c r="R19" s="5"/>
      <c r="S19" s="5"/>
      <c r="T19" s="6">
        <f t="shared" si="0"/>
        <v>0</v>
      </c>
      <c r="U19" s="9"/>
      <c r="V19" s="1"/>
      <c r="W19" s="1"/>
      <c r="X19" s="1"/>
      <c r="Y19" s="1"/>
      <c r="Z19" s="1"/>
    </row>
    <row r="20" spans="1:26" ht="24.75" customHeight="1">
      <c r="A20" s="171"/>
      <c r="B20" s="171"/>
      <c r="C20" s="171"/>
      <c r="D20" s="5">
        <v>15</v>
      </c>
      <c r="E20" s="5" t="s">
        <v>49</v>
      </c>
      <c r="F20" s="5"/>
      <c r="G20" s="5"/>
      <c r="H20" s="5"/>
      <c r="I20" s="8">
        <v>4</v>
      </c>
      <c r="J20" s="5"/>
      <c r="K20" s="5"/>
      <c r="L20" s="5"/>
      <c r="M20" s="5"/>
      <c r="N20" s="6">
        <v>0.74785000000000001</v>
      </c>
      <c r="O20" s="5"/>
      <c r="P20" s="8"/>
      <c r="Q20" s="8"/>
      <c r="R20" s="5"/>
      <c r="S20" s="5"/>
      <c r="T20" s="6">
        <f t="shared" si="0"/>
        <v>4.7478499999999997</v>
      </c>
      <c r="U20" s="9" t="s">
        <v>50</v>
      </c>
      <c r="V20" s="1"/>
      <c r="W20" s="1"/>
      <c r="X20" s="1"/>
      <c r="Y20" s="1"/>
      <c r="Z20" s="1"/>
    </row>
    <row r="21" spans="1:26" ht="24.75" customHeight="1">
      <c r="A21" s="171"/>
      <c r="B21" s="171"/>
      <c r="C21" s="171"/>
      <c r="D21" s="5">
        <v>16</v>
      </c>
      <c r="E21" s="5" t="s">
        <v>51</v>
      </c>
      <c r="F21" s="5"/>
      <c r="G21" s="5"/>
      <c r="H21" s="5"/>
      <c r="I21" s="5"/>
      <c r="J21" s="5"/>
      <c r="K21" s="5"/>
      <c r="L21" s="5"/>
      <c r="M21" s="5"/>
      <c r="N21" s="5"/>
      <c r="O21" s="5"/>
      <c r="P21" s="5"/>
      <c r="Q21" s="5"/>
      <c r="R21" s="5"/>
      <c r="S21" s="5"/>
      <c r="T21" s="6">
        <f t="shared" si="0"/>
        <v>0</v>
      </c>
      <c r="U21" s="9"/>
      <c r="V21" s="1"/>
      <c r="W21" s="1"/>
      <c r="X21" s="1"/>
      <c r="Y21" s="1"/>
      <c r="Z21" s="1"/>
    </row>
    <row r="22" spans="1:26" ht="24.75" customHeight="1">
      <c r="A22" s="171"/>
      <c r="B22" s="171"/>
      <c r="C22" s="171"/>
      <c r="D22" s="5">
        <v>17</v>
      </c>
      <c r="E22" s="5" t="s">
        <v>52</v>
      </c>
      <c r="F22" s="5"/>
      <c r="G22" s="5"/>
      <c r="H22" s="5"/>
      <c r="I22" s="6"/>
      <c r="J22" s="5"/>
      <c r="K22" s="5"/>
      <c r="L22" s="5"/>
      <c r="M22" s="5"/>
      <c r="N22" s="6">
        <v>0.92100000000000004</v>
      </c>
      <c r="O22" s="5"/>
      <c r="P22" s="8">
        <v>0</v>
      </c>
      <c r="Q22" s="6">
        <v>2</v>
      </c>
      <c r="R22" s="5"/>
      <c r="S22" s="8"/>
      <c r="T22" s="6">
        <f t="shared" si="0"/>
        <v>2.9210000000000003</v>
      </c>
      <c r="U22" s="9" t="s">
        <v>358</v>
      </c>
      <c r="V22" s="1"/>
      <c r="W22" s="1"/>
      <c r="X22" s="1"/>
      <c r="Y22" s="1"/>
      <c r="Z22" s="1"/>
    </row>
    <row r="23" spans="1:26" ht="24.75" customHeight="1">
      <c r="A23" s="171"/>
      <c r="B23" s="169"/>
      <c r="C23" s="169"/>
      <c r="D23" s="5">
        <v>18</v>
      </c>
      <c r="E23" s="5" t="s">
        <v>54</v>
      </c>
      <c r="F23" s="5"/>
      <c r="G23" s="5"/>
      <c r="H23" s="5"/>
      <c r="I23" s="5"/>
      <c r="J23" s="5"/>
      <c r="K23" s="5"/>
      <c r="L23" s="5"/>
      <c r="M23" s="5"/>
      <c r="N23" s="5"/>
      <c r="O23" s="5"/>
      <c r="P23" s="8">
        <f>0.27+0.15</f>
        <v>0.42000000000000004</v>
      </c>
      <c r="Q23" s="8"/>
      <c r="R23" s="5"/>
      <c r="S23" s="8"/>
      <c r="T23" s="6">
        <f t="shared" si="0"/>
        <v>0.42000000000000004</v>
      </c>
      <c r="U23" s="9" t="s">
        <v>55</v>
      </c>
      <c r="V23" s="1"/>
      <c r="W23" s="1"/>
      <c r="X23" s="1"/>
      <c r="Y23" s="1"/>
      <c r="Z23" s="1"/>
    </row>
    <row r="24" spans="1:26" ht="24.75" customHeight="1">
      <c r="A24" s="171"/>
      <c r="B24" s="168" t="s">
        <v>56</v>
      </c>
      <c r="C24" s="168" t="s">
        <v>57</v>
      </c>
      <c r="D24" s="5">
        <v>19</v>
      </c>
      <c r="E24" s="5" t="s">
        <v>57</v>
      </c>
      <c r="F24" s="5"/>
      <c r="G24" s="5"/>
      <c r="H24" s="5"/>
      <c r="I24" s="5"/>
      <c r="J24" s="5"/>
      <c r="K24" s="5"/>
      <c r="L24" s="5"/>
      <c r="M24" s="5"/>
      <c r="N24" s="5"/>
      <c r="O24" s="5"/>
      <c r="P24" s="5"/>
      <c r="Q24" s="5"/>
      <c r="R24" s="5"/>
      <c r="S24" s="5"/>
      <c r="T24" s="6">
        <f t="shared" si="0"/>
        <v>0</v>
      </c>
      <c r="U24" s="9"/>
      <c r="V24" s="1"/>
      <c r="W24" s="1"/>
      <c r="X24" s="1"/>
      <c r="Y24" s="1"/>
      <c r="Z24" s="1"/>
    </row>
    <row r="25" spans="1:26" ht="24.75" customHeight="1">
      <c r="A25" s="171"/>
      <c r="B25" s="169"/>
      <c r="C25" s="169"/>
      <c r="D25" s="5">
        <v>20</v>
      </c>
      <c r="E25" s="5" t="s">
        <v>58</v>
      </c>
      <c r="F25" s="5"/>
      <c r="G25" s="5"/>
      <c r="H25" s="5"/>
      <c r="I25" s="5"/>
      <c r="J25" s="5"/>
      <c r="K25" s="5"/>
      <c r="L25" s="5"/>
      <c r="M25" s="5"/>
      <c r="N25" s="5"/>
      <c r="O25" s="5"/>
      <c r="P25" s="5"/>
      <c r="Q25" s="6">
        <v>1.1000000000000001</v>
      </c>
      <c r="R25" s="5"/>
      <c r="S25" s="5"/>
      <c r="T25" s="6">
        <f t="shared" si="0"/>
        <v>1.1000000000000001</v>
      </c>
      <c r="U25" s="9" t="s">
        <v>359</v>
      </c>
      <c r="V25" s="1"/>
      <c r="W25" s="1"/>
      <c r="X25" s="1"/>
      <c r="Y25" s="1"/>
      <c r="Z25" s="1"/>
    </row>
    <row r="26" spans="1:26" ht="39.75" customHeight="1">
      <c r="A26" s="171"/>
      <c r="B26" s="168" t="s">
        <v>60</v>
      </c>
      <c r="C26" s="168" t="s">
        <v>61</v>
      </c>
      <c r="D26" s="5">
        <v>21</v>
      </c>
      <c r="E26" s="5" t="s">
        <v>62</v>
      </c>
      <c r="F26" s="123"/>
      <c r="G26" s="123"/>
      <c r="H26" s="124"/>
      <c r="I26" s="125">
        <v>2.73</v>
      </c>
      <c r="J26" s="123"/>
      <c r="K26" s="125"/>
      <c r="L26" s="123"/>
      <c r="M26" s="123"/>
      <c r="N26" s="125">
        <f>0.992+0.4565+0.3+1</f>
        <v>2.7484999999999999</v>
      </c>
      <c r="O26" s="123"/>
      <c r="P26" s="124">
        <f>11.52+2.988</f>
        <v>14.507999999999999</v>
      </c>
      <c r="Q26" s="124">
        <f>0.195</f>
        <v>0.19500000000000001</v>
      </c>
      <c r="R26" s="125">
        <f>0.5+0.273</f>
        <v>0.77300000000000002</v>
      </c>
      <c r="S26" s="123"/>
      <c r="T26" s="125">
        <f t="shared" ref="T26:T36" si="1">SUM(F26:S26)</f>
        <v>20.954499999999999</v>
      </c>
      <c r="U26" s="9" t="s">
        <v>65</v>
      </c>
      <c r="V26" s="1"/>
      <c r="W26" s="1"/>
      <c r="X26" s="1"/>
      <c r="Y26" s="1"/>
      <c r="Z26" s="1"/>
    </row>
    <row r="27" spans="1:26" ht="24.75" customHeight="1">
      <c r="A27" s="171"/>
      <c r="B27" s="171"/>
      <c r="C27" s="171"/>
      <c r="D27" s="5">
        <v>22</v>
      </c>
      <c r="E27" s="5" t="s">
        <v>64</v>
      </c>
      <c r="F27" s="124"/>
      <c r="G27" s="123"/>
      <c r="H27" s="124"/>
      <c r="I27" s="125"/>
      <c r="J27" s="123"/>
      <c r="K27" s="123"/>
      <c r="L27" s="123"/>
      <c r="M27" s="124">
        <v>0.75</v>
      </c>
      <c r="N27" s="123"/>
      <c r="O27" s="123"/>
      <c r="P27" s="124">
        <f>200+1.2</f>
        <v>201.2</v>
      </c>
      <c r="Q27" s="124"/>
      <c r="R27" s="125"/>
      <c r="S27" s="123"/>
      <c r="T27" s="125">
        <f t="shared" si="1"/>
        <v>201.95</v>
      </c>
      <c r="U27" s="9" t="s">
        <v>65</v>
      </c>
      <c r="V27" s="1"/>
      <c r="W27" s="1"/>
      <c r="X27" s="1"/>
      <c r="Y27" s="1"/>
      <c r="Z27" s="1"/>
    </row>
    <row r="28" spans="1:26" ht="24.75" customHeight="1">
      <c r="A28" s="171"/>
      <c r="B28" s="171"/>
      <c r="C28" s="171"/>
      <c r="D28" s="5">
        <v>23</v>
      </c>
      <c r="E28" s="5" t="s">
        <v>66</v>
      </c>
      <c r="F28" s="123"/>
      <c r="G28" s="123"/>
      <c r="H28" s="123"/>
      <c r="I28" s="123"/>
      <c r="J28" s="123"/>
      <c r="K28" s="125"/>
      <c r="L28" s="123"/>
      <c r="M28" s="123"/>
      <c r="N28" s="123"/>
      <c r="O28" s="124">
        <f>16.0225+1.69</f>
        <v>17.712500000000002</v>
      </c>
      <c r="P28" s="123"/>
      <c r="Q28" s="124"/>
      <c r="R28" s="123"/>
      <c r="S28" s="123"/>
      <c r="T28" s="125">
        <f t="shared" si="1"/>
        <v>17.712500000000002</v>
      </c>
      <c r="U28" s="9" t="s">
        <v>65</v>
      </c>
      <c r="V28" s="1"/>
      <c r="W28" s="1"/>
      <c r="X28" s="1"/>
      <c r="Y28" s="1"/>
      <c r="Z28" s="1"/>
    </row>
    <row r="29" spans="1:26" ht="24.75" customHeight="1">
      <c r="A29" s="171"/>
      <c r="B29" s="171"/>
      <c r="C29" s="171"/>
      <c r="D29" s="5">
        <v>24</v>
      </c>
      <c r="E29" s="5" t="s">
        <v>67</v>
      </c>
      <c r="F29" s="123"/>
      <c r="G29" s="123"/>
      <c r="H29" s="124"/>
      <c r="I29" s="123"/>
      <c r="J29" s="123"/>
      <c r="K29" s="123"/>
      <c r="L29" s="123"/>
      <c r="M29" s="123"/>
      <c r="N29" s="125">
        <f>1.72+1.72+1+1</f>
        <v>5.4399999999999995</v>
      </c>
      <c r="O29" s="124"/>
      <c r="P29" s="123">
        <f>2+10+0.8+7</f>
        <v>19.8</v>
      </c>
      <c r="Q29" s="125"/>
      <c r="R29" s="123"/>
      <c r="S29" s="123"/>
      <c r="T29" s="125">
        <f t="shared" si="1"/>
        <v>25.240000000000002</v>
      </c>
      <c r="U29" s="9" t="s">
        <v>393</v>
      </c>
      <c r="V29" s="1"/>
      <c r="W29" s="1"/>
      <c r="X29" s="1"/>
      <c r="Y29" s="1"/>
      <c r="Z29" s="1"/>
    </row>
    <row r="30" spans="1:26" ht="24.75" customHeight="1">
      <c r="A30" s="171"/>
      <c r="B30" s="171"/>
      <c r="C30" s="171"/>
      <c r="D30" s="5">
        <v>25</v>
      </c>
      <c r="E30" s="5" t="s">
        <v>69</v>
      </c>
      <c r="F30" s="123"/>
      <c r="G30" s="123"/>
      <c r="H30" s="123"/>
      <c r="I30" s="123"/>
      <c r="J30" s="123"/>
      <c r="K30" s="123"/>
      <c r="L30" s="123"/>
      <c r="M30" s="123"/>
      <c r="N30" s="125">
        <v>0.5</v>
      </c>
      <c r="O30" s="123"/>
      <c r="P30" s="123"/>
      <c r="Q30" s="123"/>
      <c r="R30" s="123"/>
      <c r="S30" s="123"/>
      <c r="T30" s="125">
        <f t="shared" si="1"/>
        <v>0.5</v>
      </c>
      <c r="U30" s="9" t="s">
        <v>65</v>
      </c>
      <c r="V30" s="1"/>
      <c r="W30" s="1"/>
      <c r="X30" s="1"/>
      <c r="Y30" s="1"/>
      <c r="Z30" s="1"/>
    </row>
    <row r="31" spans="1:26" ht="24.75" customHeight="1">
      <c r="A31" s="171"/>
      <c r="B31" s="171"/>
      <c r="C31" s="171"/>
      <c r="D31" s="5">
        <v>26</v>
      </c>
      <c r="E31" s="5" t="s">
        <v>70</v>
      </c>
      <c r="F31" s="123"/>
      <c r="G31" s="123"/>
      <c r="H31" s="123"/>
      <c r="I31" s="125"/>
      <c r="J31" s="123"/>
      <c r="K31" s="123"/>
      <c r="L31" s="123"/>
      <c r="M31" s="123"/>
      <c r="N31" s="125">
        <v>3.57</v>
      </c>
      <c r="O31" s="123"/>
      <c r="P31" s="123"/>
      <c r="Q31" s="125">
        <v>0.5</v>
      </c>
      <c r="R31" s="124"/>
      <c r="S31" s="123"/>
      <c r="T31" s="125">
        <f t="shared" si="1"/>
        <v>4.07</v>
      </c>
      <c r="U31" s="9" t="s">
        <v>393</v>
      </c>
      <c r="V31" s="1"/>
      <c r="W31" s="1"/>
      <c r="X31" s="1"/>
      <c r="Y31" s="1"/>
      <c r="Z31" s="1"/>
    </row>
    <row r="32" spans="1:26" ht="24.75" customHeight="1">
      <c r="A32" s="171"/>
      <c r="B32" s="171"/>
      <c r="C32" s="171"/>
      <c r="D32" s="5">
        <v>27</v>
      </c>
      <c r="E32" s="5" t="s">
        <v>72</v>
      </c>
      <c r="F32" s="123"/>
      <c r="G32" s="123"/>
      <c r="H32" s="124"/>
      <c r="I32" s="125"/>
      <c r="J32" s="123"/>
      <c r="K32" s="123"/>
      <c r="L32" s="123"/>
      <c r="M32" s="123"/>
      <c r="N32" s="125"/>
      <c r="O32" s="124"/>
      <c r="P32" s="124"/>
      <c r="Q32" s="123"/>
      <c r="R32" s="123"/>
      <c r="S32" s="123"/>
      <c r="T32" s="125">
        <f t="shared" si="1"/>
        <v>0</v>
      </c>
      <c r="U32" s="9"/>
      <c r="V32" s="1"/>
      <c r="W32" s="1"/>
      <c r="X32" s="1"/>
      <c r="Y32" s="1"/>
      <c r="Z32" s="1"/>
    </row>
    <row r="33" spans="1:26" ht="24.75" customHeight="1">
      <c r="A33" s="171"/>
      <c r="B33" s="171"/>
      <c r="C33" s="171"/>
      <c r="D33" s="5">
        <v>28</v>
      </c>
      <c r="E33" s="5" t="s">
        <v>31</v>
      </c>
      <c r="F33" s="123"/>
      <c r="G33" s="123"/>
      <c r="H33" s="123"/>
      <c r="I33" s="123"/>
      <c r="J33" s="123"/>
      <c r="K33" s="125">
        <v>2.36</v>
      </c>
      <c r="L33" s="123"/>
      <c r="M33" s="125">
        <v>2.36</v>
      </c>
      <c r="N33" s="123"/>
      <c r="O33" s="123"/>
      <c r="P33" s="123"/>
      <c r="Q33" s="123"/>
      <c r="R33" s="123"/>
      <c r="S33" s="123"/>
      <c r="T33" s="125">
        <f t="shared" si="1"/>
        <v>4.72</v>
      </c>
      <c r="U33" s="9" t="s">
        <v>65</v>
      </c>
      <c r="V33" s="1"/>
      <c r="W33" s="1"/>
      <c r="X33" s="1"/>
      <c r="Y33" s="1"/>
      <c r="Z33" s="1"/>
    </row>
    <row r="34" spans="1:26" ht="24.75" customHeight="1">
      <c r="A34" s="171"/>
      <c r="B34" s="171"/>
      <c r="C34" s="171"/>
      <c r="D34" s="5">
        <v>29</v>
      </c>
      <c r="E34" s="5" t="s">
        <v>33</v>
      </c>
      <c r="F34" s="123"/>
      <c r="G34" s="123"/>
      <c r="H34" s="123"/>
      <c r="I34" s="123"/>
      <c r="J34" s="123"/>
      <c r="K34" s="123"/>
      <c r="L34" s="123"/>
      <c r="M34" s="123"/>
      <c r="N34" s="123"/>
      <c r="O34" s="123"/>
      <c r="P34" s="125">
        <v>5.9</v>
      </c>
      <c r="Q34" s="123"/>
      <c r="R34" s="123"/>
      <c r="S34" s="123"/>
      <c r="T34" s="125">
        <f t="shared" si="1"/>
        <v>5.9</v>
      </c>
      <c r="U34" s="9" t="s">
        <v>65</v>
      </c>
      <c r="V34" s="1"/>
      <c r="W34" s="1"/>
      <c r="X34" s="1"/>
      <c r="Y34" s="1"/>
      <c r="Z34" s="1"/>
    </row>
    <row r="35" spans="1:26" ht="24.75" customHeight="1">
      <c r="A35" s="171"/>
      <c r="B35" s="171"/>
      <c r="C35" s="171"/>
      <c r="D35" s="5">
        <v>30</v>
      </c>
      <c r="E35" s="5" t="s">
        <v>73</v>
      </c>
      <c r="F35" s="123"/>
      <c r="G35" s="123"/>
      <c r="H35" s="123"/>
      <c r="I35" s="125"/>
      <c r="J35" s="123"/>
      <c r="K35" s="123"/>
      <c r="L35" s="123"/>
      <c r="M35" s="123"/>
      <c r="N35" s="123"/>
      <c r="O35" s="123"/>
      <c r="P35" s="123"/>
      <c r="Q35" s="125">
        <v>1.75</v>
      </c>
      <c r="R35" s="124">
        <v>1.528</v>
      </c>
      <c r="S35" s="123"/>
      <c r="T35" s="125">
        <f t="shared" si="1"/>
        <v>3.278</v>
      </c>
      <c r="U35" s="9" t="s">
        <v>360</v>
      </c>
      <c r="V35" s="1"/>
      <c r="W35" s="1"/>
      <c r="X35" s="1"/>
      <c r="Y35" s="1"/>
      <c r="Z35" s="1"/>
    </row>
    <row r="36" spans="1:26" ht="24.75" customHeight="1">
      <c r="A36" s="171"/>
      <c r="B36" s="169"/>
      <c r="C36" s="169"/>
      <c r="D36" s="5">
        <v>31</v>
      </c>
      <c r="E36" s="5" t="s">
        <v>54</v>
      </c>
      <c r="F36" s="123"/>
      <c r="G36" s="123"/>
      <c r="H36" s="123"/>
      <c r="I36" s="123"/>
      <c r="J36" s="123"/>
      <c r="K36" s="123"/>
      <c r="L36" s="123"/>
      <c r="M36" s="123"/>
      <c r="N36" s="123"/>
      <c r="O36" s="123"/>
      <c r="P36" s="123"/>
      <c r="Q36" s="123"/>
      <c r="R36" s="123"/>
      <c r="S36" s="123"/>
      <c r="T36" s="125">
        <f t="shared" si="1"/>
        <v>0</v>
      </c>
      <c r="U36" s="9"/>
      <c r="V36" s="1"/>
      <c r="W36" s="1"/>
      <c r="X36" s="1"/>
      <c r="Y36" s="1"/>
      <c r="Z36" s="1"/>
    </row>
    <row r="37" spans="1:26" ht="24.75" customHeight="1">
      <c r="A37" s="171"/>
      <c r="B37" s="168" t="s">
        <v>75</v>
      </c>
      <c r="C37" s="168" t="s">
        <v>76</v>
      </c>
      <c r="D37" s="5">
        <v>32</v>
      </c>
      <c r="E37" s="5" t="s">
        <v>77</v>
      </c>
      <c r="F37" s="5"/>
      <c r="G37" s="5"/>
      <c r="H37" s="5"/>
      <c r="I37" s="6"/>
      <c r="J37" s="5"/>
      <c r="K37" s="5"/>
      <c r="L37" s="5"/>
      <c r="M37" s="6"/>
      <c r="N37" s="6">
        <v>2.37</v>
      </c>
      <c r="O37" s="8">
        <v>50</v>
      </c>
      <c r="P37" s="8">
        <v>13.28</v>
      </c>
      <c r="Q37" s="6">
        <v>7.2</v>
      </c>
      <c r="R37" s="8">
        <v>4.7460000000000004</v>
      </c>
      <c r="S37" s="5"/>
      <c r="T37" s="6">
        <f t="shared" si="0"/>
        <v>77.595999999999989</v>
      </c>
      <c r="U37" s="9" t="s">
        <v>361</v>
      </c>
      <c r="V37" s="1"/>
      <c r="W37" s="1"/>
      <c r="X37" s="1"/>
      <c r="Y37" s="1"/>
      <c r="Z37" s="1"/>
    </row>
    <row r="38" spans="1:26" ht="24.75" customHeight="1">
      <c r="A38" s="171"/>
      <c r="B38" s="171"/>
      <c r="C38" s="171"/>
      <c r="D38" s="5">
        <v>33</v>
      </c>
      <c r="E38" s="5" t="s">
        <v>79</v>
      </c>
      <c r="F38" s="5"/>
      <c r="G38" s="5"/>
      <c r="H38" s="5"/>
      <c r="I38" s="5"/>
      <c r="J38" s="5"/>
      <c r="K38" s="5"/>
      <c r="L38" s="5"/>
      <c r="M38" s="5"/>
      <c r="N38" s="5"/>
      <c r="O38" s="5"/>
      <c r="P38" s="5"/>
      <c r="Q38" s="5"/>
      <c r="R38" s="5"/>
      <c r="S38" s="5"/>
      <c r="T38" s="6">
        <f t="shared" si="0"/>
        <v>0</v>
      </c>
      <c r="U38" s="9"/>
      <c r="V38" s="1"/>
      <c r="W38" s="1"/>
      <c r="X38" s="1"/>
      <c r="Y38" s="1"/>
      <c r="Z38" s="1"/>
    </row>
    <row r="39" spans="1:26" ht="24.75" customHeight="1">
      <c r="A39" s="171"/>
      <c r="B39" s="169"/>
      <c r="C39" s="169"/>
      <c r="D39" s="5">
        <v>34</v>
      </c>
      <c r="E39" s="5" t="s">
        <v>80</v>
      </c>
      <c r="F39" s="5"/>
      <c r="G39" s="5"/>
      <c r="H39" s="5"/>
      <c r="I39" s="5"/>
      <c r="J39" s="5"/>
      <c r="K39" s="5"/>
      <c r="L39" s="5"/>
      <c r="M39" s="5"/>
      <c r="N39" s="6"/>
      <c r="O39" s="5"/>
      <c r="P39" s="8"/>
      <c r="Q39" s="5"/>
      <c r="R39" s="5"/>
      <c r="S39" s="5"/>
      <c r="T39" s="6">
        <f t="shared" si="0"/>
        <v>0</v>
      </c>
      <c r="U39" s="9"/>
      <c r="V39" s="1"/>
      <c r="W39" s="1"/>
      <c r="X39" s="1"/>
      <c r="Y39" s="1"/>
      <c r="Z39" s="1"/>
    </row>
    <row r="40" spans="1:26" ht="24.75" customHeight="1">
      <c r="A40" s="171"/>
      <c r="B40" s="168" t="s">
        <v>81</v>
      </c>
      <c r="C40" s="168" t="s">
        <v>82</v>
      </c>
      <c r="D40" s="5">
        <v>35</v>
      </c>
      <c r="E40" s="5" t="s">
        <v>83</v>
      </c>
      <c r="F40" s="5"/>
      <c r="G40" s="5"/>
      <c r="H40" s="5"/>
      <c r="I40" s="6"/>
      <c r="J40" s="5"/>
      <c r="K40" s="5"/>
      <c r="L40" s="5"/>
      <c r="M40" s="5"/>
      <c r="N40" s="6">
        <v>2.75</v>
      </c>
      <c r="O40" s="5"/>
      <c r="P40" s="8">
        <v>2.86</v>
      </c>
      <c r="Q40" s="8"/>
      <c r="R40" s="5">
        <v>0.1</v>
      </c>
      <c r="S40" s="5"/>
      <c r="T40" s="6">
        <f t="shared" si="0"/>
        <v>5.7099999999999991</v>
      </c>
      <c r="U40" s="9" t="s">
        <v>588</v>
      </c>
      <c r="V40" s="1"/>
      <c r="W40" s="1"/>
      <c r="X40" s="1"/>
      <c r="Y40" s="1"/>
      <c r="Z40" s="1"/>
    </row>
    <row r="41" spans="1:26" ht="24.75" customHeight="1">
      <c r="A41" s="171"/>
      <c r="B41" s="171"/>
      <c r="C41" s="171"/>
      <c r="D41" s="5">
        <v>36</v>
      </c>
      <c r="E41" s="5" t="s">
        <v>84</v>
      </c>
      <c r="F41" s="5"/>
      <c r="G41" s="5"/>
      <c r="H41" s="5"/>
      <c r="I41" s="5"/>
      <c r="J41" s="5"/>
      <c r="K41" s="6"/>
      <c r="L41" s="5"/>
      <c r="M41" s="5"/>
      <c r="N41" s="6">
        <v>0.6</v>
      </c>
      <c r="O41" s="5"/>
      <c r="P41" s="5"/>
      <c r="Q41" s="5"/>
      <c r="R41" s="5"/>
      <c r="S41" s="5"/>
      <c r="T41" s="6">
        <f t="shared" si="0"/>
        <v>0.6</v>
      </c>
      <c r="U41" s="9" t="s">
        <v>394</v>
      </c>
      <c r="V41" s="1"/>
      <c r="W41" s="1"/>
      <c r="X41" s="1"/>
      <c r="Y41" s="1"/>
      <c r="Z41" s="1"/>
    </row>
    <row r="42" spans="1:26" ht="24.75" customHeight="1">
      <c r="A42" s="171"/>
      <c r="B42" s="171"/>
      <c r="C42" s="171"/>
      <c r="D42" s="5">
        <v>37</v>
      </c>
      <c r="E42" s="5" t="s">
        <v>86</v>
      </c>
      <c r="F42" s="5"/>
      <c r="G42" s="5"/>
      <c r="H42" s="5"/>
      <c r="I42" s="5"/>
      <c r="J42" s="5"/>
      <c r="K42" s="6"/>
      <c r="L42" s="5"/>
      <c r="M42" s="5"/>
      <c r="N42" s="5"/>
      <c r="O42" s="5"/>
      <c r="P42" s="5"/>
      <c r="Q42" s="5"/>
      <c r="R42" s="5"/>
      <c r="S42" s="5"/>
      <c r="T42" s="6">
        <f t="shared" si="0"/>
        <v>0</v>
      </c>
      <c r="U42" s="9"/>
      <c r="V42" s="1"/>
      <c r="W42" s="1"/>
      <c r="X42" s="1"/>
      <c r="Y42" s="1"/>
      <c r="Z42" s="1"/>
    </row>
    <row r="43" spans="1:26" ht="24.75" customHeight="1">
      <c r="A43" s="171"/>
      <c r="B43" s="171"/>
      <c r="C43" s="171"/>
      <c r="D43" s="5">
        <v>38</v>
      </c>
      <c r="E43" s="5" t="s">
        <v>87</v>
      </c>
      <c r="F43" s="5"/>
      <c r="G43" s="5"/>
      <c r="H43" s="5"/>
      <c r="I43" s="5"/>
      <c r="J43" s="5"/>
      <c r="K43" s="5"/>
      <c r="L43" s="5"/>
      <c r="M43" s="5"/>
      <c r="N43" s="6">
        <v>7.85</v>
      </c>
      <c r="O43" s="8">
        <v>0.224</v>
      </c>
      <c r="P43" s="8">
        <v>13.6</v>
      </c>
      <c r="Q43" s="8">
        <v>1.4</v>
      </c>
      <c r="R43" s="5">
        <v>1</v>
      </c>
      <c r="S43" s="5"/>
      <c r="T43" s="6">
        <f t="shared" si="0"/>
        <v>24.073999999999998</v>
      </c>
      <c r="U43" s="9" t="s">
        <v>589</v>
      </c>
      <c r="V43" s="1"/>
      <c r="W43" s="1"/>
      <c r="X43" s="1"/>
      <c r="Y43" s="1"/>
      <c r="Z43" s="1"/>
    </row>
    <row r="44" spans="1:26" ht="24.75" customHeight="1">
      <c r="A44" s="171"/>
      <c r="B44" s="171"/>
      <c r="C44" s="171"/>
      <c r="D44" s="5">
        <v>39</v>
      </c>
      <c r="E44" s="5" t="s">
        <v>88</v>
      </c>
      <c r="F44" s="5"/>
      <c r="G44" s="5"/>
      <c r="H44" s="5"/>
      <c r="I44" s="5"/>
      <c r="J44" s="5"/>
      <c r="K44" s="5"/>
      <c r="L44" s="5"/>
      <c r="M44" s="5"/>
      <c r="N44" s="5"/>
      <c r="O44" s="5"/>
      <c r="P44" s="8">
        <v>1.22</v>
      </c>
      <c r="Q44" s="8">
        <v>15.5</v>
      </c>
      <c r="R44" s="5"/>
      <c r="S44" s="5"/>
      <c r="T44" s="6">
        <f t="shared" si="0"/>
        <v>16.72</v>
      </c>
      <c r="U44" s="9" t="s">
        <v>590</v>
      </c>
      <c r="V44" s="1"/>
      <c r="W44" s="1"/>
      <c r="X44" s="1"/>
      <c r="Y44" s="1"/>
      <c r="Z44" s="1"/>
    </row>
    <row r="45" spans="1:26" ht="24.75" customHeight="1">
      <c r="A45" s="171"/>
      <c r="B45" s="171"/>
      <c r="C45" s="171"/>
      <c r="D45" s="5">
        <v>40</v>
      </c>
      <c r="E45" s="5" t="s">
        <v>89</v>
      </c>
      <c r="F45" s="5"/>
      <c r="G45" s="5"/>
      <c r="H45" s="5"/>
      <c r="I45" s="5"/>
      <c r="J45" s="5"/>
      <c r="K45" s="5"/>
      <c r="L45" s="5"/>
      <c r="M45" s="5"/>
      <c r="N45" s="6">
        <v>0.10920000000000001</v>
      </c>
      <c r="O45" s="5"/>
      <c r="P45" s="8">
        <v>0.21</v>
      </c>
      <c r="Q45" s="6">
        <v>0.32</v>
      </c>
      <c r="R45" s="8">
        <v>2</v>
      </c>
      <c r="S45" s="5"/>
      <c r="T45" s="6">
        <f t="shared" si="0"/>
        <v>2.6391999999999998</v>
      </c>
      <c r="U45" s="9" t="s">
        <v>825</v>
      </c>
      <c r="V45" s="1"/>
      <c r="W45" s="1"/>
      <c r="X45" s="1"/>
      <c r="Y45" s="1"/>
      <c r="Z45" s="1"/>
    </row>
    <row r="46" spans="1:26" ht="24.75" customHeight="1">
      <c r="A46" s="171"/>
      <c r="B46" s="169"/>
      <c r="C46" s="169"/>
      <c r="D46" s="5">
        <v>41</v>
      </c>
      <c r="E46" s="5" t="s">
        <v>54</v>
      </c>
      <c r="F46" s="5"/>
      <c r="G46" s="5"/>
      <c r="H46" s="5"/>
      <c r="I46" s="5"/>
      <c r="J46" s="5"/>
      <c r="K46" s="5"/>
      <c r="L46" s="5"/>
      <c r="M46" s="5"/>
      <c r="N46" s="5"/>
      <c r="O46" s="5"/>
      <c r="P46" s="5"/>
      <c r="Q46" s="5"/>
      <c r="R46" s="5"/>
      <c r="S46" s="5"/>
      <c r="T46" s="6">
        <f t="shared" si="0"/>
        <v>0</v>
      </c>
      <c r="U46" s="9"/>
      <c r="V46" s="1"/>
      <c r="W46" s="1"/>
      <c r="X46" s="1"/>
      <c r="Y46" s="1"/>
      <c r="Z46" s="1"/>
    </row>
    <row r="47" spans="1:26" ht="24.75" customHeight="1">
      <c r="A47" s="171"/>
      <c r="B47" s="168" t="s">
        <v>90</v>
      </c>
      <c r="C47" s="168" t="s">
        <v>91</v>
      </c>
      <c r="D47" s="5">
        <v>42</v>
      </c>
      <c r="E47" s="5" t="s">
        <v>92</v>
      </c>
      <c r="F47" s="8">
        <v>9.02</v>
      </c>
      <c r="G47" s="5"/>
      <c r="H47" s="5"/>
      <c r="I47" s="6"/>
      <c r="J47" s="5"/>
      <c r="K47" s="5"/>
      <c r="L47" s="5"/>
      <c r="M47" s="5"/>
      <c r="N47" s="6">
        <v>1.37</v>
      </c>
      <c r="O47" s="5"/>
      <c r="P47" s="8">
        <v>1.3</v>
      </c>
      <c r="Q47" s="5"/>
      <c r="R47" s="5"/>
      <c r="S47" s="5"/>
      <c r="T47" s="6">
        <f t="shared" si="0"/>
        <v>11.690000000000001</v>
      </c>
      <c r="U47" s="9"/>
      <c r="V47" s="1"/>
      <c r="W47" s="1"/>
      <c r="X47" s="1"/>
      <c r="Y47" s="1"/>
      <c r="Z47" s="1"/>
    </row>
    <row r="48" spans="1:26" ht="24.75" customHeight="1">
      <c r="A48" s="171"/>
      <c r="B48" s="171"/>
      <c r="C48" s="171"/>
      <c r="D48" s="5">
        <v>43</v>
      </c>
      <c r="E48" s="5" t="s">
        <v>93</v>
      </c>
      <c r="F48" s="8">
        <v>5.23</v>
      </c>
      <c r="G48" s="5"/>
      <c r="H48" s="5"/>
      <c r="I48" s="6"/>
      <c r="J48" s="5"/>
      <c r="K48" s="5"/>
      <c r="L48" s="5"/>
      <c r="M48" s="5"/>
      <c r="N48" s="6">
        <v>0.45750000000000002</v>
      </c>
      <c r="O48" s="5"/>
      <c r="P48" s="8">
        <v>1.4</v>
      </c>
      <c r="Q48" s="5"/>
      <c r="R48" s="5"/>
      <c r="S48" s="5"/>
      <c r="T48" s="6">
        <f t="shared" si="0"/>
        <v>7.0875000000000004</v>
      </c>
      <c r="U48" s="9"/>
      <c r="V48" s="1"/>
      <c r="W48" s="1"/>
      <c r="X48" s="1"/>
      <c r="Y48" s="1"/>
      <c r="Z48" s="1"/>
    </row>
    <row r="49" spans="1:26" ht="24.75" customHeight="1">
      <c r="A49" s="171"/>
      <c r="B49" s="171"/>
      <c r="C49" s="171"/>
      <c r="D49" s="5">
        <v>44</v>
      </c>
      <c r="E49" s="5" t="s">
        <v>94</v>
      </c>
      <c r="F49" s="8">
        <v>0.75</v>
      </c>
      <c r="G49" s="5"/>
      <c r="H49" s="5"/>
      <c r="I49" s="6"/>
      <c r="J49" s="5"/>
      <c r="K49" s="5"/>
      <c r="L49" s="5"/>
      <c r="M49" s="5"/>
      <c r="N49" s="6">
        <v>2.44</v>
      </c>
      <c r="O49" s="8">
        <v>0.43</v>
      </c>
      <c r="P49" s="8">
        <v>0.3</v>
      </c>
      <c r="Q49" s="5"/>
      <c r="R49" s="5"/>
      <c r="S49" s="5"/>
      <c r="T49" s="6">
        <f t="shared" si="0"/>
        <v>3.92</v>
      </c>
      <c r="U49" s="9" t="s">
        <v>395</v>
      </c>
      <c r="V49" s="1"/>
      <c r="W49" s="1"/>
      <c r="X49" s="1"/>
      <c r="Y49" s="1"/>
      <c r="Z49" s="1"/>
    </row>
    <row r="50" spans="1:26" ht="24.75" customHeight="1">
      <c r="A50" s="171"/>
      <c r="B50" s="171"/>
      <c r="C50" s="171"/>
      <c r="D50" s="5">
        <v>45</v>
      </c>
      <c r="E50" s="5" t="s">
        <v>96</v>
      </c>
      <c r="F50" s="8">
        <v>7.0000000000000007E-2</v>
      </c>
      <c r="G50" s="5"/>
      <c r="H50" s="5"/>
      <c r="I50" s="5"/>
      <c r="J50" s="5"/>
      <c r="K50" s="5"/>
      <c r="L50" s="5"/>
      <c r="M50" s="5"/>
      <c r="N50" s="6">
        <v>1</v>
      </c>
      <c r="O50" s="8">
        <v>7.0000000000000007E-2</v>
      </c>
      <c r="P50" s="5"/>
      <c r="Q50" s="5"/>
      <c r="R50" s="5"/>
      <c r="S50" s="5"/>
      <c r="T50" s="6">
        <f t="shared" si="0"/>
        <v>1.1400000000000001</v>
      </c>
      <c r="U50" s="9"/>
      <c r="V50" s="1"/>
      <c r="W50" s="1"/>
      <c r="X50" s="1"/>
      <c r="Y50" s="1"/>
      <c r="Z50" s="1"/>
    </row>
    <row r="51" spans="1:26" ht="24.75" customHeight="1">
      <c r="A51" s="171"/>
      <c r="B51" s="171"/>
      <c r="C51" s="171"/>
      <c r="D51" s="5">
        <v>46</v>
      </c>
      <c r="E51" s="5" t="s">
        <v>97</v>
      </c>
      <c r="F51" s="5"/>
      <c r="G51" s="5"/>
      <c r="H51" s="5"/>
      <c r="I51" s="5"/>
      <c r="J51" s="5"/>
      <c r="K51" s="5"/>
      <c r="L51" s="5"/>
      <c r="M51" s="5"/>
      <c r="N51" s="5"/>
      <c r="O51" s="5"/>
      <c r="P51" s="5"/>
      <c r="Q51" s="5"/>
      <c r="R51" s="5"/>
      <c r="S51" s="5"/>
      <c r="T51" s="6">
        <f t="shared" si="0"/>
        <v>0</v>
      </c>
      <c r="U51" s="9"/>
      <c r="V51" s="1"/>
      <c r="W51" s="1"/>
      <c r="X51" s="1"/>
      <c r="Y51" s="1"/>
      <c r="Z51" s="1"/>
    </row>
    <row r="52" spans="1:26" ht="24.75" customHeight="1">
      <c r="A52" s="171"/>
      <c r="B52" s="171"/>
      <c r="C52" s="171"/>
      <c r="D52" s="5">
        <v>47</v>
      </c>
      <c r="E52" s="5" t="s">
        <v>98</v>
      </c>
      <c r="F52" s="8">
        <v>1.5</v>
      </c>
      <c r="G52" s="5"/>
      <c r="H52" s="5"/>
      <c r="I52" s="5"/>
      <c r="J52" s="5"/>
      <c r="K52" s="5"/>
      <c r="L52" s="5"/>
      <c r="M52" s="5"/>
      <c r="N52" s="5"/>
      <c r="O52" s="5"/>
      <c r="P52" s="5"/>
      <c r="Q52" s="5"/>
      <c r="R52" s="5"/>
      <c r="S52" s="5"/>
      <c r="T52" s="6">
        <f t="shared" si="0"/>
        <v>1.5</v>
      </c>
      <c r="U52" s="9"/>
      <c r="V52" s="1"/>
      <c r="W52" s="1"/>
      <c r="X52" s="1"/>
      <c r="Y52" s="1"/>
      <c r="Z52" s="1"/>
    </row>
    <row r="53" spans="1:26" ht="24.75" customHeight="1">
      <c r="A53" s="171"/>
      <c r="B53" s="171"/>
      <c r="C53" s="171"/>
      <c r="D53" s="5">
        <v>48</v>
      </c>
      <c r="E53" s="5" t="s">
        <v>99</v>
      </c>
      <c r="F53" s="5"/>
      <c r="G53" s="5"/>
      <c r="H53" s="5"/>
      <c r="I53" s="5"/>
      <c r="J53" s="5"/>
      <c r="K53" s="5"/>
      <c r="L53" s="5"/>
      <c r="M53" s="5"/>
      <c r="N53" s="6">
        <v>0.1</v>
      </c>
      <c r="O53" s="5"/>
      <c r="P53" s="8"/>
      <c r="Q53" s="5"/>
      <c r="R53" s="5"/>
      <c r="S53" s="5"/>
      <c r="T53" s="6">
        <f t="shared" si="0"/>
        <v>0.1</v>
      </c>
      <c r="U53" s="9"/>
      <c r="V53" s="1"/>
      <c r="W53" s="1"/>
      <c r="X53" s="1"/>
      <c r="Y53" s="1"/>
      <c r="Z53" s="1"/>
    </row>
    <row r="54" spans="1:26" ht="24.75" customHeight="1">
      <c r="A54" s="171"/>
      <c r="B54" s="171"/>
      <c r="C54" s="171"/>
      <c r="D54" s="5">
        <v>49</v>
      </c>
      <c r="E54" s="5" t="s">
        <v>100</v>
      </c>
      <c r="F54" s="5"/>
      <c r="G54" s="5"/>
      <c r="H54" s="5"/>
      <c r="I54" s="5"/>
      <c r="J54" s="5"/>
      <c r="K54" s="5"/>
      <c r="L54" s="5"/>
      <c r="M54" s="5"/>
      <c r="N54" s="5"/>
      <c r="O54" s="5"/>
      <c r="P54" s="5"/>
      <c r="Q54" s="6">
        <v>2.25</v>
      </c>
      <c r="R54" s="8">
        <v>1.1399999999999999</v>
      </c>
      <c r="S54" s="5"/>
      <c r="T54" s="6">
        <f t="shared" si="0"/>
        <v>3.3899999999999997</v>
      </c>
      <c r="U54" s="9" t="s">
        <v>310</v>
      </c>
      <c r="V54" s="1"/>
      <c r="W54" s="1"/>
      <c r="X54" s="1"/>
      <c r="Y54" s="1"/>
      <c r="Z54" s="1"/>
    </row>
    <row r="55" spans="1:26" ht="24.75" customHeight="1">
      <c r="A55" s="171"/>
      <c r="B55" s="171"/>
      <c r="C55" s="171"/>
      <c r="D55" s="5">
        <v>50</v>
      </c>
      <c r="E55" s="5" t="s">
        <v>102</v>
      </c>
      <c r="F55" s="5"/>
      <c r="G55" s="5"/>
      <c r="H55" s="5"/>
      <c r="I55" s="6"/>
      <c r="J55" s="5"/>
      <c r="K55" s="5"/>
      <c r="L55" s="5"/>
      <c r="M55" s="5"/>
      <c r="N55" s="6">
        <v>0.73</v>
      </c>
      <c r="O55" s="5"/>
      <c r="P55" s="8">
        <v>0.6</v>
      </c>
      <c r="Q55" s="6">
        <v>2</v>
      </c>
      <c r="R55" s="8">
        <v>0.11</v>
      </c>
      <c r="S55" s="5"/>
      <c r="T55" s="6">
        <f t="shared" si="0"/>
        <v>3.44</v>
      </c>
      <c r="U55" s="9" t="s">
        <v>310</v>
      </c>
      <c r="V55" s="1"/>
      <c r="W55" s="1"/>
      <c r="X55" s="1"/>
      <c r="Y55" s="1"/>
      <c r="Z55" s="1"/>
    </row>
    <row r="56" spans="1:26" ht="24.75" customHeight="1">
      <c r="A56" s="171"/>
      <c r="B56" s="169"/>
      <c r="C56" s="169"/>
      <c r="D56" s="5">
        <v>51</v>
      </c>
      <c r="E56" s="5" t="s">
        <v>54</v>
      </c>
      <c r="F56" s="5"/>
      <c r="G56" s="5"/>
      <c r="H56" s="5"/>
      <c r="I56" s="5"/>
      <c r="J56" s="5"/>
      <c r="K56" s="5"/>
      <c r="L56" s="5"/>
      <c r="M56" s="5"/>
      <c r="N56" s="8"/>
      <c r="O56" s="5"/>
      <c r="P56" s="5">
        <v>1</v>
      </c>
      <c r="Q56" s="5"/>
      <c r="R56" s="5"/>
      <c r="S56" s="5"/>
      <c r="T56" s="6">
        <f t="shared" si="0"/>
        <v>1</v>
      </c>
      <c r="U56" s="9"/>
      <c r="V56" s="1"/>
      <c r="W56" s="1"/>
      <c r="X56" s="1"/>
      <c r="Y56" s="1"/>
      <c r="Z56" s="1"/>
    </row>
    <row r="57" spans="1:26" ht="24.75" customHeight="1">
      <c r="A57" s="171"/>
      <c r="B57" s="168" t="s">
        <v>103</v>
      </c>
      <c r="C57" s="168" t="s">
        <v>104</v>
      </c>
      <c r="D57" s="5">
        <v>52</v>
      </c>
      <c r="E57" s="5" t="s">
        <v>105</v>
      </c>
      <c r="F57" s="123"/>
      <c r="G57" s="123"/>
      <c r="H57" s="123"/>
      <c r="I57" s="125"/>
      <c r="J57" s="123"/>
      <c r="K57" s="125"/>
      <c r="L57" s="123"/>
      <c r="M57" s="123"/>
      <c r="N57" s="125">
        <v>2</v>
      </c>
      <c r="O57" s="124">
        <v>37.08</v>
      </c>
      <c r="P57" s="123"/>
      <c r="Q57" s="123"/>
      <c r="R57" s="123"/>
      <c r="S57" s="123"/>
      <c r="T57" s="125">
        <f t="shared" ref="T57:T66" si="2">SUM(F57:S57)</f>
        <v>39.08</v>
      </c>
      <c r="U57" s="9" t="s">
        <v>65</v>
      </c>
      <c r="V57" s="1"/>
      <c r="W57" s="1"/>
      <c r="X57" s="1"/>
      <c r="Y57" s="1"/>
      <c r="Z57" s="1"/>
    </row>
    <row r="58" spans="1:26" ht="24.75" customHeight="1">
      <c r="A58" s="171"/>
      <c r="B58" s="171"/>
      <c r="C58" s="171"/>
      <c r="D58" s="5">
        <v>53</v>
      </c>
      <c r="E58" s="5" t="s">
        <v>106</v>
      </c>
      <c r="F58" s="123"/>
      <c r="G58" s="123"/>
      <c r="H58" s="123"/>
      <c r="I58" s="123"/>
      <c r="J58" s="123"/>
      <c r="K58" s="125"/>
      <c r="L58" s="123"/>
      <c r="M58" s="123"/>
      <c r="N58" s="125"/>
      <c r="O58" s="124">
        <v>4.12</v>
      </c>
      <c r="P58" s="123"/>
      <c r="Q58" s="124">
        <v>3</v>
      </c>
      <c r="R58" s="123"/>
      <c r="S58" s="123"/>
      <c r="T58" s="125">
        <f t="shared" si="2"/>
        <v>7.12</v>
      </c>
      <c r="U58" s="9" t="s">
        <v>65</v>
      </c>
      <c r="V58" s="1"/>
      <c r="W58" s="1"/>
      <c r="X58" s="1"/>
      <c r="Y58" s="1"/>
      <c r="Z58" s="1"/>
    </row>
    <row r="59" spans="1:26" ht="24.75" customHeight="1">
      <c r="A59" s="171"/>
      <c r="B59" s="171"/>
      <c r="C59" s="171"/>
      <c r="D59" s="5">
        <v>54</v>
      </c>
      <c r="E59" s="5" t="s">
        <v>107</v>
      </c>
      <c r="F59" s="123"/>
      <c r="G59" s="123"/>
      <c r="H59" s="124"/>
      <c r="I59" s="123"/>
      <c r="J59" s="123"/>
      <c r="K59" s="123"/>
      <c r="L59" s="123"/>
      <c r="M59" s="123"/>
      <c r="N59" s="123"/>
      <c r="O59" s="124"/>
      <c r="P59" s="124"/>
      <c r="Q59" s="123"/>
      <c r="R59" s="123"/>
      <c r="S59" s="123"/>
      <c r="T59" s="125">
        <f t="shared" si="2"/>
        <v>0</v>
      </c>
      <c r="U59" s="9"/>
      <c r="V59" s="1"/>
      <c r="W59" s="1"/>
      <c r="X59" s="1"/>
      <c r="Y59" s="1"/>
      <c r="Z59" s="1"/>
    </row>
    <row r="60" spans="1:26" ht="24.75" customHeight="1">
      <c r="A60" s="171"/>
      <c r="B60" s="171"/>
      <c r="C60" s="171"/>
      <c r="D60" s="5">
        <v>55</v>
      </c>
      <c r="E60" s="5" t="s">
        <v>108</v>
      </c>
      <c r="F60" s="123"/>
      <c r="G60" s="123"/>
      <c r="H60" s="123"/>
      <c r="I60" s="123"/>
      <c r="J60" s="123"/>
      <c r="K60" s="125"/>
      <c r="L60" s="123"/>
      <c r="M60" s="123"/>
      <c r="N60" s="123"/>
      <c r="O60" s="123"/>
      <c r="P60" s="123"/>
      <c r="Q60" s="123"/>
      <c r="R60" s="123"/>
      <c r="S60" s="123"/>
      <c r="T60" s="125">
        <f t="shared" si="2"/>
        <v>0</v>
      </c>
      <c r="U60" s="9"/>
      <c r="V60" s="1"/>
      <c r="W60" s="1"/>
      <c r="X60" s="1"/>
      <c r="Y60" s="1"/>
      <c r="Z60" s="1"/>
    </row>
    <row r="61" spans="1:26" ht="24.75" customHeight="1">
      <c r="A61" s="171"/>
      <c r="B61" s="171"/>
      <c r="C61" s="171"/>
      <c r="D61" s="5">
        <v>56</v>
      </c>
      <c r="E61" s="5" t="s">
        <v>109</v>
      </c>
      <c r="F61" s="123"/>
      <c r="G61" s="123"/>
      <c r="H61" s="123"/>
      <c r="I61" s="123"/>
      <c r="J61" s="123"/>
      <c r="K61" s="123"/>
      <c r="L61" s="123"/>
      <c r="M61" s="123"/>
      <c r="N61" s="123"/>
      <c r="O61" s="124">
        <v>8.24</v>
      </c>
      <c r="P61" s="123"/>
      <c r="Q61" s="123"/>
      <c r="R61" s="123"/>
      <c r="S61" s="123"/>
      <c r="T61" s="125">
        <f t="shared" si="2"/>
        <v>8.24</v>
      </c>
      <c r="U61" s="9" t="s">
        <v>65</v>
      </c>
      <c r="V61" s="1"/>
      <c r="W61" s="1"/>
      <c r="X61" s="1"/>
      <c r="Y61" s="1"/>
      <c r="Z61" s="1"/>
    </row>
    <row r="62" spans="1:26" ht="24.75" customHeight="1">
      <c r="A62" s="171"/>
      <c r="B62" s="171"/>
      <c r="C62" s="171"/>
      <c r="D62" s="5">
        <v>57</v>
      </c>
      <c r="E62" s="5" t="s">
        <v>110</v>
      </c>
      <c r="F62" s="123"/>
      <c r="G62" s="123"/>
      <c r="H62" s="124"/>
      <c r="I62" s="123"/>
      <c r="J62" s="123"/>
      <c r="K62" s="123"/>
      <c r="L62" s="123"/>
      <c r="M62" s="124">
        <f>1.05*2</f>
        <v>2.1</v>
      </c>
      <c r="N62" s="123"/>
      <c r="O62" s="123"/>
      <c r="P62" s="123"/>
      <c r="Q62" s="123"/>
      <c r="R62" s="123"/>
      <c r="S62" s="123"/>
      <c r="T62" s="125">
        <f t="shared" si="2"/>
        <v>2.1</v>
      </c>
      <c r="U62" s="9" t="s">
        <v>65</v>
      </c>
      <c r="V62" s="1"/>
      <c r="W62" s="1"/>
      <c r="X62" s="1"/>
      <c r="Y62" s="1"/>
      <c r="Z62" s="1"/>
    </row>
    <row r="63" spans="1:26" ht="24.75" customHeight="1">
      <c r="A63" s="171"/>
      <c r="B63" s="171"/>
      <c r="C63" s="171"/>
      <c r="D63" s="5">
        <v>58</v>
      </c>
      <c r="E63" s="5" t="s">
        <v>111</v>
      </c>
      <c r="F63" s="123"/>
      <c r="G63" s="123"/>
      <c r="H63" s="123"/>
      <c r="I63" s="123"/>
      <c r="J63" s="123"/>
      <c r="K63" s="125"/>
      <c r="L63" s="123"/>
      <c r="M63" s="123"/>
      <c r="N63" s="123"/>
      <c r="O63" s="124">
        <v>2.06</v>
      </c>
      <c r="P63" s="123"/>
      <c r="Q63" s="124">
        <v>0.75</v>
      </c>
      <c r="R63" s="123"/>
      <c r="S63" s="123"/>
      <c r="T63" s="125">
        <f t="shared" si="2"/>
        <v>2.81</v>
      </c>
      <c r="U63" s="9" t="s">
        <v>65</v>
      </c>
      <c r="V63" s="1"/>
      <c r="W63" s="1"/>
      <c r="X63" s="1"/>
      <c r="Y63" s="1"/>
      <c r="Z63" s="1"/>
    </row>
    <row r="64" spans="1:26" ht="24.75" customHeight="1">
      <c r="A64" s="171"/>
      <c r="B64" s="171"/>
      <c r="C64" s="171"/>
      <c r="D64" s="5">
        <v>59</v>
      </c>
      <c r="E64" s="5" t="s">
        <v>112</v>
      </c>
      <c r="F64" s="123"/>
      <c r="G64" s="123"/>
      <c r="H64" s="123"/>
      <c r="I64" s="123"/>
      <c r="J64" s="123"/>
      <c r="K64" s="123"/>
      <c r="L64" s="123"/>
      <c r="M64" s="123"/>
      <c r="N64" s="123"/>
      <c r="O64" s="123"/>
      <c r="P64" s="123"/>
      <c r="Q64" s="123"/>
      <c r="R64" s="123"/>
      <c r="S64" s="123"/>
      <c r="T64" s="125">
        <f t="shared" si="2"/>
        <v>0</v>
      </c>
      <c r="U64" s="9"/>
      <c r="V64" s="1"/>
      <c r="W64" s="1"/>
      <c r="X64" s="1"/>
      <c r="Y64" s="1"/>
      <c r="Z64" s="1"/>
    </row>
    <row r="65" spans="1:26" ht="24.75" customHeight="1">
      <c r="A65" s="171"/>
      <c r="B65" s="171"/>
      <c r="C65" s="171"/>
      <c r="D65" s="5">
        <v>60</v>
      </c>
      <c r="E65" s="5" t="s">
        <v>113</v>
      </c>
      <c r="F65" s="123"/>
      <c r="G65" s="123"/>
      <c r="H65" s="123"/>
      <c r="I65" s="123"/>
      <c r="J65" s="123"/>
      <c r="K65" s="123"/>
      <c r="L65" s="123"/>
      <c r="M65" s="123"/>
      <c r="N65" s="123"/>
      <c r="O65" s="123"/>
      <c r="P65" s="123"/>
      <c r="Q65" s="123"/>
      <c r="R65" s="123"/>
      <c r="S65" s="123"/>
      <c r="T65" s="125">
        <f t="shared" si="2"/>
        <v>0</v>
      </c>
      <c r="U65" s="9"/>
      <c r="V65" s="1"/>
      <c r="W65" s="1"/>
      <c r="X65" s="1"/>
      <c r="Y65" s="1"/>
      <c r="Z65" s="1"/>
    </row>
    <row r="66" spans="1:26" ht="24.75" customHeight="1">
      <c r="A66" s="171"/>
      <c r="B66" s="169"/>
      <c r="C66" s="169"/>
      <c r="D66" s="5">
        <v>61</v>
      </c>
      <c r="E66" s="5" t="s">
        <v>54</v>
      </c>
      <c r="F66" s="123"/>
      <c r="G66" s="123"/>
      <c r="H66" s="123"/>
      <c r="I66" s="123"/>
      <c r="J66" s="123"/>
      <c r="K66" s="123"/>
      <c r="L66" s="123"/>
      <c r="M66" s="123"/>
      <c r="N66" s="123"/>
      <c r="O66" s="123"/>
      <c r="P66" s="123"/>
      <c r="Q66" s="123"/>
      <c r="R66" s="123"/>
      <c r="S66" s="123"/>
      <c r="T66" s="125">
        <f t="shared" si="2"/>
        <v>0</v>
      </c>
      <c r="U66" s="9"/>
      <c r="V66" s="1"/>
      <c r="W66" s="1"/>
      <c r="X66" s="1"/>
      <c r="Y66" s="1"/>
      <c r="Z66" s="1"/>
    </row>
    <row r="67" spans="1:26" ht="24.75" customHeight="1">
      <c r="A67" s="171"/>
      <c r="B67" s="5" t="s">
        <v>114</v>
      </c>
      <c r="C67" s="5" t="s">
        <v>115</v>
      </c>
      <c r="D67" s="5">
        <v>62</v>
      </c>
      <c r="E67" s="5" t="s">
        <v>116</v>
      </c>
      <c r="F67" s="5"/>
      <c r="G67" s="5"/>
      <c r="H67" s="5"/>
      <c r="I67" s="5"/>
      <c r="J67" s="5"/>
      <c r="K67" s="5"/>
      <c r="L67" s="5"/>
      <c r="M67" s="6"/>
      <c r="N67" s="5"/>
      <c r="O67" s="8">
        <v>1</v>
      </c>
      <c r="P67" s="8"/>
      <c r="Q67" s="6">
        <v>0.25</v>
      </c>
      <c r="R67" s="5"/>
      <c r="S67" s="8"/>
      <c r="T67" s="6">
        <f t="shared" si="0"/>
        <v>1.25</v>
      </c>
      <c r="U67" s="61" t="s">
        <v>577</v>
      </c>
      <c r="V67" s="1"/>
      <c r="W67" s="1"/>
      <c r="X67" s="1"/>
      <c r="Y67" s="1"/>
      <c r="Z67" s="1"/>
    </row>
    <row r="68" spans="1:26" ht="24.75" customHeight="1">
      <c r="A68" s="169"/>
      <c r="B68" s="176" t="s">
        <v>117</v>
      </c>
      <c r="C68" s="177"/>
      <c r="D68" s="178"/>
      <c r="E68" s="51"/>
      <c r="F68" s="51">
        <f t="shared" ref="F68:S68" si="3">SUM(F6:F67)</f>
        <v>63.560000000000009</v>
      </c>
      <c r="G68" s="51">
        <f t="shared" si="3"/>
        <v>0</v>
      </c>
      <c r="H68" s="51">
        <f t="shared" si="3"/>
        <v>0</v>
      </c>
      <c r="I68" s="51">
        <f t="shared" si="3"/>
        <v>6.73</v>
      </c>
      <c r="J68" s="51">
        <f t="shared" si="3"/>
        <v>0</v>
      </c>
      <c r="K68" s="51">
        <f t="shared" si="3"/>
        <v>71.53</v>
      </c>
      <c r="L68" s="51">
        <f t="shared" si="3"/>
        <v>0</v>
      </c>
      <c r="M68" s="51">
        <f t="shared" si="3"/>
        <v>28.79</v>
      </c>
      <c r="N68" s="51">
        <f t="shared" si="3"/>
        <v>39.836549999999995</v>
      </c>
      <c r="O68" s="51">
        <f t="shared" si="3"/>
        <v>158.46650000000002</v>
      </c>
      <c r="P68" s="51">
        <f t="shared" si="3"/>
        <v>341.78800000000001</v>
      </c>
      <c r="Q68" s="51">
        <f t="shared" si="3"/>
        <v>38.215000000000003</v>
      </c>
      <c r="R68" s="51">
        <f t="shared" si="3"/>
        <v>13.557</v>
      </c>
      <c r="S68" s="51">
        <f t="shared" si="3"/>
        <v>0.35</v>
      </c>
      <c r="T68" s="6">
        <f t="shared" si="0"/>
        <v>762.82305000000008</v>
      </c>
      <c r="U68" s="9"/>
      <c r="V68" s="1"/>
      <c r="W68" s="1"/>
      <c r="X68" s="1"/>
      <c r="Y68" s="1"/>
      <c r="Z68" s="1"/>
    </row>
    <row r="69" spans="1:26" ht="39.75" customHeight="1">
      <c r="A69" s="175" t="s">
        <v>118</v>
      </c>
      <c r="B69" s="5" t="s">
        <v>119</v>
      </c>
      <c r="C69" s="5" t="s">
        <v>120</v>
      </c>
      <c r="D69" s="5">
        <v>63</v>
      </c>
      <c r="E69" s="5" t="s">
        <v>121</v>
      </c>
      <c r="F69" s="5"/>
      <c r="G69" s="5"/>
      <c r="H69" s="5"/>
      <c r="I69" s="5"/>
      <c r="J69" s="5"/>
      <c r="K69" s="5"/>
      <c r="L69" s="5"/>
      <c r="M69" s="8"/>
      <c r="N69" s="6">
        <v>7.55</v>
      </c>
      <c r="O69" s="5"/>
      <c r="P69" s="6"/>
      <c r="Q69" s="5"/>
      <c r="R69" s="8">
        <v>5</v>
      </c>
      <c r="S69" s="8">
        <v>2</v>
      </c>
      <c r="T69" s="6">
        <f t="shared" si="0"/>
        <v>14.55</v>
      </c>
      <c r="U69" s="9" t="s">
        <v>364</v>
      </c>
      <c r="V69" s="1"/>
      <c r="W69" s="1"/>
      <c r="X69" s="1"/>
      <c r="Y69" s="1"/>
      <c r="Z69" s="1"/>
    </row>
    <row r="70" spans="1:26" ht="39.75" customHeight="1">
      <c r="A70" s="171"/>
      <c r="B70" s="168" t="s">
        <v>122</v>
      </c>
      <c r="C70" s="168" t="s">
        <v>123</v>
      </c>
      <c r="D70" s="5">
        <v>64</v>
      </c>
      <c r="E70" s="5" t="s">
        <v>124</v>
      </c>
      <c r="F70" s="47"/>
      <c r="G70" s="48"/>
      <c r="H70" s="47"/>
      <c r="I70" s="49"/>
      <c r="J70" s="47"/>
      <c r="K70" s="49"/>
      <c r="L70" s="47"/>
      <c r="M70" s="47"/>
      <c r="N70" s="49">
        <v>0.8</v>
      </c>
      <c r="O70" s="50">
        <v>0.52500000000000002</v>
      </c>
      <c r="P70" s="49">
        <f>29.945+1.34</f>
        <v>31.285</v>
      </c>
      <c r="Q70" s="49">
        <v>0.54</v>
      </c>
      <c r="R70" s="50">
        <v>2</v>
      </c>
      <c r="S70" s="50"/>
      <c r="T70" s="6">
        <f t="shared" ref="T70:T133" si="4">SUM(F70:S70)</f>
        <v>35.15</v>
      </c>
      <c r="U70" s="9" t="s">
        <v>396</v>
      </c>
      <c r="V70" s="18"/>
      <c r="W70" s="1"/>
      <c r="X70" s="1"/>
      <c r="Y70" s="1"/>
      <c r="Z70" s="1"/>
    </row>
    <row r="71" spans="1:26" ht="39.75" customHeight="1">
      <c r="A71" s="171"/>
      <c r="B71" s="171"/>
      <c r="C71" s="171"/>
      <c r="D71" s="5">
        <v>65</v>
      </c>
      <c r="E71" s="5" t="s">
        <v>126</v>
      </c>
      <c r="F71" s="47"/>
      <c r="G71" s="47"/>
      <c r="H71" s="47"/>
      <c r="I71" s="47"/>
      <c r="J71" s="47"/>
      <c r="K71" s="47"/>
      <c r="L71" s="47"/>
      <c r="M71" s="47"/>
      <c r="N71" s="49"/>
      <c r="O71" s="47"/>
      <c r="P71" s="50">
        <v>0.17</v>
      </c>
      <c r="Q71" s="47"/>
      <c r="R71" s="47"/>
      <c r="S71" s="50"/>
      <c r="T71" s="6">
        <f t="shared" si="4"/>
        <v>0.17</v>
      </c>
      <c r="U71" s="9" t="s">
        <v>366</v>
      </c>
      <c r="V71" s="1"/>
      <c r="W71" s="1"/>
      <c r="X71" s="1"/>
      <c r="Y71" s="1"/>
      <c r="Z71" s="1"/>
    </row>
    <row r="72" spans="1:26" ht="39.75" customHeight="1">
      <c r="A72" s="171"/>
      <c r="B72" s="171"/>
      <c r="C72" s="171"/>
      <c r="D72" s="5">
        <v>66</v>
      </c>
      <c r="E72" s="5" t="s">
        <v>128</v>
      </c>
      <c r="F72" s="47"/>
      <c r="G72" s="47"/>
      <c r="H72" s="47"/>
      <c r="I72" s="47"/>
      <c r="J72" s="47"/>
      <c r="K72" s="49"/>
      <c r="L72" s="47"/>
      <c r="M72" s="47"/>
      <c r="N72" s="49">
        <v>0.2</v>
      </c>
      <c r="O72" s="47"/>
      <c r="P72" s="50"/>
      <c r="Q72" s="49">
        <v>0.05</v>
      </c>
      <c r="R72" s="50"/>
      <c r="S72" s="47"/>
      <c r="T72" s="6">
        <f t="shared" si="4"/>
        <v>0.25</v>
      </c>
      <c r="U72" s="9" t="s">
        <v>397</v>
      </c>
      <c r="V72" s="1"/>
      <c r="W72" s="1"/>
      <c r="X72" s="1"/>
      <c r="Y72" s="1"/>
      <c r="Z72" s="1"/>
    </row>
    <row r="73" spans="1:26" ht="39.75" customHeight="1">
      <c r="A73" s="171"/>
      <c r="B73" s="171"/>
      <c r="C73" s="171"/>
      <c r="D73" s="5">
        <v>67</v>
      </c>
      <c r="E73" s="5" t="s">
        <v>131</v>
      </c>
      <c r="F73" s="47"/>
      <c r="G73" s="47"/>
      <c r="H73" s="47"/>
      <c r="I73" s="47">
        <v>1.7749999999999999</v>
      </c>
      <c r="J73" s="47"/>
      <c r="K73" s="49"/>
      <c r="L73" s="47"/>
      <c r="M73" s="47"/>
      <c r="N73" s="49">
        <v>0.4</v>
      </c>
      <c r="O73" s="47">
        <v>1.25</v>
      </c>
      <c r="P73" s="50">
        <v>2</v>
      </c>
      <c r="Q73" s="49">
        <v>0.84499999999999997</v>
      </c>
      <c r="R73" s="50">
        <v>2.5</v>
      </c>
      <c r="S73" s="50"/>
      <c r="T73" s="6">
        <f t="shared" si="4"/>
        <v>8.77</v>
      </c>
      <c r="U73" s="9" t="s">
        <v>367</v>
      </c>
      <c r="V73" s="1"/>
      <c r="W73" s="1"/>
      <c r="X73" s="1"/>
      <c r="Y73" s="1"/>
      <c r="Z73" s="1"/>
    </row>
    <row r="74" spans="1:26" ht="39.75" customHeight="1">
      <c r="A74" s="171"/>
      <c r="B74" s="169"/>
      <c r="C74" s="169"/>
      <c r="D74" s="5">
        <v>68</v>
      </c>
      <c r="E74" s="5" t="s">
        <v>133</v>
      </c>
      <c r="F74" s="50"/>
      <c r="G74" s="47"/>
      <c r="H74" s="47"/>
      <c r="I74" s="49"/>
      <c r="J74" s="47"/>
      <c r="K74" s="49"/>
      <c r="L74" s="47"/>
      <c r="M74" s="47"/>
      <c r="N74" s="146">
        <v>1.1000000000000001</v>
      </c>
      <c r="O74" s="147"/>
      <c r="P74" s="147">
        <f>29.325</f>
        <v>29.324999999999999</v>
      </c>
      <c r="Q74" s="146">
        <v>3</v>
      </c>
      <c r="R74" s="147">
        <v>5.7</v>
      </c>
      <c r="S74" s="147">
        <v>8.9</v>
      </c>
      <c r="T74" s="6">
        <f t="shared" si="4"/>
        <v>48.024999999999999</v>
      </c>
      <c r="U74" s="9" t="s">
        <v>398</v>
      </c>
      <c r="V74" s="1"/>
      <c r="W74" s="1"/>
      <c r="X74" s="1"/>
      <c r="Y74" s="1"/>
      <c r="Z74" s="1"/>
    </row>
    <row r="75" spans="1:26" ht="39.75" customHeight="1">
      <c r="A75" s="171"/>
      <c r="B75" s="168" t="s">
        <v>136</v>
      </c>
      <c r="C75" s="168" t="s">
        <v>137</v>
      </c>
      <c r="D75" s="5">
        <v>69</v>
      </c>
      <c r="E75" s="5" t="s">
        <v>138</v>
      </c>
      <c r="F75" s="20"/>
      <c r="G75" s="20"/>
      <c r="H75" s="20"/>
      <c r="I75" s="20"/>
      <c r="J75" s="20"/>
      <c r="K75" s="20"/>
      <c r="L75" s="20"/>
      <c r="M75" s="20">
        <v>0.68</v>
      </c>
      <c r="N75" s="20"/>
      <c r="O75" s="20">
        <v>91.078000000000003</v>
      </c>
      <c r="P75" s="20">
        <v>0.6</v>
      </c>
      <c r="Q75" s="20"/>
      <c r="R75" s="20"/>
      <c r="S75" s="20"/>
      <c r="T75" s="6">
        <f t="shared" si="4"/>
        <v>92.358000000000004</v>
      </c>
      <c r="U75" s="10" t="s">
        <v>399</v>
      </c>
      <c r="V75" s="18"/>
      <c r="W75" s="1"/>
      <c r="X75" s="1"/>
      <c r="Y75" s="1"/>
      <c r="Z75" s="1"/>
    </row>
    <row r="76" spans="1:26" ht="39.75" customHeight="1">
      <c r="A76" s="171"/>
      <c r="B76" s="171"/>
      <c r="C76" s="171"/>
      <c r="D76" s="5">
        <v>70</v>
      </c>
      <c r="E76" s="5" t="s">
        <v>140</v>
      </c>
      <c r="F76" s="20"/>
      <c r="G76" s="20"/>
      <c r="H76" s="20"/>
      <c r="I76" s="22">
        <v>0.36399999999999999</v>
      </c>
      <c r="J76" s="20"/>
      <c r="K76" s="20"/>
      <c r="L76" s="20"/>
      <c r="M76" s="20"/>
      <c r="N76" s="20"/>
      <c r="O76" s="20"/>
      <c r="P76" s="20">
        <v>0.3</v>
      </c>
      <c r="Q76" s="20"/>
      <c r="R76" s="20"/>
      <c r="S76" s="20"/>
      <c r="T76" s="6">
        <f t="shared" si="4"/>
        <v>0.66399999999999992</v>
      </c>
      <c r="U76" s="10" t="s">
        <v>400</v>
      </c>
      <c r="V76" s="18"/>
      <c r="W76" s="1"/>
      <c r="X76" s="1"/>
      <c r="Y76" s="1"/>
      <c r="Z76" s="1"/>
    </row>
    <row r="77" spans="1:26" ht="39.75" customHeight="1">
      <c r="A77" s="171"/>
      <c r="B77" s="171"/>
      <c r="C77" s="171"/>
      <c r="D77" s="5">
        <v>71</v>
      </c>
      <c r="E77" s="5" t="s">
        <v>142</v>
      </c>
      <c r="F77" s="20"/>
      <c r="G77" s="20"/>
      <c r="H77" s="20"/>
      <c r="I77" s="20"/>
      <c r="J77" s="20"/>
      <c r="K77" s="20"/>
      <c r="L77" s="20"/>
      <c r="M77" s="20"/>
      <c r="N77" s="20"/>
      <c r="O77" s="20"/>
      <c r="P77" s="20"/>
      <c r="Q77" s="20"/>
      <c r="R77" s="20"/>
      <c r="S77" s="20"/>
      <c r="T77" s="6">
        <f t="shared" si="4"/>
        <v>0</v>
      </c>
      <c r="U77" s="10"/>
      <c r="V77" s="18"/>
      <c r="W77" s="1"/>
      <c r="X77" s="1"/>
      <c r="Y77" s="1"/>
      <c r="Z77" s="1"/>
    </row>
    <row r="78" spans="1:26" ht="39.75" customHeight="1">
      <c r="A78" s="171"/>
      <c r="B78" s="169"/>
      <c r="C78" s="169"/>
      <c r="D78" s="5">
        <v>72</v>
      </c>
      <c r="E78" s="5" t="s">
        <v>143</v>
      </c>
      <c r="F78" s="20"/>
      <c r="G78" s="20"/>
      <c r="H78" s="20"/>
      <c r="I78" s="20"/>
      <c r="J78" s="20"/>
      <c r="K78" s="20"/>
      <c r="L78" s="20"/>
      <c r="M78" s="20"/>
      <c r="N78" s="20">
        <v>5.37</v>
      </c>
      <c r="O78" s="20"/>
      <c r="P78" s="20"/>
      <c r="Q78" s="20">
        <v>3.371</v>
      </c>
      <c r="R78" s="20">
        <v>2.7970000000000002</v>
      </c>
      <c r="S78" s="20"/>
      <c r="T78" s="6">
        <f t="shared" si="4"/>
        <v>11.538</v>
      </c>
      <c r="U78" s="10" t="s">
        <v>401</v>
      </c>
      <c r="V78" s="18"/>
      <c r="W78" s="1"/>
      <c r="X78" s="1"/>
      <c r="Y78" s="1"/>
      <c r="Z78" s="1"/>
    </row>
    <row r="79" spans="1:26" ht="39.75" customHeight="1">
      <c r="A79" s="171"/>
      <c r="B79" s="168" t="s">
        <v>145</v>
      </c>
      <c r="C79" s="168" t="s">
        <v>146</v>
      </c>
      <c r="D79" s="5">
        <v>73</v>
      </c>
      <c r="E79" s="5" t="s">
        <v>147</v>
      </c>
      <c r="F79" s="128">
        <v>5.9</v>
      </c>
      <c r="G79" s="128"/>
      <c r="H79" s="128">
        <f>2.5</f>
        <v>2.5</v>
      </c>
      <c r="I79" s="128">
        <f>2.5+2.4+2+1.5</f>
        <v>8.4</v>
      </c>
      <c r="J79" s="112"/>
      <c r="K79" s="128">
        <f>2.5</f>
        <v>2.5</v>
      </c>
      <c r="L79" s="112"/>
      <c r="M79" s="128">
        <f>4.8+5</f>
        <v>9.8000000000000007</v>
      </c>
      <c r="N79" s="128">
        <f>4.4+1.8+0.5</f>
        <v>6.7</v>
      </c>
      <c r="O79" s="128"/>
      <c r="P79" s="128">
        <f>1.3+0.2+1.5</f>
        <v>3</v>
      </c>
      <c r="Q79" s="112"/>
      <c r="R79" s="128">
        <f>4.1+2.3+2.4+1+3.2+1.2</f>
        <v>14.2</v>
      </c>
      <c r="S79" s="128">
        <f>0.5</f>
        <v>0.5</v>
      </c>
      <c r="T79" s="129">
        <f>SUM(F79:S79)</f>
        <v>53.5</v>
      </c>
      <c r="U79" s="130" t="s">
        <v>756</v>
      </c>
      <c r="V79" s="1"/>
      <c r="W79" s="1"/>
      <c r="X79" s="1"/>
      <c r="Y79" s="1"/>
      <c r="Z79" s="1"/>
    </row>
    <row r="80" spans="1:26" ht="39.75" customHeight="1">
      <c r="A80" s="171"/>
      <c r="B80" s="171"/>
      <c r="C80" s="171"/>
      <c r="D80" s="5">
        <v>74</v>
      </c>
      <c r="E80" s="5" t="s">
        <v>148</v>
      </c>
      <c r="F80" s="128">
        <f>52+4</f>
        <v>56</v>
      </c>
      <c r="G80" s="128"/>
      <c r="H80" s="112"/>
      <c r="I80" s="112"/>
      <c r="J80" s="112"/>
      <c r="K80" s="112"/>
      <c r="L80" s="112"/>
      <c r="M80" s="112"/>
      <c r="N80" s="112"/>
      <c r="O80" s="112"/>
      <c r="P80" s="112"/>
      <c r="Q80" s="112"/>
      <c r="R80" s="112"/>
      <c r="S80" s="112"/>
      <c r="T80" s="129">
        <f t="shared" ref="T80:T84" si="5">SUM(F80:S80)</f>
        <v>56</v>
      </c>
      <c r="U80" s="130" t="s">
        <v>757</v>
      </c>
      <c r="V80" s="1"/>
      <c r="W80" s="1"/>
      <c r="X80" s="1"/>
      <c r="Y80" s="1"/>
      <c r="Z80" s="1"/>
    </row>
    <row r="81" spans="1:26" ht="39.75" customHeight="1">
      <c r="A81" s="171"/>
      <c r="B81" s="171"/>
      <c r="C81" s="171"/>
      <c r="D81" s="5">
        <v>75</v>
      </c>
      <c r="E81" s="5" t="s">
        <v>149</v>
      </c>
      <c r="F81" s="128">
        <f>3.4+1.3</f>
        <v>4.7</v>
      </c>
      <c r="G81" s="128"/>
      <c r="H81" s="112"/>
      <c r="I81" s="112"/>
      <c r="J81" s="112"/>
      <c r="K81" s="112"/>
      <c r="L81" s="112"/>
      <c r="M81" s="112"/>
      <c r="N81" s="112"/>
      <c r="O81" s="112"/>
      <c r="P81" s="128">
        <f>8</f>
        <v>8</v>
      </c>
      <c r="Q81" s="112"/>
      <c r="R81" s="112"/>
      <c r="S81" s="112"/>
      <c r="T81" s="129">
        <f t="shared" si="5"/>
        <v>12.7</v>
      </c>
      <c r="U81" s="130" t="s">
        <v>758</v>
      </c>
      <c r="V81" s="1"/>
      <c r="W81" s="1"/>
      <c r="X81" s="1"/>
      <c r="Y81" s="1"/>
      <c r="Z81" s="1"/>
    </row>
    <row r="82" spans="1:26" ht="39.75" customHeight="1">
      <c r="A82" s="171"/>
      <c r="B82" s="171"/>
      <c r="C82" s="171"/>
      <c r="D82" s="5">
        <v>76</v>
      </c>
      <c r="E82" s="5" t="s">
        <v>150</v>
      </c>
      <c r="F82" s="112"/>
      <c r="G82" s="112"/>
      <c r="H82" s="112"/>
      <c r="I82" s="112"/>
      <c r="J82" s="112"/>
      <c r="K82" s="128"/>
      <c r="L82" s="112"/>
      <c r="M82" s="128">
        <f>2.1</f>
        <v>2.1</v>
      </c>
      <c r="N82" s="112"/>
      <c r="O82" s="112"/>
      <c r="P82" s="112"/>
      <c r="Q82" s="112"/>
      <c r="R82" s="112"/>
      <c r="S82" s="112"/>
      <c r="T82" s="129">
        <f t="shared" si="5"/>
        <v>2.1</v>
      </c>
      <c r="U82" s="131" t="s">
        <v>741</v>
      </c>
      <c r="V82" s="1"/>
      <c r="W82" s="1"/>
      <c r="X82" s="1"/>
      <c r="Y82" s="1"/>
      <c r="Z82" s="1"/>
    </row>
    <row r="83" spans="1:26" ht="39.75" customHeight="1">
      <c r="A83" s="171"/>
      <c r="B83" s="171"/>
      <c r="C83" s="171"/>
      <c r="D83" s="5">
        <v>77</v>
      </c>
      <c r="E83" s="5" t="s">
        <v>151</v>
      </c>
      <c r="F83" s="128">
        <f>1.9</f>
        <v>1.9</v>
      </c>
      <c r="G83" s="128"/>
      <c r="H83" s="128">
        <v>1.5</v>
      </c>
      <c r="I83" s="128">
        <f>1+1</f>
        <v>2</v>
      </c>
      <c r="J83" s="112"/>
      <c r="K83" s="128">
        <f>1.4</f>
        <v>1.4</v>
      </c>
      <c r="L83" s="112"/>
      <c r="M83" s="128"/>
      <c r="N83" s="128">
        <v>0.4</v>
      </c>
      <c r="O83" s="112"/>
      <c r="P83" s="112"/>
      <c r="Q83" s="112"/>
      <c r="R83" s="112"/>
      <c r="S83" s="128">
        <v>0.5</v>
      </c>
      <c r="T83" s="129">
        <f t="shared" si="5"/>
        <v>7.7000000000000011</v>
      </c>
      <c r="U83" s="130" t="s">
        <v>759</v>
      </c>
      <c r="V83" s="1"/>
      <c r="W83" s="1"/>
      <c r="X83" s="1"/>
      <c r="Y83" s="1"/>
      <c r="Z83" s="1"/>
    </row>
    <row r="84" spans="1:26" ht="39.75" customHeight="1">
      <c r="A84" s="171"/>
      <c r="B84" s="171"/>
      <c r="C84" s="171"/>
      <c r="D84" s="5">
        <v>78</v>
      </c>
      <c r="E84" s="5" t="s">
        <v>152</v>
      </c>
      <c r="F84" s="112"/>
      <c r="G84" s="112"/>
      <c r="H84" s="112"/>
      <c r="I84" s="112"/>
      <c r="J84" s="112"/>
      <c r="K84" s="112"/>
      <c r="L84" s="112"/>
      <c r="M84" s="112"/>
      <c r="N84" s="112"/>
      <c r="O84" s="112"/>
      <c r="P84" s="112"/>
      <c r="Q84" s="128">
        <f>10.45+1.2</f>
        <v>11.649999999999999</v>
      </c>
      <c r="R84" s="112"/>
      <c r="S84" s="112"/>
      <c r="T84" s="129">
        <f t="shared" si="5"/>
        <v>11.649999999999999</v>
      </c>
      <c r="U84" s="130" t="s">
        <v>760</v>
      </c>
      <c r="V84" s="1"/>
      <c r="W84" s="1"/>
      <c r="X84" s="1"/>
      <c r="Y84" s="1"/>
      <c r="Z84" s="1"/>
    </row>
    <row r="85" spans="1:26" ht="39.75" customHeight="1">
      <c r="A85" s="171"/>
      <c r="B85" s="169"/>
      <c r="C85" s="169"/>
      <c r="D85" s="5">
        <v>79</v>
      </c>
      <c r="E85" s="5" t="s">
        <v>54</v>
      </c>
      <c r="F85" s="112"/>
      <c r="G85" s="112"/>
      <c r="H85" s="112"/>
      <c r="I85" s="112"/>
      <c r="J85" s="112"/>
      <c r="K85" s="112"/>
      <c r="L85" s="112"/>
      <c r="M85" s="112"/>
      <c r="N85" s="112"/>
      <c r="O85" s="112"/>
      <c r="P85" s="112"/>
      <c r="Q85" s="112"/>
      <c r="R85" s="112"/>
      <c r="S85" s="112"/>
      <c r="T85" s="129"/>
      <c r="U85" s="112"/>
      <c r="V85" s="1"/>
      <c r="W85" s="1"/>
      <c r="X85" s="1"/>
      <c r="Y85" s="1"/>
      <c r="Z85" s="1"/>
    </row>
    <row r="86" spans="1:26" ht="39.75" customHeight="1">
      <c r="A86" s="171"/>
      <c r="B86" s="168" t="s">
        <v>153</v>
      </c>
      <c r="C86" s="168" t="s">
        <v>154</v>
      </c>
      <c r="D86" s="5">
        <v>80</v>
      </c>
      <c r="E86" s="5" t="s">
        <v>155</v>
      </c>
      <c r="F86" s="5"/>
      <c r="G86" s="5"/>
      <c r="H86" s="5"/>
      <c r="I86" s="5"/>
      <c r="J86" s="5"/>
      <c r="K86" s="25"/>
      <c r="L86" s="5"/>
      <c r="M86" s="6"/>
      <c r="N86" s="5"/>
      <c r="O86" s="5"/>
      <c r="P86" s="8">
        <v>2.4</v>
      </c>
      <c r="Q86" s="6">
        <v>1</v>
      </c>
      <c r="R86" s="8"/>
      <c r="S86" s="5"/>
      <c r="T86" s="6">
        <f t="shared" si="4"/>
        <v>3.4</v>
      </c>
      <c r="U86" s="45" t="s">
        <v>402</v>
      </c>
      <c r="V86" s="1"/>
      <c r="W86" s="1"/>
      <c r="X86" s="1"/>
      <c r="Y86" s="1"/>
      <c r="Z86" s="1"/>
    </row>
    <row r="87" spans="1:26" ht="39.75" customHeight="1">
      <c r="A87" s="171"/>
      <c r="B87" s="171"/>
      <c r="C87" s="171"/>
      <c r="D87" s="5">
        <v>81</v>
      </c>
      <c r="E87" s="5" t="s">
        <v>156</v>
      </c>
      <c r="F87" s="5"/>
      <c r="G87" s="5"/>
      <c r="H87" s="5"/>
      <c r="I87" s="5"/>
      <c r="J87" s="5"/>
      <c r="K87" s="5"/>
      <c r="L87" s="5"/>
      <c r="M87" s="6"/>
      <c r="N87" s="6"/>
      <c r="O87" s="5"/>
      <c r="P87" s="8"/>
      <c r="Q87" s="8"/>
      <c r="R87" s="5"/>
      <c r="S87" s="5"/>
      <c r="T87" s="6">
        <f t="shared" si="4"/>
        <v>0</v>
      </c>
      <c r="U87" s="36"/>
      <c r="V87" s="1"/>
      <c r="W87" s="1"/>
      <c r="X87" s="1"/>
      <c r="Y87" s="1"/>
      <c r="Z87" s="1"/>
    </row>
    <row r="88" spans="1:26" ht="39.75" customHeight="1">
      <c r="A88" s="171"/>
      <c r="B88" s="171"/>
      <c r="C88" s="171"/>
      <c r="D88" s="5">
        <v>82</v>
      </c>
      <c r="E88" s="5" t="s">
        <v>157</v>
      </c>
      <c r="F88" s="5"/>
      <c r="G88" s="5"/>
      <c r="H88" s="5"/>
      <c r="I88" s="5"/>
      <c r="J88" s="5"/>
      <c r="K88" s="5"/>
      <c r="L88" s="5"/>
      <c r="M88" s="5"/>
      <c r="N88" s="5"/>
      <c r="O88" s="5"/>
      <c r="P88" s="8"/>
      <c r="Q88" s="5"/>
      <c r="R88" s="5"/>
      <c r="S88" s="5"/>
      <c r="T88" s="6">
        <f t="shared" si="4"/>
        <v>0</v>
      </c>
      <c r="U88" s="68"/>
      <c r="V88" s="1"/>
      <c r="W88" s="1"/>
      <c r="X88" s="1"/>
      <c r="Y88" s="1"/>
      <c r="Z88" s="1"/>
    </row>
    <row r="89" spans="1:26" ht="39.75" customHeight="1">
      <c r="A89" s="171"/>
      <c r="B89" s="169"/>
      <c r="C89" s="169"/>
      <c r="D89" s="5">
        <v>83</v>
      </c>
      <c r="E89" s="5" t="s">
        <v>158</v>
      </c>
      <c r="F89" s="5"/>
      <c r="G89" s="5"/>
      <c r="H89" s="5"/>
      <c r="I89" s="5"/>
      <c r="J89" s="5"/>
      <c r="K89" s="6">
        <v>3</v>
      </c>
      <c r="L89" s="5"/>
      <c r="M89" s="8"/>
      <c r="N89" s="6"/>
      <c r="O89" s="5"/>
      <c r="P89" s="8">
        <v>1.54</v>
      </c>
      <c r="Q89" s="6"/>
      <c r="R89" s="8"/>
      <c r="S89" s="5"/>
      <c r="T89" s="6">
        <f t="shared" si="4"/>
        <v>4.54</v>
      </c>
      <c r="U89" s="149" t="s">
        <v>872</v>
      </c>
      <c r="V89" s="1"/>
      <c r="W89" s="1"/>
      <c r="X89" s="1"/>
      <c r="Y89" s="1"/>
      <c r="Z89" s="1"/>
    </row>
    <row r="90" spans="1:26" ht="39.75" customHeight="1">
      <c r="A90" s="171"/>
      <c r="B90" s="5" t="s">
        <v>159</v>
      </c>
      <c r="C90" s="5" t="s">
        <v>160</v>
      </c>
      <c r="D90" s="5">
        <v>84</v>
      </c>
      <c r="E90" s="5" t="s">
        <v>161</v>
      </c>
      <c r="F90" s="5"/>
      <c r="G90" s="5"/>
      <c r="H90" s="5"/>
      <c r="I90" s="6"/>
      <c r="J90" s="5"/>
      <c r="K90" s="6"/>
      <c r="L90" s="5"/>
      <c r="M90" s="5"/>
      <c r="N90" s="6">
        <v>0.78</v>
      </c>
      <c r="O90" s="5"/>
      <c r="P90" s="5"/>
      <c r="Q90" s="6">
        <v>2.5</v>
      </c>
      <c r="R90" s="8">
        <v>0.2</v>
      </c>
      <c r="S90" s="5"/>
      <c r="T90" s="6">
        <f t="shared" si="4"/>
        <v>3.4800000000000004</v>
      </c>
      <c r="U90" s="9" t="s">
        <v>581</v>
      </c>
      <c r="V90" s="1"/>
      <c r="W90" s="1"/>
      <c r="X90" s="1"/>
      <c r="Y90" s="1"/>
      <c r="Z90" s="1"/>
    </row>
    <row r="91" spans="1:26" ht="39.75" customHeight="1">
      <c r="A91" s="171"/>
      <c r="B91" s="5" t="s">
        <v>162</v>
      </c>
      <c r="C91" s="5" t="s">
        <v>163</v>
      </c>
      <c r="D91" s="5">
        <v>85</v>
      </c>
      <c r="E91" s="5" t="s">
        <v>164</v>
      </c>
      <c r="F91" s="5"/>
      <c r="G91" s="5"/>
      <c r="H91" s="5"/>
      <c r="I91" s="5"/>
      <c r="J91" s="5"/>
      <c r="K91" s="6"/>
      <c r="L91" s="5"/>
      <c r="M91" s="5"/>
      <c r="N91" s="6">
        <v>0.25</v>
      </c>
      <c r="O91" s="5"/>
      <c r="P91" s="5"/>
      <c r="Q91" s="6">
        <v>1</v>
      </c>
      <c r="R91" s="8"/>
      <c r="S91" s="5"/>
      <c r="T91" s="6">
        <f t="shared" si="4"/>
        <v>1.25</v>
      </c>
      <c r="U91" s="9" t="s">
        <v>165</v>
      </c>
      <c r="V91" s="1"/>
      <c r="W91" s="1"/>
      <c r="X91" s="1"/>
      <c r="Y91" s="1"/>
      <c r="Z91" s="1"/>
    </row>
    <row r="92" spans="1:26" ht="39.75" customHeight="1">
      <c r="A92" s="171"/>
      <c r="B92" s="5" t="s">
        <v>166</v>
      </c>
      <c r="C92" s="5" t="s">
        <v>54</v>
      </c>
      <c r="D92" s="5">
        <v>86</v>
      </c>
      <c r="E92" s="5" t="s">
        <v>167</v>
      </c>
      <c r="F92" s="5"/>
      <c r="G92" s="5"/>
      <c r="H92" s="5"/>
      <c r="I92" s="5"/>
      <c r="J92" s="5"/>
      <c r="K92" s="5"/>
      <c r="L92" s="5"/>
      <c r="M92" s="5"/>
      <c r="N92" s="5"/>
      <c r="O92" s="5"/>
      <c r="P92" s="5"/>
      <c r="Q92" s="5"/>
      <c r="R92" s="5"/>
      <c r="S92" s="5"/>
      <c r="T92" s="6">
        <f t="shared" si="4"/>
        <v>0</v>
      </c>
      <c r="U92" s="9"/>
      <c r="V92" s="1"/>
      <c r="W92" s="1"/>
      <c r="X92" s="1"/>
      <c r="Y92" s="1"/>
      <c r="Z92" s="1"/>
    </row>
    <row r="93" spans="1:26" ht="39.75" customHeight="1">
      <c r="A93" s="169"/>
      <c r="B93" s="176" t="s">
        <v>168</v>
      </c>
      <c r="C93" s="177"/>
      <c r="D93" s="178"/>
      <c r="E93" s="51"/>
      <c r="F93" s="51">
        <f t="shared" ref="F93:S93" si="6">SUM(F69:F92)</f>
        <v>68.5</v>
      </c>
      <c r="G93" s="51">
        <f t="shared" si="6"/>
        <v>0</v>
      </c>
      <c r="H93" s="51">
        <f t="shared" si="6"/>
        <v>4</v>
      </c>
      <c r="I93" s="51">
        <f t="shared" si="6"/>
        <v>12.539</v>
      </c>
      <c r="J93" s="51">
        <f t="shared" si="6"/>
        <v>0</v>
      </c>
      <c r="K93" s="51">
        <f t="shared" si="6"/>
        <v>6.9</v>
      </c>
      <c r="L93" s="51">
        <f t="shared" si="6"/>
        <v>0</v>
      </c>
      <c r="M93" s="56">
        <f t="shared" si="6"/>
        <v>12.58</v>
      </c>
      <c r="N93" s="52">
        <f t="shared" si="6"/>
        <v>23.549999999999997</v>
      </c>
      <c r="O93" s="51">
        <f t="shared" si="6"/>
        <v>92.853000000000009</v>
      </c>
      <c r="P93" s="52">
        <f t="shared" si="6"/>
        <v>78.620000000000019</v>
      </c>
      <c r="Q93" s="51">
        <f t="shared" si="6"/>
        <v>23.956</v>
      </c>
      <c r="R93" s="56">
        <f t="shared" si="6"/>
        <v>32.397000000000006</v>
      </c>
      <c r="S93" s="56">
        <f t="shared" si="6"/>
        <v>11.9</v>
      </c>
      <c r="T93" s="52">
        <f t="shared" si="4"/>
        <v>367.79500000000002</v>
      </c>
      <c r="U93" s="9"/>
      <c r="V93" s="1"/>
      <c r="W93" s="1"/>
      <c r="X93" s="1"/>
      <c r="Y93" s="1"/>
      <c r="Z93" s="1"/>
    </row>
    <row r="94" spans="1:26" ht="39.75" customHeight="1">
      <c r="A94" s="175" t="s">
        <v>169</v>
      </c>
      <c r="B94" s="168" t="s">
        <v>170</v>
      </c>
      <c r="C94" s="168" t="s">
        <v>171</v>
      </c>
      <c r="D94" s="5">
        <v>87</v>
      </c>
      <c r="E94" s="5" t="s">
        <v>172</v>
      </c>
      <c r="F94" s="114"/>
      <c r="G94" s="114"/>
      <c r="H94" s="114"/>
      <c r="I94" s="114"/>
      <c r="J94" s="114"/>
      <c r="K94" s="115">
        <v>14</v>
      </c>
      <c r="L94" s="114"/>
      <c r="M94" s="114"/>
      <c r="N94" s="114"/>
      <c r="O94" s="114"/>
      <c r="P94" s="114"/>
      <c r="Q94" s="114"/>
      <c r="R94" s="114"/>
      <c r="S94" s="116"/>
      <c r="T94" s="117">
        <f>SUM(F94:S94)</f>
        <v>14</v>
      </c>
      <c r="U94" s="88" t="s">
        <v>706</v>
      </c>
      <c r="V94" s="1"/>
      <c r="W94" s="1"/>
      <c r="X94" s="1"/>
      <c r="Y94" s="1"/>
      <c r="Z94" s="1"/>
    </row>
    <row r="95" spans="1:26" ht="39.75" customHeight="1">
      <c r="A95" s="171"/>
      <c r="B95" s="171"/>
      <c r="C95" s="171"/>
      <c r="D95" s="5">
        <v>88</v>
      </c>
      <c r="E95" s="5" t="s">
        <v>173</v>
      </c>
      <c r="F95" s="114"/>
      <c r="G95" s="114"/>
      <c r="H95" s="114"/>
      <c r="I95" s="114"/>
      <c r="J95" s="114"/>
      <c r="K95" s="114"/>
      <c r="L95" s="114"/>
      <c r="M95" s="114"/>
      <c r="N95" s="114"/>
      <c r="O95" s="114"/>
      <c r="P95" s="118">
        <v>12</v>
      </c>
      <c r="Q95" s="114"/>
      <c r="R95" s="114"/>
      <c r="S95" s="116"/>
      <c r="T95" s="117">
        <f t="shared" ref="T95:T103" si="7">SUM(F95:S95)</f>
        <v>12</v>
      </c>
      <c r="U95" s="88" t="s">
        <v>707</v>
      </c>
      <c r="V95" s="1"/>
      <c r="W95" s="1"/>
      <c r="X95" s="1"/>
      <c r="Y95" s="1"/>
      <c r="Z95" s="1"/>
    </row>
    <row r="96" spans="1:26" ht="39.75" customHeight="1">
      <c r="A96" s="171"/>
      <c r="B96" s="171"/>
      <c r="C96" s="171"/>
      <c r="D96" s="5">
        <v>89</v>
      </c>
      <c r="E96" s="5" t="s">
        <v>174</v>
      </c>
      <c r="F96" s="114"/>
      <c r="G96" s="114"/>
      <c r="H96" s="114"/>
      <c r="I96" s="114"/>
      <c r="J96" s="114"/>
      <c r="K96" s="114"/>
      <c r="L96" s="114"/>
      <c r="M96" s="114"/>
      <c r="N96" s="114"/>
      <c r="O96" s="114"/>
      <c r="P96" s="114"/>
      <c r="Q96" s="114"/>
      <c r="R96" s="114"/>
      <c r="S96" s="116"/>
      <c r="T96" s="117">
        <f t="shared" si="7"/>
        <v>0</v>
      </c>
      <c r="U96" s="88"/>
      <c r="V96" s="1"/>
      <c r="W96" s="1"/>
      <c r="X96" s="1"/>
      <c r="Y96" s="1"/>
      <c r="Z96" s="1"/>
    </row>
    <row r="97" spans="1:26" ht="39.75" customHeight="1">
      <c r="A97" s="171"/>
      <c r="B97" s="171"/>
      <c r="C97" s="171"/>
      <c r="D97" s="5">
        <v>90</v>
      </c>
      <c r="E97" s="5" t="s">
        <v>175</v>
      </c>
      <c r="F97" s="114"/>
      <c r="G97" s="114"/>
      <c r="H97" s="114"/>
      <c r="I97" s="114"/>
      <c r="J97" s="114"/>
      <c r="K97" s="114"/>
      <c r="L97" s="114"/>
      <c r="M97" s="114"/>
      <c r="N97" s="114"/>
      <c r="O97" s="114"/>
      <c r="P97" s="118"/>
      <c r="Q97" s="114"/>
      <c r="R97" s="114"/>
      <c r="S97" s="116"/>
      <c r="T97" s="117">
        <f t="shared" si="7"/>
        <v>0</v>
      </c>
      <c r="U97" s="88"/>
      <c r="V97" s="1"/>
      <c r="W97" s="1"/>
      <c r="X97" s="1"/>
      <c r="Y97" s="1"/>
      <c r="Z97" s="1"/>
    </row>
    <row r="98" spans="1:26" ht="39.75" customHeight="1">
      <c r="A98" s="171"/>
      <c r="B98" s="171"/>
      <c r="C98" s="171"/>
      <c r="D98" s="5">
        <v>91</v>
      </c>
      <c r="E98" s="5" t="s">
        <v>176</v>
      </c>
      <c r="F98" s="114"/>
      <c r="G98" s="114"/>
      <c r="H98" s="114"/>
      <c r="I98" s="114"/>
      <c r="J98" s="114"/>
      <c r="K98" s="115">
        <v>0</v>
      </c>
      <c r="L98" s="114"/>
      <c r="M98" s="114"/>
      <c r="N98" s="114"/>
      <c r="O98" s="114"/>
      <c r="P98" s="118">
        <v>2</v>
      </c>
      <c r="Q98" s="114"/>
      <c r="R98" s="114"/>
      <c r="S98" s="116"/>
      <c r="T98" s="117">
        <f t="shared" si="7"/>
        <v>2</v>
      </c>
      <c r="U98" s="119" t="s">
        <v>469</v>
      </c>
      <c r="V98" s="1"/>
      <c r="W98" s="1"/>
      <c r="X98" s="1"/>
      <c r="Y98" s="1"/>
      <c r="Z98" s="1"/>
    </row>
    <row r="99" spans="1:26" ht="39.75" customHeight="1">
      <c r="A99" s="171"/>
      <c r="B99" s="171"/>
      <c r="C99" s="171"/>
      <c r="D99" s="5">
        <v>92</v>
      </c>
      <c r="E99" s="5" t="s">
        <v>178</v>
      </c>
      <c r="F99" s="114"/>
      <c r="G99" s="114"/>
      <c r="H99" s="114"/>
      <c r="I99" s="114"/>
      <c r="J99" s="114"/>
      <c r="K99" s="114"/>
      <c r="L99" s="114"/>
      <c r="M99" s="114"/>
      <c r="N99" s="114"/>
      <c r="O99" s="114"/>
      <c r="P99" s="118">
        <v>2</v>
      </c>
      <c r="Q99" s="114"/>
      <c r="R99" s="114"/>
      <c r="S99" s="116"/>
      <c r="T99" s="117">
        <f t="shared" si="7"/>
        <v>2</v>
      </c>
      <c r="U99" s="120" t="s">
        <v>403</v>
      </c>
      <c r="V99" s="1"/>
      <c r="W99" s="1"/>
      <c r="X99" s="1"/>
      <c r="Y99" s="1"/>
      <c r="Z99" s="1"/>
    </row>
    <row r="100" spans="1:26" ht="39.75" customHeight="1">
      <c r="A100" s="171"/>
      <c r="B100" s="171"/>
      <c r="C100" s="171"/>
      <c r="D100" s="5">
        <v>93</v>
      </c>
      <c r="E100" s="5" t="s">
        <v>180</v>
      </c>
      <c r="F100" s="114"/>
      <c r="G100" s="114"/>
      <c r="H100" s="114"/>
      <c r="I100" s="118"/>
      <c r="J100" s="114"/>
      <c r="K100" s="114"/>
      <c r="L100" s="114"/>
      <c r="M100" s="114"/>
      <c r="N100" s="114"/>
      <c r="O100" s="114"/>
      <c r="P100" s="114"/>
      <c r="Q100" s="114"/>
      <c r="R100" s="114"/>
      <c r="S100" s="116"/>
      <c r="T100" s="117">
        <f t="shared" si="7"/>
        <v>0</v>
      </c>
      <c r="U100" s="119"/>
      <c r="V100" s="1"/>
      <c r="W100" s="1"/>
      <c r="X100" s="1"/>
      <c r="Y100" s="1"/>
      <c r="Z100" s="1"/>
    </row>
    <row r="101" spans="1:26" ht="39.75" customHeight="1">
      <c r="A101" s="171"/>
      <c r="B101" s="171"/>
      <c r="C101" s="171"/>
      <c r="D101" s="5">
        <v>94</v>
      </c>
      <c r="E101" s="5" t="s">
        <v>181</v>
      </c>
      <c r="F101" s="114"/>
      <c r="G101" s="114"/>
      <c r="H101" s="114"/>
      <c r="I101" s="118"/>
      <c r="J101" s="114"/>
      <c r="K101" s="114"/>
      <c r="L101" s="114"/>
      <c r="M101" s="114"/>
      <c r="N101" s="114"/>
      <c r="O101" s="114"/>
      <c r="P101" s="114"/>
      <c r="Q101" s="114"/>
      <c r="R101" s="114"/>
      <c r="S101" s="116"/>
      <c r="T101" s="117">
        <f t="shared" si="7"/>
        <v>0</v>
      </c>
      <c r="U101" s="120"/>
      <c r="V101" s="1"/>
      <c r="W101" s="1"/>
      <c r="X101" s="1"/>
      <c r="Y101" s="1"/>
      <c r="Z101" s="1"/>
    </row>
    <row r="102" spans="1:26" ht="39.75" customHeight="1">
      <c r="A102" s="171"/>
      <c r="B102" s="171"/>
      <c r="C102" s="171"/>
      <c r="D102" s="5">
        <v>95</v>
      </c>
      <c r="E102" s="5" t="s">
        <v>182</v>
      </c>
      <c r="F102" s="114"/>
      <c r="G102" s="114"/>
      <c r="H102" s="118"/>
      <c r="I102" s="115">
        <v>2</v>
      </c>
      <c r="J102" s="114"/>
      <c r="K102" s="114"/>
      <c r="L102" s="114"/>
      <c r="M102" s="114"/>
      <c r="N102" s="114"/>
      <c r="O102" s="114"/>
      <c r="P102" s="114"/>
      <c r="Q102" s="114"/>
      <c r="R102" s="114"/>
      <c r="S102" s="116"/>
      <c r="T102" s="117">
        <f t="shared" si="7"/>
        <v>2</v>
      </c>
      <c r="U102" s="88" t="s">
        <v>708</v>
      </c>
      <c r="V102" s="1"/>
      <c r="W102" s="1"/>
      <c r="X102" s="1"/>
      <c r="Y102" s="1"/>
      <c r="Z102" s="1"/>
    </row>
    <row r="103" spans="1:26" ht="39.75" customHeight="1">
      <c r="A103" s="171"/>
      <c r="B103" s="169"/>
      <c r="C103" s="169"/>
      <c r="D103" s="5">
        <v>96</v>
      </c>
      <c r="E103" s="5" t="s">
        <v>183</v>
      </c>
      <c r="F103" s="114"/>
      <c r="G103" s="114"/>
      <c r="H103" s="114"/>
      <c r="I103" s="114"/>
      <c r="J103" s="114"/>
      <c r="K103" s="114"/>
      <c r="L103" s="114"/>
      <c r="M103" s="114"/>
      <c r="N103" s="115"/>
      <c r="O103" s="114"/>
      <c r="P103" s="114"/>
      <c r="Q103" s="115">
        <v>1</v>
      </c>
      <c r="R103" s="118">
        <v>1</v>
      </c>
      <c r="S103" s="116"/>
      <c r="T103" s="117">
        <f t="shared" si="7"/>
        <v>2</v>
      </c>
      <c r="U103" s="88" t="s">
        <v>421</v>
      </c>
      <c r="V103" s="1"/>
      <c r="W103" s="1"/>
      <c r="X103" s="1"/>
      <c r="Y103" s="1"/>
      <c r="Z103" s="1"/>
    </row>
    <row r="104" spans="1:26" ht="39.75" customHeight="1">
      <c r="A104" s="171"/>
      <c r="B104" s="168" t="s">
        <v>184</v>
      </c>
      <c r="C104" s="168" t="s">
        <v>185</v>
      </c>
      <c r="D104" s="5">
        <v>97</v>
      </c>
      <c r="E104" s="5" t="s">
        <v>186</v>
      </c>
      <c r="F104" s="5"/>
      <c r="G104" s="5"/>
      <c r="H104" s="5"/>
      <c r="I104" s="6"/>
      <c r="J104" s="5"/>
      <c r="K104" s="6"/>
      <c r="L104" s="5"/>
      <c r="M104" s="6">
        <v>2.86</v>
      </c>
      <c r="N104" s="6">
        <v>5.5</v>
      </c>
      <c r="O104" s="5"/>
      <c r="P104" s="8">
        <v>22.7</v>
      </c>
      <c r="Q104" s="6">
        <v>4</v>
      </c>
      <c r="R104" s="8">
        <v>23.55</v>
      </c>
      <c r="S104" s="5"/>
      <c r="T104" s="6">
        <f t="shared" si="4"/>
        <v>58.61</v>
      </c>
      <c r="U104" s="10" t="s">
        <v>373</v>
      </c>
      <c r="V104" s="1"/>
      <c r="W104" s="1"/>
      <c r="X104" s="1"/>
      <c r="Y104" s="1"/>
      <c r="Z104" s="1"/>
    </row>
    <row r="105" spans="1:26" ht="39.75" customHeight="1">
      <c r="A105" s="171"/>
      <c r="B105" s="169"/>
      <c r="C105" s="169"/>
      <c r="D105" s="5">
        <v>98</v>
      </c>
      <c r="E105" s="5" t="s">
        <v>54</v>
      </c>
      <c r="F105" s="5"/>
      <c r="G105" s="5"/>
      <c r="H105" s="5"/>
      <c r="I105" s="5"/>
      <c r="J105" s="5"/>
      <c r="K105" s="5"/>
      <c r="L105" s="5"/>
      <c r="M105" s="5"/>
      <c r="N105" s="5"/>
      <c r="O105" s="5"/>
      <c r="P105" s="5"/>
      <c r="Q105" s="5"/>
      <c r="R105" s="5"/>
      <c r="S105" s="5"/>
      <c r="T105" s="6">
        <f t="shared" si="4"/>
        <v>0</v>
      </c>
      <c r="U105" s="46"/>
      <c r="V105" s="1"/>
      <c r="W105" s="1"/>
      <c r="X105" s="1"/>
      <c r="Y105" s="1"/>
      <c r="Z105" s="1"/>
    </row>
    <row r="106" spans="1:26" ht="39.75" customHeight="1">
      <c r="A106" s="171"/>
      <c r="B106" s="168" t="s">
        <v>188</v>
      </c>
      <c r="C106" s="168" t="s">
        <v>189</v>
      </c>
      <c r="D106" s="5">
        <v>99</v>
      </c>
      <c r="E106" s="5" t="s">
        <v>190</v>
      </c>
      <c r="F106" s="5"/>
      <c r="G106" s="5"/>
      <c r="H106" s="8"/>
      <c r="I106" s="6">
        <v>2</v>
      </c>
      <c r="J106" s="5"/>
      <c r="K106" s="6"/>
      <c r="L106" s="5"/>
      <c r="M106" s="5"/>
      <c r="N106" s="6">
        <v>0.8</v>
      </c>
      <c r="O106" s="5"/>
      <c r="P106" s="5"/>
      <c r="Q106" s="6">
        <v>2</v>
      </c>
      <c r="R106" s="5"/>
      <c r="S106" s="5"/>
      <c r="T106" s="6">
        <f t="shared" si="4"/>
        <v>4.8</v>
      </c>
      <c r="U106" s="46" t="s">
        <v>374</v>
      </c>
      <c r="V106" s="1"/>
      <c r="W106" s="1"/>
      <c r="X106" s="1"/>
      <c r="Y106" s="1"/>
      <c r="Z106" s="1"/>
    </row>
    <row r="107" spans="1:26" ht="39.75" customHeight="1">
      <c r="A107" s="171"/>
      <c r="B107" s="171"/>
      <c r="C107" s="171"/>
      <c r="D107" s="5">
        <v>100</v>
      </c>
      <c r="E107" s="5" t="s">
        <v>192</v>
      </c>
      <c r="F107" s="5"/>
      <c r="G107" s="5"/>
      <c r="H107" s="5"/>
      <c r="I107" s="6">
        <v>0.8</v>
      </c>
      <c r="J107" s="5"/>
      <c r="K107" s="6"/>
      <c r="L107" s="5"/>
      <c r="M107" s="5"/>
      <c r="N107" s="5"/>
      <c r="O107" s="5"/>
      <c r="P107" s="5"/>
      <c r="Q107" s="5"/>
      <c r="R107" s="5"/>
      <c r="S107" s="5"/>
      <c r="T107" s="6">
        <f t="shared" si="4"/>
        <v>0.8</v>
      </c>
      <c r="U107" s="46" t="s">
        <v>193</v>
      </c>
      <c r="V107" s="1"/>
      <c r="W107" s="1"/>
      <c r="X107" s="1"/>
      <c r="Y107" s="1"/>
      <c r="Z107" s="1"/>
    </row>
    <row r="108" spans="1:26" ht="39.75" customHeight="1">
      <c r="A108" s="171"/>
      <c r="B108" s="171"/>
      <c r="C108" s="171"/>
      <c r="D108" s="5">
        <v>101</v>
      </c>
      <c r="E108" s="5" t="s">
        <v>194</v>
      </c>
      <c r="F108" s="5"/>
      <c r="G108" s="5"/>
      <c r="H108" s="5"/>
      <c r="I108" s="5"/>
      <c r="J108" s="5"/>
      <c r="K108" s="5"/>
      <c r="L108" s="5"/>
      <c r="M108" s="5"/>
      <c r="N108" s="5"/>
      <c r="O108" s="5"/>
      <c r="P108" s="5"/>
      <c r="Q108" s="5"/>
      <c r="R108" s="5"/>
      <c r="S108" s="5"/>
      <c r="T108" s="6">
        <f t="shared" si="4"/>
        <v>0</v>
      </c>
      <c r="U108" s="9"/>
      <c r="V108" s="1"/>
      <c r="W108" s="1"/>
      <c r="X108" s="1"/>
      <c r="Y108" s="1"/>
      <c r="Z108" s="1"/>
    </row>
    <row r="109" spans="1:26" ht="39.75" customHeight="1">
      <c r="A109" s="171"/>
      <c r="B109" s="171"/>
      <c r="C109" s="171"/>
      <c r="D109" s="5">
        <v>102</v>
      </c>
      <c r="E109" s="5" t="s">
        <v>195</v>
      </c>
      <c r="F109" s="5"/>
      <c r="G109" s="5"/>
      <c r="H109" s="5"/>
      <c r="I109" s="5"/>
      <c r="J109" s="5"/>
      <c r="K109" s="5"/>
      <c r="L109" s="5"/>
      <c r="M109" s="5"/>
      <c r="N109" s="5"/>
      <c r="O109" s="5"/>
      <c r="P109" s="5"/>
      <c r="Q109" s="6"/>
      <c r="R109" s="5"/>
      <c r="S109" s="5"/>
      <c r="T109" s="6">
        <f t="shared" si="4"/>
        <v>0</v>
      </c>
      <c r="U109" s="9"/>
      <c r="V109" s="1"/>
      <c r="W109" s="1"/>
      <c r="X109" s="1"/>
      <c r="Y109" s="1"/>
      <c r="Z109" s="1"/>
    </row>
    <row r="110" spans="1:26" ht="39.75" customHeight="1">
      <c r="A110" s="171"/>
      <c r="B110" s="169"/>
      <c r="C110" s="169"/>
      <c r="D110" s="5">
        <v>103</v>
      </c>
      <c r="E110" s="5" t="s">
        <v>54</v>
      </c>
      <c r="F110" s="5"/>
      <c r="G110" s="5"/>
      <c r="H110" s="5"/>
      <c r="I110" s="5"/>
      <c r="J110" s="5"/>
      <c r="K110" s="5"/>
      <c r="L110" s="5"/>
      <c r="M110" s="5"/>
      <c r="N110" s="5"/>
      <c r="O110" s="5"/>
      <c r="P110" s="8">
        <v>4.0999999999999996</v>
      </c>
      <c r="Q110" s="5"/>
      <c r="R110" s="8"/>
      <c r="S110" s="8"/>
      <c r="T110" s="6">
        <f t="shared" si="4"/>
        <v>4.0999999999999996</v>
      </c>
      <c r="U110" s="10" t="s">
        <v>196</v>
      </c>
      <c r="V110" s="1"/>
      <c r="W110" s="1"/>
      <c r="X110" s="1"/>
      <c r="Y110" s="1"/>
      <c r="Z110" s="1"/>
    </row>
    <row r="111" spans="1:26" ht="39.75" customHeight="1">
      <c r="A111" s="171"/>
      <c r="B111" s="168" t="s">
        <v>197</v>
      </c>
      <c r="C111" s="168" t="s">
        <v>198</v>
      </c>
      <c r="D111" s="5">
        <v>104</v>
      </c>
      <c r="E111" s="5" t="s">
        <v>199</v>
      </c>
      <c r="F111" s="5"/>
      <c r="G111" s="5"/>
      <c r="H111" s="5"/>
      <c r="I111" s="5"/>
      <c r="J111" s="5"/>
      <c r="K111" s="5"/>
      <c r="L111" s="5"/>
      <c r="M111" s="5"/>
      <c r="N111" s="8">
        <v>2</v>
      </c>
      <c r="O111" s="5"/>
      <c r="P111" s="8">
        <v>3</v>
      </c>
      <c r="Q111" s="8">
        <v>1</v>
      </c>
      <c r="R111" s="8"/>
      <c r="S111" s="8"/>
      <c r="T111" s="6">
        <f t="shared" si="4"/>
        <v>6</v>
      </c>
      <c r="U111" s="113" t="s">
        <v>691</v>
      </c>
      <c r="V111" s="1"/>
      <c r="W111" s="1"/>
      <c r="X111" s="1"/>
      <c r="Y111" s="1"/>
      <c r="Z111" s="1"/>
    </row>
    <row r="112" spans="1:26" ht="39.75" customHeight="1">
      <c r="A112" s="171"/>
      <c r="B112" s="171"/>
      <c r="C112" s="171"/>
      <c r="D112" s="5">
        <v>105</v>
      </c>
      <c r="E112" s="5" t="s">
        <v>200</v>
      </c>
      <c r="F112" s="5"/>
      <c r="G112" s="5"/>
      <c r="H112" s="5"/>
      <c r="I112" s="5"/>
      <c r="J112" s="5"/>
      <c r="K112" s="5"/>
      <c r="L112" s="5"/>
      <c r="M112" s="5"/>
      <c r="N112" s="5"/>
      <c r="O112" s="5"/>
      <c r="P112" s="5"/>
      <c r="Q112" s="5"/>
      <c r="R112" s="5"/>
      <c r="S112" s="5"/>
      <c r="T112" s="6">
        <f t="shared" si="4"/>
        <v>0</v>
      </c>
      <c r="U112" s="9"/>
      <c r="V112" s="1"/>
      <c r="W112" s="1"/>
      <c r="X112" s="1"/>
      <c r="Y112" s="1"/>
      <c r="Z112" s="1"/>
    </row>
    <row r="113" spans="1:26" ht="39.75" customHeight="1">
      <c r="A113" s="171"/>
      <c r="B113" s="169"/>
      <c r="C113" s="169"/>
      <c r="D113" s="5">
        <v>106</v>
      </c>
      <c r="E113" s="5" t="s">
        <v>201</v>
      </c>
      <c r="F113" s="5"/>
      <c r="G113" s="5"/>
      <c r="H113" s="5"/>
      <c r="I113" s="6"/>
      <c r="J113" s="5"/>
      <c r="K113" s="6"/>
      <c r="L113" s="5"/>
      <c r="M113" s="5"/>
      <c r="N113" s="6"/>
      <c r="O113" s="5"/>
      <c r="P113" s="8"/>
      <c r="Q113" s="6">
        <v>2</v>
      </c>
      <c r="R113" s="8">
        <v>3</v>
      </c>
      <c r="S113" s="8"/>
      <c r="T113" s="6">
        <f t="shared" si="4"/>
        <v>5</v>
      </c>
      <c r="U113" s="113" t="s">
        <v>689</v>
      </c>
      <c r="V113" s="1"/>
      <c r="W113" s="1"/>
      <c r="X113" s="1"/>
      <c r="Y113" s="1"/>
      <c r="Z113" s="1"/>
    </row>
    <row r="114" spans="1:26" ht="39.75" customHeight="1">
      <c r="A114" s="171"/>
      <c r="B114" s="168" t="s">
        <v>202</v>
      </c>
      <c r="C114" s="168" t="s">
        <v>203</v>
      </c>
      <c r="D114" s="5">
        <v>107</v>
      </c>
      <c r="E114" s="5" t="s">
        <v>204</v>
      </c>
      <c r="F114" s="5"/>
      <c r="G114" s="5"/>
      <c r="H114" s="5"/>
      <c r="I114" s="6"/>
      <c r="J114" s="5"/>
      <c r="K114" s="6"/>
      <c r="L114" s="5"/>
      <c r="M114" s="5"/>
      <c r="N114" s="6"/>
      <c r="O114" s="5"/>
      <c r="P114" s="8">
        <v>3.5</v>
      </c>
      <c r="Q114" s="5"/>
      <c r="R114" s="8"/>
      <c r="S114" s="5"/>
      <c r="T114" s="6">
        <f t="shared" si="4"/>
        <v>3.5</v>
      </c>
      <c r="U114" s="46" t="s">
        <v>205</v>
      </c>
      <c r="V114" s="1"/>
      <c r="W114" s="1"/>
      <c r="X114" s="1"/>
      <c r="Y114" s="1"/>
      <c r="Z114" s="1"/>
    </row>
    <row r="115" spans="1:26" ht="39.75" customHeight="1">
      <c r="A115" s="171"/>
      <c r="B115" s="171"/>
      <c r="C115" s="171"/>
      <c r="D115" s="5">
        <v>108</v>
      </c>
      <c r="E115" s="5" t="s">
        <v>206</v>
      </c>
      <c r="F115" s="5"/>
      <c r="G115" s="5"/>
      <c r="H115" s="5"/>
      <c r="I115" s="6"/>
      <c r="J115" s="5"/>
      <c r="K115" s="6"/>
      <c r="L115" s="5"/>
      <c r="M115" s="5"/>
      <c r="N115" s="5"/>
      <c r="O115" s="5"/>
      <c r="P115" s="8">
        <v>12.8</v>
      </c>
      <c r="Q115" s="5"/>
      <c r="R115" s="5"/>
      <c r="S115" s="5"/>
      <c r="T115" s="6">
        <f t="shared" si="4"/>
        <v>12.8</v>
      </c>
      <c r="U115" s="46" t="s">
        <v>207</v>
      </c>
      <c r="V115" s="1"/>
      <c r="W115" s="1"/>
      <c r="X115" s="1"/>
      <c r="Y115" s="1"/>
      <c r="Z115" s="1"/>
    </row>
    <row r="116" spans="1:26" ht="39.75" customHeight="1">
      <c r="A116" s="171"/>
      <c r="B116" s="171"/>
      <c r="C116" s="171"/>
      <c r="D116" s="5">
        <v>109</v>
      </c>
      <c r="E116" s="5" t="s">
        <v>208</v>
      </c>
      <c r="F116" s="5"/>
      <c r="G116" s="5"/>
      <c r="H116" s="8"/>
      <c r="I116" s="6"/>
      <c r="J116" s="5"/>
      <c r="K116" s="6"/>
      <c r="L116" s="5"/>
      <c r="M116" s="5"/>
      <c r="N116" s="5"/>
      <c r="O116" s="5"/>
      <c r="P116" s="5"/>
      <c r="Q116" s="5"/>
      <c r="R116" s="5"/>
      <c r="S116" s="5"/>
      <c r="T116" s="6">
        <f t="shared" si="4"/>
        <v>0</v>
      </c>
      <c r="U116" s="9"/>
      <c r="V116" s="1"/>
      <c r="W116" s="1"/>
      <c r="X116" s="1"/>
      <c r="Y116" s="1"/>
      <c r="Z116" s="1"/>
    </row>
    <row r="117" spans="1:26" ht="39.75" customHeight="1">
      <c r="A117" s="171"/>
      <c r="B117" s="171"/>
      <c r="C117" s="171"/>
      <c r="D117" s="5">
        <v>110</v>
      </c>
      <c r="E117" s="5" t="s">
        <v>209</v>
      </c>
      <c r="F117" s="5"/>
      <c r="G117" s="5"/>
      <c r="H117" s="5"/>
      <c r="I117" s="6"/>
      <c r="J117" s="5"/>
      <c r="K117" s="6"/>
      <c r="L117" s="5"/>
      <c r="M117" s="8"/>
      <c r="N117" s="6">
        <v>3</v>
      </c>
      <c r="O117" s="8">
        <v>12.36</v>
      </c>
      <c r="P117" s="6"/>
      <c r="Q117" s="8">
        <v>6.47</v>
      </c>
      <c r="R117" s="8">
        <v>8.9</v>
      </c>
      <c r="S117" s="5"/>
      <c r="T117" s="6">
        <f t="shared" si="4"/>
        <v>30.729999999999997</v>
      </c>
      <c r="U117" s="9" t="s">
        <v>375</v>
      </c>
      <c r="V117" s="1"/>
      <c r="W117" s="1"/>
      <c r="X117" s="1"/>
      <c r="Y117" s="1"/>
      <c r="Z117" s="1"/>
    </row>
    <row r="118" spans="1:26" ht="39.75" customHeight="1">
      <c r="A118" s="171"/>
      <c r="B118" s="169"/>
      <c r="C118" s="169"/>
      <c r="D118" s="5">
        <v>111</v>
      </c>
      <c r="E118" s="5" t="s">
        <v>54</v>
      </c>
      <c r="F118" s="5"/>
      <c r="G118" s="5"/>
      <c r="H118" s="5"/>
      <c r="I118" s="8"/>
      <c r="J118" s="5"/>
      <c r="K118" s="8"/>
      <c r="L118" s="5"/>
      <c r="M118" s="5">
        <v>6</v>
      </c>
      <c r="N118" s="5"/>
      <c r="O118" s="5"/>
      <c r="P118" s="8"/>
      <c r="Q118" s="6"/>
      <c r="R118" s="5"/>
      <c r="S118" s="8"/>
      <c r="T118" s="6">
        <f t="shared" si="4"/>
        <v>6</v>
      </c>
      <c r="U118" s="113" t="s">
        <v>683</v>
      </c>
      <c r="V118" s="1"/>
      <c r="W118" s="1"/>
      <c r="X118" s="1"/>
      <c r="Y118" s="1"/>
      <c r="Z118" s="1"/>
    </row>
    <row r="119" spans="1:26" ht="39.75" customHeight="1">
      <c r="A119" s="171"/>
      <c r="B119" s="168" t="s">
        <v>211</v>
      </c>
      <c r="C119" s="168" t="s">
        <v>212</v>
      </c>
      <c r="D119" s="5">
        <v>112</v>
      </c>
      <c r="E119" s="5" t="s">
        <v>213</v>
      </c>
      <c r="F119" s="5"/>
      <c r="G119" s="5"/>
      <c r="H119" s="5"/>
      <c r="I119" s="6"/>
      <c r="J119" s="5"/>
      <c r="K119" s="6"/>
      <c r="L119" s="5"/>
      <c r="M119" s="5"/>
      <c r="N119" s="5"/>
      <c r="O119" s="5"/>
      <c r="P119" s="5"/>
      <c r="Q119" s="6"/>
      <c r="R119" s="5"/>
      <c r="S119" s="5"/>
      <c r="T119" s="6">
        <f t="shared" si="4"/>
        <v>0</v>
      </c>
      <c r="U119" s="9"/>
      <c r="V119" s="1"/>
      <c r="W119" s="1"/>
      <c r="X119" s="1"/>
      <c r="Y119" s="1"/>
      <c r="Z119" s="1"/>
    </row>
    <row r="120" spans="1:26" ht="39.75" customHeight="1">
      <c r="A120" s="171"/>
      <c r="B120" s="169"/>
      <c r="C120" s="169"/>
      <c r="D120" s="5">
        <v>113</v>
      </c>
      <c r="E120" s="5" t="s">
        <v>214</v>
      </c>
      <c r="F120" s="5"/>
      <c r="G120" s="5"/>
      <c r="H120" s="5"/>
      <c r="I120" s="6"/>
      <c r="J120" s="5"/>
      <c r="K120" s="6"/>
      <c r="L120" s="5"/>
      <c r="M120" s="6"/>
      <c r="N120" s="6">
        <v>0.5</v>
      </c>
      <c r="O120" s="5"/>
      <c r="P120" s="5"/>
      <c r="Q120" s="6">
        <v>0.5</v>
      </c>
      <c r="R120" s="5"/>
      <c r="S120" s="5"/>
      <c r="T120" s="6">
        <f t="shared" si="4"/>
        <v>1</v>
      </c>
      <c r="U120" s="10" t="s">
        <v>215</v>
      </c>
      <c r="V120" s="1"/>
      <c r="W120" s="1"/>
      <c r="X120" s="1"/>
      <c r="Y120" s="1"/>
      <c r="Z120" s="1"/>
    </row>
    <row r="121" spans="1:26" ht="39.75" customHeight="1">
      <c r="A121" s="171"/>
      <c r="B121" s="5" t="s">
        <v>216</v>
      </c>
      <c r="C121" s="5" t="s">
        <v>217</v>
      </c>
      <c r="D121" s="5">
        <v>114</v>
      </c>
      <c r="E121" s="5" t="s">
        <v>218</v>
      </c>
      <c r="F121" s="5"/>
      <c r="G121" s="5"/>
      <c r="H121" s="8"/>
      <c r="I121" s="5"/>
      <c r="J121" s="5"/>
      <c r="K121" s="5"/>
      <c r="L121" s="5"/>
      <c r="M121" s="5"/>
      <c r="N121" s="8">
        <v>1.5</v>
      </c>
      <c r="O121" s="5"/>
      <c r="P121" s="8">
        <v>6.5</v>
      </c>
      <c r="Q121" s="6">
        <v>2</v>
      </c>
      <c r="R121" s="8">
        <v>1</v>
      </c>
      <c r="S121" s="8"/>
      <c r="T121" s="6">
        <f t="shared" si="4"/>
        <v>11</v>
      </c>
      <c r="U121" s="113" t="s">
        <v>681</v>
      </c>
      <c r="V121" s="1"/>
      <c r="W121" s="1"/>
      <c r="X121" s="1"/>
      <c r="Y121" s="1"/>
      <c r="Z121" s="1"/>
    </row>
    <row r="122" spans="1:26" ht="39.75" customHeight="1">
      <c r="A122" s="171"/>
      <c r="B122" s="168" t="s">
        <v>219</v>
      </c>
      <c r="C122" s="168" t="s">
        <v>220</v>
      </c>
      <c r="D122" s="5">
        <v>115</v>
      </c>
      <c r="E122" s="5" t="s">
        <v>221</v>
      </c>
      <c r="F122" s="5"/>
      <c r="G122" s="5"/>
      <c r="H122" s="5"/>
      <c r="I122" s="5"/>
      <c r="J122" s="5"/>
      <c r="K122" s="5"/>
      <c r="L122" s="5"/>
      <c r="M122" s="6"/>
      <c r="N122" s="5"/>
      <c r="O122" s="5"/>
      <c r="P122" s="5"/>
      <c r="Q122" s="5"/>
      <c r="R122" s="5"/>
      <c r="S122" s="5"/>
      <c r="T122" s="6">
        <f t="shared" si="4"/>
        <v>0</v>
      </c>
      <c r="U122" s="9"/>
      <c r="V122" s="1"/>
      <c r="W122" s="1"/>
      <c r="X122" s="1"/>
      <c r="Y122" s="1"/>
      <c r="Z122" s="1"/>
    </row>
    <row r="123" spans="1:26" ht="39.75" customHeight="1">
      <c r="A123" s="171"/>
      <c r="B123" s="171"/>
      <c r="C123" s="171"/>
      <c r="D123" s="5">
        <v>116</v>
      </c>
      <c r="E123" s="5" t="s">
        <v>222</v>
      </c>
      <c r="F123" s="5"/>
      <c r="G123" s="5"/>
      <c r="H123" s="5"/>
      <c r="I123" s="5"/>
      <c r="J123" s="5"/>
      <c r="K123" s="5"/>
      <c r="L123" s="5"/>
      <c r="M123" s="6">
        <v>12.22</v>
      </c>
      <c r="N123" s="5"/>
      <c r="O123" s="5"/>
      <c r="P123" s="5"/>
      <c r="Q123" s="6">
        <v>7.4</v>
      </c>
      <c r="R123" s="5"/>
      <c r="S123" s="5"/>
      <c r="T123" s="6">
        <f t="shared" si="4"/>
        <v>19.62</v>
      </c>
      <c r="U123" s="10" t="s">
        <v>223</v>
      </c>
      <c r="V123" s="1"/>
      <c r="W123" s="1"/>
      <c r="X123" s="1"/>
      <c r="Y123" s="1"/>
      <c r="Z123" s="1"/>
    </row>
    <row r="124" spans="1:26" ht="39.75" customHeight="1">
      <c r="A124" s="171"/>
      <c r="B124" s="171"/>
      <c r="C124" s="171"/>
      <c r="D124" s="5">
        <v>117</v>
      </c>
      <c r="E124" s="5" t="s">
        <v>224</v>
      </c>
      <c r="F124" s="5"/>
      <c r="G124" s="5"/>
      <c r="H124" s="5"/>
      <c r="I124" s="5"/>
      <c r="J124" s="5"/>
      <c r="K124" s="5"/>
      <c r="L124" s="5"/>
      <c r="M124" s="5"/>
      <c r="N124" s="5"/>
      <c r="O124" s="5"/>
      <c r="P124" s="5"/>
      <c r="Q124" s="5"/>
      <c r="R124" s="5"/>
      <c r="S124" s="5"/>
      <c r="T124" s="6">
        <f t="shared" si="4"/>
        <v>0</v>
      </c>
      <c r="U124" s="46"/>
      <c r="V124" s="1"/>
      <c r="W124" s="1"/>
      <c r="X124" s="1"/>
      <c r="Y124" s="1"/>
      <c r="Z124" s="1"/>
    </row>
    <row r="125" spans="1:26" ht="39.75" customHeight="1">
      <c r="A125" s="171"/>
      <c r="B125" s="169"/>
      <c r="C125" s="169"/>
      <c r="D125" s="5">
        <v>118</v>
      </c>
      <c r="E125" s="5" t="s">
        <v>54</v>
      </c>
      <c r="F125" s="5"/>
      <c r="G125" s="5"/>
      <c r="H125" s="5"/>
      <c r="I125" s="5"/>
      <c r="J125" s="5"/>
      <c r="K125" s="5"/>
      <c r="L125" s="5"/>
      <c r="M125" s="5"/>
      <c r="N125" s="5"/>
      <c r="O125" s="5"/>
      <c r="P125" s="5"/>
      <c r="Q125" s="6"/>
      <c r="R125" s="5"/>
      <c r="S125" s="5"/>
      <c r="T125" s="6">
        <f t="shared" si="4"/>
        <v>0</v>
      </c>
      <c r="U125" s="9"/>
      <c r="V125" s="1"/>
      <c r="W125" s="1"/>
      <c r="X125" s="1"/>
      <c r="Y125" s="1"/>
      <c r="Z125" s="1"/>
    </row>
    <row r="126" spans="1:26" ht="39.75" customHeight="1">
      <c r="A126" s="171"/>
      <c r="B126" s="5" t="s">
        <v>225</v>
      </c>
      <c r="C126" s="5" t="s">
        <v>226</v>
      </c>
      <c r="D126" s="5">
        <v>119</v>
      </c>
      <c r="E126" s="5" t="s">
        <v>227</v>
      </c>
      <c r="F126" s="5"/>
      <c r="G126" s="5"/>
      <c r="H126" s="8"/>
      <c r="I126" s="6">
        <v>1</v>
      </c>
      <c r="J126" s="5"/>
      <c r="K126" s="5"/>
      <c r="L126" s="5"/>
      <c r="M126" s="5"/>
      <c r="N126" s="6">
        <v>1</v>
      </c>
      <c r="O126" s="5"/>
      <c r="P126" s="8">
        <v>8</v>
      </c>
      <c r="Q126" s="6">
        <v>2</v>
      </c>
      <c r="R126" s="5"/>
      <c r="S126" s="5"/>
      <c r="T126" s="6">
        <f t="shared" si="4"/>
        <v>12</v>
      </c>
      <c r="U126" s="113" t="s">
        <v>678</v>
      </c>
      <c r="V126" s="1"/>
      <c r="W126" s="1"/>
      <c r="X126" s="1"/>
      <c r="Y126" s="1"/>
      <c r="Z126" s="1"/>
    </row>
    <row r="127" spans="1:26" ht="39.75" customHeight="1">
      <c r="A127" s="171"/>
      <c r="B127" s="5" t="s">
        <v>228</v>
      </c>
      <c r="C127" s="5" t="s">
        <v>229</v>
      </c>
      <c r="D127" s="5">
        <v>120</v>
      </c>
      <c r="E127" s="5" t="s">
        <v>230</v>
      </c>
      <c r="F127" s="5"/>
      <c r="G127" s="5"/>
      <c r="H127" s="5"/>
      <c r="I127" s="5"/>
      <c r="J127" s="5"/>
      <c r="K127" s="8">
        <v>1</v>
      </c>
      <c r="L127" s="5"/>
      <c r="M127" s="8">
        <v>1.68</v>
      </c>
      <c r="N127" s="6"/>
      <c r="O127" s="5"/>
      <c r="P127" s="8"/>
      <c r="Q127" s="6">
        <v>3</v>
      </c>
      <c r="R127" s="8">
        <v>1.6</v>
      </c>
      <c r="S127" s="5"/>
      <c r="T127" s="6">
        <f t="shared" si="4"/>
        <v>7.2799999999999994</v>
      </c>
      <c r="U127" s="10" t="s">
        <v>404</v>
      </c>
      <c r="V127" s="1"/>
      <c r="W127" s="1"/>
      <c r="X127" s="1"/>
      <c r="Y127" s="1"/>
      <c r="Z127" s="1"/>
    </row>
    <row r="128" spans="1:26" ht="39.75" customHeight="1">
      <c r="A128" s="171"/>
      <c r="B128" s="168" t="s">
        <v>231</v>
      </c>
      <c r="C128" s="168" t="s">
        <v>232</v>
      </c>
      <c r="D128" s="5">
        <v>121</v>
      </c>
      <c r="E128" s="5" t="s">
        <v>233</v>
      </c>
      <c r="F128" s="5"/>
      <c r="G128" s="5"/>
      <c r="H128" s="5"/>
      <c r="I128" s="6"/>
      <c r="J128" s="5"/>
      <c r="K128" s="5"/>
      <c r="L128" s="5"/>
      <c r="M128" s="5"/>
      <c r="N128" s="5"/>
      <c r="O128" s="5"/>
      <c r="P128" s="5"/>
      <c r="Q128" s="5"/>
      <c r="R128" s="5"/>
      <c r="S128" s="5"/>
      <c r="T128" s="6">
        <f t="shared" si="4"/>
        <v>0</v>
      </c>
      <c r="U128" s="10"/>
      <c r="V128" s="1"/>
      <c r="W128" s="1"/>
      <c r="X128" s="1"/>
      <c r="Y128" s="1"/>
      <c r="Z128" s="1"/>
    </row>
    <row r="129" spans="1:26" ht="39.75" customHeight="1">
      <c r="A129" s="171"/>
      <c r="B129" s="171"/>
      <c r="C129" s="171"/>
      <c r="D129" s="5">
        <v>122</v>
      </c>
      <c r="E129" s="5" t="s">
        <v>234</v>
      </c>
      <c r="F129" s="5"/>
      <c r="G129" s="5"/>
      <c r="H129" s="5"/>
      <c r="I129" s="5"/>
      <c r="J129" s="5"/>
      <c r="K129" s="5"/>
      <c r="L129" s="5"/>
      <c r="M129" s="5"/>
      <c r="N129" s="5"/>
      <c r="O129" s="5"/>
      <c r="P129" s="5"/>
      <c r="Q129" s="5"/>
      <c r="R129" s="5"/>
      <c r="S129" s="5"/>
      <c r="T129" s="6">
        <f t="shared" si="4"/>
        <v>0</v>
      </c>
      <c r="U129" s="46"/>
      <c r="V129" s="1"/>
      <c r="W129" s="1"/>
      <c r="X129" s="1"/>
      <c r="Y129" s="1"/>
      <c r="Z129" s="1"/>
    </row>
    <row r="130" spans="1:26" ht="39.75" customHeight="1">
      <c r="A130" s="171"/>
      <c r="B130" s="169"/>
      <c r="C130" s="169"/>
      <c r="D130" s="5">
        <v>123</v>
      </c>
      <c r="E130" s="5" t="s">
        <v>235</v>
      </c>
      <c r="F130" s="5"/>
      <c r="G130" s="5"/>
      <c r="H130" s="5"/>
      <c r="I130" s="5"/>
      <c r="J130" s="5"/>
      <c r="K130" s="5"/>
      <c r="L130" s="5"/>
      <c r="M130" s="5"/>
      <c r="N130" s="5"/>
      <c r="O130" s="5"/>
      <c r="P130" s="8">
        <v>0</v>
      </c>
      <c r="Q130" s="6">
        <v>2</v>
      </c>
      <c r="R130" s="5"/>
      <c r="S130" s="5"/>
      <c r="T130" s="6">
        <f t="shared" si="4"/>
        <v>2</v>
      </c>
      <c r="U130" s="46" t="s">
        <v>236</v>
      </c>
      <c r="V130" s="1"/>
      <c r="W130" s="1"/>
      <c r="X130" s="1"/>
      <c r="Y130" s="1"/>
      <c r="Z130" s="1"/>
    </row>
    <row r="131" spans="1:26" ht="39.75" customHeight="1">
      <c r="A131" s="171"/>
      <c r="B131" s="168" t="s">
        <v>237</v>
      </c>
      <c r="C131" s="168" t="s">
        <v>238</v>
      </c>
      <c r="D131" s="5">
        <v>124</v>
      </c>
      <c r="E131" s="5" t="s">
        <v>239</v>
      </c>
      <c r="F131" s="5"/>
      <c r="G131" s="5"/>
      <c r="H131" s="8"/>
      <c r="I131" s="5"/>
      <c r="J131" s="5"/>
      <c r="K131" s="5"/>
      <c r="L131" s="5"/>
      <c r="M131" s="5"/>
      <c r="N131" s="5"/>
      <c r="O131" s="5"/>
      <c r="P131" s="5"/>
      <c r="Q131" s="8">
        <v>2</v>
      </c>
      <c r="R131" s="5"/>
      <c r="S131" s="5"/>
      <c r="T131" s="6">
        <f t="shared" si="4"/>
        <v>2</v>
      </c>
      <c r="U131" s="10" t="s">
        <v>240</v>
      </c>
      <c r="V131" s="1"/>
      <c r="W131" s="1"/>
      <c r="X131" s="1"/>
      <c r="Y131" s="1"/>
      <c r="Z131" s="1"/>
    </row>
    <row r="132" spans="1:26" ht="39.75" customHeight="1">
      <c r="A132" s="171"/>
      <c r="B132" s="169"/>
      <c r="C132" s="169"/>
      <c r="D132" s="5">
        <v>125</v>
      </c>
      <c r="E132" s="5" t="s">
        <v>241</v>
      </c>
      <c r="F132" s="5"/>
      <c r="G132" s="5"/>
      <c r="H132" s="8"/>
      <c r="I132" s="5"/>
      <c r="J132" s="5"/>
      <c r="K132" s="5"/>
      <c r="L132" s="5"/>
      <c r="M132" s="5"/>
      <c r="N132" s="5"/>
      <c r="O132" s="5"/>
      <c r="P132" s="5"/>
      <c r="Q132" s="5"/>
      <c r="R132" s="5"/>
      <c r="S132" s="5"/>
      <c r="T132" s="6">
        <f t="shared" si="4"/>
        <v>0</v>
      </c>
      <c r="U132" s="9"/>
      <c r="V132" s="1"/>
      <c r="W132" s="1"/>
      <c r="X132" s="1"/>
      <c r="Y132" s="1"/>
      <c r="Z132" s="1"/>
    </row>
    <row r="133" spans="1:26" ht="39.75" customHeight="1">
      <c r="A133" s="171"/>
      <c r="B133" s="5" t="s">
        <v>242</v>
      </c>
      <c r="C133" s="5" t="s">
        <v>243</v>
      </c>
      <c r="D133" s="5">
        <v>126</v>
      </c>
      <c r="E133" s="5" t="s">
        <v>167</v>
      </c>
      <c r="F133" s="5"/>
      <c r="G133" s="5"/>
      <c r="H133" s="5"/>
      <c r="I133" s="5"/>
      <c r="J133" s="5"/>
      <c r="K133" s="5"/>
      <c r="L133" s="5"/>
      <c r="M133" s="5"/>
      <c r="N133" s="5"/>
      <c r="O133" s="5"/>
      <c r="P133" s="5"/>
      <c r="Q133" s="5"/>
      <c r="R133" s="5"/>
      <c r="S133" s="5"/>
      <c r="T133" s="6">
        <f t="shared" si="4"/>
        <v>0</v>
      </c>
      <c r="U133" s="9"/>
      <c r="V133" s="1"/>
      <c r="W133" s="1"/>
      <c r="X133" s="1"/>
      <c r="Y133" s="1"/>
      <c r="Z133" s="1"/>
    </row>
    <row r="134" spans="1:26" ht="39.75" customHeight="1">
      <c r="A134" s="169"/>
      <c r="B134" s="176" t="s">
        <v>244</v>
      </c>
      <c r="C134" s="177"/>
      <c r="D134" s="178"/>
      <c r="E134" s="51"/>
      <c r="F134" s="51">
        <f t="shared" ref="F134:S134" si="8">SUM(F94:F133)</f>
        <v>0</v>
      </c>
      <c r="G134" s="51">
        <f t="shared" si="8"/>
        <v>0</v>
      </c>
      <c r="H134" s="51">
        <f t="shared" si="8"/>
        <v>0</v>
      </c>
      <c r="I134" s="51">
        <f t="shared" si="8"/>
        <v>5.8</v>
      </c>
      <c r="J134" s="51">
        <f t="shared" si="8"/>
        <v>0</v>
      </c>
      <c r="K134" s="52">
        <f t="shared" si="8"/>
        <v>15</v>
      </c>
      <c r="L134" s="51">
        <f t="shared" si="8"/>
        <v>0</v>
      </c>
      <c r="M134" s="51">
        <f t="shared" si="8"/>
        <v>22.759999999999998</v>
      </c>
      <c r="N134" s="51">
        <f t="shared" si="8"/>
        <v>14.3</v>
      </c>
      <c r="O134" s="51">
        <f t="shared" si="8"/>
        <v>12.36</v>
      </c>
      <c r="P134" s="51">
        <f t="shared" si="8"/>
        <v>76.600000000000009</v>
      </c>
      <c r="Q134" s="51">
        <f t="shared" si="8"/>
        <v>35.369999999999997</v>
      </c>
      <c r="R134" s="51">
        <f t="shared" si="8"/>
        <v>39.050000000000004</v>
      </c>
      <c r="S134" s="51">
        <f t="shared" si="8"/>
        <v>0</v>
      </c>
      <c r="T134" s="52">
        <f t="shared" ref="T134:T197" si="9">SUM(F134:S134)</f>
        <v>221.24</v>
      </c>
      <c r="U134" s="9"/>
      <c r="V134" s="1"/>
      <c r="W134" s="1"/>
      <c r="X134" s="1"/>
      <c r="Y134" s="1"/>
      <c r="Z134" s="1"/>
    </row>
    <row r="135" spans="1:26" ht="39.75" customHeight="1">
      <c r="A135" s="175" t="s">
        <v>245</v>
      </c>
      <c r="B135" s="168" t="s">
        <v>246</v>
      </c>
      <c r="C135" s="168" t="s">
        <v>247</v>
      </c>
      <c r="D135" s="5">
        <v>127</v>
      </c>
      <c r="E135" s="5" t="s">
        <v>248</v>
      </c>
      <c r="F135" s="98"/>
      <c r="G135" s="98"/>
      <c r="H135" s="98"/>
      <c r="I135" s="98"/>
      <c r="J135" s="98"/>
      <c r="K135" s="98"/>
      <c r="L135" s="98"/>
      <c r="M135" s="98"/>
      <c r="N135" s="98"/>
      <c r="O135" s="98"/>
      <c r="P135" s="98"/>
      <c r="Q135" s="98"/>
      <c r="R135" s="98"/>
      <c r="S135" s="98"/>
      <c r="T135" s="99">
        <f t="shared" si="9"/>
        <v>0</v>
      </c>
      <c r="U135" s="100"/>
      <c r="V135" s="1"/>
      <c r="W135" s="1"/>
      <c r="X135" s="1"/>
      <c r="Y135" s="1"/>
      <c r="Z135" s="1"/>
    </row>
    <row r="136" spans="1:26" ht="39.75" customHeight="1">
      <c r="A136" s="171"/>
      <c r="B136" s="169"/>
      <c r="C136" s="169"/>
      <c r="D136" s="5">
        <v>128</v>
      </c>
      <c r="E136" s="5" t="s">
        <v>249</v>
      </c>
      <c r="F136" s="98"/>
      <c r="G136" s="98"/>
      <c r="H136" s="98"/>
      <c r="I136" s="98"/>
      <c r="J136" s="98"/>
      <c r="K136" s="99"/>
      <c r="L136" s="98"/>
      <c r="M136" s="98"/>
      <c r="N136" s="99"/>
      <c r="O136" s="98"/>
      <c r="P136" s="99"/>
      <c r="Q136" s="99">
        <f>(6*0.75)+(6*0.1)</f>
        <v>5.0999999999999996</v>
      </c>
      <c r="R136" s="98"/>
      <c r="S136" s="98"/>
      <c r="T136" s="99">
        <f t="shared" si="9"/>
        <v>5.0999999999999996</v>
      </c>
      <c r="U136" s="101" t="s">
        <v>662</v>
      </c>
      <c r="V136" s="1"/>
      <c r="W136" s="1"/>
      <c r="X136" s="1"/>
      <c r="Y136" s="1"/>
      <c r="Z136" s="1"/>
    </row>
    <row r="137" spans="1:26" ht="39.75" customHeight="1">
      <c r="A137" s="171"/>
      <c r="B137" s="28"/>
      <c r="C137" s="28"/>
      <c r="D137" s="5">
        <v>129</v>
      </c>
      <c r="E137" s="5" t="s">
        <v>250</v>
      </c>
      <c r="F137" s="98"/>
      <c r="G137" s="98"/>
      <c r="H137" s="98"/>
      <c r="I137" s="98"/>
      <c r="J137" s="98"/>
      <c r="K137" s="98"/>
      <c r="L137" s="98"/>
      <c r="M137" s="98"/>
      <c r="N137" s="98"/>
      <c r="O137" s="98"/>
      <c r="P137" s="98"/>
      <c r="Q137" s="98"/>
      <c r="R137" s="98"/>
      <c r="S137" s="98"/>
      <c r="T137" s="99">
        <f t="shared" si="9"/>
        <v>0</v>
      </c>
      <c r="U137" s="100"/>
      <c r="V137" s="1"/>
      <c r="W137" s="1"/>
      <c r="X137" s="1"/>
      <c r="Y137" s="1"/>
      <c r="Z137" s="1"/>
    </row>
    <row r="138" spans="1:26" ht="39.75" customHeight="1">
      <c r="A138" s="171"/>
      <c r="B138" s="168" t="s">
        <v>251</v>
      </c>
      <c r="C138" s="168" t="s">
        <v>252</v>
      </c>
      <c r="D138" s="5">
        <v>130</v>
      </c>
      <c r="E138" s="5" t="s">
        <v>253</v>
      </c>
      <c r="F138" s="98"/>
      <c r="G138" s="98"/>
      <c r="H138" s="98"/>
      <c r="I138" s="98"/>
      <c r="J138" s="98"/>
      <c r="K138" s="98"/>
      <c r="L138" s="98"/>
      <c r="M138" s="98"/>
      <c r="N138" s="98"/>
      <c r="O138" s="98"/>
      <c r="P138" s="98"/>
      <c r="Q138" s="98"/>
      <c r="R138" s="98"/>
      <c r="S138" s="98"/>
      <c r="T138" s="99">
        <f t="shared" si="9"/>
        <v>0</v>
      </c>
      <c r="U138" s="100"/>
      <c r="V138" s="1"/>
      <c r="W138" s="1"/>
      <c r="X138" s="1"/>
      <c r="Y138" s="1"/>
      <c r="Z138" s="1"/>
    </row>
    <row r="139" spans="1:26" ht="39.75" customHeight="1">
      <c r="A139" s="171"/>
      <c r="B139" s="171"/>
      <c r="C139" s="171"/>
      <c r="D139" s="5">
        <v>131</v>
      </c>
      <c r="E139" s="5" t="s">
        <v>254</v>
      </c>
      <c r="F139" s="98"/>
      <c r="G139" s="98"/>
      <c r="H139" s="98"/>
      <c r="I139" s="98"/>
      <c r="J139" s="98"/>
      <c r="K139" s="98"/>
      <c r="L139" s="98"/>
      <c r="M139" s="98"/>
      <c r="N139" s="99">
        <f>0.01*103</f>
        <v>1.03</v>
      </c>
      <c r="O139" s="98"/>
      <c r="P139" s="98"/>
      <c r="Q139" s="98"/>
      <c r="R139" s="98"/>
      <c r="S139" s="98"/>
      <c r="T139" s="99">
        <f t="shared" si="9"/>
        <v>1.03</v>
      </c>
      <c r="U139" s="102" t="s">
        <v>667</v>
      </c>
      <c r="V139" s="1"/>
      <c r="W139" s="1"/>
      <c r="X139" s="1"/>
      <c r="Y139" s="1"/>
      <c r="Z139" s="1"/>
    </row>
    <row r="140" spans="1:26" ht="39.75" customHeight="1">
      <c r="A140" s="171"/>
      <c r="B140" s="171"/>
      <c r="C140" s="171"/>
      <c r="D140" s="5">
        <v>132</v>
      </c>
      <c r="E140" s="5" t="s">
        <v>255</v>
      </c>
      <c r="F140" s="98"/>
      <c r="G140" s="98"/>
      <c r="H140" s="98"/>
      <c r="I140" s="98"/>
      <c r="J140" s="98"/>
      <c r="K140" s="98"/>
      <c r="L140" s="98"/>
      <c r="M140" s="98"/>
      <c r="N140" s="98"/>
      <c r="O140" s="98"/>
      <c r="P140" s="98"/>
      <c r="Q140" s="98"/>
      <c r="R140" s="98"/>
      <c r="S140" s="98"/>
      <c r="T140" s="99">
        <f t="shared" si="9"/>
        <v>0</v>
      </c>
      <c r="U140" s="100"/>
      <c r="V140" s="1"/>
      <c r="W140" s="1"/>
      <c r="X140" s="1"/>
      <c r="Y140" s="1"/>
      <c r="Z140" s="1"/>
    </row>
    <row r="141" spans="1:26" ht="39.75" customHeight="1">
      <c r="A141" s="171"/>
      <c r="B141" s="171"/>
      <c r="C141" s="171"/>
      <c r="D141" s="5">
        <v>133</v>
      </c>
      <c r="E141" s="5" t="s">
        <v>256</v>
      </c>
      <c r="F141" s="98"/>
      <c r="G141" s="98"/>
      <c r="H141" s="98"/>
      <c r="I141" s="98"/>
      <c r="J141" s="98"/>
      <c r="K141" s="98"/>
      <c r="L141" s="98"/>
      <c r="M141" s="98"/>
      <c r="N141" s="98"/>
      <c r="O141" s="98"/>
      <c r="P141" s="98"/>
      <c r="Q141" s="98"/>
      <c r="R141" s="98"/>
      <c r="S141" s="98"/>
      <c r="T141" s="99">
        <f t="shared" si="9"/>
        <v>0</v>
      </c>
      <c r="U141" s="100"/>
      <c r="V141" s="1"/>
      <c r="W141" s="1"/>
      <c r="X141" s="1"/>
      <c r="Y141" s="1"/>
      <c r="Z141" s="1"/>
    </row>
    <row r="142" spans="1:26" ht="39.75" customHeight="1">
      <c r="A142" s="171"/>
      <c r="B142" s="171"/>
      <c r="C142" s="171"/>
      <c r="D142" s="5">
        <v>134</v>
      </c>
      <c r="E142" s="5" t="s">
        <v>257</v>
      </c>
      <c r="F142" s="98"/>
      <c r="G142" s="98"/>
      <c r="H142" s="98"/>
      <c r="I142" s="98"/>
      <c r="J142" s="98"/>
      <c r="K142" s="98"/>
      <c r="L142" s="98"/>
      <c r="M142" s="98"/>
      <c r="N142" s="98"/>
      <c r="O142" s="98"/>
      <c r="P142" s="99">
        <f>(20*0.005*12)+(20*0.0025*12)+(6*4*0.1)</f>
        <v>4.2000000000000011</v>
      </c>
      <c r="Q142" s="98"/>
      <c r="R142" s="98"/>
      <c r="S142" s="98"/>
      <c r="T142" s="99">
        <f t="shared" si="9"/>
        <v>4.2000000000000011</v>
      </c>
      <c r="U142" s="100" t="s">
        <v>258</v>
      </c>
      <c r="V142" s="1"/>
      <c r="W142" s="1"/>
      <c r="X142" s="1"/>
      <c r="Y142" s="1"/>
      <c r="Z142" s="1"/>
    </row>
    <row r="143" spans="1:26" ht="39.75" customHeight="1">
      <c r="A143" s="171"/>
      <c r="B143" s="171"/>
      <c r="C143" s="171"/>
      <c r="D143" s="5">
        <v>135</v>
      </c>
      <c r="E143" s="5" t="s">
        <v>259</v>
      </c>
      <c r="F143" s="98"/>
      <c r="G143" s="98"/>
      <c r="H143" s="98"/>
      <c r="I143" s="98"/>
      <c r="J143" s="98"/>
      <c r="K143" s="98"/>
      <c r="L143" s="98"/>
      <c r="M143" s="98"/>
      <c r="N143" s="98"/>
      <c r="O143" s="98"/>
      <c r="P143" s="98"/>
      <c r="Q143" s="98"/>
      <c r="R143" s="98"/>
      <c r="S143" s="98"/>
      <c r="T143" s="99">
        <f t="shared" si="9"/>
        <v>0</v>
      </c>
      <c r="U143" s="100"/>
      <c r="V143" s="1"/>
      <c r="W143" s="1"/>
      <c r="X143" s="1"/>
      <c r="Y143" s="1"/>
      <c r="Z143" s="1"/>
    </row>
    <row r="144" spans="1:26" ht="39.75" customHeight="1">
      <c r="A144" s="171"/>
      <c r="B144" s="169"/>
      <c r="C144" s="169"/>
      <c r="D144" s="5">
        <v>136</v>
      </c>
      <c r="E144" s="5" t="s">
        <v>260</v>
      </c>
      <c r="F144" s="98"/>
      <c r="G144" s="98"/>
      <c r="H144" s="98"/>
      <c r="I144" s="98"/>
      <c r="J144" s="98"/>
      <c r="K144" s="98"/>
      <c r="L144" s="98"/>
      <c r="M144" s="98"/>
      <c r="N144" s="98"/>
      <c r="O144" s="98"/>
      <c r="P144" s="99"/>
      <c r="Q144" s="98"/>
      <c r="R144" s="98"/>
      <c r="S144" s="98"/>
      <c r="T144" s="99">
        <f t="shared" si="9"/>
        <v>0</v>
      </c>
      <c r="U144" s="101"/>
      <c r="V144" s="1"/>
      <c r="W144" s="1"/>
      <c r="X144" s="1"/>
      <c r="Y144" s="1"/>
      <c r="Z144" s="1"/>
    </row>
    <row r="145" spans="1:26" ht="39.75" customHeight="1">
      <c r="A145" s="171"/>
      <c r="B145" s="168" t="s">
        <v>261</v>
      </c>
      <c r="C145" s="168" t="s">
        <v>262</v>
      </c>
      <c r="D145" s="5">
        <v>137</v>
      </c>
      <c r="E145" s="5" t="s">
        <v>263</v>
      </c>
      <c r="F145" s="98"/>
      <c r="G145" s="98"/>
      <c r="H145" s="98"/>
      <c r="I145" s="98"/>
      <c r="J145" s="98"/>
      <c r="K145" s="98"/>
      <c r="L145" s="98"/>
      <c r="M145" s="99"/>
      <c r="N145" s="98"/>
      <c r="O145" s="98"/>
      <c r="P145" s="99">
        <f>0.24*6</f>
        <v>1.44</v>
      </c>
      <c r="Q145" s="98"/>
      <c r="R145" s="98"/>
      <c r="S145" s="98"/>
      <c r="T145" s="99">
        <f t="shared" si="9"/>
        <v>1.44</v>
      </c>
      <c r="U145" s="101" t="s">
        <v>264</v>
      </c>
      <c r="V145" s="1"/>
      <c r="W145" s="1"/>
      <c r="X145" s="1"/>
      <c r="Y145" s="1"/>
      <c r="Z145" s="1"/>
    </row>
    <row r="146" spans="1:26" ht="39.75" customHeight="1">
      <c r="A146" s="171"/>
      <c r="B146" s="169"/>
      <c r="C146" s="169"/>
      <c r="D146" s="5">
        <v>138</v>
      </c>
      <c r="E146" s="5" t="s">
        <v>265</v>
      </c>
      <c r="F146" s="103"/>
      <c r="G146" s="103"/>
      <c r="H146" s="104"/>
      <c r="I146" s="104"/>
      <c r="J146" s="103"/>
      <c r="K146" s="104"/>
      <c r="L146" s="103"/>
      <c r="M146" s="104"/>
      <c r="N146" s="103"/>
      <c r="O146" s="103"/>
      <c r="P146" s="103"/>
      <c r="Q146" s="103"/>
      <c r="R146" s="103"/>
      <c r="S146" s="103"/>
      <c r="T146" s="104">
        <f t="shared" si="9"/>
        <v>0</v>
      </c>
      <c r="U146" s="105"/>
      <c r="V146" s="1"/>
      <c r="W146" s="1"/>
      <c r="X146" s="1"/>
      <c r="Y146" s="1"/>
      <c r="Z146" s="1"/>
    </row>
    <row r="147" spans="1:26" ht="39.75" customHeight="1">
      <c r="A147" s="171"/>
      <c r="B147" s="168" t="s">
        <v>266</v>
      </c>
      <c r="C147" s="168" t="s">
        <v>267</v>
      </c>
      <c r="D147" s="5">
        <v>139</v>
      </c>
      <c r="E147" s="5" t="s">
        <v>268</v>
      </c>
      <c r="F147" s="98"/>
      <c r="G147" s="98"/>
      <c r="H147" s="98"/>
      <c r="I147" s="98"/>
      <c r="J147" s="98"/>
      <c r="K147" s="98"/>
      <c r="L147" s="98"/>
      <c r="M147" s="98"/>
      <c r="N147" s="99"/>
      <c r="O147" s="98"/>
      <c r="P147" s="99">
        <v>6</v>
      </c>
      <c r="Q147" s="98"/>
      <c r="R147" s="99"/>
      <c r="S147" s="98"/>
      <c r="T147" s="99">
        <f t="shared" si="9"/>
        <v>6</v>
      </c>
      <c r="U147" s="101" t="s">
        <v>668</v>
      </c>
      <c r="V147" s="1"/>
      <c r="W147" s="1"/>
      <c r="X147" s="1"/>
      <c r="Y147" s="1"/>
      <c r="Z147" s="1"/>
    </row>
    <row r="148" spans="1:26" ht="39.75" customHeight="1">
      <c r="A148" s="171"/>
      <c r="B148" s="171"/>
      <c r="C148" s="171"/>
      <c r="D148" s="5">
        <v>140</v>
      </c>
      <c r="E148" s="5" t="s">
        <v>269</v>
      </c>
      <c r="F148" s="98"/>
      <c r="G148" s="98"/>
      <c r="H148" s="98"/>
      <c r="I148" s="98"/>
      <c r="J148" s="98"/>
      <c r="K148" s="98"/>
      <c r="L148" s="98"/>
      <c r="M148" s="98"/>
      <c r="N148" s="98"/>
      <c r="O148" s="98"/>
      <c r="P148" s="99">
        <f>6+(6*0.055)+(0.08*3)</f>
        <v>6.57</v>
      </c>
      <c r="Q148" s="98"/>
      <c r="R148" s="98"/>
      <c r="S148" s="98"/>
      <c r="T148" s="99">
        <f t="shared" si="9"/>
        <v>6.57</v>
      </c>
      <c r="U148" s="101" t="s">
        <v>666</v>
      </c>
      <c r="V148" s="1"/>
      <c r="W148" s="1"/>
      <c r="X148" s="1"/>
      <c r="Y148" s="1"/>
      <c r="Z148" s="1"/>
    </row>
    <row r="149" spans="1:26" ht="39.75" customHeight="1">
      <c r="A149" s="171"/>
      <c r="B149" s="169"/>
      <c r="C149" s="169"/>
      <c r="D149" s="5">
        <v>141</v>
      </c>
      <c r="E149" s="5" t="s">
        <v>270</v>
      </c>
      <c r="F149" s="98"/>
      <c r="G149" s="98"/>
      <c r="H149" s="98"/>
      <c r="I149" s="98"/>
      <c r="J149" s="98"/>
      <c r="K149" s="98"/>
      <c r="L149" s="98"/>
      <c r="M149" s="98"/>
      <c r="N149" s="98"/>
      <c r="O149" s="98"/>
      <c r="P149" s="98"/>
      <c r="Q149" s="98"/>
      <c r="R149" s="98"/>
      <c r="S149" s="98"/>
      <c r="T149" s="99">
        <f t="shared" si="9"/>
        <v>0</v>
      </c>
      <c r="U149" s="100"/>
      <c r="V149" s="1"/>
      <c r="W149" s="1"/>
      <c r="X149" s="1"/>
      <c r="Y149" s="1"/>
      <c r="Z149" s="1"/>
    </row>
    <row r="150" spans="1:26" ht="39.75" customHeight="1">
      <c r="A150" s="171"/>
      <c r="B150" s="168" t="s">
        <v>271</v>
      </c>
      <c r="C150" s="168" t="s">
        <v>272</v>
      </c>
      <c r="D150" s="5">
        <v>142</v>
      </c>
      <c r="E150" s="5" t="s">
        <v>273</v>
      </c>
      <c r="F150" s="98"/>
      <c r="G150" s="98"/>
      <c r="H150" s="98"/>
      <c r="I150" s="98"/>
      <c r="J150" s="98"/>
      <c r="K150" s="98"/>
      <c r="L150" s="98"/>
      <c r="M150" s="98"/>
      <c r="N150" s="98"/>
      <c r="O150" s="98"/>
      <c r="P150" s="98"/>
      <c r="Q150" s="98"/>
      <c r="R150" s="98">
        <v>232.2</v>
      </c>
      <c r="S150" s="98"/>
      <c r="T150" s="99">
        <f t="shared" si="9"/>
        <v>232.2</v>
      </c>
      <c r="U150" s="100"/>
      <c r="V150" s="1"/>
      <c r="W150" s="1"/>
      <c r="X150" s="1"/>
      <c r="Y150" s="1"/>
      <c r="Z150" s="1"/>
    </row>
    <row r="151" spans="1:26" ht="39.75" customHeight="1">
      <c r="A151" s="171"/>
      <c r="B151" s="171"/>
      <c r="C151" s="171"/>
      <c r="D151" s="5">
        <v>143</v>
      </c>
      <c r="E151" s="5" t="s">
        <v>274</v>
      </c>
      <c r="F151" s="98"/>
      <c r="G151" s="98"/>
      <c r="H151" s="98"/>
      <c r="I151" s="98"/>
      <c r="J151" s="98"/>
      <c r="K151" s="98"/>
      <c r="L151" s="98"/>
      <c r="M151" s="98"/>
      <c r="N151" s="98"/>
      <c r="O151" s="98"/>
      <c r="P151" s="98"/>
      <c r="Q151" s="98"/>
      <c r="R151" s="98"/>
      <c r="S151" s="98"/>
      <c r="T151" s="99">
        <f t="shared" si="9"/>
        <v>0</v>
      </c>
      <c r="U151" s="100"/>
      <c r="V151" s="1"/>
      <c r="W151" s="1"/>
      <c r="X151" s="1"/>
      <c r="Y151" s="1"/>
      <c r="Z151" s="1"/>
    </row>
    <row r="152" spans="1:26" ht="39.75" customHeight="1">
      <c r="A152" s="171"/>
      <c r="B152" s="171"/>
      <c r="C152" s="171"/>
      <c r="D152" s="5">
        <v>144</v>
      </c>
      <c r="E152" s="5" t="s">
        <v>275</v>
      </c>
      <c r="F152" s="98"/>
      <c r="G152" s="98"/>
      <c r="H152" s="98"/>
      <c r="I152" s="98"/>
      <c r="J152" s="98"/>
      <c r="K152" s="98"/>
      <c r="L152" s="98"/>
      <c r="M152" s="98"/>
      <c r="N152" s="98"/>
      <c r="O152" s="98"/>
      <c r="P152" s="98"/>
      <c r="Q152" s="98"/>
      <c r="R152" s="98"/>
      <c r="S152" s="98"/>
      <c r="T152" s="99">
        <f t="shared" si="9"/>
        <v>0</v>
      </c>
      <c r="U152" s="100"/>
      <c r="V152" s="1"/>
      <c r="W152" s="1"/>
      <c r="X152" s="1"/>
      <c r="Y152" s="1"/>
      <c r="Z152" s="1"/>
    </row>
    <row r="153" spans="1:26" ht="39.75" customHeight="1">
      <c r="A153" s="171"/>
      <c r="B153" s="169"/>
      <c r="C153" s="169"/>
      <c r="D153" s="5">
        <v>145</v>
      </c>
      <c r="E153" s="5" t="s">
        <v>276</v>
      </c>
      <c r="F153" s="98"/>
      <c r="G153" s="98"/>
      <c r="H153" s="98"/>
      <c r="I153" s="98"/>
      <c r="J153" s="98"/>
      <c r="K153" s="98"/>
      <c r="L153" s="98"/>
      <c r="M153" s="98"/>
      <c r="N153" s="98"/>
      <c r="O153" s="98"/>
      <c r="P153" s="98"/>
      <c r="Q153" s="98"/>
      <c r="R153" s="98"/>
      <c r="S153" s="98"/>
      <c r="T153" s="99">
        <f t="shared" si="9"/>
        <v>0</v>
      </c>
      <c r="U153" s="100"/>
      <c r="V153" s="1"/>
      <c r="W153" s="1"/>
      <c r="X153" s="1"/>
      <c r="Y153" s="1"/>
      <c r="Z153" s="1"/>
    </row>
    <row r="154" spans="1:26" ht="39.75" customHeight="1">
      <c r="A154" s="171"/>
      <c r="B154" s="5" t="s">
        <v>277</v>
      </c>
      <c r="C154" s="5" t="s">
        <v>278</v>
      </c>
      <c r="D154" s="5">
        <v>146</v>
      </c>
      <c r="E154" s="5" t="s">
        <v>279</v>
      </c>
      <c r="F154" s="98"/>
      <c r="G154" s="98"/>
      <c r="H154" s="98"/>
      <c r="I154" s="98"/>
      <c r="J154" s="98"/>
      <c r="K154" s="98"/>
      <c r="L154" s="98"/>
      <c r="M154" s="98"/>
      <c r="N154" s="98"/>
      <c r="O154" s="98"/>
      <c r="P154" s="98"/>
      <c r="Q154" s="98"/>
      <c r="R154" s="99">
        <v>5.4</v>
      </c>
      <c r="S154" s="98"/>
      <c r="T154" s="99">
        <f t="shared" si="9"/>
        <v>5.4</v>
      </c>
      <c r="U154" s="102" t="s">
        <v>280</v>
      </c>
      <c r="V154" s="1"/>
      <c r="W154" s="1"/>
      <c r="X154" s="1"/>
      <c r="Y154" s="1"/>
      <c r="Z154" s="1"/>
    </row>
    <row r="155" spans="1:26" ht="39.75" customHeight="1">
      <c r="A155" s="171"/>
      <c r="B155" s="5" t="s">
        <v>281</v>
      </c>
      <c r="C155" s="5" t="s">
        <v>282</v>
      </c>
      <c r="D155" s="5">
        <v>147</v>
      </c>
      <c r="E155" s="5" t="s">
        <v>149</v>
      </c>
      <c r="F155" s="98"/>
      <c r="G155" s="98"/>
      <c r="H155" s="98"/>
      <c r="I155" s="98"/>
      <c r="J155" s="98"/>
      <c r="K155" s="98"/>
      <c r="L155" s="98"/>
      <c r="M155" s="98"/>
      <c r="N155" s="98"/>
      <c r="O155" s="98"/>
      <c r="P155" s="98"/>
      <c r="Q155" s="98"/>
      <c r="R155" s="98"/>
      <c r="S155" s="98"/>
      <c r="T155" s="99">
        <f t="shared" si="9"/>
        <v>0</v>
      </c>
      <c r="U155" s="100"/>
      <c r="V155" s="1"/>
      <c r="W155" s="1"/>
      <c r="X155" s="1"/>
      <c r="Y155" s="1"/>
      <c r="Z155" s="1"/>
    </row>
    <row r="156" spans="1:26" ht="39.75" customHeight="1">
      <c r="A156" s="171"/>
      <c r="B156" s="5" t="s">
        <v>283</v>
      </c>
      <c r="C156" s="5" t="s">
        <v>284</v>
      </c>
      <c r="D156" s="5">
        <v>148</v>
      </c>
      <c r="E156" s="5" t="s">
        <v>285</v>
      </c>
      <c r="F156" s="98"/>
      <c r="G156" s="98"/>
      <c r="H156" s="98"/>
      <c r="I156" s="98"/>
      <c r="J156" s="98"/>
      <c r="K156" s="98"/>
      <c r="L156" s="98"/>
      <c r="M156" s="98"/>
      <c r="N156" s="99"/>
      <c r="O156" s="98"/>
      <c r="P156" s="99"/>
      <c r="Q156" s="98"/>
      <c r="R156" s="98"/>
      <c r="S156" s="98"/>
      <c r="T156" s="99">
        <f t="shared" si="9"/>
        <v>0</v>
      </c>
      <c r="U156" s="101"/>
      <c r="V156" s="1"/>
      <c r="W156" s="1"/>
      <c r="X156" s="1"/>
      <c r="Y156" s="1"/>
      <c r="Z156" s="1"/>
    </row>
    <row r="157" spans="1:26" ht="39.75" customHeight="1">
      <c r="A157" s="171"/>
      <c r="B157" s="5" t="s">
        <v>286</v>
      </c>
      <c r="C157" s="5" t="s">
        <v>287</v>
      </c>
      <c r="D157" s="5">
        <v>149</v>
      </c>
      <c r="E157" s="5" t="s">
        <v>288</v>
      </c>
      <c r="F157" s="106"/>
      <c r="G157" s="106"/>
      <c r="H157" s="106"/>
      <c r="I157" s="106"/>
      <c r="J157" s="106"/>
      <c r="K157" s="106"/>
      <c r="L157" s="106"/>
      <c r="M157" s="106"/>
      <c r="N157" s="106"/>
      <c r="O157" s="106"/>
      <c r="P157" s="99">
        <f>(6*1.75)+(0.05*103)</f>
        <v>15.65</v>
      </c>
      <c r="Q157" s="106"/>
      <c r="R157" s="106"/>
      <c r="S157" s="106"/>
      <c r="T157" s="99">
        <f t="shared" si="9"/>
        <v>15.65</v>
      </c>
      <c r="U157" s="101"/>
      <c r="V157" s="1"/>
      <c r="W157" s="1"/>
      <c r="X157" s="1"/>
      <c r="Y157" s="1"/>
      <c r="Z157" s="1"/>
    </row>
    <row r="158" spans="1:26" ht="39.75" customHeight="1">
      <c r="A158" s="169"/>
      <c r="B158" s="176" t="s">
        <v>289</v>
      </c>
      <c r="C158" s="177"/>
      <c r="D158" s="178"/>
      <c r="E158" s="51"/>
      <c r="F158" s="51">
        <f t="shared" ref="F158:S158" si="10">SUM(F135:F157)</f>
        <v>0</v>
      </c>
      <c r="G158" s="51">
        <f t="shared" si="10"/>
        <v>0</v>
      </c>
      <c r="H158" s="51">
        <f t="shared" si="10"/>
        <v>0</v>
      </c>
      <c r="I158" s="51">
        <f t="shared" si="10"/>
        <v>0</v>
      </c>
      <c r="J158" s="51">
        <f t="shared" si="10"/>
        <v>0</v>
      </c>
      <c r="K158" s="51">
        <f t="shared" si="10"/>
        <v>0</v>
      </c>
      <c r="L158" s="51">
        <f t="shared" si="10"/>
        <v>0</v>
      </c>
      <c r="M158" s="51">
        <f t="shared" si="10"/>
        <v>0</v>
      </c>
      <c r="N158" s="51">
        <f t="shared" si="10"/>
        <v>1.03</v>
      </c>
      <c r="O158" s="51">
        <f t="shared" si="10"/>
        <v>0</v>
      </c>
      <c r="P158" s="51">
        <f t="shared" si="10"/>
        <v>33.86</v>
      </c>
      <c r="Q158" s="51">
        <f t="shared" si="10"/>
        <v>5.0999999999999996</v>
      </c>
      <c r="R158" s="51">
        <f t="shared" si="10"/>
        <v>237.6</v>
      </c>
      <c r="S158" s="51">
        <f t="shared" si="10"/>
        <v>0</v>
      </c>
      <c r="T158" s="52">
        <f t="shared" si="9"/>
        <v>277.58999999999997</v>
      </c>
      <c r="U158" s="9"/>
      <c r="V158" s="29"/>
      <c r="W158" s="29"/>
      <c r="X158" s="29"/>
      <c r="Y158" s="29"/>
      <c r="Z158" s="29"/>
    </row>
    <row r="159" spans="1:26" ht="39.75" customHeight="1">
      <c r="A159" s="175" t="s">
        <v>290</v>
      </c>
      <c r="B159" s="168" t="s">
        <v>291</v>
      </c>
      <c r="C159" s="168" t="s">
        <v>247</v>
      </c>
      <c r="D159" s="5">
        <v>150</v>
      </c>
      <c r="E159" s="5" t="s">
        <v>292</v>
      </c>
      <c r="F159" s="5"/>
      <c r="G159" s="8">
        <v>404.25</v>
      </c>
      <c r="H159" s="8">
        <v>539</v>
      </c>
      <c r="I159" s="5"/>
      <c r="J159" s="5"/>
      <c r="K159" s="5"/>
      <c r="L159" s="5"/>
      <c r="M159" s="5"/>
      <c r="N159" s="6">
        <v>2.5</v>
      </c>
      <c r="O159" s="5"/>
      <c r="P159" s="8"/>
      <c r="Q159" s="5"/>
      <c r="R159" s="5"/>
      <c r="S159" s="5"/>
      <c r="T159" s="6">
        <f t="shared" si="9"/>
        <v>945.75</v>
      </c>
      <c r="U159" s="62" t="s">
        <v>376</v>
      </c>
      <c r="V159" s="1"/>
      <c r="W159" s="1"/>
      <c r="X159" s="1"/>
      <c r="Y159" s="1"/>
      <c r="Z159" s="1"/>
    </row>
    <row r="160" spans="1:26" ht="39.75" customHeight="1">
      <c r="A160" s="171"/>
      <c r="B160" s="171"/>
      <c r="C160" s="171"/>
      <c r="D160" s="5">
        <v>151</v>
      </c>
      <c r="E160" s="5" t="s">
        <v>294</v>
      </c>
      <c r="F160" s="5"/>
      <c r="G160" s="8"/>
      <c r="H160" s="8"/>
      <c r="I160" s="6"/>
      <c r="J160" s="5"/>
      <c r="K160" s="5"/>
      <c r="L160" s="5"/>
      <c r="M160" s="5"/>
      <c r="N160" s="6"/>
      <c r="O160" s="8"/>
      <c r="P160" s="8"/>
      <c r="Q160" s="6"/>
      <c r="R160" s="8">
        <v>6</v>
      </c>
      <c r="S160" s="5"/>
      <c r="T160" s="6">
        <f t="shared" si="9"/>
        <v>6</v>
      </c>
      <c r="U160" s="9" t="s">
        <v>640</v>
      </c>
      <c r="V160" s="1"/>
      <c r="W160" s="1"/>
      <c r="X160" s="1"/>
      <c r="Y160" s="1"/>
      <c r="Z160" s="1"/>
    </row>
    <row r="161" spans="1:26" ht="39.75" customHeight="1">
      <c r="A161" s="171"/>
      <c r="B161" s="171"/>
      <c r="C161" s="171"/>
      <c r="D161" s="5">
        <v>152</v>
      </c>
      <c r="E161" s="5" t="s">
        <v>295</v>
      </c>
      <c r="F161" s="5"/>
      <c r="G161" s="5"/>
      <c r="H161" s="5"/>
      <c r="I161" s="5"/>
      <c r="J161" s="5"/>
      <c r="K161" s="5"/>
      <c r="L161" s="5"/>
      <c r="M161" s="5"/>
      <c r="N161" s="5"/>
      <c r="O161" s="5"/>
      <c r="P161" s="8">
        <v>25</v>
      </c>
      <c r="Q161" s="5"/>
      <c r="R161" s="5"/>
      <c r="S161" s="5"/>
      <c r="T161" s="6">
        <f t="shared" si="9"/>
        <v>25</v>
      </c>
      <c r="U161" s="9" t="s">
        <v>296</v>
      </c>
      <c r="V161" s="1"/>
      <c r="W161" s="1"/>
      <c r="X161" s="1"/>
      <c r="Y161" s="1"/>
      <c r="Z161" s="1"/>
    </row>
    <row r="162" spans="1:26" ht="39.75" customHeight="1">
      <c r="A162" s="171"/>
      <c r="B162" s="179"/>
      <c r="C162" s="179"/>
      <c r="D162" s="5">
        <v>153</v>
      </c>
      <c r="E162" s="5" t="s">
        <v>297</v>
      </c>
      <c r="F162" s="24"/>
      <c r="G162" s="24"/>
      <c r="H162" s="24"/>
      <c r="I162" s="24"/>
      <c r="J162" s="24"/>
      <c r="K162" s="24"/>
      <c r="L162" s="24"/>
      <c r="M162" s="24"/>
      <c r="N162" s="6"/>
      <c r="O162" s="24"/>
      <c r="P162" s="24"/>
      <c r="Q162" s="24"/>
      <c r="R162" s="24"/>
      <c r="S162" s="24"/>
      <c r="T162" s="6">
        <f t="shared" si="9"/>
        <v>0</v>
      </c>
      <c r="U162" s="9" t="s">
        <v>298</v>
      </c>
      <c r="V162" s="1"/>
      <c r="W162" s="1"/>
      <c r="X162" s="1"/>
      <c r="Y162" s="1"/>
      <c r="Z162" s="1"/>
    </row>
    <row r="163" spans="1:26" ht="39.75" customHeight="1">
      <c r="A163" s="171"/>
      <c r="B163" s="168" t="s">
        <v>299</v>
      </c>
      <c r="C163" s="168" t="s">
        <v>300</v>
      </c>
      <c r="D163" s="5">
        <v>154</v>
      </c>
      <c r="E163" s="5" t="s">
        <v>301</v>
      </c>
      <c r="F163" s="5"/>
      <c r="G163" s="5"/>
      <c r="H163" s="5"/>
      <c r="I163" s="5"/>
      <c r="J163" s="5"/>
      <c r="K163" s="6"/>
      <c r="L163" s="5"/>
      <c r="M163" s="6"/>
      <c r="N163" s="5"/>
      <c r="O163" s="5"/>
      <c r="P163" s="5"/>
      <c r="Q163" s="8"/>
      <c r="R163" s="5"/>
      <c r="S163" s="5"/>
      <c r="T163" s="6">
        <f t="shared" si="9"/>
        <v>0</v>
      </c>
      <c r="U163" s="9"/>
      <c r="V163" s="1"/>
      <c r="W163" s="1"/>
      <c r="X163" s="1"/>
      <c r="Y163" s="1"/>
      <c r="Z163" s="1"/>
    </row>
    <row r="164" spans="1:26" ht="39.75" customHeight="1">
      <c r="A164" s="171"/>
      <c r="B164" s="171"/>
      <c r="C164" s="171"/>
      <c r="D164" s="5">
        <v>155</v>
      </c>
      <c r="E164" s="5" t="s">
        <v>302</v>
      </c>
      <c r="F164" s="5"/>
      <c r="G164" s="5"/>
      <c r="H164" s="5"/>
      <c r="I164" s="5"/>
      <c r="J164" s="5"/>
      <c r="K164" s="5"/>
      <c r="L164" s="5"/>
      <c r="M164" s="5"/>
      <c r="N164" s="5"/>
      <c r="O164" s="5"/>
      <c r="P164" s="8"/>
      <c r="Q164" s="5"/>
      <c r="R164" s="5"/>
      <c r="S164" s="5"/>
      <c r="T164" s="6">
        <f t="shared" si="9"/>
        <v>0</v>
      </c>
      <c r="U164" s="9"/>
      <c r="V164" s="1"/>
      <c r="W164" s="1"/>
      <c r="X164" s="1"/>
      <c r="Y164" s="1"/>
      <c r="Z164" s="1"/>
    </row>
    <row r="165" spans="1:26" ht="39.75" customHeight="1">
      <c r="A165" s="171"/>
      <c r="B165" s="171"/>
      <c r="C165" s="171"/>
      <c r="D165" s="5">
        <v>156</v>
      </c>
      <c r="E165" s="5" t="s">
        <v>303</v>
      </c>
      <c r="F165" s="5"/>
      <c r="G165" s="5"/>
      <c r="H165" s="8"/>
      <c r="I165" s="6"/>
      <c r="J165" s="5"/>
      <c r="K165" s="5"/>
      <c r="L165" s="5"/>
      <c r="M165" s="5"/>
      <c r="N165" s="5"/>
      <c r="O165" s="5"/>
      <c r="P165" s="8">
        <v>1.6</v>
      </c>
      <c r="Q165" s="5"/>
      <c r="R165" s="5"/>
      <c r="S165" s="5"/>
      <c r="T165" s="6">
        <f t="shared" si="9"/>
        <v>1.6</v>
      </c>
      <c r="U165" s="9"/>
      <c r="V165" s="1"/>
      <c r="W165" s="1"/>
      <c r="X165" s="1"/>
      <c r="Y165" s="1"/>
      <c r="Z165" s="1"/>
    </row>
    <row r="166" spans="1:26" ht="39.75" customHeight="1">
      <c r="A166" s="171"/>
      <c r="B166" s="171"/>
      <c r="C166" s="171"/>
      <c r="D166" s="5">
        <v>157</v>
      </c>
      <c r="E166" s="5" t="s">
        <v>304</v>
      </c>
      <c r="F166" s="5"/>
      <c r="G166" s="5"/>
      <c r="H166" s="5"/>
      <c r="I166" s="5"/>
      <c r="J166" s="5"/>
      <c r="K166" s="5"/>
      <c r="L166" s="5"/>
      <c r="M166" s="5"/>
      <c r="N166" s="5"/>
      <c r="O166" s="5"/>
      <c r="P166" s="5"/>
      <c r="Q166" s="5"/>
      <c r="R166" s="5"/>
      <c r="S166" s="5"/>
      <c r="T166" s="6">
        <f t="shared" si="9"/>
        <v>0</v>
      </c>
      <c r="U166" s="9"/>
      <c r="V166" s="1"/>
      <c r="W166" s="1"/>
      <c r="X166" s="1"/>
      <c r="Y166" s="1"/>
      <c r="Z166" s="1"/>
    </row>
    <row r="167" spans="1:26" ht="39.75" customHeight="1">
      <c r="A167" s="171"/>
      <c r="B167" s="169"/>
      <c r="C167" s="169"/>
      <c r="D167" s="5">
        <v>158</v>
      </c>
      <c r="E167" s="5" t="s">
        <v>305</v>
      </c>
      <c r="F167" s="5"/>
      <c r="G167" s="5"/>
      <c r="H167" s="5"/>
      <c r="I167" s="5"/>
      <c r="J167" s="5"/>
      <c r="K167" s="5"/>
      <c r="L167" s="5"/>
      <c r="M167" s="5"/>
      <c r="N167" s="5"/>
      <c r="O167" s="5"/>
      <c r="P167" s="5"/>
      <c r="Q167" s="6"/>
      <c r="R167" s="5"/>
      <c r="S167" s="5"/>
      <c r="T167" s="6">
        <f t="shared" si="9"/>
        <v>0</v>
      </c>
      <c r="U167" s="9"/>
      <c r="V167" s="1"/>
      <c r="W167" s="1"/>
      <c r="X167" s="1"/>
      <c r="Y167" s="1"/>
      <c r="Z167" s="1"/>
    </row>
    <row r="168" spans="1:26" ht="39.75" customHeight="1">
      <c r="A168" s="171"/>
      <c r="B168" s="168" t="s">
        <v>306</v>
      </c>
      <c r="C168" s="168" t="s">
        <v>252</v>
      </c>
      <c r="D168" s="5">
        <v>159</v>
      </c>
      <c r="E168" s="5" t="s">
        <v>253</v>
      </c>
      <c r="F168" s="5"/>
      <c r="G168" s="5"/>
      <c r="H168" s="5"/>
      <c r="I168" s="5"/>
      <c r="J168" s="5"/>
      <c r="K168" s="6"/>
      <c r="L168" s="5"/>
      <c r="M168" s="5"/>
      <c r="N168" s="8">
        <v>28.11</v>
      </c>
      <c r="O168" s="8">
        <v>543.84</v>
      </c>
      <c r="P168" s="8">
        <v>53.88</v>
      </c>
      <c r="Q168" s="6">
        <v>2.06</v>
      </c>
      <c r="R168" s="5"/>
      <c r="S168" s="5"/>
      <c r="T168" s="6">
        <f t="shared" si="9"/>
        <v>627.89</v>
      </c>
      <c r="U168" s="9" t="s">
        <v>377</v>
      </c>
      <c r="V168" s="1"/>
      <c r="W168" s="1"/>
      <c r="X168" s="1"/>
      <c r="Y168" s="1"/>
      <c r="Z168" s="1"/>
    </row>
    <row r="169" spans="1:26" ht="39.75" customHeight="1">
      <c r="A169" s="171"/>
      <c r="B169" s="171"/>
      <c r="C169" s="171"/>
      <c r="D169" s="5">
        <v>160</v>
      </c>
      <c r="E169" s="5" t="s">
        <v>308</v>
      </c>
      <c r="F169" s="5"/>
      <c r="G169" s="5"/>
      <c r="H169" s="5"/>
      <c r="I169" s="5"/>
      <c r="J169" s="5"/>
      <c r="K169" s="5"/>
      <c r="L169" s="5"/>
      <c r="M169" s="5"/>
      <c r="N169" s="5"/>
      <c r="O169" s="5"/>
      <c r="P169" s="5"/>
      <c r="Q169" s="5"/>
      <c r="R169" s="5"/>
      <c r="S169" s="5"/>
      <c r="T169" s="6">
        <f t="shared" si="9"/>
        <v>0</v>
      </c>
      <c r="U169" s="9"/>
      <c r="V169" s="1"/>
      <c r="W169" s="1"/>
      <c r="X169" s="1"/>
      <c r="Y169" s="1"/>
      <c r="Z169" s="1"/>
    </row>
    <row r="170" spans="1:26" ht="39.75" customHeight="1">
      <c r="A170" s="171"/>
      <c r="B170" s="171"/>
      <c r="C170" s="171"/>
      <c r="D170" s="5">
        <v>161</v>
      </c>
      <c r="E170" s="5" t="s">
        <v>255</v>
      </c>
      <c r="F170" s="5"/>
      <c r="G170" s="5"/>
      <c r="H170" s="5"/>
      <c r="I170" s="5"/>
      <c r="J170" s="5"/>
      <c r="K170" s="5"/>
      <c r="L170" s="5"/>
      <c r="M170" s="5"/>
      <c r="N170" s="5"/>
      <c r="O170" s="5"/>
      <c r="P170" s="5"/>
      <c r="Q170" s="5"/>
      <c r="R170" s="5"/>
      <c r="S170" s="5"/>
      <c r="T170" s="6">
        <f t="shared" si="9"/>
        <v>0</v>
      </c>
      <c r="U170" s="9"/>
      <c r="V170" s="1"/>
      <c r="W170" s="1"/>
      <c r="X170" s="1"/>
      <c r="Y170" s="1"/>
      <c r="Z170" s="1"/>
    </row>
    <row r="171" spans="1:26" ht="39.75" customHeight="1">
      <c r="A171" s="171"/>
      <c r="B171" s="171"/>
      <c r="C171" s="171"/>
      <c r="D171" s="5">
        <v>162</v>
      </c>
      <c r="E171" s="5" t="s">
        <v>256</v>
      </c>
      <c r="F171" s="5"/>
      <c r="G171" s="5"/>
      <c r="H171" s="5"/>
      <c r="I171" s="5"/>
      <c r="J171" s="5"/>
      <c r="K171" s="5"/>
      <c r="L171" s="5"/>
      <c r="M171" s="5"/>
      <c r="N171" s="5"/>
      <c r="O171" s="5"/>
      <c r="P171" s="5"/>
      <c r="Q171" s="5"/>
      <c r="R171" s="5"/>
      <c r="S171" s="5"/>
      <c r="T171" s="6">
        <f t="shared" si="9"/>
        <v>0</v>
      </c>
      <c r="U171" s="9"/>
      <c r="V171" s="1"/>
      <c r="W171" s="1"/>
      <c r="X171" s="1"/>
      <c r="Y171" s="1"/>
      <c r="Z171" s="1"/>
    </row>
    <row r="172" spans="1:26" ht="39.75" customHeight="1">
      <c r="A172" s="171"/>
      <c r="B172" s="169"/>
      <c r="C172" s="169"/>
      <c r="D172" s="5">
        <v>163</v>
      </c>
      <c r="E172" s="5" t="s">
        <v>309</v>
      </c>
      <c r="F172" s="5"/>
      <c r="G172" s="5"/>
      <c r="H172" s="5"/>
      <c r="I172" s="5"/>
      <c r="J172" s="5"/>
      <c r="K172" s="5"/>
      <c r="L172" s="5"/>
      <c r="M172" s="5"/>
      <c r="N172" s="5"/>
      <c r="O172" s="8"/>
      <c r="P172" s="8">
        <v>1.7</v>
      </c>
      <c r="Q172" s="6">
        <v>2.25</v>
      </c>
      <c r="R172" s="5"/>
      <c r="S172" s="5"/>
      <c r="T172" s="6">
        <f t="shared" si="9"/>
        <v>3.95</v>
      </c>
      <c r="U172" s="9" t="s">
        <v>310</v>
      </c>
      <c r="V172" s="1"/>
      <c r="W172" s="1"/>
      <c r="X172" s="1"/>
      <c r="Y172" s="1"/>
      <c r="Z172" s="1"/>
    </row>
    <row r="173" spans="1:26" ht="39.75" customHeight="1">
      <c r="A173" s="171"/>
      <c r="B173" s="168" t="s">
        <v>311</v>
      </c>
      <c r="C173" s="168" t="s">
        <v>312</v>
      </c>
      <c r="D173" s="5">
        <v>164</v>
      </c>
      <c r="E173" s="5" t="s">
        <v>313</v>
      </c>
      <c r="F173" s="5"/>
      <c r="G173" s="8"/>
      <c r="H173" s="8"/>
      <c r="I173" s="5"/>
      <c r="J173" s="5"/>
      <c r="K173" s="5"/>
      <c r="L173" s="5"/>
      <c r="M173" s="5"/>
      <c r="N173" s="5"/>
      <c r="O173" s="5"/>
      <c r="P173" s="5"/>
      <c r="Q173" s="5"/>
      <c r="R173" s="5"/>
      <c r="S173" s="5"/>
      <c r="T173" s="6">
        <f t="shared" si="9"/>
        <v>0</v>
      </c>
      <c r="U173" s="9"/>
      <c r="V173" s="1"/>
      <c r="W173" s="1"/>
      <c r="X173" s="1"/>
      <c r="Y173" s="1"/>
      <c r="Z173" s="1"/>
    </row>
    <row r="174" spans="1:26" ht="39.75" customHeight="1">
      <c r="A174" s="171"/>
      <c r="B174" s="171"/>
      <c r="C174" s="171"/>
      <c r="D174" s="5">
        <v>165</v>
      </c>
      <c r="E174" s="5" t="s">
        <v>314</v>
      </c>
      <c r="F174" s="5"/>
      <c r="G174" s="8"/>
      <c r="H174" s="8"/>
      <c r="I174" s="5"/>
      <c r="J174" s="5"/>
      <c r="K174" s="5"/>
      <c r="L174" s="5"/>
      <c r="M174" s="5"/>
      <c r="N174" s="5"/>
      <c r="O174" s="5"/>
      <c r="P174" s="5"/>
      <c r="Q174" s="5"/>
      <c r="R174" s="5"/>
      <c r="S174" s="5"/>
      <c r="T174" s="6">
        <f t="shared" si="9"/>
        <v>0</v>
      </c>
      <c r="U174" s="9"/>
      <c r="V174" s="1"/>
      <c r="W174" s="1"/>
      <c r="X174" s="1"/>
      <c r="Y174" s="1"/>
      <c r="Z174" s="1"/>
    </row>
    <row r="175" spans="1:26" ht="39.75" customHeight="1">
      <c r="A175" s="171"/>
      <c r="B175" s="171"/>
      <c r="C175" s="171"/>
      <c r="D175" s="5">
        <v>166</v>
      </c>
      <c r="E175" s="5" t="s">
        <v>315</v>
      </c>
      <c r="F175" s="5"/>
      <c r="G175" s="8"/>
      <c r="H175" s="8"/>
      <c r="I175" s="5"/>
      <c r="J175" s="5"/>
      <c r="K175" s="5"/>
      <c r="L175" s="5"/>
      <c r="M175" s="5"/>
      <c r="N175" s="5"/>
      <c r="O175" s="5"/>
      <c r="P175" s="5"/>
      <c r="Q175" s="5"/>
      <c r="R175" s="5"/>
      <c r="S175" s="5"/>
      <c r="T175" s="6">
        <f t="shared" si="9"/>
        <v>0</v>
      </c>
      <c r="U175" s="9"/>
      <c r="V175" s="1"/>
      <c r="W175" s="1"/>
      <c r="X175" s="1"/>
      <c r="Y175" s="1"/>
      <c r="Z175" s="1"/>
    </row>
    <row r="176" spans="1:26" ht="39.75" customHeight="1">
      <c r="A176" s="171"/>
      <c r="B176" s="171"/>
      <c r="C176" s="171"/>
      <c r="D176" s="5">
        <v>167</v>
      </c>
      <c r="E176" s="5" t="s">
        <v>316</v>
      </c>
      <c r="F176" s="5"/>
      <c r="G176" s="8"/>
      <c r="H176" s="8"/>
      <c r="I176" s="5"/>
      <c r="J176" s="5"/>
      <c r="K176" s="5"/>
      <c r="L176" s="5"/>
      <c r="M176" s="5"/>
      <c r="N176" s="5"/>
      <c r="O176" s="5"/>
      <c r="P176" s="5"/>
      <c r="Q176" s="5"/>
      <c r="R176" s="5"/>
      <c r="S176" s="5"/>
      <c r="T176" s="6">
        <f t="shared" si="9"/>
        <v>0</v>
      </c>
      <c r="U176" s="9"/>
      <c r="V176" s="1"/>
      <c r="W176" s="1"/>
      <c r="X176" s="1"/>
      <c r="Y176" s="1"/>
      <c r="Z176" s="1"/>
    </row>
    <row r="177" spans="1:26" ht="39.75" customHeight="1">
      <c r="A177" s="171"/>
      <c r="B177" s="171"/>
      <c r="C177" s="171"/>
      <c r="D177" s="5">
        <v>168</v>
      </c>
      <c r="E177" s="5" t="s">
        <v>317</v>
      </c>
      <c r="F177" s="5"/>
      <c r="G177" s="8"/>
      <c r="H177" s="8"/>
      <c r="I177" s="5"/>
      <c r="J177" s="5"/>
      <c r="K177" s="5"/>
      <c r="L177" s="5"/>
      <c r="M177" s="5"/>
      <c r="N177" s="5"/>
      <c r="O177" s="5"/>
      <c r="P177" s="5"/>
      <c r="Q177" s="5"/>
      <c r="R177" s="5"/>
      <c r="S177" s="5"/>
      <c r="T177" s="6">
        <f t="shared" si="9"/>
        <v>0</v>
      </c>
      <c r="U177" s="9"/>
      <c r="V177" s="1"/>
      <c r="W177" s="1"/>
      <c r="X177" s="1"/>
      <c r="Y177" s="1"/>
      <c r="Z177" s="1"/>
    </row>
    <row r="178" spans="1:26" ht="39.75" customHeight="1">
      <c r="A178" s="171"/>
      <c r="B178" s="171"/>
      <c r="C178" s="171"/>
      <c r="D178" s="5">
        <v>169</v>
      </c>
      <c r="E178" s="5" t="s">
        <v>318</v>
      </c>
      <c r="F178" s="5"/>
      <c r="G178" s="8"/>
      <c r="H178" s="8"/>
      <c r="I178" s="6"/>
      <c r="J178" s="5"/>
      <c r="K178" s="5"/>
      <c r="L178" s="5"/>
      <c r="M178" s="5"/>
      <c r="N178" s="5"/>
      <c r="O178" s="5"/>
      <c r="P178" s="5"/>
      <c r="Q178" s="5"/>
      <c r="R178" s="5"/>
      <c r="S178" s="5"/>
      <c r="T178" s="6">
        <f t="shared" si="9"/>
        <v>0</v>
      </c>
      <c r="U178" s="9"/>
      <c r="V178" s="1"/>
      <c r="W178" s="1"/>
      <c r="X178" s="1"/>
      <c r="Y178" s="1"/>
      <c r="Z178" s="1"/>
    </row>
    <row r="179" spans="1:26" ht="39.75" customHeight="1">
      <c r="A179" s="171"/>
      <c r="B179" s="169"/>
      <c r="C179" s="169"/>
      <c r="D179" s="5">
        <v>170</v>
      </c>
      <c r="E179" s="5" t="s">
        <v>319</v>
      </c>
      <c r="F179" s="5"/>
      <c r="G179" s="5"/>
      <c r="H179" s="5"/>
      <c r="I179" s="5"/>
      <c r="J179" s="5"/>
      <c r="K179" s="5"/>
      <c r="L179" s="5"/>
      <c r="M179" s="5"/>
      <c r="N179" s="5"/>
      <c r="O179" s="5"/>
      <c r="P179" s="5"/>
      <c r="Q179" s="5"/>
      <c r="R179" s="5"/>
      <c r="S179" s="5"/>
      <c r="T179" s="6">
        <f t="shared" si="9"/>
        <v>0</v>
      </c>
      <c r="U179" s="9"/>
      <c r="V179" s="1"/>
      <c r="W179" s="1"/>
      <c r="X179" s="1"/>
      <c r="Y179" s="1"/>
      <c r="Z179" s="1"/>
    </row>
    <row r="180" spans="1:26" ht="39.75" customHeight="1">
      <c r="A180" s="171"/>
      <c r="B180" s="168" t="s">
        <v>320</v>
      </c>
      <c r="C180" s="168" t="s">
        <v>321</v>
      </c>
      <c r="D180" s="5">
        <v>171</v>
      </c>
      <c r="E180" s="5" t="s">
        <v>322</v>
      </c>
      <c r="F180" s="5"/>
      <c r="G180" s="5"/>
      <c r="H180" s="5"/>
      <c r="I180" s="5"/>
      <c r="J180" s="5"/>
      <c r="K180" s="5"/>
      <c r="L180" s="5"/>
      <c r="M180" s="5"/>
      <c r="N180" s="5"/>
      <c r="O180" s="5"/>
      <c r="P180" s="5"/>
      <c r="Q180" s="5"/>
      <c r="R180" s="5"/>
      <c r="S180" s="5"/>
      <c r="T180" s="6">
        <f t="shared" si="9"/>
        <v>0</v>
      </c>
      <c r="U180" s="9"/>
      <c r="V180" s="1"/>
      <c r="W180" s="1"/>
      <c r="X180" s="1"/>
      <c r="Y180" s="1"/>
      <c r="Z180" s="1"/>
    </row>
    <row r="181" spans="1:26" ht="39.75" customHeight="1">
      <c r="A181" s="171"/>
      <c r="B181" s="171"/>
      <c r="C181" s="171"/>
      <c r="D181" s="5">
        <v>172</v>
      </c>
      <c r="E181" s="5" t="s">
        <v>323</v>
      </c>
      <c r="F181" s="5"/>
      <c r="G181" s="5"/>
      <c r="H181" s="5"/>
      <c r="I181" s="5"/>
      <c r="J181" s="5"/>
      <c r="K181" s="5"/>
      <c r="L181" s="5"/>
      <c r="M181" s="5"/>
      <c r="N181" s="5"/>
      <c r="O181" s="5"/>
      <c r="P181" s="6"/>
      <c r="Q181" s="5"/>
      <c r="R181" s="5"/>
      <c r="S181" s="5"/>
      <c r="T181" s="6">
        <f t="shared" si="9"/>
        <v>0</v>
      </c>
      <c r="U181" s="9"/>
      <c r="V181" s="1"/>
      <c r="W181" s="1"/>
      <c r="X181" s="1"/>
      <c r="Y181" s="1"/>
      <c r="Z181" s="1"/>
    </row>
    <row r="182" spans="1:26" ht="39.75" customHeight="1">
      <c r="A182" s="171"/>
      <c r="B182" s="171"/>
      <c r="C182" s="171"/>
      <c r="D182" s="5">
        <v>173</v>
      </c>
      <c r="E182" s="5" t="s">
        <v>324</v>
      </c>
      <c r="F182" s="5"/>
      <c r="G182" s="5"/>
      <c r="H182" s="5"/>
      <c r="I182" s="5"/>
      <c r="J182" s="5"/>
      <c r="K182" s="5"/>
      <c r="L182" s="5"/>
      <c r="M182" s="5"/>
      <c r="N182" s="5"/>
      <c r="O182" s="5"/>
      <c r="P182" s="5"/>
      <c r="Q182" s="5"/>
      <c r="R182" s="5"/>
      <c r="S182" s="5"/>
      <c r="T182" s="6">
        <f t="shared" si="9"/>
        <v>0</v>
      </c>
      <c r="U182" s="9"/>
      <c r="V182" s="1"/>
      <c r="W182" s="1"/>
      <c r="X182" s="1"/>
      <c r="Y182" s="1"/>
      <c r="Z182" s="1"/>
    </row>
    <row r="183" spans="1:26" ht="39.75" customHeight="1">
      <c r="A183" s="171"/>
      <c r="B183" s="169"/>
      <c r="C183" s="169"/>
      <c r="D183" s="5">
        <v>174</v>
      </c>
      <c r="E183" s="5" t="s">
        <v>325</v>
      </c>
      <c r="F183" s="5"/>
      <c r="G183" s="5"/>
      <c r="H183" s="5"/>
      <c r="I183" s="5"/>
      <c r="J183" s="5"/>
      <c r="K183" s="5"/>
      <c r="L183" s="5"/>
      <c r="M183" s="5"/>
      <c r="N183" s="5"/>
      <c r="O183" s="5"/>
      <c r="P183" s="6"/>
      <c r="Q183" s="5"/>
      <c r="R183" s="5"/>
      <c r="S183" s="5"/>
      <c r="T183" s="6">
        <f t="shared" si="9"/>
        <v>0</v>
      </c>
      <c r="U183" s="9"/>
      <c r="V183" s="1"/>
      <c r="W183" s="1"/>
      <c r="X183" s="1"/>
      <c r="Y183" s="1"/>
      <c r="Z183" s="1"/>
    </row>
    <row r="184" spans="1:26" ht="39.75" customHeight="1">
      <c r="A184" s="171"/>
      <c r="B184" s="168" t="s">
        <v>326</v>
      </c>
      <c r="C184" s="168" t="s">
        <v>267</v>
      </c>
      <c r="D184" s="5">
        <v>175</v>
      </c>
      <c r="E184" s="5" t="s">
        <v>268</v>
      </c>
      <c r="F184" s="134"/>
      <c r="G184" s="134"/>
      <c r="H184" s="134"/>
      <c r="I184" s="135">
        <v>9.5</v>
      </c>
      <c r="J184" s="134"/>
      <c r="K184" s="134"/>
      <c r="L184" s="134"/>
      <c r="M184" s="134"/>
      <c r="N184" s="136">
        <f>8.14+1.5</f>
        <v>9.64</v>
      </c>
      <c r="O184" s="134"/>
      <c r="P184" s="135">
        <v>4</v>
      </c>
      <c r="Q184" s="137">
        <v>4.2857000000000003</v>
      </c>
      <c r="R184" s="135">
        <f>0.504+0.252</f>
        <v>0.75600000000000001</v>
      </c>
      <c r="S184" s="135"/>
      <c r="T184" s="136">
        <f t="shared" ref="T184:T186" si="11">SUM(F184:S184)</f>
        <v>28.181699999999999</v>
      </c>
      <c r="U184" s="138" t="s">
        <v>844</v>
      </c>
      <c r="V184" s="1"/>
      <c r="W184" s="1"/>
      <c r="X184" s="1"/>
      <c r="Y184" s="1"/>
      <c r="Z184" s="1"/>
    </row>
    <row r="185" spans="1:26" ht="39.75" customHeight="1">
      <c r="A185" s="171"/>
      <c r="B185" s="171"/>
      <c r="C185" s="171"/>
      <c r="D185" s="5">
        <v>176</v>
      </c>
      <c r="E185" s="5" t="s">
        <v>269</v>
      </c>
      <c r="F185" s="134"/>
      <c r="G185" s="134"/>
      <c r="H185" s="134"/>
      <c r="I185" s="134"/>
      <c r="J185" s="134"/>
      <c r="K185" s="134"/>
      <c r="L185" s="134"/>
      <c r="M185" s="135">
        <v>28.2</v>
      </c>
      <c r="N185" s="134"/>
      <c r="O185" s="134"/>
      <c r="P185" s="135">
        <v>49.445</v>
      </c>
      <c r="Q185" s="135">
        <v>5.37</v>
      </c>
      <c r="R185" s="134"/>
      <c r="S185" s="134"/>
      <c r="T185" s="136">
        <f t="shared" si="11"/>
        <v>83.015000000000001</v>
      </c>
      <c r="U185" s="138" t="s">
        <v>845</v>
      </c>
      <c r="V185" s="1"/>
      <c r="W185" s="1"/>
      <c r="X185" s="1"/>
      <c r="Y185" s="1"/>
      <c r="Z185" s="1"/>
    </row>
    <row r="186" spans="1:26" ht="39.75" customHeight="1">
      <c r="A186" s="171"/>
      <c r="B186" s="169"/>
      <c r="C186" s="169"/>
      <c r="D186" s="5">
        <v>177</v>
      </c>
      <c r="E186" s="5" t="s">
        <v>270</v>
      </c>
      <c r="F186" s="134"/>
      <c r="G186" s="134"/>
      <c r="H186" s="134"/>
      <c r="I186" s="134"/>
      <c r="J186" s="134"/>
      <c r="K186" s="134"/>
      <c r="L186" s="134"/>
      <c r="M186" s="134"/>
      <c r="N186" s="136">
        <v>1</v>
      </c>
      <c r="O186" s="134"/>
      <c r="P186" s="134"/>
      <c r="Q186" s="134"/>
      <c r="R186" s="134"/>
      <c r="S186" s="134"/>
      <c r="T186" s="136">
        <f t="shared" si="11"/>
        <v>1</v>
      </c>
      <c r="U186" s="138" t="s">
        <v>839</v>
      </c>
      <c r="V186" s="1"/>
      <c r="W186" s="1"/>
      <c r="X186" s="1"/>
      <c r="Y186" s="1"/>
      <c r="Z186" s="1"/>
    </row>
    <row r="187" spans="1:26" ht="39.75" customHeight="1">
      <c r="A187" s="171"/>
      <c r="B187" s="168" t="s">
        <v>327</v>
      </c>
      <c r="C187" s="168" t="s">
        <v>328</v>
      </c>
      <c r="D187" s="5">
        <v>178</v>
      </c>
      <c r="E187" s="5" t="s">
        <v>329</v>
      </c>
      <c r="F187" s="5"/>
      <c r="G187" s="5"/>
      <c r="H187" s="5"/>
      <c r="I187" s="5"/>
      <c r="J187" s="5"/>
      <c r="K187" s="5"/>
      <c r="L187" s="5"/>
      <c r="M187" s="5"/>
      <c r="N187" s="5"/>
      <c r="O187" s="5"/>
      <c r="P187" s="5"/>
      <c r="Q187" s="5"/>
      <c r="R187" s="5"/>
      <c r="S187" s="5"/>
      <c r="T187" s="6">
        <f t="shared" si="9"/>
        <v>0</v>
      </c>
      <c r="U187" s="9"/>
      <c r="V187" s="1"/>
      <c r="W187" s="1"/>
      <c r="X187" s="1"/>
      <c r="Y187" s="1"/>
      <c r="Z187" s="1"/>
    </row>
    <row r="188" spans="1:26" ht="39.75" customHeight="1">
      <c r="A188" s="171"/>
      <c r="B188" s="171"/>
      <c r="C188" s="171"/>
      <c r="D188" s="5">
        <v>179</v>
      </c>
      <c r="E188" s="5" t="s">
        <v>149</v>
      </c>
      <c r="F188" s="5"/>
      <c r="G188" s="5"/>
      <c r="H188" s="5"/>
      <c r="I188" s="5"/>
      <c r="J188" s="5"/>
      <c r="K188" s="5"/>
      <c r="L188" s="5"/>
      <c r="M188" s="5"/>
      <c r="N188" s="5"/>
      <c r="O188" s="5"/>
      <c r="P188" s="5"/>
      <c r="Q188" s="5"/>
      <c r="R188" s="5"/>
      <c r="S188" s="5"/>
      <c r="T188" s="6">
        <f t="shared" si="9"/>
        <v>0</v>
      </c>
      <c r="U188" s="9"/>
      <c r="V188" s="1"/>
      <c r="W188" s="1"/>
      <c r="X188" s="1"/>
      <c r="Y188" s="1"/>
      <c r="Z188" s="1"/>
    </row>
    <row r="189" spans="1:26" ht="39.75" customHeight="1">
      <c r="A189" s="171"/>
      <c r="B189" s="171"/>
      <c r="C189" s="171"/>
      <c r="D189" s="5">
        <v>180</v>
      </c>
      <c r="E189" s="5" t="s">
        <v>330</v>
      </c>
      <c r="F189" s="5"/>
      <c r="G189" s="5"/>
      <c r="H189" s="5"/>
      <c r="I189" s="5"/>
      <c r="J189" s="5"/>
      <c r="K189" s="6"/>
      <c r="L189" s="5"/>
      <c r="M189" s="5"/>
      <c r="N189" s="5"/>
      <c r="O189" s="5"/>
      <c r="P189" s="8"/>
      <c r="Q189" s="5"/>
      <c r="R189" s="5"/>
      <c r="S189" s="5"/>
      <c r="T189" s="6">
        <f t="shared" si="9"/>
        <v>0</v>
      </c>
      <c r="U189" s="9"/>
      <c r="V189" s="1"/>
      <c r="W189" s="1"/>
      <c r="X189" s="1"/>
      <c r="Y189" s="1"/>
      <c r="Z189" s="1"/>
    </row>
    <row r="190" spans="1:26" ht="39.75" customHeight="1">
      <c r="A190" s="171"/>
      <c r="B190" s="171"/>
      <c r="C190" s="171"/>
      <c r="D190" s="5">
        <v>181</v>
      </c>
      <c r="E190" s="5" t="s">
        <v>331</v>
      </c>
      <c r="F190" s="5"/>
      <c r="G190" s="5"/>
      <c r="H190" s="5"/>
      <c r="I190" s="5"/>
      <c r="J190" s="5"/>
      <c r="K190" s="5"/>
      <c r="L190" s="5"/>
      <c r="M190" s="5"/>
      <c r="N190" s="5"/>
      <c r="O190" s="5"/>
      <c r="P190" s="5"/>
      <c r="Q190" s="5"/>
      <c r="R190" s="5"/>
      <c r="S190" s="5"/>
      <c r="T190" s="6">
        <f t="shared" si="9"/>
        <v>0</v>
      </c>
      <c r="U190" s="9"/>
      <c r="V190" s="1"/>
      <c r="W190" s="1"/>
      <c r="X190" s="1"/>
      <c r="Y190" s="1"/>
      <c r="Z190" s="1"/>
    </row>
    <row r="191" spans="1:26" ht="39.75" customHeight="1">
      <c r="A191" s="171"/>
      <c r="B191" s="171"/>
      <c r="C191" s="171"/>
      <c r="D191" s="5">
        <v>182</v>
      </c>
      <c r="E191" s="5" t="s">
        <v>332</v>
      </c>
      <c r="F191" s="5"/>
      <c r="G191" s="5"/>
      <c r="H191" s="5"/>
      <c r="I191" s="5"/>
      <c r="J191" s="5"/>
      <c r="K191" s="5"/>
      <c r="L191" s="5"/>
      <c r="M191" s="5"/>
      <c r="N191" s="5"/>
      <c r="O191" s="5"/>
      <c r="P191" s="6">
        <v>29.3</v>
      </c>
      <c r="Q191" s="5"/>
      <c r="R191" s="5"/>
      <c r="S191" s="5"/>
      <c r="T191" s="6">
        <f t="shared" si="9"/>
        <v>29.3</v>
      </c>
      <c r="U191" s="9" t="s">
        <v>333</v>
      </c>
      <c r="V191" s="1"/>
      <c r="W191" s="1"/>
      <c r="X191" s="1"/>
      <c r="Y191" s="1"/>
      <c r="Z191" s="1"/>
    </row>
    <row r="192" spans="1:26" ht="39.75" customHeight="1">
      <c r="A192" s="171"/>
      <c r="B192" s="169"/>
      <c r="C192" s="169"/>
      <c r="D192" s="5">
        <v>183</v>
      </c>
      <c r="E192" s="5" t="s">
        <v>334</v>
      </c>
      <c r="F192" s="5"/>
      <c r="G192" s="5"/>
      <c r="H192" s="5"/>
      <c r="I192" s="5"/>
      <c r="J192" s="5"/>
      <c r="K192" s="5"/>
      <c r="L192" s="5"/>
      <c r="M192" s="5"/>
      <c r="N192" s="5"/>
      <c r="O192" s="5"/>
      <c r="P192" s="8"/>
      <c r="Q192" s="5"/>
      <c r="R192" s="5"/>
      <c r="S192" s="5"/>
      <c r="T192" s="6">
        <f t="shared" si="9"/>
        <v>0</v>
      </c>
      <c r="U192" s="9"/>
      <c r="V192" s="1"/>
      <c r="W192" s="1"/>
      <c r="X192" s="1"/>
      <c r="Y192" s="1"/>
      <c r="Z192" s="1"/>
    </row>
    <row r="193" spans="1:26" ht="39.75" customHeight="1">
      <c r="A193" s="171"/>
      <c r="B193" s="5" t="s">
        <v>335</v>
      </c>
      <c r="C193" s="5" t="s">
        <v>336</v>
      </c>
      <c r="D193" s="5">
        <v>184</v>
      </c>
      <c r="E193" s="5" t="s">
        <v>337</v>
      </c>
      <c r="F193" s="5"/>
      <c r="G193" s="5"/>
      <c r="H193" s="5"/>
      <c r="I193" s="5"/>
      <c r="J193" s="5"/>
      <c r="K193" s="5"/>
      <c r="L193" s="5"/>
      <c r="M193" s="5"/>
      <c r="N193" s="5"/>
      <c r="O193" s="5"/>
      <c r="P193" s="6"/>
      <c r="Q193" s="5"/>
      <c r="R193" s="5"/>
      <c r="S193" s="5"/>
      <c r="T193" s="6">
        <f t="shared" si="9"/>
        <v>0</v>
      </c>
      <c r="U193" s="9"/>
      <c r="V193" s="1"/>
      <c r="W193" s="1"/>
      <c r="X193" s="1"/>
      <c r="Y193" s="1"/>
      <c r="Z193" s="1"/>
    </row>
    <row r="194" spans="1:26" ht="39.75" customHeight="1">
      <c r="A194" s="171"/>
      <c r="B194" s="168" t="s">
        <v>338</v>
      </c>
      <c r="C194" s="168" t="s">
        <v>272</v>
      </c>
      <c r="D194" s="5">
        <v>185</v>
      </c>
      <c r="E194" s="5" t="s">
        <v>273</v>
      </c>
      <c r="F194" s="5"/>
      <c r="G194" s="5"/>
      <c r="H194" s="5"/>
      <c r="I194" s="5"/>
      <c r="J194" s="5"/>
      <c r="K194" s="5"/>
      <c r="L194" s="5"/>
      <c r="M194" s="5"/>
      <c r="N194" s="5"/>
      <c r="O194" s="5"/>
      <c r="P194" s="5"/>
      <c r="Q194" s="5"/>
      <c r="R194" s="5">
        <v>1925.08</v>
      </c>
      <c r="S194" s="5"/>
      <c r="T194" s="6">
        <f t="shared" si="9"/>
        <v>1925.08</v>
      </c>
      <c r="U194" s="9" t="s">
        <v>639</v>
      </c>
      <c r="V194" s="1"/>
      <c r="W194" s="1"/>
      <c r="X194" s="1"/>
      <c r="Y194" s="1"/>
      <c r="Z194" s="1"/>
    </row>
    <row r="195" spans="1:26" ht="39.75" customHeight="1">
      <c r="A195" s="171"/>
      <c r="B195" s="171"/>
      <c r="C195" s="171"/>
      <c r="D195" s="5">
        <v>186</v>
      </c>
      <c r="E195" s="5" t="s">
        <v>274</v>
      </c>
      <c r="F195" s="5"/>
      <c r="G195" s="5"/>
      <c r="H195" s="5"/>
      <c r="I195" s="5"/>
      <c r="J195" s="5"/>
      <c r="K195" s="5"/>
      <c r="L195" s="5"/>
      <c r="M195" s="5"/>
      <c r="N195" s="5"/>
      <c r="O195" s="5"/>
      <c r="P195" s="8">
        <v>0.43</v>
      </c>
      <c r="Q195" s="6"/>
      <c r="R195" s="5"/>
      <c r="S195" s="5"/>
      <c r="T195" s="6">
        <f t="shared" si="9"/>
        <v>0.43</v>
      </c>
      <c r="U195" s="76" t="s">
        <v>637</v>
      </c>
      <c r="V195" s="1"/>
      <c r="W195" s="1"/>
      <c r="X195" s="1"/>
      <c r="Y195" s="1"/>
      <c r="Z195" s="1"/>
    </row>
    <row r="196" spans="1:26" ht="39.75" customHeight="1">
      <c r="A196" s="171"/>
      <c r="B196" s="171"/>
      <c r="C196" s="171"/>
      <c r="D196" s="5">
        <v>187</v>
      </c>
      <c r="E196" s="5" t="s">
        <v>339</v>
      </c>
      <c r="F196" s="5"/>
      <c r="G196" s="5"/>
      <c r="H196" s="5"/>
      <c r="I196" s="5"/>
      <c r="J196" s="5"/>
      <c r="K196" s="5"/>
      <c r="L196" s="5"/>
      <c r="M196" s="5"/>
      <c r="N196" s="5"/>
      <c r="O196" s="5"/>
      <c r="P196" s="5"/>
      <c r="Q196" s="5"/>
      <c r="R196" s="5"/>
      <c r="S196" s="5"/>
      <c r="T196" s="6">
        <f t="shared" si="9"/>
        <v>0</v>
      </c>
      <c r="U196" s="9"/>
      <c r="V196" s="1"/>
      <c r="W196" s="1"/>
      <c r="X196" s="1"/>
      <c r="Y196" s="1"/>
      <c r="Z196" s="1"/>
    </row>
    <row r="197" spans="1:26" ht="39.75" customHeight="1">
      <c r="A197" s="171"/>
      <c r="B197" s="171"/>
      <c r="C197" s="171"/>
      <c r="D197" s="5">
        <v>188</v>
      </c>
      <c r="E197" s="5" t="s">
        <v>275</v>
      </c>
      <c r="F197" s="5"/>
      <c r="G197" s="5"/>
      <c r="H197" s="5"/>
      <c r="I197" s="5"/>
      <c r="J197" s="5"/>
      <c r="K197" s="5"/>
      <c r="L197" s="5"/>
      <c r="M197" s="5"/>
      <c r="N197" s="5"/>
      <c r="O197" s="5"/>
      <c r="P197" s="5"/>
      <c r="Q197" s="5"/>
      <c r="R197" s="5"/>
      <c r="S197" s="5"/>
      <c r="T197" s="6">
        <f t="shared" si="9"/>
        <v>0</v>
      </c>
      <c r="U197" s="9"/>
      <c r="V197" s="1"/>
      <c r="W197" s="1"/>
      <c r="X197" s="1"/>
      <c r="Y197" s="1"/>
      <c r="Z197" s="1"/>
    </row>
    <row r="198" spans="1:26" ht="39.75" customHeight="1">
      <c r="A198" s="171"/>
      <c r="B198" s="171"/>
      <c r="C198" s="171"/>
      <c r="D198" s="5">
        <v>189</v>
      </c>
      <c r="E198" s="5" t="s">
        <v>276</v>
      </c>
      <c r="F198" s="5"/>
      <c r="G198" s="5"/>
      <c r="H198" s="5"/>
      <c r="I198" s="5"/>
      <c r="J198" s="5"/>
      <c r="K198" s="5"/>
      <c r="L198" s="5"/>
      <c r="M198" s="5"/>
      <c r="N198" s="5"/>
      <c r="O198" s="5"/>
      <c r="P198" s="5"/>
      <c r="Q198" s="5"/>
      <c r="R198" s="5"/>
      <c r="S198" s="5"/>
      <c r="T198" s="6">
        <f t="shared" ref="T198:T208" si="12">SUM(F198:S198)</f>
        <v>0</v>
      </c>
      <c r="U198" s="9"/>
      <c r="V198" s="1"/>
      <c r="W198" s="1"/>
      <c r="X198" s="1"/>
      <c r="Y198" s="1"/>
      <c r="Z198" s="1"/>
    </row>
    <row r="199" spans="1:26" ht="39.75" customHeight="1">
      <c r="A199" s="171"/>
      <c r="B199" s="169"/>
      <c r="C199" s="169"/>
      <c r="D199" s="5">
        <v>190</v>
      </c>
      <c r="E199" s="5" t="s">
        <v>340</v>
      </c>
      <c r="F199" s="5"/>
      <c r="G199" s="5"/>
      <c r="H199" s="5"/>
      <c r="I199" s="5"/>
      <c r="J199" s="5"/>
      <c r="K199" s="5"/>
      <c r="L199" s="5"/>
      <c r="M199" s="5"/>
      <c r="N199" s="5"/>
      <c r="O199" s="5"/>
      <c r="P199" s="8"/>
      <c r="Q199" s="5"/>
      <c r="R199" s="5"/>
      <c r="S199" s="5"/>
      <c r="T199" s="6">
        <f t="shared" si="12"/>
        <v>0</v>
      </c>
      <c r="U199" s="9"/>
      <c r="V199" s="1"/>
      <c r="W199" s="1"/>
      <c r="X199" s="1"/>
      <c r="Y199" s="1"/>
      <c r="Z199" s="1"/>
    </row>
    <row r="200" spans="1:26" ht="39.75" customHeight="1">
      <c r="A200" s="171"/>
      <c r="B200" s="168" t="s">
        <v>341</v>
      </c>
      <c r="C200" s="168" t="s">
        <v>342</v>
      </c>
      <c r="D200" s="5">
        <v>191</v>
      </c>
      <c r="E200" s="5" t="s">
        <v>343</v>
      </c>
      <c r="F200" s="5"/>
      <c r="G200" s="5"/>
      <c r="H200" s="5"/>
      <c r="I200" s="5"/>
      <c r="J200" s="5"/>
      <c r="K200" s="5"/>
      <c r="L200" s="5"/>
      <c r="M200" s="5"/>
      <c r="N200" s="6"/>
      <c r="O200" s="5"/>
      <c r="P200" s="5"/>
      <c r="Q200" s="5"/>
      <c r="R200" s="5"/>
      <c r="S200" s="5"/>
      <c r="T200" s="6">
        <f t="shared" si="12"/>
        <v>0</v>
      </c>
      <c r="U200" s="9"/>
      <c r="V200" s="1"/>
      <c r="W200" s="1"/>
      <c r="X200" s="1"/>
      <c r="Y200" s="1"/>
      <c r="Z200" s="1"/>
    </row>
    <row r="201" spans="1:26" ht="39.75" customHeight="1">
      <c r="A201" s="171"/>
      <c r="B201" s="169"/>
      <c r="C201" s="169"/>
      <c r="D201" s="5">
        <v>192</v>
      </c>
      <c r="E201" s="5" t="s">
        <v>345</v>
      </c>
      <c r="F201" s="5"/>
      <c r="G201" s="5"/>
      <c r="H201" s="8"/>
      <c r="I201" s="5"/>
      <c r="J201" s="5"/>
      <c r="K201" s="5"/>
      <c r="L201" s="5"/>
      <c r="M201" s="5"/>
      <c r="N201" s="6">
        <v>0.5</v>
      </c>
      <c r="O201" s="5"/>
      <c r="P201" s="6">
        <v>15</v>
      </c>
      <c r="Q201" s="8"/>
      <c r="R201" s="5"/>
      <c r="S201" s="5"/>
      <c r="T201" s="6">
        <f t="shared" si="12"/>
        <v>15.5</v>
      </c>
      <c r="U201" s="61" t="s">
        <v>652</v>
      </c>
      <c r="V201" s="1"/>
      <c r="W201" s="1"/>
      <c r="X201" s="1"/>
      <c r="Y201" s="1"/>
      <c r="Z201" s="1"/>
    </row>
    <row r="202" spans="1:26" ht="39.75" customHeight="1">
      <c r="A202" s="171"/>
      <c r="B202" s="168" t="s">
        <v>346</v>
      </c>
      <c r="C202" s="168" t="s">
        <v>278</v>
      </c>
      <c r="D202" s="5">
        <v>193</v>
      </c>
      <c r="E202" s="5" t="s">
        <v>347</v>
      </c>
      <c r="F202" s="5"/>
      <c r="G202" s="5"/>
      <c r="H202" s="5"/>
      <c r="I202" s="5"/>
      <c r="J202" s="5"/>
      <c r="K202" s="5"/>
      <c r="L202" s="5"/>
      <c r="M202" s="5"/>
      <c r="N202" s="5"/>
      <c r="O202" s="5"/>
      <c r="P202" s="6"/>
      <c r="Q202" s="5"/>
      <c r="R202" s="5"/>
      <c r="S202" s="8"/>
      <c r="T202" s="6">
        <f t="shared" si="12"/>
        <v>0</v>
      </c>
      <c r="U202" s="9"/>
      <c r="V202" s="1"/>
      <c r="W202" s="1"/>
      <c r="X202" s="1"/>
      <c r="Y202" s="1"/>
      <c r="Z202" s="1"/>
    </row>
    <row r="203" spans="1:26" ht="39.75" customHeight="1">
      <c r="A203" s="171"/>
      <c r="B203" s="169"/>
      <c r="C203" s="169"/>
      <c r="D203" s="5">
        <v>194</v>
      </c>
      <c r="E203" s="5" t="s">
        <v>279</v>
      </c>
      <c r="F203" s="5"/>
      <c r="G203" s="5"/>
      <c r="H203" s="5"/>
      <c r="I203" s="5"/>
      <c r="J203" s="5"/>
      <c r="K203" s="5"/>
      <c r="L203" s="5"/>
      <c r="M203" s="5"/>
      <c r="N203" s="6"/>
      <c r="O203" s="5"/>
      <c r="P203" s="5"/>
      <c r="Q203" s="6"/>
      <c r="R203" s="6">
        <v>32.020000000000003</v>
      </c>
      <c r="S203" s="5"/>
      <c r="T203" s="6">
        <f t="shared" si="12"/>
        <v>32.020000000000003</v>
      </c>
      <c r="U203" s="9" t="s">
        <v>629</v>
      </c>
      <c r="V203" s="1"/>
      <c r="W203" s="1"/>
      <c r="X203" s="1"/>
      <c r="Y203" s="1"/>
      <c r="Z203" s="1"/>
    </row>
    <row r="204" spans="1:26" ht="39.75" customHeight="1">
      <c r="A204" s="171"/>
      <c r="B204" s="168" t="s">
        <v>348</v>
      </c>
      <c r="C204" s="168" t="s">
        <v>349</v>
      </c>
      <c r="D204" s="5">
        <v>195</v>
      </c>
      <c r="E204" s="5" t="s">
        <v>350</v>
      </c>
      <c r="F204" s="5"/>
      <c r="G204" s="5"/>
      <c r="H204" s="5"/>
      <c r="I204" s="5"/>
      <c r="J204" s="5"/>
      <c r="K204" s="5"/>
      <c r="L204" s="5"/>
      <c r="M204" s="5"/>
      <c r="N204" s="5"/>
      <c r="O204" s="5"/>
      <c r="P204" s="6">
        <v>0.7</v>
      </c>
      <c r="Q204" s="8">
        <v>1.1399999999999999</v>
      </c>
      <c r="R204" s="6">
        <v>1.7</v>
      </c>
      <c r="S204" s="5"/>
      <c r="T204" s="6">
        <f t="shared" si="12"/>
        <v>3.54</v>
      </c>
      <c r="U204" s="61" t="s">
        <v>351</v>
      </c>
      <c r="V204" s="1"/>
      <c r="W204" s="1"/>
      <c r="X204" s="1"/>
      <c r="Y204" s="1"/>
      <c r="Z204" s="1"/>
    </row>
    <row r="205" spans="1:26" ht="39.75" customHeight="1">
      <c r="A205" s="171"/>
      <c r="B205" s="171"/>
      <c r="C205" s="171"/>
      <c r="D205" s="5">
        <v>196</v>
      </c>
      <c r="E205" s="5" t="s">
        <v>352</v>
      </c>
      <c r="F205" s="5"/>
      <c r="G205" s="5"/>
      <c r="H205" s="5"/>
      <c r="I205" s="5"/>
      <c r="J205" s="5"/>
      <c r="K205" s="5"/>
      <c r="L205" s="5"/>
      <c r="M205" s="5"/>
      <c r="N205" s="5"/>
      <c r="O205" s="5"/>
      <c r="P205" s="5"/>
      <c r="Q205" s="5"/>
      <c r="R205" s="5"/>
      <c r="S205" s="5"/>
      <c r="T205" s="6">
        <f t="shared" si="12"/>
        <v>0</v>
      </c>
      <c r="U205" s="9"/>
      <c r="V205" s="1"/>
      <c r="W205" s="1"/>
      <c r="X205" s="1"/>
      <c r="Y205" s="1"/>
      <c r="Z205" s="1"/>
    </row>
    <row r="206" spans="1:26" ht="39.75" customHeight="1">
      <c r="A206" s="171"/>
      <c r="B206" s="169"/>
      <c r="C206" s="169"/>
      <c r="D206" s="5">
        <v>197</v>
      </c>
      <c r="E206" s="5" t="s">
        <v>353</v>
      </c>
      <c r="F206" s="5"/>
      <c r="G206" s="5"/>
      <c r="H206" s="5"/>
      <c r="I206" s="5"/>
      <c r="J206" s="5"/>
      <c r="K206" s="5"/>
      <c r="L206" s="5"/>
      <c r="M206" s="5"/>
      <c r="N206" s="5"/>
      <c r="O206" s="5"/>
      <c r="P206" s="6"/>
      <c r="Q206" s="5"/>
      <c r="R206" s="5"/>
      <c r="S206" s="5"/>
      <c r="T206" s="6">
        <f t="shared" si="12"/>
        <v>0</v>
      </c>
      <c r="U206" s="9"/>
      <c r="V206" s="1"/>
      <c r="W206" s="1"/>
      <c r="X206" s="1"/>
      <c r="Y206" s="1"/>
      <c r="Z206" s="1"/>
    </row>
    <row r="207" spans="1:26" ht="39.75" customHeight="1">
      <c r="A207" s="171"/>
      <c r="B207" s="5" t="s">
        <v>354</v>
      </c>
      <c r="C207" s="5" t="s">
        <v>284</v>
      </c>
      <c r="D207" s="5">
        <v>198</v>
      </c>
      <c r="E207" s="5" t="s">
        <v>285</v>
      </c>
      <c r="F207" s="5"/>
      <c r="G207" s="5"/>
      <c r="H207" s="5"/>
      <c r="I207" s="5"/>
      <c r="J207" s="5"/>
      <c r="K207" s="5"/>
      <c r="L207" s="5"/>
      <c r="M207" s="5"/>
      <c r="N207" s="5"/>
      <c r="O207" s="5"/>
      <c r="P207" s="5"/>
      <c r="Q207" s="5"/>
      <c r="R207" s="5"/>
      <c r="S207" s="5"/>
      <c r="T207" s="6">
        <f t="shared" si="12"/>
        <v>0</v>
      </c>
      <c r="U207" s="9"/>
      <c r="V207" s="1"/>
      <c r="W207" s="1"/>
      <c r="X207" s="1"/>
      <c r="Y207" s="1"/>
      <c r="Z207" s="1"/>
    </row>
    <row r="208" spans="1:26" ht="39.75" customHeight="1">
      <c r="A208" s="171"/>
      <c r="B208" s="5" t="s">
        <v>355</v>
      </c>
      <c r="C208" s="5" t="s">
        <v>287</v>
      </c>
      <c r="D208" s="5">
        <v>199</v>
      </c>
      <c r="E208" s="5" t="s">
        <v>288</v>
      </c>
      <c r="F208" s="24"/>
      <c r="G208" s="24"/>
      <c r="H208" s="24"/>
      <c r="I208" s="24"/>
      <c r="J208" s="24"/>
      <c r="K208" s="24"/>
      <c r="L208" s="24"/>
      <c r="M208" s="24"/>
      <c r="N208" s="24"/>
      <c r="O208" s="24"/>
      <c r="P208" s="24">
        <v>237.5</v>
      </c>
      <c r="Q208" s="24"/>
      <c r="R208" s="24"/>
      <c r="S208" s="24"/>
      <c r="T208" s="6">
        <f t="shared" si="12"/>
        <v>237.5</v>
      </c>
      <c r="U208" s="76" t="s">
        <v>631</v>
      </c>
      <c r="V208" s="1"/>
      <c r="W208" s="1"/>
      <c r="X208" s="1"/>
      <c r="Y208" s="1"/>
      <c r="Z208" s="1"/>
    </row>
    <row r="209" spans="1:26" ht="39.75" customHeight="1">
      <c r="A209" s="169"/>
      <c r="B209" s="176" t="s">
        <v>356</v>
      </c>
      <c r="C209" s="183"/>
      <c r="D209" s="184"/>
      <c r="E209" s="51"/>
      <c r="F209" s="51">
        <f t="shared" ref="F209:T209" si="13">SUM(F159:F208)</f>
        <v>0</v>
      </c>
      <c r="G209" s="56">
        <f t="shared" si="13"/>
        <v>404.25</v>
      </c>
      <c r="H209" s="56">
        <f t="shared" si="13"/>
        <v>539</v>
      </c>
      <c r="I209" s="51">
        <f t="shared" si="13"/>
        <v>9.5</v>
      </c>
      <c r="J209" s="51">
        <f t="shared" si="13"/>
        <v>0</v>
      </c>
      <c r="K209" s="51">
        <f t="shared" si="13"/>
        <v>0</v>
      </c>
      <c r="L209" s="51">
        <f t="shared" si="13"/>
        <v>0</v>
      </c>
      <c r="M209" s="51">
        <f t="shared" si="13"/>
        <v>28.2</v>
      </c>
      <c r="N209" s="52">
        <f t="shared" si="13"/>
        <v>41.75</v>
      </c>
      <c r="O209" s="51">
        <f t="shared" si="13"/>
        <v>543.84</v>
      </c>
      <c r="P209" s="56">
        <f t="shared" si="13"/>
        <v>418.55500000000001</v>
      </c>
      <c r="Q209" s="51">
        <f t="shared" si="13"/>
        <v>15.105700000000002</v>
      </c>
      <c r="R209" s="51">
        <f t="shared" si="13"/>
        <v>1965.556</v>
      </c>
      <c r="S209" s="51">
        <f t="shared" si="13"/>
        <v>0</v>
      </c>
      <c r="T209" s="52">
        <f t="shared" si="13"/>
        <v>3965.7566999999999</v>
      </c>
      <c r="U209" s="9"/>
      <c r="V209" s="1"/>
      <c r="W209" s="1"/>
      <c r="X209" s="1"/>
      <c r="Y209" s="1"/>
      <c r="Z209" s="1"/>
    </row>
    <row r="210" spans="1:26" ht="39.75" customHeight="1">
      <c r="A210" s="180" t="s">
        <v>357</v>
      </c>
      <c r="B210" s="181"/>
      <c r="C210" s="181"/>
      <c r="D210" s="182"/>
      <c r="E210" s="64"/>
      <c r="F210" s="65">
        <f t="shared" ref="F210:T210" si="14">F209+F158+F134+F93+F68</f>
        <v>132.06</v>
      </c>
      <c r="G210" s="66">
        <f t="shared" si="14"/>
        <v>404.25</v>
      </c>
      <c r="H210" s="66">
        <f t="shared" si="14"/>
        <v>543</v>
      </c>
      <c r="I210" s="65">
        <f t="shared" si="14"/>
        <v>34.569000000000003</v>
      </c>
      <c r="J210" s="65">
        <f t="shared" si="14"/>
        <v>0</v>
      </c>
      <c r="K210" s="67">
        <f t="shared" si="14"/>
        <v>93.43</v>
      </c>
      <c r="L210" s="65">
        <f t="shared" si="14"/>
        <v>0</v>
      </c>
      <c r="M210" s="66">
        <f t="shared" si="14"/>
        <v>92.329999999999984</v>
      </c>
      <c r="N210" s="67">
        <f t="shared" si="14"/>
        <v>120.46654999999998</v>
      </c>
      <c r="O210" s="65">
        <f t="shared" si="14"/>
        <v>807.51950000000011</v>
      </c>
      <c r="P210" s="66">
        <f t="shared" si="14"/>
        <v>949.423</v>
      </c>
      <c r="Q210" s="65">
        <f t="shared" si="14"/>
        <v>117.7467</v>
      </c>
      <c r="R210" s="66">
        <f t="shared" si="14"/>
        <v>2288.16</v>
      </c>
      <c r="S210" s="66">
        <f t="shared" si="14"/>
        <v>12.25</v>
      </c>
      <c r="T210" s="67">
        <f t="shared" si="14"/>
        <v>5595.2047499999999</v>
      </c>
      <c r="U210" s="9"/>
      <c r="V210" s="1"/>
      <c r="W210" s="1"/>
      <c r="X210" s="1"/>
      <c r="Y210" s="1"/>
      <c r="Z210" s="1"/>
    </row>
    <row r="211" spans="1:26" ht="24.75" customHeight="1">
      <c r="A211" s="1"/>
      <c r="B211" s="1"/>
      <c r="C211" s="1"/>
      <c r="D211" s="1"/>
      <c r="E211" s="1"/>
      <c r="F211" s="1"/>
      <c r="G211" s="1"/>
      <c r="H211" s="1"/>
      <c r="I211" s="1"/>
      <c r="J211" s="1"/>
      <c r="K211" s="1"/>
      <c r="L211" s="1"/>
      <c r="M211" s="1"/>
      <c r="N211" s="1"/>
      <c r="O211" s="1"/>
      <c r="P211" s="1"/>
      <c r="Q211" s="1"/>
      <c r="R211" s="1"/>
      <c r="S211" s="1"/>
      <c r="T211" s="32"/>
      <c r="U211" s="2"/>
      <c r="V211" s="1"/>
      <c r="W211" s="1"/>
      <c r="X211" s="1"/>
      <c r="Y211" s="1"/>
      <c r="Z211" s="1"/>
    </row>
    <row r="212" spans="1:26" ht="24.75" customHeight="1">
      <c r="A212" s="1"/>
      <c r="B212" s="1"/>
      <c r="C212" s="1"/>
      <c r="D212" s="1"/>
      <c r="E212" s="1"/>
      <c r="F212" s="1"/>
      <c r="G212" s="1"/>
      <c r="H212" s="1"/>
      <c r="I212" s="1"/>
      <c r="J212" s="1"/>
      <c r="K212" s="1"/>
      <c r="L212" s="1"/>
      <c r="M212" s="1"/>
      <c r="N212" s="1"/>
      <c r="O212" s="1"/>
      <c r="P212" s="1"/>
      <c r="Q212" s="1"/>
      <c r="R212" s="1"/>
      <c r="S212" s="1"/>
      <c r="T212" s="1"/>
      <c r="U212" s="2"/>
      <c r="V212" s="1"/>
      <c r="W212" s="1"/>
      <c r="X212" s="1"/>
      <c r="Y212" s="1"/>
      <c r="Z212" s="1"/>
    </row>
    <row r="213" spans="1:26" ht="24.75" customHeight="1">
      <c r="A213" s="1"/>
      <c r="B213" s="1"/>
      <c r="C213" s="1"/>
      <c r="D213" s="1"/>
      <c r="E213" s="1"/>
      <c r="F213" s="1"/>
      <c r="G213" s="1"/>
      <c r="H213" s="1"/>
      <c r="I213" s="1"/>
      <c r="J213" s="1"/>
      <c r="K213" s="1"/>
      <c r="L213" s="1"/>
      <c r="M213" s="1"/>
      <c r="N213" s="1"/>
      <c r="O213" s="1"/>
      <c r="P213" s="1"/>
      <c r="Q213" s="1"/>
      <c r="R213" s="1"/>
      <c r="S213" s="1"/>
      <c r="T213" s="1"/>
      <c r="U213" s="2"/>
      <c r="V213" s="1"/>
      <c r="W213" s="1"/>
      <c r="X213" s="1"/>
      <c r="Y213" s="1"/>
      <c r="Z213" s="1"/>
    </row>
    <row r="214" spans="1:26" ht="24.75" customHeight="1">
      <c r="A214" s="1"/>
      <c r="B214" s="1"/>
      <c r="C214" s="1"/>
      <c r="D214" s="1"/>
      <c r="E214" s="1"/>
      <c r="F214" s="1"/>
      <c r="G214" s="1"/>
      <c r="H214" s="1"/>
      <c r="I214" s="1"/>
      <c r="J214" s="1"/>
      <c r="K214" s="1"/>
      <c r="L214" s="1"/>
      <c r="M214" s="1"/>
      <c r="N214" s="1"/>
      <c r="O214" s="1"/>
      <c r="P214" s="1"/>
      <c r="Q214" s="1"/>
      <c r="R214" s="1"/>
      <c r="S214" s="1"/>
      <c r="T214" s="1"/>
      <c r="U214" s="2"/>
      <c r="V214" s="1"/>
      <c r="W214" s="1"/>
      <c r="X214" s="1"/>
      <c r="Y214" s="1"/>
      <c r="Z214" s="1"/>
    </row>
    <row r="215" spans="1:26" ht="24.75" customHeight="1">
      <c r="A215" s="1"/>
      <c r="B215" s="1"/>
      <c r="C215" s="1"/>
      <c r="D215" s="1"/>
      <c r="E215" s="1"/>
      <c r="F215" s="1"/>
      <c r="G215" s="1"/>
      <c r="H215" s="1"/>
      <c r="I215" s="1"/>
      <c r="J215" s="1"/>
      <c r="K215" s="1"/>
      <c r="L215" s="1"/>
      <c r="M215" s="1"/>
      <c r="N215" s="1"/>
      <c r="O215" s="1"/>
      <c r="P215" s="1"/>
      <c r="Q215" s="1"/>
      <c r="R215" s="1"/>
      <c r="S215" s="1"/>
      <c r="T215" s="1"/>
      <c r="U215" s="2"/>
      <c r="V215" s="1"/>
      <c r="W215" s="1"/>
      <c r="X215" s="1"/>
      <c r="Y215" s="1"/>
      <c r="Z215" s="1"/>
    </row>
    <row r="216" spans="1:26" ht="24.75" customHeight="1">
      <c r="A216" s="1"/>
      <c r="B216" s="1"/>
      <c r="C216" s="1"/>
      <c r="D216" s="1"/>
      <c r="E216" s="1"/>
      <c r="F216" s="1"/>
      <c r="G216" s="1"/>
      <c r="H216" s="1"/>
      <c r="I216" s="1"/>
      <c r="J216" s="1"/>
      <c r="K216" s="1"/>
      <c r="L216" s="1"/>
      <c r="M216" s="1"/>
      <c r="N216" s="1"/>
      <c r="O216" s="1"/>
      <c r="P216" s="1"/>
      <c r="Q216" s="1"/>
      <c r="R216" s="1"/>
      <c r="S216" s="1"/>
      <c r="T216" s="1"/>
      <c r="U216" s="2"/>
      <c r="V216" s="1"/>
      <c r="W216" s="1"/>
      <c r="X216" s="1"/>
      <c r="Y216" s="1"/>
      <c r="Z216" s="1"/>
    </row>
    <row r="217" spans="1:26" ht="24.75" customHeight="1">
      <c r="A217" s="1"/>
      <c r="B217" s="1"/>
      <c r="C217" s="1"/>
      <c r="D217" s="1"/>
      <c r="E217" s="1"/>
      <c r="F217" s="1"/>
      <c r="G217" s="1"/>
      <c r="H217" s="1"/>
      <c r="I217" s="1"/>
      <c r="J217" s="1"/>
      <c r="K217" s="1"/>
      <c r="L217" s="1"/>
      <c r="M217" s="1"/>
      <c r="N217" s="1"/>
      <c r="O217" s="1"/>
      <c r="P217" s="1"/>
      <c r="Q217" s="1"/>
      <c r="R217" s="1"/>
      <c r="S217" s="1"/>
      <c r="T217" s="1"/>
      <c r="U217" s="2"/>
      <c r="V217" s="1"/>
      <c r="W217" s="1"/>
      <c r="X217" s="1"/>
      <c r="Y217" s="1"/>
      <c r="Z217" s="1"/>
    </row>
    <row r="218" spans="1:26" ht="24.75" customHeight="1">
      <c r="A218" s="1"/>
      <c r="B218" s="1"/>
      <c r="C218" s="1"/>
      <c r="D218" s="1"/>
      <c r="E218" s="1"/>
      <c r="F218" s="1"/>
      <c r="G218" s="1"/>
      <c r="H218" s="1"/>
      <c r="I218" s="1"/>
      <c r="J218" s="1"/>
      <c r="K218" s="1"/>
      <c r="L218" s="1"/>
      <c r="M218" s="1"/>
      <c r="N218" s="1"/>
      <c r="O218" s="1"/>
      <c r="P218" s="1"/>
      <c r="Q218" s="1"/>
      <c r="R218" s="1"/>
      <c r="S218" s="1"/>
      <c r="T218" s="1"/>
      <c r="U218" s="2"/>
      <c r="V218" s="1"/>
      <c r="W218" s="1"/>
      <c r="X218" s="1"/>
      <c r="Y218" s="1"/>
      <c r="Z218" s="1"/>
    </row>
    <row r="219" spans="1:26" ht="24.75" customHeight="1">
      <c r="A219" s="1"/>
      <c r="B219" s="1"/>
      <c r="C219" s="1"/>
      <c r="D219" s="1"/>
      <c r="E219" s="1"/>
      <c r="F219" s="1"/>
      <c r="G219" s="1"/>
      <c r="H219" s="1"/>
      <c r="I219" s="1"/>
      <c r="J219" s="1"/>
      <c r="K219" s="1"/>
      <c r="L219" s="1"/>
      <c r="M219" s="1"/>
      <c r="N219" s="1"/>
      <c r="O219" s="1"/>
      <c r="P219" s="1"/>
      <c r="Q219" s="1"/>
      <c r="R219" s="1"/>
      <c r="S219" s="1"/>
      <c r="T219" s="1"/>
      <c r="U219" s="2"/>
      <c r="V219" s="1"/>
      <c r="W219" s="1"/>
      <c r="X219" s="1"/>
      <c r="Y219" s="1"/>
      <c r="Z219" s="1"/>
    </row>
    <row r="220" spans="1:26" ht="24.75" customHeight="1">
      <c r="A220" s="1"/>
      <c r="B220" s="1"/>
      <c r="C220" s="1"/>
      <c r="D220" s="1"/>
      <c r="E220" s="1"/>
      <c r="F220" s="1"/>
      <c r="G220" s="1"/>
      <c r="H220" s="1"/>
      <c r="I220" s="1"/>
      <c r="J220" s="1"/>
      <c r="K220" s="1"/>
      <c r="L220" s="1"/>
      <c r="M220" s="1"/>
      <c r="N220" s="1"/>
      <c r="O220" s="1"/>
      <c r="P220" s="1"/>
      <c r="Q220" s="1"/>
      <c r="R220" s="1"/>
      <c r="S220" s="1"/>
      <c r="T220" s="1"/>
      <c r="U220" s="2"/>
      <c r="V220" s="1"/>
      <c r="W220" s="1"/>
      <c r="X220" s="1"/>
      <c r="Y220" s="1"/>
      <c r="Z220" s="1"/>
    </row>
    <row r="221" spans="1:26" ht="24.75" customHeight="1">
      <c r="A221" s="1"/>
      <c r="B221" s="1"/>
      <c r="C221" s="1"/>
      <c r="D221" s="1"/>
      <c r="E221" s="1"/>
      <c r="F221" s="1"/>
      <c r="G221" s="1"/>
      <c r="H221" s="1"/>
      <c r="I221" s="1"/>
      <c r="J221" s="1"/>
      <c r="K221" s="1"/>
      <c r="L221" s="1"/>
      <c r="M221" s="1"/>
      <c r="N221" s="1"/>
      <c r="O221" s="1"/>
      <c r="P221" s="1"/>
      <c r="Q221" s="1"/>
      <c r="R221" s="1"/>
      <c r="S221" s="1"/>
      <c r="T221" s="1"/>
      <c r="U221" s="2"/>
      <c r="V221" s="1"/>
      <c r="W221" s="1"/>
      <c r="X221" s="1"/>
      <c r="Y221" s="1"/>
      <c r="Z221" s="1"/>
    </row>
    <row r="222" spans="1:26" ht="24.75" customHeight="1">
      <c r="A222" s="1"/>
      <c r="B222" s="1"/>
      <c r="C222" s="1"/>
      <c r="D222" s="1"/>
      <c r="E222" s="1"/>
      <c r="F222" s="1"/>
      <c r="G222" s="1"/>
      <c r="H222" s="1"/>
      <c r="I222" s="1"/>
      <c r="J222" s="1"/>
      <c r="K222" s="1"/>
      <c r="L222" s="1"/>
      <c r="M222" s="1"/>
      <c r="N222" s="1"/>
      <c r="O222" s="1"/>
      <c r="P222" s="1"/>
      <c r="Q222" s="1"/>
      <c r="R222" s="1"/>
      <c r="S222" s="1"/>
      <c r="T222" s="1"/>
      <c r="U222" s="2"/>
      <c r="V222" s="1"/>
      <c r="W222" s="1"/>
      <c r="X222" s="1"/>
      <c r="Y222" s="1"/>
      <c r="Z222" s="1"/>
    </row>
    <row r="223" spans="1:26" ht="24.75" customHeight="1">
      <c r="A223" s="1"/>
      <c r="B223" s="1"/>
      <c r="C223" s="1"/>
      <c r="D223" s="1"/>
      <c r="E223" s="1"/>
      <c r="F223" s="1"/>
      <c r="G223" s="1"/>
      <c r="H223" s="1"/>
      <c r="I223" s="1"/>
      <c r="J223" s="1"/>
      <c r="K223" s="1"/>
      <c r="L223" s="1"/>
      <c r="M223" s="1"/>
      <c r="N223" s="1"/>
      <c r="O223" s="1"/>
      <c r="P223" s="1"/>
      <c r="Q223" s="1"/>
      <c r="R223" s="1"/>
      <c r="S223" s="1"/>
      <c r="T223" s="1"/>
      <c r="U223" s="2"/>
      <c r="V223" s="1"/>
      <c r="W223" s="1"/>
      <c r="X223" s="1"/>
      <c r="Y223" s="1"/>
      <c r="Z223" s="1"/>
    </row>
    <row r="224" spans="1:26" ht="24.75" customHeight="1">
      <c r="A224" s="1"/>
      <c r="B224" s="1"/>
      <c r="C224" s="1"/>
      <c r="D224" s="1"/>
      <c r="E224" s="1"/>
      <c r="F224" s="1"/>
      <c r="G224" s="1"/>
      <c r="H224" s="1"/>
      <c r="I224" s="1"/>
      <c r="J224" s="1"/>
      <c r="K224" s="1"/>
      <c r="L224" s="1"/>
      <c r="M224" s="1"/>
      <c r="N224" s="1"/>
      <c r="O224" s="1"/>
      <c r="P224" s="1"/>
      <c r="Q224" s="1"/>
      <c r="R224" s="1"/>
      <c r="S224" s="1"/>
      <c r="T224" s="1"/>
      <c r="U224" s="2"/>
      <c r="V224" s="1"/>
      <c r="W224" s="1"/>
      <c r="X224" s="1"/>
      <c r="Y224" s="1"/>
      <c r="Z224" s="1"/>
    </row>
    <row r="225" spans="1:26" ht="24.75" customHeight="1">
      <c r="A225" s="1"/>
      <c r="B225" s="1"/>
      <c r="C225" s="1"/>
      <c r="D225" s="1"/>
      <c r="E225" s="1"/>
      <c r="F225" s="1"/>
      <c r="G225" s="1"/>
      <c r="H225" s="1"/>
      <c r="I225" s="1"/>
      <c r="J225" s="1"/>
      <c r="K225" s="1"/>
      <c r="L225" s="1"/>
      <c r="M225" s="1"/>
      <c r="N225" s="1"/>
      <c r="O225" s="1"/>
      <c r="P225" s="1"/>
      <c r="Q225" s="1"/>
      <c r="R225" s="1"/>
      <c r="S225" s="1"/>
      <c r="T225" s="1"/>
      <c r="U225" s="2"/>
      <c r="V225" s="1"/>
      <c r="W225" s="1"/>
      <c r="X225" s="1"/>
      <c r="Y225" s="1"/>
      <c r="Z225" s="1"/>
    </row>
    <row r="226" spans="1:26" ht="24.75" customHeight="1">
      <c r="A226" s="1"/>
      <c r="B226" s="1"/>
      <c r="C226" s="1"/>
      <c r="D226" s="1"/>
      <c r="E226" s="1"/>
      <c r="F226" s="1"/>
      <c r="G226" s="1"/>
      <c r="H226" s="1"/>
      <c r="I226" s="1"/>
      <c r="J226" s="1"/>
      <c r="K226" s="1"/>
      <c r="L226" s="1"/>
      <c r="M226" s="1"/>
      <c r="N226" s="1"/>
      <c r="O226" s="1"/>
      <c r="P226" s="1"/>
      <c r="Q226" s="1"/>
      <c r="R226" s="1"/>
      <c r="S226" s="1"/>
      <c r="T226" s="1"/>
      <c r="U226" s="2"/>
      <c r="V226" s="1"/>
      <c r="W226" s="1"/>
      <c r="X226" s="1"/>
      <c r="Y226" s="1"/>
      <c r="Z226" s="1"/>
    </row>
    <row r="227" spans="1:26" ht="24.75" customHeight="1">
      <c r="A227" s="1"/>
      <c r="B227" s="1"/>
      <c r="C227" s="1"/>
      <c r="D227" s="1"/>
      <c r="E227" s="1"/>
      <c r="F227" s="1"/>
      <c r="G227" s="1"/>
      <c r="H227" s="1"/>
      <c r="I227" s="1"/>
      <c r="J227" s="1"/>
      <c r="K227" s="1"/>
      <c r="L227" s="1"/>
      <c r="M227" s="1"/>
      <c r="N227" s="1"/>
      <c r="O227" s="1"/>
      <c r="P227" s="1"/>
      <c r="Q227" s="1"/>
      <c r="R227" s="1"/>
      <c r="S227" s="1"/>
      <c r="T227" s="1"/>
      <c r="U227" s="2"/>
      <c r="V227" s="1"/>
      <c r="W227" s="1"/>
      <c r="X227" s="1"/>
      <c r="Y227" s="1"/>
      <c r="Z227" s="1"/>
    </row>
    <row r="228" spans="1:26" ht="24.75" customHeight="1">
      <c r="A228" s="1"/>
      <c r="B228" s="1"/>
      <c r="C228" s="1"/>
      <c r="D228" s="1"/>
      <c r="E228" s="1"/>
      <c r="F228" s="1"/>
      <c r="G228" s="1"/>
      <c r="H228" s="1"/>
      <c r="I228" s="1"/>
      <c r="J228" s="1"/>
      <c r="K228" s="1"/>
      <c r="L228" s="1"/>
      <c r="M228" s="1"/>
      <c r="N228" s="1"/>
      <c r="O228" s="1"/>
      <c r="P228" s="1"/>
      <c r="Q228" s="1"/>
      <c r="R228" s="1"/>
      <c r="S228" s="1"/>
      <c r="T228" s="1"/>
      <c r="U228" s="2"/>
      <c r="V228" s="1"/>
      <c r="W228" s="1"/>
      <c r="X228" s="1"/>
      <c r="Y228" s="1"/>
      <c r="Z228" s="1"/>
    </row>
    <row r="229" spans="1:26" ht="24.75" customHeight="1">
      <c r="A229" s="1"/>
      <c r="B229" s="1"/>
      <c r="C229" s="1"/>
      <c r="D229" s="1"/>
      <c r="E229" s="1"/>
      <c r="F229" s="1"/>
      <c r="G229" s="1"/>
      <c r="H229" s="1"/>
      <c r="I229" s="1"/>
      <c r="J229" s="1"/>
      <c r="K229" s="1"/>
      <c r="L229" s="1"/>
      <c r="M229" s="1"/>
      <c r="N229" s="1"/>
      <c r="O229" s="1"/>
      <c r="P229" s="1"/>
      <c r="Q229" s="1"/>
      <c r="R229" s="1"/>
      <c r="S229" s="1"/>
      <c r="T229" s="1"/>
      <c r="U229" s="2"/>
      <c r="V229" s="1"/>
      <c r="W229" s="1"/>
      <c r="X229" s="1"/>
      <c r="Y229" s="1"/>
      <c r="Z229" s="1"/>
    </row>
    <row r="230" spans="1:26" ht="24.75" customHeight="1">
      <c r="A230" s="1"/>
      <c r="B230" s="1"/>
      <c r="C230" s="1"/>
      <c r="D230" s="1"/>
      <c r="E230" s="1"/>
      <c r="F230" s="1"/>
      <c r="G230" s="1"/>
      <c r="H230" s="1"/>
      <c r="I230" s="1"/>
      <c r="J230" s="1"/>
      <c r="K230" s="1"/>
      <c r="L230" s="1"/>
      <c r="M230" s="1"/>
      <c r="N230" s="1"/>
      <c r="O230" s="1"/>
      <c r="P230" s="1"/>
      <c r="Q230" s="1"/>
      <c r="R230" s="1"/>
      <c r="S230" s="1"/>
      <c r="T230" s="1"/>
      <c r="U230" s="2"/>
      <c r="V230" s="1"/>
      <c r="W230" s="1"/>
      <c r="X230" s="1"/>
      <c r="Y230" s="1"/>
      <c r="Z230" s="1"/>
    </row>
    <row r="231" spans="1:26" ht="24.75" customHeight="1">
      <c r="A231" s="1"/>
      <c r="B231" s="1"/>
      <c r="C231" s="1"/>
      <c r="D231" s="1"/>
      <c r="E231" s="1"/>
      <c r="F231" s="1"/>
      <c r="G231" s="1"/>
      <c r="H231" s="1"/>
      <c r="I231" s="1"/>
      <c r="J231" s="1"/>
      <c r="K231" s="1"/>
      <c r="L231" s="1"/>
      <c r="M231" s="1"/>
      <c r="N231" s="1"/>
      <c r="O231" s="1"/>
      <c r="P231" s="1"/>
      <c r="Q231" s="1"/>
      <c r="R231" s="1"/>
      <c r="S231" s="1"/>
      <c r="T231" s="1"/>
      <c r="U231" s="2"/>
      <c r="V231" s="1"/>
      <c r="W231" s="1"/>
      <c r="X231" s="1"/>
      <c r="Y231" s="1"/>
      <c r="Z231" s="1"/>
    </row>
    <row r="232" spans="1:26" ht="24.75" customHeight="1">
      <c r="A232" s="1"/>
      <c r="B232" s="1"/>
      <c r="C232" s="1"/>
      <c r="D232" s="1"/>
      <c r="E232" s="1"/>
      <c r="F232" s="1"/>
      <c r="G232" s="1"/>
      <c r="H232" s="1"/>
      <c r="I232" s="1"/>
      <c r="J232" s="1"/>
      <c r="K232" s="1"/>
      <c r="L232" s="1"/>
      <c r="M232" s="1"/>
      <c r="N232" s="1"/>
      <c r="O232" s="1"/>
      <c r="P232" s="1"/>
      <c r="Q232" s="1"/>
      <c r="R232" s="1"/>
      <c r="S232" s="1"/>
      <c r="T232" s="1"/>
      <c r="U232" s="2"/>
      <c r="V232" s="1"/>
      <c r="W232" s="1"/>
      <c r="X232" s="1"/>
      <c r="Y232" s="1"/>
      <c r="Z232" s="1"/>
    </row>
    <row r="233" spans="1:26" ht="24.75" customHeight="1">
      <c r="A233" s="1"/>
      <c r="B233" s="1"/>
      <c r="C233" s="1"/>
      <c r="D233" s="1"/>
      <c r="E233" s="1"/>
      <c r="F233" s="1"/>
      <c r="G233" s="1"/>
      <c r="H233" s="1"/>
      <c r="I233" s="1"/>
      <c r="J233" s="1"/>
      <c r="K233" s="1"/>
      <c r="L233" s="1"/>
      <c r="M233" s="1"/>
      <c r="N233" s="1"/>
      <c r="O233" s="1"/>
      <c r="P233" s="1"/>
      <c r="Q233" s="1"/>
      <c r="R233" s="1"/>
      <c r="S233" s="1"/>
      <c r="T233" s="1"/>
      <c r="U233" s="2"/>
      <c r="V233" s="1"/>
      <c r="W233" s="1"/>
      <c r="X233" s="1"/>
      <c r="Y233" s="1"/>
      <c r="Z233" s="1"/>
    </row>
    <row r="234" spans="1:26" ht="24.75" customHeight="1">
      <c r="A234" s="1"/>
      <c r="B234" s="1"/>
      <c r="C234" s="1"/>
      <c r="D234" s="1"/>
      <c r="E234" s="1"/>
      <c r="F234" s="1"/>
      <c r="G234" s="1"/>
      <c r="H234" s="1"/>
      <c r="I234" s="1"/>
      <c r="J234" s="1"/>
      <c r="K234" s="1"/>
      <c r="L234" s="1"/>
      <c r="M234" s="1"/>
      <c r="N234" s="1"/>
      <c r="O234" s="1"/>
      <c r="P234" s="1"/>
      <c r="Q234" s="1"/>
      <c r="R234" s="1"/>
      <c r="S234" s="1"/>
      <c r="T234" s="1"/>
      <c r="U234" s="2"/>
      <c r="V234" s="1"/>
      <c r="W234" s="1"/>
      <c r="X234" s="1"/>
      <c r="Y234" s="1"/>
      <c r="Z234" s="1"/>
    </row>
    <row r="235" spans="1:26" ht="24.75" customHeight="1">
      <c r="A235" s="1"/>
      <c r="B235" s="1"/>
      <c r="C235" s="1"/>
      <c r="D235" s="1"/>
      <c r="E235" s="1"/>
      <c r="F235" s="1"/>
      <c r="G235" s="1"/>
      <c r="H235" s="1"/>
      <c r="I235" s="1"/>
      <c r="J235" s="1"/>
      <c r="K235" s="1"/>
      <c r="L235" s="1"/>
      <c r="M235" s="1"/>
      <c r="N235" s="1"/>
      <c r="O235" s="1"/>
      <c r="P235" s="1"/>
      <c r="Q235" s="1"/>
      <c r="R235" s="1"/>
      <c r="S235" s="1"/>
      <c r="T235" s="1"/>
      <c r="U235" s="2"/>
      <c r="V235" s="1"/>
      <c r="W235" s="1"/>
      <c r="X235" s="1"/>
      <c r="Y235" s="1"/>
      <c r="Z235" s="1"/>
    </row>
    <row r="236" spans="1:26" ht="24.75" customHeight="1">
      <c r="A236" s="1"/>
      <c r="B236" s="1"/>
      <c r="C236" s="1"/>
      <c r="D236" s="1"/>
      <c r="E236" s="1"/>
      <c r="F236" s="1"/>
      <c r="G236" s="1"/>
      <c r="H236" s="1"/>
      <c r="I236" s="1"/>
      <c r="J236" s="1"/>
      <c r="K236" s="1"/>
      <c r="L236" s="1"/>
      <c r="M236" s="1"/>
      <c r="N236" s="1"/>
      <c r="O236" s="1"/>
      <c r="P236" s="1"/>
      <c r="Q236" s="1"/>
      <c r="R236" s="1"/>
      <c r="S236" s="1"/>
      <c r="T236" s="1"/>
      <c r="U236" s="2"/>
      <c r="V236" s="1"/>
      <c r="W236" s="1"/>
      <c r="X236" s="1"/>
      <c r="Y236" s="1"/>
      <c r="Z236" s="1"/>
    </row>
    <row r="237" spans="1:26" ht="24.75" customHeight="1">
      <c r="A237" s="1"/>
      <c r="B237" s="1"/>
      <c r="C237" s="1"/>
      <c r="D237" s="1"/>
      <c r="E237" s="1"/>
      <c r="F237" s="1"/>
      <c r="G237" s="1"/>
      <c r="H237" s="1"/>
      <c r="I237" s="1"/>
      <c r="J237" s="1"/>
      <c r="K237" s="1"/>
      <c r="L237" s="1"/>
      <c r="M237" s="1"/>
      <c r="N237" s="1"/>
      <c r="O237" s="1"/>
      <c r="P237" s="1"/>
      <c r="Q237" s="1"/>
      <c r="R237" s="1"/>
      <c r="S237" s="1"/>
      <c r="T237" s="1"/>
      <c r="U237" s="2"/>
      <c r="V237" s="1"/>
      <c r="W237" s="1"/>
      <c r="X237" s="1"/>
      <c r="Y237" s="1"/>
      <c r="Z237" s="1"/>
    </row>
    <row r="238" spans="1:26" ht="24.75" customHeight="1">
      <c r="A238" s="1"/>
      <c r="B238" s="1"/>
      <c r="C238" s="1"/>
      <c r="D238" s="1"/>
      <c r="E238" s="1"/>
      <c r="F238" s="1"/>
      <c r="G238" s="1"/>
      <c r="H238" s="1"/>
      <c r="I238" s="1"/>
      <c r="J238" s="1"/>
      <c r="K238" s="1"/>
      <c r="L238" s="1"/>
      <c r="M238" s="1"/>
      <c r="N238" s="1"/>
      <c r="O238" s="1"/>
      <c r="P238" s="1"/>
      <c r="Q238" s="1"/>
      <c r="R238" s="1"/>
      <c r="S238" s="1"/>
      <c r="T238" s="1"/>
      <c r="U238" s="2"/>
      <c r="V238" s="1"/>
      <c r="W238" s="1"/>
      <c r="X238" s="1"/>
      <c r="Y238" s="1"/>
      <c r="Z238" s="1"/>
    </row>
    <row r="239" spans="1:26" ht="24.75" customHeight="1">
      <c r="A239" s="1"/>
      <c r="B239" s="1"/>
      <c r="C239" s="1"/>
      <c r="D239" s="1"/>
      <c r="E239" s="1"/>
      <c r="F239" s="1"/>
      <c r="G239" s="1"/>
      <c r="H239" s="1"/>
      <c r="I239" s="1"/>
      <c r="J239" s="1"/>
      <c r="K239" s="1"/>
      <c r="L239" s="1"/>
      <c r="M239" s="1"/>
      <c r="N239" s="1"/>
      <c r="O239" s="1"/>
      <c r="P239" s="1"/>
      <c r="Q239" s="1"/>
      <c r="R239" s="1"/>
      <c r="S239" s="1"/>
      <c r="T239" s="1"/>
      <c r="U239" s="2"/>
      <c r="V239" s="1"/>
      <c r="W239" s="1"/>
      <c r="X239" s="1"/>
      <c r="Y239" s="1"/>
      <c r="Z239" s="1"/>
    </row>
    <row r="240" spans="1:26" ht="24.75" customHeight="1">
      <c r="A240" s="1"/>
      <c r="B240" s="1"/>
      <c r="C240" s="1"/>
      <c r="D240" s="1"/>
      <c r="E240" s="1"/>
      <c r="F240" s="1"/>
      <c r="G240" s="1"/>
      <c r="H240" s="1"/>
      <c r="I240" s="1"/>
      <c r="J240" s="1"/>
      <c r="K240" s="1"/>
      <c r="L240" s="1"/>
      <c r="M240" s="1"/>
      <c r="N240" s="1"/>
      <c r="O240" s="1"/>
      <c r="P240" s="1"/>
      <c r="Q240" s="1"/>
      <c r="R240" s="1"/>
      <c r="S240" s="1"/>
      <c r="T240" s="1"/>
      <c r="U240" s="2"/>
      <c r="V240" s="1"/>
      <c r="W240" s="1"/>
      <c r="X240" s="1"/>
      <c r="Y240" s="1"/>
      <c r="Z240" s="1"/>
    </row>
    <row r="241" spans="1:26" ht="24.75" customHeight="1">
      <c r="A241" s="1"/>
      <c r="B241" s="1"/>
      <c r="C241" s="1"/>
      <c r="D241" s="1"/>
      <c r="E241" s="1"/>
      <c r="F241" s="1"/>
      <c r="G241" s="1"/>
      <c r="H241" s="1"/>
      <c r="I241" s="1"/>
      <c r="J241" s="1"/>
      <c r="K241" s="1"/>
      <c r="L241" s="1"/>
      <c r="M241" s="1"/>
      <c r="N241" s="1"/>
      <c r="O241" s="1"/>
      <c r="P241" s="1"/>
      <c r="Q241" s="1"/>
      <c r="R241" s="1"/>
      <c r="S241" s="1"/>
      <c r="T241" s="1"/>
      <c r="U241" s="2"/>
      <c r="V241" s="1"/>
      <c r="W241" s="1"/>
      <c r="X241" s="1"/>
      <c r="Y241" s="1"/>
      <c r="Z241" s="1"/>
    </row>
    <row r="242" spans="1:26" ht="24.75" customHeight="1">
      <c r="A242" s="1"/>
      <c r="B242" s="1"/>
      <c r="C242" s="1"/>
      <c r="D242" s="1"/>
      <c r="E242" s="1"/>
      <c r="F242" s="1"/>
      <c r="G242" s="1"/>
      <c r="H242" s="1"/>
      <c r="I242" s="1"/>
      <c r="J242" s="1"/>
      <c r="K242" s="1"/>
      <c r="L242" s="1"/>
      <c r="M242" s="1"/>
      <c r="N242" s="1"/>
      <c r="O242" s="1"/>
      <c r="P242" s="1"/>
      <c r="Q242" s="1"/>
      <c r="R242" s="1"/>
      <c r="S242" s="1"/>
      <c r="T242" s="1"/>
      <c r="U242" s="2"/>
      <c r="V242" s="1"/>
      <c r="W242" s="1"/>
      <c r="X242" s="1"/>
      <c r="Y242" s="1"/>
      <c r="Z242" s="1"/>
    </row>
    <row r="243" spans="1:26" ht="24.75" customHeight="1">
      <c r="A243" s="1"/>
      <c r="B243" s="1"/>
      <c r="C243" s="1"/>
      <c r="D243" s="1"/>
      <c r="E243" s="1"/>
      <c r="F243" s="1"/>
      <c r="G243" s="1"/>
      <c r="H243" s="1"/>
      <c r="I243" s="1"/>
      <c r="J243" s="1"/>
      <c r="K243" s="1"/>
      <c r="L243" s="1"/>
      <c r="M243" s="1"/>
      <c r="N243" s="1"/>
      <c r="O243" s="1"/>
      <c r="P243" s="1"/>
      <c r="Q243" s="1"/>
      <c r="R243" s="1"/>
      <c r="S243" s="1"/>
      <c r="T243" s="1"/>
      <c r="U243" s="2"/>
      <c r="V243" s="1"/>
      <c r="W243" s="1"/>
      <c r="X243" s="1"/>
      <c r="Y243" s="1"/>
      <c r="Z243" s="1"/>
    </row>
    <row r="244" spans="1:26" ht="24.75" customHeight="1">
      <c r="A244" s="1"/>
      <c r="B244" s="1"/>
      <c r="C244" s="1"/>
      <c r="D244" s="1"/>
      <c r="E244" s="1"/>
      <c r="F244" s="1"/>
      <c r="G244" s="1"/>
      <c r="H244" s="1"/>
      <c r="I244" s="1"/>
      <c r="J244" s="1"/>
      <c r="K244" s="1"/>
      <c r="L244" s="1"/>
      <c r="M244" s="1"/>
      <c r="N244" s="1"/>
      <c r="O244" s="1"/>
      <c r="P244" s="1"/>
      <c r="Q244" s="1"/>
      <c r="R244" s="1"/>
      <c r="S244" s="1"/>
      <c r="T244" s="1"/>
      <c r="U244" s="2"/>
      <c r="V244" s="1"/>
      <c r="W244" s="1"/>
      <c r="X244" s="1"/>
      <c r="Y244" s="1"/>
      <c r="Z244" s="1"/>
    </row>
    <row r="245" spans="1:26" ht="24.75" customHeight="1">
      <c r="A245" s="1"/>
      <c r="B245" s="1"/>
      <c r="C245" s="1"/>
      <c r="D245" s="1"/>
      <c r="E245" s="1"/>
      <c r="F245" s="1"/>
      <c r="G245" s="1"/>
      <c r="H245" s="1"/>
      <c r="I245" s="1"/>
      <c r="J245" s="1"/>
      <c r="K245" s="1"/>
      <c r="L245" s="1"/>
      <c r="M245" s="1"/>
      <c r="N245" s="1"/>
      <c r="O245" s="1"/>
      <c r="P245" s="1"/>
      <c r="Q245" s="1"/>
      <c r="R245" s="1"/>
      <c r="S245" s="1"/>
      <c r="T245" s="1"/>
      <c r="U245" s="2"/>
      <c r="V245" s="1"/>
      <c r="W245" s="1"/>
      <c r="X245" s="1"/>
      <c r="Y245" s="1"/>
      <c r="Z245" s="1"/>
    </row>
    <row r="246" spans="1:26" ht="24.75" customHeight="1">
      <c r="A246" s="1"/>
      <c r="B246" s="1"/>
      <c r="C246" s="1"/>
      <c r="D246" s="1"/>
      <c r="E246" s="1"/>
      <c r="F246" s="1"/>
      <c r="G246" s="1"/>
      <c r="H246" s="1"/>
      <c r="I246" s="1"/>
      <c r="J246" s="1"/>
      <c r="K246" s="1"/>
      <c r="L246" s="1"/>
      <c r="M246" s="1"/>
      <c r="N246" s="1"/>
      <c r="O246" s="1"/>
      <c r="P246" s="1"/>
      <c r="Q246" s="1"/>
      <c r="R246" s="1"/>
      <c r="S246" s="1"/>
      <c r="T246" s="1"/>
      <c r="U246" s="2"/>
      <c r="V246" s="1"/>
      <c r="W246" s="1"/>
      <c r="X246" s="1"/>
      <c r="Y246" s="1"/>
      <c r="Z246" s="1"/>
    </row>
    <row r="247" spans="1:26" ht="24.75" customHeight="1">
      <c r="A247" s="1"/>
      <c r="B247" s="1"/>
      <c r="C247" s="1"/>
      <c r="D247" s="1"/>
      <c r="E247" s="1"/>
      <c r="F247" s="1"/>
      <c r="G247" s="1"/>
      <c r="H247" s="1"/>
      <c r="I247" s="1"/>
      <c r="J247" s="1"/>
      <c r="K247" s="1"/>
      <c r="L247" s="1"/>
      <c r="M247" s="1"/>
      <c r="N247" s="1"/>
      <c r="O247" s="1"/>
      <c r="P247" s="1"/>
      <c r="Q247" s="1"/>
      <c r="R247" s="1"/>
      <c r="S247" s="1"/>
      <c r="T247" s="1"/>
      <c r="U247" s="2"/>
      <c r="V247" s="1"/>
      <c r="W247" s="1"/>
      <c r="X247" s="1"/>
      <c r="Y247" s="1"/>
      <c r="Z247" s="1"/>
    </row>
    <row r="248" spans="1:26" ht="24.75" customHeight="1">
      <c r="A248" s="1"/>
      <c r="B248" s="1"/>
      <c r="C248" s="1"/>
      <c r="D248" s="1"/>
      <c r="E248" s="1"/>
      <c r="F248" s="1"/>
      <c r="G248" s="1"/>
      <c r="H248" s="1"/>
      <c r="I248" s="1"/>
      <c r="J248" s="1"/>
      <c r="K248" s="1"/>
      <c r="L248" s="1"/>
      <c r="M248" s="1"/>
      <c r="N248" s="1"/>
      <c r="O248" s="1"/>
      <c r="P248" s="1"/>
      <c r="Q248" s="1"/>
      <c r="R248" s="1"/>
      <c r="S248" s="1"/>
      <c r="T248" s="1"/>
      <c r="U248" s="2"/>
      <c r="V248" s="1"/>
      <c r="W248" s="1"/>
      <c r="X248" s="1"/>
      <c r="Y248" s="1"/>
      <c r="Z248" s="1"/>
    </row>
    <row r="249" spans="1:26" ht="24.75" customHeight="1">
      <c r="A249" s="1"/>
      <c r="B249" s="1"/>
      <c r="C249" s="1"/>
      <c r="D249" s="1"/>
      <c r="E249" s="1"/>
      <c r="F249" s="1"/>
      <c r="G249" s="1"/>
      <c r="H249" s="1"/>
      <c r="I249" s="1"/>
      <c r="J249" s="1"/>
      <c r="K249" s="1"/>
      <c r="L249" s="1"/>
      <c r="M249" s="1"/>
      <c r="N249" s="1"/>
      <c r="O249" s="1"/>
      <c r="P249" s="1"/>
      <c r="Q249" s="1"/>
      <c r="R249" s="1"/>
      <c r="S249" s="1"/>
      <c r="T249" s="1"/>
      <c r="U249" s="2"/>
      <c r="V249" s="1"/>
      <c r="W249" s="1"/>
      <c r="X249" s="1"/>
      <c r="Y249" s="1"/>
      <c r="Z249" s="1"/>
    </row>
    <row r="250" spans="1:26" ht="24.75" customHeight="1">
      <c r="A250" s="1"/>
      <c r="B250" s="1"/>
      <c r="C250" s="1"/>
      <c r="D250" s="1"/>
      <c r="E250" s="1"/>
      <c r="F250" s="1"/>
      <c r="G250" s="1"/>
      <c r="H250" s="1"/>
      <c r="I250" s="1"/>
      <c r="J250" s="1"/>
      <c r="K250" s="1"/>
      <c r="L250" s="1"/>
      <c r="M250" s="1"/>
      <c r="N250" s="1"/>
      <c r="O250" s="1"/>
      <c r="P250" s="1"/>
      <c r="Q250" s="1"/>
      <c r="R250" s="1"/>
      <c r="S250" s="1"/>
      <c r="T250" s="1"/>
      <c r="U250" s="2"/>
      <c r="V250" s="1"/>
      <c r="W250" s="1"/>
      <c r="X250" s="1"/>
      <c r="Y250" s="1"/>
      <c r="Z250" s="1"/>
    </row>
    <row r="251" spans="1:26" ht="24.75" customHeight="1">
      <c r="A251" s="1"/>
      <c r="B251" s="1"/>
      <c r="C251" s="1"/>
      <c r="D251" s="1"/>
      <c r="E251" s="1"/>
      <c r="F251" s="1"/>
      <c r="G251" s="1"/>
      <c r="H251" s="1"/>
      <c r="I251" s="1"/>
      <c r="J251" s="1"/>
      <c r="K251" s="1"/>
      <c r="L251" s="1"/>
      <c r="M251" s="1"/>
      <c r="N251" s="1"/>
      <c r="O251" s="1"/>
      <c r="P251" s="1"/>
      <c r="Q251" s="1"/>
      <c r="R251" s="1"/>
      <c r="S251" s="1"/>
      <c r="T251" s="1"/>
      <c r="U251" s="2"/>
      <c r="V251" s="1"/>
      <c r="W251" s="1"/>
      <c r="X251" s="1"/>
      <c r="Y251" s="1"/>
      <c r="Z251" s="1"/>
    </row>
    <row r="252" spans="1:26" ht="24.75" customHeight="1">
      <c r="A252" s="1"/>
      <c r="B252" s="1"/>
      <c r="C252" s="1"/>
      <c r="D252" s="1"/>
      <c r="E252" s="1"/>
      <c r="F252" s="1"/>
      <c r="G252" s="1"/>
      <c r="H252" s="1"/>
      <c r="I252" s="1"/>
      <c r="J252" s="1"/>
      <c r="K252" s="1"/>
      <c r="L252" s="1"/>
      <c r="M252" s="1"/>
      <c r="N252" s="1"/>
      <c r="O252" s="1"/>
      <c r="P252" s="1"/>
      <c r="Q252" s="1"/>
      <c r="R252" s="1"/>
      <c r="S252" s="1"/>
      <c r="T252" s="1"/>
      <c r="U252" s="2"/>
      <c r="V252" s="1"/>
      <c r="W252" s="1"/>
      <c r="X252" s="1"/>
      <c r="Y252" s="1"/>
      <c r="Z252" s="1"/>
    </row>
    <row r="253" spans="1:26" ht="24.75" customHeight="1">
      <c r="A253" s="1"/>
      <c r="B253" s="1"/>
      <c r="C253" s="1"/>
      <c r="D253" s="1"/>
      <c r="E253" s="1"/>
      <c r="F253" s="1"/>
      <c r="G253" s="1"/>
      <c r="H253" s="1"/>
      <c r="I253" s="1"/>
      <c r="J253" s="1"/>
      <c r="K253" s="1"/>
      <c r="L253" s="1"/>
      <c r="M253" s="1"/>
      <c r="N253" s="1"/>
      <c r="O253" s="1"/>
      <c r="P253" s="1"/>
      <c r="Q253" s="1"/>
      <c r="R253" s="1"/>
      <c r="S253" s="1"/>
      <c r="T253" s="1"/>
      <c r="U253" s="2"/>
      <c r="V253" s="1"/>
      <c r="W253" s="1"/>
      <c r="X253" s="1"/>
      <c r="Y253" s="1"/>
      <c r="Z253" s="1"/>
    </row>
    <row r="254" spans="1:26" ht="24.75" customHeight="1">
      <c r="A254" s="1"/>
      <c r="B254" s="1"/>
      <c r="C254" s="1"/>
      <c r="D254" s="1"/>
      <c r="E254" s="1"/>
      <c r="F254" s="1"/>
      <c r="G254" s="1"/>
      <c r="H254" s="1"/>
      <c r="I254" s="1"/>
      <c r="J254" s="1"/>
      <c r="K254" s="1"/>
      <c r="L254" s="1"/>
      <c r="M254" s="1"/>
      <c r="N254" s="1"/>
      <c r="O254" s="1"/>
      <c r="P254" s="1"/>
      <c r="Q254" s="1"/>
      <c r="R254" s="1"/>
      <c r="S254" s="1"/>
      <c r="T254" s="1"/>
      <c r="U254" s="2"/>
      <c r="V254" s="1"/>
      <c r="W254" s="1"/>
      <c r="X254" s="1"/>
      <c r="Y254" s="1"/>
      <c r="Z254" s="1"/>
    </row>
    <row r="255" spans="1:26" ht="24.75" customHeight="1">
      <c r="A255" s="1"/>
      <c r="B255" s="1"/>
      <c r="C255" s="1"/>
      <c r="D255" s="1"/>
      <c r="E255" s="1"/>
      <c r="F255" s="1"/>
      <c r="G255" s="1"/>
      <c r="H255" s="1"/>
      <c r="I255" s="1"/>
      <c r="J255" s="1"/>
      <c r="K255" s="1"/>
      <c r="L255" s="1"/>
      <c r="M255" s="1"/>
      <c r="N255" s="1"/>
      <c r="O255" s="1"/>
      <c r="P255" s="1"/>
      <c r="Q255" s="1"/>
      <c r="R255" s="1"/>
      <c r="S255" s="1"/>
      <c r="T255" s="1"/>
      <c r="U255" s="2"/>
      <c r="V255" s="1"/>
      <c r="W255" s="1"/>
      <c r="X255" s="1"/>
      <c r="Y255" s="1"/>
      <c r="Z255" s="1"/>
    </row>
    <row r="256" spans="1:26" ht="24.75" customHeight="1">
      <c r="A256" s="1"/>
      <c r="B256" s="1"/>
      <c r="C256" s="1"/>
      <c r="D256" s="1"/>
      <c r="E256" s="1"/>
      <c r="F256" s="1"/>
      <c r="G256" s="1"/>
      <c r="H256" s="1"/>
      <c r="I256" s="1"/>
      <c r="J256" s="1"/>
      <c r="K256" s="1"/>
      <c r="L256" s="1"/>
      <c r="M256" s="1"/>
      <c r="N256" s="1"/>
      <c r="O256" s="1"/>
      <c r="P256" s="1"/>
      <c r="Q256" s="1"/>
      <c r="R256" s="1"/>
      <c r="S256" s="1"/>
      <c r="T256" s="1"/>
      <c r="U256" s="2"/>
      <c r="V256" s="1"/>
      <c r="W256" s="1"/>
      <c r="X256" s="1"/>
      <c r="Y256" s="1"/>
      <c r="Z256" s="1"/>
    </row>
    <row r="257" spans="1:26" ht="24.75" customHeight="1">
      <c r="A257" s="1"/>
      <c r="B257" s="1"/>
      <c r="C257" s="1"/>
      <c r="D257" s="1"/>
      <c r="E257" s="1"/>
      <c r="F257" s="1"/>
      <c r="G257" s="1"/>
      <c r="H257" s="1"/>
      <c r="I257" s="1"/>
      <c r="J257" s="1"/>
      <c r="K257" s="1"/>
      <c r="L257" s="1"/>
      <c r="M257" s="1"/>
      <c r="N257" s="1"/>
      <c r="O257" s="1"/>
      <c r="P257" s="1"/>
      <c r="Q257" s="1"/>
      <c r="R257" s="1"/>
      <c r="S257" s="1"/>
      <c r="T257" s="1"/>
      <c r="U257" s="2"/>
      <c r="V257" s="1"/>
      <c r="W257" s="1"/>
      <c r="X257" s="1"/>
      <c r="Y257" s="1"/>
      <c r="Z257" s="1"/>
    </row>
    <row r="258" spans="1:26" ht="24.75" customHeight="1">
      <c r="A258" s="1"/>
      <c r="B258" s="1"/>
      <c r="C258" s="1"/>
      <c r="D258" s="1"/>
      <c r="E258" s="1"/>
      <c r="F258" s="1"/>
      <c r="G258" s="1"/>
      <c r="H258" s="1"/>
      <c r="I258" s="1"/>
      <c r="J258" s="1"/>
      <c r="K258" s="1"/>
      <c r="L258" s="1"/>
      <c r="M258" s="1"/>
      <c r="N258" s="1"/>
      <c r="O258" s="1"/>
      <c r="P258" s="1"/>
      <c r="Q258" s="1"/>
      <c r="R258" s="1"/>
      <c r="S258" s="1"/>
      <c r="T258" s="1"/>
      <c r="U258" s="2"/>
      <c r="V258" s="1"/>
      <c r="W258" s="1"/>
      <c r="X258" s="1"/>
      <c r="Y258" s="1"/>
      <c r="Z258" s="1"/>
    </row>
    <row r="259" spans="1:26" ht="24.75" customHeight="1">
      <c r="A259" s="1"/>
      <c r="B259" s="1"/>
      <c r="C259" s="1"/>
      <c r="D259" s="1"/>
      <c r="E259" s="1"/>
      <c r="F259" s="1"/>
      <c r="G259" s="1"/>
      <c r="H259" s="1"/>
      <c r="I259" s="1"/>
      <c r="J259" s="1"/>
      <c r="K259" s="1"/>
      <c r="L259" s="1"/>
      <c r="M259" s="1"/>
      <c r="N259" s="1"/>
      <c r="O259" s="1"/>
      <c r="P259" s="1"/>
      <c r="Q259" s="1"/>
      <c r="R259" s="1"/>
      <c r="S259" s="1"/>
      <c r="T259" s="1"/>
      <c r="U259" s="2"/>
      <c r="V259" s="1"/>
      <c r="W259" s="1"/>
      <c r="X259" s="1"/>
      <c r="Y259" s="1"/>
      <c r="Z259" s="1"/>
    </row>
    <row r="260" spans="1:26" ht="24.75" customHeight="1">
      <c r="A260" s="1"/>
      <c r="B260" s="1"/>
      <c r="C260" s="1"/>
      <c r="D260" s="1"/>
      <c r="E260" s="1"/>
      <c r="F260" s="1"/>
      <c r="G260" s="1"/>
      <c r="H260" s="1"/>
      <c r="I260" s="1"/>
      <c r="J260" s="1"/>
      <c r="K260" s="1"/>
      <c r="L260" s="1"/>
      <c r="M260" s="1"/>
      <c r="N260" s="1"/>
      <c r="O260" s="1"/>
      <c r="P260" s="1"/>
      <c r="Q260" s="1"/>
      <c r="R260" s="1"/>
      <c r="S260" s="1"/>
      <c r="T260" s="1"/>
      <c r="U260" s="2"/>
      <c r="V260" s="1"/>
      <c r="W260" s="1"/>
      <c r="X260" s="1"/>
      <c r="Y260" s="1"/>
      <c r="Z260" s="1"/>
    </row>
    <row r="261" spans="1:26" ht="24.75" customHeight="1">
      <c r="A261" s="1"/>
      <c r="B261" s="1"/>
      <c r="C261" s="1"/>
      <c r="D261" s="1"/>
      <c r="E261" s="1"/>
      <c r="F261" s="1"/>
      <c r="G261" s="1"/>
      <c r="H261" s="1"/>
      <c r="I261" s="1"/>
      <c r="J261" s="1"/>
      <c r="K261" s="1"/>
      <c r="L261" s="1"/>
      <c r="M261" s="1"/>
      <c r="N261" s="1"/>
      <c r="O261" s="1"/>
      <c r="P261" s="1"/>
      <c r="Q261" s="1"/>
      <c r="R261" s="1"/>
      <c r="S261" s="1"/>
      <c r="T261" s="1"/>
      <c r="U261" s="2"/>
      <c r="V261" s="1"/>
      <c r="W261" s="1"/>
      <c r="X261" s="1"/>
      <c r="Y261" s="1"/>
      <c r="Z261" s="1"/>
    </row>
    <row r="262" spans="1:26" ht="24.75" customHeight="1">
      <c r="A262" s="1"/>
      <c r="B262" s="1"/>
      <c r="C262" s="1"/>
      <c r="D262" s="1"/>
      <c r="E262" s="1"/>
      <c r="F262" s="1"/>
      <c r="G262" s="1"/>
      <c r="H262" s="1"/>
      <c r="I262" s="1"/>
      <c r="J262" s="1"/>
      <c r="K262" s="1"/>
      <c r="L262" s="1"/>
      <c r="M262" s="1"/>
      <c r="N262" s="1"/>
      <c r="O262" s="1"/>
      <c r="P262" s="1"/>
      <c r="Q262" s="1"/>
      <c r="R262" s="1"/>
      <c r="S262" s="1"/>
      <c r="T262" s="1"/>
      <c r="U262" s="2"/>
      <c r="V262" s="1"/>
      <c r="W262" s="1"/>
      <c r="X262" s="1"/>
      <c r="Y262" s="1"/>
      <c r="Z262" s="1"/>
    </row>
    <row r="263" spans="1:26" ht="24.75" customHeight="1">
      <c r="A263" s="1"/>
      <c r="B263" s="1"/>
      <c r="C263" s="1"/>
      <c r="D263" s="1"/>
      <c r="E263" s="1"/>
      <c r="F263" s="1"/>
      <c r="G263" s="1"/>
      <c r="H263" s="1"/>
      <c r="I263" s="1"/>
      <c r="J263" s="1"/>
      <c r="K263" s="1"/>
      <c r="L263" s="1"/>
      <c r="M263" s="1"/>
      <c r="N263" s="1"/>
      <c r="O263" s="1"/>
      <c r="P263" s="1"/>
      <c r="Q263" s="1"/>
      <c r="R263" s="1"/>
      <c r="S263" s="1"/>
      <c r="T263" s="1"/>
      <c r="U263" s="2"/>
      <c r="V263" s="1"/>
      <c r="W263" s="1"/>
      <c r="X263" s="1"/>
      <c r="Y263" s="1"/>
      <c r="Z263" s="1"/>
    </row>
    <row r="264" spans="1:26" ht="24.75" customHeight="1">
      <c r="A264" s="1"/>
      <c r="B264" s="1"/>
      <c r="C264" s="1"/>
      <c r="D264" s="1"/>
      <c r="E264" s="1"/>
      <c r="F264" s="1"/>
      <c r="G264" s="1"/>
      <c r="H264" s="1"/>
      <c r="I264" s="1"/>
      <c r="J264" s="1"/>
      <c r="K264" s="1"/>
      <c r="L264" s="1"/>
      <c r="M264" s="1"/>
      <c r="N264" s="1"/>
      <c r="O264" s="1"/>
      <c r="P264" s="1"/>
      <c r="Q264" s="1"/>
      <c r="R264" s="1"/>
      <c r="S264" s="1"/>
      <c r="T264" s="1"/>
      <c r="U264" s="2"/>
      <c r="V264" s="1"/>
      <c r="W264" s="1"/>
      <c r="X264" s="1"/>
      <c r="Y264" s="1"/>
      <c r="Z264" s="1"/>
    </row>
    <row r="265" spans="1:26" ht="24.75" customHeight="1">
      <c r="A265" s="1"/>
      <c r="B265" s="1"/>
      <c r="C265" s="1"/>
      <c r="D265" s="1"/>
      <c r="E265" s="1"/>
      <c r="F265" s="1"/>
      <c r="G265" s="1"/>
      <c r="H265" s="1"/>
      <c r="I265" s="1"/>
      <c r="J265" s="1"/>
      <c r="K265" s="1"/>
      <c r="L265" s="1"/>
      <c r="M265" s="1"/>
      <c r="N265" s="1"/>
      <c r="O265" s="1"/>
      <c r="P265" s="1"/>
      <c r="Q265" s="1"/>
      <c r="R265" s="1"/>
      <c r="S265" s="1"/>
      <c r="T265" s="1"/>
      <c r="U265" s="2"/>
      <c r="V265" s="1"/>
      <c r="W265" s="1"/>
      <c r="X265" s="1"/>
      <c r="Y265" s="1"/>
      <c r="Z265" s="1"/>
    </row>
    <row r="266" spans="1:26" ht="24.75" customHeight="1">
      <c r="A266" s="1"/>
      <c r="B266" s="1"/>
      <c r="C266" s="1"/>
      <c r="D266" s="1"/>
      <c r="E266" s="1"/>
      <c r="F266" s="1"/>
      <c r="G266" s="1"/>
      <c r="H266" s="1"/>
      <c r="I266" s="1"/>
      <c r="J266" s="1"/>
      <c r="K266" s="1"/>
      <c r="L266" s="1"/>
      <c r="M266" s="1"/>
      <c r="N266" s="1"/>
      <c r="O266" s="1"/>
      <c r="P266" s="1"/>
      <c r="Q266" s="1"/>
      <c r="R266" s="1"/>
      <c r="S266" s="1"/>
      <c r="T266" s="1"/>
      <c r="U266" s="2"/>
      <c r="V266" s="1"/>
      <c r="W266" s="1"/>
      <c r="X266" s="1"/>
      <c r="Y266" s="1"/>
      <c r="Z266" s="1"/>
    </row>
    <row r="267" spans="1:26" ht="24.75" customHeight="1">
      <c r="A267" s="1"/>
      <c r="B267" s="1"/>
      <c r="C267" s="1"/>
      <c r="D267" s="1"/>
      <c r="E267" s="1"/>
      <c r="F267" s="1"/>
      <c r="G267" s="1"/>
      <c r="H267" s="1"/>
      <c r="I267" s="1"/>
      <c r="J267" s="1"/>
      <c r="K267" s="1"/>
      <c r="L267" s="1"/>
      <c r="M267" s="1"/>
      <c r="N267" s="1"/>
      <c r="O267" s="1"/>
      <c r="P267" s="1"/>
      <c r="Q267" s="1"/>
      <c r="R267" s="1"/>
      <c r="S267" s="1"/>
      <c r="T267" s="1"/>
      <c r="U267" s="2"/>
      <c r="V267" s="1"/>
      <c r="W267" s="1"/>
      <c r="X267" s="1"/>
      <c r="Y267" s="1"/>
      <c r="Z267" s="1"/>
    </row>
    <row r="268" spans="1:26" ht="24.75" customHeight="1">
      <c r="A268" s="1"/>
      <c r="B268" s="1"/>
      <c r="C268" s="1"/>
      <c r="D268" s="1"/>
      <c r="E268" s="1"/>
      <c r="F268" s="1"/>
      <c r="G268" s="1"/>
      <c r="H268" s="1"/>
      <c r="I268" s="1"/>
      <c r="J268" s="1"/>
      <c r="K268" s="1"/>
      <c r="L268" s="1"/>
      <c r="M268" s="1"/>
      <c r="N268" s="1"/>
      <c r="O268" s="1"/>
      <c r="P268" s="1"/>
      <c r="Q268" s="1"/>
      <c r="R268" s="1"/>
      <c r="S268" s="1"/>
      <c r="T268" s="1"/>
      <c r="U268" s="2"/>
      <c r="V268" s="1"/>
      <c r="W268" s="1"/>
      <c r="X268" s="1"/>
      <c r="Y268" s="1"/>
      <c r="Z268" s="1"/>
    </row>
    <row r="269" spans="1:26" ht="24.75" customHeight="1">
      <c r="A269" s="1"/>
      <c r="B269" s="1"/>
      <c r="C269" s="1"/>
      <c r="D269" s="1"/>
      <c r="E269" s="1"/>
      <c r="F269" s="1"/>
      <c r="G269" s="1"/>
      <c r="H269" s="1"/>
      <c r="I269" s="1"/>
      <c r="J269" s="1"/>
      <c r="K269" s="1"/>
      <c r="L269" s="1"/>
      <c r="M269" s="1"/>
      <c r="N269" s="1"/>
      <c r="O269" s="1"/>
      <c r="P269" s="1"/>
      <c r="Q269" s="1"/>
      <c r="R269" s="1"/>
      <c r="S269" s="1"/>
      <c r="T269" s="1"/>
      <c r="U269" s="2"/>
      <c r="V269" s="1"/>
      <c r="W269" s="1"/>
      <c r="X269" s="1"/>
      <c r="Y269" s="1"/>
      <c r="Z269" s="1"/>
    </row>
    <row r="270" spans="1:26" ht="24.75" customHeight="1">
      <c r="A270" s="1"/>
      <c r="B270" s="1"/>
      <c r="C270" s="1"/>
      <c r="D270" s="1"/>
      <c r="E270" s="1"/>
      <c r="F270" s="1"/>
      <c r="G270" s="1"/>
      <c r="H270" s="1"/>
      <c r="I270" s="1"/>
      <c r="J270" s="1"/>
      <c r="K270" s="1"/>
      <c r="L270" s="1"/>
      <c r="M270" s="1"/>
      <c r="N270" s="1"/>
      <c r="O270" s="1"/>
      <c r="P270" s="1"/>
      <c r="Q270" s="1"/>
      <c r="R270" s="1"/>
      <c r="S270" s="1"/>
      <c r="T270" s="1"/>
      <c r="U270" s="2"/>
      <c r="V270" s="1"/>
      <c r="W270" s="1"/>
      <c r="X270" s="1"/>
      <c r="Y270" s="1"/>
      <c r="Z270" s="1"/>
    </row>
    <row r="271" spans="1:26" ht="24.75" customHeight="1">
      <c r="A271" s="1"/>
      <c r="B271" s="1"/>
      <c r="C271" s="1"/>
      <c r="D271" s="1"/>
      <c r="E271" s="1"/>
      <c r="F271" s="1"/>
      <c r="G271" s="1"/>
      <c r="H271" s="1"/>
      <c r="I271" s="1"/>
      <c r="J271" s="1"/>
      <c r="K271" s="1"/>
      <c r="L271" s="1"/>
      <c r="M271" s="1"/>
      <c r="N271" s="1"/>
      <c r="O271" s="1"/>
      <c r="P271" s="1"/>
      <c r="Q271" s="1"/>
      <c r="R271" s="1"/>
      <c r="S271" s="1"/>
      <c r="T271" s="1"/>
      <c r="U271" s="2"/>
      <c r="V271" s="1"/>
      <c r="W271" s="1"/>
      <c r="X271" s="1"/>
      <c r="Y271" s="1"/>
      <c r="Z271" s="1"/>
    </row>
    <row r="272" spans="1:26" ht="24.75" customHeight="1">
      <c r="A272" s="1"/>
      <c r="B272" s="1"/>
      <c r="C272" s="1"/>
      <c r="D272" s="1"/>
      <c r="E272" s="1"/>
      <c r="F272" s="1"/>
      <c r="G272" s="1"/>
      <c r="H272" s="1"/>
      <c r="I272" s="1"/>
      <c r="J272" s="1"/>
      <c r="K272" s="1"/>
      <c r="L272" s="1"/>
      <c r="M272" s="1"/>
      <c r="N272" s="1"/>
      <c r="O272" s="1"/>
      <c r="P272" s="1"/>
      <c r="Q272" s="1"/>
      <c r="R272" s="1"/>
      <c r="S272" s="1"/>
      <c r="T272" s="1"/>
      <c r="U272" s="2"/>
      <c r="V272" s="1"/>
      <c r="W272" s="1"/>
      <c r="X272" s="1"/>
      <c r="Y272" s="1"/>
      <c r="Z272" s="1"/>
    </row>
    <row r="273" spans="1:26" ht="24.75" customHeight="1">
      <c r="A273" s="1"/>
      <c r="B273" s="1"/>
      <c r="C273" s="1"/>
      <c r="D273" s="1"/>
      <c r="E273" s="1"/>
      <c r="F273" s="1"/>
      <c r="G273" s="1"/>
      <c r="H273" s="1"/>
      <c r="I273" s="1"/>
      <c r="J273" s="1"/>
      <c r="K273" s="1"/>
      <c r="L273" s="1"/>
      <c r="M273" s="1"/>
      <c r="N273" s="1"/>
      <c r="O273" s="1"/>
      <c r="P273" s="1"/>
      <c r="Q273" s="1"/>
      <c r="R273" s="1"/>
      <c r="S273" s="1"/>
      <c r="T273" s="1"/>
      <c r="U273" s="2"/>
      <c r="V273" s="1"/>
      <c r="W273" s="1"/>
      <c r="X273" s="1"/>
      <c r="Y273" s="1"/>
      <c r="Z273" s="1"/>
    </row>
    <row r="274" spans="1:26" ht="24.75" customHeight="1">
      <c r="A274" s="1"/>
      <c r="B274" s="1"/>
      <c r="C274" s="1"/>
      <c r="D274" s="1"/>
      <c r="E274" s="1"/>
      <c r="F274" s="1"/>
      <c r="G274" s="1"/>
      <c r="H274" s="1"/>
      <c r="I274" s="1"/>
      <c r="J274" s="1"/>
      <c r="K274" s="1"/>
      <c r="L274" s="1"/>
      <c r="M274" s="1"/>
      <c r="N274" s="1"/>
      <c r="O274" s="1"/>
      <c r="P274" s="1"/>
      <c r="Q274" s="1"/>
      <c r="R274" s="1"/>
      <c r="S274" s="1"/>
      <c r="T274" s="1"/>
      <c r="U274" s="2"/>
      <c r="V274" s="1"/>
      <c r="W274" s="1"/>
      <c r="X274" s="1"/>
      <c r="Y274" s="1"/>
      <c r="Z274" s="1"/>
    </row>
    <row r="275" spans="1:26" ht="24.75" customHeight="1">
      <c r="A275" s="1"/>
      <c r="B275" s="1"/>
      <c r="C275" s="1"/>
      <c r="D275" s="1"/>
      <c r="E275" s="1"/>
      <c r="F275" s="1"/>
      <c r="G275" s="1"/>
      <c r="H275" s="1"/>
      <c r="I275" s="1"/>
      <c r="J275" s="1"/>
      <c r="K275" s="1"/>
      <c r="L275" s="1"/>
      <c r="M275" s="1"/>
      <c r="N275" s="1"/>
      <c r="O275" s="1"/>
      <c r="P275" s="1"/>
      <c r="Q275" s="1"/>
      <c r="R275" s="1"/>
      <c r="S275" s="1"/>
      <c r="T275" s="1"/>
      <c r="U275" s="2"/>
      <c r="V275" s="1"/>
      <c r="W275" s="1"/>
      <c r="X275" s="1"/>
      <c r="Y275" s="1"/>
      <c r="Z275" s="1"/>
    </row>
    <row r="276" spans="1:26" ht="24.75" customHeight="1">
      <c r="A276" s="1"/>
      <c r="B276" s="1"/>
      <c r="C276" s="1"/>
      <c r="D276" s="1"/>
      <c r="E276" s="1"/>
      <c r="F276" s="1"/>
      <c r="G276" s="1"/>
      <c r="H276" s="1"/>
      <c r="I276" s="1"/>
      <c r="J276" s="1"/>
      <c r="K276" s="1"/>
      <c r="L276" s="1"/>
      <c r="M276" s="1"/>
      <c r="N276" s="1"/>
      <c r="O276" s="1"/>
      <c r="P276" s="1"/>
      <c r="Q276" s="1"/>
      <c r="R276" s="1"/>
      <c r="S276" s="1"/>
      <c r="T276" s="1"/>
      <c r="U276" s="2"/>
      <c r="V276" s="1"/>
      <c r="W276" s="1"/>
      <c r="X276" s="1"/>
      <c r="Y276" s="1"/>
      <c r="Z276" s="1"/>
    </row>
    <row r="277" spans="1:26" ht="24.75" customHeight="1">
      <c r="A277" s="1"/>
      <c r="B277" s="1"/>
      <c r="C277" s="1"/>
      <c r="D277" s="1"/>
      <c r="E277" s="1"/>
      <c r="F277" s="1"/>
      <c r="G277" s="1"/>
      <c r="H277" s="1"/>
      <c r="I277" s="1"/>
      <c r="J277" s="1"/>
      <c r="K277" s="1"/>
      <c r="L277" s="1"/>
      <c r="M277" s="1"/>
      <c r="N277" s="1"/>
      <c r="O277" s="1"/>
      <c r="P277" s="1"/>
      <c r="Q277" s="1"/>
      <c r="R277" s="1"/>
      <c r="S277" s="1"/>
      <c r="T277" s="1"/>
      <c r="U277" s="2"/>
      <c r="V277" s="1"/>
      <c r="W277" s="1"/>
      <c r="X277" s="1"/>
      <c r="Y277" s="1"/>
      <c r="Z277" s="1"/>
    </row>
    <row r="278" spans="1:26" ht="24.75" customHeight="1">
      <c r="A278" s="1"/>
      <c r="B278" s="1"/>
      <c r="C278" s="1"/>
      <c r="D278" s="1"/>
      <c r="E278" s="1"/>
      <c r="F278" s="1"/>
      <c r="G278" s="1"/>
      <c r="H278" s="1"/>
      <c r="I278" s="1"/>
      <c r="J278" s="1"/>
      <c r="K278" s="1"/>
      <c r="L278" s="1"/>
      <c r="M278" s="1"/>
      <c r="N278" s="1"/>
      <c r="O278" s="1"/>
      <c r="P278" s="1"/>
      <c r="Q278" s="1"/>
      <c r="R278" s="1"/>
      <c r="S278" s="1"/>
      <c r="T278" s="1"/>
      <c r="U278" s="2"/>
      <c r="V278" s="1"/>
      <c r="W278" s="1"/>
      <c r="X278" s="1"/>
      <c r="Y278" s="1"/>
      <c r="Z278" s="1"/>
    </row>
    <row r="279" spans="1:26" ht="24.75" customHeight="1">
      <c r="A279" s="1"/>
      <c r="B279" s="1"/>
      <c r="C279" s="1"/>
      <c r="D279" s="1"/>
      <c r="E279" s="1"/>
      <c r="F279" s="1"/>
      <c r="G279" s="1"/>
      <c r="H279" s="1"/>
      <c r="I279" s="1"/>
      <c r="J279" s="1"/>
      <c r="K279" s="1"/>
      <c r="L279" s="1"/>
      <c r="M279" s="1"/>
      <c r="N279" s="1"/>
      <c r="O279" s="1"/>
      <c r="P279" s="1"/>
      <c r="Q279" s="1"/>
      <c r="R279" s="1"/>
      <c r="S279" s="1"/>
      <c r="T279" s="1"/>
      <c r="U279" s="2"/>
      <c r="V279" s="1"/>
      <c r="W279" s="1"/>
      <c r="X279" s="1"/>
      <c r="Y279" s="1"/>
      <c r="Z279" s="1"/>
    </row>
    <row r="280" spans="1:26" ht="24.75" customHeight="1">
      <c r="A280" s="1"/>
      <c r="B280" s="1"/>
      <c r="C280" s="1"/>
      <c r="D280" s="1"/>
      <c r="E280" s="1"/>
      <c r="F280" s="1"/>
      <c r="G280" s="1"/>
      <c r="H280" s="1"/>
      <c r="I280" s="1"/>
      <c r="J280" s="1"/>
      <c r="K280" s="1"/>
      <c r="L280" s="1"/>
      <c r="M280" s="1"/>
      <c r="N280" s="1"/>
      <c r="O280" s="1"/>
      <c r="P280" s="1"/>
      <c r="Q280" s="1"/>
      <c r="R280" s="1"/>
      <c r="S280" s="1"/>
      <c r="T280" s="1"/>
      <c r="U280" s="2"/>
      <c r="V280" s="1"/>
      <c r="W280" s="1"/>
      <c r="X280" s="1"/>
      <c r="Y280" s="1"/>
      <c r="Z280" s="1"/>
    </row>
    <row r="281" spans="1:26" ht="24.75" customHeight="1">
      <c r="A281" s="1"/>
      <c r="B281" s="1"/>
      <c r="C281" s="1"/>
      <c r="D281" s="1"/>
      <c r="E281" s="1"/>
      <c r="F281" s="1"/>
      <c r="G281" s="1"/>
      <c r="H281" s="1"/>
      <c r="I281" s="1"/>
      <c r="J281" s="1"/>
      <c r="K281" s="1"/>
      <c r="L281" s="1"/>
      <c r="M281" s="1"/>
      <c r="N281" s="1"/>
      <c r="O281" s="1"/>
      <c r="P281" s="1"/>
      <c r="Q281" s="1"/>
      <c r="R281" s="1"/>
      <c r="S281" s="1"/>
      <c r="T281" s="1"/>
      <c r="U281" s="2"/>
      <c r="V281" s="1"/>
      <c r="W281" s="1"/>
      <c r="X281" s="1"/>
      <c r="Y281" s="1"/>
      <c r="Z281" s="1"/>
    </row>
    <row r="282" spans="1:26" ht="24.75" customHeight="1">
      <c r="A282" s="1"/>
      <c r="B282" s="1"/>
      <c r="C282" s="1"/>
      <c r="D282" s="1"/>
      <c r="E282" s="1"/>
      <c r="F282" s="1"/>
      <c r="G282" s="1"/>
      <c r="H282" s="1"/>
      <c r="I282" s="1"/>
      <c r="J282" s="1"/>
      <c r="K282" s="1"/>
      <c r="L282" s="1"/>
      <c r="M282" s="1"/>
      <c r="N282" s="1"/>
      <c r="O282" s="1"/>
      <c r="P282" s="1"/>
      <c r="Q282" s="1"/>
      <c r="R282" s="1"/>
      <c r="S282" s="1"/>
      <c r="T282" s="1"/>
      <c r="U282" s="2"/>
      <c r="V282" s="1"/>
      <c r="W282" s="1"/>
      <c r="X282" s="1"/>
      <c r="Y282" s="1"/>
      <c r="Z282" s="1"/>
    </row>
    <row r="283" spans="1:26" ht="24.75" customHeight="1">
      <c r="A283" s="1"/>
      <c r="B283" s="1"/>
      <c r="C283" s="1"/>
      <c r="D283" s="1"/>
      <c r="E283" s="1"/>
      <c r="F283" s="1"/>
      <c r="G283" s="1"/>
      <c r="H283" s="1"/>
      <c r="I283" s="1"/>
      <c r="J283" s="1"/>
      <c r="K283" s="1"/>
      <c r="L283" s="1"/>
      <c r="M283" s="1"/>
      <c r="N283" s="1"/>
      <c r="O283" s="1"/>
      <c r="P283" s="1"/>
      <c r="Q283" s="1"/>
      <c r="R283" s="1"/>
      <c r="S283" s="1"/>
      <c r="T283" s="1"/>
      <c r="U283" s="2"/>
      <c r="V283" s="1"/>
      <c r="W283" s="1"/>
      <c r="X283" s="1"/>
      <c r="Y283" s="1"/>
      <c r="Z283" s="1"/>
    </row>
    <row r="284" spans="1:26" ht="24.75" customHeight="1">
      <c r="A284" s="1"/>
      <c r="B284" s="1"/>
      <c r="C284" s="1"/>
      <c r="D284" s="1"/>
      <c r="E284" s="1"/>
      <c r="F284" s="1"/>
      <c r="G284" s="1"/>
      <c r="H284" s="1"/>
      <c r="I284" s="1"/>
      <c r="J284" s="1"/>
      <c r="K284" s="1"/>
      <c r="L284" s="1"/>
      <c r="M284" s="1"/>
      <c r="N284" s="1"/>
      <c r="O284" s="1"/>
      <c r="P284" s="1"/>
      <c r="Q284" s="1"/>
      <c r="R284" s="1"/>
      <c r="S284" s="1"/>
      <c r="T284" s="1"/>
      <c r="U284" s="2"/>
      <c r="V284" s="1"/>
      <c r="W284" s="1"/>
      <c r="X284" s="1"/>
      <c r="Y284" s="1"/>
      <c r="Z284" s="1"/>
    </row>
    <row r="285" spans="1:26" ht="24.75" customHeight="1">
      <c r="A285" s="1"/>
      <c r="B285" s="1"/>
      <c r="C285" s="1"/>
      <c r="D285" s="1"/>
      <c r="E285" s="1"/>
      <c r="F285" s="1"/>
      <c r="G285" s="1"/>
      <c r="H285" s="1"/>
      <c r="I285" s="1"/>
      <c r="J285" s="1"/>
      <c r="K285" s="1"/>
      <c r="L285" s="1"/>
      <c r="M285" s="1"/>
      <c r="N285" s="1"/>
      <c r="O285" s="1"/>
      <c r="P285" s="1"/>
      <c r="Q285" s="1"/>
      <c r="R285" s="1"/>
      <c r="S285" s="1"/>
      <c r="T285" s="1"/>
      <c r="U285" s="2"/>
      <c r="V285" s="1"/>
      <c r="W285" s="1"/>
      <c r="X285" s="1"/>
      <c r="Y285" s="1"/>
      <c r="Z285" s="1"/>
    </row>
    <row r="286" spans="1:26" ht="24.75" customHeight="1">
      <c r="A286" s="1"/>
      <c r="B286" s="1"/>
      <c r="C286" s="1"/>
      <c r="D286" s="1"/>
      <c r="E286" s="1"/>
      <c r="F286" s="1"/>
      <c r="G286" s="1"/>
      <c r="H286" s="1"/>
      <c r="I286" s="1"/>
      <c r="J286" s="1"/>
      <c r="K286" s="1"/>
      <c r="L286" s="1"/>
      <c r="M286" s="1"/>
      <c r="N286" s="1"/>
      <c r="O286" s="1"/>
      <c r="P286" s="1"/>
      <c r="Q286" s="1"/>
      <c r="R286" s="1"/>
      <c r="S286" s="1"/>
      <c r="T286" s="1"/>
      <c r="U286" s="2"/>
      <c r="V286" s="1"/>
      <c r="W286" s="1"/>
      <c r="X286" s="1"/>
      <c r="Y286" s="1"/>
      <c r="Z286" s="1"/>
    </row>
    <row r="287" spans="1:26" ht="24.75" customHeight="1">
      <c r="A287" s="1"/>
      <c r="B287" s="1"/>
      <c r="C287" s="1"/>
      <c r="D287" s="1"/>
      <c r="E287" s="1"/>
      <c r="F287" s="1"/>
      <c r="G287" s="1"/>
      <c r="H287" s="1"/>
      <c r="I287" s="1"/>
      <c r="J287" s="1"/>
      <c r="K287" s="1"/>
      <c r="L287" s="1"/>
      <c r="M287" s="1"/>
      <c r="N287" s="1"/>
      <c r="O287" s="1"/>
      <c r="P287" s="1"/>
      <c r="Q287" s="1"/>
      <c r="R287" s="1"/>
      <c r="S287" s="1"/>
      <c r="T287" s="1"/>
      <c r="U287" s="2"/>
      <c r="V287" s="1"/>
      <c r="W287" s="1"/>
      <c r="X287" s="1"/>
      <c r="Y287" s="1"/>
      <c r="Z287" s="1"/>
    </row>
    <row r="288" spans="1:26" ht="24.75" customHeight="1">
      <c r="A288" s="1"/>
      <c r="B288" s="1"/>
      <c r="C288" s="1"/>
      <c r="D288" s="1"/>
      <c r="E288" s="1"/>
      <c r="F288" s="1"/>
      <c r="G288" s="1"/>
      <c r="H288" s="1"/>
      <c r="I288" s="1"/>
      <c r="J288" s="1"/>
      <c r="K288" s="1"/>
      <c r="L288" s="1"/>
      <c r="M288" s="1"/>
      <c r="N288" s="1"/>
      <c r="O288" s="1"/>
      <c r="P288" s="1"/>
      <c r="Q288" s="1"/>
      <c r="R288" s="1"/>
      <c r="S288" s="1"/>
      <c r="T288" s="1"/>
      <c r="U288" s="2"/>
      <c r="V288" s="1"/>
      <c r="W288" s="1"/>
      <c r="X288" s="1"/>
      <c r="Y288" s="1"/>
      <c r="Z288" s="1"/>
    </row>
    <row r="289" spans="1:26" ht="24.75" customHeight="1">
      <c r="A289" s="1"/>
      <c r="B289" s="1"/>
      <c r="C289" s="1"/>
      <c r="D289" s="1"/>
      <c r="E289" s="1"/>
      <c r="F289" s="1"/>
      <c r="G289" s="1"/>
      <c r="H289" s="1"/>
      <c r="I289" s="1"/>
      <c r="J289" s="1"/>
      <c r="K289" s="1"/>
      <c r="L289" s="1"/>
      <c r="M289" s="1"/>
      <c r="N289" s="1"/>
      <c r="O289" s="1"/>
      <c r="P289" s="1"/>
      <c r="Q289" s="1"/>
      <c r="R289" s="1"/>
      <c r="S289" s="1"/>
      <c r="T289" s="1"/>
      <c r="U289" s="2"/>
      <c r="V289" s="1"/>
      <c r="W289" s="1"/>
      <c r="X289" s="1"/>
      <c r="Y289" s="1"/>
      <c r="Z289" s="1"/>
    </row>
    <row r="290" spans="1:26" ht="24.75" customHeight="1">
      <c r="A290" s="1"/>
      <c r="B290" s="1"/>
      <c r="C290" s="1"/>
      <c r="D290" s="1"/>
      <c r="E290" s="1"/>
      <c r="F290" s="1"/>
      <c r="G290" s="1"/>
      <c r="H290" s="1"/>
      <c r="I290" s="1"/>
      <c r="J290" s="1"/>
      <c r="K290" s="1"/>
      <c r="L290" s="1"/>
      <c r="M290" s="1"/>
      <c r="N290" s="1"/>
      <c r="O290" s="1"/>
      <c r="P290" s="1"/>
      <c r="Q290" s="1"/>
      <c r="R290" s="1"/>
      <c r="S290" s="1"/>
      <c r="T290" s="1"/>
      <c r="U290" s="2"/>
      <c r="V290" s="1"/>
      <c r="W290" s="1"/>
      <c r="X290" s="1"/>
      <c r="Y290" s="1"/>
      <c r="Z290" s="1"/>
    </row>
    <row r="291" spans="1:26" ht="24.75" customHeight="1">
      <c r="A291" s="1"/>
      <c r="B291" s="1"/>
      <c r="C291" s="1"/>
      <c r="D291" s="1"/>
      <c r="E291" s="1"/>
      <c r="F291" s="1"/>
      <c r="G291" s="1"/>
      <c r="H291" s="1"/>
      <c r="I291" s="1"/>
      <c r="J291" s="1"/>
      <c r="K291" s="1"/>
      <c r="L291" s="1"/>
      <c r="M291" s="1"/>
      <c r="N291" s="1"/>
      <c r="O291" s="1"/>
      <c r="P291" s="1"/>
      <c r="Q291" s="1"/>
      <c r="R291" s="1"/>
      <c r="S291" s="1"/>
      <c r="T291" s="1"/>
      <c r="U291" s="2"/>
      <c r="V291" s="1"/>
      <c r="W291" s="1"/>
      <c r="X291" s="1"/>
      <c r="Y291" s="1"/>
      <c r="Z291" s="1"/>
    </row>
    <row r="292" spans="1:26" ht="24.75" customHeight="1">
      <c r="A292" s="1"/>
      <c r="B292" s="1"/>
      <c r="C292" s="1"/>
      <c r="D292" s="1"/>
      <c r="E292" s="1"/>
      <c r="F292" s="1"/>
      <c r="G292" s="1"/>
      <c r="H292" s="1"/>
      <c r="I292" s="1"/>
      <c r="J292" s="1"/>
      <c r="K292" s="1"/>
      <c r="L292" s="1"/>
      <c r="M292" s="1"/>
      <c r="N292" s="1"/>
      <c r="O292" s="1"/>
      <c r="P292" s="1"/>
      <c r="Q292" s="1"/>
      <c r="R292" s="1"/>
      <c r="S292" s="1"/>
      <c r="T292" s="1"/>
      <c r="U292" s="2"/>
      <c r="V292" s="1"/>
      <c r="W292" s="1"/>
      <c r="X292" s="1"/>
      <c r="Y292" s="1"/>
      <c r="Z292" s="1"/>
    </row>
    <row r="293" spans="1:26" ht="24.75" customHeight="1">
      <c r="A293" s="1"/>
      <c r="B293" s="1"/>
      <c r="C293" s="1"/>
      <c r="D293" s="1"/>
      <c r="E293" s="1"/>
      <c r="F293" s="1"/>
      <c r="G293" s="1"/>
      <c r="H293" s="1"/>
      <c r="I293" s="1"/>
      <c r="J293" s="1"/>
      <c r="K293" s="1"/>
      <c r="L293" s="1"/>
      <c r="M293" s="1"/>
      <c r="N293" s="1"/>
      <c r="O293" s="1"/>
      <c r="P293" s="1"/>
      <c r="Q293" s="1"/>
      <c r="R293" s="1"/>
      <c r="S293" s="1"/>
      <c r="T293" s="1"/>
      <c r="U293" s="2"/>
      <c r="V293" s="1"/>
      <c r="W293" s="1"/>
      <c r="X293" s="1"/>
      <c r="Y293" s="1"/>
      <c r="Z293" s="1"/>
    </row>
    <row r="294" spans="1:26" ht="24.75" customHeight="1">
      <c r="A294" s="1"/>
      <c r="B294" s="1"/>
      <c r="C294" s="1"/>
      <c r="D294" s="1"/>
      <c r="E294" s="1"/>
      <c r="F294" s="1"/>
      <c r="G294" s="1"/>
      <c r="H294" s="1"/>
      <c r="I294" s="1"/>
      <c r="J294" s="1"/>
      <c r="K294" s="1"/>
      <c r="L294" s="1"/>
      <c r="M294" s="1"/>
      <c r="N294" s="1"/>
      <c r="O294" s="1"/>
      <c r="P294" s="1"/>
      <c r="Q294" s="1"/>
      <c r="R294" s="1"/>
      <c r="S294" s="1"/>
      <c r="T294" s="1"/>
      <c r="U294" s="2"/>
      <c r="V294" s="1"/>
      <c r="W294" s="1"/>
      <c r="X294" s="1"/>
      <c r="Y294" s="1"/>
      <c r="Z294" s="1"/>
    </row>
    <row r="295" spans="1:26" ht="24.75" customHeight="1">
      <c r="A295" s="1"/>
      <c r="B295" s="1"/>
      <c r="C295" s="1"/>
      <c r="D295" s="1"/>
      <c r="E295" s="1"/>
      <c r="F295" s="1"/>
      <c r="G295" s="1"/>
      <c r="H295" s="1"/>
      <c r="I295" s="1"/>
      <c r="J295" s="1"/>
      <c r="K295" s="1"/>
      <c r="L295" s="1"/>
      <c r="M295" s="1"/>
      <c r="N295" s="1"/>
      <c r="O295" s="1"/>
      <c r="P295" s="1"/>
      <c r="Q295" s="1"/>
      <c r="R295" s="1"/>
      <c r="S295" s="1"/>
      <c r="T295" s="1"/>
      <c r="U295" s="2"/>
      <c r="V295" s="1"/>
      <c r="W295" s="1"/>
      <c r="X295" s="1"/>
      <c r="Y295" s="1"/>
      <c r="Z295" s="1"/>
    </row>
    <row r="296" spans="1:26" ht="24.75" customHeight="1">
      <c r="A296" s="1"/>
      <c r="B296" s="1"/>
      <c r="C296" s="1"/>
      <c r="D296" s="1"/>
      <c r="E296" s="1"/>
      <c r="F296" s="1"/>
      <c r="G296" s="1"/>
      <c r="H296" s="1"/>
      <c r="I296" s="1"/>
      <c r="J296" s="1"/>
      <c r="K296" s="1"/>
      <c r="L296" s="1"/>
      <c r="M296" s="1"/>
      <c r="N296" s="1"/>
      <c r="O296" s="1"/>
      <c r="P296" s="1"/>
      <c r="Q296" s="1"/>
      <c r="R296" s="1"/>
      <c r="S296" s="1"/>
      <c r="T296" s="1"/>
      <c r="U296" s="2"/>
      <c r="V296" s="1"/>
      <c r="W296" s="1"/>
      <c r="X296" s="1"/>
      <c r="Y296" s="1"/>
      <c r="Z296" s="1"/>
    </row>
    <row r="297" spans="1:26" ht="24.75" customHeight="1">
      <c r="A297" s="1"/>
      <c r="B297" s="1"/>
      <c r="C297" s="1"/>
      <c r="D297" s="1"/>
      <c r="E297" s="1"/>
      <c r="F297" s="1"/>
      <c r="G297" s="1"/>
      <c r="H297" s="1"/>
      <c r="I297" s="1"/>
      <c r="J297" s="1"/>
      <c r="K297" s="1"/>
      <c r="L297" s="1"/>
      <c r="M297" s="1"/>
      <c r="N297" s="1"/>
      <c r="O297" s="1"/>
      <c r="P297" s="1"/>
      <c r="Q297" s="1"/>
      <c r="R297" s="1"/>
      <c r="S297" s="1"/>
      <c r="T297" s="1"/>
      <c r="U297" s="2"/>
      <c r="V297" s="1"/>
      <c r="W297" s="1"/>
      <c r="X297" s="1"/>
      <c r="Y297" s="1"/>
      <c r="Z297" s="1"/>
    </row>
    <row r="298" spans="1:26" ht="24.75" customHeight="1">
      <c r="A298" s="1"/>
      <c r="B298" s="1"/>
      <c r="C298" s="1"/>
      <c r="D298" s="1"/>
      <c r="E298" s="1"/>
      <c r="F298" s="1"/>
      <c r="G298" s="1"/>
      <c r="H298" s="1"/>
      <c r="I298" s="1"/>
      <c r="J298" s="1"/>
      <c r="K298" s="1"/>
      <c r="L298" s="1"/>
      <c r="M298" s="1"/>
      <c r="N298" s="1"/>
      <c r="O298" s="1"/>
      <c r="P298" s="1"/>
      <c r="Q298" s="1"/>
      <c r="R298" s="1"/>
      <c r="S298" s="1"/>
      <c r="T298" s="1"/>
      <c r="U298" s="2"/>
      <c r="V298" s="1"/>
      <c r="W298" s="1"/>
      <c r="X298" s="1"/>
      <c r="Y298" s="1"/>
      <c r="Z298" s="1"/>
    </row>
    <row r="299" spans="1:26" ht="24.75" customHeight="1">
      <c r="A299" s="1"/>
      <c r="B299" s="1"/>
      <c r="C299" s="1"/>
      <c r="D299" s="1"/>
      <c r="E299" s="1"/>
      <c r="F299" s="1"/>
      <c r="G299" s="1"/>
      <c r="H299" s="1"/>
      <c r="I299" s="1"/>
      <c r="J299" s="1"/>
      <c r="K299" s="1"/>
      <c r="L299" s="1"/>
      <c r="M299" s="1"/>
      <c r="N299" s="1"/>
      <c r="O299" s="1"/>
      <c r="P299" s="1"/>
      <c r="Q299" s="1"/>
      <c r="R299" s="1"/>
      <c r="S299" s="1"/>
      <c r="T299" s="1"/>
      <c r="U299" s="2"/>
      <c r="V299" s="1"/>
      <c r="W299" s="1"/>
      <c r="X299" s="1"/>
      <c r="Y299" s="1"/>
      <c r="Z299" s="1"/>
    </row>
    <row r="300" spans="1:26" ht="24.75" customHeight="1">
      <c r="A300" s="1"/>
      <c r="B300" s="1"/>
      <c r="C300" s="1"/>
      <c r="D300" s="1"/>
      <c r="E300" s="1"/>
      <c r="F300" s="1"/>
      <c r="G300" s="1"/>
      <c r="H300" s="1"/>
      <c r="I300" s="1"/>
      <c r="J300" s="1"/>
      <c r="K300" s="1"/>
      <c r="L300" s="1"/>
      <c r="M300" s="1"/>
      <c r="N300" s="1"/>
      <c r="O300" s="1"/>
      <c r="P300" s="1"/>
      <c r="Q300" s="1"/>
      <c r="R300" s="1"/>
      <c r="S300" s="1"/>
      <c r="T300" s="1"/>
      <c r="U300" s="2"/>
      <c r="V300" s="1"/>
      <c r="W300" s="1"/>
      <c r="X300" s="1"/>
      <c r="Y300" s="1"/>
      <c r="Z300" s="1"/>
    </row>
    <row r="301" spans="1:26" ht="24.75" customHeight="1">
      <c r="A301" s="1"/>
      <c r="B301" s="1"/>
      <c r="C301" s="1"/>
      <c r="D301" s="1"/>
      <c r="E301" s="1"/>
      <c r="F301" s="1"/>
      <c r="G301" s="1"/>
      <c r="H301" s="1"/>
      <c r="I301" s="1"/>
      <c r="J301" s="1"/>
      <c r="K301" s="1"/>
      <c r="L301" s="1"/>
      <c r="M301" s="1"/>
      <c r="N301" s="1"/>
      <c r="O301" s="1"/>
      <c r="P301" s="1"/>
      <c r="Q301" s="1"/>
      <c r="R301" s="1"/>
      <c r="S301" s="1"/>
      <c r="T301" s="1"/>
      <c r="U301" s="2"/>
      <c r="V301" s="1"/>
      <c r="W301" s="1"/>
      <c r="X301" s="1"/>
      <c r="Y301" s="1"/>
      <c r="Z301" s="1"/>
    </row>
    <row r="302" spans="1:26" ht="24.75" customHeight="1">
      <c r="A302" s="1"/>
      <c r="B302" s="1"/>
      <c r="C302" s="1"/>
      <c r="D302" s="1"/>
      <c r="E302" s="1"/>
      <c r="F302" s="1"/>
      <c r="G302" s="1"/>
      <c r="H302" s="1"/>
      <c r="I302" s="1"/>
      <c r="J302" s="1"/>
      <c r="K302" s="1"/>
      <c r="L302" s="1"/>
      <c r="M302" s="1"/>
      <c r="N302" s="1"/>
      <c r="O302" s="1"/>
      <c r="P302" s="1"/>
      <c r="Q302" s="1"/>
      <c r="R302" s="1"/>
      <c r="S302" s="1"/>
      <c r="T302" s="1"/>
      <c r="U302" s="2"/>
      <c r="V302" s="1"/>
      <c r="W302" s="1"/>
      <c r="X302" s="1"/>
      <c r="Y302" s="1"/>
      <c r="Z302" s="1"/>
    </row>
    <row r="303" spans="1:26" ht="24.75" customHeight="1">
      <c r="A303" s="1"/>
      <c r="B303" s="1"/>
      <c r="C303" s="1"/>
      <c r="D303" s="1"/>
      <c r="E303" s="1"/>
      <c r="F303" s="1"/>
      <c r="G303" s="1"/>
      <c r="H303" s="1"/>
      <c r="I303" s="1"/>
      <c r="J303" s="1"/>
      <c r="K303" s="1"/>
      <c r="L303" s="1"/>
      <c r="M303" s="1"/>
      <c r="N303" s="1"/>
      <c r="O303" s="1"/>
      <c r="P303" s="1"/>
      <c r="Q303" s="1"/>
      <c r="R303" s="1"/>
      <c r="S303" s="1"/>
      <c r="T303" s="1"/>
      <c r="U303" s="2"/>
      <c r="V303" s="1"/>
      <c r="W303" s="1"/>
      <c r="X303" s="1"/>
      <c r="Y303" s="1"/>
      <c r="Z303" s="1"/>
    </row>
    <row r="304" spans="1:26" ht="24.75" customHeight="1">
      <c r="A304" s="1"/>
      <c r="B304" s="1"/>
      <c r="C304" s="1"/>
      <c r="D304" s="1"/>
      <c r="E304" s="1"/>
      <c r="F304" s="1"/>
      <c r="G304" s="1"/>
      <c r="H304" s="1"/>
      <c r="I304" s="1"/>
      <c r="J304" s="1"/>
      <c r="K304" s="1"/>
      <c r="L304" s="1"/>
      <c r="M304" s="1"/>
      <c r="N304" s="1"/>
      <c r="O304" s="1"/>
      <c r="P304" s="1"/>
      <c r="Q304" s="1"/>
      <c r="R304" s="1"/>
      <c r="S304" s="1"/>
      <c r="T304" s="1"/>
      <c r="U304" s="2"/>
      <c r="V304" s="1"/>
      <c r="W304" s="1"/>
      <c r="X304" s="1"/>
      <c r="Y304" s="1"/>
      <c r="Z304" s="1"/>
    </row>
    <row r="305" spans="1:26" ht="24.75" customHeight="1">
      <c r="A305" s="1"/>
      <c r="B305" s="1"/>
      <c r="C305" s="1"/>
      <c r="D305" s="1"/>
      <c r="E305" s="1"/>
      <c r="F305" s="1"/>
      <c r="G305" s="1"/>
      <c r="H305" s="1"/>
      <c r="I305" s="1"/>
      <c r="J305" s="1"/>
      <c r="K305" s="1"/>
      <c r="L305" s="1"/>
      <c r="M305" s="1"/>
      <c r="N305" s="1"/>
      <c r="O305" s="1"/>
      <c r="P305" s="1"/>
      <c r="Q305" s="1"/>
      <c r="R305" s="1"/>
      <c r="S305" s="1"/>
      <c r="T305" s="1"/>
      <c r="U305" s="2"/>
      <c r="V305" s="1"/>
      <c r="W305" s="1"/>
      <c r="X305" s="1"/>
      <c r="Y305" s="1"/>
      <c r="Z305" s="1"/>
    </row>
    <row r="306" spans="1:26" ht="24.75" customHeight="1">
      <c r="A306" s="1"/>
      <c r="B306" s="1"/>
      <c r="C306" s="1"/>
      <c r="D306" s="1"/>
      <c r="E306" s="1"/>
      <c r="F306" s="1"/>
      <c r="G306" s="1"/>
      <c r="H306" s="1"/>
      <c r="I306" s="1"/>
      <c r="J306" s="1"/>
      <c r="K306" s="1"/>
      <c r="L306" s="1"/>
      <c r="M306" s="1"/>
      <c r="N306" s="1"/>
      <c r="O306" s="1"/>
      <c r="P306" s="1"/>
      <c r="Q306" s="1"/>
      <c r="R306" s="1"/>
      <c r="S306" s="1"/>
      <c r="T306" s="1"/>
      <c r="U306" s="2"/>
      <c r="V306" s="1"/>
      <c r="W306" s="1"/>
      <c r="X306" s="1"/>
      <c r="Y306" s="1"/>
      <c r="Z306" s="1"/>
    </row>
    <row r="307" spans="1:26" ht="24.75" customHeight="1">
      <c r="A307" s="1"/>
      <c r="B307" s="1"/>
      <c r="C307" s="1"/>
      <c r="D307" s="1"/>
      <c r="E307" s="1"/>
      <c r="F307" s="1"/>
      <c r="G307" s="1"/>
      <c r="H307" s="1"/>
      <c r="I307" s="1"/>
      <c r="J307" s="1"/>
      <c r="K307" s="1"/>
      <c r="L307" s="1"/>
      <c r="M307" s="1"/>
      <c r="N307" s="1"/>
      <c r="O307" s="1"/>
      <c r="P307" s="1"/>
      <c r="Q307" s="1"/>
      <c r="R307" s="1"/>
      <c r="S307" s="1"/>
      <c r="T307" s="1"/>
      <c r="U307" s="2"/>
      <c r="V307" s="1"/>
      <c r="W307" s="1"/>
      <c r="X307" s="1"/>
      <c r="Y307" s="1"/>
      <c r="Z307" s="1"/>
    </row>
    <row r="308" spans="1:26" ht="24.75" customHeight="1">
      <c r="A308" s="1"/>
      <c r="B308" s="1"/>
      <c r="C308" s="1"/>
      <c r="D308" s="1"/>
      <c r="E308" s="1"/>
      <c r="F308" s="1"/>
      <c r="G308" s="1"/>
      <c r="H308" s="1"/>
      <c r="I308" s="1"/>
      <c r="J308" s="1"/>
      <c r="K308" s="1"/>
      <c r="L308" s="1"/>
      <c r="M308" s="1"/>
      <c r="N308" s="1"/>
      <c r="O308" s="1"/>
      <c r="P308" s="1"/>
      <c r="Q308" s="1"/>
      <c r="R308" s="1"/>
      <c r="S308" s="1"/>
      <c r="T308" s="1"/>
      <c r="U308" s="2"/>
      <c r="V308" s="1"/>
      <c r="W308" s="1"/>
      <c r="X308" s="1"/>
      <c r="Y308" s="1"/>
      <c r="Z308" s="1"/>
    </row>
    <row r="309" spans="1:26" ht="24.75" customHeight="1">
      <c r="A309" s="1"/>
      <c r="B309" s="1"/>
      <c r="C309" s="1"/>
      <c r="D309" s="1"/>
      <c r="E309" s="1"/>
      <c r="F309" s="1"/>
      <c r="G309" s="1"/>
      <c r="H309" s="1"/>
      <c r="I309" s="1"/>
      <c r="J309" s="1"/>
      <c r="K309" s="1"/>
      <c r="L309" s="1"/>
      <c r="M309" s="1"/>
      <c r="N309" s="1"/>
      <c r="O309" s="1"/>
      <c r="P309" s="1"/>
      <c r="Q309" s="1"/>
      <c r="R309" s="1"/>
      <c r="S309" s="1"/>
      <c r="T309" s="1"/>
      <c r="U309" s="2"/>
      <c r="V309" s="1"/>
      <c r="W309" s="1"/>
      <c r="X309" s="1"/>
      <c r="Y309" s="1"/>
      <c r="Z309" s="1"/>
    </row>
    <row r="310" spans="1:26" ht="24.75" customHeight="1">
      <c r="A310" s="1"/>
      <c r="B310" s="1"/>
      <c r="C310" s="1"/>
      <c r="D310" s="1"/>
      <c r="E310" s="1"/>
      <c r="F310" s="1"/>
      <c r="G310" s="1"/>
      <c r="H310" s="1"/>
      <c r="I310" s="1"/>
      <c r="J310" s="1"/>
      <c r="K310" s="1"/>
      <c r="L310" s="1"/>
      <c r="M310" s="1"/>
      <c r="N310" s="1"/>
      <c r="O310" s="1"/>
      <c r="P310" s="1"/>
      <c r="Q310" s="1"/>
      <c r="R310" s="1"/>
      <c r="S310" s="1"/>
      <c r="T310" s="1"/>
      <c r="U310" s="2"/>
      <c r="V310" s="1"/>
      <c r="W310" s="1"/>
      <c r="X310" s="1"/>
      <c r="Y310" s="1"/>
      <c r="Z310" s="1"/>
    </row>
    <row r="311" spans="1:26" ht="24.75" customHeight="1">
      <c r="A311" s="1"/>
      <c r="B311" s="1"/>
      <c r="C311" s="1"/>
      <c r="D311" s="1"/>
      <c r="E311" s="1"/>
      <c r="F311" s="1"/>
      <c r="G311" s="1"/>
      <c r="H311" s="1"/>
      <c r="I311" s="1"/>
      <c r="J311" s="1"/>
      <c r="K311" s="1"/>
      <c r="L311" s="1"/>
      <c r="M311" s="1"/>
      <c r="N311" s="1"/>
      <c r="O311" s="1"/>
      <c r="P311" s="1"/>
      <c r="Q311" s="1"/>
      <c r="R311" s="1"/>
      <c r="S311" s="1"/>
      <c r="T311" s="1"/>
      <c r="U311" s="2"/>
      <c r="V311" s="1"/>
      <c r="W311" s="1"/>
      <c r="X311" s="1"/>
      <c r="Y311" s="1"/>
      <c r="Z311" s="1"/>
    </row>
    <row r="312" spans="1:26" ht="24.75" customHeight="1">
      <c r="A312" s="1"/>
      <c r="B312" s="1"/>
      <c r="C312" s="1"/>
      <c r="D312" s="1"/>
      <c r="E312" s="1"/>
      <c r="F312" s="1"/>
      <c r="G312" s="1"/>
      <c r="H312" s="1"/>
      <c r="I312" s="1"/>
      <c r="J312" s="1"/>
      <c r="K312" s="1"/>
      <c r="L312" s="1"/>
      <c r="M312" s="1"/>
      <c r="N312" s="1"/>
      <c r="O312" s="1"/>
      <c r="P312" s="1"/>
      <c r="Q312" s="1"/>
      <c r="R312" s="1"/>
      <c r="S312" s="1"/>
      <c r="T312" s="1"/>
      <c r="U312" s="2"/>
      <c r="V312" s="1"/>
      <c r="W312" s="1"/>
      <c r="X312" s="1"/>
      <c r="Y312" s="1"/>
      <c r="Z312" s="1"/>
    </row>
    <row r="313" spans="1:26" ht="24.75" customHeight="1">
      <c r="A313" s="1"/>
      <c r="B313" s="1"/>
      <c r="C313" s="1"/>
      <c r="D313" s="1"/>
      <c r="E313" s="1"/>
      <c r="F313" s="1"/>
      <c r="G313" s="1"/>
      <c r="H313" s="1"/>
      <c r="I313" s="1"/>
      <c r="J313" s="1"/>
      <c r="K313" s="1"/>
      <c r="L313" s="1"/>
      <c r="M313" s="1"/>
      <c r="N313" s="1"/>
      <c r="O313" s="1"/>
      <c r="P313" s="1"/>
      <c r="Q313" s="1"/>
      <c r="R313" s="1"/>
      <c r="S313" s="1"/>
      <c r="T313" s="1"/>
      <c r="U313" s="2"/>
      <c r="V313" s="1"/>
      <c r="W313" s="1"/>
      <c r="X313" s="1"/>
      <c r="Y313" s="1"/>
      <c r="Z313" s="1"/>
    </row>
    <row r="314" spans="1:26" ht="24.75" customHeight="1">
      <c r="A314" s="1"/>
      <c r="B314" s="1"/>
      <c r="C314" s="1"/>
      <c r="D314" s="1"/>
      <c r="E314" s="1"/>
      <c r="F314" s="1"/>
      <c r="G314" s="1"/>
      <c r="H314" s="1"/>
      <c r="I314" s="1"/>
      <c r="J314" s="1"/>
      <c r="K314" s="1"/>
      <c r="L314" s="1"/>
      <c r="M314" s="1"/>
      <c r="N314" s="1"/>
      <c r="O314" s="1"/>
      <c r="P314" s="1"/>
      <c r="Q314" s="1"/>
      <c r="R314" s="1"/>
      <c r="S314" s="1"/>
      <c r="T314" s="1"/>
      <c r="U314" s="2"/>
      <c r="V314" s="1"/>
      <c r="W314" s="1"/>
      <c r="X314" s="1"/>
      <c r="Y314" s="1"/>
      <c r="Z314" s="1"/>
    </row>
    <row r="315" spans="1:26" ht="24.75" customHeight="1">
      <c r="A315" s="1"/>
      <c r="B315" s="1"/>
      <c r="C315" s="1"/>
      <c r="D315" s="1"/>
      <c r="E315" s="1"/>
      <c r="F315" s="1"/>
      <c r="G315" s="1"/>
      <c r="H315" s="1"/>
      <c r="I315" s="1"/>
      <c r="J315" s="1"/>
      <c r="K315" s="1"/>
      <c r="L315" s="1"/>
      <c r="M315" s="1"/>
      <c r="N315" s="1"/>
      <c r="O315" s="1"/>
      <c r="P315" s="1"/>
      <c r="Q315" s="1"/>
      <c r="R315" s="1"/>
      <c r="S315" s="1"/>
      <c r="T315" s="1"/>
      <c r="U315" s="2"/>
      <c r="V315" s="1"/>
      <c r="W315" s="1"/>
      <c r="X315" s="1"/>
      <c r="Y315" s="1"/>
      <c r="Z315" s="1"/>
    </row>
    <row r="316" spans="1:26" ht="24.75" customHeight="1">
      <c r="A316" s="1"/>
      <c r="B316" s="1"/>
      <c r="C316" s="1"/>
      <c r="D316" s="1"/>
      <c r="E316" s="1"/>
      <c r="F316" s="1"/>
      <c r="G316" s="1"/>
      <c r="H316" s="1"/>
      <c r="I316" s="1"/>
      <c r="J316" s="1"/>
      <c r="K316" s="1"/>
      <c r="L316" s="1"/>
      <c r="M316" s="1"/>
      <c r="N316" s="1"/>
      <c r="O316" s="1"/>
      <c r="P316" s="1"/>
      <c r="Q316" s="1"/>
      <c r="R316" s="1"/>
      <c r="S316" s="1"/>
      <c r="T316" s="1"/>
      <c r="U316" s="2"/>
      <c r="V316" s="1"/>
      <c r="W316" s="1"/>
      <c r="X316" s="1"/>
      <c r="Y316" s="1"/>
      <c r="Z316" s="1"/>
    </row>
    <row r="317" spans="1:26" ht="24.75" customHeight="1">
      <c r="A317" s="1"/>
      <c r="B317" s="1"/>
      <c r="C317" s="1"/>
      <c r="D317" s="1"/>
      <c r="E317" s="1"/>
      <c r="F317" s="1"/>
      <c r="G317" s="1"/>
      <c r="H317" s="1"/>
      <c r="I317" s="1"/>
      <c r="J317" s="1"/>
      <c r="K317" s="1"/>
      <c r="L317" s="1"/>
      <c r="M317" s="1"/>
      <c r="N317" s="1"/>
      <c r="O317" s="1"/>
      <c r="P317" s="1"/>
      <c r="Q317" s="1"/>
      <c r="R317" s="1"/>
      <c r="S317" s="1"/>
      <c r="T317" s="1"/>
      <c r="U317" s="2"/>
      <c r="V317" s="1"/>
      <c r="W317" s="1"/>
      <c r="X317" s="1"/>
      <c r="Y317" s="1"/>
      <c r="Z317" s="1"/>
    </row>
    <row r="318" spans="1:26" ht="24.75" customHeight="1">
      <c r="A318" s="1"/>
      <c r="B318" s="1"/>
      <c r="C318" s="1"/>
      <c r="D318" s="1"/>
      <c r="E318" s="1"/>
      <c r="F318" s="1"/>
      <c r="G318" s="1"/>
      <c r="H318" s="1"/>
      <c r="I318" s="1"/>
      <c r="J318" s="1"/>
      <c r="K318" s="1"/>
      <c r="L318" s="1"/>
      <c r="M318" s="1"/>
      <c r="N318" s="1"/>
      <c r="O318" s="1"/>
      <c r="P318" s="1"/>
      <c r="Q318" s="1"/>
      <c r="R318" s="1"/>
      <c r="S318" s="1"/>
      <c r="T318" s="1"/>
      <c r="U318" s="2"/>
      <c r="V318" s="1"/>
      <c r="W318" s="1"/>
      <c r="X318" s="1"/>
      <c r="Y318" s="1"/>
      <c r="Z318" s="1"/>
    </row>
    <row r="319" spans="1:26" ht="24.75" customHeight="1">
      <c r="A319" s="1"/>
      <c r="B319" s="1"/>
      <c r="C319" s="1"/>
      <c r="D319" s="1"/>
      <c r="E319" s="1"/>
      <c r="F319" s="1"/>
      <c r="G319" s="1"/>
      <c r="H319" s="1"/>
      <c r="I319" s="1"/>
      <c r="J319" s="1"/>
      <c r="K319" s="1"/>
      <c r="L319" s="1"/>
      <c r="M319" s="1"/>
      <c r="N319" s="1"/>
      <c r="O319" s="1"/>
      <c r="P319" s="1"/>
      <c r="Q319" s="1"/>
      <c r="R319" s="1"/>
      <c r="S319" s="1"/>
      <c r="T319" s="1"/>
      <c r="U319" s="2"/>
      <c r="V319" s="1"/>
      <c r="W319" s="1"/>
      <c r="X319" s="1"/>
      <c r="Y319" s="1"/>
      <c r="Z319" s="1"/>
    </row>
    <row r="320" spans="1:26" ht="24.75" customHeight="1">
      <c r="A320" s="1"/>
      <c r="B320" s="1"/>
      <c r="C320" s="1"/>
      <c r="D320" s="1"/>
      <c r="E320" s="1"/>
      <c r="F320" s="1"/>
      <c r="G320" s="1"/>
      <c r="H320" s="1"/>
      <c r="I320" s="1"/>
      <c r="J320" s="1"/>
      <c r="K320" s="1"/>
      <c r="L320" s="1"/>
      <c r="M320" s="1"/>
      <c r="N320" s="1"/>
      <c r="O320" s="1"/>
      <c r="P320" s="1"/>
      <c r="Q320" s="1"/>
      <c r="R320" s="1"/>
      <c r="S320" s="1"/>
      <c r="T320" s="1"/>
      <c r="U320" s="2"/>
      <c r="V320" s="1"/>
      <c r="W320" s="1"/>
      <c r="X320" s="1"/>
      <c r="Y320" s="1"/>
      <c r="Z320" s="1"/>
    </row>
    <row r="321" spans="1:26" ht="24.75" customHeight="1">
      <c r="A321" s="1"/>
      <c r="B321" s="1"/>
      <c r="C321" s="1"/>
      <c r="D321" s="1"/>
      <c r="E321" s="1"/>
      <c r="F321" s="1"/>
      <c r="G321" s="1"/>
      <c r="H321" s="1"/>
      <c r="I321" s="1"/>
      <c r="J321" s="1"/>
      <c r="K321" s="1"/>
      <c r="L321" s="1"/>
      <c r="M321" s="1"/>
      <c r="N321" s="1"/>
      <c r="O321" s="1"/>
      <c r="P321" s="1"/>
      <c r="Q321" s="1"/>
      <c r="R321" s="1"/>
      <c r="S321" s="1"/>
      <c r="T321" s="1"/>
      <c r="U321" s="2"/>
      <c r="V321" s="1"/>
      <c r="W321" s="1"/>
      <c r="X321" s="1"/>
      <c r="Y321" s="1"/>
      <c r="Z321" s="1"/>
    </row>
    <row r="322" spans="1:26" ht="24.75" customHeight="1">
      <c r="A322" s="1"/>
      <c r="B322" s="1"/>
      <c r="C322" s="1"/>
      <c r="D322" s="1"/>
      <c r="E322" s="1"/>
      <c r="F322" s="1"/>
      <c r="G322" s="1"/>
      <c r="H322" s="1"/>
      <c r="I322" s="1"/>
      <c r="J322" s="1"/>
      <c r="K322" s="1"/>
      <c r="L322" s="1"/>
      <c r="M322" s="1"/>
      <c r="N322" s="1"/>
      <c r="O322" s="1"/>
      <c r="P322" s="1"/>
      <c r="Q322" s="1"/>
      <c r="R322" s="1"/>
      <c r="S322" s="1"/>
      <c r="T322" s="1"/>
      <c r="U322" s="2"/>
      <c r="V322" s="1"/>
      <c r="W322" s="1"/>
      <c r="X322" s="1"/>
      <c r="Y322" s="1"/>
      <c r="Z322" s="1"/>
    </row>
    <row r="323" spans="1:26" ht="24.75" customHeight="1">
      <c r="A323" s="1"/>
      <c r="B323" s="1"/>
      <c r="C323" s="1"/>
      <c r="D323" s="1"/>
      <c r="E323" s="1"/>
      <c r="F323" s="1"/>
      <c r="G323" s="1"/>
      <c r="H323" s="1"/>
      <c r="I323" s="1"/>
      <c r="J323" s="1"/>
      <c r="K323" s="1"/>
      <c r="L323" s="1"/>
      <c r="M323" s="1"/>
      <c r="N323" s="1"/>
      <c r="O323" s="1"/>
      <c r="P323" s="1"/>
      <c r="Q323" s="1"/>
      <c r="R323" s="1"/>
      <c r="S323" s="1"/>
      <c r="T323" s="1"/>
      <c r="U323" s="2"/>
      <c r="V323" s="1"/>
      <c r="W323" s="1"/>
      <c r="X323" s="1"/>
      <c r="Y323" s="1"/>
      <c r="Z323" s="1"/>
    </row>
    <row r="324" spans="1:26" ht="24.75" customHeight="1">
      <c r="A324" s="1"/>
      <c r="B324" s="1"/>
      <c r="C324" s="1"/>
      <c r="D324" s="1"/>
      <c r="E324" s="1"/>
      <c r="F324" s="1"/>
      <c r="G324" s="1"/>
      <c r="H324" s="1"/>
      <c r="I324" s="1"/>
      <c r="J324" s="1"/>
      <c r="K324" s="1"/>
      <c r="L324" s="1"/>
      <c r="M324" s="1"/>
      <c r="N324" s="1"/>
      <c r="O324" s="1"/>
      <c r="P324" s="1"/>
      <c r="Q324" s="1"/>
      <c r="R324" s="1"/>
      <c r="S324" s="1"/>
      <c r="T324" s="1"/>
      <c r="U324" s="2"/>
      <c r="V324" s="1"/>
      <c r="W324" s="1"/>
      <c r="X324" s="1"/>
      <c r="Y324" s="1"/>
      <c r="Z324" s="1"/>
    </row>
    <row r="325" spans="1:26" ht="24.75" customHeight="1">
      <c r="A325" s="1"/>
      <c r="B325" s="1"/>
      <c r="C325" s="1"/>
      <c r="D325" s="1"/>
      <c r="E325" s="1"/>
      <c r="F325" s="1"/>
      <c r="G325" s="1"/>
      <c r="H325" s="1"/>
      <c r="I325" s="1"/>
      <c r="J325" s="1"/>
      <c r="K325" s="1"/>
      <c r="L325" s="1"/>
      <c r="M325" s="1"/>
      <c r="N325" s="1"/>
      <c r="O325" s="1"/>
      <c r="P325" s="1"/>
      <c r="Q325" s="1"/>
      <c r="R325" s="1"/>
      <c r="S325" s="1"/>
      <c r="T325" s="1"/>
      <c r="U325" s="2"/>
      <c r="V325" s="1"/>
      <c r="W325" s="1"/>
      <c r="X325" s="1"/>
      <c r="Y325" s="1"/>
      <c r="Z325" s="1"/>
    </row>
    <row r="326" spans="1:26" ht="24.75" customHeight="1">
      <c r="A326" s="1"/>
      <c r="B326" s="1"/>
      <c r="C326" s="1"/>
      <c r="D326" s="1"/>
      <c r="E326" s="1"/>
      <c r="F326" s="1"/>
      <c r="G326" s="1"/>
      <c r="H326" s="1"/>
      <c r="I326" s="1"/>
      <c r="J326" s="1"/>
      <c r="K326" s="1"/>
      <c r="L326" s="1"/>
      <c r="M326" s="1"/>
      <c r="N326" s="1"/>
      <c r="O326" s="1"/>
      <c r="P326" s="1"/>
      <c r="Q326" s="1"/>
      <c r="R326" s="1"/>
      <c r="S326" s="1"/>
      <c r="T326" s="1"/>
      <c r="U326" s="2"/>
      <c r="V326" s="1"/>
      <c r="W326" s="1"/>
      <c r="X326" s="1"/>
      <c r="Y326" s="1"/>
      <c r="Z326" s="1"/>
    </row>
    <row r="327" spans="1:26" ht="24.75" customHeight="1">
      <c r="A327" s="1"/>
      <c r="B327" s="1"/>
      <c r="C327" s="1"/>
      <c r="D327" s="1"/>
      <c r="E327" s="1"/>
      <c r="F327" s="1"/>
      <c r="G327" s="1"/>
      <c r="H327" s="1"/>
      <c r="I327" s="1"/>
      <c r="J327" s="1"/>
      <c r="K327" s="1"/>
      <c r="L327" s="1"/>
      <c r="M327" s="1"/>
      <c r="N327" s="1"/>
      <c r="O327" s="1"/>
      <c r="P327" s="1"/>
      <c r="Q327" s="1"/>
      <c r="R327" s="1"/>
      <c r="S327" s="1"/>
      <c r="T327" s="1"/>
      <c r="U327" s="2"/>
      <c r="V327" s="1"/>
      <c r="W327" s="1"/>
      <c r="X327" s="1"/>
      <c r="Y327" s="1"/>
      <c r="Z327" s="1"/>
    </row>
    <row r="328" spans="1:26" ht="24.75" customHeight="1">
      <c r="A328" s="1"/>
      <c r="B328" s="1"/>
      <c r="C328" s="1"/>
      <c r="D328" s="1"/>
      <c r="E328" s="1"/>
      <c r="F328" s="1"/>
      <c r="G328" s="1"/>
      <c r="H328" s="1"/>
      <c r="I328" s="1"/>
      <c r="J328" s="1"/>
      <c r="K328" s="1"/>
      <c r="L328" s="1"/>
      <c r="M328" s="1"/>
      <c r="N328" s="1"/>
      <c r="O328" s="1"/>
      <c r="P328" s="1"/>
      <c r="Q328" s="1"/>
      <c r="R328" s="1"/>
      <c r="S328" s="1"/>
      <c r="T328" s="1"/>
      <c r="U328" s="2"/>
      <c r="V328" s="1"/>
      <c r="W328" s="1"/>
      <c r="X328" s="1"/>
      <c r="Y328" s="1"/>
      <c r="Z328" s="1"/>
    </row>
    <row r="329" spans="1:26" ht="24.75" customHeight="1">
      <c r="A329" s="1"/>
      <c r="B329" s="1"/>
      <c r="C329" s="1"/>
      <c r="D329" s="1"/>
      <c r="E329" s="1"/>
      <c r="F329" s="1"/>
      <c r="G329" s="1"/>
      <c r="H329" s="1"/>
      <c r="I329" s="1"/>
      <c r="J329" s="1"/>
      <c r="K329" s="1"/>
      <c r="L329" s="1"/>
      <c r="M329" s="1"/>
      <c r="N329" s="1"/>
      <c r="O329" s="1"/>
      <c r="P329" s="1"/>
      <c r="Q329" s="1"/>
      <c r="R329" s="1"/>
      <c r="S329" s="1"/>
      <c r="T329" s="1"/>
      <c r="U329" s="2"/>
      <c r="V329" s="1"/>
      <c r="W329" s="1"/>
      <c r="X329" s="1"/>
      <c r="Y329" s="1"/>
      <c r="Z329" s="1"/>
    </row>
    <row r="330" spans="1:26" ht="24.75" customHeight="1">
      <c r="A330" s="1"/>
      <c r="B330" s="1"/>
      <c r="C330" s="1"/>
      <c r="D330" s="1"/>
      <c r="E330" s="1"/>
      <c r="F330" s="1"/>
      <c r="G330" s="1"/>
      <c r="H330" s="1"/>
      <c r="I330" s="1"/>
      <c r="J330" s="1"/>
      <c r="K330" s="1"/>
      <c r="L330" s="1"/>
      <c r="M330" s="1"/>
      <c r="N330" s="1"/>
      <c r="O330" s="1"/>
      <c r="P330" s="1"/>
      <c r="Q330" s="1"/>
      <c r="R330" s="1"/>
      <c r="S330" s="1"/>
      <c r="T330" s="1"/>
      <c r="U330" s="2"/>
      <c r="V330" s="1"/>
      <c r="W330" s="1"/>
      <c r="X330" s="1"/>
      <c r="Y330" s="1"/>
      <c r="Z330" s="1"/>
    </row>
    <row r="331" spans="1:26" ht="24.75" customHeight="1">
      <c r="A331" s="1"/>
      <c r="B331" s="1"/>
      <c r="C331" s="1"/>
      <c r="D331" s="1"/>
      <c r="E331" s="1"/>
      <c r="F331" s="1"/>
      <c r="G331" s="1"/>
      <c r="H331" s="1"/>
      <c r="I331" s="1"/>
      <c r="J331" s="1"/>
      <c r="K331" s="1"/>
      <c r="L331" s="1"/>
      <c r="M331" s="1"/>
      <c r="N331" s="1"/>
      <c r="O331" s="1"/>
      <c r="P331" s="1"/>
      <c r="Q331" s="1"/>
      <c r="R331" s="1"/>
      <c r="S331" s="1"/>
      <c r="T331" s="1"/>
      <c r="U331" s="2"/>
      <c r="V331" s="1"/>
      <c r="W331" s="1"/>
      <c r="X331" s="1"/>
      <c r="Y331" s="1"/>
      <c r="Z331" s="1"/>
    </row>
    <row r="332" spans="1:26" ht="24.75" customHeight="1">
      <c r="A332" s="1"/>
      <c r="B332" s="1"/>
      <c r="C332" s="1"/>
      <c r="D332" s="1"/>
      <c r="E332" s="1"/>
      <c r="F332" s="1"/>
      <c r="G332" s="1"/>
      <c r="H332" s="1"/>
      <c r="I332" s="1"/>
      <c r="J332" s="1"/>
      <c r="K332" s="1"/>
      <c r="L332" s="1"/>
      <c r="M332" s="1"/>
      <c r="N332" s="1"/>
      <c r="O332" s="1"/>
      <c r="P332" s="1"/>
      <c r="Q332" s="1"/>
      <c r="R332" s="1"/>
      <c r="S332" s="1"/>
      <c r="T332" s="1"/>
      <c r="U332" s="2"/>
      <c r="V332" s="1"/>
      <c r="W332" s="1"/>
      <c r="X332" s="1"/>
      <c r="Y332" s="1"/>
      <c r="Z332" s="1"/>
    </row>
    <row r="333" spans="1:26" ht="24.75" customHeight="1">
      <c r="A333" s="1"/>
      <c r="B333" s="1"/>
      <c r="C333" s="1"/>
      <c r="D333" s="1"/>
      <c r="E333" s="1"/>
      <c r="F333" s="1"/>
      <c r="G333" s="1"/>
      <c r="H333" s="1"/>
      <c r="I333" s="1"/>
      <c r="J333" s="1"/>
      <c r="K333" s="1"/>
      <c r="L333" s="1"/>
      <c r="M333" s="1"/>
      <c r="N333" s="1"/>
      <c r="O333" s="1"/>
      <c r="P333" s="1"/>
      <c r="Q333" s="1"/>
      <c r="R333" s="1"/>
      <c r="S333" s="1"/>
      <c r="T333" s="1"/>
      <c r="U333" s="2"/>
      <c r="V333" s="1"/>
      <c r="W333" s="1"/>
      <c r="X333" s="1"/>
      <c r="Y333" s="1"/>
      <c r="Z333" s="1"/>
    </row>
    <row r="334" spans="1:26" ht="24.75" customHeight="1">
      <c r="A334" s="1"/>
      <c r="B334" s="1"/>
      <c r="C334" s="1"/>
      <c r="D334" s="1"/>
      <c r="E334" s="1"/>
      <c r="F334" s="1"/>
      <c r="G334" s="1"/>
      <c r="H334" s="1"/>
      <c r="I334" s="1"/>
      <c r="J334" s="1"/>
      <c r="K334" s="1"/>
      <c r="L334" s="1"/>
      <c r="M334" s="1"/>
      <c r="N334" s="1"/>
      <c r="O334" s="1"/>
      <c r="P334" s="1"/>
      <c r="Q334" s="1"/>
      <c r="R334" s="1"/>
      <c r="S334" s="1"/>
      <c r="T334" s="1"/>
      <c r="U334" s="2"/>
      <c r="V334" s="1"/>
      <c r="W334" s="1"/>
      <c r="X334" s="1"/>
      <c r="Y334" s="1"/>
      <c r="Z334" s="1"/>
    </row>
    <row r="335" spans="1:26" ht="24.75" customHeight="1">
      <c r="A335" s="1"/>
      <c r="B335" s="1"/>
      <c r="C335" s="1"/>
      <c r="D335" s="1"/>
      <c r="E335" s="1"/>
      <c r="F335" s="1"/>
      <c r="G335" s="1"/>
      <c r="H335" s="1"/>
      <c r="I335" s="1"/>
      <c r="J335" s="1"/>
      <c r="K335" s="1"/>
      <c r="L335" s="1"/>
      <c r="M335" s="1"/>
      <c r="N335" s="1"/>
      <c r="O335" s="1"/>
      <c r="P335" s="1"/>
      <c r="Q335" s="1"/>
      <c r="R335" s="1"/>
      <c r="S335" s="1"/>
      <c r="T335" s="1"/>
      <c r="U335" s="2"/>
      <c r="V335" s="1"/>
      <c r="W335" s="1"/>
      <c r="X335" s="1"/>
      <c r="Y335" s="1"/>
      <c r="Z335" s="1"/>
    </row>
    <row r="336" spans="1:26" ht="24.75" customHeight="1">
      <c r="A336" s="1"/>
      <c r="B336" s="1"/>
      <c r="C336" s="1"/>
      <c r="D336" s="1"/>
      <c r="E336" s="1"/>
      <c r="F336" s="1"/>
      <c r="G336" s="1"/>
      <c r="H336" s="1"/>
      <c r="I336" s="1"/>
      <c r="J336" s="1"/>
      <c r="K336" s="1"/>
      <c r="L336" s="1"/>
      <c r="M336" s="1"/>
      <c r="N336" s="1"/>
      <c r="O336" s="1"/>
      <c r="P336" s="1"/>
      <c r="Q336" s="1"/>
      <c r="R336" s="1"/>
      <c r="S336" s="1"/>
      <c r="T336" s="1"/>
      <c r="U336" s="2"/>
      <c r="V336" s="1"/>
      <c r="W336" s="1"/>
      <c r="X336" s="1"/>
      <c r="Y336" s="1"/>
      <c r="Z336" s="1"/>
    </row>
    <row r="337" spans="1:26" ht="24.75" customHeight="1">
      <c r="A337" s="1"/>
      <c r="B337" s="1"/>
      <c r="C337" s="1"/>
      <c r="D337" s="1"/>
      <c r="E337" s="1"/>
      <c r="F337" s="1"/>
      <c r="G337" s="1"/>
      <c r="H337" s="1"/>
      <c r="I337" s="1"/>
      <c r="J337" s="1"/>
      <c r="K337" s="1"/>
      <c r="L337" s="1"/>
      <c r="M337" s="1"/>
      <c r="N337" s="1"/>
      <c r="O337" s="1"/>
      <c r="P337" s="1"/>
      <c r="Q337" s="1"/>
      <c r="R337" s="1"/>
      <c r="S337" s="1"/>
      <c r="T337" s="1"/>
      <c r="U337" s="2"/>
      <c r="V337" s="1"/>
      <c r="W337" s="1"/>
      <c r="X337" s="1"/>
      <c r="Y337" s="1"/>
      <c r="Z337" s="1"/>
    </row>
    <row r="338" spans="1:26" ht="24.75" customHeight="1">
      <c r="A338" s="1"/>
      <c r="B338" s="1"/>
      <c r="C338" s="1"/>
      <c r="D338" s="1"/>
      <c r="E338" s="1"/>
      <c r="F338" s="1"/>
      <c r="G338" s="1"/>
      <c r="H338" s="1"/>
      <c r="I338" s="1"/>
      <c r="J338" s="1"/>
      <c r="K338" s="1"/>
      <c r="L338" s="1"/>
      <c r="M338" s="1"/>
      <c r="N338" s="1"/>
      <c r="O338" s="1"/>
      <c r="P338" s="1"/>
      <c r="Q338" s="1"/>
      <c r="R338" s="1"/>
      <c r="S338" s="1"/>
      <c r="T338" s="1"/>
      <c r="U338" s="2"/>
      <c r="V338" s="1"/>
      <c r="W338" s="1"/>
      <c r="X338" s="1"/>
      <c r="Y338" s="1"/>
      <c r="Z338" s="1"/>
    </row>
    <row r="339" spans="1:26" ht="24.75" customHeight="1">
      <c r="A339" s="1"/>
      <c r="B339" s="1"/>
      <c r="C339" s="1"/>
      <c r="D339" s="1"/>
      <c r="E339" s="1"/>
      <c r="F339" s="1"/>
      <c r="G339" s="1"/>
      <c r="H339" s="1"/>
      <c r="I339" s="1"/>
      <c r="J339" s="1"/>
      <c r="K339" s="1"/>
      <c r="L339" s="1"/>
      <c r="M339" s="1"/>
      <c r="N339" s="1"/>
      <c r="O339" s="1"/>
      <c r="P339" s="1"/>
      <c r="Q339" s="1"/>
      <c r="R339" s="1"/>
      <c r="S339" s="1"/>
      <c r="T339" s="1"/>
      <c r="U339" s="2"/>
      <c r="V339" s="1"/>
      <c r="W339" s="1"/>
      <c r="X339" s="1"/>
      <c r="Y339" s="1"/>
      <c r="Z339" s="1"/>
    </row>
    <row r="340" spans="1:26" ht="24.75" customHeight="1">
      <c r="A340" s="1"/>
      <c r="B340" s="1"/>
      <c r="C340" s="1"/>
      <c r="D340" s="1"/>
      <c r="E340" s="1"/>
      <c r="F340" s="1"/>
      <c r="G340" s="1"/>
      <c r="H340" s="1"/>
      <c r="I340" s="1"/>
      <c r="J340" s="1"/>
      <c r="K340" s="1"/>
      <c r="L340" s="1"/>
      <c r="M340" s="1"/>
      <c r="N340" s="1"/>
      <c r="O340" s="1"/>
      <c r="P340" s="1"/>
      <c r="Q340" s="1"/>
      <c r="R340" s="1"/>
      <c r="S340" s="1"/>
      <c r="T340" s="1"/>
      <c r="U340" s="2"/>
      <c r="V340" s="1"/>
      <c r="W340" s="1"/>
      <c r="X340" s="1"/>
      <c r="Y340" s="1"/>
      <c r="Z340" s="1"/>
    </row>
    <row r="341" spans="1:26" ht="24.75" customHeight="1">
      <c r="A341" s="1"/>
      <c r="B341" s="1"/>
      <c r="C341" s="1"/>
      <c r="D341" s="1"/>
      <c r="E341" s="1"/>
      <c r="F341" s="1"/>
      <c r="G341" s="1"/>
      <c r="H341" s="1"/>
      <c r="I341" s="1"/>
      <c r="J341" s="1"/>
      <c r="K341" s="1"/>
      <c r="L341" s="1"/>
      <c r="M341" s="1"/>
      <c r="N341" s="1"/>
      <c r="O341" s="1"/>
      <c r="P341" s="1"/>
      <c r="Q341" s="1"/>
      <c r="R341" s="1"/>
      <c r="S341" s="1"/>
      <c r="T341" s="1"/>
      <c r="U341" s="2"/>
      <c r="V341" s="1"/>
      <c r="W341" s="1"/>
      <c r="X341" s="1"/>
      <c r="Y341" s="1"/>
      <c r="Z341" s="1"/>
    </row>
    <row r="342" spans="1:26" ht="24.75" customHeight="1">
      <c r="A342" s="1"/>
      <c r="B342" s="1"/>
      <c r="C342" s="1"/>
      <c r="D342" s="1"/>
      <c r="E342" s="1"/>
      <c r="F342" s="1"/>
      <c r="G342" s="1"/>
      <c r="H342" s="1"/>
      <c r="I342" s="1"/>
      <c r="J342" s="1"/>
      <c r="K342" s="1"/>
      <c r="L342" s="1"/>
      <c r="M342" s="1"/>
      <c r="N342" s="1"/>
      <c r="O342" s="1"/>
      <c r="P342" s="1"/>
      <c r="Q342" s="1"/>
      <c r="R342" s="1"/>
      <c r="S342" s="1"/>
      <c r="T342" s="1"/>
      <c r="U342" s="2"/>
      <c r="V342" s="1"/>
      <c r="W342" s="1"/>
      <c r="X342" s="1"/>
      <c r="Y342" s="1"/>
      <c r="Z342" s="1"/>
    </row>
    <row r="343" spans="1:26" ht="24.75" customHeight="1">
      <c r="A343" s="1"/>
      <c r="B343" s="1"/>
      <c r="C343" s="1"/>
      <c r="D343" s="1"/>
      <c r="E343" s="1"/>
      <c r="F343" s="1"/>
      <c r="G343" s="1"/>
      <c r="H343" s="1"/>
      <c r="I343" s="1"/>
      <c r="J343" s="1"/>
      <c r="K343" s="1"/>
      <c r="L343" s="1"/>
      <c r="M343" s="1"/>
      <c r="N343" s="1"/>
      <c r="O343" s="1"/>
      <c r="P343" s="1"/>
      <c r="Q343" s="1"/>
      <c r="R343" s="1"/>
      <c r="S343" s="1"/>
      <c r="T343" s="1"/>
      <c r="U343" s="2"/>
      <c r="V343" s="1"/>
      <c r="W343" s="1"/>
      <c r="X343" s="1"/>
      <c r="Y343" s="1"/>
      <c r="Z343" s="1"/>
    </row>
    <row r="344" spans="1:26" ht="24.75" customHeight="1">
      <c r="A344" s="1"/>
      <c r="B344" s="1"/>
      <c r="C344" s="1"/>
      <c r="D344" s="1"/>
      <c r="E344" s="1"/>
      <c r="F344" s="1"/>
      <c r="G344" s="1"/>
      <c r="H344" s="1"/>
      <c r="I344" s="1"/>
      <c r="J344" s="1"/>
      <c r="K344" s="1"/>
      <c r="L344" s="1"/>
      <c r="M344" s="1"/>
      <c r="N344" s="1"/>
      <c r="O344" s="1"/>
      <c r="P344" s="1"/>
      <c r="Q344" s="1"/>
      <c r="R344" s="1"/>
      <c r="S344" s="1"/>
      <c r="T344" s="1"/>
      <c r="U344" s="2"/>
      <c r="V344" s="1"/>
      <c r="W344" s="1"/>
      <c r="X344" s="1"/>
      <c r="Y344" s="1"/>
      <c r="Z344" s="1"/>
    </row>
    <row r="345" spans="1:26" ht="24.75" customHeight="1">
      <c r="A345" s="1"/>
      <c r="B345" s="1"/>
      <c r="C345" s="1"/>
      <c r="D345" s="1"/>
      <c r="E345" s="1"/>
      <c r="F345" s="1"/>
      <c r="G345" s="1"/>
      <c r="H345" s="1"/>
      <c r="I345" s="1"/>
      <c r="J345" s="1"/>
      <c r="K345" s="1"/>
      <c r="L345" s="1"/>
      <c r="M345" s="1"/>
      <c r="N345" s="1"/>
      <c r="O345" s="1"/>
      <c r="P345" s="1"/>
      <c r="Q345" s="1"/>
      <c r="R345" s="1"/>
      <c r="S345" s="1"/>
      <c r="T345" s="1"/>
      <c r="U345" s="2"/>
      <c r="V345" s="1"/>
      <c r="W345" s="1"/>
      <c r="X345" s="1"/>
      <c r="Y345" s="1"/>
      <c r="Z345" s="1"/>
    </row>
    <row r="346" spans="1:26" ht="24.75" customHeight="1">
      <c r="A346" s="1"/>
      <c r="B346" s="1"/>
      <c r="C346" s="1"/>
      <c r="D346" s="1"/>
      <c r="E346" s="1"/>
      <c r="F346" s="1"/>
      <c r="G346" s="1"/>
      <c r="H346" s="1"/>
      <c r="I346" s="1"/>
      <c r="J346" s="1"/>
      <c r="K346" s="1"/>
      <c r="L346" s="1"/>
      <c r="M346" s="1"/>
      <c r="N346" s="1"/>
      <c r="O346" s="1"/>
      <c r="P346" s="1"/>
      <c r="Q346" s="1"/>
      <c r="R346" s="1"/>
      <c r="S346" s="1"/>
      <c r="T346" s="1"/>
      <c r="U346" s="2"/>
      <c r="V346" s="1"/>
      <c r="W346" s="1"/>
      <c r="X346" s="1"/>
      <c r="Y346" s="1"/>
      <c r="Z346" s="1"/>
    </row>
    <row r="347" spans="1:26" ht="24.75" customHeight="1">
      <c r="A347" s="1"/>
      <c r="B347" s="1"/>
      <c r="C347" s="1"/>
      <c r="D347" s="1"/>
      <c r="E347" s="1"/>
      <c r="F347" s="1"/>
      <c r="G347" s="1"/>
      <c r="H347" s="1"/>
      <c r="I347" s="1"/>
      <c r="J347" s="1"/>
      <c r="K347" s="1"/>
      <c r="L347" s="1"/>
      <c r="M347" s="1"/>
      <c r="N347" s="1"/>
      <c r="O347" s="1"/>
      <c r="P347" s="1"/>
      <c r="Q347" s="1"/>
      <c r="R347" s="1"/>
      <c r="S347" s="1"/>
      <c r="T347" s="1"/>
      <c r="U347" s="2"/>
      <c r="V347" s="1"/>
      <c r="W347" s="1"/>
      <c r="X347" s="1"/>
      <c r="Y347" s="1"/>
      <c r="Z347" s="1"/>
    </row>
    <row r="348" spans="1:26" ht="24.75" customHeight="1">
      <c r="A348" s="1"/>
      <c r="B348" s="1"/>
      <c r="C348" s="1"/>
      <c r="D348" s="1"/>
      <c r="E348" s="1"/>
      <c r="F348" s="1"/>
      <c r="G348" s="1"/>
      <c r="H348" s="1"/>
      <c r="I348" s="1"/>
      <c r="J348" s="1"/>
      <c r="K348" s="1"/>
      <c r="L348" s="1"/>
      <c r="M348" s="1"/>
      <c r="N348" s="1"/>
      <c r="O348" s="1"/>
      <c r="P348" s="1"/>
      <c r="Q348" s="1"/>
      <c r="R348" s="1"/>
      <c r="S348" s="1"/>
      <c r="T348" s="1"/>
      <c r="U348" s="2"/>
      <c r="V348" s="1"/>
      <c r="W348" s="1"/>
      <c r="X348" s="1"/>
      <c r="Y348" s="1"/>
      <c r="Z348" s="1"/>
    </row>
    <row r="349" spans="1:26" ht="24.75" customHeight="1">
      <c r="A349" s="1"/>
      <c r="B349" s="1"/>
      <c r="C349" s="1"/>
      <c r="D349" s="1"/>
      <c r="E349" s="1"/>
      <c r="F349" s="1"/>
      <c r="G349" s="1"/>
      <c r="H349" s="1"/>
      <c r="I349" s="1"/>
      <c r="J349" s="1"/>
      <c r="K349" s="1"/>
      <c r="L349" s="1"/>
      <c r="M349" s="1"/>
      <c r="N349" s="1"/>
      <c r="O349" s="1"/>
      <c r="P349" s="1"/>
      <c r="Q349" s="1"/>
      <c r="R349" s="1"/>
      <c r="S349" s="1"/>
      <c r="T349" s="1"/>
      <c r="U349" s="2"/>
      <c r="V349" s="1"/>
      <c r="W349" s="1"/>
      <c r="X349" s="1"/>
      <c r="Y349" s="1"/>
      <c r="Z349" s="1"/>
    </row>
    <row r="350" spans="1:26" ht="24.75" customHeight="1">
      <c r="A350" s="1"/>
      <c r="B350" s="1"/>
      <c r="C350" s="1"/>
      <c r="D350" s="1"/>
      <c r="E350" s="1"/>
      <c r="F350" s="1"/>
      <c r="G350" s="1"/>
      <c r="H350" s="1"/>
      <c r="I350" s="1"/>
      <c r="J350" s="1"/>
      <c r="K350" s="1"/>
      <c r="L350" s="1"/>
      <c r="M350" s="1"/>
      <c r="N350" s="1"/>
      <c r="O350" s="1"/>
      <c r="P350" s="1"/>
      <c r="Q350" s="1"/>
      <c r="R350" s="1"/>
      <c r="S350" s="1"/>
      <c r="T350" s="1"/>
      <c r="U350" s="2"/>
      <c r="V350" s="1"/>
      <c r="W350" s="1"/>
      <c r="X350" s="1"/>
      <c r="Y350" s="1"/>
      <c r="Z350" s="1"/>
    </row>
    <row r="351" spans="1:26" ht="24.75" customHeight="1">
      <c r="A351" s="1"/>
      <c r="B351" s="1"/>
      <c r="C351" s="1"/>
      <c r="D351" s="1"/>
      <c r="E351" s="1"/>
      <c r="F351" s="1"/>
      <c r="G351" s="1"/>
      <c r="H351" s="1"/>
      <c r="I351" s="1"/>
      <c r="J351" s="1"/>
      <c r="K351" s="1"/>
      <c r="L351" s="1"/>
      <c r="M351" s="1"/>
      <c r="N351" s="1"/>
      <c r="O351" s="1"/>
      <c r="P351" s="1"/>
      <c r="Q351" s="1"/>
      <c r="R351" s="1"/>
      <c r="S351" s="1"/>
      <c r="T351" s="1"/>
      <c r="U351" s="2"/>
      <c r="V351" s="1"/>
      <c r="W351" s="1"/>
      <c r="X351" s="1"/>
      <c r="Y351" s="1"/>
      <c r="Z351" s="1"/>
    </row>
    <row r="352" spans="1:26" ht="24.75" customHeight="1">
      <c r="A352" s="1"/>
      <c r="B352" s="1"/>
      <c r="C352" s="1"/>
      <c r="D352" s="1"/>
      <c r="E352" s="1"/>
      <c r="F352" s="1"/>
      <c r="G352" s="1"/>
      <c r="H352" s="1"/>
      <c r="I352" s="1"/>
      <c r="J352" s="1"/>
      <c r="K352" s="1"/>
      <c r="L352" s="1"/>
      <c r="M352" s="1"/>
      <c r="N352" s="1"/>
      <c r="O352" s="1"/>
      <c r="P352" s="1"/>
      <c r="Q352" s="1"/>
      <c r="R352" s="1"/>
      <c r="S352" s="1"/>
      <c r="T352" s="1"/>
      <c r="U352" s="2"/>
      <c r="V352" s="1"/>
      <c r="W352" s="1"/>
      <c r="X352" s="1"/>
      <c r="Y352" s="1"/>
      <c r="Z352" s="1"/>
    </row>
    <row r="353" spans="1:26" ht="24.75" customHeight="1">
      <c r="A353" s="1"/>
      <c r="B353" s="1"/>
      <c r="C353" s="1"/>
      <c r="D353" s="1"/>
      <c r="E353" s="1"/>
      <c r="F353" s="1"/>
      <c r="G353" s="1"/>
      <c r="H353" s="1"/>
      <c r="I353" s="1"/>
      <c r="J353" s="1"/>
      <c r="K353" s="1"/>
      <c r="L353" s="1"/>
      <c r="M353" s="1"/>
      <c r="N353" s="1"/>
      <c r="O353" s="1"/>
      <c r="P353" s="1"/>
      <c r="Q353" s="1"/>
      <c r="R353" s="1"/>
      <c r="S353" s="1"/>
      <c r="T353" s="1"/>
      <c r="U353" s="2"/>
      <c r="V353" s="1"/>
      <c r="W353" s="1"/>
      <c r="X353" s="1"/>
      <c r="Y353" s="1"/>
      <c r="Z353" s="1"/>
    </row>
    <row r="354" spans="1:26" ht="24.75" customHeight="1">
      <c r="A354" s="1"/>
      <c r="B354" s="1"/>
      <c r="C354" s="1"/>
      <c r="D354" s="1"/>
      <c r="E354" s="1"/>
      <c r="F354" s="1"/>
      <c r="G354" s="1"/>
      <c r="H354" s="1"/>
      <c r="I354" s="1"/>
      <c r="J354" s="1"/>
      <c r="K354" s="1"/>
      <c r="L354" s="1"/>
      <c r="M354" s="1"/>
      <c r="N354" s="1"/>
      <c r="O354" s="1"/>
      <c r="P354" s="1"/>
      <c r="Q354" s="1"/>
      <c r="R354" s="1"/>
      <c r="S354" s="1"/>
      <c r="T354" s="1"/>
      <c r="U354" s="2"/>
      <c r="V354" s="1"/>
      <c r="W354" s="1"/>
      <c r="X354" s="1"/>
      <c r="Y354" s="1"/>
      <c r="Z354" s="1"/>
    </row>
    <row r="355" spans="1:26" ht="24.75" customHeight="1">
      <c r="A355" s="1"/>
      <c r="B355" s="1"/>
      <c r="C355" s="1"/>
      <c r="D355" s="1"/>
      <c r="E355" s="1"/>
      <c r="F355" s="1"/>
      <c r="G355" s="1"/>
      <c r="H355" s="1"/>
      <c r="I355" s="1"/>
      <c r="J355" s="1"/>
      <c r="K355" s="1"/>
      <c r="L355" s="1"/>
      <c r="M355" s="1"/>
      <c r="N355" s="1"/>
      <c r="O355" s="1"/>
      <c r="P355" s="1"/>
      <c r="Q355" s="1"/>
      <c r="R355" s="1"/>
      <c r="S355" s="1"/>
      <c r="T355" s="1"/>
      <c r="U355" s="2"/>
      <c r="V355" s="1"/>
      <c r="W355" s="1"/>
      <c r="X355" s="1"/>
      <c r="Y355" s="1"/>
      <c r="Z355" s="1"/>
    </row>
    <row r="356" spans="1:26" ht="24.75" customHeight="1">
      <c r="A356" s="1"/>
      <c r="B356" s="1"/>
      <c r="C356" s="1"/>
      <c r="D356" s="1"/>
      <c r="E356" s="1"/>
      <c r="F356" s="1"/>
      <c r="G356" s="1"/>
      <c r="H356" s="1"/>
      <c r="I356" s="1"/>
      <c r="J356" s="1"/>
      <c r="K356" s="1"/>
      <c r="L356" s="1"/>
      <c r="M356" s="1"/>
      <c r="N356" s="1"/>
      <c r="O356" s="1"/>
      <c r="P356" s="1"/>
      <c r="Q356" s="1"/>
      <c r="R356" s="1"/>
      <c r="S356" s="1"/>
      <c r="T356" s="1"/>
      <c r="U356" s="2"/>
      <c r="V356" s="1"/>
      <c r="W356" s="1"/>
      <c r="X356" s="1"/>
      <c r="Y356" s="1"/>
      <c r="Z356" s="1"/>
    </row>
    <row r="357" spans="1:26" ht="24.75" customHeight="1">
      <c r="A357" s="1"/>
      <c r="B357" s="1"/>
      <c r="C357" s="1"/>
      <c r="D357" s="1"/>
      <c r="E357" s="1"/>
      <c r="F357" s="1"/>
      <c r="G357" s="1"/>
      <c r="H357" s="1"/>
      <c r="I357" s="1"/>
      <c r="J357" s="1"/>
      <c r="K357" s="1"/>
      <c r="L357" s="1"/>
      <c r="M357" s="1"/>
      <c r="N357" s="1"/>
      <c r="O357" s="1"/>
      <c r="P357" s="1"/>
      <c r="Q357" s="1"/>
      <c r="R357" s="1"/>
      <c r="S357" s="1"/>
      <c r="T357" s="1"/>
      <c r="U357" s="2"/>
      <c r="V357" s="1"/>
      <c r="W357" s="1"/>
      <c r="X357" s="1"/>
      <c r="Y357" s="1"/>
      <c r="Z357" s="1"/>
    </row>
    <row r="358" spans="1:26" ht="24.75" customHeight="1">
      <c r="A358" s="1"/>
      <c r="B358" s="1"/>
      <c r="C358" s="1"/>
      <c r="D358" s="1"/>
      <c r="E358" s="1"/>
      <c r="F358" s="1"/>
      <c r="G358" s="1"/>
      <c r="H358" s="1"/>
      <c r="I358" s="1"/>
      <c r="J358" s="1"/>
      <c r="K358" s="1"/>
      <c r="L358" s="1"/>
      <c r="M358" s="1"/>
      <c r="N358" s="1"/>
      <c r="O358" s="1"/>
      <c r="P358" s="1"/>
      <c r="Q358" s="1"/>
      <c r="R358" s="1"/>
      <c r="S358" s="1"/>
      <c r="T358" s="1"/>
      <c r="U358" s="2"/>
      <c r="V358" s="1"/>
      <c r="W358" s="1"/>
      <c r="X358" s="1"/>
      <c r="Y358" s="1"/>
      <c r="Z358" s="1"/>
    </row>
    <row r="359" spans="1:26" ht="24.75" customHeight="1">
      <c r="A359" s="1"/>
      <c r="B359" s="1"/>
      <c r="C359" s="1"/>
      <c r="D359" s="1"/>
      <c r="E359" s="1"/>
      <c r="F359" s="1"/>
      <c r="G359" s="1"/>
      <c r="H359" s="1"/>
      <c r="I359" s="1"/>
      <c r="J359" s="1"/>
      <c r="K359" s="1"/>
      <c r="L359" s="1"/>
      <c r="M359" s="1"/>
      <c r="N359" s="1"/>
      <c r="O359" s="1"/>
      <c r="P359" s="1"/>
      <c r="Q359" s="1"/>
      <c r="R359" s="1"/>
      <c r="S359" s="1"/>
      <c r="T359" s="1"/>
      <c r="U359" s="2"/>
      <c r="V359" s="1"/>
      <c r="W359" s="1"/>
      <c r="X359" s="1"/>
      <c r="Y359" s="1"/>
      <c r="Z359" s="1"/>
    </row>
    <row r="360" spans="1:26" ht="24.75" customHeight="1">
      <c r="A360" s="1"/>
      <c r="B360" s="1"/>
      <c r="C360" s="1"/>
      <c r="D360" s="1"/>
      <c r="E360" s="1"/>
      <c r="F360" s="1"/>
      <c r="G360" s="1"/>
      <c r="H360" s="1"/>
      <c r="I360" s="1"/>
      <c r="J360" s="1"/>
      <c r="K360" s="1"/>
      <c r="L360" s="1"/>
      <c r="M360" s="1"/>
      <c r="N360" s="1"/>
      <c r="O360" s="1"/>
      <c r="P360" s="1"/>
      <c r="Q360" s="1"/>
      <c r="R360" s="1"/>
      <c r="S360" s="1"/>
      <c r="T360" s="1"/>
      <c r="U360" s="2"/>
      <c r="V360" s="1"/>
      <c r="W360" s="1"/>
      <c r="X360" s="1"/>
      <c r="Y360" s="1"/>
      <c r="Z360" s="1"/>
    </row>
    <row r="361" spans="1:26" ht="24.75" customHeight="1">
      <c r="A361" s="1"/>
      <c r="B361" s="1"/>
      <c r="C361" s="1"/>
      <c r="D361" s="1"/>
      <c r="E361" s="1"/>
      <c r="F361" s="1"/>
      <c r="G361" s="1"/>
      <c r="H361" s="1"/>
      <c r="I361" s="1"/>
      <c r="J361" s="1"/>
      <c r="K361" s="1"/>
      <c r="L361" s="1"/>
      <c r="M361" s="1"/>
      <c r="N361" s="1"/>
      <c r="O361" s="1"/>
      <c r="P361" s="1"/>
      <c r="Q361" s="1"/>
      <c r="R361" s="1"/>
      <c r="S361" s="1"/>
      <c r="T361" s="1"/>
      <c r="U361" s="2"/>
      <c r="V361" s="1"/>
      <c r="W361" s="1"/>
      <c r="X361" s="1"/>
      <c r="Y361" s="1"/>
      <c r="Z361" s="1"/>
    </row>
    <row r="362" spans="1:26" ht="24.75" customHeight="1">
      <c r="A362" s="1"/>
      <c r="B362" s="1"/>
      <c r="C362" s="1"/>
      <c r="D362" s="1"/>
      <c r="E362" s="1"/>
      <c r="F362" s="1"/>
      <c r="G362" s="1"/>
      <c r="H362" s="1"/>
      <c r="I362" s="1"/>
      <c r="J362" s="1"/>
      <c r="K362" s="1"/>
      <c r="L362" s="1"/>
      <c r="M362" s="1"/>
      <c r="N362" s="1"/>
      <c r="O362" s="1"/>
      <c r="P362" s="1"/>
      <c r="Q362" s="1"/>
      <c r="R362" s="1"/>
      <c r="S362" s="1"/>
      <c r="T362" s="1"/>
      <c r="U362" s="2"/>
      <c r="V362" s="1"/>
      <c r="W362" s="1"/>
      <c r="X362" s="1"/>
      <c r="Y362" s="1"/>
      <c r="Z362" s="1"/>
    </row>
    <row r="363" spans="1:26" ht="24.75" customHeight="1">
      <c r="A363" s="1"/>
      <c r="B363" s="1"/>
      <c r="C363" s="1"/>
      <c r="D363" s="1"/>
      <c r="E363" s="1"/>
      <c r="F363" s="1"/>
      <c r="G363" s="1"/>
      <c r="H363" s="1"/>
      <c r="I363" s="1"/>
      <c r="J363" s="1"/>
      <c r="K363" s="1"/>
      <c r="L363" s="1"/>
      <c r="M363" s="1"/>
      <c r="N363" s="1"/>
      <c r="O363" s="1"/>
      <c r="P363" s="1"/>
      <c r="Q363" s="1"/>
      <c r="R363" s="1"/>
      <c r="S363" s="1"/>
      <c r="T363" s="1"/>
      <c r="U363" s="2"/>
      <c r="V363" s="1"/>
      <c r="W363" s="1"/>
      <c r="X363" s="1"/>
      <c r="Y363" s="1"/>
      <c r="Z363" s="1"/>
    </row>
    <row r="364" spans="1:26" ht="24.75" customHeight="1">
      <c r="A364" s="1"/>
      <c r="B364" s="1"/>
      <c r="C364" s="1"/>
      <c r="D364" s="1"/>
      <c r="E364" s="1"/>
      <c r="F364" s="1"/>
      <c r="G364" s="1"/>
      <c r="H364" s="1"/>
      <c r="I364" s="1"/>
      <c r="J364" s="1"/>
      <c r="K364" s="1"/>
      <c r="L364" s="1"/>
      <c r="M364" s="1"/>
      <c r="N364" s="1"/>
      <c r="O364" s="1"/>
      <c r="P364" s="1"/>
      <c r="Q364" s="1"/>
      <c r="R364" s="1"/>
      <c r="S364" s="1"/>
      <c r="T364" s="1"/>
      <c r="U364" s="2"/>
      <c r="V364" s="1"/>
      <c r="W364" s="1"/>
      <c r="X364" s="1"/>
      <c r="Y364" s="1"/>
      <c r="Z364" s="1"/>
    </row>
    <row r="365" spans="1:26" ht="24.75" customHeight="1">
      <c r="A365" s="1"/>
      <c r="B365" s="1"/>
      <c r="C365" s="1"/>
      <c r="D365" s="1"/>
      <c r="E365" s="1"/>
      <c r="F365" s="1"/>
      <c r="G365" s="1"/>
      <c r="H365" s="1"/>
      <c r="I365" s="1"/>
      <c r="J365" s="1"/>
      <c r="K365" s="1"/>
      <c r="L365" s="1"/>
      <c r="M365" s="1"/>
      <c r="N365" s="1"/>
      <c r="O365" s="1"/>
      <c r="P365" s="1"/>
      <c r="Q365" s="1"/>
      <c r="R365" s="1"/>
      <c r="S365" s="1"/>
      <c r="T365" s="1"/>
      <c r="U365" s="2"/>
      <c r="V365" s="1"/>
      <c r="W365" s="1"/>
      <c r="X365" s="1"/>
      <c r="Y365" s="1"/>
      <c r="Z365" s="1"/>
    </row>
    <row r="366" spans="1:26" ht="24.75" customHeight="1">
      <c r="A366" s="1"/>
      <c r="B366" s="1"/>
      <c r="C366" s="1"/>
      <c r="D366" s="1"/>
      <c r="E366" s="1"/>
      <c r="F366" s="1"/>
      <c r="G366" s="1"/>
      <c r="H366" s="1"/>
      <c r="I366" s="1"/>
      <c r="J366" s="1"/>
      <c r="K366" s="1"/>
      <c r="L366" s="1"/>
      <c r="M366" s="1"/>
      <c r="N366" s="1"/>
      <c r="O366" s="1"/>
      <c r="P366" s="1"/>
      <c r="Q366" s="1"/>
      <c r="R366" s="1"/>
      <c r="S366" s="1"/>
      <c r="T366" s="1"/>
      <c r="U366" s="2"/>
      <c r="V366" s="1"/>
      <c r="W366" s="1"/>
      <c r="X366" s="1"/>
      <c r="Y366" s="1"/>
      <c r="Z366" s="1"/>
    </row>
    <row r="367" spans="1:26" ht="24.75" customHeight="1">
      <c r="A367" s="1"/>
      <c r="B367" s="1"/>
      <c r="C367" s="1"/>
      <c r="D367" s="1"/>
      <c r="E367" s="1"/>
      <c r="F367" s="1"/>
      <c r="G367" s="1"/>
      <c r="H367" s="1"/>
      <c r="I367" s="1"/>
      <c r="J367" s="1"/>
      <c r="K367" s="1"/>
      <c r="L367" s="1"/>
      <c r="M367" s="1"/>
      <c r="N367" s="1"/>
      <c r="O367" s="1"/>
      <c r="P367" s="1"/>
      <c r="Q367" s="1"/>
      <c r="R367" s="1"/>
      <c r="S367" s="1"/>
      <c r="T367" s="1"/>
      <c r="U367" s="2"/>
      <c r="V367" s="1"/>
      <c r="W367" s="1"/>
      <c r="X367" s="1"/>
      <c r="Y367" s="1"/>
      <c r="Z367" s="1"/>
    </row>
    <row r="368" spans="1:26" ht="24.75" customHeight="1">
      <c r="A368" s="1"/>
      <c r="B368" s="1"/>
      <c r="C368" s="1"/>
      <c r="D368" s="1"/>
      <c r="E368" s="1"/>
      <c r="F368" s="1"/>
      <c r="G368" s="1"/>
      <c r="H368" s="1"/>
      <c r="I368" s="1"/>
      <c r="J368" s="1"/>
      <c r="K368" s="1"/>
      <c r="L368" s="1"/>
      <c r="M368" s="1"/>
      <c r="N368" s="1"/>
      <c r="O368" s="1"/>
      <c r="P368" s="1"/>
      <c r="Q368" s="1"/>
      <c r="R368" s="1"/>
      <c r="S368" s="1"/>
      <c r="T368" s="1"/>
      <c r="U368" s="2"/>
      <c r="V368" s="1"/>
      <c r="W368" s="1"/>
      <c r="X368" s="1"/>
      <c r="Y368" s="1"/>
      <c r="Z368" s="1"/>
    </row>
    <row r="369" spans="1:26" ht="24.75" customHeight="1">
      <c r="A369" s="1"/>
      <c r="B369" s="1"/>
      <c r="C369" s="1"/>
      <c r="D369" s="1"/>
      <c r="E369" s="1"/>
      <c r="F369" s="1"/>
      <c r="G369" s="1"/>
      <c r="H369" s="1"/>
      <c r="I369" s="1"/>
      <c r="J369" s="1"/>
      <c r="K369" s="1"/>
      <c r="L369" s="1"/>
      <c r="M369" s="1"/>
      <c r="N369" s="1"/>
      <c r="O369" s="1"/>
      <c r="P369" s="1"/>
      <c r="Q369" s="1"/>
      <c r="R369" s="1"/>
      <c r="S369" s="1"/>
      <c r="T369" s="1"/>
      <c r="U369" s="2"/>
      <c r="V369" s="1"/>
      <c r="W369" s="1"/>
      <c r="X369" s="1"/>
      <c r="Y369" s="1"/>
      <c r="Z369" s="1"/>
    </row>
    <row r="370" spans="1:26" ht="24.75" customHeight="1">
      <c r="A370" s="1"/>
      <c r="B370" s="1"/>
      <c r="C370" s="1"/>
      <c r="D370" s="1"/>
      <c r="E370" s="1"/>
      <c r="F370" s="1"/>
      <c r="G370" s="1"/>
      <c r="H370" s="1"/>
      <c r="I370" s="1"/>
      <c r="J370" s="1"/>
      <c r="K370" s="1"/>
      <c r="L370" s="1"/>
      <c r="M370" s="1"/>
      <c r="N370" s="1"/>
      <c r="O370" s="1"/>
      <c r="P370" s="1"/>
      <c r="Q370" s="1"/>
      <c r="R370" s="1"/>
      <c r="S370" s="1"/>
      <c r="T370" s="1"/>
      <c r="U370" s="2"/>
      <c r="V370" s="1"/>
      <c r="W370" s="1"/>
      <c r="X370" s="1"/>
      <c r="Y370" s="1"/>
      <c r="Z370" s="1"/>
    </row>
    <row r="371" spans="1:26" ht="24.75" customHeight="1">
      <c r="A371" s="1"/>
      <c r="B371" s="1"/>
      <c r="C371" s="1"/>
      <c r="D371" s="1"/>
      <c r="E371" s="1"/>
      <c r="F371" s="1"/>
      <c r="G371" s="1"/>
      <c r="H371" s="1"/>
      <c r="I371" s="1"/>
      <c r="J371" s="1"/>
      <c r="K371" s="1"/>
      <c r="L371" s="1"/>
      <c r="M371" s="1"/>
      <c r="N371" s="1"/>
      <c r="O371" s="1"/>
      <c r="P371" s="1"/>
      <c r="Q371" s="1"/>
      <c r="R371" s="1"/>
      <c r="S371" s="1"/>
      <c r="T371" s="1"/>
      <c r="U371" s="2"/>
      <c r="V371" s="1"/>
      <c r="W371" s="1"/>
      <c r="X371" s="1"/>
      <c r="Y371" s="1"/>
      <c r="Z371" s="1"/>
    </row>
    <row r="372" spans="1:26" ht="24.75" customHeight="1">
      <c r="A372" s="1"/>
      <c r="B372" s="1"/>
      <c r="C372" s="1"/>
      <c r="D372" s="1"/>
      <c r="E372" s="1"/>
      <c r="F372" s="1"/>
      <c r="G372" s="1"/>
      <c r="H372" s="1"/>
      <c r="I372" s="1"/>
      <c r="J372" s="1"/>
      <c r="K372" s="1"/>
      <c r="L372" s="1"/>
      <c r="M372" s="1"/>
      <c r="N372" s="1"/>
      <c r="O372" s="1"/>
      <c r="P372" s="1"/>
      <c r="Q372" s="1"/>
      <c r="R372" s="1"/>
      <c r="S372" s="1"/>
      <c r="T372" s="1"/>
      <c r="U372" s="2"/>
      <c r="V372" s="1"/>
      <c r="W372" s="1"/>
      <c r="X372" s="1"/>
      <c r="Y372" s="1"/>
      <c r="Z372" s="1"/>
    </row>
    <row r="373" spans="1:26" ht="24.75" customHeight="1">
      <c r="A373" s="1"/>
      <c r="B373" s="1"/>
      <c r="C373" s="1"/>
      <c r="D373" s="1"/>
      <c r="E373" s="1"/>
      <c r="F373" s="1"/>
      <c r="G373" s="1"/>
      <c r="H373" s="1"/>
      <c r="I373" s="1"/>
      <c r="J373" s="1"/>
      <c r="K373" s="1"/>
      <c r="L373" s="1"/>
      <c r="M373" s="1"/>
      <c r="N373" s="1"/>
      <c r="O373" s="1"/>
      <c r="P373" s="1"/>
      <c r="Q373" s="1"/>
      <c r="R373" s="1"/>
      <c r="S373" s="1"/>
      <c r="T373" s="1"/>
      <c r="U373" s="2"/>
      <c r="V373" s="1"/>
      <c r="W373" s="1"/>
      <c r="X373" s="1"/>
      <c r="Y373" s="1"/>
      <c r="Z373" s="1"/>
    </row>
    <row r="374" spans="1:26" ht="24.75" customHeight="1">
      <c r="A374" s="1"/>
      <c r="B374" s="1"/>
      <c r="C374" s="1"/>
      <c r="D374" s="1"/>
      <c r="E374" s="1"/>
      <c r="F374" s="1"/>
      <c r="G374" s="1"/>
      <c r="H374" s="1"/>
      <c r="I374" s="1"/>
      <c r="J374" s="1"/>
      <c r="K374" s="1"/>
      <c r="L374" s="1"/>
      <c r="M374" s="1"/>
      <c r="N374" s="1"/>
      <c r="O374" s="1"/>
      <c r="P374" s="1"/>
      <c r="Q374" s="1"/>
      <c r="R374" s="1"/>
      <c r="S374" s="1"/>
      <c r="T374" s="1"/>
      <c r="U374" s="2"/>
      <c r="V374" s="1"/>
      <c r="W374" s="1"/>
      <c r="X374" s="1"/>
      <c r="Y374" s="1"/>
      <c r="Z374" s="1"/>
    </row>
    <row r="375" spans="1:26" ht="24.75" customHeight="1">
      <c r="A375" s="1"/>
      <c r="B375" s="1"/>
      <c r="C375" s="1"/>
      <c r="D375" s="1"/>
      <c r="E375" s="1"/>
      <c r="F375" s="1"/>
      <c r="G375" s="1"/>
      <c r="H375" s="1"/>
      <c r="I375" s="1"/>
      <c r="J375" s="1"/>
      <c r="K375" s="1"/>
      <c r="L375" s="1"/>
      <c r="M375" s="1"/>
      <c r="N375" s="1"/>
      <c r="O375" s="1"/>
      <c r="P375" s="1"/>
      <c r="Q375" s="1"/>
      <c r="R375" s="1"/>
      <c r="S375" s="1"/>
      <c r="T375" s="1"/>
      <c r="U375" s="2"/>
      <c r="V375" s="1"/>
      <c r="W375" s="1"/>
      <c r="X375" s="1"/>
      <c r="Y375" s="1"/>
      <c r="Z375" s="1"/>
    </row>
    <row r="376" spans="1:26" ht="24.75" customHeight="1">
      <c r="A376" s="1"/>
      <c r="B376" s="1"/>
      <c r="C376" s="1"/>
      <c r="D376" s="1"/>
      <c r="E376" s="1"/>
      <c r="F376" s="1"/>
      <c r="G376" s="1"/>
      <c r="H376" s="1"/>
      <c r="I376" s="1"/>
      <c r="J376" s="1"/>
      <c r="K376" s="1"/>
      <c r="L376" s="1"/>
      <c r="M376" s="1"/>
      <c r="N376" s="1"/>
      <c r="O376" s="1"/>
      <c r="P376" s="1"/>
      <c r="Q376" s="1"/>
      <c r="R376" s="1"/>
      <c r="S376" s="1"/>
      <c r="T376" s="1"/>
      <c r="U376" s="2"/>
      <c r="V376" s="1"/>
      <c r="W376" s="1"/>
      <c r="X376" s="1"/>
      <c r="Y376" s="1"/>
      <c r="Z376" s="1"/>
    </row>
    <row r="377" spans="1:26" ht="24.75" customHeight="1">
      <c r="A377" s="1"/>
      <c r="B377" s="1"/>
      <c r="C377" s="1"/>
      <c r="D377" s="1"/>
      <c r="E377" s="1"/>
      <c r="F377" s="1"/>
      <c r="G377" s="1"/>
      <c r="H377" s="1"/>
      <c r="I377" s="1"/>
      <c r="J377" s="1"/>
      <c r="K377" s="1"/>
      <c r="L377" s="1"/>
      <c r="M377" s="1"/>
      <c r="N377" s="1"/>
      <c r="O377" s="1"/>
      <c r="P377" s="1"/>
      <c r="Q377" s="1"/>
      <c r="R377" s="1"/>
      <c r="S377" s="1"/>
      <c r="T377" s="1"/>
      <c r="U377" s="2"/>
      <c r="V377" s="1"/>
      <c r="W377" s="1"/>
      <c r="X377" s="1"/>
      <c r="Y377" s="1"/>
      <c r="Z377" s="1"/>
    </row>
    <row r="378" spans="1:26" ht="24.75" customHeight="1">
      <c r="A378" s="1"/>
      <c r="B378" s="1"/>
      <c r="C378" s="1"/>
      <c r="D378" s="1"/>
      <c r="E378" s="1"/>
      <c r="F378" s="1"/>
      <c r="G378" s="1"/>
      <c r="H378" s="1"/>
      <c r="I378" s="1"/>
      <c r="J378" s="1"/>
      <c r="K378" s="1"/>
      <c r="L378" s="1"/>
      <c r="M378" s="1"/>
      <c r="N378" s="1"/>
      <c r="O378" s="1"/>
      <c r="P378" s="1"/>
      <c r="Q378" s="1"/>
      <c r="R378" s="1"/>
      <c r="S378" s="1"/>
      <c r="T378" s="1"/>
      <c r="U378" s="2"/>
      <c r="V378" s="1"/>
      <c r="W378" s="1"/>
      <c r="X378" s="1"/>
      <c r="Y378" s="1"/>
      <c r="Z378" s="1"/>
    </row>
    <row r="379" spans="1:26" ht="24.75" customHeight="1">
      <c r="A379" s="1"/>
      <c r="B379" s="1"/>
      <c r="C379" s="1"/>
      <c r="D379" s="1"/>
      <c r="E379" s="1"/>
      <c r="F379" s="1"/>
      <c r="G379" s="1"/>
      <c r="H379" s="1"/>
      <c r="I379" s="1"/>
      <c r="J379" s="1"/>
      <c r="K379" s="1"/>
      <c r="L379" s="1"/>
      <c r="M379" s="1"/>
      <c r="N379" s="1"/>
      <c r="O379" s="1"/>
      <c r="P379" s="1"/>
      <c r="Q379" s="1"/>
      <c r="R379" s="1"/>
      <c r="S379" s="1"/>
      <c r="T379" s="1"/>
      <c r="U379" s="2"/>
      <c r="V379" s="1"/>
      <c r="W379" s="1"/>
      <c r="X379" s="1"/>
      <c r="Y379" s="1"/>
      <c r="Z379" s="1"/>
    </row>
    <row r="380" spans="1:26" ht="24.75" customHeight="1">
      <c r="A380" s="1"/>
      <c r="B380" s="1"/>
      <c r="C380" s="1"/>
      <c r="D380" s="1"/>
      <c r="E380" s="1"/>
      <c r="F380" s="1"/>
      <c r="G380" s="1"/>
      <c r="H380" s="1"/>
      <c r="I380" s="1"/>
      <c r="J380" s="1"/>
      <c r="K380" s="1"/>
      <c r="L380" s="1"/>
      <c r="M380" s="1"/>
      <c r="N380" s="1"/>
      <c r="O380" s="1"/>
      <c r="P380" s="1"/>
      <c r="Q380" s="1"/>
      <c r="R380" s="1"/>
      <c r="S380" s="1"/>
      <c r="T380" s="1"/>
      <c r="U380" s="2"/>
      <c r="V380" s="1"/>
      <c r="W380" s="1"/>
      <c r="X380" s="1"/>
      <c r="Y380" s="1"/>
      <c r="Z380" s="1"/>
    </row>
    <row r="381" spans="1:26" ht="24.75" customHeight="1">
      <c r="A381" s="1"/>
      <c r="B381" s="1"/>
      <c r="C381" s="1"/>
      <c r="D381" s="1"/>
      <c r="E381" s="1"/>
      <c r="F381" s="1"/>
      <c r="G381" s="1"/>
      <c r="H381" s="1"/>
      <c r="I381" s="1"/>
      <c r="J381" s="1"/>
      <c r="K381" s="1"/>
      <c r="L381" s="1"/>
      <c r="M381" s="1"/>
      <c r="N381" s="1"/>
      <c r="O381" s="1"/>
      <c r="P381" s="1"/>
      <c r="Q381" s="1"/>
      <c r="R381" s="1"/>
      <c r="S381" s="1"/>
      <c r="T381" s="1"/>
      <c r="U381" s="2"/>
      <c r="V381" s="1"/>
      <c r="W381" s="1"/>
      <c r="X381" s="1"/>
      <c r="Y381" s="1"/>
      <c r="Z381" s="1"/>
    </row>
    <row r="382" spans="1:26" ht="24.75" customHeight="1">
      <c r="A382" s="1"/>
      <c r="B382" s="1"/>
      <c r="C382" s="1"/>
      <c r="D382" s="1"/>
      <c r="E382" s="1"/>
      <c r="F382" s="1"/>
      <c r="G382" s="1"/>
      <c r="H382" s="1"/>
      <c r="I382" s="1"/>
      <c r="J382" s="1"/>
      <c r="K382" s="1"/>
      <c r="L382" s="1"/>
      <c r="M382" s="1"/>
      <c r="N382" s="1"/>
      <c r="O382" s="1"/>
      <c r="P382" s="1"/>
      <c r="Q382" s="1"/>
      <c r="R382" s="1"/>
      <c r="S382" s="1"/>
      <c r="T382" s="1"/>
      <c r="U382" s="2"/>
      <c r="V382" s="1"/>
      <c r="W382" s="1"/>
      <c r="X382" s="1"/>
      <c r="Y382" s="1"/>
      <c r="Z382" s="1"/>
    </row>
    <row r="383" spans="1:26" ht="24.75" customHeight="1">
      <c r="A383" s="1"/>
      <c r="B383" s="1"/>
      <c r="C383" s="1"/>
      <c r="D383" s="1"/>
      <c r="E383" s="1"/>
      <c r="F383" s="1"/>
      <c r="G383" s="1"/>
      <c r="H383" s="1"/>
      <c r="I383" s="1"/>
      <c r="J383" s="1"/>
      <c r="K383" s="1"/>
      <c r="L383" s="1"/>
      <c r="M383" s="1"/>
      <c r="N383" s="1"/>
      <c r="O383" s="1"/>
      <c r="P383" s="1"/>
      <c r="Q383" s="1"/>
      <c r="R383" s="1"/>
      <c r="S383" s="1"/>
      <c r="T383" s="1"/>
      <c r="U383" s="2"/>
      <c r="V383" s="1"/>
      <c r="W383" s="1"/>
      <c r="X383" s="1"/>
      <c r="Y383" s="1"/>
      <c r="Z383" s="1"/>
    </row>
    <row r="384" spans="1:26" ht="24.75" customHeight="1">
      <c r="A384" s="1"/>
      <c r="B384" s="1"/>
      <c r="C384" s="1"/>
      <c r="D384" s="1"/>
      <c r="E384" s="1"/>
      <c r="F384" s="1"/>
      <c r="G384" s="1"/>
      <c r="H384" s="1"/>
      <c r="I384" s="1"/>
      <c r="J384" s="1"/>
      <c r="K384" s="1"/>
      <c r="L384" s="1"/>
      <c r="M384" s="1"/>
      <c r="N384" s="1"/>
      <c r="O384" s="1"/>
      <c r="P384" s="1"/>
      <c r="Q384" s="1"/>
      <c r="R384" s="1"/>
      <c r="S384" s="1"/>
      <c r="T384" s="1"/>
      <c r="U384" s="2"/>
      <c r="V384" s="1"/>
      <c r="W384" s="1"/>
      <c r="X384" s="1"/>
      <c r="Y384" s="1"/>
      <c r="Z384" s="1"/>
    </row>
    <row r="385" spans="1:26" ht="24.75" customHeight="1">
      <c r="A385" s="1"/>
      <c r="B385" s="1"/>
      <c r="C385" s="1"/>
      <c r="D385" s="1"/>
      <c r="E385" s="1"/>
      <c r="F385" s="1"/>
      <c r="G385" s="1"/>
      <c r="H385" s="1"/>
      <c r="I385" s="1"/>
      <c r="J385" s="1"/>
      <c r="K385" s="1"/>
      <c r="L385" s="1"/>
      <c r="M385" s="1"/>
      <c r="N385" s="1"/>
      <c r="O385" s="1"/>
      <c r="P385" s="1"/>
      <c r="Q385" s="1"/>
      <c r="R385" s="1"/>
      <c r="S385" s="1"/>
      <c r="T385" s="1"/>
      <c r="U385" s="2"/>
      <c r="V385" s="1"/>
      <c r="W385" s="1"/>
      <c r="X385" s="1"/>
      <c r="Y385" s="1"/>
      <c r="Z385" s="1"/>
    </row>
    <row r="386" spans="1:26" ht="24.75" customHeight="1">
      <c r="A386" s="1"/>
      <c r="B386" s="1"/>
      <c r="C386" s="1"/>
      <c r="D386" s="1"/>
      <c r="E386" s="1"/>
      <c r="F386" s="1"/>
      <c r="G386" s="1"/>
      <c r="H386" s="1"/>
      <c r="I386" s="1"/>
      <c r="J386" s="1"/>
      <c r="K386" s="1"/>
      <c r="L386" s="1"/>
      <c r="M386" s="1"/>
      <c r="N386" s="1"/>
      <c r="O386" s="1"/>
      <c r="P386" s="1"/>
      <c r="Q386" s="1"/>
      <c r="R386" s="1"/>
      <c r="S386" s="1"/>
      <c r="T386" s="1"/>
      <c r="U386" s="2"/>
      <c r="V386" s="1"/>
      <c r="W386" s="1"/>
      <c r="X386" s="1"/>
      <c r="Y386" s="1"/>
      <c r="Z386" s="1"/>
    </row>
    <row r="387" spans="1:26" ht="24.75" customHeight="1">
      <c r="A387" s="1"/>
      <c r="B387" s="1"/>
      <c r="C387" s="1"/>
      <c r="D387" s="1"/>
      <c r="E387" s="1"/>
      <c r="F387" s="1"/>
      <c r="G387" s="1"/>
      <c r="H387" s="1"/>
      <c r="I387" s="1"/>
      <c r="J387" s="1"/>
      <c r="K387" s="1"/>
      <c r="L387" s="1"/>
      <c r="M387" s="1"/>
      <c r="N387" s="1"/>
      <c r="O387" s="1"/>
      <c r="P387" s="1"/>
      <c r="Q387" s="1"/>
      <c r="R387" s="1"/>
      <c r="S387" s="1"/>
      <c r="T387" s="1"/>
      <c r="U387" s="2"/>
      <c r="V387" s="1"/>
      <c r="W387" s="1"/>
      <c r="X387" s="1"/>
      <c r="Y387" s="1"/>
      <c r="Z387" s="1"/>
    </row>
    <row r="388" spans="1:26" ht="24.75" customHeight="1">
      <c r="A388" s="1"/>
      <c r="B388" s="1"/>
      <c r="C388" s="1"/>
      <c r="D388" s="1"/>
      <c r="E388" s="1"/>
      <c r="F388" s="1"/>
      <c r="G388" s="1"/>
      <c r="H388" s="1"/>
      <c r="I388" s="1"/>
      <c r="J388" s="1"/>
      <c r="K388" s="1"/>
      <c r="L388" s="1"/>
      <c r="M388" s="1"/>
      <c r="N388" s="1"/>
      <c r="O388" s="1"/>
      <c r="P388" s="1"/>
      <c r="Q388" s="1"/>
      <c r="R388" s="1"/>
      <c r="S388" s="1"/>
      <c r="T388" s="1"/>
      <c r="U388" s="2"/>
      <c r="V388" s="1"/>
      <c r="W388" s="1"/>
      <c r="X388" s="1"/>
      <c r="Y388" s="1"/>
      <c r="Z388" s="1"/>
    </row>
    <row r="389" spans="1:26" ht="24.75" customHeight="1">
      <c r="A389" s="1"/>
      <c r="B389" s="1"/>
      <c r="C389" s="1"/>
      <c r="D389" s="1"/>
      <c r="E389" s="1"/>
      <c r="F389" s="1"/>
      <c r="G389" s="1"/>
      <c r="H389" s="1"/>
      <c r="I389" s="1"/>
      <c r="J389" s="1"/>
      <c r="K389" s="1"/>
      <c r="L389" s="1"/>
      <c r="M389" s="1"/>
      <c r="N389" s="1"/>
      <c r="O389" s="1"/>
      <c r="P389" s="1"/>
      <c r="Q389" s="1"/>
      <c r="R389" s="1"/>
      <c r="S389" s="1"/>
      <c r="T389" s="1"/>
      <c r="U389" s="2"/>
      <c r="V389" s="1"/>
      <c r="W389" s="1"/>
      <c r="X389" s="1"/>
      <c r="Y389" s="1"/>
      <c r="Z389" s="1"/>
    </row>
    <row r="390" spans="1:26" ht="24.75" customHeight="1">
      <c r="A390" s="1"/>
      <c r="B390" s="1"/>
      <c r="C390" s="1"/>
      <c r="D390" s="1"/>
      <c r="E390" s="1"/>
      <c r="F390" s="1"/>
      <c r="G390" s="1"/>
      <c r="H390" s="1"/>
      <c r="I390" s="1"/>
      <c r="J390" s="1"/>
      <c r="K390" s="1"/>
      <c r="L390" s="1"/>
      <c r="M390" s="1"/>
      <c r="N390" s="1"/>
      <c r="O390" s="1"/>
      <c r="P390" s="1"/>
      <c r="Q390" s="1"/>
      <c r="R390" s="1"/>
      <c r="S390" s="1"/>
      <c r="T390" s="1"/>
      <c r="U390" s="2"/>
      <c r="V390" s="1"/>
      <c r="W390" s="1"/>
      <c r="X390" s="1"/>
      <c r="Y390" s="1"/>
      <c r="Z390" s="1"/>
    </row>
    <row r="391" spans="1:26" ht="24.75" customHeight="1">
      <c r="A391" s="1"/>
      <c r="B391" s="1"/>
      <c r="C391" s="1"/>
      <c r="D391" s="1"/>
      <c r="E391" s="1"/>
      <c r="F391" s="1"/>
      <c r="G391" s="1"/>
      <c r="H391" s="1"/>
      <c r="I391" s="1"/>
      <c r="J391" s="1"/>
      <c r="K391" s="1"/>
      <c r="L391" s="1"/>
      <c r="M391" s="1"/>
      <c r="N391" s="1"/>
      <c r="O391" s="1"/>
      <c r="P391" s="1"/>
      <c r="Q391" s="1"/>
      <c r="R391" s="1"/>
      <c r="S391" s="1"/>
      <c r="T391" s="1"/>
      <c r="U391" s="2"/>
      <c r="V391" s="1"/>
      <c r="W391" s="1"/>
      <c r="X391" s="1"/>
      <c r="Y391" s="1"/>
      <c r="Z391" s="1"/>
    </row>
    <row r="392" spans="1:26" ht="24.75" customHeight="1">
      <c r="A392" s="1"/>
      <c r="B392" s="1"/>
      <c r="C392" s="1"/>
      <c r="D392" s="1"/>
      <c r="E392" s="1"/>
      <c r="F392" s="1"/>
      <c r="G392" s="1"/>
      <c r="H392" s="1"/>
      <c r="I392" s="1"/>
      <c r="J392" s="1"/>
      <c r="K392" s="1"/>
      <c r="L392" s="1"/>
      <c r="M392" s="1"/>
      <c r="N392" s="1"/>
      <c r="O392" s="1"/>
      <c r="P392" s="1"/>
      <c r="Q392" s="1"/>
      <c r="R392" s="1"/>
      <c r="S392" s="1"/>
      <c r="T392" s="1"/>
      <c r="U392" s="2"/>
      <c r="V392" s="1"/>
      <c r="W392" s="1"/>
      <c r="X392" s="1"/>
      <c r="Y392" s="1"/>
      <c r="Z392" s="1"/>
    </row>
    <row r="393" spans="1:26" ht="24.75" customHeight="1">
      <c r="A393" s="1"/>
      <c r="B393" s="1"/>
      <c r="C393" s="1"/>
      <c r="D393" s="1"/>
      <c r="E393" s="1"/>
      <c r="F393" s="1"/>
      <c r="G393" s="1"/>
      <c r="H393" s="1"/>
      <c r="I393" s="1"/>
      <c r="J393" s="1"/>
      <c r="K393" s="1"/>
      <c r="L393" s="1"/>
      <c r="M393" s="1"/>
      <c r="N393" s="1"/>
      <c r="O393" s="1"/>
      <c r="P393" s="1"/>
      <c r="Q393" s="1"/>
      <c r="R393" s="1"/>
      <c r="S393" s="1"/>
      <c r="T393" s="1"/>
      <c r="U393" s="2"/>
      <c r="V393" s="1"/>
      <c r="W393" s="1"/>
      <c r="X393" s="1"/>
      <c r="Y393" s="1"/>
      <c r="Z393" s="1"/>
    </row>
    <row r="394" spans="1:26" ht="24.75" customHeight="1">
      <c r="A394" s="1"/>
      <c r="B394" s="1"/>
      <c r="C394" s="1"/>
      <c r="D394" s="1"/>
      <c r="E394" s="1"/>
      <c r="F394" s="1"/>
      <c r="G394" s="1"/>
      <c r="H394" s="1"/>
      <c r="I394" s="1"/>
      <c r="J394" s="1"/>
      <c r="K394" s="1"/>
      <c r="L394" s="1"/>
      <c r="M394" s="1"/>
      <c r="N394" s="1"/>
      <c r="O394" s="1"/>
      <c r="P394" s="1"/>
      <c r="Q394" s="1"/>
      <c r="R394" s="1"/>
      <c r="S394" s="1"/>
      <c r="T394" s="1"/>
      <c r="U394" s="2"/>
      <c r="V394" s="1"/>
      <c r="W394" s="1"/>
      <c r="X394" s="1"/>
      <c r="Y394" s="1"/>
      <c r="Z394" s="1"/>
    </row>
    <row r="395" spans="1:26" ht="24.75" customHeight="1">
      <c r="A395" s="1"/>
      <c r="B395" s="1"/>
      <c r="C395" s="1"/>
      <c r="D395" s="1"/>
      <c r="E395" s="1"/>
      <c r="F395" s="1"/>
      <c r="G395" s="1"/>
      <c r="H395" s="1"/>
      <c r="I395" s="1"/>
      <c r="J395" s="1"/>
      <c r="K395" s="1"/>
      <c r="L395" s="1"/>
      <c r="M395" s="1"/>
      <c r="N395" s="1"/>
      <c r="O395" s="1"/>
      <c r="P395" s="1"/>
      <c r="Q395" s="1"/>
      <c r="R395" s="1"/>
      <c r="S395" s="1"/>
      <c r="T395" s="1"/>
      <c r="U395" s="2"/>
      <c r="V395" s="1"/>
      <c r="W395" s="1"/>
      <c r="X395" s="1"/>
      <c r="Y395" s="1"/>
      <c r="Z395" s="1"/>
    </row>
    <row r="396" spans="1:26" ht="24.75" customHeight="1">
      <c r="A396" s="1"/>
      <c r="B396" s="1"/>
      <c r="C396" s="1"/>
      <c r="D396" s="1"/>
      <c r="E396" s="1"/>
      <c r="F396" s="1"/>
      <c r="G396" s="1"/>
      <c r="H396" s="1"/>
      <c r="I396" s="1"/>
      <c r="J396" s="1"/>
      <c r="K396" s="1"/>
      <c r="L396" s="1"/>
      <c r="M396" s="1"/>
      <c r="N396" s="1"/>
      <c r="O396" s="1"/>
      <c r="P396" s="1"/>
      <c r="Q396" s="1"/>
      <c r="R396" s="1"/>
      <c r="S396" s="1"/>
      <c r="T396" s="1"/>
      <c r="U396" s="2"/>
      <c r="V396" s="1"/>
      <c r="W396" s="1"/>
      <c r="X396" s="1"/>
      <c r="Y396" s="1"/>
      <c r="Z396" s="1"/>
    </row>
    <row r="397" spans="1:26" ht="24.75" customHeight="1">
      <c r="A397" s="1"/>
      <c r="B397" s="1"/>
      <c r="C397" s="1"/>
      <c r="D397" s="1"/>
      <c r="E397" s="1"/>
      <c r="F397" s="1"/>
      <c r="G397" s="1"/>
      <c r="H397" s="1"/>
      <c r="I397" s="1"/>
      <c r="J397" s="1"/>
      <c r="K397" s="1"/>
      <c r="L397" s="1"/>
      <c r="M397" s="1"/>
      <c r="N397" s="1"/>
      <c r="O397" s="1"/>
      <c r="P397" s="1"/>
      <c r="Q397" s="1"/>
      <c r="R397" s="1"/>
      <c r="S397" s="1"/>
      <c r="T397" s="1"/>
      <c r="U397" s="2"/>
      <c r="V397" s="1"/>
      <c r="W397" s="1"/>
      <c r="X397" s="1"/>
      <c r="Y397" s="1"/>
      <c r="Z397" s="1"/>
    </row>
    <row r="398" spans="1:26" ht="24.75" customHeight="1">
      <c r="A398" s="1"/>
      <c r="B398" s="1"/>
      <c r="C398" s="1"/>
      <c r="D398" s="1"/>
      <c r="E398" s="1"/>
      <c r="F398" s="1"/>
      <c r="G398" s="1"/>
      <c r="H398" s="1"/>
      <c r="I398" s="1"/>
      <c r="J398" s="1"/>
      <c r="K398" s="1"/>
      <c r="L398" s="1"/>
      <c r="M398" s="1"/>
      <c r="N398" s="1"/>
      <c r="O398" s="1"/>
      <c r="P398" s="1"/>
      <c r="Q398" s="1"/>
      <c r="R398" s="1"/>
      <c r="S398" s="1"/>
      <c r="T398" s="1"/>
      <c r="U398" s="2"/>
      <c r="V398" s="1"/>
      <c r="W398" s="1"/>
      <c r="X398" s="1"/>
      <c r="Y398" s="1"/>
      <c r="Z398" s="1"/>
    </row>
    <row r="399" spans="1:26" ht="24.75" customHeight="1">
      <c r="A399" s="1"/>
      <c r="B399" s="1"/>
      <c r="C399" s="1"/>
      <c r="D399" s="1"/>
      <c r="E399" s="1"/>
      <c r="F399" s="1"/>
      <c r="G399" s="1"/>
      <c r="H399" s="1"/>
      <c r="I399" s="1"/>
      <c r="J399" s="1"/>
      <c r="K399" s="1"/>
      <c r="L399" s="1"/>
      <c r="M399" s="1"/>
      <c r="N399" s="1"/>
      <c r="O399" s="1"/>
      <c r="P399" s="1"/>
      <c r="Q399" s="1"/>
      <c r="R399" s="1"/>
      <c r="S399" s="1"/>
      <c r="T399" s="1"/>
      <c r="U399" s="2"/>
      <c r="V399" s="1"/>
      <c r="W399" s="1"/>
      <c r="X399" s="1"/>
      <c r="Y399" s="1"/>
      <c r="Z399" s="1"/>
    </row>
    <row r="400" spans="1:26" ht="24.75" customHeight="1">
      <c r="A400" s="1"/>
      <c r="B400" s="1"/>
      <c r="C400" s="1"/>
      <c r="D400" s="1"/>
      <c r="E400" s="1"/>
      <c r="F400" s="1"/>
      <c r="G400" s="1"/>
      <c r="H400" s="1"/>
      <c r="I400" s="1"/>
      <c r="J400" s="1"/>
      <c r="K400" s="1"/>
      <c r="L400" s="1"/>
      <c r="M400" s="1"/>
      <c r="N400" s="1"/>
      <c r="O400" s="1"/>
      <c r="P400" s="1"/>
      <c r="Q400" s="1"/>
      <c r="R400" s="1"/>
      <c r="S400" s="1"/>
      <c r="T400" s="1"/>
      <c r="U400" s="2"/>
      <c r="V400" s="1"/>
      <c r="W400" s="1"/>
      <c r="X400" s="1"/>
      <c r="Y400" s="1"/>
      <c r="Z400" s="1"/>
    </row>
    <row r="401" spans="1:26" ht="24.75" customHeight="1">
      <c r="A401" s="1"/>
      <c r="B401" s="1"/>
      <c r="C401" s="1"/>
      <c r="D401" s="1"/>
      <c r="E401" s="1"/>
      <c r="F401" s="1"/>
      <c r="G401" s="1"/>
      <c r="H401" s="1"/>
      <c r="I401" s="1"/>
      <c r="J401" s="1"/>
      <c r="K401" s="1"/>
      <c r="L401" s="1"/>
      <c r="M401" s="1"/>
      <c r="N401" s="1"/>
      <c r="O401" s="1"/>
      <c r="P401" s="1"/>
      <c r="Q401" s="1"/>
      <c r="R401" s="1"/>
      <c r="S401" s="1"/>
      <c r="T401" s="1"/>
      <c r="U401" s="2"/>
      <c r="V401" s="1"/>
      <c r="W401" s="1"/>
      <c r="X401" s="1"/>
      <c r="Y401" s="1"/>
      <c r="Z401" s="1"/>
    </row>
    <row r="402" spans="1:26" ht="24.75" customHeight="1">
      <c r="A402" s="1"/>
      <c r="B402" s="1"/>
      <c r="C402" s="1"/>
      <c r="D402" s="1"/>
      <c r="E402" s="1"/>
      <c r="F402" s="1"/>
      <c r="G402" s="1"/>
      <c r="H402" s="1"/>
      <c r="I402" s="1"/>
      <c r="J402" s="1"/>
      <c r="K402" s="1"/>
      <c r="L402" s="1"/>
      <c r="M402" s="1"/>
      <c r="N402" s="1"/>
      <c r="O402" s="1"/>
      <c r="P402" s="1"/>
      <c r="Q402" s="1"/>
      <c r="R402" s="1"/>
      <c r="S402" s="1"/>
      <c r="T402" s="1"/>
      <c r="U402" s="2"/>
      <c r="V402" s="1"/>
      <c r="W402" s="1"/>
      <c r="X402" s="1"/>
      <c r="Y402" s="1"/>
      <c r="Z402" s="1"/>
    </row>
    <row r="403" spans="1:26" ht="24.75" customHeight="1">
      <c r="A403" s="1"/>
      <c r="B403" s="1"/>
      <c r="C403" s="1"/>
      <c r="D403" s="1"/>
      <c r="E403" s="1"/>
      <c r="F403" s="1"/>
      <c r="G403" s="1"/>
      <c r="H403" s="1"/>
      <c r="I403" s="1"/>
      <c r="J403" s="1"/>
      <c r="K403" s="1"/>
      <c r="L403" s="1"/>
      <c r="M403" s="1"/>
      <c r="N403" s="1"/>
      <c r="O403" s="1"/>
      <c r="P403" s="1"/>
      <c r="Q403" s="1"/>
      <c r="R403" s="1"/>
      <c r="S403" s="1"/>
      <c r="T403" s="1"/>
      <c r="U403" s="2"/>
      <c r="V403" s="1"/>
      <c r="W403" s="1"/>
      <c r="X403" s="1"/>
      <c r="Y403" s="1"/>
      <c r="Z403" s="1"/>
    </row>
    <row r="404" spans="1:26" ht="24.75" customHeight="1">
      <c r="A404" s="1"/>
      <c r="B404" s="1"/>
      <c r="C404" s="1"/>
      <c r="D404" s="1"/>
      <c r="E404" s="1"/>
      <c r="F404" s="1"/>
      <c r="G404" s="1"/>
      <c r="H404" s="1"/>
      <c r="I404" s="1"/>
      <c r="J404" s="1"/>
      <c r="K404" s="1"/>
      <c r="L404" s="1"/>
      <c r="M404" s="1"/>
      <c r="N404" s="1"/>
      <c r="O404" s="1"/>
      <c r="P404" s="1"/>
      <c r="Q404" s="1"/>
      <c r="R404" s="1"/>
      <c r="S404" s="1"/>
      <c r="T404" s="1"/>
      <c r="U404" s="2"/>
      <c r="V404" s="1"/>
      <c r="W404" s="1"/>
      <c r="X404" s="1"/>
      <c r="Y404" s="1"/>
      <c r="Z404" s="1"/>
    </row>
    <row r="405" spans="1:26" ht="24.75" customHeight="1">
      <c r="A405" s="1"/>
      <c r="B405" s="1"/>
      <c r="C405" s="1"/>
      <c r="D405" s="1"/>
      <c r="E405" s="1"/>
      <c r="F405" s="1"/>
      <c r="G405" s="1"/>
      <c r="H405" s="1"/>
      <c r="I405" s="1"/>
      <c r="J405" s="1"/>
      <c r="K405" s="1"/>
      <c r="L405" s="1"/>
      <c r="M405" s="1"/>
      <c r="N405" s="1"/>
      <c r="O405" s="1"/>
      <c r="P405" s="1"/>
      <c r="Q405" s="1"/>
      <c r="R405" s="1"/>
      <c r="S405" s="1"/>
      <c r="T405" s="1"/>
      <c r="U405" s="2"/>
      <c r="V405" s="1"/>
      <c r="W405" s="1"/>
      <c r="X405" s="1"/>
      <c r="Y405" s="1"/>
      <c r="Z405" s="1"/>
    </row>
    <row r="406" spans="1:26" ht="24.75" customHeight="1">
      <c r="A406" s="1"/>
      <c r="B406" s="1"/>
      <c r="C406" s="1"/>
      <c r="D406" s="1"/>
      <c r="E406" s="1"/>
      <c r="F406" s="1"/>
      <c r="G406" s="1"/>
      <c r="H406" s="1"/>
      <c r="I406" s="1"/>
      <c r="J406" s="1"/>
      <c r="K406" s="1"/>
      <c r="L406" s="1"/>
      <c r="M406" s="1"/>
      <c r="N406" s="1"/>
      <c r="O406" s="1"/>
      <c r="P406" s="1"/>
      <c r="Q406" s="1"/>
      <c r="R406" s="1"/>
      <c r="S406" s="1"/>
      <c r="T406" s="1"/>
      <c r="U406" s="2"/>
      <c r="V406" s="1"/>
      <c r="W406" s="1"/>
      <c r="X406" s="1"/>
      <c r="Y406" s="1"/>
      <c r="Z406" s="1"/>
    </row>
    <row r="407" spans="1:26" ht="24.75" customHeight="1">
      <c r="A407" s="1"/>
      <c r="B407" s="1"/>
      <c r="C407" s="1"/>
      <c r="D407" s="1"/>
      <c r="E407" s="1"/>
      <c r="F407" s="1"/>
      <c r="G407" s="1"/>
      <c r="H407" s="1"/>
      <c r="I407" s="1"/>
      <c r="J407" s="1"/>
      <c r="K407" s="1"/>
      <c r="L407" s="1"/>
      <c r="M407" s="1"/>
      <c r="N407" s="1"/>
      <c r="O407" s="1"/>
      <c r="P407" s="1"/>
      <c r="Q407" s="1"/>
      <c r="R407" s="1"/>
      <c r="S407" s="1"/>
      <c r="T407" s="1"/>
      <c r="U407" s="2"/>
      <c r="V407" s="1"/>
      <c r="W407" s="1"/>
      <c r="X407" s="1"/>
      <c r="Y407" s="1"/>
      <c r="Z407" s="1"/>
    </row>
    <row r="408" spans="1:26" ht="24.75" customHeight="1">
      <c r="A408" s="1"/>
      <c r="B408" s="1"/>
      <c r="C408" s="1"/>
      <c r="D408" s="1"/>
      <c r="E408" s="1"/>
      <c r="F408" s="1"/>
      <c r="G408" s="1"/>
      <c r="H408" s="1"/>
      <c r="I408" s="1"/>
      <c r="J408" s="1"/>
      <c r="K408" s="1"/>
      <c r="L408" s="1"/>
      <c r="M408" s="1"/>
      <c r="N408" s="1"/>
      <c r="O408" s="1"/>
      <c r="P408" s="1"/>
      <c r="Q408" s="1"/>
      <c r="R408" s="1"/>
      <c r="S408" s="1"/>
      <c r="T408" s="1"/>
      <c r="U408" s="2"/>
      <c r="V408" s="1"/>
      <c r="W408" s="1"/>
      <c r="X408" s="1"/>
      <c r="Y408" s="1"/>
      <c r="Z408" s="1"/>
    </row>
    <row r="409" spans="1:26" ht="24.75" customHeight="1">
      <c r="A409" s="1"/>
      <c r="B409" s="1"/>
      <c r="C409" s="1"/>
      <c r="D409" s="1"/>
      <c r="E409" s="1"/>
      <c r="F409" s="1"/>
      <c r="G409" s="1"/>
      <c r="H409" s="1"/>
      <c r="I409" s="1"/>
      <c r="J409" s="1"/>
      <c r="K409" s="1"/>
      <c r="L409" s="1"/>
      <c r="M409" s="1"/>
      <c r="N409" s="1"/>
      <c r="O409" s="1"/>
      <c r="P409" s="1"/>
      <c r="Q409" s="1"/>
      <c r="R409" s="1"/>
      <c r="S409" s="1"/>
      <c r="T409" s="1"/>
      <c r="U409" s="2"/>
      <c r="V409" s="1"/>
      <c r="W409" s="1"/>
      <c r="X409" s="1"/>
      <c r="Y409" s="1"/>
      <c r="Z409" s="1"/>
    </row>
    <row r="410" spans="1:26" ht="24.75" customHeight="1">
      <c r="A410" s="1"/>
      <c r="B410" s="1"/>
      <c r="C410" s="1"/>
      <c r="D410" s="1"/>
      <c r="E410" s="1"/>
      <c r="F410" s="1"/>
      <c r="G410" s="1"/>
      <c r="H410" s="1"/>
      <c r="I410" s="1"/>
      <c r="J410" s="1"/>
      <c r="K410" s="1"/>
      <c r="L410" s="1"/>
      <c r="M410" s="1"/>
      <c r="N410" s="1"/>
      <c r="O410" s="1"/>
      <c r="P410" s="1"/>
      <c r="Q410" s="1"/>
      <c r="R410" s="1"/>
      <c r="S410" s="1"/>
      <c r="T410" s="1"/>
      <c r="U410" s="2"/>
      <c r="V410" s="1"/>
      <c r="W410" s="1"/>
      <c r="X410" s="1"/>
      <c r="Y410" s="1"/>
      <c r="Z410" s="1"/>
    </row>
    <row r="411" spans="1:26" ht="24.75" customHeight="1">
      <c r="A411" s="1"/>
      <c r="B411" s="1"/>
      <c r="C411" s="1"/>
      <c r="D411" s="1"/>
      <c r="E411" s="1"/>
      <c r="F411" s="1"/>
      <c r="G411" s="1"/>
      <c r="H411" s="1"/>
      <c r="I411" s="1"/>
      <c r="J411" s="1"/>
      <c r="K411" s="1"/>
      <c r="L411" s="1"/>
      <c r="M411" s="1"/>
      <c r="N411" s="1"/>
      <c r="O411" s="1"/>
      <c r="P411" s="1"/>
      <c r="Q411" s="1"/>
      <c r="R411" s="1"/>
      <c r="S411" s="1"/>
      <c r="T411" s="1"/>
      <c r="U411" s="2"/>
      <c r="V411" s="1"/>
      <c r="W411" s="1"/>
      <c r="X411" s="1"/>
      <c r="Y411" s="1"/>
      <c r="Z411" s="1"/>
    </row>
    <row r="412" spans="1:26" ht="24.75" customHeight="1">
      <c r="A412" s="1"/>
      <c r="B412" s="1"/>
      <c r="C412" s="1"/>
      <c r="D412" s="1"/>
      <c r="E412" s="1"/>
      <c r="F412" s="1"/>
      <c r="G412" s="1"/>
      <c r="H412" s="1"/>
      <c r="I412" s="1"/>
      <c r="J412" s="1"/>
      <c r="K412" s="1"/>
      <c r="L412" s="1"/>
      <c r="M412" s="1"/>
      <c r="N412" s="1"/>
      <c r="O412" s="1"/>
      <c r="P412" s="1"/>
      <c r="Q412" s="1"/>
      <c r="R412" s="1"/>
      <c r="S412" s="1"/>
      <c r="T412" s="1"/>
      <c r="U412" s="2"/>
      <c r="V412" s="1"/>
      <c r="W412" s="1"/>
      <c r="X412" s="1"/>
      <c r="Y412" s="1"/>
      <c r="Z412" s="1"/>
    </row>
    <row r="413" spans="1:26" ht="24.75" customHeight="1">
      <c r="A413" s="1"/>
      <c r="B413" s="1"/>
      <c r="C413" s="1"/>
      <c r="D413" s="1"/>
      <c r="E413" s="1"/>
      <c r="F413" s="1"/>
      <c r="G413" s="1"/>
      <c r="H413" s="1"/>
      <c r="I413" s="1"/>
      <c r="J413" s="1"/>
      <c r="K413" s="1"/>
      <c r="L413" s="1"/>
      <c r="M413" s="1"/>
      <c r="N413" s="1"/>
      <c r="O413" s="1"/>
      <c r="P413" s="1"/>
      <c r="Q413" s="1"/>
      <c r="R413" s="1"/>
      <c r="S413" s="1"/>
      <c r="T413" s="1"/>
      <c r="U413" s="2"/>
      <c r="V413" s="1"/>
      <c r="W413" s="1"/>
      <c r="X413" s="1"/>
      <c r="Y413" s="1"/>
      <c r="Z413" s="1"/>
    </row>
    <row r="414" spans="1:26" ht="24.75" customHeight="1">
      <c r="A414" s="1"/>
      <c r="B414" s="1"/>
      <c r="C414" s="1"/>
      <c r="D414" s="1"/>
      <c r="E414" s="1"/>
      <c r="F414" s="1"/>
      <c r="G414" s="1"/>
      <c r="H414" s="1"/>
      <c r="I414" s="1"/>
      <c r="J414" s="1"/>
      <c r="K414" s="1"/>
      <c r="L414" s="1"/>
      <c r="M414" s="1"/>
      <c r="N414" s="1"/>
      <c r="O414" s="1"/>
      <c r="P414" s="1"/>
      <c r="Q414" s="1"/>
      <c r="R414" s="1"/>
      <c r="S414" s="1"/>
      <c r="T414" s="1"/>
      <c r="U414" s="2"/>
      <c r="V414" s="1"/>
      <c r="W414" s="1"/>
      <c r="X414" s="1"/>
      <c r="Y414" s="1"/>
      <c r="Z414" s="1"/>
    </row>
    <row r="415" spans="1:26" ht="24.75" customHeight="1">
      <c r="A415" s="1"/>
      <c r="B415" s="1"/>
      <c r="C415" s="1"/>
      <c r="D415" s="1"/>
      <c r="E415" s="1"/>
      <c r="F415" s="1"/>
      <c r="G415" s="1"/>
      <c r="H415" s="1"/>
      <c r="I415" s="1"/>
      <c r="J415" s="1"/>
      <c r="K415" s="1"/>
      <c r="L415" s="1"/>
      <c r="M415" s="1"/>
      <c r="N415" s="1"/>
      <c r="O415" s="1"/>
      <c r="P415" s="1"/>
      <c r="Q415" s="1"/>
      <c r="R415" s="1"/>
      <c r="S415" s="1"/>
      <c r="T415" s="1"/>
      <c r="U415" s="2"/>
      <c r="V415" s="1"/>
      <c r="W415" s="1"/>
      <c r="X415" s="1"/>
      <c r="Y415" s="1"/>
      <c r="Z415" s="1"/>
    </row>
    <row r="416" spans="1:26" ht="24.75" customHeight="1">
      <c r="A416" s="1"/>
      <c r="B416" s="1"/>
      <c r="C416" s="1"/>
      <c r="D416" s="1"/>
      <c r="E416" s="1"/>
      <c r="F416" s="1"/>
      <c r="G416" s="1"/>
      <c r="H416" s="1"/>
      <c r="I416" s="1"/>
      <c r="J416" s="1"/>
      <c r="K416" s="1"/>
      <c r="L416" s="1"/>
      <c r="M416" s="1"/>
      <c r="N416" s="1"/>
      <c r="O416" s="1"/>
      <c r="P416" s="1"/>
      <c r="Q416" s="1"/>
      <c r="R416" s="1"/>
      <c r="S416" s="1"/>
      <c r="T416" s="1"/>
      <c r="U416" s="2"/>
      <c r="V416" s="1"/>
      <c r="W416" s="1"/>
      <c r="X416" s="1"/>
      <c r="Y416" s="1"/>
      <c r="Z416" s="1"/>
    </row>
    <row r="417" spans="1:26" ht="24.75" customHeight="1">
      <c r="A417" s="1"/>
      <c r="B417" s="1"/>
      <c r="C417" s="1"/>
      <c r="D417" s="1"/>
      <c r="E417" s="1"/>
      <c r="F417" s="1"/>
      <c r="G417" s="1"/>
      <c r="H417" s="1"/>
      <c r="I417" s="1"/>
      <c r="J417" s="1"/>
      <c r="K417" s="1"/>
      <c r="L417" s="1"/>
      <c r="M417" s="1"/>
      <c r="N417" s="1"/>
      <c r="O417" s="1"/>
      <c r="P417" s="1"/>
      <c r="Q417" s="1"/>
      <c r="R417" s="1"/>
      <c r="S417" s="1"/>
      <c r="T417" s="1"/>
      <c r="U417" s="2"/>
      <c r="V417" s="1"/>
      <c r="W417" s="1"/>
      <c r="X417" s="1"/>
      <c r="Y417" s="1"/>
      <c r="Z417" s="1"/>
    </row>
    <row r="418" spans="1:26" ht="24.75" customHeight="1">
      <c r="A418" s="1"/>
      <c r="B418" s="1"/>
      <c r="C418" s="1"/>
      <c r="D418" s="1"/>
      <c r="E418" s="1"/>
      <c r="F418" s="1"/>
      <c r="G418" s="1"/>
      <c r="H418" s="1"/>
      <c r="I418" s="1"/>
      <c r="J418" s="1"/>
      <c r="K418" s="1"/>
      <c r="L418" s="1"/>
      <c r="M418" s="1"/>
      <c r="N418" s="1"/>
      <c r="O418" s="1"/>
      <c r="P418" s="1"/>
      <c r="Q418" s="1"/>
      <c r="R418" s="1"/>
      <c r="S418" s="1"/>
      <c r="T418" s="1"/>
      <c r="U418" s="2"/>
      <c r="V418" s="1"/>
      <c r="W418" s="1"/>
      <c r="X418" s="1"/>
      <c r="Y418" s="1"/>
      <c r="Z418" s="1"/>
    </row>
    <row r="419" spans="1:26" ht="24.75" customHeight="1">
      <c r="A419" s="1"/>
      <c r="B419" s="1"/>
      <c r="C419" s="1"/>
      <c r="D419" s="1"/>
      <c r="E419" s="1"/>
      <c r="F419" s="1"/>
      <c r="G419" s="1"/>
      <c r="H419" s="1"/>
      <c r="I419" s="1"/>
      <c r="J419" s="1"/>
      <c r="K419" s="1"/>
      <c r="L419" s="1"/>
      <c r="M419" s="1"/>
      <c r="N419" s="1"/>
      <c r="O419" s="1"/>
      <c r="P419" s="1"/>
      <c r="Q419" s="1"/>
      <c r="R419" s="1"/>
      <c r="S419" s="1"/>
      <c r="T419" s="1"/>
      <c r="U419" s="2"/>
      <c r="V419" s="1"/>
      <c r="W419" s="1"/>
      <c r="X419" s="1"/>
      <c r="Y419" s="1"/>
      <c r="Z419" s="1"/>
    </row>
    <row r="420" spans="1:26" ht="24.75" customHeight="1">
      <c r="A420" s="1"/>
      <c r="B420" s="1"/>
      <c r="C420" s="1"/>
      <c r="D420" s="1"/>
      <c r="E420" s="1"/>
      <c r="F420" s="1"/>
      <c r="G420" s="1"/>
      <c r="H420" s="1"/>
      <c r="I420" s="1"/>
      <c r="J420" s="1"/>
      <c r="K420" s="1"/>
      <c r="L420" s="1"/>
      <c r="M420" s="1"/>
      <c r="N420" s="1"/>
      <c r="O420" s="1"/>
      <c r="P420" s="1"/>
      <c r="Q420" s="1"/>
      <c r="R420" s="1"/>
      <c r="S420" s="1"/>
      <c r="T420" s="1"/>
      <c r="U420" s="2"/>
      <c r="V420" s="1"/>
      <c r="W420" s="1"/>
      <c r="X420" s="1"/>
      <c r="Y420" s="1"/>
      <c r="Z420" s="1"/>
    </row>
    <row r="421" spans="1:26" ht="24.75" customHeight="1">
      <c r="A421" s="1"/>
      <c r="B421" s="1"/>
      <c r="C421" s="1"/>
      <c r="D421" s="1"/>
      <c r="E421" s="1"/>
      <c r="F421" s="1"/>
      <c r="G421" s="1"/>
      <c r="H421" s="1"/>
      <c r="I421" s="1"/>
      <c r="J421" s="1"/>
      <c r="K421" s="1"/>
      <c r="L421" s="1"/>
      <c r="M421" s="1"/>
      <c r="N421" s="1"/>
      <c r="O421" s="1"/>
      <c r="P421" s="1"/>
      <c r="Q421" s="1"/>
      <c r="R421" s="1"/>
      <c r="S421" s="1"/>
      <c r="T421" s="1"/>
      <c r="U421" s="2"/>
      <c r="V421" s="1"/>
      <c r="W421" s="1"/>
      <c r="X421" s="1"/>
      <c r="Y421" s="1"/>
      <c r="Z421" s="1"/>
    </row>
    <row r="422" spans="1:26" ht="24.75" customHeight="1">
      <c r="A422" s="1"/>
      <c r="B422" s="1"/>
      <c r="C422" s="1"/>
      <c r="D422" s="1"/>
      <c r="E422" s="1"/>
      <c r="F422" s="1"/>
      <c r="G422" s="1"/>
      <c r="H422" s="1"/>
      <c r="I422" s="1"/>
      <c r="J422" s="1"/>
      <c r="K422" s="1"/>
      <c r="L422" s="1"/>
      <c r="M422" s="1"/>
      <c r="N422" s="1"/>
      <c r="O422" s="1"/>
      <c r="P422" s="1"/>
      <c r="Q422" s="1"/>
      <c r="R422" s="1"/>
      <c r="S422" s="1"/>
      <c r="T422" s="1"/>
      <c r="U422" s="2"/>
      <c r="V422" s="1"/>
      <c r="W422" s="1"/>
      <c r="X422" s="1"/>
      <c r="Y422" s="1"/>
      <c r="Z422" s="1"/>
    </row>
    <row r="423" spans="1:26" ht="24.75" customHeight="1">
      <c r="A423" s="1"/>
      <c r="B423" s="1"/>
      <c r="C423" s="1"/>
      <c r="D423" s="1"/>
      <c r="E423" s="1"/>
      <c r="F423" s="1"/>
      <c r="G423" s="1"/>
      <c r="H423" s="1"/>
      <c r="I423" s="1"/>
      <c r="J423" s="1"/>
      <c r="K423" s="1"/>
      <c r="L423" s="1"/>
      <c r="M423" s="1"/>
      <c r="N423" s="1"/>
      <c r="O423" s="1"/>
      <c r="P423" s="1"/>
      <c r="Q423" s="1"/>
      <c r="R423" s="1"/>
      <c r="S423" s="1"/>
      <c r="T423" s="1"/>
      <c r="U423" s="2"/>
      <c r="V423" s="1"/>
      <c r="W423" s="1"/>
      <c r="X423" s="1"/>
      <c r="Y423" s="1"/>
      <c r="Z423" s="1"/>
    </row>
    <row r="424" spans="1:26" ht="24.75" customHeight="1">
      <c r="A424" s="1"/>
      <c r="B424" s="1"/>
      <c r="C424" s="1"/>
      <c r="D424" s="1"/>
      <c r="E424" s="1"/>
      <c r="F424" s="1"/>
      <c r="G424" s="1"/>
      <c r="H424" s="1"/>
      <c r="I424" s="1"/>
      <c r="J424" s="1"/>
      <c r="K424" s="1"/>
      <c r="L424" s="1"/>
      <c r="M424" s="1"/>
      <c r="N424" s="1"/>
      <c r="O424" s="1"/>
      <c r="P424" s="1"/>
      <c r="Q424" s="1"/>
      <c r="R424" s="1"/>
      <c r="S424" s="1"/>
      <c r="T424" s="1"/>
      <c r="U424" s="2"/>
      <c r="V424" s="1"/>
      <c r="W424" s="1"/>
      <c r="X424" s="1"/>
      <c r="Y424" s="1"/>
      <c r="Z424" s="1"/>
    </row>
    <row r="425" spans="1:26" ht="24.75" customHeight="1">
      <c r="A425" s="1"/>
      <c r="B425" s="1"/>
      <c r="C425" s="1"/>
      <c r="D425" s="1"/>
      <c r="E425" s="1"/>
      <c r="F425" s="1"/>
      <c r="G425" s="1"/>
      <c r="H425" s="1"/>
      <c r="I425" s="1"/>
      <c r="J425" s="1"/>
      <c r="K425" s="1"/>
      <c r="L425" s="1"/>
      <c r="M425" s="1"/>
      <c r="N425" s="1"/>
      <c r="O425" s="1"/>
      <c r="P425" s="1"/>
      <c r="Q425" s="1"/>
      <c r="R425" s="1"/>
      <c r="S425" s="1"/>
      <c r="T425" s="1"/>
      <c r="U425" s="2"/>
      <c r="V425" s="1"/>
      <c r="W425" s="1"/>
      <c r="X425" s="1"/>
      <c r="Y425" s="1"/>
      <c r="Z425" s="1"/>
    </row>
    <row r="426" spans="1:26" ht="24.75" customHeight="1">
      <c r="A426" s="1"/>
      <c r="B426" s="1"/>
      <c r="C426" s="1"/>
      <c r="D426" s="1"/>
      <c r="E426" s="1"/>
      <c r="F426" s="1"/>
      <c r="G426" s="1"/>
      <c r="H426" s="1"/>
      <c r="I426" s="1"/>
      <c r="J426" s="1"/>
      <c r="K426" s="1"/>
      <c r="L426" s="1"/>
      <c r="M426" s="1"/>
      <c r="N426" s="1"/>
      <c r="O426" s="1"/>
      <c r="P426" s="1"/>
      <c r="Q426" s="1"/>
      <c r="R426" s="1"/>
      <c r="S426" s="1"/>
      <c r="T426" s="1"/>
      <c r="U426" s="2"/>
      <c r="V426" s="1"/>
      <c r="W426" s="1"/>
      <c r="X426" s="1"/>
      <c r="Y426" s="1"/>
      <c r="Z426" s="1"/>
    </row>
    <row r="427" spans="1:26" ht="24.75" customHeight="1">
      <c r="A427" s="1"/>
      <c r="B427" s="1"/>
      <c r="C427" s="1"/>
      <c r="D427" s="1"/>
      <c r="E427" s="1"/>
      <c r="F427" s="1"/>
      <c r="G427" s="1"/>
      <c r="H427" s="1"/>
      <c r="I427" s="1"/>
      <c r="J427" s="1"/>
      <c r="K427" s="1"/>
      <c r="L427" s="1"/>
      <c r="M427" s="1"/>
      <c r="N427" s="1"/>
      <c r="O427" s="1"/>
      <c r="P427" s="1"/>
      <c r="Q427" s="1"/>
      <c r="R427" s="1"/>
      <c r="S427" s="1"/>
      <c r="T427" s="1"/>
      <c r="U427" s="2"/>
      <c r="V427" s="1"/>
      <c r="W427" s="1"/>
      <c r="X427" s="1"/>
      <c r="Y427" s="1"/>
      <c r="Z427" s="1"/>
    </row>
    <row r="428" spans="1:26" ht="24.75" customHeight="1">
      <c r="A428" s="1"/>
      <c r="B428" s="1"/>
      <c r="C428" s="1"/>
      <c r="D428" s="1"/>
      <c r="E428" s="1"/>
      <c r="F428" s="1"/>
      <c r="G428" s="1"/>
      <c r="H428" s="1"/>
      <c r="I428" s="1"/>
      <c r="J428" s="1"/>
      <c r="K428" s="1"/>
      <c r="L428" s="1"/>
      <c r="M428" s="1"/>
      <c r="N428" s="1"/>
      <c r="O428" s="1"/>
      <c r="P428" s="1"/>
      <c r="Q428" s="1"/>
      <c r="R428" s="1"/>
      <c r="S428" s="1"/>
      <c r="T428" s="1"/>
      <c r="U428" s="2"/>
      <c r="V428" s="1"/>
      <c r="W428" s="1"/>
      <c r="X428" s="1"/>
      <c r="Y428" s="1"/>
      <c r="Z428" s="1"/>
    </row>
    <row r="429" spans="1:26" ht="24.75" customHeight="1">
      <c r="A429" s="1"/>
      <c r="B429" s="1"/>
      <c r="C429" s="1"/>
      <c r="D429" s="1"/>
      <c r="E429" s="1"/>
      <c r="F429" s="1"/>
      <c r="G429" s="1"/>
      <c r="H429" s="1"/>
      <c r="I429" s="1"/>
      <c r="J429" s="1"/>
      <c r="K429" s="1"/>
      <c r="L429" s="1"/>
      <c r="M429" s="1"/>
      <c r="N429" s="1"/>
      <c r="O429" s="1"/>
      <c r="P429" s="1"/>
      <c r="Q429" s="1"/>
      <c r="R429" s="1"/>
      <c r="S429" s="1"/>
      <c r="T429" s="1"/>
      <c r="U429" s="2"/>
      <c r="V429" s="1"/>
      <c r="W429" s="1"/>
      <c r="X429" s="1"/>
      <c r="Y429" s="1"/>
      <c r="Z429" s="1"/>
    </row>
    <row r="430" spans="1:26" ht="24.75" customHeight="1">
      <c r="A430" s="1"/>
      <c r="B430" s="1"/>
      <c r="C430" s="1"/>
      <c r="D430" s="1"/>
      <c r="E430" s="1"/>
      <c r="F430" s="1"/>
      <c r="G430" s="1"/>
      <c r="H430" s="1"/>
      <c r="I430" s="1"/>
      <c r="J430" s="1"/>
      <c r="K430" s="1"/>
      <c r="L430" s="1"/>
      <c r="M430" s="1"/>
      <c r="N430" s="1"/>
      <c r="O430" s="1"/>
      <c r="P430" s="1"/>
      <c r="Q430" s="1"/>
      <c r="R430" s="1"/>
      <c r="S430" s="1"/>
      <c r="T430" s="1"/>
      <c r="U430" s="2"/>
      <c r="V430" s="1"/>
      <c r="W430" s="1"/>
      <c r="X430" s="1"/>
      <c r="Y430" s="1"/>
      <c r="Z430" s="1"/>
    </row>
    <row r="431" spans="1:26" ht="24.75" customHeight="1">
      <c r="A431" s="1"/>
      <c r="B431" s="1"/>
      <c r="C431" s="1"/>
      <c r="D431" s="1"/>
      <c r="E431" s="1"/>
      <c r="F431" s="1"/>
      <c r="G431" s="1"/>
      <c r="H431" s="1"/>
      <c r="I431" s="1"/>
      <c r="J431" s="1"/>
      <c r="K431" s="1"/>
      <c r="L431" s="1"/>
      <c r="M431" s="1"/>
      <c r="N431" s="1"/>
      <c r="O431" s="1"/>
      <c r="P431" s="1"/>
      <c r="Q431" s="1"/>
      <c r="R431" s="1"/>
      <c r="S431" s="1"/>
      <c r="T431" s="1"/>
      <c r="U431" s="2"/>
      <c r="V431" s="1"/>
      <c r="W431" s="1"/>
      <c r="X431" s="1"/>
      <c r="Y431" s="1"/>
      <c r="Z431" s="1"/>
    </row>
    <row r="432" spans="1:26" ht="24.75" customHeight="1">
      <c r="A432" s="1"/>
      <c r="B432" s="1"/>
      <c r="C432" s="1"/>
      <c r="D432" s="1"/>
      <c r="E432" s="1"/>
      <c r="F432" s="1"/>
      <c r="G432" s="1"/>
      <c r="H432" s="1"/>
      <c r="I432" s="1"/>
      <c r="J432" s="1"/>
      <c r="K432" s="1"/>
      <c r="L432" s="1"/>
      <c r="M432" s="1"/>
      <c r="N432" s="1"/>
      <c r="O432" s="1"/>
      <c r="P432" s="1"/>
      <c r="Q432" s="1"/>
      <c r="R432" s="1"/>
      <c r="S432" s="1"/>
      <c r="T432" s="1"/>
      <c r="U432" s="2"/>
      <c r="V432" s="1"/>
      <c r="W432" s="1"/>
      <c r="X432" s="1"/>
      <c r="Y432" s="1"/>
      <c r="Z432" s="1"/>
    </row>
    <row r="433" spans="1:26" ht="24.75" customHeight="1">
      <c r="A433" s="1"/>
      <c r="B433" s="1"/>
      <c r="C433" s="1"/>
      <c r="D433" s="1"/>
      <c r="E433" s="1"/>
      <c r="F433" s="1"/>
      <c r="G433" s="1"/>
      <c r="H433" s="1"/>
      <c r="I433" s="1"/>
      <c r="J433" s="1"/>
      <c r="K433" s="1"/>
      <c r="L433" s="1"/>
      <c r="M433" s="1"/>
      <c r="N433" s="1"/>
      <c r="O433" s="1"/>
      <c r="P433" s="1"/>
      <c r="Q433" s="1"/>
      <c r="R433" s="1"/>
      <c r="S433" s="1"/>
      <c r="T433" s="1"/>
      <c r="U433" s="2"/>
      <c r="V433" s="1"/>
      <c r="W433" s="1"/>
      <c r="X433" s="1"/>
      <c r="Y433" s="1"/>
      <c r="Z433" s="1"/>
    </row>
    <row r="434" spans="1:26" ht="24.75" customHeight="1">
      <c r="A434" s="1"/>
      <c r="B434" s="1"/>
      <c r="C434" s="1"/>
      <c r="D434" s="1"/>
      <c r="E434" s="1"/>
      <c r="F434" s="1"/>
      <c r="G434" s="1"/>
      <c r="H434" s="1"/>
      <c r="I434" s="1"/>
      <c r="J434" s="1"/>
      <c r="K434" s="1"/>
      <c r="L434" s="1"/>
      <c r="M434" s="1"/>
      <c r="N434" s="1"/>
      <c r="O434" s="1"/>
      <c r="P434" s="1"/>
      <c r="Q434" s="1"/>
      <c r="R434" s="1"/>
      <c r="S434" s="1"/>
      <c r="T434" s="1"/>
      <c r="U434" s="2"/>
      <c r="V434" s="1"/>
      <c r="W434" s="1"/>
      <c r="X434" s="1"/>
      <c r="Y434" s="1"/>
      <c r="Z434" s="1"/>
    </row>
    <row r="435" spans="1:26" ht="24.75" customHeight="1">
      <c r="A435" s="1"/>
      <c r="B435" s="1"/>
      <c r="C435" s="1"/>
      <c r="D435" s="1"/>
      <c r="E435" s="1"/>
      <c r="F435" s="1"/>
      <c r="G435" s="1"/>
      <c r="H435" s="1"/>
      <c r="I435" s="1"/>
      <c r="J435" s="1"/>
      <c r="K435" s="1"/>
      <c r="L435" s="1"/>
      <c r="M435" s="1"/>
      <c r="N435" s="1"/>
      <c r="O435" s="1"/>
      <c r="P435" s="1"/>
      <c r="Q435" s="1"/>
      <c r="R435" s="1"/>
      <c r="S435" s="1"/>
      <c r="T435" s="1"/>
      <c r="U435" s="2"/>
      <c r="V435" s="1"/>
      <c r="W435" s="1"/>
      <c r="X435" s="1"/>
      <c r="Y435" s="1"/>
      <c r="Z435" s="1"/>
    </row>
    <row r="436" spans="1:26" ht="24.75" customHeight="1">
      <c r="A436" s="1"/>
      <c r="B436" s="1"/>
      <c r="C436" s="1"/>
      <c r="D436" s="1"/>
      <c r="E436" s="1"/>
      <c r="F436" s="1"/>
      <c r="G436" s="1"/>
      <c r="H436" s="1"/>
      <c r="I436" s="1"/>
      <c r="J436" s="1"/>
      <c r="K436" s="1"/>
      <c r="L436" s="1"/>
      <c r="M436" s="1"/>
      <c r="N436" s="1"/>
      <c r="O436" s="1"/>
      <c r="P436" s="1"/>
      <c r="Q436" s="1"/>
      <c r="R436" s="1"/>
      <c r="S436" s="1"/>
      <c r="T436" s="1"/>
      <c r="U436" s="2"/>
      <c r="V436" s="1"/>
      <c r="W436" s="1"/>
      <c r="X436" s="1"/>
      <c r="Y436" s="1"/>
      <c r="Z436" s="1"/>
    </row>
    <row r="437" spans="1:26" ht="24.75" customHeight="1">
      <c r="A437" s="1"/>
      <c r="B437" s="1"/>
      <c r="C437" s="1"/>
      <c r="D437" s="1"/>
      <c r="E437" s="1"/>
      <c r="F437" s="1"/>
      <c r="G437" s="1"/>
      <c r="H437" s="1"/>
      <c r="I437" s="1"/>
      <c r="J437" s="1"/>
      <c r="K437" s="1"/>
      <c r="L437" s="1"/>
      <c r="M437" s="1"/>
      <c r="N437" s="1"/>
      <c r="O437" s="1"/>
      <c r="P437" s="1"/>
      <c r="Q437" s="1"/>
      <c r="R437" s="1"/>
      <c r="S437" s="1"/>
      <c r="T437" s="1"/>
      <c r="U437" s="2"/>
      <c r="V437" s="1"/>
      <c r="W437" s="1"/>
      <c r="X437" s="1"/>
      <c r="Y437" s="1"/>
      <c r="Z437" s="1"/>
    </row>
    <row r="438" spans="1:26" ht="24.75" customHeight="1">
      <c r="A438" s="1"/>
      <c r="B438" s="1"/>
      <c r="C438" s="1"/>
      <c r="D438" s="1"/>
      <c r="E438" s="1"/>
      <c r="F438" s="1"/>
      <c r="G438" s="1"/>
      <c r="H438" s="1"/>
      <c r="I438" s="1"/>
      <c r="J438" s="1"/>
      <c r="K438" s="1"/>
      <c r="L438" s="1"/>
      <c r="M438" s="1"/>
      <c r="N438" s="1"/>
      <c r="O438" s="1"/>
      <c r="P438" s="1"/>
      <c r="Q438" s="1"/>
      <c r="R438" s="1"/>
      <c r="S438" s="1"/>
      <c r="T438" s="1"/>
      <c r="U438" s="2"/>
      <c r="V438" s="1"/>
      <c r="W438" s="1"/>
      <c r="X438" s="1"/>
      <c r="Y438" s="1"/>
      <c r="Z438" s="1"/>
    </row>
    <row r="439" spans="1:26" ht="24.75" customHeight="1">
      <c r="A439" s="1"/>
      <c r="B439" s="1"/>
      <c r="C439" s="1"/>
      <c r="D439" s="1"/>
      <c r="E439" s="1"/>
      <c r="F439" s="1"/>
      <c r="G439" s="1"/>
      <c r="H439" s="1"/>
      <c r="I439" s="1"/>
      <c r="J439" s="1"/>
      <c r="K439" s="1"/>
      <c r="L439" s="1"/>
      <c r="M439" s="1"/>
      <c r="N439" s="1"/>
      <c r="O439" s="1"/>
      <c r="P439" s="1"/>
      <c r="Q439" s="1"/>
      <c r="R439" s="1"/>
      <c r="S439" s="1"/>
      <c r="T439" s="1"/>
      <c r="U439" s="2"/>
      <c r="V439" s="1"/>
      <c r="W439" s="1"/>
      <c r="X439" s="1"/>
      <c r="Y439" s="1"/>
      <c r="Z439" s="1"/>
    </row>
    <row r="440" spans="1:26" ht="24.75" customHeight="1">
      <c r="A440" s="1"/>
      <c r="B440" s="1"/>
      <c r="C440" s="1"/>
      <c r="D440" s="1"/>
      <c r="E440" s="1"/>
      <c r="F440" s="1"/>
      <c r="G440" s="1"/>
      <c r="H440" s="1"/>
      <c r="I440" s="1"/>
      <c r="J440" s="1"/>
      <c r="K440" s="1"/>
      <c r="L440" s="1"/>
      <c r="M440" s="1"/>
      <c r="N440" s="1"/>
      <c r="O440" s="1"/>
      <c r="P440" s="1"/>
      <c r="Q440" s="1"/>
      <c r="R440" s="1"/>
      <c r="S440" s="1"/>
      <c r="T440" s="1"/>
      <c r="U440" s="2"/>
      <c r="V440" s="1"/>
      <c r="W440" s="1"/>
      <c r="X440" s="1"/>
      <c r="Y440" s="1"/>
      <c r="Z440" s="1"/>
    </row>
    <row r="441" spans="1:26" ht="24.75" customHeight="1">
      <c r="A441" s="1"/>
      <c r="B441" s="1"/>
      <c r="C441" s="1"/>
      <c r="D441" s="1"/>
      <c r="E441" s="1"/>
      <c r="F441" s="1"/>
      <c r="G441" s="1"/>
      <c r="H441" s="1"/>
      <c r="I441" s="1"/>
      <c r="J441" s="1"/>
      <c r="K441" s="1"/>
      <c r="L441" s="1"/>
      <c r="M441" s="1"/>
      <c r="N441" s="1"/>
      <c r="O441" s="1"/>
      <c r="P441" s="1"/>
      <c r="Q441" s="1"/>
      <c r="R441" s="1"/>
      <c r="S441" s="1"/>
      <c r="T441" s="1"/>
      <c r="U441" s="2"/>
      <c r="V441" s="1"/>
      <c r="W441" s="1"/>
      <c r="X441" s="1"/>
      <c r="Y441" s="1"/>
      <c r="Z441" s="1"/>
    </row>
    <row r="442" spans="1:26" ht="24.75" customHeight="1">
      <c r="A442" s="1"/>
      <c r="B442" s="1"/>
      <c r="C442" s="1"/>
      <c r="D442" s="1"/>
      <c r="E442" s="1"/>
      <c r="F442" s="1"/>
      <c r="G442" s="1"/>
      <c r="H442" s="1"/>
      <c r="I442" s="1"/>
      <c r="J442" s="1"/>
      <c r="K442" s="1"/>
      <c r="L442" s="1"/>
      <c r="M442" s="1"/>
      <c r="N442" s="1"/>
      <c r="O442" s="1"/>
      <c r="P442" s="1"/>
      <c r="Q442" s="1"/>
      <c r="R442" s="1"/>
      <c r="S442" s="1"/>
      <c r="T442" s="1"/>
      <c r="U442" s="2"/>
      <c r="V442" s="1"/>
      <c r="W442" s="1"/>
      <c r="X442" s="1"/>
      <c r="Y442" s="1"/>
      <c r="Z442" s="1"/>
    </row>
    <row r="443" spans="1:26" ht="24.75" customHeight="1">
      <c r="A443" s="1"/>
      <c r="B443" s="1"/>
      <c r="C443" s="1"/>
      <c r="D443" s="1"/>
      <c r="E443" s="1"/>
      <c r="F443" s="1"/>
      <c r="G443" s="1"/>
      <c r="H443" s="1"/>
      <c r="I443" s="1"/>
      <c r="J443" s="1"/>
      <c r="K443" s="1"/>
      <c r="L443" s="1"/>
      <c r="M443" s="1"/>
      <c r="N443" s="1"/>
      <c r="O443" s="1"/>
      <c r="P443" s="1"/>
      <c r="Q443" s="1"/>
      <c r="R443" s="1"/>
      <c r="S443" s="1"/>
      <c r="T443" s="1"/>
      <c r="U443" s="2"/>
      <c r="V443" s="1"/>
      <c r="W443" s="1"/>
      <c r="X443" s="1"/>
      <c r="Y443" s="1"/>
      <c r="Z443" s="1"/>
    </row>
    <row r="444" spans="1:26" ht="24.75" customHeight="1">
      <c r="A444" s="1"/>
      <c r="B444" s="1"/>
      <c r="C444" s="1"/>
      <c r="D444" s="1"/>
      <c r="E444" s="1"/>
      <c r="F444" s="1"/>
      <c r="G444" s="1"/>
      <c r="H444" s="1"/>
      <c r="I444" s="1"/>
      <c r="J444" s="1"/>
      <c r="K444" s="1"/>
      <c r="L444" s="1"/>
      <c r="M444" s="1"/>
      <c r="N444" s="1"/>
      <c r="O444" s="1"/>
      <c r="P444" s="1"/>
      <c r="Q444" s="1"/>
      <c r="R444" s="1"/>
      <c r="S444" s="1"/>
      <c r="T444" s="1"/>
      <c r="U444" s="2"/>
      <c r="V444" s="1"/>
      <c r="W444" s="1"/>
      <c r="X444" s="1"/>
      <c r="Y444" s="1"/>
      <c r="Z444" s="1"/>
    </row>
    <row r="445" spans="1:26" ht="24.75" customHeight="1">
      <c r="A445" s="1"/>
      <c r="B445" s="1"/>
      <c r="C445" s="1"/>
      <c r="D445" s="1"/>
      <c r="E445" s="1"/>
      <c r="F445" s="1"/>
      <c r="G445" s="1"/>
      <c r="H445" s="1"/>
      <c r="I445" s="1"/>
      <c r="J445" s="1"/>
      <c r="K445" s="1"/>
      <c r="L445" s="1"/>
      <c r="M445" s="1"/>
      <c r="N445" s="1"/>
      <c r="O445" s="1"/>
      <c r="P445" s="1"/>
      <c r="Q445" s="1"/>
      <c r="R445" s="1"/>
      <c r="S445" s="1"/>
      <c r="T445" s="1"/>
      <c r="U445" s="2"/>
      <c r="V445" s="1"/>
      <c r="W445" s="1"/>
      <c r="X445" s="1"/>
      <c r="Y445" s="1"/>
      <c r="Z445" s="1"/>
    </row>
    <row r="446" spans="1:26" ht="24.75" customHeight="1">
      <c r="A446" s="1"/>
      <c r="B446" s="1"/>
      <c r="C446" s="1"/>
      <c r="D446" s="1"/>
      <c r="E446" s="1"/>
      <c r="F446" s="1"/>
      <c r="G446" s="1"/>
      <c r="H446" s="1"/>
      <c r="I446" s="1"/>
      <c r="J446" s="1"/>
      <c r="K446" s="1"/>
      <c r="L446" s="1"/>
      <c r="M446" s="1"/>
      <c r="N446" s="1"/>
      <c r="O446" s="1"/>
      <c r="P446" s="1"/>
      <c r="Q446" s="1"/>
      <c r="R446" s="1"/>
      <c r="S446" s="1"/>
      <c r="T446" s="1"/>
      <c r="U446" s="2"/>
      <c r="V446" s="1"/>
      <c r="W446" s="1"/>
      <c r="X446" s="1"/>
      <c r="Y446" s="1"/>
      <c r="Z446" s="1"/>
    </row>
    <row r="447" spans="1:26" ht="24.75" customHeight="1">
      <c r="A447" s="1"/>
      <c r="B447" s="1"/>
      <c r="C447" s="1"/>
      <c r="D447" s="1"/>
      <c r="E447" s="1"/>
      <c r="F447" s="1"/>
      <c r="G447" s="1"/>
      <c r="H447" s="1"/>
      <c r="I447" s="1"/>
      <c r="J447" s="1"/>
      <c r="K447" s="1"/>
      <c r="L447" s="1"/>
      <c r="M447" s="1"/>
      <c r="N447" s="1"/>
      <c r="O447" s="1"/>
      <c r="P447" s="1"/>
      <c r="Q447" s="1"/>
      <c r="R447" s="1"/>
      <c r="S447" s="1"/>
      <c r="T447" s="1"/>
      <c r="U447" s="2"/>
      <c r="V447" s="1"/>
      <c r="W447" s="1"/>
      <c r="X447" s="1"/>
      <c r="Y447" s="1"/>
      <c r="Z447" s="1"/>
    </row>
    <row r="448" spans="1:26" ht="24.75" customHeight="1">
      <c r="A448" s="1"/>
      <c r="B448" s="1"/>
      <c r="C448" s="1"/>
      <c r="D448" s="1"/>
      <c r="E448" s="1"/>
      <c r="F448" s="1"/>
      <c r="G448" s="1"/>
      <c r="H448" s="1"/>
      <c r="I448" s="1"/>
      <c r="J448" s="1"/>
      <c r="K448" s="1"/>
      <c r="L448" s="1"/>
      <c r="M448" s="1"/>
      <c r="N448" s="1"/>
      <c r="O448" s="1"/>
      <c r="P448" s="1"/>
      <c r="Q448" s="1"/>
      <c r="R448" s="1"/>
      <c r="S448" s="1"/>
      <c r="T448" s="1"/>
      <c r="U448" s="2"/>
      <c r="V448" s="1"/>
      <c r="W448" s="1"/>
      <c r="X448" s="1"/>
      <c r="Y448" s="1"/>
      <c r="Z448" s="1"/>
    </row>
    <row r="449" spans="1:26" ht="24.75" customHeight="1">
      <c r="A449" s="1"/>
      <c r="B449" s="1"/>
      <c r="C449" s="1"/>
      <c r="D449" s="1"/>
      <c r="E449" s="1"/>
      <c r="F449" s="1"/>
      <c r="G449" s="1"/>
      <c r="H449" s="1"/>
      <c r="I449" s="1"/>
      <c r="J449" s="1"/>
      <c r="K449" s="1"/>
      <c r="L449" s="1"/>
      <c r="M449" s="1"/>
      <c r="N449" s="1"/>
      <c r="O449" s="1"/>
      <c r="P449" s="1"/>
      <c r="Q449" s="1"/>
      <c r="R449" s="1"/>
      <c r="S449" s="1"/>
      <c r="T449" s="1"/>
      <c r="U449" s="2"/>
      <c r="V449" s="1"/>
      <c r="W449" s="1"/>
      <c r="X449" s="1"/>
      <c r="Y449" s="1"/>
      <c r="Z449" s="1"/>
    </row>
    <row r="450" spans="1:26" ht="24.75" customHeight="1">
      <c r="A450" s="1"/>
      <c r="B450" s="1"/>
      <c r="C450" s="1"/>
      <c r="D450" s="1"/>
      <c r="E450" s="1"/>
      <c r="F450" s="1"/>
      <c r="G450" s="1"/>
      <c r="H450" s="1"/>
      <c r="I450" s="1"/>
      <c r="J450" s="1"/>
      <c r="K450" s="1"/>
      <c r="L450" s="1"/>
      <c r="M450" s="1"/>
      <c r="N450" s="1"/>
      <c r="O450" s="1"/>
      <c r="P450" s="1"/>
      <c r="Q450" s="1"/>
      <c r="R450" s="1"/>
      <c r="S450" s="1"/>
      <c r="T450" s="1"/>
      <c r="U450" s="2"/>
      <c r="V450" s="1"/>
      <c r="W450" s="1"/>
      <c r="X450" s="1"/>
      <c r="Y450" s="1"/>
      <c r="Z450" s="1"/>
    </row>
    <row r="451" spans="1:26" ht="24.75" customHeight="1">
      <c r="A451" s="1"/>
      <c r="B451" s="1"/>
      <c r="C451" s="1"/>
      <c r="D451" s="1"/>
      <c r="E451" s="1"/>
      <c r="F451" s="1"/>
      <c r="G451" s="1"/>
      <c r="H451" s="1"/>
      <c r="I451" s="1"/>
      <c r="J451" s="1"/>
      <c r="K451" s="1"/>
      <c r="L451" s="1"/>
      <c r="M451" s="1"/>
      <c r="N451" s="1"/>
      <c r="O451" s="1"/>
      <c r="P451" s="1"/>
      <c r="Q451" s="1"/>
      <c r="R451" s="1"/>
      <c r="S451" s="1"/>
      <c r="T451" s="1"/>
      <c r="U451" s="2"/>
      <c r="V451" s="1"/>
      <c r="W451" s="1"/>
      <c r="X451" s="1"/>
      <c r="Y451" s="1"/>
      <c r="Z451" s="1"/>
    </row>
    <row r="452" spans="1:26" ht="24.75" customHeight="1">
      <c r="A452" s="1"/>
      <c r="B452" s="1"/>
      <c r="C452" s="1"/>
      <c r="D452" s="1"/>
      <c r="E452" s="1"/>
      <c r="F452" s="1"/>
      <c r="G452" s="1"/>
      <c r="H452" s="1"/>
      <c r="I452" s="1"/>
      <c r="J452" s="1"/>
      <c r="K452" s="1"/>
      <c r="L452" s="1"/>
      <c r="M452" s="1"/>
      <c r="N452" s="1"/>
      <c r="O452" s="1"/>
      <c r="P452" s="1"/>
      <c r="Q452" s="1"/>
      <c r="R452" s="1"/>
      <c r="S452" s="1"/>
      <c r="T452" s="1"/>
      <c r="U452" s="2"/>
      <c r="V452" s="1"/>
      <c r="W452" s="1"/>
      <c r="X452" s="1"/>
      <c r="Y452" s="1"/>
      <c r="Z452" s="1"/>
    </row>
    <row r="453" spans="1:26" ht="24.75" customHeight="1">
      <c r="A453" s="1"/>
      <c r="B453" s="1"/>
      <c r="C453" s="1"/>
      <c r="D453" s="1"/>
      <c r="E453" s="1"/>
      <c r="F453" s="1"/>
      <c r="G453" s="1"/>
      <c r="H453" s="1"/>
      <c r="I453" s="1"/>
      <c r="J453" s="1"/>
      <c r="K453" s="1"/>
      <c r="L453" s="1"/>
      <c r="M453" s="1"/>
      <c r="N453" s="1"/>
      <c r="O453" s="1"/>
      <c r="P453" s="1"/>
      <c r="Q453" s="1"/>
      <c r="R453" s="1"/>
      <c r="S453" s="1"/>
      <c r="T453" s="1"/>
      <c r="U453" s="2"/>
      <c r="V453" s="1"/>
      <c r="W453" s="1"/>
      <c r="X453" s="1"/>
      <c r="Y453" s="1"/>
      <c r="Z453" s="1"/>
    </row>
    <row r="454" spans="1:26" ht="24.75" customHeight="1">
      <c r="A454" s="1"/>
      <c r="B454" s="1"/>
      <c r="C454" s="1"/>
      <c r="D454" s="1"/>
      <c r="E454" s="1"/>
      <c r="F454" s="1"/>
      <c r="G454" s="1"/>
      <c r="H454" s="1"/>
      <c r="I454" s="1"/>
      <c r="J454" s="1"/>
      <c r="K454" s="1"/>
      <c r="L454" s="1"/>
      <c r="M454" s="1"/>
      <c r="N454" s="1"/>
      <c r="O454" s="1"/>
      <c r="P454" s="1"/>
      <c r="Q454" s="1"/>
      <c r="R454" s="1"/>
      <c r="S454" s="1"/>
      <c r="T454" s="1"/>
      <c r="U454" s="2"/>
      <c r="V454" s="1"/>
      <c r="W454" s="1"/>
      <c r="X454" s="1"/>
      <c r="Y454" s="1"/>
      <c r="Z454" s="1"/>
    </row>
    <row r="455" spans="1:26" ht="24.75" customHeight="1">
      <c r="A455" s="1"/>
      <c r="B455" s="1"/>
      <c r="C455" s="1"/>
      <c r="D455" s="1"/>
      <c r="E455" s="1"/>
      <c r="F455" s="1"/>
      <c r="G455" s="1"/>
      <c r="H455" s="1"/>
      <c r="I455" s="1"/>
      <c r="J455" s="1"/>
      <c r="K455" s="1"/>
      <c r="L455" s="1"/>
      <c r="M455" s="1"/>
      <c r="N455" s="1"/>
      <c r="O455" s="1"/>
      <c r="P455" s="1"/>
      <c r="Q455" s="1"/>
      <c r="R455" s="1"/>
      <c r="S455" s="1"/>
      <c r="T455" s="1"/>
      <c r="U455" s="2"/>
      <c r="V455" s="1"/>
      <c r="W455" s="1"/>
      <c r="X455" s="1"/>
      <c r="Y455" s="1"/>
      <c r="Z455" s="1"/>
    </row>
    <row r="456" spans="1:26" ht="24.75" customHeight="1">
      <c r="A456" s="1"/>
      <c r="B456" s="1"/>
      <c r="C456" s="1"/>
      <c r="D456" s="1"/>
      <c r="E456" s="1"/>
      <c r="F456" s="1"/>
      <c r="G456" s="1"/>
      <c r="H456" s="1"/>
      <c r="I456" s="1"/>
      <c r="J456" s="1"/>
      <c r="K456" s="1"/>
      <c r="L456" s="1"/>
      <c r="M456" s="1"/>
      <c r="N456" s="1"/>
      <c r="O456" s="1"/>
      <c r="P456" s="1"/>
      <c r="Q456" s="1"/>
      <c r="R456" s="1"/>
      <c r="S456" s="1"/>
      <c r="T456" s="1"/>
      <c r="U456" s="2"/>
      <c r="V456" s="1"/>
      <c r="W456" s="1"/>
      <c r="X456" s="1"/>
      <c r="Y456" s="1"/>
      <c r="Z456" s="1"/>
    </row>
    <row r="457" spans="1:26" ht="24.75" customHeight="1">
      <c r="A457" s="1"/>
      <c r="B457" s="1"/>
      <c r="C457" s="1"/>
      <c r="D457" s="1"/>
      <c r="E457" s="1"/>
      <c r="F457" s="1"/>
      <c r="G457" s="1"/>
      <c r="H457" s="1"/>
      <c r="I457" s="1"/>
      <c r="J457" s="1"/>
      <c r="K457" s="1"/>
      <c r="L457" s="1"/>
      <c r="M457" s="1"/>
      <c r="N457" s="1"/>
      <c r="O457" s="1"/>
      <c r="P457" s="1"/>
      <c r="Q457" s="1"/>
      <c r="R457" s="1"/>
      <c r="S457" s="1"/>
      <c r="T457" s="1"/>
      <c r="U457" s="2"/>
      <c r="V457" s="1"/>
      <c r="W457" s="1"/>
      <c r="X457" s="1"/>
      <c r="Y457" s="1"/>
      <c r="Z457" s="1"/>
    </row>
    <row r="458" spans="1:26" ht="24.75" customHeight="1">
      <c r="A458" s="1"/>
      <c r="B458" s="1"/>
      <c r="C458" s="1"/>
      <c r="D458" s="1"/>
      <c r="E458" s="1"/>
      <c r="F458" s="1"/>
      <c r="G458" s="1"/>
      <c r="H458" s="1"/>
      <c r="I458" s="1"/>
      <c r="J458" s="1"/>
      <c r="K458" s="1"/>
      <c r="L458" s="1"/>
      <c r="M458" s="1"/>
      <c r="N458" s="1"/>
      <c r="O458" s="1"/>
      <c r="P458" s="1"/>
      <c r="Q458" s="1"/>
      <c r="R458" s="1"/>
      <c r="S458" s="1"/>
      <c r="T458" s="1"/>
      <c r="U458" s="2"/>
      <c r="V458" s="1"/>
      <c r="W458" s="1"/>
      <c r="X458" s="1"/>
      <c r="Y458" s="1"/>
      <c r="Z458" s="1"/>
    </row>
    <row r="459" spans="1:26" ht="24.75" customHeight="1">
      <c r="A459" s="1"/>
      <c r="B459" s="1"/>
      <c r="C459" s="1"/>
      <c r="D459" s="1"/>
      <c r="E459" s="1"/>
      <c r="F459" s="1"/>
      <c r="G459" s="1"/>
      <c r="H459" s="1"/>
      <c r="I459" s="1"/>
      <c r="J459" s="1"/>
      <c r="K459" s="1"/>
      <c r="L459" s="1"/>
      <c r="M459" s="1"/>
      <c r="N459" s="1"/>
      <c r="O459" s="1"/>
      <c r="P459" s="1"/>
      <c r="Q459" s="1"/>
      <c r="R459" s="1"/>
      <c r="S459" s="1"/>
      <c r="T459" s="1"/>
      <c r="U459" s="2"/>
      <c r="V459" s="1"/>
      <c r="W459" s="1"/>
      <c r="X459" s="1"/>
      <c r="Y459" s="1"/>
      <c r="Z459" s="1"/>
    </row>
    <row r="460" spans="1:26" ht="24.75" customHeight="1">
      <c r="A460" s="1"/>
      <c r="B460" s="1"/>
      <c r="C460" s="1"/>
      <c r="D460" s="1"/>
      <c r="E460" s="1"/>
      <c r="F460" s="1"/>
      <c r="G460" s="1"/>
      <c r="H460" s="1"/>
      <c r="I460" s="1"/>
      <c r="J460" s="1"/>
      <c r="K460" s="1"/>
      <c r="L460" s="1"/>
      <c r="M460" s="1"/>
      <c r="N460" s="1"/>
      <c r="O460" s="1"/>
      <c r="P460" s="1"/>
      <c r="Q460" s="1"/>
      <c r="R460" s="1"/>
      <c r="S460" s="1"/>
      <c r="T460" s="1"/>
      <c r="U460" s="2"/>
      <c r="V460" s="1"/>
      <c r="W460" s="1"/>
      <c r="X460" s="1"/>
      <c r="Y460" s="1"/>
      <c r="Z460" s="1"/>
    </row>
    <row r="461" spans="1:26" ht="24.75" customHeight="1">
      <c r="A461" s="1"/>
      <c r="B461" s="1"/>
      <c r="C461" s="1"/>
      <c r="D461" s="1"/>
      <c r="E461" s="1"/>
      <c r="F461" s="1"/>
      <c r="G461" s="1"/>
      <c r="H461" s="1"/>
      <c r="I461" s="1"/>
      <c r="J461" s="1"/>
      <c r="K461" s="1"/>
      <c r="L461" s="1"/>
      <c r="M461" s="1"/>
      <c r="N461" s="1"/>
      <c r="O461" s="1"/>
      <c r="P461" s="1"/>
      <c r="Q461" s="1"/>
      <c r="R461" s="1"/>
      <c r="S461" s="1"/>
      <c r="T461" s="1"/>
      <c r="U461" s="2"/>
      <c r="V461" s="1"/>
      <c r="W461" s="1"/>
      <c r="X461" s="1"/>
      <c r="Y461" s="1"/>
      <c r="Z461" s="1"/>
    </row>
    <row r="462" spans="1:26" ht="24.75" customHeight="1">
      <c r="A462" s="1"/>
      <c r="B462" s="1"/>
      <c r="C462" s="1"/>
      <c r="D462" s="1"/>
      <c r="E462" s="1"/>
      <c r="F462" s="1"/>
      <c r="G462" s="1"/>
      <c r="H462" s="1"/>
      <c r="I462" s="1"/>
      <c r="J462" s="1"/>
      <c r="K462" s="1"/>
      <c r="L462" s="1"/>
      <c r="M462" s="1"/>
      <c r="N462" s="1"/>
      <c r="O462" s="1"/>
      <c r="P462" s="1"/>
      <c r="Q462" s="1"/>
      <c r="R462" s="1"/>
      <c r="S462" s="1"/>
      <c r="T462" s="1"/>
      <c r="U462" s="2"/>
      <c r="V462" s="1"/>
      <c r="W462" s="1"/>
      <c r="X462" s="1"/>
      <c r="Y462" s="1"/>
      <c r="Z462" s="1"/>
    </row>
    <row r="463" spans="1:26" ht="24.75" customHeight="1">
      <c r="A463" s="1"/>
      <c r="B463" s="1"/>
      <c r="C463" s="1"/>
      <c r="D463" s="1"/>
      <c r="E463" s="1"/>
      <c r="F463" s="1"/>
      <c r="G463" s="1"/>
      <c r="H463" s="1"/>
      <c r="I463" s="1"/>
      <c r="J463" s="1"/>
      <c r="K463" s="1"/>
      <c r="L463" s="1"/>
      <c r="M463" s="1"/>
      <c r="N463" s="1"/>
      <c r="O463" s="1"/>
      <c r="P463" s="1"/>
      <c r="Q463" s="1"/>
      <c r="R463" s="1"/>
      <c r="S463" s="1"/>
      <c r="T463" s="1"/>
      <c r="U463" s="2"/>
      <c r="V463" s="1"/>
      <c r="W463" s="1"/>
      <c r="X463" s="1"/>
      <c r="Y463" s="1"/>
      <c r="Z463" s="1"/>
    </row>
    <row r="464" spans="1:26" ht="24.75" customHeight="1">
      <c r="A464" s="1"/>
      <c r="B464" s="1"/>
      <c r="C464" s="1"/>
      <c r="D464" s="1"/>
      <c r="E464" s="1"/>
      <c r="F464" s="1"/>
      <c r="G464" s="1"/>
      <c r="H464" s="1"/>
      <c r="I464" s="1"/>
      <c r="J464" s="1"/>
      <c r="K464" s="1"/>
      <c r="L464" s="1"/>
      <c r="M464" s="1"/>
      <c r="N464" s="1"/>
      <c r="O464" s="1"/>
      <c r="P464" s="1"/>
      <c r="Q464" s="1"/>
      <c r="R464" s="1"/>
      <c r="S464" s="1"/>
      <c r="T464" s="1"/>
      <c r="U464" s="2"/>
      <c r="V464" s="1"/>
      <c r="W464" s="1"/>
      <c r="X464" s="1"/>
      <c r="Y464" s="1"/>
      <c r="Z464" s="1"/>
    </row>
    <row r="465" spans="1:26" ht="24.75" customHeight="1">
      <c r="A465" s="1"/>
      <c r="B465" s="1"/>
      <c r="C465" s="1"/>
      <c r="D465" s="1"/>
      <c r="E465" s="1"/>
      <c r="F465" s="1"/>
      <c r="G465" s="1"/>
      <c r="H465" s="1"/>
      <c r="I465" s="1"/>
      <c r="J465" s="1"/>
      <c r="K465" s="1"/>
      <c r="L465" s="1"/>
      <c r="M465" s="1"/>
      <c r="N465" s="1"/>
      <c r="O465" s="1"/>
      <c r="P465" s="1"/>
      <c r="Q465" s="1"/>
      <c r="R465" s="1"/>
      <c r="S465" s="1"/>
      <c r="T465" s="1"/>
      <c r="U465" s="2"/>
      <c r="V465" s="1"/>
      <c r="W465" s="1"/>
      <c r="X465" s="1"/>
      <c r="Y465" s="1"/>
      <c r="Z465" s="1"/>
    </row>
    <row r="466" spans="1:26" ht="24.75" customHeight="1">
      <c r="A466" s="1"/>
      <c r="B466" s="1"/>
      <c r="C466" s="1"/>
      <c r="D466" s="1"/>
      <c r="E466" s="1"/>
      <c r="F466" s="1"/>
      <c r="G466" s="1"/>
      <c r="H466" s="1"/>
      <c r="I466" s="1"/>
      <c r="J466" s="1"/>
      <c r="K466" s="1"/>
      <c r="L466" s="1"/>
      <c r="M466" s="1"/>
      <c r="N466" s="1"/>
      <c r="O466" s="1"/>
      <c r="P466" s="1"/>
      <c r="Q466" s="1"/>
      <c r="R466" s="1"/>
      <c r="S466" s="1"/>
      <c r="T466" s="1"/>
      <c r="U466" s="2"/>
      <c r="V466" s="1"/>
      <c r="W466" s="1"/>
      <c r="X466" s="1"/>
      <c r="Y466" s="1"/>
      <c r="Z466" s="1"/>
    </row>
    <row r="467" spans="1:26" ht="24.75" customHeight="1">
      <c r="A467" s="1"/>
      <c r="B467" s="1"/>
      <c r="C467" s="1"/>
      <c r="D467" s="1"/>
      <c r="E467" s="1"/>
      <c r="F467" s="1"/>
      <c r="G467" s="1"/>
      <c r="H467" s="1"/>
      <c r="I467" s="1"/>
      <c r="J467" s="1"/>
      <c r="K467" s="1"/>
      <c r="L467" s="1"/>
      <c r="M467" s="1"/>
      <c r="N467" s="1"/>
      <c r="O467" s="1"/>
      <c r="P467" s="1"/>
      <c r="Q467" s="1"/>
      <c r="R467" s="1"/>
      <c r="S467" s="1"/>
      <c r="T467" s="1"/>
      <c r="U467" s="2"/>
      <c r="V467" s="1"/>
      <c r="W467" s="1"/>
      <c r="X467" s="1"/>
      <c r="Y467" s="1"/>
      <c r="Z467" s="1"/>
    </row>
    <row r="468" spans="1:26" ht="24.75" customHeight="1">
      <c r="A468" s="1"/>
      <c r="B468" s="1"/>
      <c r="C468" s="1"/>
      <c r="D468" s="1"/>
      <c r="E468" s="1"/>
      <c r="F468" s="1"/>
      <c r="G468" s="1"/>
      <c r="H468" s="1"/>
      <c r="I468" s="1"/>
      <c r="J468" s="1"/>
      <c r="K468" s="1"/>
      <c r="L468" s="1"/>
      <c r="M468" s="1"/>
      <c r="N468" s="1"/>
      <c r="O468" s="1"/>
      <c r="P468" s="1"/>
      <c r="Q468" s="1"/>
      <c r="R468" s="1"/>
      <c r="S468" s="1"/>
      <c r="T468" s="1"/>
      <c r="U468" s="2"/>
      <c r="V468" s="1"/>
      <c r="W468" s="1"/>
      <c r="X468" s="1"/>
      <c r="Y468" s="1"/>
      <c r="Z468" s="1"/>
    </row>
    <row r="469" spans="1:26" ht="24.75" customHeight="1">
      <c r="A469" s="1"/>
      <c r="B469" s="1"/>
      <c r="C469" s="1"/>
      <c r="D469" s="1"/>
      <c r="E469" s="1"/>
      <c r="F469" s="1"/>
      <c r="G469" s="1"/>
      <c r="H469" s="1"/>
      <c r="I469" s="1"/>
      <c r="J469" s="1"/>
      <c r="K469" s="1"/>
      <c r="L469" s="1"/>
      <c r="M469" s="1"/>
      <c r="N469" s="1"/>
      <c r="O469" s="1"/>
      <c r="P469" s="1"/>
      <c r="Q469" s="1"/>
      <c r="R469" s="1"/>
      <c r="S469" s="1"/>
      <c r="T469" s="1"/>
      <c r="U469" s="2"/>
      <c r="V469" s="1"/>
      <c r="W469" s="1"/>
      <c r="X469" s="1"/>
      <c r="Y469" s="1"/>
      <c r="Z469" s="1"/>
    </row>
    <row r="470" spans="1:26" ht="24.75" customHeight="1">
      <c r="A470" s="1"/>
      <c r="B470" s="1"/>
      <c r="C470" s="1"/>
      <c r="D470" s="1"/>
      <c r="E470" s="1"/>
      <c r="F470" s="1"/>
      <c r="G470" s="1"/>
      <c r="H470" s="1"/>
      <c r="I470" s="1"/>
      <c r="J470" s="1"/>
      <c r="K470" s="1"/>
      <c r="L470" s="1"/>
      <c r="M470" s="1"/>
      <c r="N470" s="1"/>
      <c r="O470" s="1"/>
      <c r="P470" s="1"/>
      <c r="Q470" s="1"/>
      <c r="R470" s="1"/>
      <c r="S470" s="1"/>
      <c r="T470" s="1"/>
      <c r="U470" s="2"/>
      <c r="V470" s="1"/>
      <c r="W470" s="1"/>
      <c r="X470" s="1"/>
      <c r="Y470" s="1"/>
      <c r="Z470" s="1"/>
    </row>
    <row r="471" spans="1:26" ht="24.75" customHeight="1">
      <c r="A471" s="1"/>
      <c r="B471" s="1"/>
      <c r="C471" s="1"/>
      <c r="D471" s="1"/>
      <c r="E471" s="1"/>
      <c r="F471" s="1"/>
      <c r="G471" s="1"/>
      <c r="H471" s="1"/>
      <c r="I471" s="1"/>
      <c r="J471" s="1"/>
      <c r="K471" s="1"/>
      <c r="L471" s="1"/>
      <c r="M471" s="1"/>
      <c r="N471" s="1"/>
      <c r="O471" s="1"/>
      <c r="P471" s="1"/>
      <c r="Q471" s="1"/>
      <c r="R471" s="1"/>
      <c r="S471" s="1"/>
      <c r="T471" s="1"/>
      <c r="U471" s="2"/>
      <c r="V471" s="1"/>
      <c r="W471" s="1"/>
      <c r="X471" s="1"/>
      <c r="Y471" s="1"/>
      <c r="Z471" s="1"/>
    </row>
    <row r="472" spans="1:26" ht="24.75" customHeight="1">
      <c r="A472" s="1"/>
      <c r="B472" s="1"/>
      <c r="C472" s="1"/>
      <c r="D472" s="1"/>
      <c r="E472" s="1"/>
      <c r="F472" s="1"/>
      <c r="G472" s="1"/>
      <c r="H472" s="1"/>
      <c r="I472" s="1"/>
      <c r="J472" s="1"/>
      <c r="K472" s="1"/>
      <c r="L472" s="1"/>
      <c r="M472" s="1"/>
      <c r="N472" s="1"/>
      <c r="O472" s="1"/>
      <c r="P472" s="1"/>
      <c r="Q472" s="1"/>
      <c r="R472" s="1"/>
      <c r="S472" s="1"/>
      <c r="T472" s="1"/>
      <c r="U472" s="2"/>
      <c r="V472" s="1"/>
      <c r="W472" s="1"/>
      <c r="X472" s="1"/>
      <c r="Y472" s="1"/>
      <c r="Z472" s="1"/>
    </row>
    <row r="473" spans="1:26" ht="24.75" customHeight="1">
      <c r="A473" s="1"/>
      <c r="B473" s="1"/>
      <c r="C473" s="1"/>
      <c r="D473" s="1"/>
      <c r="E473" s="1"/>
      <c r="F473" s="1"/>
      <c r="G473" s="1"/>
      <c r="H473" s="1"/>
      <c r="I473" s="1"/>
      <c r="J473" s="1"/>
      <c r="K473" s="1"/>
      <c r="L473" s="1"/>
      <c r="M473" s="1"/>
      <c r="N473" s="1"/>
      <c r="O473" s="1"/>
      <c r="P473" s="1"/>
      <c r="Q473" s="1"/>
      <c r="R473" s="1"/>
      <c r="S473" s="1"/>
      <c r="T473" s="1"/>
      <c r="U473" s="2"/>
      <c r="V473" s="1"/>
      <c r="W473" s="1"/>
      <c r="X473" s="1"/>
      <c r="Y473" s="1"/>
      <c r="Z473" s="1"/>
    </row>
    <row r="474" spans="1:26" ht="24.75" customHeight="1">
      <c r="A474" s="1"/>
      <c r="B474" s="1"/>
      <c r="C474" s="1"/>
      <c r="D474" s="1"/>
      <c r="E474" s="1"/>
      <c r="F474" s="1"/>
      <c r="G474" s="1"/>
      <c r="H474" s="1"/>
      <c r="I474" s="1"/>
      <c r="J474" s="1"/>
      <c r="K474" s="1"/>
      <c r="L474" s="1"/>
      <c r="M474" s="1"/>
      <c r="N474" s="1"/>
      <c r="O474" s="1"/>
      <c r="P474" s="1"/>
      <c r="Q474" s="1"/>
      <c r="R474" s="1"/>
      <c r="S474" s="1"/>
      <c r="T474" s="1"/>
      <c r="U474" s="2"/>
      <c r="V474" s="1"/>
      <c r="W474" s="1"/>
      <c r="X474" s="1"/>
      <c r="Y474" s="1"/>
      <c r="Z474" s="1"/>
    </row>
    <row r="475" spans="1:26" ht="24.75" customHeight="1">
      <c r="A475" s="1"/>
      <c r="B475" s="1"/>
      <c r="C475" s="1"/>
      <c r="D475" s="1"/>
      <c r="E475" s="1"/>
      <c r="F475" s="1"/>
      <c r="G475" s="1"/>
      <c r="H475" s="1"/>
      <c r="I475" s="1"/>
      <c r="J475" s="1"/>
      <c r="K475" s="1"/>
      <c r="L475" s="1"/>
      <c r="M475" s="1"/>
      <c r="N475" s="1"/>
      <c r="O475" s="1"/>
      <c r="P475" s="1"/>
      <c r="Q475" s="1"/>
      <c r="R475" s="1"/>
      <c r="S475" s="1"/>
      <c r="T475" s="1"/>
      <c r="U475" s="2"/>
      <c r="V475" s="1"/>
      <c r="W475" s="1"/>
      <c r="X475" s="1"/>
      <c r="Y475" s="1"/>
      <c r="Z475" s="1"/>
    </row>
    <row r="476" spans="1:26" ht="24.75" customHeight="1">
      <c r="A476" s="1"/>
      <c r="B476" s="1"/>
      <c r="C476" s="1"/>
      <c r="D476" s="1"/>
      <c r="E476" s="1"/>
      <c r="F476" s="1"/>
      <c r="G476" s="1"/>
      <c r="H476" s="1"/>
      <c r="I476" s="1"/>
      <c r="J476" s="1"/>
      <c r="K476" s="1"/>
      <c r="L476" s="1"/>
      <c r="M476" s="1"/>
      <c r="N476" s="1"/>
      <c r="O476" s="1"/>
      <c r="P476" s="1"/>
      <c r="Q476" s="1"/>
      <c r="R476" s="1"/>
      <c r="S476" s="1"/>
      <c r="T476" s="1"/>
      <c r="U476" s="2"/>
      <c r="V476" s="1"/>
      <c r="W476" s="1"/>
      <c r="X476" s="1"/>
      <c r="Y476" s="1"/>
      <c r="Z476" s="1"/>
    </row>
    <row r="477" spans="1:26" ht="24.75" customHeight="1">
      <c r="A477" s="1"/>
      <c r="B477" s="1"/>
      <c r="C477" s="1"/>
      <c r="D477" s="1"/>
      <c r="E477" s="1"/>
      <c r="F477" s="1"/>
      <c r="G477" s="1"/>
      <c r="H477" s="1"/>
      <c r="I477" s="1"/>
      <c r="J477" s="1"/>
      <c r="K477" s="1"/>
      <c r="L477" s="1"/>
      <c r="M477" s="1"/>
      <c r="N477" s="1"/>
      <c r="O477" s="1"/>
      <c r="P477" s="1"/>
      <c r="Q477" s="1"/>
      <c r="R477" s="1"/>
      <c r="S477" s="1"/>
      <c r="T477" s="1"/>
      <c r="U477" s="2"/>
      <c r="V477" s="1"/>
      <c r="W477" s="1"/>
      <c r="X477" s="1"/>
      <c r="Y477" s="1"/>
      <c r="Z477" s="1"/>
    </row>
    <row r="478" spans="1:26" ht="24.75" customHeight="1">
      <c r="A478" s="1"/>
      <c r="B478" s="1"/>
      <c r="C478" s="1"/>
      <c r="D478" s="1"/>
      <c r="E478" s="1"/>
      <c r="F478" s="1"/>
      <c r="G478" s="1"/>
      <c r="H478" s="1"/>
      <c r="I478" s="1"/>
      <c r="J478" s="1"/>
      <c r="K478" s="1"/>
      <c r="L478" s="1"/>
      <c r="M478" s="1"/>
      <c r="N478" s="1"/>
      <c r="O478" s="1"/>
      <c r="P478" s="1"/>
      <c r="Q478" s="1"/>
      <c r="R478" s="1"/>
      <c r="S478" s="1"/>
      <c r="T478" s="1"/>
      <c r="U478" s="2"/>
      <c r="V478" s="1"/>
      <c r="W478" s="1"/>
      <c r="X478" s="1"/>
      <c r="Y478" s="1"/>
      <c r="Z478" s="1"/>
    </row>
    <row r="479" spans="1:26" ht="24.75" customHeight="1">
      <c r="A479" s="1"/>
      <c r="B479" s="1"/>
      <c r="C479" s="1"/>
      <c r="D479" s="1"/>
      <c r="E479" s="1"/>
      <c r="F479" s="1"/>
      <c r="G479" s="1"/>
      <c r="H479" s="1"/>
      <c r="I479" s="1"/>
      <c r="J479" s="1"/>
      <c r="K479" s="1"/>
      <c r="L479" s="1"/>
      <c r="M479" s="1"/>
      <c r="N479" s="1"/>
      <c r="O479" s="1"/>
      <c r="P479" s="1"/>
      <c r="Q479" s="1"/>
      <c r="R479" s="1"/>
      <c r="S479" s="1"/>
      <c r="T479" s="1"/>
      <c r="U479" s="2"/>
      <c r="V479" s="1"/>
      <c r="W479" s="1"/>
      <c r="X479" s="1"/>
      <c r="Y479" s="1"/>
      <c r="Z479" s="1"/>
    </row>
    <row r="480" spans="1:26" ht="24.75" customHeight="1">
      <c r="A480" s="1"/>
      <c r="B480" s="1"/>
      <c r="C480" s="1"/>
      <c r="D480" s="1"/>
      <c r="E480" s="1"/>
      <c r="F480" s="1"/>
      <c r="G480" s="1"/>
      <c r="H480" s="1"/>
      <c r="I480" s="1"/>
      <c r="J480" s="1"/>
      <c r="K480" s="1"/>
      <c r="L480" s="1"/>
      <c r="M480" s="1"/>
      <c r="N480" s="1"/>
      <c r="O480" s="1"/>
      <c r="P480" s="1"/>
      <c r="Q480" s="1"/>
      <c r="R480" s="1"/>
      <c r="S480" s="1"/>
      <c r="T480" s="1"/>
      <c r="U480" s="2"/>
      <c r="V480" s="1"/>
      <c r="W480" s="1"/>
      <c r="X480" s="1"/>
      <c r="Y480" s="1"/>
      <c r="Z480" s="1"/>
    </row>
    <row r="481" spans="1:26" ht="24.75" customHeight="1">
      <c r="A481" s="1"/>
      <c r="B481" s="1"/>
      <c r="C481" s="1"/>
      <c r="D481" s="1"/>
      <c r="E481" s="1"/>
      <c r="F481" s="1"/>
      <c r="G481" s="1"/>
      <c r="H481" s="1"/>
      <c r="I481" s="1"/>
      <c r="J481" s="1"/>
      <c r="K481" s="1"/>
      <c r="L481" s="1"/>
      <c r="M481" s="1"/>
      <c r="N481" s="1"/>
      <c r="O481" s="1"/>
      <c r="P481" s="1"/>
      <c r="Q481" s="1"/>
      <c r="R481" s="1"/>
      <c r="S481" s="1"/>
      <c r="T481" s="1"/>
      <c r="U481" s="2"/>
      <c r="V481" s="1"/>
      <c r="W481" s="1"/>
      <c r="X481" s="1"/>
      <c r="Y481" s="1"/>
      <c r="Z481" s="1"/>
    </row>
    <row r="482" spans="1:26" ht="24.75" customHeight="1">
      <c r="A482" s="1"/>
      <c r="B482" s="1"/>
      <c r="C482" s="1"/>
      <c r="D482" s="1"/>
      <c r="E482" s="1"/>
      <c r="F482" s="1"/>
      <c r="G482" s="1"/>
      <c r="H482" s="1"/>
      <c r="I482" s="1"/>
      <c r="J482" s="1"/>
      <c r="K482" s="1"/>
      <c r="L482" s="1"/>
      <c r="M482" s="1"/>
      <c r="N482" s="1"/>
      <c r="O482" s="1"/>
      <c r="P482" s="1"/>
      <c r="Q482" s="1"/>
      <c r="R482" s="1"/>
      <c r="S482" s="1"/>
      <c r="T482" s="1"/>
      <c r="U482" s="2"/>
      <c r="V482" s="1"/>
      <c r="W482" s="1"/>
      <c r="X482" s="1"/>
      <c r="Y482" s="1"/>
      <c r="Z482" s="1"/>
    </row>
    <row r="483" spans="1:26" ht="24.75" customHeight="1">
      <c r="A483" s="1"/>
      <c r="B483" s="1"/>
      <c r="C483" s="1"/>
      <c r="D483" s="1"/>
      <c r="E483" s="1"/>
      <c r="F483" s="1"/>
      <c r="G483" s="1"/>
      <c r="H483" s="1"/>
      <c r="I483" s="1"/>
      <c r="J483" s="1"/>
      <c r="K483" s="1"/>
      <c r="L483" s="1"/>
      <c r="M483" s="1"/>
      <c r="N483" s="1"/>
      <c r="O483" s="1"/>
      <c r="P483" s="1"/>
      <c r="Q483" s="1"/>
      <c r="R483" s="1"/>
      <c r="S483" s="1"/>
      <c r="T483" s="1"/>
      <c r="U483" s="2"/>
      <c r="V483" s="1"/>
      <c r="W483" s="1"/>
      <c r="X483" s="1"/>
      <c r="Y483" s="1"/>
      <c r="Z483" s="1"/>
    </row>
    <row r="484" spans="1:26" ht="24.75" customHeight="1">
      <c r="A484" s="1"/>
      <c r="B484" s="1"/>
      <c r="C484" s="1"/>
      <c r="D484" s="1"/>
      <c r="E484" s="1"/>
      <c r="F484" s="1"/>
      <c r="G484" s="1"/>
      <c r="H484" s="1"/>
      <c r="I484" s="1"/>
      <c r="J484" s="1"/>
      <c r="K484" s="1"/>
      <c r="L484" s="1"/>
      <c r="M484" s="1"/>
      <c r="N484" s="1"/>
      <c r="O484" s="1"/>
      <c r="P484" s="1"/>
      <c r="Q484" s="1"/>
      <c r="R484" s="1"/>
      <c r="S484" s="1"/>
      <c r="T484" s="1"/>
      <c r="U484" s="2"/>
      <c r="V484" s="1"/>
      <c r="W484" s="1"/>
      <c r="X484" s="1"/>
      <c r="Y484" s="1"/>
      <c r="Z484" s="1"/>
    </row>
    <row r="485" spans="1:26" ht="24.75" customHeight="1">
      <c r="A485" s="1"/>
      <c r="B485" s="1"/>
      <c r="C485" s="1"/>
      <c r="D485" s="1"/>
      <c r="E485" s="1"/>
      <c r="F485" s="1"/>
      <c r="G485" s="1"/>
      <c r="H485" s="1"/>
      <c r="I485" s="1"/>
      <c r="J485" s="1"/>
      <c r="K485" s="1"/>
      <c r="L485" s="1"/>
      <c r="M485" s="1"/>
      <c r="N485" s="1"/>
      <c r="O485" s="1"/>
      <c r="P485" s="1"/>
      <c r="Q485" s="1"/>
      <c r="R485" s="1"/>
      <c r="S485" s="1"/>
      <c r="T485" s="1"/>
      <c r="U485" s="2"/>
      <c r="V485" s="1"/>
      <c r="W485" s="1"/>
      <c r="X485" s="1"/>
      <c r="Y485" s="1"/>
      <c r="Z485" s="1"/>
    </row>
    <row r="486" spans="1:26" ht="24.75" customHeight="1">
      <c r="A486" s="1"/>
      <c r="B486" s="1"/>
      <c r="C486" s="1"/>
      <c r="D486" s="1"/>
      <c r="E486" s="1"/>
      <c r="F486" s="1"/>
      <c r="G486" s="1"/>
      <c r="H486" s="1"/>
      <c r="I486" s="1"/>
      <c r="J486" s="1"/>
      <c r="K486" s="1"/>
      <c r="L486" s="1"/>
      <c r="M486" s="1"/>
      <c r="N486" s="1"/>
      <c r="O486" s="1"/>
      <c r="P486" s="1"/>
      <c r="Q486" s="1"/>
      <c r="R486" s="1"/>
      <c r="S486" s="1"/>
      <c r="T486" s="1"/>
      <c r="U486" s="2"/>
      <c r="V486" s="1"/>
      <c r="W486" s="1"/>
      <c r="X486" s="1"/>
      <c r="Y486" s="1"/>
      <c r="Z486" s="1"/>
    </row>
    <row r="487" spans="1:26" ht="24.75" customHeight="1">
      <c r="A487" s="1"/>
      <c r="B487" s="1"/>
      <c r="C487" s="1"/>
      <c r="D487" s="1"/>
      <c r="E487" s="1"/>
      <c r="F487" s="1"/>
      <c r="G487" s="1"/>
      <c r="H487" s="1"/>
      <c r="I487" s="1"/>
      <c r="J487" s="1"/>
      <c r="K487" s="1"/>
      <c r="L487" s="1"/>
      <c r="M487" s="1"/>
      <c r="N487" s="1"/>
      <c r="O487" s="1"/>
      <c r="P487" s="1"/>
      <c r="Q487" s="1"/>
      <c r="R487" s="1"/>
      <c r="S487" s="1"/>
      <c r="T487" s="1"/>
      <c r="U487" s="2"/>
      <c r="V487" s="1"/>
      <c r="W487" s="1"/>
      <c r="X487" s="1"/>
      <c r="Y487" s="1"/>
      <c r="Z487" s="1"/>
    </row>
    <row r="488" spans="1:26" ht="24.75" customHeight="1">
      <c r="A488" s="1"/>
      <c r="B488" s="1"/>
      <c r="C488" s="1"/>
      <c r="D488" s="1"/>
      <c r="E488" s="1"/>
      <c r="F488" s="1"/>
      <c r="G488" s="1"/>
      <c r="H488" s="1"/>
      <c r="I488" s="1"/>
      <c r="J488" s="1"/>
      <c r="K488" s="1"/>
      <c r="L488" s="1"/>
      <c r="M488" s="1"/>
      <c r="N488" s="1"/>
      <c r="O488" s="1"/>
      <c r="P488" s="1"/>
      <c r="Q488" s="1"/>
      <c r="R488" s="1"/>
      <c r="S488" s="1"/>
      <c r="T488" s="1"/>
      <c r="U488" s="2"/>
      <c r="V488" s="1"/>
      <c r="W488" s="1"/>
      <c r="X488" s="1"/>
      <c r="Y488" s="1"/>
      <c r="Z488" s="1"/>
    </row>
    <row r="489" spans="1:26" ht="24.75" customHeight="1">
      <c r="A489" s="1"/>
      <c r="B489" s="1"/>
      <c r="C489" s="1"/>
      <c r="D489" s="1"/>
      <c r="E489" s="1"/>
      <c r="F489" s="1"/>
      <c r="G489" s="1"/>
      <c r="H489" s="1"/>
      <c r="I489" s="1"/>
      <c r="J489" s="1"/>
      <c r="K489" s="1"/>
      <c r="L489" s="1"/>
      <c r="M489" s="1"/>
      <c r="N489" s="1"/>
      <c r="O489" s="1"/>
      <c r="P489" s="1"/>
      <c r="Q489" s="1"/>
      <c r="R489" s="1"/>
      <c r="S489" s="1"/>
      <c r="T489" s="1"/>
      <c r="U489" s="2"/>
      <c r="V489" s="1"/>
      <c r="W489" s="1"/>
      <c r="X489" s="1"/>
      <c r="Y489" s="1"/>
      <c r="Z489" s="1"/>
    </row>
    <row r="490" spans="1:26" ht="24.75" customHeight="1">
      <c r="A490" s="1"/>
      <c r="B490" s="1"/>
      <c r="C490" s="1"/>
      <c r="D490" s="1"/>
      <c r="E490" s="1"/>
      <c r="F490" s="1"/>
      <c r="G490" s="1"/>
      <c r="H490" s="1"/>
      <c r="I490" s="1"/>
      <c r="J490" s="1"/>
      <c r="K490" s="1"/>
      <c r="L490" s="1"/>
      <c r="M490" s="1"/>
      <c r="N490" s="1"/>
      <c r="O490" s="1"/>
      <c r="P490" s="1"/>
      <c r="Q490" s="1"/>
      <c r="R490" s="1"/>
      <c r="S490" s="1"/>
      <c r="T490" s="1"/>
      <c r="U490" s="2"/>
      <c r="V490" s="1"/>
      <c r="W490" s="1"/>
      <c r="X490" s="1"/>
      <c r="Y490" s="1"/>
      <c r="Z490" s="1"/>
    </row>
    <row r="491" spans="1:26" ht="24.75" customHeight="1">
      <c r="A491" s="1"/>
      <c r="B491" s="1"/>
      <c r="C491" s="1"/>
      <c r="D491" s="1"/>
      <c r="E491" s="1"/>
      <c r="F491" s="1"/>
      <c r="G491" s="1"/>
      <c r="H491" s="1"/>
      <c r="I491" s="1"/>
      <c r="J491" s="1"/>
      <c r="K491" s="1"/>
      <c r="L491" s="1"/>
      <c r="M491" s="1"/>
      <c r="N491" s="1"/>
      <c r="O491" s="1"/>
      <c r="P491" s="1"/>
      <c r="Q491" s="1"/>
      <c r="R491" s="1"/>
      <c r="S491" s="1"/>
      <c r="T491" s="1"/>
      <c r="U491" s="2"/>
      <c r="V491" s="1"/>
      <c r="W491" s="1"/>
      <c r="X491" s="1"/>
      <c r="Y491" s="1"/>
      <c r="Z491" s="1"/>
    </row>
    <row r="492" spans="1:26" ht="24.75" customHeight="1">
      <c r="A492" s="1"/>
      <c r="B492" s="1"/>
      <c r="C492" s="1"/>
      <c r="D492" s="1"/>
      <c r="E492" s="1"/>
      <c r="F492" s="1"/>
      <c r="G492" s="1"/>
      <c r="H492" s="1"/>
      <c r="I492" s="1"/>
      <c r="J492" s="1"/>
      <c r="K492" s="1"/>
      <c r="L492" s="1"/>
      <c r="M492" s="1"/>
      <c r="N492" s="1"/>
      <c r="O492" s="1"/>
      <c r="P492" s="1"/>
      <c r="Q492" s="1"/>
      <c r="R492" s="1"/>
      <c r="S492" s="1"/>
      <c r="T492" s="1"/>
      <c r="U492" s="2"/>
      <c r="V492" s="1"/>
      <c r="W492" s="1"/>
      <c r="X492" s="1"/>
      <c r="Y492" s="1"/>
      <c r="Z492" s="1"/>
    </row>
    <row r="493" spans="1:26" ht="24.75" customHeight="1">
      <c r="A493" s="1"/>
      <c r="B493" s="1"/>
      <c r="C493" s="1"/>
      <c r="D493" s="1"/>
      <c r="E493" s="1"/>
      <c r="F493" s="1"/>
      <c r="G493" s="1"/>
      <c r="H493" s="1"/>
      <c r="I493" s="1"/>
      <c r="J493" s="1"/>
      <c r="K493" s="1"/>
      <c r="L493" s="1"/>
      <c r="M493" s="1"/>
      <c r="N493" s="1"/>
      <c r="O493" s="1"/>
      <c r="P493" s="1"/>
      <c r="Q493" s="1"/>
      <c r="R493" s="1"/>
      <c r="S493" s="1"/>
      <c r="T493" s="1"/>
      <c r="U493" s="2"/>
      <c r="V493" s="1"/>
      <c r="W493" s="1"/>
      <c r="X493" s="1"/>
      <c r="Y493" s="1"/>
      <c r="Z493" s="1"/>
    </row>
    <row r="494" spans="1:26" ht="24.75" customHeight="1">
      <c r="A494" s="1"/>
      <c r="B494" s="1"/>
      <c r="C494" s="1"/>
      <c r="D494" s="1"/>
      <c r="E494" s="1"/>
      <c r="F494" s="1"/>
      <c r="G494" s="1"/>
      <c r="H494" s="1"/>
      <c r="I494" s="1"/>
      <c r="J494" s="1"/>
      <c r="K494" s="1"/>
      <c r="L494" s="1"/>
      <c r="M494" s="1"/>
      <c r="N494" s="1"/>
      <c r="O494" s="1"/>
      <c r="P494" s="1"/>
      <c r="Q494" s="1"/>
      <c r="R494" s="1"/>
      <c r="S494" s="1"/>
      <c r="T494" s="1"/>
      <c r="U494" s="2"/>
      <c r="V494" s="1"/>
      <c r="W494" s="1"/>
      <c r="X494" s="1"/>
      <c r="Y494" s="1"/>
      <c r="Z494" s="1"/>
    </row>
    <row r="495" spans="1:26" ht="24.75" customHeight="1">
      <c r="A495" s="1"/>
      <c r="B495" s="1"/>
      <c r="C495" s="1"/>
      <c r="D495" s="1"/>
      <c r="E495" s="1"/>
      <c r="F495" s="1"/>
      <c r="G495" s="1"/>
      <c r="H495" s="1"/>
      <c r="I495" s="1"/>
      <c r="J495" s="1"/>
      <c r="K495" s="1"/>
      <c r="L495" s="1"/>
      <c r="M495" s="1"/>
      <c r="N495" s="1"/>
      <c r="O495" s="1"/>
      <c r="P495" s="1"/>
      <c r="Q495" s="1"/>
      <c r="R495" s="1"/>
      <c r="S495" s="1"/>
      <c r="T495" s="1"/>
      <c r="U495" s="2"/>
      <c r="V495" s="1"/>
      <c r="W495" s="1"/>
      <c r="X495" s="1"/>
      <c r="Y495" s="1"/>
      <c r="Z495" s="1"/>
    </row>
    <row r="496" spans="1:26" ht="24.75" customHeight="1">
      <c r="A496" s="1"/>
      <c r="B496" s="1"/>
      <c r="C496" s="1"/>
      <c r="D496" s="1"/>
      <c r="E496" s="1"/>
      <c r="F496" s="1"/>
      <c r="G496" s="1"/>
      <c r="H496" s="1"/>
      <c r="I496" s="1"/>
      <c r="J496" s="1"/>
      <c r="K496" s="1"/>
      <c r="L496" s="1"/>
      <c r="M496" s="1"/>
      <c r="N496" s="1"/>
      <c r="O496" s="1"/>
      <c r="P496" s="1"/>
      <c r="Q496" s="1"/>
      <c r="R496" s="1"/>
      <c r="S496" s="1"/>
      <c r="T496" s="1"/>
      <c r="U496" s="2"/>
      <c r="V496" s="1"/>
      <c r="W496" s="1"/>
      <c r="X496" s="1"/>
      <c r="Y496" s="1"/>
      <c r="Z496" s="1"/>
    </row>
    <row r="497" spans="1:26" ht="24.75" customHeight="1">
      <c r="A497" s="1"/>
      <c r="B497" s="1"/>
      <c r="C497" s="1"/>
      <c r="D497" s="1"/>
      <c r="E497" s="1"/>
      <c r="F497" s="1"/>
      <c r="G497" s="1"/>
      <c r="H497" s="1"/>
      <c r="I497" s="1"/>
      <c r="J497" s="1"/>
      <c r="K497" s="1"/>
      <c r="L497" s="1"/>
      <c r="M497" s="1"/>
      <c r="N497" s="1"/>
      <c r="O497" s="1"/>
      <c r="P497" s="1"/>
      <c r="Q497" s="1"/>
      <c r="R497" s="1"/>
      <c r="S497" s="1"/>
      <c r="T497" s="1"/>
      <c r="U497" s="2"/>
      <c r="V497" s="1"/>
      <c r="W497" s="1"/>
      <c r="X497" s="1"/>
      <c r="Y497" s="1"/>
      <c r="Z497" s="1"/>
    </row>
    <row r="498" spans="1:26" ht="24.75" customHeight="1">
      <c r="A498" s="1"/>
      <c r="B498" s="1"/>
      <c r="C498" s="1"/>
      <c r="D498" s="1"/>
      <c r="E498" s="1"/>
      <c r="F498" s="1"/>
      <c r="G498" s="1"/>
      <c r="H498" s="1"/>
      <c r="I498" s="1"/>
      <c r="J498" s="1"/>
      <c r="K498" s="1"/>
      <c r="L498" s="1"/>
      <c r="M498" s="1"/>
      <c r="N498" s="1"/>
      <c r="O498" s="1"/>
      <c r="P498" s="1"/>
      <c r="Q498" s="1"/>
      <c r="R498" s="1"/>
      <c r="S498" s="1"/>
      <c r="T498" s="1"/>
      <c r="U498" s="2"/>
      <c r="V498" s="1"/>
      <c r="W498" s="1"/>
      <c r="X498" s="1"/>
      <c r="Y498" s="1"/>
      <c r="Z498" s="1"/>
    </row>
    <row r="499" spans="1:26" ht="24.75" customHeight="1">
      <c r="A499" s="1"/>
      <c r="B499" s="1"/>
      <c r="C499" s="1"/>
      <c r="D499" s="1"/>
      <c r="E499" s="1"/>
      <c r="F499" s="1"/>
      <c r="G499" s="1"/>
      <c r="H499" s="1"/>
      <c r="I499" s="1"/>
      <c r="J499" s="1"/>
      <c r="K499" s="1"/>
      <c r="L499" s="1"/>
      <c r="M499" s="1"/>
      <c r="N499" s="1"/>
      <c r="O499" s="1"/>
      <c r="P499" s="1"/>
      <c r="Q499" s="1"/>
      <c r="R499" s="1"/>
      <c r="S499" s="1"/>
      <c r="T499" s="1"/>
      <c r="U499" s="2"/>
      <c r="V499" s="1"/>
      <c r="W499" s="1"/>
      <c r="X499" s="1"/>
      <c r="Y499" s="1"/>
      <c r="Z499" s="1"/>
    </row>
    <row r="500" spans="1:26" ht="24.75" customHeight="1">
      <c r="A500" s="1"/>
      <c r="B500" s="1"/>
      <c r="C500" s="1"/>
      <c r="D500" s="1"/>
      <c r="E500" s="1"/>
      <c r="F500" s="1"/>
      <c r="G500" s="1"/>
      <c r="H500" s="1"/>
      <c r="I500" s="1"/>
      <c r="J500" s="1"/>
      <c r="K500" s="1"/>
      <c r="L500" s="1"/>
      <c r="M500" s="1"/>
      <c r="N500" s="1"/>
      <c r="O500" s="1"/>
      <c r="P500" s="1"/>
      <c r="Q500" s="1"/>
      <c r="R500" s="1"/>
      <c r="S500" s="1"/>
      <c r="T500" s="1"/>
      <c r="U500" s="2"/>
      <c r="V500" s="1"/>
      <c r="W500" s="1"/>
      <c r="X500" s="1"/>
      <c r="Y500" s="1"/>
      <c r="Z500" s="1"/>
    </row>
    <row r="501" spans="1:26" ht="24.75" customHeight="1">
      <c r="A501" s="1"/>
      <c r="B501" s="1"/>
      <c r="C501" s="1"/>
      <c r="D501" s="1"/>
      <c r="E501" s="1"/>
      <c r="F501" s="1"/>
      <c r="G501" s="1"/>
      <c r="H501" s="1"/>
      <c r="I501" s="1"/>
      <c r="J501" s="1"/>
      <c r="K501" s="1"/>
      <c r="L501" s="1"/>
      <c r="M501" s="1"/>
      <c r="N501" s="1"/>
      <c r="O501" s="1"/>
      <c r="P501" s="1"/>
      <c r="Q501" s="1"/>
      <c r="R501" s="1"/>
      <c r="S501" s="1"/>
      <c r="T501" s="1"/>
      <c r="U501" s="2"/>
      <c r="V501" s="1"/>
      <c r="W501" s="1"/>
      <c r="X501" s="1"/>
      <c r="Y501" s="1"/>
      <c r="Z501" s="1"/>
    </row>
    <row r="502" spans="1:26" ht="24.75" customHeight="1">
      <c r="A502" s="1"/>
      <c r="B502" s="1"/>
      <c r="C502" s="1"/>
      <c r="D502" s="1"/>
      <c r="E502" s="1"/>
      <c r="F502" s="1"/>
      <c r="G502" s="1"/>
      <c r="H502" s="1"/>
      <c r="I502" s="1"/>
      <c r="J502" s="1"/>
      <c r="K502" s="1"/>
      <c r="L502" s="1"/>
      <c r="M502" s="1"/>
      <c r="N502" s="1"/>
      <c r="O502" s="1"/>
      <c r="P502" s="1"/>
      <c r="Q502" s="1"/>
      <c r="R502" s="1"/>
      <c r="S502" s="1"/>
      <c r="T502" s="1"/>
      <c r="U502" s="2"/>
      <c r="V502" s="1"/>
      <c r="W502" s="1"/>
      <c r="X502" s="1"/>
      <c r="Y502" s="1"/>
      <c r="Z502" s="1"/>
    </row>
    <row r="503" spans="1:26" ht="24.75" customHeight="1">
      <c r="A503" s="1"/>
      <c r="B503" s="1"/>
      <c r="C503" s="1"/>
      <c r="D503" s="1"/>
      <c r="E503" s="1"/>
      <c r="F503" s="1"/>
      <c r="G503" s="1"/>
      <c r="H503" s="1"/>
      <c r="I503" s="1"/>
      <c r="J503" s="1"/>
      <c r="K503" s="1"/>
      <c r="L503" s="1"/>
      <c r="M503" s="1"/>
      <c r="N503" s="1"/>
      <c r="O503" s="1"/>
      <c r="P503" s="1"/>
      <c r="Q503" s="1"/>
      <c r="R503" s="1"/>
      <c r="S503" s="1"/>
      <c r="T503" s="1"/>
      <c r="U503" s="2"/>
      <c r="V503" s="1"/>
      <c r="W503" s="1"/>
      <c r="X503" s="1"/>
      <c r="Y503" s="1"/>
      <c r="Z503" s="1"/>
    </row>
    <row r="504" spans="1:26" ht="24.75" customHeight="1">
      <c r="A504" s="1"/>
      <c r="B504" s="1"/>
      <c r="C504" s="1"/>
      <c r="D504" s="1"/>
      <c r="E504" s="1"/>
      <c r="F504" s="1"/>
      <c r="G504" s="1"/>
      <c r="H504" s="1"/>
      <c r="I504" s="1"/>
      <c r="J504" s="1"/>
      <c r="K504" s="1"/>
      <c r="L504" s="1"/>
      <c r="M504" s="1"/>
      <c r="N504" s="1"/>
      <c r="O504" s="1"/>
      <c r="P504" s="1"/>
      <c r="Q504" s="1"/>
      <c r="R504" s="1"/>
      <c r="S504" s="1"/>
      <c r="T504" s="1"/>
      <c r="U504" s="2"/>
      <c r="V504" s="1"/>
      <c r="W504" s="1"/>
      <c r="X504" s="1"/>
      <c r="Y504" s="1"/>
      <c r="Z504" s="1"/>
    </row>
    <row r="505" spans="1:26" ht="24.75" customHeight="1">
      <c r="A505" s="1"/>
      <c r="B505" s="1"/>
      <c r="C505" s="1"/>
      <c r="D505" s="1"/>
      <c r="E505" s="1"/>
      <c r="F505" s="1"/>
      <c r="G505" s="1"/>
      <c r="H505" s="1"/>
      <c r="I505" s="1"/>
      <c r="J505" s="1"/>
      <c r="K505" s="1"/>
      <c r="L505" s="1"/>
      <c r="M505" s="1"/>
      <c r="N505" s="1"/>
      <c r="O505" s="1"/>
      <c r="P505" s="1"/>
      <c r="Q505" s="1"/>
      <c r="R505" s="1"/>
      <c r="S505" s="1"/>
      <c r="T505" s="1"/>
      <c r="U505" s="2"/>
      <c r="V505" s="1"/>
      <c r="W505" s="1"/>
      <c r="X505" s="1"/>
      <c r="Y505" s="1"/>
      <c r="Z505" s="1"/>
    </row>
    <row r="506" spans="1:26" ht="24.75" customHeight="1">
      <c r="A506" s="1"/>
      <c r="B506" s="1"/>
      <c r="C506" s="1"/>
      <c r="D506" s="1"/>
      <c r="E506" s="1"/>
      <c r="F506" s="1"/>
      <c r="G506" s="1"/>
      <c r="H506" s="1"/>
      <c r="I506" s="1"/>
      <c r="J506" s="1"/>
      <c r="K506" s="1"/>
      <c r="L506" s="1"/>
      <c r="M506" s="1"/>
      <c r="N506" s="1"/>
      <c r="O506" s="1"/>
      <c r="P506" s="1"/>
      <c r="Q506" s="1"/>
      <c r="R506" s="1"/>
      <c r="S506" s="1"/>
      <c r="T506" s="1"/>
      <c r="U506" s="2"/>
      <c r="V506" s="1"/>
      <c r="W506" s="1"/>
      <c r="X506" s="1"/>
      <c r="Y506" s="1"/>
      <c r="Z506" s="1"/>
    </row>
    <row r="507" spans="1:26" ht="24.75" customHeight="1">
      <c r="A507" s="1"/>
      <c r="B507" s="1"/>
      <c r="C507" s="1"/>
      <c r="D507" s="1"/>
      <c r="E507" s="1"/>
      <c r="F507" s="1"/>
      <c r="G507" s="1"/>
      <c r="H507" s="1"/>
      <c r="I507" s="1"/>
      <c r="J507" s="1"/>
      <c r="K507" s="1"/>
      <c r="L507" s="1"/>
      <c r="M507" s="1"/>
      <c r="N507" s="1"/>
      <c r="O507" s="1"/>
      <c r="P507" s="1"/>
      <c r="Q507" s="1"/>
      <c r="R507" s="1"/>
      <c r="S507" s="1"/>
      <c r="T507" s="1"/>
      <c r="U507" s="2"/>
      <c r="V507" s="1"/>
      <c r="W507" s="1"/>
      <c r="X507" s="1"/>
      <c r="Y507" s="1"/>
      <c r="Z507" s="1"/>
    </row>
    <row r="508" spans="1:26" ht="24.75" customHeight="1">
      <c r="A508" s="1"/>
      <c r="B508" s="1"/>
      <c r="C508" s="1"/>
      <c r="D508" s="1"/>
      <c r="E508" s="1"/>
      <c r="F508" s="1"/>
      <c r="G508" s="1"/>
      <c r="H508" s="1"/>
      <c r="I508" s="1"/>
      <c r="J508" s="1"/>
      <c r="K508" s="1"/>
      <c r="L508" s="1"/>
      <c r="M508" s="1"/>
      <c r="N508" s="1"/>
      <c r="O508" s="1"/>
      <c r="P508" s="1"/>
      <c r="Q508" s="1"/>
      <c r="R508" s="1"/>
      <c r="S508" s="1"/>
      <c r="T508" s="1"/>
      <c r="U508" s="2"/>
      <c r="V508" s="1"/>
      <c r="W508" s="1"/>
      <c r="X508" s="1"/>
      <c r="Y508" s="1"/>
      <c r="Z508" s="1"/>
    </row>
    <row r="509" spans="1:26" ht="24.75" customHeight="1">
      <c r="A509" s="1"/>
      <c r="B509" s="1"/>
      <c r="C509" s="1"/>
      <c r="D509" s="1"/>
      <c r="E509" s="1"/>
      <c r="F509" s="1"/>
      <c r="G509" s="1"/>
      <c r="H509" s="1"/>
      <c r="I509" s="1"/>
      <c r="J509" s="1"/>
      <c r="K509" s="1"/>
      <c r="L509" s="1"/>
      <c r="M509" s="1"/>
      <c r="N509" s="1"/>
      <c r="O509" s="1"/>
      <c r="P509" s="1"/>
      <c r="Q509" s="1"/>
      <c r="R509" s="1"/>
      <c r="S509" s="1"/>
      <c r="T509" s="1"/>
      <c r="U509" s="2"/>
      <c r="V509" s="1"/>
      <c r="W509" s="1"/>
      <c r="X509" s="1"/>
      <c r="Y509" s="1"/>
      <c r="Z509" s="1"/>
    </row>
    <row r="510" spans="1:26" ht="24.75" customHeight="1">
      <c r="A510" s="1"/>
      <c r="B510" s="1"/>
      <c r="C510" s="1"/>
      <c r="D510" s="1"/>
      <c r="E510" s="1"/>
      <c r="F510" s="1"/>
      <c r="G510" s="1"/>
      <c r="H510" s="1"/>
      <c r="I510" s="1"/>
      <c r="J510" s="1"/>
      <c r="K510" s="1"/>
      <c r="L510" s="1"/>
      <c r="M510" s="1"/>
      <c r="N510" s="1"/>
      <c r="O510" s="1"/>
      <c r="P510" s="1"/>
      <c r="Q510" s="1"/>
      <c r="R510" s="1"/>
      <c r="S510" s="1"/>
      <c r="T510" s="1"/>
      <c r="U510" s="2"/>
      <c r="V510" s="1"/>
      <c r="W510" s="1"/>
      <c r="X510" s="1"/>
      <c r="Y510" s="1"/>
      <c r="Z510" s="1"/>
    </row>
    <row r="511" spans="1:26" ht="24.75" customHeight="1">
      <c r="A511" s="1"/>
      <c r="B511" s="1"/>
      <c r="C511" s="1"/>
      <c r="D511" s="1"/>
      <c r="E511" s="1"/>
      <c r="F511" s="1"/>
      <c r="G511" s="1"/>
      <c r="H511" s="1"/>
      <c r="I511" s="1"/>
      <c r="J511" s="1"/>
      <c r="K511" s="1"/>
      <c r="L511" s="1"/>
      <c r="M511" s="1"/>
      <c r="N511" s="1"/>
      <c r="O511" s="1"/>
      <c r="P511" s="1"/>
      <c r="Q511" s="1"/>
      <c r="R511" s="1"/>
      <c r="S511" s="1"/>
      <c r="T511" s="1"/>
      <c r="U511" s="2"/>
      <c r="V511" s="1"/>
      <c r="W511" s="1"/>
      <c r="X511" s="1"/>
      <c r="Y511" s="1"/>
      <c r="Z511" s="1"/>
    </row>
    <row r="512" spans="1:26" ht="24.75" customHeight="1">
      <c r="A512" s="1"/>
      <c r="B512" s="1"/>
      <c r="C512" s="1"/>
      <c r="D512" s="1"/>
      <c r="E512" s="1"/>
      <c r="F512" s="1"/>
      <c r="G512" s="1"/>
      <c r="H512" s="1"/>
      <c r="I512" s="1"/>
      <c r="J512" s="1"/>
      <c r="K512" s="1"/>
      <c r="L512" s="1"/>
      <c r="M512" s="1"/>
      <c r="N512" s="1"/>
      <c r="O512" s="1"/>
      <c r="P512" s="1"/>
      <c r="Q512" s="1"/>
      <c r="R512" s="1"/>
      <c r="S512" s="1"/>
      <c r="T512" s="1"/>
      <c r="U512" s="2"/>
      <c r="V512" s="1"/>
      <c r="W512" s="1"/>
      <c r="X512" s="1"/>
      <c r="Y512" s="1"/>
      <c r="Z512" s="1"/>
    </row>
    <row r="513" spans="1:26" ht="24.75" customHeight="1">
      <c r="A513" s="1"/>
      <c r="B513" s="1"/>
      <c r="C513" s="1"/>
      <c r="D513" s="1"/>
      <c r="E513" s="1"/>
      <c r="F513" s="1"/>
      <c r="G513" s="1"/>
      <c r="H513" s="1"/>
      <c r="I513" s="1"/>
      <c r="J513" s="1"/>
      <c r="K513" s="1"/>
      <c r="L513" s="1"/>
      <c r="M513" s="1"/>
      <c r="N513" s="1"/>
      <c r="O513" s="1"/>
      <c r="P513" s="1"/>
      <c r="Q513" s="1"/>
      <c r="R513" s="1"/>
      <c r="S513" s="1"/>
      <c r="T513" s="1"/>
      <c r="U513" s="2"/>
      <c r="V513" s="1"/>
      <c r="W513" s="1"/>
      <c r="X513" s="1"/>
      <c r="Y513" s="1"/>
      <c r="Z513" s="1"/>
    </row>
    <row r="514" spans="1:26" ht="24.75" customHeight="1">
      <c r="A514" s="1"/>
      <c r="B514" s="1"/>
      <c r="C514" s="1"/>
      <c r="D514" s="1"/>
      <c r="E514" s="1"/>
      <c r="F514" s="1"/>
      <c r="G514" s="1"/>
      <c r="H514" s="1"/>
      <c r="I514" s="1"/>
      <c r="J514" s="1"/>
      <c r="K514" s="1"/>
      <c r="L514" s="1"/>
      <c r="M514" s="1"/>
      <c r="N514" s="1"/>
      <c r="O514" s="1"/>
      <c r="P514" s="1"/>
      <c r="Q514" s="1"/>
      <c r="R514" s="1"/>
      <c r="S514" s="1"/>
      <c r="T514" s="1"/>
      <c r="U514" s="2"/>
      <c r="V514" s="1"/>
      <c r="W514" s="1"/>
      <c r="X514" s="1"/>
      <c r="Y514" s="1"/>
      <c r="Z514" s="1"/>
    </row>
    <row r="515" spans="1:26" ht="24.75" customHeight="1">
      <c r="A515" s="1"/>
      <c r="B515" s="1"/>
      <c r="C515" s="1"/>
      <c r="D515" s="1"/>
      <c r="E515" s="1"/>
      <c r="F515" s="1"/>
      <c r="G515" s="1"/>
      <c r="H515" s="1"/>
      <c r="I515" s="1"/>
      <c r="J515" s="1"/>
      <c r="K515" s="1"/>
      <c r="L515" s="1"/>
      <c r="M515" s="1"/>
      <c r="N515" s="1"/>
      <c r="O515" s="1"/>
      <c r="P515" s="1"/>
      <c r="Q515" s="1"/>
      <c r="R515" s="1"/>
      <c r="S515" s="1"/>
      <c r="T515" s="1"/>
      <c r="U515" s="2"/>
      <c r="V515" s="1"/>
      <c r="W515" s="1"/>
      <c r="X515" s="1"/>
      <c r="Y515" s="1"/>
      <c r="Z515" s="1"/>
    </row>
    <row r="516" spans="1:26" ht="24.75" customHeight="1">
      <c r="A516" s="1"/>
      <c r="B516" s="1"/>
      <c r="C516" s="1"/>
      <c r="D516" s="1"/>
      <c r="E516" s="1"/>
      <c r="F516" s="1"/>
      <c r="G516" s="1"/>
      <c r="H516" s="1"/>
      <c r="I516" s="1"/>
      <c r="J516" s="1"/>
      <c r="K516" s="1"/>
      <c r="L516" s="1"/>
      <c r="M516" s="1"/>
      <c r="N516" s="1"/>
      <c r="O516" s="1"/>
      <c r="P516" s="1"/>
      <c r="Q516" s="1"/>
      <c r="R516" s="1"/>
      <c r="S516" s="1"/>
      <c r="T516" s="1"/>
      <c r="U516" s="2"/>
      <c r="V516" s="1"/>
      <c r="W516" s="1"/>
      <c r="X516" s="1"/>
      <c r="Y516" s="1"/>
      <c r="Z516" s="1"/>
    </row>
    <row r="517" spans="1:26" ht="24.75" customHeight="1">
      <c r="A517" s="1"/>
      <c r="B517" s="1"/>
      <c r="C517" s="1"/>
      <c r="D517" s="1"/>
      <c r="E517" s="1"/>
      <c r="F517" s="1"/>
      <c r="G517" s="1"/>
      <c r="H517" s="1"/>
      <c r="I517" s="1"/>
      <c r="J517" s="1"/>
      <c r="K517" s="1"/>
      <c r="L517" s="1"/>
      <c r="M517" s="1"/>
      <c r="N517" s="1"/>
      <c r="O517" s="1"/>
      <c r="P517" s="1"/>
      <c r="Q517" s="1"/>
      <c r="R517" s="1"/>
      <c r="S517" s="1"/>
      <c r="T517" s="1"/>
      <c r="U517" s="2"/>
      <c r="V517" s="1"/>
      <c r="W517" s="1"/>
      <c r="X517" s="1"/>
      <c r="Y517" s="1"/>
      <c r="Z517" s="1"/>
    </row>
    <row r="518" spans="1:26" ht="24.75" customHeight="1">
      <c r="A518" s="1"/>
      <c r="B518" s="1"/>
      <c r="C518" s="1"/>
      <c r="D518" s="1"/>
      <c r="E518" s="1"/>
      <c r="F518" s="1"/>
      <c r="G518" s="1"/>
      <c r="H518" s="1"/>
      <c r="I518" s="1"/>
      <c r="J518" s="1"/>
      <c r="K518" s="1"/>
      <c r="L518" s="1"/>
      <c r="M518" s="1"/>
      <c r="N518" s="1"/>
      <c r="O518" s="1"/>
      <c r="P518" s="1"/>
      <c r="Q518" s="1"/>
      <c r="R518" s="1"/>
      <c r="S518" s="1"/>
      <c r="T518" s="1"/>
      <c r="U518" s="2"/>
      <c r="V518" s="1"/>
      <c r="W518" s="1"/>
      <c r="X518" s="1"/>
      <c r="Y518" s="1"/>
      <c r="Z518" s="1"/>
    </row>
    <row r="519" spans="1:26" ht="24.75" customHeight="1">
      <c r="A519" s="1"/>
      <c r="B519" s="1"/>
      <c r="C519" s="1"/>
      <c r="D519" s="1"/>
      <c r="E519" s="1"/>
      <c r="F519" s="1"/>
      <c r="G519" s="1"/>
      <c r="H519" s="1"/>
      <c r="I519" s="1"/>
      <c r="J519" s="1"/>
      <c r="K519" s="1"/>
      <c r="L519" s="1"/>
      <c r="M519" s="1"/>
      <c r="N519" s="1"/>
      <c r="O519" s="1"/>
      <c r="P519" s="1"/>
      <c r="Q519" s="1"/>
      <c r="R519" s="1"/>
      <c r="S519" s="1"/>
      <c r="T519" s="1"/>
      <c r="U519" s="2"/>
      <c r="V519" s="1"/>
      <c r="W519" s="1"/>
      <c r="X519" s="1"/>
      <c r="Y519" s="1"/>
      <c r="Z519" s="1"/>
    </row>
    <row r="520" spans="1:26" ht="24.75" customHeight="1">
      <c r="A520" s="1"/>
      <c r="B520" s="1"/>
      <c r="C520" s="1"/>
      <c r="D520" s="1"/>
      <c r="E520" s="1"/>
      <c r="F520" s="1"/>
      <c r="G520" s="1"/>
      <c r="H520" s="1"/>
      <c r="I520" s="1"/>
      <c r="J520" s="1"/>
      <c r="K520" s="1"/>
      <c r="L520" s="1"/>
      <c r="M520" s="1"/>
      <c r="N520" s="1"/>
      <c r="O520" s="1"/>
      <c r="P520" s="1"/>
      <c r="Q520" s="1"/>
      <c r="R520" s="1"/>
      <c r="S520" s="1"/>
      <c r="T520" s="1"/>
      <c r="U520" s="2"/>
      <c r="V520" s="1"/>
      <c r="W520" s="1"/>
      <c r="X520" s="1"/>
      <c r="Y520" s="1"/>
      <c r="Z520" s="1"/>
    </row>
    <row r="521" spans="1:26" ht="24.75" customHeight="1">
      <c r="A521" s="1"/>
      <c r="B521" s="1"/>
      <c r="C521" s="1"/>
      <c r="D521" s="1"/>
      <c r="E521" s="1"/>
      <c r="F521" s="1"/>
      <c r="G521" s="1"/>
      <c r="H521" s="1"/>
      <c r="I521" s="1"/>
      <c r="J521" s="1"/>
      <c r="K521" s="1"/>
      <c r="L521" s="1"/>
      <c r="M521" s="1"/>
      <c r="N521" s="1"/>
      <c r="O521" s="1"/>
      <c r="P521" s="1"/>
      <c r="Q521" s="1"/>
      <c r="R521" s="1"/>
      <c r="S521" s="1"/>
      <c r="T521" s="1"/>
      <c r="U521" s="2"/>
      <c r="V521" s="1"/>
      <c r="W521" s="1"/>
      <c r="X521" s="1"/>
      <c r="Y521" s="1"/>
      <c r="Z521" s="1"/>
    </row>
    <row r="522" spans="1:26" ht="24.75" customHeight="1">
      <c r="A522" s="1"/>
      <c r="B522" s="1"/>
      <c r="C522" s="1"/>
      <c r="D522" s="1"/>
      <c r="E522" s="1"/>
      <c r="F522" s="1"/>
      <c r="G522" s="1"/>
      <c r="H522" s="1"/>
      <c r="I522" s="1"/>
      <c r="J522" s="1"/>
      <c r="K522" s="1"/>
      <c r="L522" s="1"/>
      <c r="M522" s="1"/>
      <c r="N522" s="1"/>
      <c r="O522" s="1"/>
      <c r="P522" s="1"/>
      <c r="Q522" s="1"/>
      <c r="R522" s="1"/>
      <c r="S522" s="1"/>
      <c r="T522" s="1"/>
      <c r="U522" s="2"/>
      <c r="V522" s="1"/>
      <c r="W522" s="1"/>
      <c r="X522" s="1"/>
      <c r="Y522" s="1"/>
      <c r="Z522" s="1"/>
    </row>
    <row r="523" spans="1:26" ht="24.75" customHeight="1">
      <c r="A523" s="1"/>
      <c r="B523" s="1"/>
      <c r="C523" s="1"/>
      <c r="D523" s="1"/>
      <c r="E523" s="1"/>
      <c r="F523" s="1"/>
      <c r="G523" s="1"/>
      <c r="H523" s="1"/>
      <c r="I523" s="1"/>
      <c r="J523" s="1"/>
      <c r="K523" s="1"/>
      <c r="L523" s="1"/>
      <c r="M523" s="1"/>
      <c r="N523" s="1"/>
      <c r="O523" s="1"/>
      <c r="P523" s="1"/>
      <c r="Q523" s="1"/>
      <c r="R523" s="1"/>
      <c r="S523" s="1"/>
      <c r="T523" s="1"/>
      <c r="U523" s="2"/>
      <c r="V523" s="1"/>
      <c r="W523" s="1"/>
      <c r="X523" s="1"/>
      <c r="Y523" s="1"/>
      <c r="Z523" s="1"/>
    </row>
    <row r="524" spans="1:26" ht="24.75" customHeight="1">
      <c r="A524" s="1"/>
      <c r="B524" s="1"/>
      <c r="C524" s="1"/>
      <c r="D524" s="1"/>
      <c r="E524" s="1"/>
      <c r="F524" s="1"/>
      <c r="G524" s="1"/>
      <c r="H524" s="1"/>
      <c r="I524" s="1"/>
      <c r="J524" s="1"/>
      <c r="K524" s="1"/>
      <c r="L524" s="1"/>
      <c r="M524" s="1"/>
      <c r="N524" s="1"/>
      <c r="O524" s="1"/>
      <c r="P524" s="1"/>
      <c r="Q524" s="1"/>
      <c r="R524" s="1"/>
      <c r="S524" s="1"/>
      <c r="T524" s="1"/>
      <c r="U524" s="2"/>
      <c r="V524" s="1"/>
      <c r="W524" s="1"/>
      <c r="X524" s="1"/>
      <c r="Y524" s="1"/>
      <c r="Z524" s="1"/>
    </row>
    <row r="525" spans="1:26" ht="24.75" customHeight="1">
      <c r="A525" s="1"/>
      <c r="B525" s="1"/>
      <c r="C525" s="1"/>
      <c r="D525" s="1"/>
      <c r="E525" s="1"/>
      <c r="F525" s="1"/>
      <c r="G525" s="1"/>
      <c r="H525" s="1"/>
      <c r="I525" s="1"/>
      <c r="J525" s="1"/>
      <c r="K525" s="1"/>
      <c r="L525" s="1"/>
      <c r="M525" s="1"/>
      <c r="N525" s="1"/>
      <c r="O525" s="1"/>
      <c r="P525" s="1"/>
      <c r="Q525" s="1"/>
      <c r="R525" s="1"/>
      <c r="S525" s="1"/>
      <c r="T525" s="1"/>
      <c r="U525" s="2"/>
      <c r="V525" s="1"/>
      <c r="W525" s="1"/>
      <c r="X525" s="1"/>
      <c r="Y525" s="1"/>
      <c r="Z525" s="1"/>
    </row>
    <row r="526" spans="1:26" ht="24.75" customHeight="1">
      <c r="A526" s="1"/>
      <c r="B526" s="1"/>
      <c r="C526" s="1"/>
      <c r="D526" s="1"/>
      <c r="E526" s="1"/>
      <c r="F526" s="1"/>
      <c r="G526" s="1"/>
      <c r="H526" s="1"/>
      <c r="I526" s="1"/>
      <c r="J526" s="1"/>
      <c r="K526" s="1"/>
      <c r="L526" s="1"/>
      <c r="M526" s="1"/>
      <c r="N526" s="1"/>
      <c r="O526" s="1"/>
      <c r="P526" s="1"/>
      <c r="Q526" s="1"/>
      <c r="R526" s="1"/>
      <c r="S526" s="1"/>
      <c r="T526" s="1"/>
      <c r="U526" s="2"/>
      <c r="V526" s="1"/>
      <c r="W526" s="1"/>
      <c r="X526" s="1"/>
      <c r="Y526" s="1"/>
      <c r="Z526" s="1"/>
    </row>
    <row r="527" spans="1:26" ht="24.75" customHeight="1">
      <c r="A527" s="1"/>
      <c r="B527" s="1"/>
      <c r="C527" s="1"/>
      <c r="D527" s="1"/>
      <c r="E527" s="1"/>
      <c r="F527" s="1"/>
      <c r="G527" s="1"/>
      <c r="H527" s="1"/>
      <c r="I527" s="1"/>
      <c r="J527" s="1"/>
      <c r="K527" s="1"/>
      <c r="L527" s="1"/>
      <c r="M527" s="1"/>
      <c r="N527" s="1"/>
      <c r="O527" s="1"/>
      <c r="P527" s="1"/>
      <c r="Q527" s="1"/>
      <c r="R527" s="1"/>
      <c r="S527" s="1"/>
      <c r="T527" s="1"/>
      <c r="U527" s="2"/>
      <c r="V527" s="1"/>
      <c r="W527" s="1"/>
      <c r="X527" s="1"/>
      <c r="Y527" s="1"/>
      <c r="Z527" s="1"/>
    </row>
    <row r="528" spans="1:26" ht="24.75" customHeight="1">
      <c r="A528" s="1"/>
      <c r="B528" s="1"/>
      <c r="C528" s="1"/>
      <c r="D528" s="1"/>
      <c r="E528" s="1"/>
      <c r="F528" s="1"/>
      <c r="G528" s="1"/>
      <c r="H528" s="1"/>
      <c r="I528" s="1"/>
      <c r="J528" s="1"/>
      <c r="K528" s="1"/>
      <c r="L528" s="1"/>
      <c r="M528" s="1"/>
      <c r="N528" s="1"/>
      <c r="O528" s="1"/>
      <c r="P528" s="1"/>
      <c r="Q528" s="1"/>
      <c r="R528" s="1"/>
      <c r="S528" s="1"/>
      <c r="T528" s="1"/>
      <c r="U528" s="2"/>
      <c r="V528" s="1"/>
      <c r="W528" s="1"/>
      <c r="X528" s="1"/>
      <c r="Y528" s="1"/>
      <c r="Z528" s="1"/>
    </row>
    <row r="529" spans="1:26" ht="24.75" customHeight="1">
      <c r="A529" s="1"/>
      <c r="B529" s="1"/>
      <c r="C529" s="1"/>
      <c r="D529" s="1"/>
      <c r="E529" s="1"/>
      <c r="F529" s="1"/>
      <c r="G529" s="1"/>
      <c r="H529" s="1"/>
      <c r="I529" s="1"/>
      <c r="J529" s="1"/>
      <c r="K529" s="1"/>
      <c r="L529" s="1"/>
      <c r="M529" s="1"/>
      <c r="N529" s="1"/>
      <c r="O529" s="1"/>
      <c r="P529" s="1"/>
      <c r="Q529" s="1"/>
      <c r="R529" s="1"/>
      <c r="S529" s="1"/>
      <c r="T529" s="1"/>
      <c r="U529" s="2"/>
      <c r="V529" s="1"/>
      <c r="W529" s="1"/>
      <c r="X529" s="1"/>
      <c r="Y529" s="1"/>
      <c r="Z529" s="1"/>
    </row>
    <row r="530" spans="1:26" ht="24.75" customHeight="1">
      <c r="A530" s="1"/>
      <c r="B530" s="1"/>
      <c r="C530" s="1"/>
      <c r="D530" s="1"/>
      <c r="E530" s="1"/>
      <c r="F530" s="1"/>
      <c r="G530" s="1"/>
      <c r="H530" s="1"/>
      <c r="I530" s="1"/>
      <c r="J530" s="1"/>
      <c r="K530" s="1"/>
      <c r="L530" s="1"/>
      <c r="M530" s="1"/>
      <c r="N530" s="1"/>
      <c r="O530" s="1"/>
      <c r="P530" s="1"/>
      <c r="Q530" s="1"/>
      <c r="R530" s="1"/>
      <c r="S530" s="1"/>
      <c r="T530" s="1"/>
      <c r="U530" s="2"/>
      <c r="V530" s="1"/>
      <c r="W530" s="1"/>
      <c r="X530" s="1"/>
      <c r="Y530" s="1"/>
      <c r="Z530" s="1"/>
    </row>
    <row r="531" spans="1:26" ht="24.75" customHeight="1">
      <c r="A531" s="1"/>
      <c r="B531" s="1"/>
      <c r="C531" s="1"/>
      <c r="D531" s="1"/>
      <c r="E531" s="1"/>
      <c r="F531" s="1"/>
      <c r="G531" s="1"/>
      <c r="H531" s="1"/>
      <c r="I531" s="1"/>
      <c r="J531" s="1"/>
      <c r="K531" s="1"/>
      <c r="L531" s="1"/>
      <c r="M531" s="1"/>
      <c r="N531" s="1"/>
      <c r="O531" s="1"/>
      <c r="P531" s="1"/>
      <c r="Q531" s="1"/>
      <c r="R531" s="1"/>
      <c r="S531" s="1"/>
      <c r="T531" s="1"/>
      <c r="U531" s="2"/>
      <c r="V531" s="1"/>
      <c r="W531" s="1"/>
      <c r="X531" s="1"/>
      <c r="Y531" s="1"/>
      <c r="Z531" s="1"/>
    </row>
    <row r="532" spans="1:26" ht="24.75" customHeight="1">
      <c r="A532" s="1"/>
      <c r="B532" s="1"/>
      <c r="C532" s="1"/>
      <c r="D532" s="1"/>
      <c r="E532" s="1"/>
      <c r="F532" s="1"/>
      <c r="G532" s="1"/>
      <c r="H532" s="1"/>
      <c r="I532" s="1"/>
      <c r="J532" s="1"/>
      <c r="K532" s="1"/>
      <c r="L532" s="1"/>
      <c r="M532" s="1"/>
      <c r="N532" s="1"/>
      <c r="O532" s="1"/>
      <c r="P532" s="1"/>
      <c r="Q532" s="1"/>
      <c r="R532" s="1"/>
      <c r="S532" s="1"/>
      <c r="T532" s="1"/>
      <c r="U532" s="2"/>
      <c r="V532" s="1"/>
      <c r="W532" s="1"/>
      <c r="X532" s="1"/>
      <c r="Y532" s="1"/>
      <c r="Z532" s="1"/>
    </row>
    <row r="533" spans="1:26" ht="24.75" customHeight="1">
      <c r="A533" s="1"/>
      <c r="B533" s="1"/>
      <c r="C533" s="1"/>
      <c r="D533" s="1"/>
      <c r="E533" s="1"/>
      <c r="F533" s="1"/>
      <c r="G533" s="1"/>
      <c r="H533" s="1"/>
      <c r="I533" s="1"/>
      <c r="J533" s="1"/>
      <c r="K533" s="1"/>
      <c r="L533" s="1"/>
      <c r="M533" s="1"/>
      <c r="N533" s="1"/>
      <c r="O533" s="1"/>
      <c r="P533" s="1"/>
      <c r="Q533" s="1"/>
      <c r="R533" s="1"/>
      <c r="S533" s="1"/>
      <c r="T533" s="1"/>
      <c r="U533" s="2"/>
      <c r="V533" s="1"/>
      <c r="W533" s="1"/>
      <c r="X533" s="1"/>
      <c r="Y533" s="1"/>
      <c r="Z533" s="1"/>
    </row>
    <row r="534" spans="1:26" ht="24.75" customHeight="1">
      <c r="A534" s="1"/>
      <c r="B534" s="1"/>
      <c r="C534" s="1"/>
      <c r="D534" s="1"/>
      <c r="E534" s="1"/>
      <c r="F534" s="1"/>
      <c r="G534" s="1"/>
      <c r="H534" s="1"/>
      <c r="I534" s="1"/>
      <c r="J534" s="1"/>
      <c r="K534" s="1"/>
      <c r="L534" s="1"/>
      <c r="M534" s="1"/>
      <c r="N534" s="1"/>
      <c r="O534" s="1"/>
      <c r="P534" s="1"/>
      <c r="Q534" s="1"/>
      <c r="R534" s="1"/>
      <c r="S534" s="1"/>
      <c r="T534" s="1"/>
      <c r="U534" s="2"/>
      <c r="V534" s="1"/>
      <c r="W534" s="1"/>
      <c r="X534" s="1"/>
      <c r="Y534" s="1"/>
      <c r="Z534" s="1"/>
    </row>
    <row r="535" spans="1:26" ht="24.75" customHeight="1">
      <c r="A535" s="1"/>
      <c r="B535" s="1"/>
      <c r="C535" s="1"/>
      <c r="D535" s="1"/>
      <c r="E535" s="1"/>
      <c r="F535" s="1"/>
      <c r="G535" s="1"/>
      <c r="H535" s="1"/>
      <c r="I535" s="1"/>
      <c r="J535" s="1"/>
      <c r="K535" s="1"/>
      <c r="L535" s="1"/>
      <c r="M535" s="1"/>
      <c r="N535" s="1"/>
      <c r="O535" s="1"/>
      <c r="P535" s="1"/>
      <c r="Q535" s="1"/>
      <c r="R535" s="1"/>
      <c r="S535" s="1"/>
      <c r="T535" s="1"/>
      <c r="U535" s="2"/>
      <c r="V535" s="1"/>
      <c r="W535" s="1"/>
      <c r="X535" s="1"/>
      <c r="Y535" s="1"/>
      <c r="Z535" s="1"/>
    </row>
    <row r="536" spans="1:26" ht="24.75" customHeight="1">
      <c r="A536" s="1"/>
      <c r="B536" s="1"/>
      <c r="C536" s="1"/>
      <c r="D536" s="1"/>
      <c r="E536" s="1"/>
      <c r="F536" s="1"/>
      <c r="G536" s="1"/>
      <c r="H536" s="1"/>
      <c r="I536" s="1"/>
      <c r="J536" s="1"/>
      <c r="K536" s="1"/>
      <c r="L536" s="1"/>
      <c r="M536" s="1"/>
      <c r="N536" s="1"/>
      <c r="O536" s="1"/>
      <c r="P536" s="1"/>
      <c r="Q536" s="1"/>
      <c r="R536" s="1"/>
      <c r="S536" s="1"/>
      <c r="T536" s="1"/>
      <c r="U536" s="2"/>
      <c r="V536" s="1"/>
      <c r="W536" s="1"/>
      <c r="X536" s="1"/>
      <c r="Y536" s="1"/>
      <c r="Z536" s="1"/>
    </row>
    <row r="537" spans="1:26" ht="24.75" customHeight="1">
      <c r="A537" s="1"/>
      <c r="B537" s="1"/>
      <c r="C537" s="1"/>
      <c r="D537" s="1"/>
      <c r="E537" s="1"/>
      <c r="F537" s="1"/>
      <c r="G537" s="1"/>
      <c r="H537" s="1"/>
      <c r="I537" s="1"/>
      <c r="J537" s="1"/>
      <c r="K537" s="1"/>
      <c r="L537" s="1"/>
      <c r="M537" s="1"/>
      <c r="N537" s="1"/>
      <c r="O537" s="1"/>
      <c r="P537" s="1"/>
      <c r="Q537" s="1"/>
      <c r="R537" s="1"/>
      <c r="S537" s="1"/>
      <c r="T537" s="1"/>
      <c r="U537" s="2"/>
      <c r="V537" s="1"/>
      <c r="W537" s="1"/>
      <c r="X537" s="1"/>
      <c r="Y537" s="1"/>
      <c r="Z537" s="1"/>
    </row>
    <row r="538" spans="1:26" ht="24.75" customHeight="1">
      <c r="A538" s="1"/>
      <c r="B538" s="1"/>
      <c r="C538" s="1"/>
      <c r="D538" s="1"/>
      <c r="E538" s="1"/>
      <c r="F538" s="1"/>
      <c r="G538" s="1"/>
      <c r="H538" s="1"/>
      <c r="I538" s="1"/>
      <c r="J538" s="1"/>
      <c r="K538" s="1"/>
      <c r="L538" s="1"/>
      <c r="M538" s="1"/>
      <c r="N538" s="1"/>
      <c r="O538" s="1"/>
      <c r="P538" s="1"/>
      <c r="Q538" s="1"/>
      <c r="R538" s="1"/>
      <c r="S538" s="1"/>
      <c r="T538" s="1"/>
      <c r="U538" s="2"/>
      <c r="V538" s="1"/>
      <c r="W538" s="1"/>
      <c r="X538" s="1"/>
      <c r="Y538" s="1"/>
      <c r="Z538" s="1"/>
    </row>
    <row r="539" spans="1:26" ht="24.75" customHeight="1">
      <c r="A539" s="1"/>
      <c r="B539" s="1"/>
      <c r="C539" s="1"/>
      <c r="D539" s="1"/>
      <c r="E539" s="1"/>
      <c r="F539" s="1"/>
      <c r="G539" s="1"/>
      <c r="H539" s="1"/>
      <c r="I539" s="1"/>
      <c r="J539" s="1"/>
      <c r="K539" s="1"/>
      <c r="L539" s="1"/>
      <c r="M539" s="1"/>
      <c r="N539" s="1"/>
      <c r="O539" s="1"/>
      <c r="P539" s="1"/>
      <c r="Q539" s="1"/>
      <c r="R539" s="1"/>
      <c r="S539" s="1"/>
      <c r="T539" s="1"/>
      <c r="U539" s="2"/>
      <c r="V539" s="1"/>
      <c r="W539" s="1"/>
      <c r="X539" s="1"/>
      <c r="Y539" s="1"/>
      <c r="Z539" s="1"/>
    </row>
    <row r="540" spans="1:26" ht="24.75" customHeight="1">
      <c r="A540" s="1"/>
      <c r="B540" s="1"/>
      <c r="C540" s="1"/>
      <c r="D540" s="1"/>
      <c r="E540" s="1"/>
      <c r="F540" s="1"/>
      <c r="G540" s="1"/>
      <c r="H540" s="1"/>
      <c r="I540" s="1"/>
      <c r="J540" s="1"/>
      <c r="K540" s="1"/>
      <c r="L540" s="1"/>
      <c r="M540" s="1"/>
      <c r="N540" s="1"/>
      <c r="O540" s="1"/>
      <c r="P540" s="1"/>
      <c r="Q540" s="1"/>
      <c r="R540" s="1"/>
      <c r="S540" s="1"/>
      <c r="T540" s="1"/>
      <c r="U540" s="2"/>
      <c r="V540" s="1"/>
      <c r="W540" s="1"/>
      <c r="X540" s="1"/>
      <c r="Y540" s="1"/>
      <c r="Z540" s="1"/>
    </row>
    <row r="541" spans="1:26" ht="24.75" customHeight="1">
      <c r="A541" s="1"/>
      <c r="B541" s="1"/>
      <c r="C541" s="1"/>
      <c r="D541" s="1"/>
      <c r="E541" s="1"/>
      <c r="F541" s="1"/>
      <c r="G541" s="1"/>
      <c r="H541" s="1"/>
      <c r="I541" s="1"/>
      <c r="J541" s="1"/>
      <c r="K541" s="1"/>
      <c r="L541" s="1"/>
      <c r="M541" s="1"/>
      <c r="N541" s="1"/>
      <c r="O541" s="1"/>
      <c r="P541" s="1"/>
      <c r="Q541" s="1"/>
      <c r="R541" s="1"/>
      <c r="S541" s="1"/>
      <c r="T541" s="1"/>
      <c r="U541" s="2"/>
      <c r="V541" s="1"/>
      <c r="W541" s="1"/>
      <c r="X541" s="1"/>
      <c r="Y541" s="1"/>
      <c r="Z541" s="1"/>
    </row>
    <row r="542" spans="1:26" ht="24.75" customHeight="1">
      <c r="A542" s="1"/>
      <c r="B542" s="1"/>
      <c r="C542" s="1"/>
      <c r="D542" s="1"/>
      <c r="E542" s="1"/>
      <c r="F542" s="1"/>
      <c r="G542" s="1"/>
      <c r="H542" s="1"/>
      <c r="I542" s="1"/>
      <c r="J542" s="1"/>
      <c r="K542" s="1"/>
      <c r="L542" s="1"/>
      <c r="M542" s="1"/>
      <c r="N542" s="1"/>
      <c r="O542" s="1"/>
      <c r="P542" s="1"/>
      <c r="Q542" s="1"/>
      <c r="R542" s="1"/>
      <c r="S542" s="1"/>
      <c r="T542" s="1"/>
      <c r="U542" s="2"/>
      <c r="V542" s="1"/>
      <c r="W542" s="1"/>
      <c r="X542" s="1"/>
      <c r="Y542" s="1"/>
      <c r="Z542" s="1"/>
    </row>
    <row r="543" spans="1:26" ht="24.75" customHeight="1">
      <c r="A543" s="1"/>
      <c r="B543" s="1"/>
      <c r="C543" s="1"/>
      <c r="D543" s="1"/>
      <c r="E543" s="1"/>
      <c r="F543" s="1"/>
      <c r="G543" s="1"/>
      <c r="H543" s="1"/>
      <c r="I543" s="1"/>
      <c r="J543" s="1"/>
      <c r="K543" s="1"/>
      <c r="L543" s="1"/>
      <c r="M543" s="1"/>
      <c r="N543" s="1"/>
      <c r="O543" s="1"/>
      <c r="P543" s="1"/>
      <c r="Q543" s="1"/>
      <c r="R543" s="1"/>
      <c r="S543" s="1"/>
      <c r="T543" s="1"/>
      <c r="U543" s="2"/>
      <c r="V543" s="1"/>
      <c r="W543" s="1"/>
      <c r="X543" s="1"/>
      <c r="Y543" s="1"/>
      <c r="Z543" s="1"/>
    </row>
    <row r="544" spans="1:26" ht="24.75" customHeight="1">
      <c r="A544" s="1"/>
      <c r="B544" s="1"/>
      <c r="C544" s="1"/>
      <c r="D544" s="1"/>
      <c r="E544" s="1"/>
      <c r="F544" s="1"/>
      <c r="G544" s="1"/>
      <c r="H544" s="1"/>
      <c r="I544" s="1"/>
      <c r="J544" s="1"/>
      <c r="K544" s="1"/>
      <c r="L544" s="1"/>
      <c r="M544" s="1"/>
      <c r="N544" s="1"/>
      <c r="O544" s="1"/>
      <c r="P544" s="1"/>
      <c r="Q544" s="1"/>
      <c r="R544" s="1"/>
      <c r="S544" s="1"/>
      <c r="T544" s="1"/>
      <c r="U544" s="2"/>
      <c r="V544" s="1"/>
      <c r="W544" s="1"/>
      <c r="X544" s="1"/>
      <c r="Y544" s="1"/>
      <c r="Z544" s="1"/>
    </row>
    <row r="545" spans="1:26" ht="24.75" customHeight="1">
      <c r="A545" s="1"/>
      <c r="B545" s="1"/>
      <c r="C545" s="1"/>
      <c r="D545" s="1"/>
      <c r="E545" s="1"/>
      <c r="F545" s="1"/>
      <c r="G545" s="1"/>
      <c r="H545" s="1"/>
      <c r="I545" s="1"/>
      <c r="J545" s="1"/>
      <c r="K545" s="1"/>
      <c r="L545" s="1"/>
      <c r="M545" s="1"/>
      <c r="N545" s="1"/>
      <c r="O545" s="1"/>
      <c r="P545" s="1"/>
      <c r="Q545" s="1"/>
      <c r="R545" s="1"/>
      <c r="S545" s="1"/>
      <c r="T545" s="1"/>
      <c r="U545" s="2"/>
      <c r="V545" s="1"/>
      <c r="W545" s="1"/>
      <c r="X545" s="1"/>
      <c r="Y545" s="1"/>
      <c r="Z545" s="1"/>
    </row>
    <row r="546" spans="1:26" ht="24.75" customHeight="1">
      <c r="A546" s="1"/>
      <c r="B546" s="1"/>
      <c r="C546" s="1"/>
      <c r="D546" s="1"/>
      <c r="E546" s="1"/>
      <c r="F546" s="1"/>
      <c r="G546" s="1"/>
      <c r="H546" s="1"/>
      <c r="I546" s="1"/>
      <c r="J546" s="1"/>
      <c r="K546" s="1"/>
      <c r="L546" s="1"/>
      <c r="M546" s="1"/>
      <c r="N546" s="1"/>
      <c r="O546" s="1"/>
      <c r="P546" s="1"/>
      <c r="Q546" s="1"/>
      <c r="R546" s="1"/>
      <c r="S546" s="1"/>
      <c r="T546" s="1"/>
      <c r="U546" s="2"/>
      <c r="V546" s="1"/>
      <c r="W546" s="1"/>
      <c r="X546" s="1"/>
      <c r="Y546" s="1"/>
      <c r="Z546" s="1"/>
    </row>
    <row r="547" spans="1:26" ht="24.75" customHeight="1">
      <c r="A547" s="1"/>
      <c r="B547" s="1"/>
      <c r="C547" s="1"/>
      <c r="D547" s="1"/>
      <c r="E547" s="1"/>
      <c r="F547" s="1"/>
      <c r="G547" s="1"/>
      <c r="H547" s="1"/>
      <c r="I547" s="1"/>
      <c r="J547" s="1"/>
      <c r="K547" s="1"/>
      <c r="L547" s="1"/>
      <c r="M547" s="1"/>
      <c r="N547" s="1"/>
      <c r="O547" s="1"/>
      <c r="P547" s="1"/>
      <c r="Q547" s="1"/>
      <c r="R547" s="1"/>
      <c r="S547" s="1"/>
      <c r="T547" s="1"/>
      <c r="U547" s="2"/>
      <c r="V547" s="1"/>
      <c r="W547" s="1"/>
      <c r="X547" s="1"/>
      <c r="Y547" s="1"/>
      <c r="Z547" s="1"/>
    </row>
    <row r="548" spans="1:26" ht="24.75" customHeight="1">
      <c r="A548" s="1"/>
      <c r="B548" s="1"/>
      <c r="C548" s="1"/>
      <c r="D548" s="1"/>
      <c r="E548" s="1"/>
      <c r="F548" s="1"/>
      <c r="G548" s="1"/>
      <c r="H548" s="1"/>
      <c r="I548" s="1"/>
      <c r="J548" s="1"/>
      <c r="K548" s="1"/>
      <c r="L548" s="1"/>
      <c r="M548" s="1"/>
      <c r="N548" s="1"/>
      <c r="O548" s="1"/>
      <c r="P548" s="1"/>
      <c r="Q548" s="1"/>
      <c r="R548" s="1"/>
      <c r="S548" s="1"/>
      <c r="T548" s="1"/>
      <c r="U548" s="2"/>
      <c r="V548" s="1"/>
      <c r="W548" s="1"/>
      <c r="X548" s="1"/>
      <c r="Y548" s="1"/>
      <c r="Z548" s="1"/>
    </row>
    <row r="549" spans="1:26" ht="24.75" customHeight="1">
      <c r="A549" s="1"/>
      <c r="B549" s="1"/>
      <c r="C549" s="1"/>
      <c r="D549" s="1"/>
      <c r="E549" s="1"/>
      <c r="F549" s="1"/>
      <c r="G549" s="1"/>
      <c r="H549" s="1"/>
      <c r="I549" s="1"/>
      <c r="J549" s="1"/>
      <c r="K549" s="1"/>
      <c r="L549" s="1"/>
      <c r="M549" s="1"/>
      <c r="N549" s="1"/>
      <c r="O549" s="1"/>
      <c r="P549" s="1"/>
      <c r="Q549" s="1"/>
      <c r="R549" s="1"/>
      <c r="S549" s="1"/>
      <c r="T549" s="1"/>
      <c r="U549" s="2"/>
      <c r="V549" s="1"/>
      <c r="W549" s="1"/>
      <c r="X549" s="1"/>
      <c r="Y549" s="1"/>
      <c r="Z549" s="1"/>
    </row>
    <row r="550" spans="1:26" ht="24.75" customHeight="1">
      <c r="A550" s="1"/>
      <c r="B550" s="1"/>
      <c r="C550" s="1"/>
      <c r="D550" s="1"/>
      <c r="E550" s="1"/>
      <c r="F550" s="1"/>
      <c r="G550" s="1"/>
      <c r="H550" s="1"/>
      <c r="I550" s="1"/>
      <c r="J550" s="1"/>
      <c r="K550" s="1"/>
      <c r="L550" s="1"/>
      <c r="M550" s="1"/>
      <c r="N550" s="1"/>
      <c r="O550" s="1"/>
      <c r="P550" s="1"/>
      <c r="Q550" s="1"/>
      <c r="R550" s="1"/>
      <c r="S550" s="1"/>
      <c r="T550" s="1"/>
      <c r="U550" s="2"/>
      <c r="V550" s="1"/>
      <c r="W550" s="1"/>
      <c r="X550" s="1"/>
      <c r="Y550" s="1"/>
      <c r="Z550" s="1"/>
    </row>
    <row r="551" spans="1:26" ht="24.75" customHeight="1">
      <c r="A551" s="1"/>
      <c r="B551" s="1"/>
      <c r="C551" s="1"/>
      <c r="D551" s="1"/>
      <c r="E551" s="1"/>
      <c r="F551" s="1"/>
      <c r="G551" s="1"/>
      <c r="H551" s="1"/>
      <c r="I551" s="1"/>
      <c r="J551" s="1"/>
      <c r="K551" s="1"/>
      <c r="L551" s="1"/>
      <c r="M551" s="1"/>
      <c r="N551" s="1"/>
      <c r="O551" s="1"/>
      <c r="P551" s="1"/>
      <c r="Q551" s="1"/>
      <c r="R551" s="1"/>
      <c r="S551" s="1"/>
      <c r="T551" s="1"/>
      <c r="U551" s="2"/>
      <c r="V551" s="1"/>
      <c r="W551" s="1"/>
      <c r="X551" s="1"/>
      <c r="Y551" s="1"/>
      <c r="Z551" s="1"/>
    </row>
    <row r="552" spans="1:26" ht="24.75" customHeight="1">
      <c r="A552" s="1"/>
      <c r="B552" s="1"/>
      <c r="C552" s="1"/>
      <c r="D552" s="1"/>
      <c r="E552" s="1"/>
      <c r="F552" s="1"/>
      <c r="G552" s="1"/>
      <c r="H552" s="1"/>
      <c r="I552" s="1"/>
      <c r="J552" s="1"/>
      <c r="K552" s="1"/>
      <c r="L552" s="1"/>
      <c r="M552" s="1"/>
      <c r="N552" s="1"/>
      <c r="O552" s="1"/>
      <c r="P552" s="1"/>
      <c r="Q552" s="1"/>
      <c r="R552" s="1"/>
      <c r="S552" s="1"/>
      <c r="T552" s="1"/>
      <c r="U552" s="2"/>
      <c r="V552" s="1"/>
      <c r="W552" s="1"/>
      <c r="X552" s="1"/>
      <c r="Y552" s="1"/>
      <c r="Z552" s="1"/>
    </row>
    <row r="553" spans="1:26" ht="24.75" customHeight="1">
      <c r="A553" s="1"/>
      <c r="B553" s="1"/>
      <c r="C553" s="1"/>
      <c r="D553" s="1"/>
      <c r="E553" s="1"/>
      <c r="F553" s="1"/>
      <c r="G553" s="1"/>
      <c r="H553" s="1"/>
      <c r="I553" s="1"/>
      <c r="J553" s="1"/>
      <c r="K553" s="1"/>
      <c r="L553" s="1"/>
      <c r="M553" s="1"/>
      <c r="N553" s="1"/>
      <c r="O553" s="1"/>
      <c r="P553" s="1"/>
      <c r="Q553" s="1"/>
      <c r="R553" s="1"/>
      <c r="S553" s="1"/>
      <c r="T553" s="1"/>
      <c r="U553" s="2"/>
      <c r="V553" s="1"/>
      <c r="W553" s="1"/>
      <c r="X553" s="1"/>
      <c r="Y553" s="1"/>
      <c r="Z553" s="1"/>
    </row>
    <row r="554" spans="1:26" ht="24.75" customHeight="1">
      <c r="A554" s="1"/>
      <c r="B554" s="1"/>
      <c r="C554" s="1"/>
      <c r="D554" s="1"/>
      <c r="E554" s="1"/>
      <c r="F554" s="1"/>
      <c r="G554" s="1"/>
      <c r="H554" s="1"/>
      <c r="I554" s="1"/>
      <c r="J554" s="1"/>
      <c r="K554" s="1"/>
      <c r="L554" s="1"/>
      <c r="M554" s="1"/>
      <c r="N554" s="1"/>
      <c r="O554" s="1"/>
      <c r="P554" s="1"/>
      <c r="Q554" s="1"/>
      <c r="R554" s="1"/>
      <c r="S554" s="1"/>
      <c r="T554" s="1"/>
      <c r="U554" s="2"/>
      <c r="V554" s="1"/>
      <c r="W554" s="1"/>
      <c r="X554" s="1"/>
      <c r="Y554" s="1"/>
      <c r="Z554" s="1"/>
    </row>
    <row r="555" spans="1:26" ht="24.75" customHeight="1">
      <c r="A555" s="1"/>
      <c r="B555" s="1"/>
      <c r="C555" s="1"/>
      <c r="D555" s="1"/>
      <c r="E555" s="1"/>
      <c r="F555" s="1"/>
      <c r="G555" s="1"/>
      <c r="H555" s="1"/>
      <c r="I555" s="1"/>
      <c r="J555" s="1"/>
      <c r="K555" s="1"/>
      <c r="L555" s="1"/>
      <c r="M555" s="1"/>
      <c r="N555" s="1"/>
      <c r="O555" s="1"/>
      <c r="P555" s="1"/>
      <c r="Q555" s="1"/>
      <c r="R555" s="1"/>
      <c r="S555" s="1"/>
      <c r="T555" s="1"/>
      <c r="U555" s="2"/>
      <c r="V555" s="1"/>
      <c r="W555" s="1"/>
      <c r="X555" s="1"/>
      <c r="Y555" s="1"/>
      <c r="Z555" s="1"/>
    </row>
    <row r="556" spans="1:26" ht="24.75" customHeight="1">
      <c r="A556" s="1"/>
      <c r="B556" s="1"/>
      <c r="C556" s="1"/>
      <c r="D556" s="1"/>
      <c r="E556" s="1"/>
      <c r="F556" s="1"/>
      <c r="G556" s="1"/>
      <c r="H556" s="1"/>
      <c r="I556" s="1"/>
      <c r="J556" s="1"/>
      <c r="K556" s="1"/>
      <c r="L556" s="1"/>
      <c r="M556" s="1"/>
      <c r="N556" s="1"/>
      <c r="O556" s="1"/>
      <c r="P556" s="1"/>
      <c r="Q556" s="1"/>
      <c r="R556" s="1"/>
      <c r="S556" s="1"/>
      <c r="T556" s="1"/>
      <c r="U556" s="2"/>
      <c r="V556" s="1"/>
      <c r="W556" s="1"/>
      <c r="X556" s="1"/>
      <c r="Y556" s="1"/>
      <c r="Z556" s="1"/>
    </row>
    <row r="557" spans="1:26" ht="24.75" customHeight="1">
      <c r="A557" s="1"/>
      <c r="B557" s="1"/>
      <c r="C557" s="1"/>
      <c r="D557" s="1"/>
      <c r="E557" s="1"/>
      <c r="F557" s="1"/>
      <c r="G557" s="1"/>
      <c r="H557" s="1"/>
      <c r="I557" s="1"/>
      <c r="J557" s="1"/>
      <c r="K557" s="1"/>
      <c r="L557" s="1"/>
      <c r="M557" s="1"/>
      <c r="N557" s="1"/>
      <c r="O557" s="1"/>
      <c r="P557" s="1"/>
      <c r="Q557" s="1"/>
      <c r="R557" s="1"/>
      <c r="S557" s="1"/>
      <c r="T557" s="1"/>
      <c r="U557" s="2"/>
      <c r="V557" s="1"/>
      <c r="W557" s="1"/>
      <c r="X557" s="1"/>
      <c r="Y557" s="1"/>
      <c r="Z557" s="1"/>
    </row>
    <row r="558" spans="1:26" ht="24.75" customHeight="1">
      <c r="A558" s="1"/>
      <c r="B558" s="1"/>
      <c r="C558" s="1"/>
      <c r="D558" s="1"/>
      <c r="E558" s="1"/>
      <c r="F558" s="1"/>
      <c r="G558" s="1"/>
      <c r="H558" s="1"/>
      <c r="I558" s="1"/>
      <c r="J558" s="1"/>
      <c r="K558" s="1"/>
      <c r="L558" s="1"/>
      <c r="M558" s="1"/>
      <c r="N558" s="1"/>
      <c r="O558" s="1"/>
      <c r="P558" s="1"/>
      <c r="Q558" s="1"/>
      <c r="R558" s="1"/>
      <c r="S558" s="1"/>
      <c r="T558" s="1"/>
      <c r="U558" s="2"/>
      <c r="V558" s="1"/>
      <c r="W558" s="1"/>
      <c r="X558" s="1"/>
      <c r="Y558" s="1"/>
      <c r="Z558" s="1"/>
    </row>
    <row r="559" spans="1:26" ht="24.75" customHeight="1">
      <c r="A559" s="1"/>
      <c r="B559" s="1"/>
      <c r="C559" s="1"/>
      <c r="D559" s="1"/>
      <c r="E559" s="1"/>
      <c r="F559" s="1"/>
      <c r="G559" s="1"/>
      <c r="H559" s="1"/>
      <c r="I559" s="1"/>
      <c r="J559" s="1"/>
      <c r="K559" s="1"/>
      <c r="L559" s="1"/>
      <c r="M559" s="1"/>
      <c r="N559" s="1"/>
      <c r="O559" s="1"/>
      <c r="P559" s="1"/>
      <c r="Q559" s="1"/>
      <c r="R559" s="1"/>
      <c r="S559" s="1"/>
      <c r="T559" s="1"/>
      <c r="U559" s="2"/>
      <c r="V559" s="1"/>
      <c r="W559" s="1"/>
      <c r="X559" s="1"/>
      <c r="Y559" s="1"/>
      <c r="Z559" s="1"/>
    </row>
    <row r="560" spans="1:26" ht="24.75" customHeight="1">
      <c r="A560" s="1"/>
      <c r="B560" s="1"/>
      <c r="C560" s="1"/>
      <c r="D560" s="1"/>
      <c r="E560" s="1"/>
      <c r="F560" s="1"/>
      <c r="G560" s="1"/>
      <c r="H560" s="1"/>
      <c r="I560" s="1"/>
      <c r="J560" s="1"/>
      <c r="K560" s="1"/>
      <c r="L560" s="1"/>
      <c r="M560" s="1"/>
      <c r="N560" s="1"/>
      <c r="O560" s="1"/>
      <c r="P560" s="1"/>
      <c r="Q560" s="1"/>
      <c r="R560" s="1"/>
      <c r="S560" s="1"/>
      <c r="T560" s="1"/>
      <c r="U560" s="2"/>
      <c r="V560" s="1"/>
      <c r="W560" s="1"/>
      <c r="X560" s="1"/>
      <c r="Y560" s="1"/>
      <c r="Z560" s="1"/>
    </row>
    <row r="561" spans="1:26" ht="24.75" customHeight="1">
      <c r="A561" s="1"/>
      <c r="B561" s="1"/>
      <c r="C561" s="1"/>
      <c r="D561" s="1"/>
      <c r="E561" s="1"/>
      <c r="F561" s="1"/>
      <c r="G561" s="1"/>
      <c r="H561" s="1"/>
      <c r="I561" s="1"/>
      <c r="J561" s="1"/>
      <c r="K561" s="1"/>
      <c r="L561" s="1"/>
      <c r="M561" s="1"/>
      <c r="N561" s="1"/>
      <c r="O561" s="1"/>
      <c r="P561" s="1"/>
      <c r="Q561" s="1"/>
      <c r="R561" s="1"/>
      <c r="S561" s="1"/>
      <c r="T561" s="1"/>
      <c r="U561" s="2"/>
      <c r="V561" s="1"/>
      <c r="W561" s="1"/>
      <c r="X561" s="1"/>
      <c r="Y561" s="1"/>
      <c r="Z561" s="1"/>
    </row>
    <row r="562" spans="1:26" ht="24.75" customHeight="1">
      <c r="A562" s="1"/>
      <c r="B562" s="1"/>
      <c r="C562" s="1"/>
      <c r="D562" s="1"/>
      <c r="E562" s="1"/>
      <c r="F562" s="1"/>
      <c r="G562" s="1"/>
      <c r="H562" s="1"/>
      <c r="I562" s="1"/>
      <c r="J562" s="1"/>
      <c r="K562" s="1"/>
      <c r="L562" s="1"/>
      <c r="M562" s="1"/>
      <c r="N562" s="1"/>
      <c r="O562" s="1"/>
      <c r="P562" s="1"/>
      <c r="Q562" s="1"/>
      <c r="R562" s="1"/>
      <c r="S562" s="1"/>
      <c r="T562" s="1"/>
      <c r="U562" s="2"/>
      <c r="V562" s="1"/>
      <c r="W562" s="1"/>
      <c r="X562" s="1"/>
      <c r="Y562" s="1"/>
      <c r="Z562" s="1"/>
    </row>
    <row r="563" spans="1:26" ht="24.75" customHeight="1">
      <c r="A563" s="1"/>
      <c r="B563" s="1"/>
      <c r="C563" s="1"/>
      <c r="D563" s="1"/>
      <c r="E563" s="1"/>
      <c r="F563" s="1"/>
      <c r="G563" s="1"/>
      <c r="H563" s="1"/>
      <c r="I563" s="1"/>
      <c r="J563" s="1"/>
      <c r="K563" s="1"/>
      <c r="L563" s="1"/>
      <c r="M563" s="1"/>
      <c r="N563" s="1"/>
      <c r="O563" s="1"/>
      <c r="P563" s="1"/>
      <c r="Q563" s="1"/>
      <c r="R563" s="1"/>
      <c r="S563" s="1"/>
      <c r="T563" s="1"/>
      <c r="U563" s="2"/>
      <c r="V563" s="1"/>
      <c r="W563" s="1"/>
      <c r="X563" s="1"/>
      <c r="Y563" s="1"/>
      <c r="Z563" s="1"/>
    </row>
    <row r="564" spans="1:26" ht="24.75" customHeight="1">
      <c r="A564" s="1"/>
      <c r="B564" s="1"/>
      <c r="C564" s="1"/>
      <c r="D564" s="1"/>
      <c r="E564" s="1"/>
      <c r="F564" s="1"/>
      <c r="G564" s="1"/>
      <c r="H564" s="1"/>
      <c r="I564" s="1"/>
      <c r="J564" s="1"/>
      <c r="K564" s="1"/>
      <c r="L564" s="1"/>
      <c r="M564" s="1"/>
      <c r="N564" s="1"/>
      <c r="O564" s="1"/>
      <c r="P564" s="1"/>
      <c r="Q564" s="1"/>
      <c r="R564" s="1"/>
      <c r="S564" s="1"/>
      <c r="T564" s="1"/>
      <c r="U564" s="2"/>
      <c r="V564" s="1"/>
      <c r="W564" s="1"/>
      <c r="X564" s="1"/>
      <c r="Y564" s="1"/>
      <c r="Z564" s="1"/>
    </row>
    <row r="565" spans="1:26" ht="24.75" customHeight="1">
      <c r="A565" s="1"/>
      <c r="B565" s="1"/>
      <c r="C565" s="1"/>
      <c r="D565" s="1"/>
      <c r="E565" s="1"/>
      <c r="F565" s="1"/>
      <c r="G565" s="1"/>
      <c r="H565" s="1"/>
      <c r="I565" s="1"/>
      <c r="J565" s="1"/>
      <c r="K565" s="1"/>
      <c r="L565" s="1"/>
      <c r="M565" s="1"/>
      <c r="N565" s="1"/>
      <c r="O565" s="1"/>
      <c r="P565" s="1"/>
      <c r="Q565" s="1"/>
      <c r="R565" s="1"/>
      <c r="S565" s="1"/>
      <c r="T565" s="1"/>
      <c r="U565" s="2"/>
      <c r="V565" s="1"/>
      <c r="W565" s="1"/>
      <c r="X565" s="1"/>
      <c r="Y565" s="1"/>
      <c r="Z565" s="1"/>
    </row>
    <row r="566" spans="1:26" ht="24.75" customHeight="1">
      <c r="A566" s="1"/>
      <c r="B566" s="1"/>
      <c r="C566" s="1"/>
      <c r="D566" s="1"/>
      <c r="E566" s="1"/>
      <c r="F566" s="1"/>
      <c r="G566" s="1"/>
      <c r="H566" s="1"/>
      <c r="I566" s="1"/>
      <c r="J566" s="1"/>
      <c r="K566" s="1"/>
      <c r="L566" s="1"/>
      <c r="M566" s="1"/>
      <c r="N566" s="1"/>
      <c r="O566" s="1"/>
      <c r="P566" s="1"/>
      <c r="Q566" s="1"/>
      <c r="R566" s="1"/>
      <c r="S566" s="1"/>
      <c r="T566" s="1"/>
      <c r="U566" s="2"/>
      <c r="V566" s="1"/>
      <c r="W566" s="1"/>
      <c r="X566" s="1"/>
      <c r="Y566" s="1"/>
      <c r="Z566" s="1"/>
    </row>
    <row r="567" spans="1:26" ht="24.75" customHeight="1">
      <c r="A567" s="1"/>
      <c r="B567" s="1"/>
      <c r="C567" s="1"/>
      <c r="D567" s="1"/>
      <c r="E567" s="1"/>
      <c r="F567" s="1"/>
      <c r="G567" s="1"/>
      <c r="H567" s="1"/>
      <c r="I567" s="1"/>
      <c r="J567" s="1"/>
      <c r="K567" s="1"/>
      <c r="L567" s="1"/>
      <c r="M567" s="1"/>
      <c r="N567" s="1"/>
      <c r="O567" s="1"/>
      <c r="P567" s="1"/>
      <c r="Q567" s="1"/>
      <c r="R567" s="1"/>
      <c r="S567" s="1"/>
      <c r="T567" s="1"/>
      <c r="U567" s="2"/>
      <c r="V567" s="1"/>
      <c r="W567" s="1"/>
      <c r="X567" s="1"/>
      <c r="Y567" s="1"/>
      <c r="Z567" s="1"/>
    </row>
    <row r="568" spans="1:26" ht="24.75" customHeight="1">
      <c r="A568" s="1"/>
      <c r="B568" s="1"/>
      <c r="C568" s="1"/>
      <c r="D568" s="1"/>
      <c r="E568" s="1"/>
      <c r="F568" s="1"/>
      <c r="G568" s="1"/>
      <c r="H568" s="1"/>
      <c r="I568" s="1"/>
      <c r="J568" s="1"/>
      <c r="K568" s="1"/>
      <c r="L568" s="1"/>
      <c r="M568" s="1"/>
      <c r="N568" s="1"/>
      <c r="O568" s="1"/>
      <c r="P568" s="1"/>
      <c r="Q568" s="1"/>
      <c r="R568" s="1"/>
      <c r="S568" s="1"/>
      <c r="T568" s="1"/>
      <c r="U568" s="2"/>
      <c r="V568" s="1"/>
      <c r="W568" s="1"/>
      <c r="X568" s="1"/>
      <c r="Y568" s="1"/>
      <c r="Z568" s="1"/>
    </row>
    <row r="569" spans="1:26" ht="24.75" customHeight="1">
      <c r="A569" s="1"/>
      <c r="B569" s="1"/>
      <c r="C569" s="1"/>
      <c r="D569" s="1"/>
      <c r="E569" s="1"/>
      <c r="F569" s="1"/>
      <c r="G569" s="1"/>
      <c r="H569" s="1"/>
      <c r="I569" s="1"/>
      <c r="J569" s="1"/>
      <c r="K569" s="1"/>
      <c r="L569" s="1"/>
      <c r="M569" s="1"/>
      <c r="N569" s="1"/>
      <c r="O569" s="1"/>
      <c r="P569" s="1"/>
      <c r="Q569" s="1"/>
      <c r="R569" s="1"/>
      <c r="S569" s="1"/>
      <c r="T569" s="1"/>
      <c r="U569" s="2"/>
      <c r="V569" s="1"/>
      <c r="W569" s="1"/>
      <c r="X569" s="1"/>
      <c r="Y569" s="1"/>
      <c r="Z569" s="1"/>
    </row>
    <row r="570" spans="1:26" ht="24.75" customHeight="1">
      <c r="A570" s="1"/>
      <c r="B570" s="1"/>
      <c r="C570" s="1"/>
      <c r="D570" s="1"/>
      <c r="E570" s="1"/>
      <c r="F570" s="1"/>
      <c r="G570" s="1"/>
      <c r="H570" s="1"/>
      <c r="I570" s="1"/>
      <c r="J570" s="1"/>
      <c r="K570" s="1"/>
      <c r="L570" s="1"/>
      <c r="M570" s="1"/>
      <c r="N570" s="1"/>
      <c r="O570" s="1"/>
      <c r="P570" s="1"/>
      <c r="Q570" s="1"/>
      <c r="R570" s="1"/>
      <c r="S570" s="1"/>
      <c r="T570" s="1"/>
      <c r="U570" s="2"/>
      <c r="V570" s="1"/>
      <c r="W570" s="1"/>
      <c r="X570" s="1"/>
      <c r="Y570" s="1"/>
      <c r="Z570" s="1"/>
    </row>
    <row r="571" spans="1:26" ht="24.75" customHeight="1">
      <c r="A571" s="1"/>
      <c r="B571" s="1"/>
      <c r="C571" s="1"/>
      <c r="D571" s="1"/>
      <c r="E571" s="1"/>
      <c r="F571" s="1"/>
      <c r="G571" s="1"/>
      <c r="H571" s="1"/>
      <c r="I571" s="1"/>
      <c r="J571" s="1"/>
      <c r="K571" s="1"/>
      <c r="L571" s="1"/>
      <c r="M571" s="1"/>
      <c r="N571" s="1"/>
      <c r="O571" s="1"/>
      <c r="P571" s="1"/>
      <c r="Q571" s="1"/>
      <c r="R571" s="1"/>
      <c r="S571" s="1"/>
      <c r="T571" s="1"/>
      <c r="U571" s="2"/>
      <c r="V571" s="1"/>
      <c r="W571" s="1"/>
      <c r="X571" s="1"/>
      <c r="Y571" s="1"/>
      <c r="Z571" s="1"/>
    </row>
    <row r="572" spans="1:26" ht="24.75" customHeight="1">
      <c r="A572" s="1"/>
      <c r="B572" s="1"/>
      <c r="C572" s="1"/>
      <c r="D572" s="1"/>
      <c r="E572" s="1"/>
      <c r="F572" s="1"/>
      <c r="G572" s="1"/>
      <c r="H572" s="1"/>
      <c r="I572" s="1"/>
      <c r="J572" s="1"/>
      <c r="K572" s="1"/>
      <c r="L572" s="1"/>
      <c r="M572" s="1"/>
      <c r="N572" s="1"/>
      <c r="O572" s="1"/>
      <c r="P572" s="1"/>
      <c r="Q572" s="1"/>
      <c r="R572" s="1"/>
      <c r="S572" s="1"/>
      <c r="T572" s="1"/>
      <c r="U572" s="2"/>
      <c r="V572" s="1"/>
      <c r="W572" s="1"/>
      <c r="X572" s="1"/>
      <c r="Y572" s="1"/>
      <c r="Z572" s="1"/>
    </row>
    <row r="573" spans="1:26" ht="24.75" customHeight="1">
      <c r="A573" s="1"/>
      <c r="B573" s="1"/>
      <c r="C573" s="1"/>
      <c r="D573" s="1"/>
      <c r="E573" s="1"/>
      <c r="F573" s="1"/>
      <c r="G573" s="1"/>
      <c r="H573" s="1"/>
      <c r="I573" s="1"/>
      <c r="J573" s="1"/>
      <c r="K573" s="1"/>
      <c r="L573" s="1"/>
      <c r="M573" s="1"/>
      <c r="N573" s="1"/>
      <c r="O573" s="1"/>
      <c r="P573" s="1"/>
      <c r="Q573" s="1"/>
      <c r="R573" s="1"/>
      <c r="S573" s="1"/>
      <c r="T573" s="1"/>
      <c r="U573" s="2"/>
      <c r="V573" s="1"/>
      <c r="W573" s="1"/>
      <c r="X573" s="1"/>
      <c r="Y573" s="1"/>
      <c r="Z573" s="1"/>
    </row>
    <row r="574" spans="1:26" ht="24.75" customHeight="1">
      <c r="A574" s="1"/>
      <c r="B574" s="1"/>
      <c r="C574" s="1"/>
      <c r="D574" s="1"/>
      <c r="E574" s="1"/>
      <c r="F574" s="1"/>
      <c r="G574" s="1"/>
      <c r="H574" s="1"/>
      <c r="I574" s="1"/>
      <c r="J574" s="1"/>
      <c r="K574" s="1"/>
      <c r="L574" s="1"/>
      <c r="M574" s="1"/>
      <c r="N574" s="1"/>
      <c r="O574" s="1"/>
      <c r="P574" s="1"/>
      <c r="Q574" s="1"/>
      <c r="R574" s="1"/>
      <c r="S574" s="1"/>
      <c r="T574" s="1"/>
      <c r="U574" s="2"/>
      <c r="V574" s="1"/>
      <c r="W574" s="1"/>
      <c r="X574" s="1"/>
      <c r="Y574" s="1"/>
      <c r="Z574" s="1"/>
    </row>
    <row r="575" spans="1:26" ht="24.75" customHeight="1">
      <c r="A575" s="1"/>
      <c r="B575" s="1"/>
      <c r="C575" s="1"/>
      <c r="D575" s="1"/>
      <c r="E575" s="1"/>
      <c r="F575" s="1"/>
      <c r="G575" s="1"/>
      <c r="H575" s="1"/>
      <c r="I575" s="1"/>
      <c r="J575" s="1"/>
      <c r="K575" s="1"/>
      <c r="L575" s="1"/>
      <c r="M575" s="1"/>
      <c r="N575" s="1"/>
      <c r="O575" s="1"/>
      <c r="P575" s="1"/>
      <c r="Q575" s="1"/>
      <c r="R575" s="1"/>
      <c r="S575" s="1"/>
      <c r="T575" s="1"/>
      <c r="U575" s="2"/>
      <c r="V575" s="1"/>
      <c r="W575" s="1"/>
      <c r="X575" s="1"/>
      <c r="Y575" s="1"/>
      <c r="Z575" s="1"/>
    </row>
    <row r="576" spans="1:26" ht="24.75" customHeight="1">
      <c r="A576" s="1"/>
      <c r="B576" s="1"/>
      <c r="C576" s="1"/>
      <c r="D576" s="1"/>
      <c r="E576" s="1"/>
      <c r="F576" s="1"/>
      <c r="G576" s="1"/>
      <c r="H576" s="1"/>
      <c r="I576" s="1"/>
      <c r="J576" s="1"/>
      <c r="K576" s="1"/>
      <c r="L576" s="1"/>
      <c r="M576" s="1"/>
      <c r="N576" s="1"/>
      <c r="O576" s="1"/>
      <c r="P576" s="1"/>
      <c r="Q576" s="1"/>
      <c r="R576" s="1"/>
      <c r="S576" s="1"/>
      <c r="T576" s="1"/>
      <c r="U576" s="2"/>
      <c r="V576" s="1"/>
      <c r="W576" s="1"/>
      <c r="X576" s="1"/>
      <c r="Y576" s="1"/>
      <c r="Z576" s="1"/>
    </row>
    <row r="577" spans="1:26" ht="24.75" customHeight="1">
      <c r="A577" s="1"/>
      <c r="B577" s="1"/>
      <c r="C577" s="1"/>
      <c r="D577" s="1"/>
      <c r="E577" s="1"/>
      <c r="F577" s="1"/>
      <c r="G577" s="1"/>
      <c r="H577" s="1"/>
      <c r="I577" s="1"/>
      <c r="J577" s="1"/>
      <c r="K577" s="1"/>
      <c r="L577" s="1"/>
      <c r="M577" s="1"/>
      <c r="N577" s="1"/>
      <c r="O577" s="1"/>
      <c r="P577" s="1"/>
      <c r="Q577" s="1"/>
      <c r="R577" s="1"/>
      <c r="S577" s="1"/>
      <c r="T577" s="1"/>
      <c r="U577" s="2"/>
      <c r="V577" s="1"/>
      <c r="W577" s="1"/>
      <c r="X577" s="1"/>
      <c r="Y577" s="1"/>
      <c r="Z577" s="1"/>
    </row>
    <row r="578" spans="1:26" ht="24.75" customHeight="1">
      <c r="A578" s="1"/>
      <c r="B578" s="1"/>
      <c r="C578" s="1"/>
      <c r="D578" s="1"/>
      <c r="E578" s="1"/>
      <c r="F578" s="1"/>
      <c r="G578" s="1"/>
      <c r="H578" s="1"/>
      <c r="I578" s="1"/>
      <c r="J578" s="1"/>
      <c r="K578" s="1"/>
      <c r="L578" s="1"/>
      <c r="M578" s="1"/>
      <c r="N578" s="1"/>
      <c r="O578" s="1"/>
      <c r="P578" s="1"/>
      <c r="Q578" s="1"/>
      <c r="R578" s="1"/>
      <c r="S578" s="1"/>
      <c r="T578" s="1"/>
      <c r="U578" s="2"/>
      <c r="V578" s="1"/>
      <c r="W578" s="1"/>
      <c r="X578" s="1"/>
      <c r="Y578" s="1"/>
      <c r="Z578" s="1"/>
    </row>
    <row r="579" spans="1:26" ht="24.75" customHeight="1">
      <c r="A579" s="1"/>
      <c r="B579" s="1"/>
      <c r="C579" s="1"/>
      <c r="D579" s="1"/>
      <c r="E579" s="1"/>
      <c r="F579" s="1"/>
      <c r="G579" s="1"/>
      <c r="H579" s="1"/>
      <c r="I579" s="1"/>
      <c r="J579" s="1"/>
      <c r="K579" s="1"/>
      <c r="L579" s="1"/>
      <c r="M579" s="1"/>
      <c r="N579" s="1"/>
      <c r="O579" s="1"/>
      <c r="P579" s="1"/>
      <c r="Q579" s="1"/>
      <c r="R579" s="1"/>
      <c r="S579" s="1"/>
      <c r="T579" s="1"/>
      <c r="U579" s="2"/>
      <c r="V579" s="1"/>
      <c r="W579" s="1"/>
      <c r="X579" s="1"/>
      <c r="Y579" s="1"/>
      <c r="Z579" s="1"/>
    </row>
    <row r="580" spans="1:26" ht="24.75" customHeight="1">
      <c r="A580" s="1"/>
      <c r="B580" s="1"/>
      <c r="C580" s="1"/>
      <c r="D580" s="1"/>
      <c r="E580" s="1"/>
      <c r="F580" s="1"/>
      <c r="G580" s="1"/>
      <c r="H580" s="1"/>
      <c r="I580" s="1"/>
      <c r="J580" s="1"/>
      <c r="K580" s="1"/>
      <c r="L580" s="1"/>
      <c r="M580" s="1"/>
      <c r="N580" s="1"/>
      <c r="O580" s="1"/>
      <c r="P580" s="1"/>
      <c r="Q580" s="1"/>
      <c r="R580" s="1"/>
      <c r="S580" s="1"/>
      <c r="T580" s="1"/>
      <c r="U580" s="2"/>
      <c r="V580" s="1"/>
      <c r="W580" s="1"/>
      <c r="X580" s="1"/>
      <c r="Y580" s="1"/>
      <c r="Z580" s="1"/>
    </row>
    <row r="581" spans="1:26" ht="24.75" customHeight="1">
      <c r="A581" s="1"/>
      <c r="B581" s="1"/>
      <c r="C581" s="1"/>
      <c r="D581" s="1"/>
      <c r="E581" s="1"/>
      <c r="F581" s="1"/>
      <c r="G581" s="1"/>
      <c r="H581" s="1"/>
      <c r="I581" s="1"/>
      <c r="J581" s="1"/>
      <c r="K581" s="1"/>
      <c r="L581" s="1"/>
      <c r="M581" s="1"/>
      <c r="N581" s="1"/>
      <c r="O581" s="1"/>
      <c r="P581" s="1"/>
      <c r="Q581" s="1"/>
      <c r="R581" s="1"/>
      <c r="S581" s="1"/>
      <c r="T581" s="1"/>
      <c r="U581" s="2"/>
      <c r="V581" s="1"/>
      <c r="W581" s="1"/>
      <c r="X581" s="1"/>
      <c r="Y581" s="1"/>
      <c r="Z581" s="1"/>
    </row>
    <row r="582" spans="1:26" ht="24.75" customHeight="1">
      <c r="A582" s="1"/>
      <c r="B582" s="1"/>
      <c r="C582" s="1"/>
      <c r="D582" s="1"/>
      <c r="E582" s="1"/>
      <c r="F582" s="1"/>
      <c r="G582" s="1"/>
      <c r="H582" s="1"/>
      <c r="I582" s="1"/>
      <c r="J582" s="1"/>
      <c r="K582" s="1"/>
      <c r="L582" s="1"/>
      <c r="M582" s="1"/>
      <c r="N582" s="1"/>
      <c r="O582" s="1"/>
      <c r="P582" s="1"/>
      <c r="Q582" s="1"/>
      <c r="R582" s="1"/>
      <c r="S582" s="1"/>
      <c r="T582" s="1"/>
      <c r="U582" s="2"/>
      <c r="V582" s="1"/>
      <c r="W582" s="1"/>
      <c r="X582" s="1"/>
      <c r="Y582" s="1"/>
      <c r="Z582" s="1"/>
    </row>
    <row r="583" spans="1:26" ht="24.75" customHeight="1">
      <c r="A583" s="1"/>
      <c r="B583" s="1"/>
      <c r="C583" s="1"/>
      <c r="D583" s="1"/>
      <c r="E583" s="1"/>
      <c r="F583" s="1"/>
      <c r="G583" s="1"/>
      <c r="H583" s="1"/>
      <c r="I583" s="1"/>
      <c r="J583" s="1"/>
      <c r="K583" s="1"/>
      <c r="L583" s="1"/>
      <c r="M583" s="1"/>
      <c r="N583" s="1"/>
      <c r="O583" s="1"/>
      <c r="P583" s="1"/>
      <c r="Q583" s="1"/>
      <c r="R583" s="1"/>
      <c r="S583" s="1"/>
      <c r="T583" s="1"/>
      <c r="U583" s="2"/>
      <c r="V583" s="1"/>
      <c r="W583" s="1"/>
      <c r="X583" s="1"/>
      <c r="Y583" s="1"/>
      <c r="Z583" s="1"/>
    </row>
    <row r="584" spans="1:26" ht="24.75" customHeight="1">
      <c r="A584" s="1"/>
      <c r="B584" s="1"/>
      <c r="C584" s="1"/>
      <c r="D584" s="1"/>
      <c r="E584" s="1"/>
      <c r="F584" s="1"/>
      <c r="G584" s="1"/>
      <c r="H584" s="1"/>
      <c r="I584" s="1"/>
      <c r="J584" s="1"/>
      <c r="K584" s="1"/>
      <c r="L584" s="1"/>
      <c r="M584" s="1"/>
      <c r="N584" s="1"/>
      <c r="O584" s="1"/>
      <c r="P584" s="1"/>
      <c r="Q584" s="1"/>
      <c r="R584" s="1"/>
      <c r="S584" s="1"/>
      <c r="T584" s="1"/>
      <c r="U584" s="2"/>
      <c r="V584" s="1"/>
      <c r="W584" s="1"/>
      <c r="X584" s="1"/>
      <c r="Y584" s="1"/>
      <c r="Z584" s="1"/>
    </row>
    <row r="585" spans="1:26" ht="24.75" customHeight="1">
      <c r="A585" s="1"/>
      <c r="B585" s="1"/>
      <c r="C585" s="1"/>
      <c r="D585" s="1"/>
      <c r="E585" s="1"/>
      <c r="F585" s="1"/>
      <c r="G585" s="1"/>
      <c r="H585" s="1"/>
      <c r="I585" s="1"/>
      <c r="J585" s="1"/>
      <c r="K585" s="1"/>
      <c r="L585" s="1"/>
      <c r="M585" s="1"/>
      <c r="N585" s="1"/>
      <c r="O585" s="1"/>
      <c r="P585" s="1"/>
      <c r="Q585" s="1"/>
      <c r="R585" s="1"/>
      <c r="S585" s="1"/>
      <c r="T585" s="1"/>
      <c r="U585" s="2"/>
      <c r="V585" s="1"/>
      <c r="W585" s="1"/>
      <c r="X585" s="1"/>
      <c r="Y585" s="1"/>
      <c r="Z585" s="1"/>
    </row>
    <row r="586" spans="1:26" ht="24.75" customHeight="1">
      <c r="A586" s="1"/>
      <c r="B586" s="1"/>
      <c r="C586" s="1"/>
      <c r="D586" s="1"/>
      <c r="E586" s="1"/>
      <c r="F586" s="1"/>
      <c r="G586" s="1"/>
      <c r="H586" s="1"/>
      <c r="I586" s="1"/>
      <c r="J586" s="1"/>
      <c r="K586" s="1"/>
      <c r="L586" s="1"/>
      <c r="M586" s="1"/>
      <c r="N586" s="1"/>
      <c r="O586" s="1"/>
      <c r="P586" s="1"/>
      <c r="Q586" s="1"/>
      <c r="R586" s="1"/>
      <c r="S586" s="1"/>
      <c r="T586" s="1"/>
      <c r="U586" s="2"/>
      <c r="V586" s="1"/>
      <c r="W586" s="1"/>
      <c r="X586" s="1"/>
      <c r="Y586" s="1"/>
      <c r="Z586" s="1"/>
    </row>
    <row r="587" spans="1:26" ht="24.75" customHeight="1">
      <c r="A587" s="1"/>
      <c r="B587" s="1"/>
      <c r="C587" s="1"/>
      <c r="D587" s="1"/>
      <c r="E587" s="1"/>
      <c r="F587" s="1"/>
      <c r="G587" s="1"/>
      <c r="H587" s="1"/>
      <c r="I587" s="1"/>
      <c r="J587" s="1"/>
      <c r="K587" s="1"/>
      <c r="L587" s="1"/>
      <c r="M587" s="1"/>
      <c r="N587" s="1"/>
      <c r="O587" s="1"/>
      <c r="P587" s="1"/>
      <c r="Q587" s="1"/>
      <c r="R587" s="1"/>
      <c r="S587" s="1"/>
      <c r="T587" s="1"/>
      <c r="U587" s="2"/>
      <c r="V587" s="1"/>
      <c r="W587" s="1"/>
      <c r="X587" s="1"/>
      <c r="Y587" s="1"/>
      <c r="Z587" s="1"/>
    </row>
    <row r="588" spans="1:26" ht="24.75" customHeight="1">
      <c r="A588" s="1"/>
      <c r="B588" s="1"/>
      <c r="C588" s="1"/>
      <c r="D588" s="1"/>
      <c r="E588" s="1"/>
      <c r="F588" s="1"/>
      <c r="G588" s="1"/>
      <c r="H588" s="1"/>
      <c r="I588" s="1"/>
      <c r="J588" s="1"/>
      <c r="K588" s="1"/>
      <c r="L588" s="1"/>
      <c r="M588" s="1"/>
      <c r="N588" s="1"/>
      <c r="O588" s="1"/>
      <c r="P588" s="1"/>
      <c r="Q588" s="1"/>
      <c r="R588" s="1"/>
      <c r="S588" s="1"/>
      <c r="T588" s="1"/>
      <c r="U588" s="2"/>
      <c r="V588" s="1"/>
      <c r="W588" s="1"/>
      <c r="X588" s="1"/>
      <c r="Y588" s="1"/>
      <c r="Z588" s="1"/>
    </row>
    <row r="589" spans="1:26" ht="24.75" customHeight="1">
      <c r="A589" s="1"/>
      <c r="B589" s="1"/>
      <c r="C589" s="1"/>
      <c r="D589" s="1"/>
      <c r="E589" s="1"/>
      <c r="F589" s="1"/>
      <c r="G589" s="1"/>
      <c r="H589" s="1"/>
      <c r="I589" s="1"/>
      <c r="J589" s="1"/>
      <c r="K589" s="1"/>
      <c r="L589" s="1"/>
      <c r="M589" s="1"/>
      <c r="N589" s="1"/>
      <c r="O589" s="1"/>
      <c r="P589" s="1"/>
      <c r="Q589" s="1"/>
      <c r="R589" s="1"/>
      <c r="S589" s="1"/>
      <c r="T589" s="1"/>
      <c r="U589" s="2"/>
      <c r="V589" s="1"/>
      <c r="W589" s="1"/>
      <c r="X589" s="1"/>
      <c r="Y589" s="1"/>
      <c r="Z589" s="1"/>
    </row>
    <row r="590" spans="1:26" ht="24.75" customHeight="1">
      <c r="A590" s="1"/>
      <c r="B590" s="1"/>
      <c r="C590" s="1"/>
      <c r="D590" s="1"/>
      <c r="E590" s="1"/>
      <c r="F590" s="1"/>
      <c r="G590" s="1"/>
      <c r="H590" s="1"/>
      <c r="I590" s="1"/>
      <c r="J590" s="1"/>
      <c r="K590" s="1"/>
      <c r="L590" s="1"/>
      <c r="M590" s="1"/>
      <c r="N590" s="1"/>
      <c r="O590" s="1"/>
      <c r="P590" s="1"/>
      <c r="Q590" s="1"/>
      <c r="R590" s="1"/>
      <c r="S590" s="1"/>
      <c r="T590" s="1"/>
      <c r="U590" s="2"/>
      <c r="V590" s="1"/>
      <c r="W590" s="1"/>
      <c r="X590" s="1"/>
      <c r="Y590" s="1"/>
      <c r="Z590" s="1"/>
    </row>
    <row r="591" spans="1:26" ht="24.75" customHeight="1">
      <c r="A591" s="1"/>
      <c r="B591" s="1"/>
      <c r="C591" s="1"/>
      <c r="D591" s="1"/>
      <c r="E591" s="1"/>
      <c r="F591" s="1"/>
      <c r="G591" s="1"/>
      <c r="H591" s="1"/>
      <c r="I591" s="1"/>
      <c r="J591" s="1"/>
      <c r="K591" s="1"/>
      <c r="L591" s="1"/>
      <c r="M591" s="1"/>
      <c r="N591" s="1"/>
      <c r="O591" s="1"/>
      <c r="P591" s="1"/>
      <c r="Q591" s="1"/>
      <c r="R591" s="1"/>
      <c r="S591" s="1"/>
      <c r="T591" s="1"/>
      <c r="U591" s="2"/>
      <c r="V591" s="1"/>
      <c r="W591" s="1"/>
      <c r="X591" s="1"/>
      <c r="Y591" s="1"/>
      <c r="Z591" s="1"/>
    </row>
    <row r="592" spans="1:26" ht="24.75" customHeight="1">
      <c r="A592" s="1"/>
      <c r="B592" s="1"/>
      <c r="C592" s="1"/>
      <c r="D592" s="1"/>
      <c r="E592" s="1"/>
      <c r="F592" s="1"/>
      <c r="G592" s="1"/>
      <c r="H592" s="1"/>
      <c r="I592" s="1"/>
      <c r="J592" s="1"/>
      <c r="K592" s="1"/>
      <c r="L592" s="1"/>
      <c r="M592" s="1"/>
      <c r="N592" s="1"/>
      <c r="O592" s="1"/>
      <c r="P592" s="1"/>
      <c r="Q592" s="1"/>
      <c r="R592" s="1"/>
      <c r="S592" s="1"/>
      <c r="T592" s="1"/>
      <c r="U592" s="2"/>
      <c r="V592" s="1"/>
      <c r="W592" s="1"/>
      <c r="X592" s="1"/>
      <c r="Y592" s="1"/>
      <c r="Z592" s="1"/>
    </row>
    <row r="593" spans="1:26" ht="24.75" customHeight="1">
      <c r="A593" s="1"/>
      <c r="B593" s="1"/>
      <c r="C593" s="1"/>
      <c r="D593" s="1"/>
      <c r="E593" s="1"/>
      <c r="F593" s="1"/>
      <c r="G593" s="1"/>
      <c r="H593" s="1"/>
      <c r="I593" s="1"/>
      <c r="J593" s="1"/>
      <c r="K593" s="1"/>
      <c r="L593" s="1"/>
      <c r="M593" s="1"/>
      <c r="N593" s="1"/>
      <c r="O593" s="1"/>
      <c r="P593" s="1"/>
      <c r="Q593" s="1"/>
      <c r="R593" s="1"/>
      <c r="S593" s="1"/>
      <c r="T593" s="1"/>
      <c r="U593" s="2"/>
      <c r="V593" s="1"/>
      <c r="W593" s="1"/>
      <c r="X593" s="1"/>
      <c r="Y593" s="1"/>
      <c r="Z593" s="1"/>
    </row>
    <row r="594" spans="1:26" ht="24.75" customHeight="1">
      <c r="A594" s="1"/>
      <c r="B594" s="1"/>
      <c r="C594" s="1"/>
      <c r="D594" s="1"/>
      <c r="E594" s="1"/>
      <c r="F594" s="1"/>
      <c r="G594" s="1"/>
      <c r="H594" s="1"/>
      <c r="I594" s="1"/>
      <c r="J594" s="1"/>
      <c r="K594" s="1"/>
      <c r="L594" s="1"/>
      <c r="M594" s="1"/>
      <c r="N594" s="1"/>
      <c r="O594" s="1"/>
      <c r="P594" s="1"/>
      <c r="Q594" s="1"/>
      <c r="R594" s="1"/>
      <c r="S594" s="1"/>
      <c r="T594" s="1"/>
      <c r="U594" s="2"/>
      <c r="V594" s="1"/>
      <c r="W594" s="1"/>
      <c r="X594" s="1"/>
      <c r="Y594" s="1"/>
      <c r="Z594" s="1"/>
    </row>
    <row r="595" spans="1:26" ht="24.75" customHeight="1">
      <c r="A595" s="1"/>
      <c r="B595" s="1"/>
      <c r="C595" s="1"/>
      <c r="D595" s="1"/>
      <c r="E595" s="1"/>
      <c r="F595" s="1"/>
      <c r="G595" s="1"/>
      <c r="H595" s="1"/>
      <c r="I595" s="1"/>
      <c r="J595" s="1"/>
      <c r="K595" s="1"/>
      <c r="L595" s="1"/>
      <c r="M595" s="1"/>
      <c r="N595" s="1"/>
      <c r="O595" s="1"/>
      <c r="P595" s="1"/>
      <c r="Q595" s="1"/>
      <c r="R595" s="1"/>
      <c r="S595" s="1"/>
      <c r="T595" s="1"/>
      <c r="U595" s="2"/>
      <c r="V595" s="1"/>
      <c r="W595" s="1"/>
      <c r="X595" s="1"/>
      <c r="Y595" s="1"/>
      <c r="Z595" s="1"/>
    </row>
    <row r="596" spans="1:26" ht="24.75" customHeight="1">
      <c r="A596" s="1"/>
      <c r="B596" s="1"/>
      <c r="C596" s="1"/>
      <c r="D596" s="1"/>
      <c r="E596" s="1"/>
      <c r="F596" s="1"/>
      <c r="G596" s="1"/>
      <c r="H596" s="1"/>
      <c r="I596" s="1"/>
      <c r="J596" s="1"/>
      <c r="K596" s="1"/>
      <c r="L596" s="1"/>
      <c r="M596" s="1"/>
      <c r="N596" s="1"/>
      <c r="O596" s="1"/>
      <c r="P596" s="1"/>
      <c r="Q596" s="1"/>
      <c r="R596" s="1"/>
      <c r="S596" s="1"/>
      <c r="T596" s="1"/>
      <c r="U596" s="2"/>
      <c r="V596" s="1"/>
      <c r="W596" s="1"/>
      <c r="X596" s="1"/>
      <c r="Y596" s="1"/>
      <c r="Z596" s="1"/>
    </row>
    <row r="597" spans="1:26" ht="24.75" customHeight="1">
      <c r="A597" s="1"/>
      <c r="B597" s="1"/>
      <c r="C597" s="1"/>
      <c r="D597" s="1"/>
      <c r="E597" s="1"/>
      <c r="F597" s="1"/>
      <c r="G597" s="1"/>
      <c r="H597" s="1"/>
      <c r="I597" s="1"/>
      <c r="J597" s="1"/>
      <c r="K597" s="1"/>
      <c r="L597" s="1"/>
      <c r="M597" s="1"/>
      <c r="N597" s="1"/>
      <c r="O597" s="1"/>
      <c r="P597" s="1"/>
      <c r="Q597" s="1"/>
      <c r="R597" s="1"/>
      <c r="S597" s="1"/>
      <c r="T597" s="1"/>
      <c r="U597" s="2"/>
      <c r="V597" s="1"/>
      <c r="W597" s="1"/>
      <c r="X597" s="1"/>
      <c r="Y597" s="1"/>
      <c r="Z597" s="1"/>
    </row>
    <row r="598" spans="1:26" ht="24.75" customHeight="1">
      <c r="A598" s="1"/>
      <c r="B598" s="1"/>
      <c r="C598" s="1"/>
      <c r="D598" s="1"/>
      <c r="E598" s="1"/>
      <c r="F598" s="1"/>
      <c r="G598" s="1"/>
      <c r="H598" s="1"/>
      <c r="I598" s="1"/>
      <c r="J598" s="1"/>
      <c r="K598" s="1"/>
      <c r="L598" s="1"/>
      <c r="M598" s="1"/>
      <c r="N598" s="1"/>
      <c r="O598" s="1"/>
      <c r="P598" s="1"/>
      <c r="Q598" s="1"/>
      <c r="R598" s="1"/>
      <c r="S598" s="1"/>
      <c r="T598" s="1"/>
      <c r="U598" s="2"/>
      <c r="V598" s="1"/>
      <c r="W598" s="1"/>
      <c r="X598" s="1"/>
      <c r="Y598" s="1"/>
      <c r="Z598" s="1"/>
    </row>
    <row r="599" spans="1:26" ht="24.75" customHeight="1">
      <c r="A599" s="1"/>
      <c r="B599" s="1"/>
      <c r="C599" s="1"/>
      <c r="D599" s="1"/>
      <c r="E599" s="1"/>
      <c r="F599" s="1"/>
      <c r="G599" s="1"/>
      <c r="H599" s="1"/>
      <c r="I599" s="1"/>
      <c r="J599" s="1"/>
      <c r="K599" s="1"/>
      <c r="L599" s="1"/>
      <c r="M599" s="1"/>
      <c r="N599" s="1"/>
      <c r="O599" s="1"/>
      <c r="P599" s="1"/>
      <c r="Q599" s="1"/>
      <c r="R599" s="1"/>
      <c r="S599" s="1"/>
      <c r="T599" s="1"/>
      <c r="U599" s="2"/>
      <c r="V599" s="1"/>
      <c r="W599" s="1"/>
      <c r="X599" s="1"/>
      <c r="Y599" s="1"/>
      <c r="Z599" s="1"/>
    </row>
    <row r="600" spans="1:26" ht="24.75" customHeight="1">
      <c r="A600" s="1"/>
      <c r="B600" s="1"/>
      <c r="C600" s="1"/>
      <c r="D600" s="1"/>
      <c r="E600" s="1"/>
      <c r="F600" s="1"/>
      <c r="G600" s="1"/>
      <c r="H600" s="1"/>
      <c r="I600" s="1"/>
      <c r="J600" s="1"/>
      <c r="K600" s="1"/>
      <c r="L600" s="1"/>
      <c r="M600" s="1"/>
      <c r="N600" s="1"/>
      <c r="O600" s="1"/>
      <c r="P600" s="1"/>
      <c r="Q600" s="1"/>
      <c r="R600" s="1"/>
      <c r="S600" s="1"/>
      <c r="T600" s="1"/>
      <c r="U600" s="2"/>
      <c r="V600" s="1"/>
      <c r="W600" s="1"/>
      <c r="X600" s="1"/>
      <c r="Y600" s="1"/>
      <c r="Z600" s="1"/>
    </row>
    <row r="601" spans="1:26" ht="24.75" customHeight="1">
      <c r="A601" s="1"/>
      <c r="B601" s="1"/>
      <c r="C601" s="1"/>
      <c r="D601" s="1"/>
      <c r="E601" s="1"/>
      <c r="F601" s="1"/>
      <c r="G601" s="1"/>
      <c r="H601" s="1"/>
      <c r="I601" s="1"/>
      <c r="J601" s="1"/>
      <c r="K601" s="1"/>
      <c r="L601" s="1"/>
      <c r="M601" s="1"/>
      <c r="N601" s="1"/>
      <c r="O601" s="1"/>
      <c r="P601" s="1"/>
      <c r="Q601" s="1"/>
      <c r="R601" s="1"/>
      <c r="S601" s="1"/>
      <c r="T601" s="1"/>
      <c r="U601" s="2"/>
      <c r="V601" s="1"/>
      <c r="W601" s="1"/>
      <c r="X601" s="1"/>
      <c r="Y601" s="1"/>
      <c r="Z601" s="1"/>
    </row>
    <row r="602" spans="1:26" ht="24.75" customHeight="1">
      <c r="A602" s="1"/>
      <c r="B602" s="1"/>
      <c r="C602" s="1"/>
      <c r="D602" s="1"/>
      <c r="E602" s="1"/>
      <c r="F602" s="1"/>
      <c r="G602" s="1"/>
      <c r="H602" s="1"/>
      <c r="I602" s="1"/>
      <c r="J602" s="1"/>
      <c r="K602" s="1"/>
      <c r="L602" s="1"/>
      <c r="M602" s="1"/>
      <c r="N602" s="1"/>
      <c r="O602" s="1"/>
      <c r="P602" s="1"/>
      <c r="Q602" s="1"/>
      <c r="R602" s="1"/>
      <c r="S602" s="1"/>
      <c r="T602" s="1"/>
      <c r="U602" s="2"/>
      <c r="V602" s="1"/>
      <c r="W602" s="1"/>
      <c r="X602" s="1"/>
      <c r="Y602" s="1"/>
      <c r="Z602" s="1"/>
    </row>
    <row r="603" spans="1:26" ht="24.75" customHeight="1">
      <c r="A603" s="1"/>
      <c r="B603" s="1"/>
      <c r="C603" s="1"/>
      <c r="D603" s="1"/>
      <c r="E603" s="1"/>
      <c r="F603" s="1"/>
      <c r="G603" s="1"/>
      <c r="H603" s="1"/>
      <c r="I603" s="1"/>
      <c r="J603" s="1"/>
      <c r="K603" s="1"/>
      <c r="L603" s="1"/>
      <c r="M603" s="1"/>
      <c r="N603" s="1"/>
      <c r="O603" s="1"/>
      <c r="P603" s="1"/>
      <c r="Q603" s="1"/>
      <c r="R603" s="1"/>
      <c r="S603" s="1"/>
      <c r="T603" s="1"/>
      <c r="U603" s="2"/>
      <c r="V603" s="1"/>
      <c r="W603" s="1"/>
      <c r="X603" s="1"/>
      <c r="Y603" s="1"/>
      <c r="Z603" s="1"/>
    </row>
    <row r="604" spans="1:26" ht="24.75" customHeight="1">
      <c r="A604" s="1"/>
      <c r="B604" s="1"/>
      <c r="C604" s="1"/>
      <c r="D604" s="1"/>
      <c r="E604" s="1"/>
      <c r="F604" s="1"/>
      <c r="G604" s="1"/>
      <c r="H604" s="1"/>
      <c r="I604" s="1"/>
      <c r="J604" s="1"/>
      <c r="K604" s="1"/>
      <c r="L604" s="1"/>
      <c r="M604" s="1"/>
      <c r="N604" s="1"/>
      <c r="O604" s="1"/>
      <c r="P604" s="1"/>
      <c r="Q604" s="1"/>
      <c r="R604" s="1"/>
      <c r="S604" s="1"/>
      <c r="T604" s="1"/>
      <c r="U604" s="2"/>
      <c r="V604" s="1"/>
      <c r="W604" s="1"/>
      <c r="X604" s="1"/>
      <c r="Y604" s="1"/>
      <c r="Z604" s="1"/>
    </row>
    <row r="605" spans="1:26" ht="24.75" customHeight="1">
      <c r="A605" s="1"/>
      <c r="B605" s="1"/>
      <c r="C605" s="1"/>
      <c r="D605" s="1"/>
      <c r="E605" s="1"/>
      <c r="F605" s="1"/>
      <c r="G605" s="1"/>
      <c r="H605" s="1"/>
      <c r="I605" s="1"/>
      <c r="J605" s="1"/>
      <c r="K605" s="1"/>
      <c r="L605" s="1"/>
      <c r="M605" s="1"/>
      <c r="N605" s="1"/>
      <c r="O605" s="1"/>
      <c r="P605" s="1"/>
      <c r="Q605" s="1"/>
      <c r="R605" s="1"/>
      <c r="S605" s="1"/>
      <c r="T605" s="1"/>
      <c r="U605" s="2"/>
      <c r="V605" s="1"/>
      <c r="W605" s="1"/>
      <c r="X605" s="1"/>
      <c r="Y605" s="1"/>
      <c r="Z605" s="1"/>
    </row>
    <row r="606" spans="1:26" ht="24.75" customHeight="1">
      <c r="A606" s="1"/>
      <c r="B606" s="1"/>
      <c r="C606" s="1"/>
      <c r="D606" s="1"/>
      <c r="E606" s="1"/>
      <c r="F606" s="1"/>
      <c r="G606" s="1"/>
      <c r="H606" s="1"/>
      <c r="I606" s="1"/>
      <c r="J606" s="1"/>
      <c r="K606" s="1"/>
      <c r="L606" s="1"/>
      <c r="M606" s="1"/>
      <c r="N606" s="1"/>
      <c r="O606" s="1"/>
      <c r="P606" s="1"/>
      <c r="Q606" s="1"/>
      <c r="R606" s="1"/>
      <c r="S606" s="1"/>
      <c r="T606" s="1"/>
      <c r="U606" s="2"/>
      <c r="V606" s="1"/>
      <c r="W606" s="1"/>
      <c r="X606" s="1"/>
      <c r="Y606" s="1"/>
      <c r="Z606" s="1"/>
    </row>
    <row r="607" spans="1:26" ht="24.75" customHeight="1">
      <c r="A607" s="1"/>
      <c r="B607" s="1"/>
      <c r="C607" s="1"/>
      <c r="D607" s="1"/>
      <c r="E607" s="1"/>
      <c r="F607" s="1"/>
      <c r="G607" s="1"/>
      <c r="H607" s="1"/>
      <c r="I607" s="1"/>
      <c r="J607" s="1"/>
      <c r="K607" s="1"/>
      <c r="L607" s="1"/>
      <c r="M607" s="1"/>
      <c r="N607" s="1"/>
      <c r="O607" s="1"/>
      <c r="P607" s="1"/>
      <c r="Q607" s="1"/>
      <c r="R607" s="1"/>
      <c r="S607" s="1"/>
      <c r="T607" s="1"/>
      <c r="U607" s="2"/>
      <c r="V607" s="1"/>
      <c r="W607" s="1"/>
      <c r="X607" s="1"/>
      <c r="Y607" s="1"/>
      <c r="Z607" s="1"/>
    </row>
    <row r="608" spans="1:26" ht="24.75" customHeight="1">
      <c r="A608" s="1"/>
      <c r="B608" s="1"/>
      <c r="C608" s="1"/>
      <c r="D608" s="1"/>
      <c r="E608" s="1"/>
      <c r="F608" s="1"/>
      <c r="G608" s="1"/>
      <c r="H608" s="1"/>
      <c r="I608" s="1"/>
      <c r="J608" s="1"/>
      <c r="K608" s="1"/>
      <c r="L608" s="1"/>
      <c r="M608" s="1"/>
      <c r="N608" s="1"/>
      <c r="O608" s="1"/>
      <c r="P608" s="1"/>
      <c r="Q608" s="1"/>
      <c r="R608" s="1"/>
      <c r="S608" s="1"/>
      <c r="T608" s="1"/>
      <c r="U608" s="2"/>
      <c r="V608" s="1"/>
      <c r="W608" s="1"/>
      <c r="X608" s="1"/>
      <c r="Y608" s="1"/>
      <c r="Z608" s="1"/>
    </row>
    <row r="609" spans="1:26" ht="24.75" customHeight="1">
      <c r="A609" s="1"/>
      <c r="B609" s="1"/>
      <c r="C609" s="1"/>
      <c r="D609" s="1"/>
      <c r="E609" s="1"/>
      <c r="F609" s="1"/>
      <c r="G609" s="1"/>
      <c r="H609" s="1"/>
      <c r="I609" s="1"/>
      <c r="J609" s="1"/>
      <c r="K609" s="1"/>
      <c r="L609" s="1"/>
      <c r="M609" s="1"/>
      <c r="N609" s="1"/>
      <c r="O609" s="1"/>
      <c r="P609" s="1"/>
      <c r="Q609" s="1"/>
      <c r="R609" s="1"/>
      <c r="S609" s="1"/>
      <c r="T609" s="1"/>
      <c r="U609" s="2"/>
      <c r="V609" s="1"/>
      <c r="W609" s="1"/>
      <c r="X609" s="1"/>
      <c r="Y609" s="1"/>
      <c r="Z609" s="1"/>
    </row>
    <row r="610" spans="1:26" ht="24.75" customHeight="1">
      <c r="A610" s="1"/>
      <c r="B610" s="1"/>
      <c r="C610" s="1"/>
      <c r="D610" s="1"/>
      <c r="E610" s="1"/>
      <c r="F610" s="1"/>
      <c r="G610" s="1"/>
      <c r="H610" s="1"/>
      <c r="I610" s="1"/>
      <c r="J610" s="1"/>
      <c r="K610" s="1"/>
      <c r="L610" s="1"/>
      <c r="M610" s="1"/>
      <c r="N610" s="1"/>
      <c r="O610" s="1"/>
      <c r="P610" s="1"/>
      <c r="Q610" s="1"/>
      <c r="R610" s="1"/>
      <c r="S610" s="1"/>
      <c r="T610" s="1"/>
      <c r="U610" s="2"/>
      <c r="V610" s="1"/>
      <c r="W610" s="1"/>
      <c r="X610" s="1"/>
      <c r="Y610" s="1"/>
      <c r="Z610" s="1"/>
    </row>
    <row r="611" spans="1:26" ht="24.75" customHeight="1">
      <c r="A611" s="1"/>
      <c r="B611" s="1"/>
      <c r="C611" s="1"/>
      <c r="D611" s="1"/>
      <c r="E611" s="1"/>
      <c r="F611" s="1"/>
      <c r="G611" s="1"/>
      <c r="H611" s="1"/>
      <c r="I611" s="1"/>
      <c r="J611" s="1"/>
      <c r="K611" s="1"/>
      <c r="L611" s="1"/>
      <c r="M611" s="1"/>
      <c r="N611" s="1"/>
      <c r="O611" s="1"/>
      <c r="P611" s="1"/>
      <c r="Q611" s="1"/>
      <c r="R611" s="1"/>
      <c r="S611" s="1"/>
      <c r="T611" s="1"/>
      <c r="U611" s="2"/>
      <c r="V611" s="1"/>
      <c r="W611" s="1"/>
      <c r="X611" s="1"/>
      <c r="Y611" s="1"/>
      <c r="Z611" s="1"/>
    </row>
    <row r="612" spans="1:26" ht="24.75" customHeight="1">
      <c r="A612" s="1"/>
      <c r="B612" s="1"/>
      <c r="C612" s="1"/>
      <c r="D612" s="1"/>
      <c r="E612" s="1"/>
      <c r="F612" s="1"/>
      <c r="G612" s="1"/>
      <c r="H612" s="1"/>
      <c r="I612" s="1"/>
      <c r="J612" s="1"/>
      <c r="K612" s="1"/>
      <c r="L612" s="1"/>
      <c r="M612" s="1"/>
      <c r="N612" s="1"/>
      <c r="O612" s="1"/>
      <c r="P612" s="1"/>
      <c r="Q612" s="1"/>
      <c r="R612" s="1"/>
      <c r="S612" s="1"/>
      <c r="T612" s="1"/>
      <c r="U612" s="2"/>
      <c r="V612" s="1"/>
      <c r="W612" s="1"/>
      <c r="X612" s="1"/>
      <c r="Y612" s="1"/>
      <c r="Z612" s="1"/>
    </row>
    <row r="613" spans="1:26" ht="24.75" customHeight="1">
      <c r="A613" s="1"/>
      <c r="B613" s="1"/>
      <c r="C613" s="1"/>
      <c r="D613" s="1"/>
      <c r="E613" s="1"/>
      <c r="F613" s="1"/>
      <c r="G613" s="1"/>
      <c r="H613" s="1"/>
      <c r="I613" s="1"/>
      <c r="J613" s="1"/>
      <c r="K613" s="1"/>
      <c r="L613" s="1"/>
      <c r="M613" s="1"/>
      <c r="N613" s="1"/>
      <c r="O613" s="1"/>
      <c r="P613" s="1"/>
      <c r="Q613" s="1"/>
      <c r="R613" s="1"/>
      <c r="S613" s="1"/>
      <c r="T613" s="1"/>
      <c r="U613" s="2"/>
      <c r="V613" s="1"/>
      <c r="W613" s="1"/>
      <c r="X613" s="1"/>
      <c r="Y613" s="1"/>
      <c r="Z613" s="1"/>
    </row>
    <row r="614" spans="1:26" ht="24.75" customHeight="1">
      <c r="A614" s="1"/>
      <c r="B614" s="1"/>
      <c r="C614" s="1"/>
      <c r="D614" s="1"/>
      <c r="E614" s="1"/>
      <c r="F614" s="1"/>
      <c r="G614" s="1"/>
      <c r="H614" s="1"/>
      <c r="I614" s="1"/>
      <c r="J614" s="1"/>
      <c r="K614" s="1"/>
      <c r="L614" s="1"/>
      <c r="M614" s="1"/>
      <c r="N614" s="1"/>
      <c r="O614" s="1"/>
      <c r="P614" s="1"/>
      <c r="Q614" s="1"/>
      <c r="R614" s="1"/>
      <c r="S614" s="1"/>
      <c r="T614" s="1"/>
      <c r="U614" s="2"/>
      <c r="V614" s="1"/>
      <c r="W614" s="1"/>
      <c r="X614" s="1"/>
      <c r="Y614" s="1"/>
      <c r="Z614" s="1"/>
    </row>
    <row r="615" spans="1:26" ht="24.75" customHeight="1">
      <c r="A615" s="1"/>
      <c r="B615" s="1"/>
      <c r="C615" s="1"/>
      <c r="D615" s="1"/>
      <c r="E615" s="1"/>
      <c r="F615" s="1"/>
      <c r="G615" s="1"/>
      <c r="H615" s="1"/>
      <c r="I615" s="1"/>
      <c r="J615" s="1"/>
      <c r="K615" s="1"/>
      <c r="L615" s="1"/>
      <c r="M615" s="1"/>
      <c r="N615" s="1"/>
      <c r="O615" s="1"/>
      <c r="P615" s="1"/>
      <c r="Q615" s="1"/>
      <c r="R615" s="1"/>
      <c r="S615" s="1"/>
      <c r="T615" s="1"/>
      <c r="U615" s="2"/>
      <c r="V615" s="1"/>
      <c r="W615" s="1"/>
      <c r="X615" s="1"/>
      <c r="Y615" s="1"/>
      <c r="Z615" s="1"/>
    </row>
    <row r="616" spans="1:26" ht="24.75" customHeight="1">
      <c r="A616" s="1"/>
      <c r="B616" s="1"/>
      <c r="C616" s="1"/>
      <c r="D616" s="1"/>
      <c r="E616" s="1"/>
      <c r="F616" s="1"/>
      <c r="G616" s="1"/>
      <c r="H616" s="1"/>
      <c r="I616" s="1"/>
      <c r="J616" s="1"/>
      <c r="K616" s="1"/>
      <c r="L616" s="1"/>
      <c r="M616" s="1"/>
      <c r="N616" s="1"/>
      <c r="O616" s="1"/>
      <c r="P616" s="1"/>
      <c r="Q616" s="1"/>
      <c r="R616" s="1"/>
      <c r="S616" s="1"/>
      <c r="T616" s="1"/>
      <c r="U616" s="2"/>
      <c r="V616" s="1"/>
      <c r="W616" s="1"/>
      <c r="X616" s="1"/>
      <c r="Y616" s="1"/>
      <c r="Z616" s="1"/>
    </row>
    <row r="617" spans="1:26" ht="24.75" customHeight="1">
      <c r="A617" s="1"/>
      <c r="B617" s="1"/>
      <c r="C617" s="1"/>
      <c r="D617" s="1"/>
      <c r="E617" s="1"/>
      <c r="F617" s="1"/>
      <c r="G617" s="1"/>
      <c r="H617" s="1"/>
      <c r="I617" s="1"/>
      <c r="J617" s="1"/>
      <c r="K617" s="1"/>
      <c r="L617" s="1"/>
      <c r="M617" s="1"/>
      <c r="N617" s="1"/>
      <c r="O617" s="1"/>
      <c r="P617" s="1"/>
      <c r="Q617" s="1"/>
      <c r="R617" s="1"/>
      <c r="S617" s="1"/>
      <c r="T617" s="1"/>
      <c r="U617" s="2"/>
      <c r="V617" s="1"/>
      <c r="W617" s="1"/>
      <c r="X617" s="1"/>
      <c r="Y617" s="1"/>
      <c r="Z617" s="1"/>
    </row>
    <row r="618" spans="1:26" ht="24.75" customHeight="1">
      <c r="A618" s="1"/>
      <c r="B618" s="1"/>
      <c r="C618" s="1"/>
      <c r="D618" s="1"/>
      <c r="E618" s="1"/>
      <c r="F618" s="1"/>
      <c r="G618" s="1"/>
      <c r="H618" s="1"/>
      <c r="I618" s="1"/>
      <c r="J618" s="1"/>
      <c r="K618" s="1"/>
      <c r="L618" s="1"/>
      <c r="M618" s="1"/>
      <c r="N618" s="1"/>
      <c r="O618" s="1"/>
      <c r="P618" s="1"/>
      <c r="Q618" s="1"/>
      <c r="R618" s="1"/>
      <c r="S618" s="1"/>
      <c r="T618" s="1"/>
      <c r="U618" s="2"/>
      <c r="V618" s="1"/>
      <c r="W618" s="1"/>
      <c r="X618" s="1"/>
      <c r="Y618" s="1"/>
      <c r="Z618" s="1"/>
    </row>
    <row r="619" spans="1:26" ht="24.75" customHeight="1">
      <c r="A619" s="1"/>
      <c r="B619" s="1"/>
      <c r="C619" s="1"/>
      <c r="D619" s="1"/>
      <c r="E619" s="1"/>
      <c r="F619" s="1"/>
      <c r="G619" s="1"/>
      <c r="H619" s="1"/>
      <c r="I619" s="1"/>
      <c r="J619" s="1"/>
      <c r="K619" s="1"/>
      <c r="L619" s="1"/>
      <c r="M619" s="1"/>
      <c r="N619" s="1"/>
      <c r="O619" s="1"/>
      <c r="P619" s="1"/>
      <c r="Q619" s="1"/>
      <c r="R619" s="1"/>
      <c r="S619" s="1"/>
      <c r="T619" s="1"/>
      <c r="U619" s="2"/>
      <c r="V619" s="1"/>
      <c r="W619" s="1"/>
      <c r="X619" s="1"/>
      <c r="Y619" s="1"/>
      <c r="Z619" s="1"/>
    </row>
    <row r="620" spans="1:26" ht="24.75" customHeight="1">
      <c r="A620" s="1"/>
      <c r="B620" s="1"/>
      <c r="C620" s="1"/>
      <c r="D620" s="1"/>
      <c r="E620" s="1"/>
      <c r="F620" s="1"/>
      <c r="G620" s="1"/>
      <c r="H620" s="1"/>
      <c r="I620" s="1"/>
      <c r="J620" s="1"/>
      <c r="K620" s="1"/>
      <c r="L620" s="1"/>
      <c r="M620" s="1"/>
      <c r="N620" s="1"/>
      <c r="O620" s="1"/>
      <c r="P620" s="1"/>
      <c r="Q620" s="1"/>
      <c r="R620" s="1"/>
      <c r="S620" s="1"/>
      <c r="T620" s="1"/>
      <c r="U620" s="2"/>
      <c r="V620" s="1"/>
      <c r="W620" s="1"/>
      <c r="X620" s="1"/>
      <c r="Y620" s="1"/>
      <c r="Z620" s="1"/>
    </row>
    <row r="621" spans="1:26" ht="24.75" customHeight="1">
      <c r="A621" s="1"/>
      <c r="B621" s="1"/>
      <c r="C621" s="1"/>
      <c r="D621" s="1"/>
      <c r="E621" s="1"/>
      <c r="F621" s="1"/>
      <c r="G621" s="1"/>
      <c r="H621" s="1"/>
      <c r="I621" s="1"/>
      <c r="J621" s="1"/>
      <c r="K621" s="1"/>
      <c r="L621" s="1"/>
      <c r="M621" s="1"/>
      <c r="N621" s="1"/>
      <c r="O621" s="1"/>
      <c r="P621" s="1"/>
      <c r="Q621" s="1"/>
      <c r="R621" s="1"/>
      <c r="S621" s="1"/>
      <c r="T621" s="1"/>
      <c r="U621" s="2"/>
      <c r="V621" s="1"/>
      <c r="W621" s="1"/>
      <c r="X621" s="1"/>
      <c r="Y621" s="1"/>
      <c r="Z621" s="1"/>
    </row>
    <row r="622" spans="1:26" ht="24.75" customHeight="1">
      <c r="A622" s="1"/>
      <c r="B622" s="1"/>
      <c r="C622" s="1"/>
      <c r="D622" s="1"/>
      <c r="E622" s="1"/>
      <c r="F622" s="1"/>
      <c r="G622" s="1"/>
      <c r="H622" s="1"/>
      <c r="I622" s="1"/>
      <c r="J622" s="1"/>
      <c r="K622" s="1"/>
      <c r="L622" s="1"/>
      <c r="M622" s="1"/>
      <c r="N622" s="1"/>
      <c r="O622" s="1"/>
      <c r="P622" s="1"/>
      <c r="Q622" s="1"/>
      <c r="R622" s="1"/>
      <c r="S622" s="1"/>
      <c r="T622" s="1"/>
      <c r="U622" s="2"/>
      <c r="V622" s="1"/>
      <c r="W622" s="1"/>
      <c r="X622" s="1"/>
      <c r="Y622" s="1"/>
      <c r="Z622" s="1"/>
    </row>
    <row r="623" spans="1:26" ht="24.75" customHeight="1">
      <c r="A623" s="1"/>
      <c r="B623" s="1"/>
      <c r="C623" s="1"/>
      <c r="D623" s="1"/>
      <c r="E623" s="1"/>
      <c r="F623" s="1"/>
      <c r="G623" s="1"/>
      <c r="H623" s="1"/>
      <c r="I623" s="1"/>
      <c r="J623" s="1"/>
      <c r="K623" s="1"/>
      <c r="L623" s="1"/>
      <c r="M623" s="1"/>
      <c r="N623" s="1"/>
      <c r="O623" s="1"/>
      <c r="P623" s="1"/>
      <c r="Q623" s="1"/>
      <c r="R623" s="1"/>
      <c r="S623" s="1"/>
      <c r="T623" s="1"/>
      <c r="U623" s="2"/>
      <c r="V623" s="1"/>
      <c r="W623" s="1"/>
      <c r="X623" s="1"/>
      <c r="Y623" s="1"/>
      <c r="Z623" s="1"/>
    </row>
    <row r="624" spans="1:26" ht="24.75" customHeight="1">
      <c r="A624" s="1"/>
      <c r="B624" s="1"/>
      <c r="C624" s="1"/>
      <c r="D624" s="1"/>
      <c r="E624" s="1"/>
      <c r="F624" s="1"/>
      <c r="G624" s="1"/>
      <c r="H624" s="1"/>
      <c r="I624" s="1"/>
      <c r="J624" s="1"/>
      <c r="K624" s="1"/>
      <c r="L624" s="1"/>
      <c r="M624" s="1"/>
      <c r="N624" s="1"/>
      <c r="O624" s="1"/>
      <c r="P624" s="1"/>
      <c r="Q624" s="1"/>
      <c r="R624" s="1"/>
      <c r="S624" s="1"/>
      <c r="T624" s="1"/>
      <c r="U624" s="2"/>
      <c r="V624" s="1"/>
      <c r="W624" s="1"/>
      <c r="X624" s="1"/>
      <c r="Y624" s="1"/>
      <c r="Z624" s="1"/>
    </row>
    <row r="625" spans="1:26" ht="24.75" customHeight="1">
      <c r="A625" s="1"/>
      <c r="B625" s="1"/>
      <c r="C625" s="1"/>
      <c r="D625" s="1"/>
      <c r="E625" s="1"/>
      <c r="F625" s="1"/>
      <c r="G625" s="1"/>
      <c r="H625" s="1"/>
      <c r="I625" s="1"/>
      <c r="J625" s="1"/>
      <c r="K625" s="1"/>
      <c r="L625" s="1"/>
      <c r="M625" s="1"/>
      <c r="N625" s="1"/>
      <c r="O625" s="1"/>
      <c r="P625" s="1"/>
      <c r="Q625" s="1"/>
      <c r="R625" s="1"/>
      <c r="S625" s="1"/>
      <c r="T625" s="1"/>
      <c r="U625" s="2"/>
      <c r="V625" s="1"/>
      <c r="W625" s="1"/>
      <c r="X625" s="1"/>
      <c r="Y625" s="1"/>
      <c r="Z625" s="1"/>
    </row>
    <row r="626" spans="1:26" ht="24.75" customHeight="1">
      <c r="A626" s="1"/>
      <c r="B626" s="1"/>
      <c r="C626" s="1"/>
      <c r="D626" s="1"/>
      <c r="E626" s="1"/>
      <c r="F626" s="1"/>
      <c r="G626" s="1"/>
      <c r="H626" s="1"/>
      <c r="I626" s="1"/>
      <c r="J626" s="1"/>
      <c r="K626" s="1"/>
      <c r="L626" s="1"/>
      <c r="M626" s="1"/>
      <c r="N626" s="1"/>
      <c r="O626" s="1"/>
      <c r="P626" s="1"/>
      <c r="Q626" s="1"/>
      <c r="R626" s="1"/>
      <c r="S626" s="1"/>
      <c r="T626" s="1"/>
      <c r="U626" s="2"/>
      <c r="V626" s="1"/>
      <c r="W626" s="1"/>
      <c r="X626" s="1"/>
      <c r="Y626" s="1"/>
      <c r="Z626" s="1"/>
    </row>
    <row r="627" spans="1:26" ht="24.75" customHeight="1">
      <c r="A627" s="1"/>
      <c r="B627" s="1"/>
      <c r="C627" s="1"/>
      <c r="D627" s="1"/>
      <c r="E627" s="1"/>
      <c r="F627" s="1"/>
      <c r="G627" s="1"/>
      <c r="H627" s="1"/>
      <c r="I627" s="1"/>
      <c r="J627" s="1"/>
      <c r="K627" s="1"/>
      <c r="L627" s="1"/>
      <c r="M627" s="1"/>
      <c r="N627" s="1"/>
      <c r="O627" s="1"/>
      <c r="P627" s="1"/>
      <c r="Q627" s="1"/>
      <c r="R627" s="1"/>
      <c r="S627" s="1"/>
      <c r="T627" s="1"/>
      <c r="U627" s="2"/>
      <c r="V627" s="1"/>
      <c r="W627" s="1"/>
      <c r="X627" s="1"/>
      <c r="Y627" s="1"/>
      <c r="Z627" s="1"/>
    </row>
    <row r="628" spans="1:26" ht="24.75" customHeight="1">
      <c r="A628" s="1"/>
      <c r="B628" s="1"/>
      <c r="C628" s="1"/>
      <c r="D628" s="1"/>
      <c r="E628" s="1"/>
      <c r="F628" s="1"/>
      <c r="G628" s="1"/>
      <c r="H628" s="1"/>
      <c r="I628" s="1"/>
      <c r="J628" s="1"/>
      <c r="K628" s="1"/>
      <c r="L628" s="1"/>
      <c r="M628" s="1"/>
      <c r="N628" s="1"/>
      <c r="O628" s="1"/>
      <c r="P628" s="1"/>
      <c r="Q628" s="1"/>
      <c r="R628" s="1"/>
      <c r="S628" s="1"/>
      <c r="T628" s="1"/>
      <c r="U628" s="2"/>
      <c r="V628" s="1"/>
      <c r="W628" s="1"/>
      <c r="X628" s="1"/>
      <c r="Y628" s="1"/>
      <c r="Z628" s="1"/>
    </row>
    <row r="629" spans="1:26" ht="24.75" customHeight="1">
      <c r="A629" s="1"/>
      <c r="B629" s="1"/>
      <c r="C629" s="1"/>
      <c r="D629" s="1"/>
      <c r="E629" s="1"/>
      <c r="F629" s="1"/>
      <c r="G629" s="1"/>
      <c r="H629" s="1"/>
      <c r="I629" s="1"/>
      <c r="J629" s="1"/>
      <c r="K629" s="1"/>
      <c r="L629" s="1"/>
      <c r="M629" s="1"/>
      <c r="N629" s="1"/>
      <c r="O629" s="1"/>
      <c r="P629" s="1"/>
      <c r="Q629" s="1"/>
      <c r="R629" s="1"/>
      <c r="S629" s="1"/>
      <c r="T629" s="1"/>
      <c r="U629" s="2"/>
      <c r="V629" s="1"/>
      <c r="W629" s="1"/>
      <c r="X629" s="1"/>
      <c r="Y629" s="1"/>
      <c r="Z629" s="1"/>
    </row>
    <row r="630" spans="1:26" ht="24.75" customHeight="1">
      <c r="A630" s="1"/>
      <c r="B630" s="1"/>
      <c r="C630" s="1"/>
      <c r="D630" s="1"/>
      <c r="E630" s="1"/>
      <c r="F630" s="1"/>
      <c r="G630" s="1"/>
      <c r="H630" s="1"/>
      <c r="I630" s="1"/>
      <c r="J630" s="1"/>
      <c r="K630" s="1"/>
      <c r="L630" s="1"/>
      <c r="M630" s="1"/>
      <c r="N630" s="1"/>
      <c r="O630" s="1"/>
      <c r="P630" s="1"/>
      <c r="Q630" s="1"/>
      <c r="R630" s="1"/>
      <c r="S630" s="1"/>
      <c r="T630" s="1"/>
      <c r="U630" s="2"/>
      <c r="V630" s="1"/>
      <c r="W630" s="1"/>
      <c r="X630" s="1"/>
      <c r="Y630" s="1"/>
      <c r="Z630" s="1"/>
    </row>
    <row r="631" spans="1:26" ht="24.75" customHeight="1">
      <c r="A631" s="1"/>
      <c r="B631" s="1"/>
      <c r="C631" s="1"/>
      <c r="D631" s="1"/>
      <c r="E631" s="1"/>
      <c r="F631" s="1"/>
      <c r="G631" s="1"/>
      <c r="H631" s="1"/>
      <c r="I631" s="1"/>
      <c r="J631" s="1"/>
      <c r="K631" s="1"/>
      <c r="L631" s="1"/>
      <c r="M631" s="1"/>
      <c r="N631" s="1"/>
      <c r="O631" s="1"/>
      <c r="P631" s="1"/>
      <c r="Q631" s="1"/>
      <c r="R631" s="1"/>
      <c r="S631" s="1"/>
      <c r="T631" s="1"/>
      <c r="U631" s="2"/>
      <c r="V631" s="1"/>
      <c r="W631" s="1"/>
      <c r="X631" s="1"/>
      <c r="Y631" s="1"/>
      <c r="Z631" s="1"/>
    </row>
    <row r="632" spans="1:26" ht="24.75" customHeight="1">
      <c r="A632" s="1"/>
      <c r="B632" s="1"/>
      <c r="C632" s="1"/>
      <c r="D632" s="1"/>
      <c r="E632" s="1"/>
      <c r="F632" s="1"/>
      <c r="G632" s="1"/>
      <c r="H632" s="1"/>
      <c r="I632" s="1"/>
      <c r="J632" s="1"/>
      <c r="K632" s="1"/>
      <c r="L632" s="1"/>
      <c r="M632" s="1"/>
      <c r="N632" s="1"/>
      <c r="O632" s="1"/>
      <c r="P632" s="1"/>
      <c r="Q632" s="1"/>
      <c r="R632" s="1"/>
      <c r="S632" s="1"/>
      <c r="T632" s="1"/>
      <c r="U632" s="2"/>
      <c r="V632" s="1"/>
      <c r="W632" s="1"/>
      <c r="X632" s="1"/>
      <c r="Y632" s="1"/>
      <c r="Z632" s="1"/>
    </row>
    <row r="633" spans="1:26" ht="24.75" customHeight="1">
      <c r="A633" s="1"/>
      <c r="B633" s="1"/>
      <c r="C633" s="1"/>
      <c r="D633" s="1"/>
      <c r="E633" s="1"/>
      <c r="F633" s="1"/>
      <c r="G633" s="1"/>
      <c r="H633" s="1"/>
      <c r="I633" s="1"/>
      <c r="J633" s="1"/>
      <c r="K633" s="1"/>
      <c r="L633" s="1"/>
      <c r="M633" s="1"/>
      <c r="N633" s="1"/>
      <c r="O633" s="1"/>
      <c r="P633" s="1"/>
      <c r="Q633" s="1"/>
      <c r="R633" s="1"/>
      <c r="S633" s="1"/>
      <c r="T633" s="1"/>
      <c r="U633" s="2"/>
      <c r="V633" s="1"/>
      <c r="W633" s="1"/>
      <c r="X633" s="1"/>
      <c r="Y633" s="1"/>
      <c r="Z633" s="1"/>
    </row>
    <row r="634" spans="1:26" ht="24.75" customHeight="1">
      <c r="A634" s="1"/>
      <c r="B634" s="1"/>
      <c r="C634" s="1"/>
      <c r="D634" s="1"/>
      <c r="E634" s="1"/>
      <c r="F634" s="1"/>
      <c r="G634" s="1"/>
      <c r="H634" s="1"/>
      <c r="I634" s="1"/>
      <c r="J634" s="1"/>
      <c r="K634" s="1"/>
      <c r="L634" s="1"/>
      <c r="M634" s="1"/>
      <c r="N634" s="1"/>
      <c r="O634" s="1"/>
      <c r="P634" s="1"/>
      <c r="Q634" s="1"/>
      <c r="R634" s="1"/>
      <c r="S634" s="1"/>
      <c r="T634" s="1"/>
      <c r="U634" s="2"/>
      <c r="V634" s="1"/>
      <c r="W634" s="1"/>
      <c r="X634" s="1"/>
      <c r="Y634" s="1"/>
      <c r="Z634" s="1"/>
    </row>
    <row r="635" spans="1:26" ht="24.75" customHeight="1">
      <c r="A635" s="1"/>
      <c r="B635" s="1"/>
      <c r="C635" s="1"/>
      <c r="D635" s="1"/>
      <c r="E635" s="1"/>
      <c r="F635" s="1"/>
      <c r="G635" s="1"/>
      <c r="H635" s="1"/>
      <c r="I635" s="1"/>
      <c r="J635" s="1"/>
      <c r="K635" s="1"/>
      <c r="L635" s="1"/>
      <c r="M635" s="1"/>
      <c r="N635" s="1"/>
      <c r="O635" s="1"/>
      <c r="P635" s="1"/>
      <c r="Q635" s="1"/>
      <c r="R635" s="1"/>
      <c r="S635" s="1"/>
      <c r="T635" s="1"/>
      <c r="U635" s="2"/>
      <c r="V635" s="1"/>
      <c r="W635" s="1"/>
      <c r="X635" s="1"/>
      <c r="Y635" s="1"/>
      <c r="Z635" s="1"/>
    </row>
    <row r="636" spans="1:26" ht="24.75" customHeight="1">
      <c r="A636" s="1"/>
      <c r="B636" s="1"/>
      <c r="C636" s="1"/>
      <c r="D636" s="1"/>
      <c r="E636" s="1"/>
      <c r="F636" s="1"/>
      <c r="G636" s="1"/>
      <c r="H636" s="1"/>
      <c r="I636" s="1"/>
      <c r="J636" s="1"/>
      <c r="K636" s="1"/>
      <c r="L636" s="1"/>
      <c r="M636" s="1"/>
      <c r="N636" s="1"/>
      <c r="O636" s="1"/>
      <c r="P636" s="1"/>
      <c r="Q636" s="1"/>
      <c r="R636" s="1"/>
      <c r="S636" s="1"/>
      <c r="T636" s="1"/>
      <c r="U636" s="2"/>
      <c r="V636" s="1"/>
      <c r="W636" s="1"/>
      <c r="X636" s="1"/>
      <c r="Y636" s="1"/>
      <c r="Z636" s="1"/>
    </row>
    <row r="637" spans="1:26" ht="24.75" customHeight="1">
      <c r="A637" s="1"/>
      <c r="B637" s="1"/>
      <c r="C637" s="1"/>
      <c r="D637" s="1"/>
      <c r="E637" s="1"/>
      <c r="F637" s="1"/>
      <c r="G637" s="1"/>
      <c r="H637" s="1"/>
      <c r="I637" s="1"/>
      <c r="J637" s="1"/>
      <c r="K637" s="1"/>
      <c r="L637" s="1"/>
      <c r="M637" s="1"/>
      <c r="N637" s="1"/>
      <c r="O637" s="1"/>
      <c r="P637" s="1"/>
      <c r="Q637" s="1"/>
      <c r="R637" s="1"/>
      <c r="S637" s="1"/>
      <c r="T637" s="1"/>
      <c r="U637" s="2"/>
      <c r="V637" s="1"/>
      <c r="W637" s="1"/>
      <c r="X637" s="1"/>
      <c r="Y637" s="1"/>
      <c r="Z637" s="1"/>
    </row>
    <row r="638" spans="1:26" ht="24.75" customHeight="1">
      <c r="A638" s="1"/>
      <c r="B638" s="1"/>
      <c r="C638" s="1"/>
      <c r="D638" s="1"/>
      <c r="E638" s="1"/>
      <c r="F638" s="1"/>
      <c r="G638" s="1"/>
      <c r="H638" s="1"/>
      <c r="I638" s="1"/>
      <c r="J638" s="1"/>
      <c r="K638" s="1"/>
      <c r="L638" s="1"/>
      <c r="M638" s="1"/>
      <c r="N638" s="1"/>
      <c r="O638" s="1"/>
      <c r="P638" s="1"/>
      <c r="Q638" s="1"/>
      <c r="R638" s="1"/>
      <c r="S638" s="1"/>
      <c r="T638" s="1"/>
      <c r="U638" s="2"/>
      <c r="V638" s="1"/>
      <c r="W638" s="1"/>
      <c r="X638" s="1"/>
      <c r="Y638" s="1"/>
      <c r="Z638" s="1"/>
    </row>
    <row r="639" spans="1:26" ht="24.75" customHeight="1">
      <c r="A639" s="1"/>
      <c r="B639" s="1"/>
      <c r="C639" s="1"/>
      <c r="D639" s="1"/>
      <c r="E639" s="1"/>
      <c r="F639" s="1"/>
      <c r="G639" s="1"/>
      <c r="H639" s="1"/>
      <c r="I639" s="1"/>
      <c r="J639" s="1"/>
      <c r="K639" s="1"/>
      <c r="L639" s="1"/>
      <c r="M639" s="1"/>
      <c r="N639" s="1"/>
      <c r="O639" s="1"/>
      <c r="P639" s="1"/>
      <c r="Q639" s="1"/>
      <c r="R639" s="1"/>
      <c r="S639" s="1"/>
      <c r="T639" s="1"/>
      <c r="U639" s="2"/>
      <c r="V639" s="1"/>
      <c r="W639" s="1"/>
      <c r="X639" s="1"/>
      <c r="Y639" s="1"/>
      <c r="Z639" s="1"/>
    </row>
    <row r="640" spans="1:26" ht="24.75" customHeight="1">
      <c r="A640" s="1"/>
      <c r="B640" s="1"/>
      <c r="C640" s="1"/>
      <c r="D640" s="1"/>
      <c r="E640" s="1"/>
      <c r="F640" s="1"/>
      <c r="G640" s="1"/>
      <c r="H640" s="1"/>
      <c r="I640" s="1"/>
      <c r="J640" s="1"/>
      <c r="K640" s="1"/>
      <c r="L640" s="1"/>
      <c r="M640" s="1"/>
      <c r="N640" s="1"/>
      <c r="O640" s="1"/>
      <c r="P640" s="1"/>
      <c r="Q640" s="1"/>
      <c r="R640" s="1"/>
      <c r="S640" s="1"/>
      <c r="T640" s="1"/>
      <c r="U640" s="2"/>
      <c r="V640" s="1"/>
      <c r="W640" s="1"/>
      <c r="X640" s="1"/>
      <c r="Y640" s="1"/>
      <c r="Z640" s="1"/>
    </row>
    <row r="641" spans="1:26" ht="24.75" customHeight="1">
      <c r="A641" s="1"/>
      <c r="B641" s="1"/>
      <c r="C641" s="1"/>
      <c r="D641" s="1"/>
      <c r="E641" s="1"/>
      <c r="F641" s="1"/>
      <c r="G641" s="1"/>
      <c r="H641" s="1"/>
      <c r="I641" s="1"/>
      <c r="J641" s="1"/>
      <c r="K641" s="1"/>
      <c r="L641" s="1"/>
      <c r="M641" s="1"/>
      <c r="N641" s="1"/>
      <c r="O641" s="1"/>
      <c r="P641" s="1"/>
      <c r="Q641" s="1"/>
      <c r="R641" s="1"/>
      <c r="S641" s="1"/>
      <c r="T641" s="1"/>
      <c r="U641" s="2"/>
      <c r="V641" s="1"/>
      <c r="W641" s="1"/>
      <c r="X641" s="1"/>
      <c r="Y641" s="1"/>
      <c r="Z641" s="1"/>
    </row>
    <row r="642" spans="1:26" ht="24.75" customHeight="1">
      <c r="A642" s="1"/>
      <c r="B642" s="1"/>
      <c r="C642" s="1"/>
      <c r="D642" s="1"/>
      <c r="E642" s="1"/>
      <c r="F642" s="1"/>
      <c r="G642" s="1"/>
      <c r="H642" s="1"/>
      <c r="I642" s="1"/>
      <c r="J642" s="1"/>
      <c r="K642" s="1"/>
      <c r="L642" s="1"/>
      <c r="M642" s="1"/>
      <c r="N642" s="1"/>
      <c r="O642" s="1"/>
      <c r="P642" s="1"/>
      <c r="Q642" s="1"/>
      <c r="R642" s="1"/>
      <c r="S642" s="1"/>
      <c r="T642" s="1"/>
      <c r="U642" s="2"/>
      <c r="V642" s="1"/>
      <c r="W642" s="1"/>
      <c r="X642" s="1"/>
      <c r="Y642" s="1"/>
      <c r="Z642" s="1"/>
    </row>
    <row r="643" spans="1:26" ht="24.75" customHeight="1">
      <c r="A643" s="1"/>
      <c r="B643" s="1"/>
      <c r="C643" s="1"/>
      <c r="D643" s="1"/>
      <c r="E643" s="1"/>
      <c r="F643" s="1"/>
      <c r="G643" s="1"/>
      <c r="H643" s="1"/>
      <c r="I643" s="1"/>
      <c r="J643" s="1"/>
      <c r="K643" s="1"/>
      <c r="L643" s="1"/>
      <c r="M643" s="1"/>
      <c r="N643" s="1"/>
      <c r="O643" s="1"/>
      <c r="P643" s="1"/>
      <c r="Q643" s="1"/>
      <c r="R643" s="1"/>
      <c r="S643" s="1"/>
      <c r="T643" s="1"/>
      <c r="U643" s="2"/>
      <c r="V643" s="1"/>
      <c r="W643" s="1"/>
      <c r="X643" s="1"/>
      <c r="Y643" s="1"/>
      <c r="Z643" s="1"/>
    </row>
    <row r="644" spans="1:26" ht="24.75" customHeight="1">
      <c r="A644" s="1"/>
      <c r="B644" s="1"/>
      <c r="C644" s="1"/>
      <c r="D644" s="1"/>
      <c r="E644" s="1"/>
      <c r="F644" s="1"/>
      <c r="G644" s="1"/>
      <c r="H644" s="1"/>
      <c r="I644" s="1"/>
      <c r="J644" s="1"/>
      <c r="K644" s="1"/>
      <c r="L644" s="1"/>
      <c r="M644" s="1"/>
      <c r="N644" s="1"/>
      <c r="O644" s="1"/>
      <c r="P644" s="1"/>
      <c r="Q644" s="1"/>
      <c r="R644" s="1"/>
      <c r="S644" s="1"/>
      <c r="T644" s="1"/>
      <c r="U644" s="2"/>
      <c r="V644" s="1"/>
      <c r="W644" s="1"/>
      <c r="X644" s="1"/>
      <c r="Y644" s="1"/>
      <c r="Z644" s="1"/>
    </row>
    <row r="645" spans="1:26" ht="24.75" customHeight="1">
      <c r="A645" s="1"/>
      <c r="B645" s="1"/>
      <c r="C645" s="1"/>
      <c r="D645" s="1"/>
      <c r="E645" s="1"/>
      <c r="F645" s="1"/>
      <c r="G645" s="1"/>
      <c r="H645" s="1"/>
      <c r="I645" s="1"/>
      <c r="J645" s="1"/>
      <c r="K645" s="1"/>
      <c r="L645" s="1"/>
      <c r="M645" s="1"/>
      <c r="N645" s="1"/>
      <c r="O645" s="1"/>
      <c r="P645" s="1"/>
      <c r="Q645" s="1"/>
      <c r="R645" s="1"/>
      <c r="S645" s="1"/>
      <c r="T645" s="1"/>
      <c r="U645" s="2"/>
      <c r="V645" s="1"/>
      <c r="W645" s="1"/>
      <c r="X645" s="1"/>
      <c r="Y645" s="1"/>
      <c r="Z645" s="1"/>
    </row>
    <row r="646" spans="1:26" ht="24.75" customHeight="1">
      <c r="A646" s="1"/>
      <c r="B646" s="1"/>
      <c r="C646" s="1"/>
      <c r="D646" s="1"/>
      <c r="E646" s="1"/>
      <c r="F646" s="1"/>
      <c r="G646" s="1"/>
      <c r="H646" s="1"/>
      <c r="I646" s="1"/>
      <c r="J646" s="1"/>
      <c r="K646" s="1"/>
      <c r="L646" s="1"/>
      <c r="M646" s="1"/>
      <c r="N646" s="1"/>
      <c r="O646" s="1"/>
      <c r="P646" s="1"/>
      <c r="Q646" s="1"/>
      <c r="R646" s="1"/>
      <c r="S646" s="1"/>
      <c r="T646" s="1"/>
      <c r="U646" s="2"/>
      <c r="V646" s="1"/>
      <c r="W646" s="1"/>
      <c r="X646" s="1"/>
      <c r="Y646" s="1"/>
      <c r="Z646" s="1"/>
    </row>
    <row r="647" spans="1:26" ht="24.75" customHeight="1">
      <c r="A647" s="1"/>
      <c r="B647" s="1"/>
      <c r="C647" s="1"/>
      <c r="D647" s="1"/>
      <c r="E647" s="1"/>
      <c r="F647" s="1"/>
      <c r="G647" s="1"/>
      <c r="H647" s="1"/>
      <c r="I647" s="1"/>
      <c r="J647" s="1"/>
      <c r="K647" s="1"/>
      <c r="L647" s="1"/>
      <c r="M647" s="1"/>
      <c r="N647" s="1"/>
      <c r="O647" s="1"/>
      <c r="P647" s="1"/>
      <c r="Q647" s="1"/>
      <c r="R647" s="1"/>
      <c r="S647" s="1"/>
      <c r="T647" s="1"/>
      <c r="U647" s="2"/>
      <c r="V647" s="1"/>
      <c r="W647" s="1"/>
      <c r="X647" s="1"/>
      <c r="Y647" s="1"/>
      <c r="Z647" s="1"/>
    </row>
    <row r="648" spans="1:26" ht="24.75" customHeight="1">
      <c r="A648" s="1"/>
      <c r="B648" s="1"/>
      <c r="C648" s="1"/>
      <c r="D648" s="1"/>
      <c r="E648" s="1"/>
      <c r="F648" s="1"/>
      <c r="G648" s="1"/>
      <c r="H648" s="1"/>
      <c r="I648" s="1"/>
      <c r="J648" s="1"/>
      <c r="K648" s="1"/>
      <c r="L648" s="1"/>
      <c r="M648" s="1"/>
      <c r="N648" s="1"/>
      <c r="O648" s="1"/>
      <c r="P648" s="1"/>
      <c r="Q648" s="1"/>
      <c r="R648" s="1"/>
      <c r="S648" s="1"/>
      <c r="T648" s="1"/>
      <c r="U648" s="2"/>
      <c r="V648" s="1"/>
      <c r="W648" s="1"/>
      <c r="X648" s="1"/>
      <c r="Y648" s="1"/>
      <c r="Z648" s="1"/>
    </row>
    <row r="649" spans="1:26" ht="24.75" customHeight="1">
      <c r="A649" s="1"/>
      <c r="B649" s="1"/>
      <c r="C649" s="1"/>
      <c r="D649" s="1"/>
      <c r="E649" s="1"/>
      <c r="F649" s="1"/>
      <c r="G649" s="1"/>
      <c r="H649" s="1"/>
      <c r="I649" s="1"/>
      <c r="J649" s="1"/>
      <c r="K649" s="1"/>
      <c r="L649" s="1"/>
      <c r="M649" s="1"/>
      <c r="N649" s="1"/>
      <c r="O649" s="1"/>
      <c r="P649" s="1"/>
      <c r="Q649" s="1"/>
      <c r="R649" s="1"/>
      <c r="S649" s="1"/>
      <c r="T649" s="1"/>
      <c r="U649" s="2"/>
      <c r="V649" s="1"/>
      <c r="W649" s="1"/>
      <c r="X649" s="1"/>
      <c r="Y649" s="1"/>
      <c r="Z649" s="1"/>
    </row>
    <row r="650" spans="1:26" ht="24.75" customHeight="1">
      <c r="A650" s="1"/>
      <c r="B650" s="1"/>
      <c r="C650" s="1"/>
      <c r="D650" s="1"/>
      <c r="E650" s="1"/>
      <c r="F650" s="1"/>
      <c r="G650" s="1"/>
      <c r="H650" s="1"/>
      <c r="I650" s="1"/>
      <c r="J650" s="1"/>
      <c r="K650" s="1"/>
      <c r="L650" s="1"/>
      <c r="M650" s="1"/>
      <c r="N650" s="1"/>
      <c r="O650" s="1"/>
      <c r="P650" s="1"/>
      <c r="Q650" s="1"/>
      <c r="R650" s="1"/>
      <c r="S650" s="1"/>
      <c r="T650" s="1"/>
      <c r="U650" s="2"/>
      <c r="V650" s="1"/>
      <c r="W650" s="1"/>
      <c r="X650" s="1"/>
      <c r="Y650" s="1"/>
      <c r="Z650" s="1"/>
    </row>
    <row r="651" spans="1:26" ht="24.75" customHeight="1">
      <c r="A651" s="1"/>
      <c r="B651" s="1"/>
      <c r="C651" s="1"/>
      <c r="D651" s="1"/>
      <c r="E651" s="1"/>
      <c r="F651" s="1"/>
      <c r="G651" s="1"/>
      <c r="H651" s="1"/>
      <c r="I651" s="1"/>
      <c r="J651" s="1"/>
      <c r="K651" s="1"/>
      <c r="L651" s="1"/>
      <c r="M651" s="1"/>
      <c r="N651" s="1"/>
      <c r="O651" s="1"/>
      <c r="P651" s="1"/>
      <c r="Q651" s="1"/>
      <c r="R651" s="1"/>
      <c r="S651" s="1"/>
      <c r="T651" s="1"/>
      <c r="U651" s="2"/>
      <c r="V651" s="1"/>
      <c r="W651" s="1"/>
      <c r="X651" s="1"/>
      <c r="Y651" s="1"/>
      <c r="Z651" s="1"/>
    </row>
    <row r="652" spans="1:26" ht="24.75" customHeight="1">
      <c r="A652" s="1"/>
      <c r="B652" s="1"/>
      <c r="C652" s="1"/>
      <c r="D652" s="1"/>
      <c r="E652" s="1"/>
      <c r="F652" s="1"/>
      <c r="G652" s="1"/>
      <c r="H652" s="1"/>
      <c r="I652" s="1"/>
      <c r="J652" s="1"/>
      <c r="K652" s="1"/>
      <c r="L652" s="1"/>
      <c r="M652" s="1"/>
      <c r="N652" s="1"/>
      <c r="O652" s="1"/>
      <c r="P652" s="1"/>
      <c r="Q652" s="1"/>
      <c r="R652" s="1"/>
      <c r="S652" s="1"/>
      <c r="T652" s="1"/>
      <c r="U652" s="2"/>
      <c r="V652" s="1"/>
      <c r="W652" s="1"/>
      <c r="X652" s="1"/>
      <c r="Y652" s="1"/>
      <c r="Z652" s="1"/>
    </row>
    <row r="653" spans="1:26" ht="24.75" customHeight="1">
      <c r="A653" s="1"/>
      <c r="B653" s="1"/>
      <c r="C653" s="1"/>
      <c r="D653" s="1"/>
      <c r="E653" s="1"/>
      <c r="F653" s="1"/>
      <c r="G653" s="1"/>
      <c r="H653" s="1"/>
      <c r="I653" s="1"/>
      <c r="J653" s="1"/>
      <c r="K653" s="1"/>
      <c r="L653" s="1"/>
      <c r="M653" s="1"/>
      <c r="N653" s="1"/>
      <c r="O653" s="1"/>
      <c r="P653" s="1"/>
      <c r="Q653" s="1"/>
      <c r="R653" s="1"/>
      <c r="S653" s="1"/>
      <c r="T653" s="1"/>
      <c r="U653" s="2"/>
      <c r="V653" s="1"/>
      <c r="W653" s="1"/>
      <c r="X653" s="1"/>
      <c r="Y653" s="1"/>
      <c r="Z653" s="1"/>
    </row>
    <row r="654" spans="1:26" ht="24.75" customHeight="1">
      <c r="A654" s="1"/>
      <c r="B654" s="1"/>
      <c r="C654" s="1"/>
      <c r="D654" s="1"/>
      <c r="E654" s="1"/>
      <c r="F654" s="1"/>
      <c r="G654" s="1"/>
      <c r="H654" s="1"/>
      <c r="I654" s="1"/>
      <c r="J654" s="1"/>
      <c r="K654" s="1"/>
      <c r="L654" s="1"/>
      <c r="M654" s="1"/>
      <c r="N654" s="1"/>
      <c r="O654" s="1"/>
      <c r="P654" s="1"/>
      <c r="Q654" s="1"/>
      <c r="R654" s="1"/>
      <c r="S654" s="1"/>
      <c r="T654" s="1"/>
      <c r="U654" s="2"/>
      <c r="V654" s="1"/>
      <c r="W654" s="1"/>
      <c r="X654" s="1"/>
      <c r="Y654" s="1"/>
      <c r="Z654" s="1"/>
    </row>
    <row r="655" spans="1:26" ht="24.75" customHeight="1">
      <c r="A655" s="1"/>
      <c r="B655" s="1"/>
      <c r="C655" s="1"/>
      <c r="D655" s="1"/>
      <c r="E655" s="1"/>
      <c r="F655" s="1"/>
      <c r="G655" s="1"/>
      <c r="H655" s="1"/>
      <c r="I655" s="1"/>
      <c r="J655" s="1"/>
      <c r="K655" s="1"/>
      <c r="L655" s="1"/>
      <c r="M655" s="1"/>
      <c r="N655" s="1"/>
      <c r="O655" s="1"/>
      <c r="P655" s="1"/>
      <c r="Q655" s="1"/>
      <c r="R655" s="1"/>
      <c r="S655" s="1"/>
      <c r="T655" s="1"/>
      <c r="U655" s="2"/>
      <c r="V655" s="1"/>
      <c r="W655" s="1"/>
      <c r="X655" s="1"/>
      <c r="Y655" s="1"/>
      <c r="Z655" s="1"/>
    </row>
    <row r="656" spans="1:26" ht="24.75" customHeight="1">
      <c r="A656" s="1"/>
      <c r="B656" s="1"/>
      <c r="C656" s="1"/>
      <c r="D656" s="1"/>
      <c r="E656" s="1"/>
      <c r="F656" s="1"/>
      <c r="G656" s="1"/>
      <c r="H656" s="1"/>
      <c r="I656" s="1"/>
      <c r="J656" s="1"/>
      <c r="K656" s="1"/>
      <c r="L656" s="1"/>
      <c r="M656" s="1"/>
      <c r="N656" s="1"/>
      <c r="O656" s="1"/>
      <c r="P656" s="1"/>
      <c r="Q656" s="1"/>
      <c r="R656" s="1"/>
      <c r="S656" s="1"/>
      <c r="T656" s="1"/>
      <c r="U656" s="2"/>
      <c r="V656" s="1"/>
      <c r="W656" s="1"/>
      <c r="X656" s="1"/>
      <c r="Y656" s="1"/>
      <c r="Z656" s="1"/>
    </row>
    <row r="657" spans="1:26" ht="24.75" customHeight="1">
      <c r="A657" s="1"/>
      <c r="B657" s="1"/>
      <c r="C657" s="1"/>
      <c r="D657" s="1"/>
      <c r="E657" s="1"/>
      <c r="F657" s="1"/>
      <c r="G657" s="1"/>
      <c r="H657" s="1"/>
      <c r="I657" s="1"/>
      <c r="J657" s="1"/>
      <c r="K657" s="1"/>
      <c r="L657" s="1"/>
      <c r="M657" s="1"/>
      <c r="N657" s="1"/>
      <c r="O657" s="1"/>
      <c r="P657" s="1"/>
      <c r="Q657" s="1"/>
      <c r="R657" s="1"/>
      <c r="S657" s="1"/>
      <c r="T657" s="1"/>
      <c r="U657" s="2"/>
      <c r="V657" s="1"/>
      <c r="W657" s="1"/>
      <c r="X657" s="1"/>
      <c r="Y657" s="1"/>
      <c r="Z657" s="1"/>
    </row>
    <row r="658" spans="1:26" ht="24.75" customHeight="1">
      <c r="A658" s="1"/>
      <c r="B658" s="1"/>
      <c r="C658" s="1"/>
      <c r="D658" s="1"/>
      <c r="E658" s="1"/>
      <c r="F658" s="1"/>
      <c r="G658" s="1"/>
      <c r="H658" s="1"/>
      <c r="I658" s="1"/>
      <c r="J658" s="1"/>
      <c r="K658" s="1"/>
      <c r="L658" s="1"/>
      <c r="M658" s="1"/>
      <c r="N658" s="1"/>
      <c r="O658" s="1"/>
      <c r="P658" s="1"/>
      <c r="Q658" s="1"/>
      <c r="R658" s="1"/>
      <c r="S658" s="1"/>
      <c r="T658" s="1"/>
      <c r="U658" s="2"/>
      <c r="V658" s="1"/>
      <c r="W658" s="1"/>
      <c r="X658" s="1"/>
      <c r="Y658" s="1"/>
      <c r="Z658" s="1"/>
    </row>
    <row r="659" spans="1:26" ht="24.75" customHeight="1">
      <c r="A659" s="1"/>
      <c r="B659" s="1"/>
      <c r="C659" s="1"/>
      <c r="D659" s="1"/>
      <c r="E659" s="1"/>
      <c r="F659" s="1"/>
      <c r="G659" s="1"/>
      <c r="H659" s="1"/>
      <c r="I659" s="1"/>
      <c r="J659" s="1"/>
      <c r="K659" s="1"/>
      <c r="L659" s="1"/>
      <c r="M659" s="1"/>
      <c r="N659" s="1"/>
      <c r="O659" s="1"/>
      <c r="P659" s="1"/>
      <c r="Q659" s="1"/>
      <c r="R659" s="1"/>
      <c r="S659" s="1"/>
      <c r="T659" s="1"/>
      <c r="U659" s="2"/>
      <c r="V659" s="1"/>
      <c r="W659" s="1"/>
      <c r="X659" s="1"/>
      <c r="Y659" s="1"/>
      <c r="Z659" s="1"/>
    </row>
    <row r="660" spans="1:26" ht="24.75" customHeight="1">
      <c r="A660" s="1"/>
      <c r="B660" s="1"/>
      <c r="C660" s="1"/>
      <c r="D660" s="1"/>
      <c r="E660" s="1"/>
      <c r="F660" s="1"/>
      <c r="G660" s="1"/>
      <c r="H660" s="1"/>
      <c r="I660" s="1"/>
      <c r="J660" s="1"/>
      <c r="K660" s="1"/>
      <c r="L660" s="1"/>
      <c r="M660" s="1"/>
      <c r="N660" s="1"/>
      <c r="O660" s="1"/>
      <c r="P660" s="1"/>
      <c r="Q660" s="1"/>
      <c r="R660" s="1"/>
      <c r="S660" s="1"/>
      <c r="T660" s="1"/>
      <c r="U660" s="2"/>
      <c r="V660" s="1"/>
      <c r="W660" s="1"/>
      <c r="X660" s="1"/>
      <c r="Y660" s="1"/>
      <c r="Z660" s="1"/>
    </row>
    <row r="661" spans="1:26" ht="24.75" customHeight="1">
      <c r="A661" s="1"/>
      <c r="B661" s="1"/>
      <c r="C661" s="1"/>
      <c r="D661" s="1"/>
      <c r="E661" s="1"/>
      <c r="F661" s="1"/>
      <c r="G661" s="1"/>
      <c r="H661" s="1"/>
      <c r="I661" s="1"/>
      <c r="J661" s="1"/>
      <c r="K661" s="1"/>
      <c r="L661" s="1"/>
      <c r="M661" s="1"/>
      <c r="N661" s="1"/>
      <c r="O661" s="1"/>
      <c r="P661" s="1"/>
      <c r="Q661" s="1"/>
      <c r="R661" s="1"/>
      <c r="S661" s="1"/>
      <c r="T661" s="1"/>
      <c r="U661" s="2"/>
      <c r="V661" s="1"/>
      <c r="W661" s="1"/>
      <c r="X661" s="1"/>
      <c r="Y661" s="1"/>
      <c r="Z661" s="1"/>
    </row>
    <row r="662" spans="1:26" ht="24.75" customHeight="1">
      <c r="A662" s="1"/>
      <c r="B662" s="1"/>
      <c r="C662" s="1"/>
      <c r="D662" s="1"/>
      <c r="E662" s="1"/>
      <c r="F662" s="1"/>
      <c r="G662" s="1"/>
      <c r="H662" s="1"/>
      <c r="I662" s="1"/>
      <c r="J662" s="1"/>
      <c r="K662" s="1"/>
      <c r="L662" s="1"/>
      <c r="M662" s="1"/>
      <c r="N662" s="1"/>
      <c r="O662" s="1"/>
      <c r="P662" s="1"/>
      <c r="Q662" s="1"/>
      <c r="R662" s="1"/>
      <c r="S662" s="1"/>
      <c r="T662" s="1"/>
      <c r="U662" s="2"/>
      <c r="V662" s="1"/>
      <c r="W662" s="1"/>
      <c r="X662" s="1"/>
      <c r="Y662" s="1"/>
      <c r="Z662" s="1"/>
    </row>
    <row r="663" spans="1:26" ht="24.75" customHeight="1">
      <c r="A663" s="1"/>
      <c r="B663" s="1"/>
      <c r="C663" s="1"/>
      <c r="D663" s="1"/>
      <c r="E663" s="1"/>
      <c r="F663" s="1"/>
      <c r="G663" s="1"/>
      <c r="H663" s="1"/>
      <c r="I663" s="1"/>
      <c r="J663" s="1"/>
      <c r="K663" s="1"/>
      <c r="L663" s="1"/>
      <c r="M663" s="1"/>
      <c r="N663" s="1"/>
      <c r="O663" s="1"/>
      <c r="P663" s="1"/>
      <c r="Q663" s="1"/>
      <c r="R663" s="1"/>
      <c r="S663" s="1"/>
      <c r="T663" s="1"/>
      <c r="U663" s="2"/>
      <c r="V663" s="1"/>
      <c r="W663" s="1"/>
      <c r="X663" s="1"/>
      <c r="Y663" s="1"/>
      <c r="Z663" s="1"/>
    </row>
    <row r="664" spans="1:26" ht="24.75" customHeight="1">
      <c r="A664" s="1"/>
      <c r="B664" s="1"/>
      <c r="C664" s="1"/>
      <c r="D664" s="1"/>
      <c r="E664" s="1"/>
      <c r="F664" s="1"/>
      <c r="G664" s="1"/>
      <c r="H664" s="1"/>
      <c r="I664" s="1"/>
      <c r="J664" s="1"/>
      <c r="K664" s="1"/>
      <c r="L664" s="1"/>
      <c r="M664" s="1"/>
      <c r="N664" s="1"/>
      <c r="O664" s="1"/>
      <c r="P664" s="1"/>
      <c r="Q664" s="1"/>
      <c r="R664" s="1"/>
      <c r="S664" s="1"/>
      <c r="T664" s="1"/>
      <c r="U664" s="2"/>
      <c r="V664" s="1"/>
      <c r="W664" s="1"/>
      <c r="X664" s="1"/>
      <c r="Y664" s="1"/>
      <c r="Z664" s="1"/>
    </row>
    <row r="665" spans="1:26" ht="24.75" customHeight="1">
      <c r="A665" s="1"/>
      <c r="B665" s="1"/>
      <c r="C665" s="1"/>
      <c r="D665" s="1"/>
      <c r="E665" s="1"/>
      <c r="F665" s="1"/>
      <c r="G665" s="1"/>
      <c r="H665" s="1"/>
      <c r="I665" s="1"/>
      <c r="J665" s="1"/>
      <c r="K665" s="1"/>
      <c r="L665" s="1"/>
      <c r="M665" s="1"/>
      <c r="N665" s="1"/>
      <c r="O665" s="1"/>
      <c r="P665" s="1"/>
      <c r="Q665" s="1"/>
      <c r="R665" s="1"/>
      <c r="S665" s="1"/>
      <c r="T665" s="1"/>
      <c r="U665" s="2"/>
      <c r="V665" s="1"/>
      <c r="W665" s="1"/>
      <c r="X665" s="1"/>
      <c r="Y665" s="1"/>
      <c r="Z665" s="1"/>
    </row>
    <row r="666" spans="1:26" ht="24.75" customHeight="1">
      <c r="A666" s="1"/>
      <c r="B666" s="1"/>
      <c r="C666" s="1"/>
      <c r="D666" s="1"/>
      <c r="E666" s="1"/>
      <c r="F666" s="1"/>
      <c r="G666" s="1"/>
      <c r="H666" s="1"/>
      <c r="I666" s="1"/>
      <c r="J666" s="1"/>
      <c r="K666" s="1"/>
      <c r="L666" s="1"/>
      <c r="M666" s="1"/>
      <c r="N666" s="1"/>
      <c r="O666" s="1"/>
      <c r="P666" s="1"/>
      <c r="Q666" s="1"/>
      <c r="R666" s="1"/>
      <c r="S666" s="1"/>
      <c r="T666" s="1"/>
      <c r="U666" s="2"/>
      <c r="V666" s="1"/>
      <c r="W666" s="1"/>
      <c r="X666" s="1"/>
      <c r="Y666" s="1"/>
      <c r="Z666" s="1"/>
    </row>
    <row r="667" spans="1:26" ht="24.75" customHeight="1">
      <c r="A667" s="1"/>
      <c r="B667" s="1"/>
      <c r="C667" s="1"/>
      <c r="D667" s="1"/>
      <c r="E667" s="1"/>
      <c r="F667" s="1"/>
      <c r="G667" s="1"/>
      <c r="H667" s="1"/>
      <c r="I667" s="1"/>
      <c r="J667" s="1"/>
      <c r="K667" s="1"/>
      <c r="L667" s="1"/>
      <c r="M667" s="1"/>
      <c r="N667" s="1"/>
      <c r="O667" s="1"/>
      <c r="P667" s="1"/>
      <c r="Q667" s="1"/>
      <c r="R667" s="1"/>
      <c r="S667" s="1"/>
      <c r="T667" s="1"/>
      <c r="U667" s="2"/>
      <c r="V667" s="1"/>
      <c r="W667" s="1"/>
      <c r="X667" s="1"/>
      <c r="Y667" s="1"/>
      <c r="Z667" s="1"/>
    </row>
    <row r="668" spans="1:26" ht="24.75" customHeight="1">
      <c r="A668" s="1"/>
      <c r="B668" s="1"/>
      <c r="C668" s="1"/>
      <c r="D668" s="1"/>
      <c r="E668" s="1"/>
      <c r="F668" s="1"/>
      <c r="G668" s="1"/>
      <c r="H668" s="1"/>
      <c r="I668" s="1"/>
      <c r="J668" s="1"/>
      <c r="K668" s="1"/>
      <c r="L668" s="1"/>
      <c r="M668" s="1"/>
      <c r="N668" s="1"/>
      <c r="O668" s="1"/>
      <c r="P668" s="1"/>
      <c r="Q668" s="1"/>
      <c r="R668" s="1"/>
      <c r="S668" s="1"/>
      <c r="T668" s="1"/>
      <c r="U668" s="2"/>
      <c r="V668" s="1"/>
      <c r="W668" s="1"/>
      <c r="X668" s="1"/>
      <c r="Y668" s="1"/>
      <c r="Z668" s="1"/>
    </row>
    <row r="669" spans="1:26" ht="24.75" customHeight="1">
      <c r="A669" s="1"/>
      <c r="B669" s="1"/>
      <c r="C669" s="1"/>
      <c r="D669" s="1"/>
      <c r="E669" s="1"/>
      <c r="F669" s="1"/>
      <c r="G669" s="1"/>
      <c r="H669" s="1"/>
      <c r="I669" s="1"/>
      <c r="J669" s="1"/>
      <c r="K669" s="1"/>
      <c r="L669" s="1"/>
      <c r="M669" s="1"/>
      <c r="N669" s="1"/>
      <c r="O669" s="1"/>
      <c r="P669" s="1"/>
      <c r="Q669" s="1"/>
      <c r="R669" s="1"/>
      <c r="S669" s="1"/>
      <c r="T669" s="1"/>
      <c r="U669" s="2"/>
      <c r="V669" s="1"/>
      <c r="W669" s="1"/>
      <c r="X669" s="1"/>
      <c r="Y669" s="1"/>
      <c r="Z669" s="1"/>
    </row>
    <row r="670" spans="1:26" ht="24.75" customHeight="1">
      <c r="A670" s="1"/>
      <c r="B670" s="1"/>
      <c r="C670" s="1"/>
      <c r="D670" s="1"/>
      <c r="E670" s="1"/>
      <c r="F670" s="1"/>
      <c r="G670" s="1"/>
      <c r="H670" s="1"/>
      <c r="I670" s="1"/>
      <c r="J670" s="1"/>
      <c r="K670" s="1"/>
      <c r="L670" s="1"/>
      <c r="M670" s="1"/>
      <c r="N670" s="1"/>
      <c r="O670" s="1"/>
      <c r="P670" s="1"/>
      <c r="Q670" s="1"/>
      <c r="R670" s="1"/>
      <c r="S670" s="1"/>
      <c r="T670" s="1"/>
      <c r="U670" s="2"/>
      <c r="V670" s="1"/>
      <c r="W670" s="1"/>
      <c r="X670" s="1"/>
      <c r="Y670" s="1"/>
      <c r="Z670" s="1"/>
    </row>
    <row r="671" spans="1:26" ht="24.75" customHeight="1">
      <c r="A671" s="1"/>
      <c r="B671" s="1"/>
      <c r="C671" s="1"/>
      <c r="D671" s="1"/>
      <c r="E671" s="1"/>
      <c r="F671" s="1"/>
      <c r="G671" s="1"/>
      <c r="H671" s="1"/>
      <c r="I671" s="1"/>
      <c r="J671" s="1"/>
      <c r="K671" s="1"/>
      <c r="L671" s="1"/>
      <c r="M671" s="1"/>
      <c r="N671" s="1"/>
      <c r="O671" s="1"/>
      <c r="P671" s="1"/>
      <c r="Q671" s="1"/>
      <c r="R671" s="1"/>
      <c r="S671" s="1"/>
      <c r="T671" s="1"/>
      <c r="U671" s="2"/>
      <c r="V671" s="1"/>
      <c r="W671" s="1"/>
      <c r="X671" s="1"/>
      <c r="Y671" s="1"/>
      <c r="Z671" s="1"/>
    </row>
    <row r="672" spans="1:26" ht="24.75" customHeight="1">
      <c r="A672" s="1"/>
      <c r="B672" s="1"/>
      <c r="C672" s="1"/>
      <c r="D672" s="1"/>
      <c r="E672" s="1"/>
      <c r="F672" s="1"/>
      <c r="G672" s="1"/>
      <c r="H672" s="1"/>
      <c r="I672" s="1"/>
      <c r="J672" s="1"/>
      <c r="K672" s="1"/>
      <c r="L672" s="1"/>
      <c r="M672" s="1"/>
      <c r="N672" s="1"/>
      <c r="O672" s="1"/>
      <c r="P672" s="1"/>
      <c r="Q672" s="1"/>
      <c r="R672" s="1"/>
      <c r="S672" s="1"/>
      <c r="T672" s="1"/>
      <c r="U672" s="2"/>
      <c r="V672" s="1"/>
      <c r="W672" s="1"/>
      <c r="X672" s="1"/>
      <c r="Y672" s="1"/>
      <c r="Z672" s="1"/>
    </row>
    <row r="673" spans="1:26" ht="24.75" customHeight="1">
      <c r="A673" s="1"/>
      <c r="B673" s="1"/>
      <c r="C673" s="1"/>
      <c r="D673" s="1"/>
      <c r="E673" s="1"/>
      <c r="F673" s="1"/>
      <c r="G673" s="1"/>
      <c r="H673" s="1"/>
      <c r="I673" s="1"/>
      <c r="J673" s="1"/>
      <c r="K673" s="1"/>
      <c r="L673" s="1"/>
      <c r="M673" s="1"/>
      <c r="N673" s="1"/>
      <c r="O673" s="1"/>
      <c r="P673" s="1"/>
      <c r="Q673" s="1"/>
      <c r="R673" s="1"/>
      <c r="S673" s="1"/>
      <c r="T673" s="1"/>
      <c r="U673" s="2"/>
      <c r="V673" s="1"/>
      <c r="W673" s="1"/>
      <c r="X673" s="1"/>
      <c r="Y673" s="1"/>
      <c r="Z673" s="1"/>
    </row>
    <row r="674" spans="1:26" ht="24.75" customHeight="1">
      <c r="A674" s="1"/>
      <c r="B674" s="1"/>
      <c r="C674" s="1"/>
      <c r="D674" s="1"/>
      <c r="E674" s="1"/>
      <c r="F674" s="1"/>
      <c r="G674" s="1"/>
      <c r="H674" s="1"/>
      <c r="I674" s="1"/>
      <c r="J674" s="1"/>
      <c r="K674" s="1"/>
      <c r="L674" s="1"/>
      <c r="M674" s="1"/>
      <c r="N674" s="1"/>
      <c r="O674" s="1"/>
      <c r="P674" s="1"/>
      <c r="Q674" s="1"/>
      <c r="R674" s="1"/>
      <c r="S674" s="1"/>
      <c r="T674" s="1"/>
      <c r="U674" s="2"/>
      <c r="V674" s="1"/>
      <c r="W674" s="1"/>
      <c r="X674" s="1"/>
      <c r="Y674" s="1"/>
      <c r="Z674" s="1"/>
    </row>
    <row r="675" spans="1:26" ht="24.75" customHeight="1">
      <c r="A675" s="1"/>
      <c r="B675" s="1"/>
      <c r="C675" s="1"/>
      <c r="D675" s="1"/>
      <c r="E675" s="1"/>
      <c r="F675" s="1"/>
      <c r="G675" s="1"/>
      <c r="H675" s="1"/>
      <c r="I675" s="1"/>
      <c r="J675" s="1"/>
      <c r="K675" s="1"/>
      <c r="L675" s="1"/>
      <c r="M675" s="1"/>
      <c r="N675" s="1"/>
      <c r="O675" s="1"/>
      <c r="P675" s="1"/>
      <c r="Q675" s="1"/>
      <c r="R675" s="1"/>
      <c r="S675" s="1"/>
      <c r="T675" s="1"/>
      <c r="U675" s="2"/>
      <c r="V675" s="1"/>
      <c r="W675" s="1"/>
      <c r="X675" s="1"/>
      <c r="Y675" s="1"/>
      <c r="Z675" s="1"/>
    </row>
    <row r="676" spans="1:26" ht="24.75" customHeight="1">
      <c r="A676" s="1"/>
      <c r="B676" s="1"/>
      <c r="C676" s="1"/>
      <c r="D676" s="1"/>
      <c r="E676" s="1"/>
      <c r="F676" s="1"/>
      <c r="G676" s="1"/>
      <c r="H676" s="1"/>
      <c r="I676" s="1"/>
      <c r="J676" s="1"/>
      <c r="K676" s="1"/>
      <c r="L676" s="1"/>
      <c r="M676" s="1"/>
      <c r="N676" s="1"/>
      <c r="O676" s="1"/>
      <c r="P676" s="1"/>
      <c r="Q676" s="1"/>
      <c r="R676" s="1"/>
      <c r="S676" s="1"/>
      <c r="T676" s="1"/>
      <c r="U676" s="2"/>
      <c r="V676" s="1"/>
      <c r="W676" s="1"/>
      <c r="X676" s="1"/>
      <c r="Y676" s="1"/>
      <c r="Z676" s="1"/>
    </row>
    <row r="677" spans="1:26" ht="24.75" customHeight="1">
      <c r="A677" s="1"/>
      <c r="B677" s="1"/>
      <c r="C677" s="1"/>
      <c r="D677" s="1"/>
      <c r="E677" s="1"/>
      <c r="F677" s="1"/>
      <c r="G677" s="1"/>
      <c r="H677" s="1"/>
      <c r="I677" s="1"/>
      <c r="J677" s="1"/>
      <c r="K677" s="1"/>
      <c r="L677" s="1"/>
      <c r="M677" s="1"/>
      <c r="N677" s="1"/>
      <c r="O677" s="1"/>
      <c r="P677" s="1"/>
      <c r="Q677" s="1"/>
      <c r="R677" s="1"/>
      <c r="S677" s="1"/>
      <c r="T677" s="1"/>
      <c r="U677" s="2"/>
      <c r="V677" s="1"/>
      <c r="W677" s="1"/>
      <c r="X677" s="1"/>
      <c r="Y677" s="1"/>
      <c r="Z677" s="1"/>
    </row>
    <row r="678" spans="1:26" ht="24.75" customHeight="1">
      <c r="A678" s="1"/>
      <c r="B678" s="1"/>
      <c r="C678" s="1"/>
      <c r="D678" s="1"/>
      <c r="E678" s="1"/>
      <c r="F678" s="1"/>
      <c r="G678" s="1"/>
      <c r="H678" s="1"/>
      <c r="I678" s="1"/>
      <c r="J678" s="1"/>
      <c r="K678" s="1"/>
      <c r="L678" s="1"/>
      <c r="M678" s="1"/>
      <c r="N678" s="1"/>
      <c r="O678" s="1"/>
      <c r="P678" s="1"/>
      <c r="Q678" s="1"/>
      <c r="R678" s="1"/>
      <c r="S678" s="1"/>
      <c r="T678" s="1"/>
      <c r="U678" s="2"/>
      <c r="V678" s="1"/>
      <c r="W678" s="1"/>
      <c r="X678" s="1"/>
      <c r="Y678" s="1"/>
      <c r="Z678" s="1"/>
    </row>
    <row r="679" spans="1:26" ht="24.75" customHeight="1">
      <c r="A679" s="1"/>
      <c r="B679" s="1"/>
      <c r="C679" s="1"/>
      <c r="D679" s="1"/>
      <c r="E679" s="1"/>
      <c r="F679" s="1"/>
      <c r="G679" s="1"/>
      <c r="H679" s="1"/>
      <c r="I679" s="1"/>
      <c r="J679" s="1"/>
      <c r="K679" s="1"/>
      <c r="L679" s="1"/>
      <c r="M679" s="1"/>
      <c r="N679" s="1"/>
      <c r="O679" s="1"/>
      <c r="P679" s="1"/>
      <c r="Q679" s="1"/>
      <c r="R679" s="1"/>
      <c r="S679" s="1"/>
      <c r="T679" s="1"/>
      <c r="U679" s="2"/>
      <c r="V679" s="1"/>
      <c r="W679" s="1"/>
      <c r="X679" s="1"/>
      <c r="Y679" s="1"/>
      <c r="Z679" s="1"/>
    </row>
    <row r="680" spans="1:26" ht="24.75" customHeight="1">
      <c r="A680" s="1"/>
      <c r="B680" s="1"/>
      <c r="C680" s="1"/>
      <c r="D680" s="1"/>
      <c r="E680" s="1"/>
      <c r="F680" s="1"/>
      <c r="G680" s="1"/>
      <c r="H680" s="1"/>
      <c r="I680" s="1"/>
      <c r="J680" s="1"/>
      <c r="K680" s="1"/>
      <c r="L680" s="1"/>
      <c r="M680" s="1"/>
      <c r="N680" s="1"/>
      <c r="O680" s="1"/>
      <c r="P680" s="1"/>
      <c r="Q680" s="1"/>
      <c r="R680" s="1"/>
      <c r="S680" s="1"/>
      <c r="T680" s="1"/>
      <c r="U680" s="2"/>
      <c r="V680" s="1"/>
      <c r="W680" s="1"/>
      <c r="X680" s="1"/>
      <c r="Y680" s="1"/>
      <c r="Z680" s="1"/>
    </row>
    <row r="681" spans="1:26" ht="24.75" customHeight="1">
      <c r="A681" s="1"/>
      <c r="B681" s="1"/>
      <c r="C681" s="1"/>
      <c r="D681" s="1"/>
      <c r="E681" s="1"/>
      <c r="F681" s="1"/>
      <c r="G681" s="1"/>
      <c r="H681" s="1"/>
      <c r="I681" s="1"/>
      <c r="J681" s="1"/>
      <c r="K681" s="1"/>
      <c r="L681" s="1"/>
      <c r="M681" s="1"/>
      <c r="N681" s="1"/>
      <c r="O681" s="1"/>
      <c r="P681" s="1"/>
      <c r="Q681" s="1"/>
      <c r="R681" s="1"/>
      <c r="S681" s="1"/>
      <c r="T681" s="1"/>
      <c r="U681" s="2"/>
      <c r="V681" s="1"/>
      <c r="W681" s="1"/>
      <c r="X681" s="1"/>
      <c r="Y681" s="1"/>
      <c r="Z681" s="1"/>
    </row>
    <row r="682" spans="1:26" ht="24.75" customHeight="1">
      <c r="A682" s="1"/>
      <c r="B682" s="1"/>
      <c r="C682" s="1"/>
      <c r="D682" s="1"/>
      <c r="E682" s="1"/>
      <c r="F682" s="1"/>
      <c r="G682" s="1"/>
      <c r="H682" s="1"/>
      <c r="I682" s="1"/>
      <c r="J682" s="1"/>
      <c r="K682" s="1"/>
      <c r="L682" s="1"/>
      <c r="M682" s="1"/>
      <c r="N682" s="1"/>
      <c r="O682" s="1"/>
      <c r="P682" s="1"/>
      <c r="Q682" s="1"/>
      <c r="R682" s="1"/>
      <c r="S682" s="1"/>
      <c r="T682" s="1"/>
      <c r="U682" s="2"/>
      <c r="V682" s="1"/>
      <c r="W682" s="1"/>
      <c r="X682" s="1"/>
      <c r="Y682" s="1"/>
      <c r="Z682" s="1"/>
    </row>
    <row r="683" spans="1:26" ht="24.75" customHeight="1">
      <c r="A683" s="1"/>
      <c r="B683" s="1"/>
      <c r="C683" s="1"/>
      <c r="D683" s="1"/>
      <c r="E683" s="1"/>
      <c r="F683" s="1"/>
      <c r="G683" s="1"/>
      <c r="H683" s="1"/>
      <c r="I683" s="1"/>
      <c r="J683" s="1"/>
      <c r="K683" s="1"/>
      <c r="L683" s="1"/>
      <c r="M683" s="1"/>
      <c r="N683" s="1"/>
      <c r="O683" s="1"/>
      <c r="P683" s="1"/>
      <c r="Q683" s="1"/>
      <c r="R683" s="1"/>
      <c r="S683" s="1"/>
      <c r="T683" s="1"/>
      <c r="U683" s="2"/>
      <c r="V683" s="1"/>
      <c r="W683" s="1"/>
      <c r="X683" s="1"/>
      <c r="Y683" s="1"/>
      <c r="Z683" s="1"/>
    </row>
    <row r="684" spans="1:26" ht="24.75" customHeight="1">
      <c r="A684" s="1"/>
      <c r="B684" s="1"/>
      <c r="C684" s="1"/>
      <c r="D684" s="1"/>
      <c r="E684" s="1"/>
      <c r="F684" s="1"/>
      <c r="G684" s="1"/>
      <c r="H684" s="1"/>
      <c r="I684" s="1"/>
      <c r="J684" s="1"/>
      <c r="K684" s="1"/>
      <c r="L684" s="1"/>
      <c r="M684" s="1"/>
      <c r="N684" s="1"/>
      <c r="O684" s="1"/>
      <c r="P684" s="1"/>
      <c r="Q684" s="1"/>
      <c r="R684" s="1"/>
      <c r="S684" s="1"/>
      <c r="T684" s="1"/>
      <c r="U684" s="2"/>
      <c r="V684" s="1"/>
      <c r="W684" s="1"/>
      <c r="X684" s="1"/>
      <c r="Y684" s="1"/>
      <c r="Z684" s="1"/>
    </row>
    <row r="685" spans="1:26" ht="24.75" customHeight="1">
      <c r="A685" s="1"/>
      <c r="B685" s="1"/>
      <c r="C685" s="1"/>
      <c r="D685" s="1"/>
      <c r="E685" s="1"/>
      <c r="F685" s="1"/>
      <c r="G685" s="1"/>
      <c r="H685" s="1"/>
      <c r="I685" s="1"/>
      <c r="J685" s="1"/>
      <c r="K685" s="1"/>
      <c r="L685" s="1"/>
      <c r="M685" s="1"/>
      <c r="N685" s="1"/>
      <c r="O685" s="1"/>
      <c r="P685" s="1"/>
      <c r="Q685" s="1"/>
      <c r="R685" s="1"/>
      <c r="S685" s="1"/>
      <c r="T685" s="1"/>
      <c r="U685" s="2"/>
      <c r="V685" s="1"/>
      <c r="W685" s="1"/>
      <c r="X685" s="1"/>
      <c r="Y685" s="1"/>
      <c r="Z685" s="1"/>
    </row>
    <row r="686" spans="1:26" ht="24.75" customHeight="1">
      <c r="A686" s="1"/>
      <c r="B686" s="1"/>
      <c r="C686" s="1"/>
      <c r="D686" s="1"/>
      <c r="E686" s="1"/>
      <c r="F686" s="1"/>
      <c r="G686" s="1"/>
      <c r="H686" s="1"/>
      <c r="I686" s="1"/>
      <c r="J686" s="1"/>
      <c r="K686" s="1"/>
      <c r="L686" s="1"/>
      <c r="M686" s="1"/>
      <c r="N686" s="1"/>
      <c r="O686" s="1"/>
      <c r="P686" s="1"/>
      <c r="Q686" s="1"/>
      <c r="R686" s="1"/>
      <c r="S686" s="1"/>
      <c r="T686" s="1"/>
      <c r="U686" s="2"/>
      <c r="V686" s="1"/>
      <c r="W686" s="1"/>
      <c r="X686" s="1"/>
      <c r="Y686" s="1"/>
      <c r="Z686" s="1"/>
    </row>
    <row r="687" spans="1:26" ht="24.75" customHeight="1">
      <c r="A687" s="1"/>
      <c r="B687" s="1"/>
      <c r="C687" s="1"/>
      <c r="D687" s="1"/>
      <c r="E687" s="1"/>
      <c r="F687" s="1"/>
      <c r="G687" s="1"/>
      <c r="H687" s="1"/>
      <c r="I687" s="1"/>
      <c r="J687" s="1"/>
      <c r="K687" s="1"/>
      <c r="L687" s="1"/>
      <c r="M687" s="1"/>
      <c r="N687" s="1"/>
      <c r="O687" s="1"/>
      <c r="P687" s="1"/>
      <c r="Q687" s="1"/>
      <c r="R687" s="1"/>
      <c r="S687" s="1"/>
      <c r="T687" s="1"/>
      <c r="U687" s="2"/>
      <c r="V687" s="1"/>
      <c r="W687" s="1"/>
      <c r="X687" s="1"/>
      <c r="Y687" s="1"/>
      <c r="Z687" s="1"/>
    </row>
    <row r="688" spans="1:26" ht="24.75" customHeight="1">
      <c r="A688" s="1"/>
      <c r="B688" s="1"/>
      <c r="C688" s="1"/>
      <c r="D688" s="1"/>
      <c r="E688" s="1"/>
      <c r="F688" s="1"/>
      <c r="G688" s="1"/>
      <c r="H688" s="1"/>
      <c r="I688" s="1"/>
      <c r="J688" s="1"/>
      <c r="K688" s="1"/>
      <c r="L688" s="1"/>
      <c r="M688" s="1"/>
      <c r="N688" s="1"/>
      <c r="O688" s="1"/>
      <c r="P688" s="1"/>
      <c r="Q688" s="1"/>
      <c r="R688" s="1"/>
      <c r="S688" s="1"/>
      <c r="T688" s="1"/>
      <c r="U688" s="2"/>
      <c r="V688" s="1"/>
      <c r="W688" s="1"/>
      <c r="X688" s="1"/>
      <c r="Y688" s="1"/>
      <c r="Z688" s="1"/>
    </row>
    <row r="689" spans="1:26" ht="24.75" customHeight="1">
      <c r="A689" s="1"/>
      <c r="B689" s="1"/>
      <c r="C689" s="1"/>
      <c r="D689" s="1"/>
      <c r="E689" s="1"/>
      <c r="F689" s="1"/>
      <c r="G689" s="1"/>
      <c r="H689" s="1"/>
      <c r="I689" s="1"/>
      <c r="J689" s="1"/>
      <c r="K689" s="1"/>
      <c r="L689" s="1"/>
      <c r="M689" s="1"/>
      <c r="N689" s="1"/>
      <c r="O689" s="1"/>
      <c r="P689" s="1"/>
      <c r="Q689" s="1"/>
      <c r="R689" s="1"/>
      <c r="S689" s="1"/>
      <c r="T689" s="1"/>
      <c r="U689" s="2"/>
      <c r="V689" s="1"/>
      <c r="W689" s="1"/>
      <c r="X689" s="1"/>
      <c r="Y689" s="1"/>
      <c r="Z689" s="1"/>
    </row>
    <row r="690" spans="1:26" ht="24.75" customHeight="1">
      <c r="A690" s="1"/>
      <c r="B690" s="1"/>
      <c r="C690" s="1"/>
      <c r="D690" s="1"/>
      <c r="E690" s="1"/>
      <c r="F690" s="1"/>
      <c r="G690" s="1"/>
      <c r="H690" s="1"/>
      <c r="I690" s="1"/>
      <c r="J690" s="1"/>
      <c r="K690" s="1"/>
      <c r="L690" s="1"/>
      <c r="M690" s="1"/>
      <c r="N690" s="1"/>
      <c r="O690" s="1"/>
      <c r="P690" s="1"/>
      <c r="Q690" s="1"/>
      <c r="R690" s="1"/>
      <c r="S690" s="1"/>
      <c r="T690" s="1"/>
      <c r="U690" s="2"/>
      <c r="V690" s="1"/>
      <c r="W690" s="1"/>
      <c r="X690" s="1"/>
      <c r="Y690" s="1"/>
      <c r="Z690" s="1"/>
    </row>
    <row r="691" spans="1:26" ht="24.75" customHeight="1">
      <c r="A691" s="1"/>
      <c r="B691" s="1"/>
      <c r="C691" s="1"/>
      <c r="D691" s="1"/>
      <c r="E691" s="1"/>
      <c r="F691" s="1"/>
      <c r="G691" s="1"/>
      <c r="H691" s="1"/>
      <c r="I691" s="1"/>
      <c r="J691" s="1"/>
      <c r="K691" s="1"/>
      <c r="L691" s="1"/>
      <c r="M691" s="1"/>
      <c r="N691" s="1"/>
      <c r="O691" s="1"/>
      <c r="P691" s="1"/>
      <c r="Q691" s="1"/>
      <c r="R691" s="1"/>
      <c r="S691" s="1"/>
      <c r="T691" s="1"/>
      <c r="U691" s="2"/>
      <c r="V691" s="1"/>
      <c r="W691" s="1"/>
      <c r="X691" s="1"/>
      <c r="Y691" s="1"/>
      <c r="Z691" s="1"/>
    </row>
    <row r="692" spans="1:26" ht="24.75" customHeight="1">
      <c r="A692" s="1"/>
      <c r="B692" s="1"/>
      <c r="C692" s="1"/>
      <c r="D692" s="1"/>
      <c r="E692" s="1"/>
      <c r="F692" s="1"/>
      <c r="G692" s="1"/>
      <c r="H692" s="1"/>
      <c r="I692" s="1"/>
      <c r="J692" s="1"/>
      <c r="K692" s="1"/>
      <c r="L692" s="1"/>
      <c r="M692" s="1"/>
      <c r="N692" s="1"/>
      <c r="O692" s="1"/>
      <c r="P692" s="1"/>
      <c r="Q692" s="1"/>
      <c r="R692" s="1"/>
      <c r="S692" s="1"/>
      <c r="T692" s="1"/>
      <c r="U692" s="2"/>
      <c r="V692" s="1"/>
      <c r="W692" s="1"/>
      <c r="X692" s="1"/>
      <c r="Y692" s="1"/>
      <c r="Z692" s="1"/>
    </row>
    <row r="693" spans="1:26" ht="24.75" customHeight="1">
      <c r="A693" s="1"/>
      <c r="B693" s="1"/>
      <c r="C693" s="1"/>
      <c r="D693" s="1"/>
      <c r="E693" s="1"/>
      <c r="F693" s="1"/>
      <c r="G693" s="1"/>
      <c r="H693" s="1"/>
      <c r="I693" s="1"/>
      <c r="J693" s="1"/>
      <c r="K693" s="1"/>
      <c r="L693" s="1"/>
      <c r="M693" s="1"/>
      <c r="N693" s="1"/>
      <c r="O693" s="1"/>
      <c r="P693" s="1"/>
      <c r="Q693" s="1"/>
      <c r="R693" s="1"/>
      <c r="S693" s="1"/>
      <c r="T693" s="1"/>
      <c r="U693" s="2"/>
      <c r="V693" s="1"/>
      <c r="W693" s="1"/>
      <c r="X693" s="1"/>
      <c r="Y693" s="1"/>
      <c r="Z693" s="1"/>
    </row>
    <row r="694" spans="1:26" ht="24.75" customHeight="1">
      <c r="A694" s="1"/>
      <c r="B694" s="1"/>
      <c r="C694" s="1"/>
      <c r="D694" s="1"/>
      <c r="E694" s="1"/>
      <c r="F694" s="1"/>
      <c r="G694" s="1"/>
      <c r="H694" s="1"/>
      <c r="I694" s="1"/>
      <c r="J694" s="1"/>
      <c r="K694" s="1"/>
      <c r="L694" s="1"/>
      <c r="M694" s="1"/>
      <c r="N694" s="1"/>
      <c r="O694" s="1"/>
      <c r="P694" s="1"/>
      <c r="Q694" s="1"/>
      <c r="R694" s="1"/>
      <c r="S694" s="1"/>
      <c r="T694" s="1"/>
      <c r="U694" s="2"/>
      <c r="V694" s="1"/>
      <c r="W694" s="1"/>
      <c r="X694" s="1"/>
      <c r="Y694" s="1"/>
      <c r="Z694" s="1"/>
    </row>
    <row r="695" spans="1:26" ht="24.75" customHeight="1">
      <c r="A695" s="1"/>
      <c r="B695" s="1"/>
      <c r="C695" s="1"/>
      <c r="D695" s="1"/>
      <c r="E695" s="1"/>
      <c r="F695" s="1"/>
      <c r="G695" s="1"/>
      <c r="H695" s="1"/>
      <c r="I695" s="1"/>
      <c r="J695" s="1"/>
      <c r="K695" s="1"/>
      <c r="L695" s="1"/>
      <c r="M695" s="1"/>
      <c r="N695" s="1"/>
      <c r="O695" s="1"/>
      <c r="P695" s="1"/>
      <c r="Q695" s="1"/>
      <c r="R695" s="1"/>
      <c r="S695" s="1"/>
      <c r="T695" s="1"/>
      <c r="U695" s="2"/>
      <c r="V695" s="1"/>
      <c r="W695" s="1"/>
      <c r="X695" s="1"/>
      <c r="Y695" s="1"/>
      <c r="Z695" s="1"/>
    </row>
    <row r="696" spans="1:26" ht="24.75" customHeight="1">
      <c r="A696" s="1"/>
      <c r="B696" s="1"/>
      <c r="C696" s="1"/>
      <c r="D696" s="1"/>
      <c r="E696" s="1"/>
      <c r="F696" s="1"/>
      <c r="G696" s="1"/>
      <c r="H696" s="1"/>
      <c r="I696" s="1"/>
      <c r="J696" s="1"/>
      <c r="K696" s="1"/>
      <c r="L696" s="1"/>
      <c r="M696" s="1"/>
      <c r="N696" s="1"/>
      <c r="O696" s="1"/>
      <c r="P696" s="1"/>
      <c r="Q696" s="1"/>
      <c r="R696" s="1"/>
      <c r="S696" s="1"/>
      <c r="T696" s="1"/>
      <c r="U696" s="2"/>
      <c r="V696" s="1"/>
      <c r="W696" s="1"/>
      <c r="X696" s="1"/>
      <c r="Y696" s="1"/>
      <c r="Z696" s="1"/>
    </row>
    <row r="697" spans="1:26" ht="24.75" customHeight="1">
      <c r="A697" s="1"/>
      <c r="B697" s="1"/>
      <c r="C697" s="1"/>
      <c r="D697" s="1"/>
      <c r="E697" s="1"/>
      <c r="F697" s="1"/>
      <c r="G697" s="1"/>
      <c r="H697" s="1"/>
      <c r="I697" s="1"/>
      <c r="J697" s="1"/>
      <c r="K697" s="1"/>
      <c r="L697" s="1"/>
      <c r="M697" s="1"/>
      <c r="N697" s="1"/>
      <c r="O697" s="1"/>
      <c r="P697" s="1"/>
      <c r="Q697" s="1"/>
      <c r="R697" s="1"/>
      <c r="S697" s="1"/>
      <c r="T697" s="1"/>
      <c r="U697" s="2"/>
      <c r="V697" s="1"/>
      <c r="W697" s="1"/>
      <c r="X697" s="1"/>
      <c r="Y697" s="1"/>
      <c r="Z697" s="1"/>
    </row>
    <row r="698" spans="1:26" ht="24.75" customHeight="1">
      <c r="A698" s="1"/>
      <c r="B698" s="1"/>
      <c r="C698" s="1"/>
      <c r="D698" s="1"/>
      <c r="E698" s="1"/>
      <c r="F698" s="1"/>
      <c r="G698" s="1"/>
      <c r="H698" s="1"/>
      <c r="I698" s="1"/>
      <c r="J698" s="1"/>
      <c r="K698" s="1"/>
      <c r="L698" s="1"/>
      <c r="M698" s="1"/>
      <c r="N698" s="1"/>
      <c r="O698" s="1"/>
      <c r="P698" s="1"/>
      <c r="Q698" s="1"/>
      <c r="R698" s="1"/>
      <c r="S698" s="1"/>
      <c r="T698" s="1"/>
      <c r="U698" s="2"/>
      <c r="V698" s="1"/>
      <c r="W698" s="1"/>
      <c r="X698" s="1"/>
      <c r="Y698" s="1"/>
      <c r="Z698" s="1"/>
    </row>
    <row r="699" spans="1:26" ht="24.75" customHeight="1">
      <c r="A699" s="1"/>
      <c r="B699" s="1"/>
      <c r="C699" s="1"/>
      <c r="D699" s="1"/>
      <c r="E699" s="1"/>
      <c r="F699" s="1"/>
      <c r="G699" s="1"/>
      <c r="H699" s="1"/>
      <c r="I699" s="1"/>
      <c r="J699" s="1"/>
      <c r="K699" s="1"/>
      <c r="L699" s="1"/>
      <c r="M699" s="1"/>
      <c r="N699" s="1"/>
      <c r="O699" s="1"/>
      <c r="P699" s="1"/>
      <c r="Q699" s="1"/>
      <c r="R699" s="1"/>
      <c r="S699" s="1"/>
      <c r="T699" s="1"/>
      <c r="U699" s="2"/>
      <c r="V699" s="1"/>
      <c r="W699" s="1"/>
      <c r="X699" s="1"/>
      <c r="Y699" s="1"/>
      <c r="Z699" s="1"/>
    </row>
    <row r="700" spans="1:26" ht="24.75" customHeight="1">
      <c r="A700" s="1"/>
      <c r="B700" s="1"/>
      <c r="C700" s="1"/>
      <c r="D700" s="1"/>
      <c r="E700" s="1"/>
      <c r="F700" s="1"/>
      <c r="G700" s="1"/>
      <c r="H700" s="1"/>
      <c r="I700" s="1"/>
      <c r="J700" s="1"/>
      <c r="K700" s="1"/>
      <c r="L700" s="1"/>
      <c r="M700" s="1"/>
      <c r="N700" s="1"/>
      <c r="O700" s="1"/>
      <c r="P700" s="1"/>
      <c r="Q700" s="1"/>
      <c r="R700" s="1"/>
      <c r="S700" s="1"/>
      <c r="T700" s="1"/>
      <c r="U700" s="2"/>
      <c r="V700" s="1"/>
      <c r="W700" s="1"/>
      <c r="X700" s="1"/>
      <c r="Y700" s="1"/>
      <c r="Z700" s="1"/>
    </row>
    <row r="701" spans="1:26" ht="24.75" customHeight="1">
      <c r="A701" s="1"/>
      <c r="B701" s="1"/>
      <c r="C701" s="1"/>
      <c r="D701" s="1"/>
      <c r="E701" s="1"/>
      <c r="F701" s="1"/>
      <c r="G701" s="1"/>
      <c r="H701" s="1"/>
      <c r="I701" s="1"/>
      <c r="J701" s="1"/>
      <c r="K701" s="1"/>
      <c r="L701" s="1"/>
      <c r="M701" s="1"/>
      <c r="N701" s="1"/>
      <c r="O701" s="1"/>
      <c r="P701" s="1"/>
      <c r="Q701" s="1"/>
      <c r="R701" s="1"/>
      <c r="S701" s="1"/>
      <c r="T701" s="1"/>
      <c r="U701" s="2"/>
      <c r="V701" s="1"/>
      <c r="W701" s="1"/>
      <c r="X701" s="1"/>
      <c r="Y701" s="1"/>
      <c r="Z701" s="1"/>
    </row>
    <row r="702" spans="1:26" ht="24.75" customHeight="1">
      <c r="A702" s="1"/>
      <c r="B702" s="1"/>
      <c r="C702" s="1"/>
      <c r="D702" s="1"/>
      <c r="E702" s="1"/>
      <c r="F702" s="1"/>
      <c r="G702" s="1"/>
      <c r="H702" s="1"/>
      <c r="I702" s="1"/>
      <c r="J702" s="1"/>
      <c r="K702" s="1"/>
      <c r="L702" s="1"/>
      <c r="M702" s="1"/>
      <c r="N702" s="1"/>
      <c r="O702" s="1"/>
      <c r="P702" s="1"/>
      <c r="Q702" s="1"/>
      <c r="R702" s="1"/>
      <c r="S702" s="1"/>
      <c r="T702" s="1"/>
      <c r="U702" s="2"/>
      <c r="V702" s="1"/>
      <c r="W702" s="1"/>
      <c r="X702" s="1"/>
      <c r="Y702" s="1"/>
      <c r="Z702" s="1"/>
    </row>
    <row r="703" spans="1:26" ht="24.75" customHeight="1">
      <c r="A703" s="1"/>
      <c r="B703" s="1"/>
      <c r="C703" s="1"/>
      <c r="D703" s="1"/>
      <c r="E703" s="1"/>
      <c r="F703" s="1"/>
      <c r="G703" s="1"/>
      <c r="H703" s="1"/>
      <c r="I703" s="1"/>
      <c r="J703" s="1"/>
      <c r="K703" s="1"/>
      <c r="L703" s="1"/>
      <c r="M703" s="1"/>
      <c r="N703" s="1"/>
      <c r="O703" s="1"/>
      <c r="P703" s="1"/>
      <c r="Q703" s="1"/>
      <c r="R703" s="1"/>
      <c r="S703" s="1"/>
      <c r="T703" s="1"/>
      <c r="U703" s="2"/>
      <c r="V703" s="1"/>
      <c r="W703" s="1"/>
      <c r="X703" s="1"/>
      <c r="Y703" s="1"/>
      <c r="Z703" s="1"/>
    </row>
    <row r="704" spans="1:26" ht="24.75" customHeight="1">
      <c r="A704" s="1"/>
      <c r="B704" s="1"/>
      <c r="C704" s="1"/>
      <c r="D704" s="1"/>
      <c r="E704" s="1"/>
      <c r="F704" s="1"/>
      <c r="G704" s="1"/>
      <c r="H704" s="1"/>
      <c r="I704" s="1"/>
      <c r="J704" s="1"/>
      <c r="K704" s="1"/>
      <c r="L704" s="1"/>
      <c r="M704" s="1"/>
      <c r="N704" s="1"/>
      <c r="O704" s="1"/>
      <c r="P704" s="1"/>
      <c r="Q704" s="1"/>
      <c r="R704" s="1"/>
      <c r="S704" s="1"/>
      <c r="T704" s="1"/>
      <c r="U704" s="2"/>
      <c r="V704" s="1"/>
      <c r="W704" s="1"/>
      <c r="X704" s="1"/>
      <c r="Y704" s="1"/>
      <c r="Z704" s="1"/>
    </row>
    <row r="705" spans="1:26" ht="24.75" customHeight="1">
      <c r="A705" s="1"/>
      <c r="B705" s="1"/>
      <c r="C705" s="1"/>
      <c r="D705" s="1"/>
      <c r="E705" s="1"/>
      <c r="F705" s="1"/>
      <c r="G705" s="1"/>
      <c r="H705" s="1"/>
      <c r="I705" s="1"/>
      <c r="J705" s="1"/>
      <c r="K705" s="1"/>
      <c r="L705" s="1"/>
      <c r="M705" s="1"/>
      <c r="N705" s="1"/>
      <c r="O705" s="1"/>
      <c r="P705" s="1"/>
      <c r="Q705" s="1"/>
      <c r="R705" s="1"/>
      <c r="S705" s="1"/>
      <c r="T705" s="1"/>
      <c r="U705" s="2"/>
      <c r="V705" s="1"/>
      <c r="W705" s="1"/>
      <c r="X705" s="1"/>
      <c r="Y705" s="1"/>
      <c r="Z705" s="1"/>
    </row>
    <row r="706" spans="1:26" ht="24.75" customHeight="1">
      <c r="A706" s="1"/>
      <c r="B706" s="1"/>
      <c r="C706" s="1"/>
      <c r="D706" s="1"/>
      <c r="E706" s="1"/>
      <c r="F706" s="1"/>
      <c r="G706" s="1"/>
      <c r="H706" s="1"/>
      <c r="I706" s="1"/>
      <c r="J706" s="1"/>
      <c r="K706" s="1"/>
      <c r="L706" s="1"/>
      <c r="M706" s="1"/>
      <c r="N706" s="1"/>
      <c r="O706" s="1"/>
      <c r="P706" s="1"/>
      <c r="Q706" s="1"/>
      <c r="R706" s="1"/>
      <c r="S706" s="1"/>
      <c r="T706" s="1"/>
      <c r="U706" s="2"/>
      <c r="V706" s="1"/>
      <c r="W706" s="1"/>
      <c r="X706" s="1"/>
      <c r="Y706" s="1"/>
      <c r="Z706" s="1"/>
    </row>
    <row r="707" spans="1:26" ht="24.75" customHeight="1">
      <c r="A707" s="1"/>
      <c r="B707" s="1"/>
      <c r="C707" s="1"/>
      <c r="D707" s="1"/>
      <c r="E707" s="1"/>
      <c r="F707" s="1"/>
      <c r="G707" s="1"/>
      <c r="H707" s="1"/>
      <c r="I707" s="1"/>
      <c r="J707" s="1"/>
      <c r="K707" s="1"/>
      <c r="L707" s="1"/>
      <c r="M707" s="1"/>
      <c r="N707" s="1"/>
      <c r="O707" s="1"/>
      <c r="P707" s="1"/>
      <c r="Q707" s="1"/>
      <c r="R707" s="1"/>
      <c r="S707" s="1"/>
      <c r="T707" s="1"/>
      <c r="U707" s="2"/>
      <c r="V707" s="1"/>
      <c r="W707" s="1"/>
      <c r="X707" s="1"/>
      <c r="Y707" s="1"/>
      <c r="Z707" s="1"/>
    </row>
    <row r="708" spans="1:26" ht="24.75" customHeight="1">
      <c r="A708" s="1"/>
      <c r="B708" s="1"/>
      <c r="C708" s="1"/>
      <c r="D708" s="1"/>
      <c r="E708" s="1"/>
      <c r="F708" s="1"/>
      <c r="G708" s="1"/>
      <c r="H708" s="1"/>
      <c r="I708" s="1"/>
      <c r="J708" s="1"/>
      <c r="K708" s="1"/>
      <c r="L708" s="1"/>
      <c r="M708" s="1"/>
      <c r="N708" s="1"/>
      <c r="O708" s="1"/>
      <c r="P708" s="1"/>
      <c r="Q708" s="1"/>
      <c r="R708" s="1"/>
      <c r="S708" s="1"/>
      <c r="T708" s="1"/>
      <c r="U708" s="2"/>
      <c r="V708" s="1"/>
      <c r="W708" s="1"/>
      <c r="X708" s="1"/>
      <c r="Y708" s="1"/>
      <c r="Z708" s="1"/>
    </row>
    <row r="709" spans="1:26" ht="24.75" customHeight="1">
      <c r="A709" s="1"/>
      <c r="B709" s="1"/>
      <c r="C709" s="1"/>
      <c r="D709" s="1"/>
      <c r="E709" s="1"/>
      <c r="F709" s="1"/>
      <c r="G709" s="1"/>
      <c r="H709" s="1"/>
      <c r="I709" s="1"/>
      <c r="J709" s="1"/>
      <c r="K709" s="1"/>
      <c r="L709" s="1"/>
      <c r="M709" s="1"/>
      <c r="N709" s="1"/>
      <c r="O709" s="1"/>
      <c r="P709" s="1"/>
      <c r="Q709" s="1"/>
      <c r="R709" s="1"/>
      <c r="S709" s="1"/>
      <c r="T709" s="1"/>
      <c r="U709" s="2"/>
      <c r="V709" s="1"/>
      <c r="W709" s="1"/>
      <c r="X709" s="1"/>
      <c r="Y709" s="1"/>
      <c r="Z709" s="1"/>
    </row>
    <row r="710" spans="1:26" ht="24.75" customHeight="1">
      <c r="A710" s="1"/>
      <c r="B710" s="1"/>
      <c r="C710" s="1"/>
      <c r="D710" s="1"/>
      <c r="E710" s="1"/>
      <c r="F710" s="1"/>
      <c r="G710" s="1"/>
      <c r="H710" s="1"/>
      <c r="I710" s="1"/>
      <c r="J710" s="1"/>
      <c r="K710" s="1"/>
      <c r="L710" s="1"/>
      <c r="M710" s="1"/>
      <c r="N710" s="1"/>
      <c r="O710" s="1"/>
      <c r="P710" s="1"/>
      <c r="Q710" s="1"/>
      <c r="R710" s="1"/>
      <c r="S710" s="1"/>
      <c r="T710" s="1"/>
      <c r="U710" s="2"/>
      <c r="V710" s="1"/>
      <c r="W710" s="1"/>
      <c r="X710" s="1"/>
      <c r="Y710" s="1"/>
      <c r="Z710" s="1"/>
    </row>
    <row r="711" spans="1:26" ht="24.75" customHeight="1">
      <c r="A711" s="1"/>
      <c r="B711" s="1"/>
      <c r="C711" s="1"/>
      <c r="D711" s="1"/>
      <c r="E711" s="1"/>
      <c r="F711" s="1"/>
      <c r="G711" s="1"/>
      <c r="H711" s="1"/>
      <c r="I711" s="1"/>
      <c r="J711" s="1"/>
      <c r="K711" s="1"/>
      <c r="L711" s="1"/>
      <c r="M711" s="1"/>
      <c r="N711" s="1"/>
      <c r="O711" s="1"/>
      <c r="P711" s="1"/>
      <c r="Q711" s="1"/>
      <c r="R711" s="1"/>
      <c r="S711" s="1"/>
      <c r="T711" s="1"/>
      <c r="U711" s="2"/>
      <c r="V711" s="1"/>
      <c r="W711" s="1"/>
      <c r="X711" s="1"/>
      <c r="Y711" s="1"/>
      <c r="Z711" s="1"/>
    </row>
    <row r="712" spans="1:26" ht="24.75" customHeight="1">
      <c r="A712" s="1"/>
      <c r="B712" s="1"/>
      <c r="C712" s="1"/>
      <c r="D712" s="1"/>
      <c r="E712" s="1"/>
      <c r="F712" s="1"/>
      <c r="G712" s="1"/>
      <c r="H712" s="1"/>
      <c r="I712" s="1"/>
      <c r="J712" s="1"/>
      <c r="K712" s="1"/>
      <c r="L712" s="1"/>
      <c r="M712" s="1"/>
      <c r="N712" s="1"/>
      <c r="O712" s="1"/>
      <c r="P712" s="1"/>
      <c r="Q712" s="1"/>
      <c r="R712" s="1"/>
      <c r="S712" s="1"/>
      <c r="T712" s="1"/>
      <c r="U712" s="2"/>
      <c r="V712" s="1"/>
      <c r="W712" s="1"/>
      <c r="X712" s="1"/>
      <c r="Y712" s="1"/>
      <c r="Z712" s="1"/>
    </row>
    <row r="713" spans="1:26" ht="24.75" customHeight="1">
      <c r="A713" s="1"/>
      <c r="B713" s="1"/>
      <c r="C713" s="1"/>
      <c r="D713" s="1"/>
      <c r="E713" s="1"/>
      <c r="F713" s="1"/>
      <c r="G713" s="1"/>
      <c r="H713" s="1"/>
      <c r="I713" s="1"/>
      <c r="J713" s="1"/>
      <c r="K713" s="1"/>
      <c r="L713" s="1"/>
      <c r="M713" s="1"/>
      <c r="N713" s="1"/>
      <c r="O713" s="1"/>
      <c r="P713" s="1"/>
      <c r="Q713" s="1"/>
      <c r="R713" s="1"/>
      <c r="S713" s="1"/>
      <c r="T713" s="1"/>
      <c r="U713" s="2"/>
      <c r="V713" s="1"/>
      <c r="W713" s="1"/>
      <c r="X713" s="1"/>
      <c r="Y713" s="1"/>
      <c r="Z713" s="1"/>
    </row>
    <row r="714" spans="1:26" ht="24.75" customHeight="1">
      <c r="A714" s="1"/>
      <c r="B714" s="1"/>
      <c r="C714" s="1"/>
      <c r="D714" s="1"/>
      <c r="E714" s="1"/>
      <c r="F714" s="1"/>
      <c r="G714" s="1"/>
      <c r="H714" s="1"/>
      <c r="I714" s="1"/>
      <c r="J714" s="1"/>
      <c r="K714" s="1"/>
      <c r="L714" s="1"/>
      <c r="M714" s="1"/>
      <c r="N714" s="1"/>
      <c r="O714" s="1"/>
      <c r="P714" s="1"/>
      <c r="Q714" s="1"/>
      <c r="R714" s="1"/>
      <c r="S714" s="1"/>
      <c r="T714" s="1"/>
      <c r="U714" s="2"/>
      <c r="V714" s="1"/>
      <c r="W714" s="1"/>
      <c r="X714" s="1"/>
      <c r="Y714" s="1"/>
      <c r="Z714" s="1"/>
    </row>
    <row r="715" spans="1:26" ht="24.75" customHeight="1">
      <c r="A715" s="1"/>
      <c r="B715" s="1"/>
      <c r="C715" s="1"/>
      <c r="D715" s="1"/>
      <c r="E715" s="1"/>
      <c r="F715" s="1"/>
      <c r="G715" s="1"/>
      <c r="H715" s="1"/>
      <c r="I715" s="1"/>
      <c r="J715" s="1"/>
      <c r="K715" s="1"/>
      <c r="L715" s="1"/>
      <c r="M715" s="1"/>
      <c r="N715" s="1"/>
      <c r="O715" s="1"/>
      <c r="P715" s="1"/>
      <c r="Q715" s="1"/>
      <c r="R715" s="1"/>
      <c r="S715" s="1"/>
      <c r="T715" s="1"/>
      <c r="U715" s="2"/>
      <c r="V715" s="1"/>
      <c r="W715" s="1"/>
      <c r="X715" s="1"/>
      <c r="Y715" s="1"/>
      <c r="Z715" s="1"/>
    </row>
    <row r="716" spans="1:26" ht="24.75" customHeight="1">
      <c r="A716" s="1"/>
      <c r="B716" s="1"/>
      <c r="C716" s="1"/>
      <c r="D716" s="1"/>
      <c r="E716" s="1"/>
      <c r="F716" s="1"/>
      <c r="G716" s="1"/>
      <c r="H716" s="1"/>
      <c r="I716" s="1"/>
      <c r="J716" s="1"/>
      <c r="K716" s="1"/>
      <c r="L716" s="1"/>
      <c r="M716" s="1"/>
      <c r="N716" s="1"/>
      <c r="O716" s="1"/>
      <c r="P716" s="1"/>
      <c r="Q716" s="1"/>
      <c r="R716" s="1"/>
      <c r="S716" s="1"/>
      <c r="T716" s="1"/>
      <c r="U716" s="2"/>
      <c r="V716" s="1"/>
      <c r="W716" s="1"/>
      <c r="X716" s="1"/>
      <c r="Y716" s="1"/>
      <c r="Z716" s="1"/>
    </row>
    <row r="717" spans="1:26" ht="24.75" customHeight="1">
      <c r="A717" s="1"/>
      <c r="B717" s="1"/>
      <c r="C717" s="1"/>
      <c r="D717" s="1"/>
      <c r="E717" s="1"/>
      <c r="F717" s="1"/>
      <c r="G717" s="1"/>
      <c r="H717" s="1"/>
      <c r="I717" s="1"/>
      <c r="J717" s="1"/>
      <c r="K717" s="1"/>
      <c r="L717" s="1"/>
      <c r="M717" s="1"/>
      <c r="N717" s="1"/>
      <c r="O717" s="1"/>
      <c r="P717" s="1"/>
      <c r="Q717" s="1"/>
      <c r="R717" s="1"/>
      <c r="S717" s="1"/>
      <c r="T717" s="1"/>
      <c r="U717" s="2"/>
      <c r="V717" s="1"/>
      <c r="W717" s="1"/>
      <c r="X717" s="1"/>
      <c r="Y717" s="1"/>
      <c r="Z717" s="1"/>
    </row>
    <row r="718" spans="1:26" ht="24.75" customHeight="1">
      <c r="A718" s="1"/>
      <c r="B718" s="1"/>
      <c r="C718" s="1"/>
      <c r="D718" s="1"/>
      <c r="E718" s="1"/>
      <c r="F718" s="1"/>
      <c r="G718" s="1"/>
      <c r="H718" s="1"/>
      <c r="I718" s="1"/>
      <c r="J718" s="1"/>
      <c r="K718" s="1"/>
      <c r="L718" s="1"/>
      <c r="M718" s="1"/>
      <c r="N718" s="1"/>
      <c r="O718" s="1"/>
      <c r="P718" s="1"/>
      <c r="Q718" s="1"/>
      <c r="R718" s="1"/>
      <c r="S718" s="1"/>
      <c r="T718" s="1"/>
      <c r="U718" s="2"/>
      <c r="V718" s="1"/>
      <c r="W718" s="1"/>
      <c r="X718" s="1"/>
      <c r="Y718" s="1"/>
      <c r="Z718" s="1"/>
    </row>
    <row r="719" spans="1:26" ht="24.75" customHeight="1">
      <c r="A719" s="1"/>
      <c r="B719" s="1"/>
      <c r="C719" s="1"/>
      <c r="D719" s="1"/>
      <c r="E719" s="1"/>
      <c r="F719" s="1"/>
      <c r="G719" s="1"/>
      <c r="H719" s="1"/>
      <c r="I719" s="1"/>
      <c r="J719" s="1"/>
      <c r="K719" s="1"/>
      <c r="L719" s="1"/>
      <c r="M719" s="1"/>
      <c r="N719" s="1"/>
      <c r="O719" s="1"/>
      <c r="P719" s="1"/>
      <c r="Q719" s="1"/>
      <c r="R719" s="1"/>
      <c r="S719" s="1"/>
      <c r="T719" s="1"/>
      <c r="U719" s="2"/>
      <c r="V719" s="1"/>
      <c r="W719" s="1"/>
      <c r="X719" s="1"/>
      <c r="Y719" s="1"/>
      <c r="Z719" s="1"/>
    </row>
    <row r="720" spans="1:26" ht="24.75" customHeight="1">
      <c r="A720" s="1"/>
      <c r="B720" s="1"/>
      <c r="C720" s="1"/>
      <c r="D720" s="1"/>
      <c r="E720" s="1"/>
      <c r="F720" s="1"/>
      <c r="G720" s="1"/>
      <c r="H720" s="1"/>
      <c r="I720" s="1"/>
      <c r="J720" s="1"/>
      <c r="K720" s="1"/>
      <c r="L720" s="1"/>
      <c r="M720" s="1"/>
      <c r="N720" s="1"/>
      <c r="O720" s="1"/>
      <c r="P720" s="1"/>
      <c r="Q720" s="1"/>
      <c r="R720" s="1"/>
      <c r="S720" s="1"/>
      <c r="T720" s="1"/>
      <c r="U720" s="2"/>
      <c r="V720" s="1"/>
      <c r="W720" s="1"/>
      <c r="X720" s="1"/>
      <c r="Y720" s="1"/>
      <c r="Z720" s="1"/>
    </row>
    <row r="721" spans="1:26" ht="24.75" customHeight="1">
      <c r="A721" s="1"/>
      <c r="B721" s="1"/>
      <c r="C721" s="1"/>
      <c r="D721" s="1"/>
      <c r="E721" s="1"/>
      <c r="F721" s="1"/>
      <c r="G721" s="1"/>
      <c r="H721" s="1"/>
      <c r="I721" s="1"/>
      <c r="J721" s="1"/>
      <c r="K721" s="1"/>
      <c r="L721" s="1"/>
      <c r="M721" s="1"/>
      <c r="N721" s="1"/>
      <c r="O721" s="1"/>
      <c r="P721" s="1"/>
      <c r="Q721" s="1"/>
      <c r="R721" s="1"/>
      <c r="S721" s="1"/>
      <c r="T721" s="1"/>
      <c r="U721" s="2"/>
      <c r="V721" s="1"/>
      <c r="W721" s="1"/>
      <c r="X721" s="1"/>
      <c r="Y721" s="1"/>
      <c r="Z721" s="1"/>
    </row>
    <row r="722" spans="1:26" ht="24.75" customHeight="1">
      <c r="A722" s="1"/>
      <c r="B722" s="1"/>
      <c r="C722" s="1"/>
      <c r="D722" s="1"/>
      <c r="E722" s="1"/>
      <c r="F722" s="1"/>
      <c r="G722" s="1"/>
      <c r="H722" s="1"/>
      <c r="I722" s="1"/>
      <c r="J722" s="1"/>
      <c r="K722" s="1"/>
      <c r="L722" s="1"/>
      <c r="M722" s="1"/>
      <c r="N722" s="1"/>
      <c r="O722" s="1"/>
      <c r="P722" s="1"/>
      <c r="Q722" s="1"/>
      <c r="R722" s="1"/>
      <c r="S722" s="1"/>
      <c r="T722" s="1"/>
      <c r="U722" s="2"/>
      <c r="V722" s="1"/>
      <c r="W722" s="1"/>
      <c r="X722" s="1"/>
      <c r="Y722" s="1"/>
      <c r="Z722" s="1"/>
    </row>
    <row r="723" spans="1:26" ht="24.75" customHeight="1">
      <c r="A723" s="1"/>
      <c r="B723" s="1"/>
      <c r="C723" s="1"/>
      <c r="D723" s="1"/>
      <c r="E723" s="1"/>
      <c r="F723" s="1"/>
      <c r="G723" s="1"/>
      <c r="H723" s="1"/>
      <c r="I723" s="1"/>
      <c r="J723" s="1"/>
      <c r="K723" s="1"/>
      <c r="L723" s="1"/>
      <c r="M723" s="1"/>
      <c r="N723" s="1"/>
      <c r="O723" s="1"/>
      <c r="P723" s="1"/>
      <c r="Q723" s="1"/>
      <c r="R723" s="1"/>
      <c r="S723" s="1"/>
      <c r="T723" s="1"/>
      <c r="U723" s="2"/>
      <c r="V723" s="1"/>
      <c r="W723" s="1"/>
      <c r="X723" s="1"/>
      <c r="Y723" s="1"/>
      <c r="Z723" s="1"/>
    </row>
    <row r="724" spans="1:26" ht="24.75" customHeight="1">
      <c r="A724" s="1"/>
      <c r="B724" s="1"/>
      <c r="C724" s="1"/>
      <c r="D724" s="1"/>
      <c r="E724" s="1"/>
      <c r="F724" s="1"/>
      <c r="G724" s="1"/>
      <c r="H724" s="1"/>
      <c r="I724" s="1"/>
      <c r="J724" s="1"/>
      <c r="K724" s="1"/>
      <c r="L724" s="1"/>
      <c r="M724" s="1"/>
      <c r="N724" s="1"/>
      <c r="O724" s="1"/>
      <c r="P724" s="1"/>
      <c r="Q724" s="1"/>
      <c r="R724" s="1"/>
      <c r="S724" s="1"/>
      <c r="T724" s="1"/>
      <c r="U724" s="2"/>
      <c r="V724" s="1"/>
      <c r="W724" s="1"/>
      <c r="X724" s="1"/>
      <c r="Y724" s="1"/>
      <c r="Z724" s="1"/>
    </row>
    <row r="725" spans="1:26" ht="24.75" customHeight="1">
      <c r="A725" s="1"/>
      <c r="B725" s="1"/>
      <c r="C725" s="1"/>
      <c r="D725" s="1"/>
      <c r="E725" s="1"/>
      <c r="F725" s="1"/>
      <c r="G725" s="1"/>
      <c r="H725" s="1"/>
      <c r="I725" s="1"/>
      <c r="J725" s="1"/>
      <c r="K725" s="1"/>
      <c r="L725" s="1"/>
      <c r="M725" s="1"/>
      <c r="N725" s="1"/>
      <c r="O725" s="1"/>
      <c r="P725" s="1"/>
      <c r="Q725" s="1"/>
      <c r="R725" s="1"/>
      <c r="S725" s="1"/>
      <c r="T725" s="1"/>
      <c r="U725" s="2"/>
      <c r="V725" s="1"/>
      <c r="W725" s="1"/>
      <c r="X725" s="1"/>
      <c r="Y725" s="1"/>
      <c r="Z725" s="1"/>
    </row>
    <row r="726" spans="1:26" ht="24.75" customHeight="1">
      <c r="A726" s="1"/>
      <c r="B726" s="1"/>
      <c r="C726" s="1"/>
      <c r="D726" s="1"/>
      <c r="E726" s="1"/>
      <c r="F726" s="1"/>
      <c r="G726" s="1"/>
      <c r="H726" s="1"/>
      <c r="I726" s="1"/>
      <c r="J726" s="1"/>
      <c r="K726" s="1"/>
      <c r="L726" s="1"/>
      <c r="M726" s="1"/>
      <c r="N726" s="1"/>
      <c r="O726" s="1"/>
      <c r="P726" s="1"/>
      <c r="Q726" s="1"/>
      <c r="R726" s="1"/>
      <c r="S726" s="1"/>
      <c r="T726" s="1"/>
      <c r="U726" s="2"/>
      <c r="V726" s="1"/>
      <c r="W726" s="1"/>
      <c r="X726" s="1"/>
      <c r="Y726" s="1"/>
      <c r="Z726" s="1"/>
    </row>
    <row r="727" spans="1:26" ht="24.75" customHeight="1">
      <c r="A727" s="1"/>
      <c r="B727" s="1"/>
      <c r="C727" s="1"/>
      <c r="D727" s="1"/>
      <c r="E727" s="1"/>
      <c r="F727" s="1"/>
      <c r="G727" s="1"/>
      <c r="H727" s="1"/>
      <c r="I727" s="1"/>
      <c r="J727" s="1"/>
      <c r="K727" s="1"/>
      <c r="L727" s="1"/>
      <c r="M727" s="1"/>
      <c r="N727" s="1"/>
      <c r="O727" s="1"/>
      <c r="P727" s="1"/>
      <c r="Q727" s="1"/>
      <c r="R727" s="1"/>
      <c r="S727" s="1"/>
      <c r="T727" s="1"/>
      <c r="U727" s="2"/>
      <c r="V727" s="1"/>
      <c r="W727" s="1"/>
      <c r="X727" s="1"/>
      <c r="Y727" s="1"/>
      <c r="Z727" s="1"/>
    </row>
    <row r="728" spans="1:26" ht="24.75" customHeight="1">
      <c r="A728" s="1"/>
      <c r="B728" s="1"/>
      <c r="C728" s="1"/>
      <c r="D728" s="1"/>
      <c r="E728" s="1"/>
      <c r="F728" s="1"/>
      <c r="G728" s="1"/>
      <c r="H728" s="1"/>
      <c r="I728" s="1"/>
      <c r="J728" s="1"/>
      <c r="K728" s="1"/>
      <c r="L728" s="1"/>
      <c r="M728" s="1"/>
      <c r="N728" s="1"/>
      <c r="O728" s="1"/>
      <c r="P728" s="1"/>
      <c r="Q728" s="1"/>
      <c r="R728" s="1"/>
      <c r="S728" s="1"/>
      <c r="T728" s="1"/>
      <c r="U728" s="2"/>
      <c r="V728" s="1"/>
      <c r="W728" s="1"/>
      <c r="X728" s="1"/>
      <c r="Y728" s="1"/>
      <c r="Z728" s="1"/>
    </row>
    <row r="729" spans="1:26" ht="24.75" customHeight="1">
      <c r="A729" s="1"/>
      <c r="B729" s="1"/>
      <c r="C729" s="1"/>
      <c r="D729" s="1"/>
      <c r="E729" s="1"/>
      <c r="F729" s="1"/>
      <c r="G729" s="1"/>
      <c r="H729" s="1"/>
      <c r="I729" s="1"/>
      <c r="J729" s="1"/>
      <c r="K729" s="1"/>
      <c r="L729" s="1"/>
      <c r="M729" s="1"/>
      <c r="N729" s="1"/>
      <c r="O729" s="1"/>
      <c r="P729" s="1"/>
      <c r="Q729" s="1"/>
      <c r="R729" s="1"/>
      <c r="S729" s="1"/>
      <c r="T729" s="1"/>
      <c r="U729" s="2"/>
      <c r="V729" s="1"/>
      <c r="W729" s="1"/>
      <c r="X729" s="1"/>
      <c r="Y729" s="1"/>
      <c r="Z729" s="1"/>
    </row>
    <row r="730" spans="1:26" ht="24.75" customHeight="1">
      <c r="A730" s="1"/>
      <c r="B730" s="1"/>
      <c r="C730" s="1"/>
      <c r="D730" s="1"/>
      <c r="E730" s="1"/>
      <c r="F730" s="1"/>
      <c r="G730" s="1"/>
      <c r="H730" s="1"/>
      <c r="I730" s="1"/>
      <c r="J730" s="1"/>
      <c r="K730" s="1"/>
      <c r="L730" s="1"/>
      <c r="M730" s="1"/>
      <c r="N730" s="1"/>
      <c r="O730" s="1"/>
      <c r="P730" s="1"/>
      <c r="Q730" s="1"/>
      <c r="R730" s="1"/>
      <c r="S730" s="1"/>
      <c r="T730" s="1"/>
      <c r="U730" s="2"/>
      <c r="V730" s="1"/>
      <c r="W730" s="1"/>
      <c r="X730" s="1"/>
      <c r="Y730" s="1"/>
      <c r="Z730" s="1"/>
    </row>
    <row r="731" spans="1:26" ht="24.75" customHeight="1">
      <c r="A731" s="1"/>
      <c r="B731" s="1"/>
      <c r="C731" s="1"/>
      <c r="D731" s="1"/>
      <c r="E731" s="1"/>
      <c r="F731" s="1"/>
      <c r="G731" s="1"/>
      <c r="H731" s="1"/>
      <c r="I731" s="1"/>
      <c r="J731" s="1"/>
      <c r="K731" s="1"/>
      <c r="L731" s="1"/>
      <c r="M731" s="1"/>
      <c r="N731" s="1"/>
      <c r="O731" s="1"/>
      <c r="P731" s="1"/>
      <c r="Q731" s="1"/>
      <c r="R731" s="1"/>
      <c r="S731" s="1"/>
      <c r="T731" s="1"/>
      <c r="U731" s="2"/>
      <c r="V731" s="1"/>
      <c r="W731" s="1"/>
      <c r="X731" s="1"/>
      <c r="Y731" s="1"/>
      <c r="Z731" s="1"/>
    </row>
    <row r="732" spans="1:26" ht="24.75" customHeight="1">
      <c r="A732" s="1"/>
      <c r="B732" s="1"/>
      <c r="C732" s="1"/>
      <c r="D732" s="1"/>
      <c r="E732" s="1"/>
      <c r="F732" s="1"/>
      <c r="G732" s="1"/>
      <c r="H732" s="1"/>
      <c r="I732" s="1"/>
      <c r="J732" s="1"/>
      <c r="K732" s="1"/>
      <c r="L732" s="1"/>
      <c r="M732" s="1"/>
      <c r="N732" s="1"/>
      <c r="O732" s="1"/>
      <c r="P732" s="1"/>
      <c r="Q732" s="1"/>
      <c r="R732" s="1"/>
      <c r="S732" s="1"/>
      <c r="T732" s="1"/>
      <c r="U732" s="2"/>
      <c r="V732" s="1"/>
      <c r="W732" s="1"/>
      <c r="X732" s="1"/>
      <c r="Y732" s="1"/>
      <c r="Z732" s="1"/>
    </row>
    <row r="733" spans="1:26" ht="24.75" customHeight="1">
      <c r="A733" s="1"/>
      <c r="B733" s="1"/>
      <c r="C733" s="1"/>
      <c r="D733" s="1"/>
      <c r="E733" s="1"/>
      <c r="F733" s="1"/>
      <c r="G733" s="1"/>
      <c r="H733" s="1"/>
      <c r="I733" s="1"/>
      <c r="J733" s="1"/>
      <c r="K733" s="1"/>
      <c r="L733" s="1"/>
      <c r="M733" s="1"/>
      <c r="N733" s="1"/>
      <c r="O733" s="1"/>
      <c r="P733" s="1"/>
      <c r="Q733" s="1"/>
      <c r="R733" s="1"/>
      <c r="S733" s="1"/>
      <c r="T733" s="1"/>
      <c r="U733" s="2"/>
      <c r="V733" s="1"/>
      <c r="W733" s="1"/>
      <c r="X733" s="1"/>
      <c r="Y733" s="1"/>
      <c r="Z733" s="1"/>
    </row>
    <row r="734" spans="1:26" ht="24.75" customHeight="1">
      <c r="A734" s="1"/>
      <c r="B734" s="1"/>
      <c r="C734" s="1"/>
      <c r="D734" s="1"/>
      <c r="E734" s="1"/>
      <c r="F734" s="1"/>
      <c r="G734" s="1"/>
      <c r="H734" s="1"/>
      <c r="I734" s="1"/>
      <c r="J734" s="1"/>
      <c r="K734" s="1"/>
      <c r="L734" s="1"/>
      <c r="M734" s="1"/>
      <c r="N734" s="1"/>
      <c r="O734" s="1"/>
      <c r="P734" s="1"/>
      <c r="Q734" s="1"/>
      <c r="R734" s="1"/>
      <c r="S734" s="1"/>
      <c r="T734" s="1"/>
      <c r="U734" s="2"/>
      <c r="V734" s="1"/>
      <c r="W734" s="1"/>
      <c r="X734" s="1"/>
      <c r="Y734" s="1"/>
      <c r="Z734" s="1"/>
    </row>
    <row r="735" spans="1:26" ht="24.75" customHeight="1">
      <c r="A735" s="1"/>
      <c r="B735" s="1"/>
      <c r="C735" s="1"/>
      <c r="D735" s="1"/>
      <c r="E735" s="1"/>
      <c r="F735" s="1"/>
      <c r="G735" s="1"/>
      <c r="H735" s="1"/>
      <c r="I735" s="1"/>
      <c r="J735" s="1"/>
      <c r="K735" s="1"/>
      <c r="L735" s="1"/>
      <c r="M735" s="1"/>
      <c r="N735" s="1"/>
      <c r="O735" s="1"/>
      <c r="P735" s="1"/>
      <c r="Q735" s="1"/>
      <c r="R735" s="1"/>
      <c r="S735" s="1"/>
      <c r="T735" s="1"/>
      <c r="U735" s="2"/>
      <c r="V735" s="1"/>
      <c r="W735" s="1"/>
      <c r="X735" s="1"/>
      <c r="Y735" s="1"/>
      <c r="Z735" s="1"/>
    </row>
    <row r="736" spans="1:26" ht="24.75" customHeight="1">
      <c r="A736" s="1"/>
      <c r="B736" s="1"/>
      <c r="C736" s="1"/>
      <c r="D736" s="1"/>
      <c r="E736" s="1"/>
      <c r="F736" s="1"/>
      <c r="G736" s="1"/>
      <c r="H736" s="1"/>
      <c r="I736" s="1"/>
      <c r="J736" s="1"/>
      <c r="K736" s="1"/>
      <c r="L736" s="1"/>
      <c r="M736" s="1"/>
      <c r="N736" s="1"/>
      <c r="O736" s="1"/>
      <c r="P736" s="1"/>
      <c r="Q736" s="1"/>
      <c r="R736" s="1"/>
      <c r="S736" s="1"/>
      <c r="T736" s="1"/>
      <c r="U736" s="2"/>
      <c r="V736" s="1"/>
      <c r="W736" s="1"/>
      <c r="X736" s="1"/>
      <c r="Y736" s="1"/>
      <c r="Z736" s="1"/>
    </row>
    <row r="737" spans="1:26" ht="24.75" customHeight="1">
      <c r="A737" s="1"/>
      <c r="B737" s="1"/>
      <c r="C737" s="1"/>
      <c r="D737" s="1"/>
      <c r="E737" s="1"/>
      <c r="F737" s="1"/>
      <c r="G737" s="1"/>
      <c r="H737" s="1"/>
      <c r="I737" s="1"/>
      <c r="J737" s="1"/>
      <c r="K737" s="1"/>
      <c r="L737" s="1"/>
      <c r="M737" s="1"/>
      <c r="N737" s="1"/>
      <c r="O737" s="1"/>
      <c r="P737" s="1"/>
      <c r="Q737" s="1"/>
      <c r="R737" s="1"/>
      <c r="S737" s="1"/>
      <c r="T737" s="1"/>
      <c r="U737" s="2"/>
      <c r="V737" s="1"/>
      <c r="W737" s="1"/>
      <c r="X737" s="1"/>
      <c r="Y737" s="1"/>
      <c r="Z737" s="1"/>
    </row>
    <row r="738" spans="1:26" ht="24.75" customHeight="1">
      <c r="A738" s="1"/>
      <c r="B738" s="1"/>
      <c r="C738" s="1"/>
      <c r="D738" s="1"/>
      <c r="E738" s="1"/>
      <c r="F738" s="1"/>
      <c r="G738" s="1"/>
      <c r="H738" s="1"/>
      <c r="I738" s="1"/>
      <c r="J738" s="1"/>
      <c r="K738" s="1"/>
      <c r="L738" s="1"/>
      <c r="M738" s="1"/>
      <c r="N738" s="1"/>
      <c r="O738" s="1"/>
      <c r="P738" s="1"/>
      <c r="Q738" s="1"/>
      <c r="R738" s="1"/>
      <c r="S738" s="1"/>
      <c r="T738" s="1"/>
      <c r="U738" s="2"/>
      <c r="V738" s="1"/>
      <c r="W738" s="1"/>
      <c r="X738" s="1"/>
      <c r="Y738" s="1"/>
      <c r="Z738" s="1"/>
    </row>
    <row r="739" spans="1:26" ht="24.75" customHeight="1">
      <c r="A739" s="1"/>
      <c r="B739" s="1"/>
      <c r="C739" s="1"/>
      <c r="D739" s="1"/>
      <c r="E739" s="1"/>
      <c r="F739" s="1"/>
      <c r="G739" s="1"/>
      <c r="H739" s="1"/>
      <c r="I739" s="1"/>
      <c r="J739" s="1"/>
      <c r="K739" s="1"/>
      <c r="L739" s="1"/>
      <c r="M739" s="1"/>
      <c r="N739" s="1"/>
      <c r="O739" s="1"/>
      <c r="P739" s="1"/>
      <c r="Q739" s="1"/>
      <c r="R739" s="1"/>
      <c r="S739" s="1"/>
      <c r="T739" s="1"/>
      <c r="U739" s="2"/>
      <c r="V739" s="1"/>
      <c r="W739" s="1"/>
      <c r="X739" s="1"/>
      <c r="Y739" s="1"/>
      <c r="Z739" s="1"/>
    </row>
    <row r="740" spans="1:26" ht="24.75" customHeight="1">
      <c r="A740" s="1"/>
      <c r="B740" s="1"/>
      <c r="C740" s="1"/>
      <c r="D740" s="1"/>
      <c r="E740" s="1"/>
      <c r="F740" s="1"/>
      <c r="G740" s="1"/>
      <c r="H740" s="1"/>
      <c r="I740" s="1"/>
      <c r="J740" s="1"/>
      <c r="K740" s="1"/>
      <c r="L740" s="1"/>
      <c r="M740" s="1"/>
      <c r="N740" s="1"/>
      <c r="O740" s="1"/>
      <c r="P740" s="1"/>
      <c r="Q740" s="1"/>
      <c r="R740" s="1"/>
      <c r="S740" s="1"/>
      <c r="T740" s="1"/>
      <c r="U740" s="2"/>
      <c r="V740" s="1"/>
      <c r="W740" s="1"/>
      <c r="X740" s="1"/>
      <c r="Y740" s="1"/>
      <c r="Z740" s="1"/>
    </row>
    <row r="741" spans="1:26" ht="24.75" customHeight="1">
      <c r="A741" s="1"/>
      <c r="B741" s="1"/>
      <c r="C741" s="1"/>
      <c r="D741" s="1"/>
      <c r="E741" s="1"/>
      <c r="F741" s="1"/>
      <c r="G741" s="1"/>
      <c r="H741" s="1"/>
      <c r="I741" s="1"/>
      <c r="J741" s="1"/>
      <c r="K741" s="1"/>
      <c r="L741" s="1"/>
      <c r="M741" s="1"/>
      <c r="N741" s="1"/>
      <c r="O741" s="1"/>
      <c r="P741" s="1"/>
      <c r="Q741" s="1"/>
      <c r="R741" s="1"/>
      <c r="S741" s="1"/>
      <c r="T741" s="1"/>
      <c r="U741" s="2"/>
      <c r="V741" s="1"/>
      <c r="W741" s="1"/>
      <c r="X741" s="1"/>
      <c r="Y741" s="1"/>
      <c r="Z741" s="1"/>
    </row>
    <row r="742" spans="1:26" ht="24.75" customHeight="1">
      <c r="A742" s="1"/>
      <c r="B742" s="1"/>
      <c r="C742" s="1"/>
      <c r="D742" s="1"/>
      <c r="E742" s="1"/>
      <c r="F742" s="1"/>
      <c r="G742" s="1"/>
      <c r="H742" s="1"/>
      <c r="I742" s="1"/>
      <c r="J742" s="1"/>
      <c r="K742" s="1"/>
      <c r="L742" s="1"/>
      <c r="M742" s="1"/>
      <c r="N742" s="1"/>
      <c r="O742" s="1"/>
      <c r="P742" s="1"/>
      <c r="Q742" s="1"/>
      <c r="R742" s="1"/>
      <c r="S742" s="1"/>
      <c r="T742" s="1"/>
      <c r="U742" s="2"/>
      <c r="V742" s="1"/>
      <c r="W742" s="1"/>
      <c r="X742" s="1"/>
      <c r="Y742" s="1"/>
      <c r="Z742" s="1"/>
    </row>
    <row r="743" spans="1:26" ht="24.75" customHeight="1">
      <c r="A743" s="1"/>
      <c r="B743" s="1"/>
      <c r="C743" s="1"/>
      <c r="D743" s="1"/>
      <c r="E743" s="1"/>
      <c r="F743" s="1"/>
      <c r="G743" s="1"/>
      <c r="H743" s="1"/>
      <c r="I743" s="1"/>
      <c r="J743" s="1"/>
      <c r="K743" s="1"/>
      <c r="L743" s="1"/>
      <c r="M743" s="1"/>
      <c r="N743" s="1"/>
      <c r="O743" s="1"/>
      <c r="P743" s="1"/>
      <c r="Q743" s="1"/>
      <c r="R743" s="1"/>
      <c r="S743" s="1"/>
      <c r="T743" s="1"/>
      <c r="U743" s="2"/>
      <c r="V743" s="1"/>
      <c r="W743" s="1"/>
      <c r="X743" s="1"/>
      <c r="Y743" s="1"/>
      <c r="Z743" s="1"/>
    </row>
    <row r="744" spans="1:26" ht="24.75" customHeight="1">
      <c r="A744" s="1"/>
      <c r="B744" s="1"/>
      <c r="C744" s="1"/>
      <c r="D744" s="1"/>
      <c r="E744" s="1"/>
      <c r="F744" s="1"/>
      <c r="G744" s="1"/>
      <c r="H744" s="1"/>
      <c r="I744" s="1"/>
      <c r="J744" s="1"/>
      <c r="K744" s="1"/>
      <c r="L744" s="1"/>
      <c r="M744" s="1"/>
      <c r="N744" s="1"/>
      <c r="O744" s="1"/>
      <c r="P744" s="1"/>
      <c r="Q744" s="1"/>
      <c r="R744" s="1"/>
      <c r="S744" s="1"/>
      <c r="T744" s="1"/>
      <c r="U744" s="2"/>
      <c r="V744" s="1"/>
      <c r="W744" s="1"/>
      <c r="X744" s="1"/>
      <c r="Y744" s="1"/>
      <c r="Z744" s="1"/>
    </row>
    <row r="745" spans="1:26" ht="24.75" customHeight="1">
      <c r="A745" s="1"/>
      <c r="B745" s="1"/>
      <c r="C745" s="1"/>
      <c r="D745" s="1"/>
      <c r="E745" s="1"/>
      <c r="F745" s="1"/>
      <c r="G745" s="1"/>
      <c r="H745" s="1"/>
      <c r="I745" s="1"/>
      <c r="J745" s="1"/>
      <c r="K745" s="1"/>
      <c r="L745" s="1"/>
      <c r="M745" s="1"/>
      <c r="N745" s="1"/>
      <c r="O745" s="1"/>
      <c r="P745" s="1"/>
      <c r="Q745" s="1"/>
      <c r="R745" s="1"/>
      <c r="S745" s="1"/>
      <c r="T745" s="1"/>
      <c r="U745" s="2"/>
      <c r="V745" s="1"/>
      <c r="W745" s="1"/>
      <c r="X745" s="1"/>
      <c r="Y745" s="1"/>
      <c r="Z745" s="1"/>
    </row>
    <row r="746" spans="1:26" ht="24.75" customHeight="1">
      <c r="A746" s="1"/>
      <c r="B746" s="1"/>
      <c r="C746" s="1"/>
      <c r="D746" s="1"/>
      <c r="E746" s="1"/>
      <c r="F746" s="1"/>
      <c r="G746" s="1"/>
      <c r="H746" s="1"/>
      <c r="I746" s="1"/>
      <c r="J746" s="1"/>
      <c r="K746" s="1"/>
      <c r="L746" s="1"/>
      <c r="M746" s="1"/>
      <c r="N746" s="1"/>
      <c r="O746" s="1"/>
      <c r="P746" s="1"/>
      <c r="Q746" s="1"/>
      <c r="R746" s="1"/>
      <c r="S746" s="1"/>
      <c r="T746" s="1"/>
      <c r="U746" s="2"/>
      <c r="V746" s="1"/>
      <c r="W746" s="1"/>
      <c r="X746" s="1"/>
      <c r="Y746" s="1"/>
      <c r="Z746" s="1"/>
    </row>
    <row r="747" spans="1:26" ht="24.75" customHeight="1">
      <c r="A747" s="1"/>
      <c r="B747" s="1"/>
      <c r="C747" s="1"/>
      <c r="D747" s="1"/>
      <c r="E747" s="1"/>
      <c r="F747" s="1"/>
      <c r="G747" s="1"/>
      <c r="H747" s="1"/>
      <c r="I747" s="1"/>
      <c r="J747" s="1"/>
      <c r="K747" s="1"/>
      <c r="L747" s="1"/>
      <c r="M747" s="1"/>
      <c r="N747" s="1"/>
      <c r="O747" s="1"/>
      <c r="P747" s="1"/>
      <c r="Q747" s="1"/>
      <c r="R747" s="1"/>
      <c r="S747" s="1"/>
      <c r="T747" s="1"/>
      <c r="U747" s="2"/>
      <c r="V747" s="1"/>
      <c r="W747" s="1"/>
      <c r="X747" s="1"/>
      <c r="Y747" s="1"/>
      <c r="Z747" s="1"/>
    </row>
    <row r="748" spans="1:26" ht="24.75" customHeight="1">
      <c r="A748" s="1"/>
      <c r="B748" s="1"/>
      <c r="C748" s="1"/>
      <c r="D748" s="1"/>
      <c r="E748" s="1"/>
      <c r="F748" s="1"/>
      <c r="G748" s="1"/>
      <c r="H748" s="1"/>
      <c r="I748" s="1"/>
      <c r="J748" s="1"/>
      <c r="K748" s="1"/>
      <c r="L748" s="1"/>
      <c r="M748" s="1"/>
      <c r="N748" s="1"/>
      <c r="O748" s="1"/>
      <c r="P748" s="1"/>
      <c r="Q748" s="1"/>
      <c r="R748" s="1"/>
      <c r="S748" s="1"/>
      <c r="T748" s="1"/>
      <c r="U748" s="2"/>
      <c r="V748" s="1"/>
      <c r="W748" s="1"/>
      <c r="X748" s="1"/>
      <c r="Y748" s="1"/>
      <c r="Z748" s="1"/>
    </row>
    <row r="749" spans="1:26" ht="24.75" customHeight="1">
      <c r="A749" s="1"/>
      <c r="B749" s="1"/>
      <c r="C749" s="1"/>
      <c r="D749" s="1"/>
      <c r="E749" s="1"/>
      <c r="F749" s="1"/>
      <c r="G749" s="1"/>
      <c r="H749" s="1"/>
      <c r="I749" s="1"/>
      <c r="J749" s="1"/>
      <c r="K749" s="1"/>
      <c r="L749" s="1"/>
      <c r="M749" s="1"/>
      <c r="N749" s="1"/>
      <c r="O749" s="1"/>
      <c r="P749" s="1"/>
      <c r="Q749" s="1"/>
      <c r="R749" s="1"/>
      <c r="S749" s="1"/>
      <c r="T749" s="1"/>
      <c r="U749" s="2"/>
      <c r="V749" s="1"/>
      <c r="W749" s="1"/>
      <c r="X749" s="1"/>
      <c r="Y749" s="1"/>
      <c r="Z749" s="1"/>
    </row>
    <row r="750" spans="1:26" ht="24.75" customHeight="1">
      <c r="A750" s="1"/>
      <c r="B750" s="1"/>
      <c r="C750" s="1"/>
      <c r="D750" s="1"/>
      <c r="E750" s="1"/>
      <c r="F750" s="1"/>
      <c r="G750" s="1"/>
      <c r="H750" s="1"/>
      <c r="I750" s="1"/>
      <c r="J750" s="1"/>
      <c r="K750" s="1"/>
      <c r="L750" s="1"/>
      <c r="M750" s="1"/>
      <c r="N750" s="1"/>
      <c r="O750" s="1"/>
      <c r="P750" s="1"/>
      <c r="Q750" s="1"/>
      <c r="R750" s="1"/>
      <c r="S750" s="1"/>
      <c r="T750" s="1"/>
      <c r="U750" s="2"/>
      <c r="V750" s="1"/>
      <c r="W750" s="1"/>
      <c r="X750" s="1"/>
      <c r="Y750" s="1"/>
      <c r="Z750" s="1"/>
    </row>
    <row r="751" spans="1:26" ht="24.75" customHeight="1">
      <c r="A751" s="1"/>
      <c r="B751" s="1"/>
      <c r="C751" s="1"/>
      <c r="D751" s="1"/>
      <c r="E751" s="1"/>
      <c r="F751" s="1"/>
      <c r="G751" s="1"/>
      <c r="H751" s="1"/>
      <c r="I751" s="1"/>
      <c r="J751" s="1"/>
      <c r="K751" s="1"/>
      <c r="L751" s="1"/>
      <c r="M751" s="1"/>
      <c r="N751" s="1"/>
      <c r="O751" s="1"/>
      <c r="P751" s="1"/>
      <c r="Q751" s="1"/>
      <c r="R751" s="1"/>
      <c r="S751" s="1"/>
      <c r="T751" s="1"/>
      <c r="U751" s="2"/>
      <c r="V751" s="1"/>
      <c r="W751" s="1"/>
      <c r="X751" s="1"/>
      <c r="Y751" s="1"/>
      <c r="Z751" s="1"/>
    </row>
    <row r="752" spans="1:26" ht="24.75" customHeight="1">
      <c r="A752" s="1"/>
      <c r="B752" s="1"/>
      <c r="C752" s="1"/>
      <c r="D752" s="1"/>
      <c r="E752" s="1"/>
      <c r="F752" s="1"/>
      <c r="G752" s="1"/>
      <c r="H752" s="1"/>
      <c r="I752" s="1"/>
      <c r="J752" s="1"/>
      <c r="K752" s="1"/>
      <c r="L752" s="1"/>
      <c r="M752" s="1"/>
      <c r="N752" s="1"/>
      <c r="O752" s="1"/>
      <c r="P752" s="1"/>
      <c r="Q752" s="1"/>
      <c r="R752" s="1"/>
      <c r="S752" s="1"/>
      <c r="T752" s="1"/>
      <c r="U752" s="2"/>
      <c r="V752" s="1"/>
      <c r="W752" s="1"/>
      <c r="X752" s="1"/>
      <c r="Y752" s="1"/>
      <c r="Z752" s="1"/>
    </row>
    <row r="753" spans="1:26" ht="24.75" customHeight="1">
      <c r="A753" s="1"/>
      <c r="B753" s="1"/>
      <c r="C753" s="1"/>
      <c r="D753" s="1"/>
      <c r="E753" s="1"/>
      <c r="F753" s="1"/>
      <c r="G753" s="1"/>
      <c r="H753" s="1"/>
      <c r="I753" s="1"/>
      <c r="J753" s="1"/>
      <c r="K753" s="1"/>
      <c r="L753" s="1"/>
      <c r="M753" s="1"/>
      <c r="N753" s="1"/>
      <c r="O753" s="1"/>
      <c r="P753" s="1"/>
      <c r="Q753" s="1"/>
      <c r="R753" s="1"/>
      <c r="S753" s="1"/>
      <c r="T753" s="1"/>
      <c r="U753" s="2"/>
      <c r="V753" s="1"/>
      <c r="W753" s="1"/>
      <c r="X753" s="1"/>
      <c r="Y753" s="1"/>
      <c r="Z753" s="1"/>
    </row>
    <row r="754" spans="1:26" ht="24.75" customHeight="1">
      <c r="A754" s="1"/>
      <c r="B754" s="1"/>
      <c r="C754" s="1"/>
      <c r="D754" s="1"/>
      <c r="E754" s="1"/>
      <c r="F754" s="1"/>
      <c r="G754" s="1"/>
      <c r="H754" s="1"/>
      <c r="I754" s="1"/>
      <c r="J754" s="1"/>
      <c r="K754" s="1"/>
      <c r="L754" s="1"/>
      <c r="M754" s="1"/>
      <c r="N754" s="1"/>
      <c r="O754" s="1"/>
      <c r="P754" s="1"/>
      <c r="Q754" s="1"/>
      <c r="R754" s="1"/>
      <c r="S754" s="1"/>
      <c r="T754" s="1"/>
      <c r="U754" s="2"/>
      <c r="V754" s="1"/>
      <c r="W754" s="1"/>
      <c r="X754" s="1"/>
      <c r="Y754" s="1"/>
      <c r="Z754" s="1"/>
    </row>
    <row r="755" spans="1:26" ht="24.75" customHeight="1">
      <c r="A755" s="1"/>
      <c r="B755" s="1"/>
      <c r="C755" s="1"/>
      <c r="D755" s="1"/>
      <c r="E755" s="1"/>
      <c r="F755" s="1"/>
      <c r="G755" s="1"/>
      <c r="H755" s="1"/>
      <c r="I755" s="1"/>
      <c r="J755" s="1"/>
      <c r="K755" s="1"/>
      <c r="L755" s="1"/>
      <c r="M755" s="1"/>
      <c r="N755" s="1"/>
      <c r="O755" s="1"/>
      <c r="P755" s="1"/>
      <c r="Q755" s="1"/>
      <c r="R755" s="1"/>
      <c r="S755" s="1"/>
      <c r="T755" s="1"/>
      <c r="U755" s="2"/>
      <c r="V755" s="1"/>
      <c r="W755" s="1"/>
      <c r="X755" s="1"/>
      <c r="Y755" s="1"/>
      <c r="Z755" s="1"/>
    </row>
    <row r="756" spans="1:26" ht="24.75" customHeight="1">
      <c r="A756" s="1"/>
      <c r="B756" s="1"/>
      <c r="C756" s="1"/>
      <c r="D756" s="1"/>
      <c r="E756" s="1"/>
      <c r="F756" s="1"/>
      <c r="G756" s="1"/>
      <c r="H756" s="1"/>
      <c r="I756" s="1"/>
      <c r="J756" s="1"/>
      <c r="K756" s="1"/>
      <c r="L756" s="1"/>
      <c r="M756" s="1"/>
      <c r="N756" s="1"/>
      <c r="O756" s="1"/>
      <c r="P756" s="1"/>
      <c r="Q756" s="1"/>
      <c r="R756" s="1"/>
      <c r="S756" s="1"/>
      <c r="T756" s="1"/>
      <c r="U756" s="2"/>
      <c r="V756" s="1"/>
      <c r="W756" s="1"/>
      <c r="X756" s="1"/>
      <c r="Y756" s="1"/>
      <c r="Z756" s="1"/>
    </row>
    <row r="757" spans="1:26" ht="24.75" customHeight="1">
      <c r="A757" s="1"/>
      <c r="B757" s="1"/>
      <c r="C757" s="1"/>
      <c r="D757" s="1"/>
      <c r="E757" s="1"/>
      <c r="F757" s="1"/>
      <c r="G757" s="1"/>
      <c r="H757" s="1"/>
      <c r="I757" s="1"/>
      <c r="J757" s="1"/>
      <c r="K757" s="1"/>
      <c r="L757" s="1"/>
      <c r="M757" s="1"/>
      <c r="N757" s="1"/>
      <c r="O757" s="1"/>
      <c r="P757" s="1"/>
      <c r="Q757" s="1"/>
      <c r="R757" s="1"/>
      <c r="S757" s="1"/>
      <c r="T757" s="1"/>
      <c r="U757" s="2"/>
      <c r="V757" s="1"/>
      <c r="W757" s="1"/>
      <c r="X757" s="1"/>
      <c r="Y757" s="1"/>
      <c r="Z757" s="1"/>
    </row>
    <row r="758" spans="1:26" ht="24.75" customHeight="1">
      <c r="A758" s="1"/>
      <c r="B758" s="1"/>
      <c r="C758" s="1"/>
      <c r="D758" s="1"/>
      <c r="E758" s="1"/>
      <c r="F758" s="1"/>
      <c r="G758" s="1"/>
      <c r="H758" s="1"/>
      <c r="I758" s="1"/>
      <c r="J758" s="1"/>
      <c r="K758" s="1"/>
      <c r="L758" s="1"/>
      <c r="M758" s="1"/>
      <c r="N758" s="1"/>
      <c r="O758" s="1"/>
      <c r="P758" s="1"/>
      <c r="Q758" s="1"/>
      <c r="R758" s="1"/>
      <c r="S758" s="1"/>
      <c r="T758" s="1"/>
      <c r="U758" s="2"/>
      <c r="V758" s="1"/>
      <c r="W758" s="1"/>
      <c r="X758" s="1"/>
      <c r="Y758" s="1"/>
      <c r="Z758" s="1"/>
    </row>
    <row r="759" spans="1:26" ht="24.75" customHeight="1">
      <c r="A759" s="1"/>
      <c r="B759" s="1"/>
      <c r="C759" s="1"/>
      <c r="D759" s="1"/>
      <c r="E759" s="1"/>
      <c r="F759" s="1"/>
      <c r="G759" s="1"/>
      <c r="H759" s="1"/>
      <c r="I759" s="1"/>
      <c r="J759" s="1"/>
      <c r="K759" s="1"/>
      <c r="L759" s="1"/>
      <c r="M759" s="1"/>
      <c r="N759" s="1"/>
      <c r="O759" s="1"/>
      <c r="P759" s="1"/>
      <c r="Q759" s="1"/>
      <c r="R759" s="1"/>
      <c r="S759" s="1"/>
      <c r="T759" s="1"/>
      <c r="U759" s="2"/>
      <c r="V759" s="1"/>
      <c r="W759" s="1"/>
      <c r="X759" s="1"/>
      <c r="Y759" s="1"/>
      <c r="Z759" s="1"/>
    </row>
    <row r="760" spans="1:26" ht="24.75" customHeight="1">
      <c r="A760" s="1"/>
      <c r="B760" s="1"/>
      <c r="C760" s="1"/>
      <c r="D760" s="1"/>
      <c r="E760" s="1"/>
      <c r="F760" s="1"/>
      <c r="G760" s="1"/>
      <c r="H760" s="1"/>
      <c r="I760" s="1"/>
      <c r="J760" s="1"/>
      <c r="K760" s="1"/>
      <c r="L760" s="1"/>
      <c r="M760" s="1"/>
      <c r="N760" s="1"/>
      <c r="O760" s="1"/>
      <c r="P760" s="1"/>
      <c r="Q760" s="1"/>
      <c r="R760" s="1"/>
      <c r="S760" s="1"/>
      <c r="T760" s="1"/>
      <c r="U760" s="2"/>
      <c r="V760" s="1"/>
      <c r="W760" s="1"/>
      <c r="X760" s="1"/>
      <c r="Y760" s="1"/>
      <c r="Z760" s="1"/>
    </row>
    <row r="761" spans="1:26" ht="24.75" customHeight="1">
      <c r="A761" s="1"/>
      <c r="B761" s="1"/>
      <c r="C761" s="1"/>
      <c r="D761" s="1"/>
      <c r="E761" s="1"/>
      <c r="F761" s="1"/>
      <c r="G761" s="1"/>
      <c r="H761" s="1"/>
      <c r="I761" s="1"/>
      <c r="J761" s="1"/>
      <c r="K761" s="1"/>
      <c r="L761" s="1"/>
      <c r="M761" s="1"/>
      <c r="N761" s="1"/>
      <c r="O761" s="1"/>
      <c r="P761" s="1"/>
      <c r="Q761" s="1"/>
      <c r="R761" s="1"/>
      <c r="S761" s="1"/>
      <c r="T761" s="1"/>
      <c r="U761" s="2"/>
      <c r="V761" s="1"/>
      <c r="W761" s="1"/>
      <c r="X761" s="1"/>
      <c r="Y761" s="1"/>
      <c r="Z761" s="1"/>
    </row>
    <row r="762" spans="1:26" ht="24.75" customHeight="1">
      <c r="A762" s="1"/>
      <c r="B762" s="1"/>
      <c r="C762" s="1"/>
      <c r="D762" s="1"/>
      <c r="E762" s="1"/>
      <c r="F762" s="1"/>
      <c r="G762" s="1"/>
      <c r="H762" s="1"/>
      <c r="I762" s="1"/>
      <c r="J762" s="1"/>
      <c r="K762" s="1"/>
      <c r="L762" s="1"/>
      <c r="M762" s="1"/>
      <c r="N762" s="1"/>
      <c r="O762" s="1"/>
      <c r="P762" s="1"/>
      <c r="Q762" s="1"/>
      <c r="R762" s="1"/>
      <c r="S762" s="1"/>
      <c r="T762" s="1"/>
      <c r="U762" s="2"/>
      <c r="V762" s="1"/>
      <c r="W762" s="1"/>
      <c r="X762" s="1"/>
      <c r="Y762" s="1"/>
      <c r="Z762" s="1"/>
    </row>
    <row r="763" spans="1:26" ht="24.75" customHeight="1">
      <c r="A763" s="1"/>
      <c r="B763" s="1"/>
      <c r="C763" s="1"/>
      <c r="D763" s="1"/>
      <c r="E763" s="1"/>
      <c r="F763" s="1"/>
      <c r="G763" s="1"/>
      <c r="H763" s="1"/>
      <c r="I763" s="1"/>
      <c r="J763" s="1"/>
      <c r="K763" s="1"/>
      <c r="L763" s="1"/>
      <c r="M763" s="1"/>
      <c r="N763" s="1"/>
      <c r="O763" s="1"/>
      <c r="P763" s="1"/>
      <c r="Q763" s="1"/>
      <c r="R763" s="1"/>
      <c r="S763" s="1"/>
      <c r="T763" s="1"/>
      <c r="U763" s="2"/>
      <c r="V763" s="1"/>
      <c r="W763" s="1"/>
      <c r="X763" s="1"/>
      <c r="Y763" s="1"/>
      <c r="Z763" s="1"/>
    </row>
    <row r="764" spans="1:26" ht="24.75" customHeight="1">
      <c r="A764" s="1"/>
      <c r="B764" s="1"/>
      <c r="C764" s="1"/>
      <c r="D764" s="1"/>
      <c r="E764" s="1"/>
      <c r="F764" s="1"/>
      <c r="G764" s="1"/>
      <c r="H764" s="1"/>
      <c r="I764" s="1"/>
      <c r="J764" s="1"/>
      <c r="K764" s="1"/>
      <c r="L764" s="1"/>
      <c r="M764" s="1"/>
      <c r="N764" s="1"/>
      <c r="O764" s="1"/>
      <c r="P764" s="1"/>
      <c r="Q764" s="1"/>
      <c r="R764" s="1"/>
      <c r="S764" s="1"/>
      <c r="T764" s="1"/>
      <c r="U764" s="2"/>
      <c r="V764" s="1"/>
      <c r="W764" s="1"/>
      <c r="X764" s="1"/>
      <c r="Y764" s="1"/>
      <c r="Z764" s="1"/>
    </row>
    <row r="765" spans="1:26" ht="24.75" customHeight="1">
      <c r="A765" s="1"/>
      <c r="B765" s="1"/>
      <c r="C765" s="1"/>
      <c r="D765" s="1"/>
      <c r="E765" s="1"/>
      <c r="F765" s="1"/>
      <c r="G765" s="1"/>
      <c r="H765" s="1"/>
      <c r="I765" s="1"/>
      <c r="J765" s="1"/>
      <c r="K765" s="1"/>
      <c r="L765" s="1"/>
      <c r="M765" s="1"/>
      <c r="N765" s="1"/>
      <c r="O765" s="1"/>
      <c r="P765" s="1"/>
      <c r="Q765" s="1"/>
      <c r="R765" s="1"/>
      <c r="S765" s="1"/>
      <c r="T765" s="1"/>
      <c r="U765" s="2"/>
      <c r="V765" s="1"/>
      <c r="W765" s="1"/>
      <c r="X765" s="1"/>
      <c r="Y765" s="1"/>
      <c r="Z765" s="1"/>
    </row>
    <row r="766" spans="1:26" ht="24.75" customHeight="1">
      <c r="A766" s="1"/>
      <c r="B766" s="1"/>
      <c r="C766" s="1"/>
      <c r="D766" s="1"/>
      <c r="E766" s="1"/>
      <c r="F766" s="1"/>
      <c r="G766" s="1"/>
      <c r="H766" s="1"/>
      <c r="I766" s="1"/>
      <c r="J766" s="1"/>
      <c r="K766" s="1"/>
      <c r="L766" s="1"/>
      <c r="M766" s="1"/>
      <c r="N766" s="1"/>
      <c r="O766" s="1"/>
      <c r="P766" s="1"/>
      <c r="Q766" s="1"/>
      <c r="R766" s="1"/>
      <c r="S766" s="1"/>
      <c r="T766" s="1"/>
      <c r="U766" s="2"/>
      <c r="V766" s="1"/>
      <c r="W766" s="1"/>
      <c r="X766" s="1"/>
      <c r="Y766" s="1"/>
      <c r="Z766" s="1"/>
    </row>
    <row r="767" spans="1:26" ht="24.75" customHeight="1">
      <c r="A767" s="1"/>
      <c r="B767" s="1"/>
      <c r="C767" s="1"/>
      <c r="D767" s="1"/>
      <c r="E767" s="1"/>
      <c r="F767" s="1"/>
      <c r="G767" s="1"/>
      <c r="H767" s="1"/>
      <c r="I767" s="1"/>
      <c r="J767" s="1"/>
      <c r="K767" s="1"/>
      <c r="L767" s="1"/>
      <c r="M767" s="1"/>
      <c r="N767" s="1"/>
      <c r="O767" s="1"/>
      <c r="P767" s="1"/>
      <c r="Q767" s="1"/>
      <c r="R767" s="1"/>
      <c r="S767" s="1"/>
      <c r="T767" s="1"/>
      <c r="U767" s="2"/>
      <c r="V767" s="1"/>
      <c r="W767" s="1"/>
      <c r="X767" s="1"/>
      <c r="Y767" s="1"/>
      <c r="Z767" s="1"/>
    </row>
    <row r="768" spans="1:26" ht="24.75" customHeight="1">
      <c r="A768" s="1"/>
      <c r="B768" s="1"/>
      <c r="C768" s="1"/>
      <c r="D768" s="1"/>
      <c r="E768" s="1"/>
      <c r="F768" s="1"/>
      <c r="G768" s="1"/>
      <c r="H768" s="1"/>
      <c r="I768" s="1"/>
      <c r="J768" s="1"/>
      <c r="K768" s="1"/>
      <c r="L768" s="1"/>
      <c r="M768" s="1"/>
      <c r="N768" s="1"/>
      <c r="O768" s="1"/>
      <c r="P768" s="1"/>
      <c r="Q768" s="1"/>
      <c r="R768" s="1"/>
      <c r="S768" s="1"/>
      <c r="T768" s="1"/>
      <c r="U768" s="2"/>
      <c r="V768" s="1"/>
      <c r="W768" s="1"/>
      <c r="X768" s="1"/>
      <c r="Y768" s="1"/>
      <c r="Z768" s="1"/>
    </row>
    <row r="769" spans="1:26" ht="24.75" customHeight="1">
      <c r="A769" s="1"/>
      <c r="B769" s="1"/>
      <c r="C769" s="1"/>
      <c r="D769" s="1"/>
      <c r="E769" s="1"/>
      <c r="F769" s="1"/>
      <c r="G769" s="1"/>
      <c r="H769" s="1"/>
      <c r="I769" s="1"/>
      <c r="J769" s="1"/>
      <c r="K769" s="1"/>
      <c r="L769" s="1"/>
      <c r="M769" s="1"/>
      <c r="N769" s="1"/>
      <c r="O769" s="1"/>
      <c r="P769" s="1"/>
      <c r="Q769" s="1"/>
      <c r="R769" s="1"/>
      <c r="S769" s="1"/>
      <c r="T769" s="1"/>
      <c r="U769" s="2"/>
      <c r="V769" s="1"/>
      <c r="W769" s="1"/>
      <c r="X769" s="1"/>
      <c r="Y769" s="1"/>
      <c r="Z769" s="1"/>
    </row>
    <row r="770" spans="1:26" ht="24.75" customHeight="1">
      <c r="A770" s="1"/>
      <c r="B770" s="1"/>
      <c r="C770" s="1"/>
      <c r="D770" s="1"/>
      <c r="E770" s="1"/>
      <c r="F770" s="1"/>
      <c r="G770" s="1"/>
      <c r="H770" s="1"/>
      <c r="I770" s="1"/>
      <c r="J770" s="1"/>
      <c r="K770" s="1"/>
      <c r="L770" s="1"/>
      <c r="M770" s="1"/>
      <c r="N770" s="1"/>
      <c r="O770" s="1"/>
      <c r="P770" s="1"/>
      <c r="Q770" s="1"/>
      <c r="R770" s="1"/>
      <c r="S770" s="1"/>
      <c r="T770" s="1"/>
      <c r="U770" s="2"/>
      <c r="V770" s="1"/>
      <c r="W770" s="1"/>
      <c r="X770" s="1"/>
      <c r="Y770" s="1"/>
      <c r="Z770" s="1"/>
    </row>
    <row r="771" spans="1:26" ht="24.75" customHeight="1">
      <c r="A771" s="1"/>
      <c r="B771" s="1"/>
      <c r="C771" s="1"/>
      <c r="D771" s="1"/>
      <c r="E771" s="1"/>
      <c r="F771" s="1"/>
      <c r="G771" s="1"/>
      <c r="H771" s="1"/>
      <c r="I771" s="1"/>
      <c r="J771" s="1"/>
      <c r="K771" s="1"/>
      <c r="L771" s="1"/>
      <c r="M771" s="1"/>
      <c r="N771" s="1"/>
      <c r="O771" s="1"/>
      <c r="P771" s="1"/>
      <c r="Q771" s="1"/>
      <c r="R771" s="1"/>
      <c r="S771" s="1"/>
      <c r="T771" s="1"/>
      <c r="U771" s="2"/>
      <c r="V771" s="1"/>
      <c r="W771" s="1"/>
      <c r="X771" s="1"/>
      <c r="Y771" s="1"/>
      <c r="Z771" s="1"/>
    </row>
    <row r="772" spans="1:26" ht="24.75" customHeight="1">
      <c r="A772" s="1"/>
      <c r="B772" s="1"/>
      <c r="C772" s="1"/>
      <c r="D772" s="1"/>
      <c r="E772" s="1"/>
      <c r="F772" s="1"/>
      <c r="G772" s="1"/>
      <c r="H772" s="1"/>
      <c r="I772" s="1"/>
      <c r="J772" s="1"/>
      <c r="K772" s="1"/>
      <c r="L772" s="1"/>
      <c r="M772" s="1"/>
      <c r="N772" s="1"/>
      <c r="O772" s="1"/>
      <c r="P772" s="1"/>
      <c r="Q772" s="1"/>
      <c r="R772" s="1"/>
      <c r="S772" s="1"/>
      <c r="T772" s="1"/>
      <c r="U772" s="2"/>
      <c r="V772" s="1"/>
      <c r="W772" s="1"/>
      <c r="X772" s="1"/>
      <c r="Y772" s="1"/>
      <c r="Z772" s="1"/>
    </row>
    <row r="773" spans="1:26" ht="24.75" customHeight="1">
      <c r="A773" s="1"/>
      <c r="B773" s="1"/>
      <c r="C773" s="1"/>
      <c r="D773" s="1"/>
      <c r="E773" s="1"/>
      <c r="F773" s="1"/>
      <c r="G773" s="1"/>
      <c r="H773" s="1"/>
      <c r="I773" s="1"/>
      <c r="J773" s="1"/>
      <c r="K773" s="1"/>
      <c r="L773" s="1"/>
      <c r="M773" s="1"/>
      <c r="N773" s="1"/>
      <c r="O773" s="1"/>
      <c r="P773" s="1"/>
      <c r="Q773" s="1"/>
      <c r="R773" s="1"/>
      <c r="S773" s="1"/>
      <c r="T773" s="1"/>
      <c r="U773" s="2"/>
      <c r="V773" s="1"/>
      <c r="W773" s="1"/>
      <c r="X773" s="1"/>
      <c r="Y773" s="1"/>
      <c r="Z773" s="1"/>
    </row>
    <row r="774" spans="1:26" ht="24.75" customHeight="1">
      <c r="A774" s="1"/>
      <c r="B774" s="1"/>
      <c r="C774" s="1"/>
      <c r="D774" s="1"/>
      <c r="E774" s="1"/>
      <c r="F774" s="1"/>
      <c r="G774" s="1"/>
      <c r="H774" s="1"/>
      <c r="I774" s="1"/>
      <c r="J774" s="1"/>
      <c r="K774" s="1"/>
      <c r="L774" s="1"/>
      <c r="M774" s="1"/>
      <c r="N774" s="1"/>
      <c r="O774" s="1"/>
      <c r="P774" s="1"/>
      <c r="Q774" s="1"/>
      <c r="R774" s="1"/>
      <c r="S774" s="1"/>
      <c r="T774" s="1"/>
      <c r="U774" s="2"/>
      <c r="V774" s="1"/>
      <c r="W774" s="1"/>
      <c r="X774" s="1"/>
      <c r="Y774" s="1"/>
      <c r="Z774" s="1"/>
    </row>
    <row r="775" spans="1:26" ht="24.75" customHeight="1">
      <c r="A775" s="1"/>
      <c r="B775" s="1"/>
      <c r="C775" s="1"/>
      <c r="D775" s="1"/>
      <c r="E775" s="1"/>
      <c r="F775" s="1"/>
      <c r="G775" s="1"/>
      <c r="H775" s="1"/>
      <c r="I775" s="1"/>
      <c r="J775" s="1"/>
      <c r="K775" s="1"/>
      <c r="L775" s="1"/>
      <c r="M775" s="1"/>
      <c r="N775" s="1"/>
      <c r="O775" s="1"/>
      <c r="P775" s="1"/>
      <c r="Q775" s="1"/>
      <c r="R775" s="1"/>
      <c r="S775" s="1"/>
      <c r="T775" s="1"/>
      <c r="U775" s="2"/>
      <c r="V775" s="1"/>
      <c r="W775" s="1"/>
      <c r="X775" s="1"/>
      <c r="Y775" s="1"/>
      <c r="Z775" s="1"/>
    </row>
    <row r="776" spans="1:26" ht="24.75" customHeight="1">
      <c r="A776" s="1"/>
      <c r="B776" s="1"/>
      <c r="C776" s="1"/>
      <c r="D776" s="1"/>
      <c r="E776" s="1"/>
      <c r="F776" s="1"/>
      <c r="G776" s="1"/>
      <c r="H776" s="1"/>
      <c r="I776" s="1"/>
      <c r="J776" s="1"/>
      <c r="K776" s="1"/>
      <c r="L776" s="1"/>
      <c r="M776" s="1"/>
      <c r="N776" s="1"/>
      <c r="O776" s="1"/>
      <c r="P776" s="1"/>
      <c r="Q776" s="1"/>
      <c r="R776" s="1"/>
      <c r="S776" s="1"/>
      <c r="T776" s="1"/>
      <c r="U776" s="2"/>
      <c r="V776" s="1"/>
      <c r="W776" s="1"/>
      <c r="X776" s="1"/>
      <c r="Y776" s="1"/>
      <c r="Z776" s="1"/>
    </row>
    <row r="777" spans="1:26" ht="24.75" customHeight="1">
      <c r="A777" s="1"/>
      <c r="B777" s="1"/>
      <c r="C777" s="1"/>
      <c r="D777" s="1"/>
      <c r="E777" s="1"/>
      <c r="F777" s="1"/>
      <c r="G777" s="1"/>
      <c r="H777" s="1"/>
      <c r="I777" s="1"/>
      <c r="J777" s="1"/>
      <c r="K777" s="1"/>
      <c r="L777" s="1"/>
      <c r="M777" s="1"/>
      <c r="N777" s="1"/>
      <c r="O777" s="1"/>
      <c r="P777" s="1"/>
      <c r="Q777" s="1"/>
      <c r="R777" s="1"/>
      <c r="S777" s="1"/>
      <c r="T777" s="1"/>
      <c r="U777" s="2"/>
      <c r="V777" s="1"/>
      <c r="W777" s="1"/>
      <c r="X777" s="1"/>
      <c r="Y777" s="1"/>
      <c r="Z777" s="1"/>
    </row>
    <row r="778" spans="1:26" ht="24.75" customHeight="1">
      <c r="A778" s="1"/>
      <c r="B778" s="1"/>
      <c r="C778" s="1"/>
      <c r="D778" s="1"/>
      <c r="E778" s="1"/>
      <c r="F778" s="1"/>
      <c r="G778" s="1"/>
      <c r="H778" s="1"/>
      <c r="I778" s="1"/>
      <c r="J778" s="1"/>
      <c r="K778" s="1"/>
      <c r="L778" s="1"/>
      <c r="M778" s="1"/>
      <c r="N778" s="1"/>
      <c r="O778" s="1"/>
      <c r="P778" s="1"/>
      <c r="Q778" s="1"/>
      <c r="R778" s="1"/>
      <c r="S778" s="1"/>
      <c r="T778" s="1"/>
      <c r="U778" s="2"/>
      <c r="V778" s="1"/>
      <c r="W778" s="1"/>
      <c r="X778" s="1"/>
      <c r="Y778" s="1"/>
      <c r="Z778" s="1"/>
    </row>
    <row r="779" spans="1:26" ht="24.75" customHeight="1">
      <c r="A779" s="1"/>
      <c r="B779" s="1"/>
      <c r="C779" s="1"/>
      <c r="D779" s="1"/>
      <c r="E779" s="1"/>
      <c r="F779" s="1"/>
      <c r="G779" s="1"/>
      <c r="H779" s="1"/>
      <c r="I779" s="1"/>
      <c r="J779" s="1"/>
      <c r="K779" s="1"/>
      <c r="L779" s="1"/>
      <c r="M779" s="1"/>
      <c r="N779" s="1"/>
      <c r="O779" s="1"/>
      <c r="P779" s="1"/>
      <c r="Q779" s="1"/>
      <c r="R779" s="1"/>
      <c r="S779" s="1"/>
      <c r="T779" s="1"/>
      <c r="U779" s="2"/>
      <c r="V779" s="1"/>
      <c r="W779" s="1"/>
      <c r="X779" s="1"/>
      <c r="Y779" s="1"/>
      <c r="Z779" s="1"/>
    </row>
    <row r="780" spans="1:26" ht="24.75" customHeight="1">
      <c r="A780" s="1"/>
      <c r="B780" s="1"/>
      <c r="C780" s="1"/>
      <c r="D780" s="1"/>
      <c r="E780" s="1"/>
      <c r="F780" s="1"/>
      <c r="G780" s="1"/>
      <c r="H780" s="1"/>
      <c r="I780" s="1"/>
      <c r="J780" s="1"/>
      <c r="K780" s="1"/>
      <c r="L780" s="1"/>
      <c r="M780" s="1"/>
      <c r="N780" s="1"/>
      <c r="O780" s="1"/>
      <c r="P780" s="1"/>
      <c r="Q780" s="1"/>
      <c r="R780" s="1"/>
      <c r="S780" s="1"/>
      <c r="T780" s="1"/>
      <c r="U780" s="2"/>
      <c r="V780" s="1"/>
      <c r="W780" s="1"/>
      <c r="X780" s="1"/>
      <c r="Y780" s="1"/>
      <c r="Z780" s="1"/>
    </row>
    <row r="781" spans="1:26" ht="24.75" customHeight="1">
      <c r="A781" s="1"/>
      <c r="B781" s="1"/>
      <c r="C781" s="1"/>
      <c r="D781" s="1"/>
      <c r="E781" s="1"/>
      <c r="F781" s="1"/>
      <c r="G781" s="1"/>
      <c r="H781" s="1"/>
      <c r="I781" s="1"/>
      <c r="J781" s="1"/>
      <c r="K781" s="1"/>
      <c r="L781" s="1"/>
      <c r="M781" s="1"/>
      <c r="N781" s="1"/>
      <c r="O781" s="1"/>
      <c r="P781" s="1"/>
      <c r="Q781" s="1"/>
      <c r="R781" s="1"/>
      <c r="S781" s="1"/>
      <c r="T781" s="1"/>
      <c r="U781" s="2"/>
      <c r="V781" s="1"/>
      <c r="W781" s="1"/>
      <c r="X781" s="1"/>
      <c r="Y781" s="1"/>
      <c r="Z781" s="1"/>
    </row>
    <row r="782" spans="1:26" ht="24.75" customHeight="1">
      <c r="A782" s="1"/>
      <c r="B782" s="1"/>
      <c r="C782" s="1"/>
      <c r="D782" s="1"/>
      <c r="E782" s="1"/>
      <c r="F782" s="1"/>
      <c r="G782" s="1"/>
      <c r="H782" s="1"/>
      <c r="I782" s="1"/>
      <c r="J782" s="1"/>
      <c r="K782" s="1"/>
      <c r="L782" s="1"/>
      <c r="M782" s="1"/>
      <c r="N782" s="1"/>
      <c r="O782" s="1"/>
      <c r="P782" s="1"/>
      <c r="Q782" s="1"/>
      <c r="R782" s="1"/>
      <c r="S782" s="1"/>
      <c r="T782" s="1"/>
      <c r="U782" s="2"/>
      <c r="V782" s="1"/>
      <c r="W782" s="1"/>
      <c r="X782" s="1"/>
      <c r="Y782" s="1"/>
      <c r="Z782" s="1"/>
    </row>
    <row r="783" spans="1:26" ht="24.75" customHeight="1">
      <c r="A783" s="1"/>
      <c r="B783" s="1"/>
      <c r="C783" s="1"/>
      <c r="D783" s="1"/>
      <c r="E783" s="1"/>
      <c r="F783" s="1"/>
      <c r="G783" s="1"/>
      <c r="H783" s="1"/>
      <c r="I783" s="1"/>
      <c r="J783" s="1"/>
      <c r="K783" s="1"/>
      <c r="L783" s="1"/>
      <c r="M783" s="1"/>
      <c r="N783" s="1"/>
      <c r="O783" s="1"/>
      <c r="P783" s="1"/>
      <c r="Q783" s="1"/>
      <c r="R783" s="1"/>
      <c r="S783" s="1"/>
      <c r="T783" s="1"/>
      <c r="U783" s="2"/>
      <c r="V783" s="1"/>
      <c r="W783" s="1"/>
      <c r="X783" s="1"/>
      <c r="Y783" s="1"/>
      <c r="Z783" s="1"/>
    </row>
    <row r="784" spans="1:26" ht="24.75" customHeight="1">
      <c r="A784" s="1"/>
      <c r="B784" s="1"/>
      <c r="C784" s="1"/>
      <c r="D784" s="1"/>
      <c r="E784" s="1"/>
      <c r="F784" s="1"/>
      <c r="G784" s="1"/>
      <c r="H784" s="1"/>
      <c r="I784" s="1"/>
      <c r="J784" s="1"/>
      <c r="K784" s="1"/>
      <c r="L784" s="1"/>
      <c r="M784" s="1"/>
      <c r="N784" s="1"/>
      <c r="O784" s="1"/>
      <c r="P784" s="1"/>
      <c r="Q784" s="1"/>
      <c r="R784" s="1"/>
      <c r="S784" s="1"/>
      <c r="T784" s="1"/>
      <c r="U784" s="2"/>
      <c r="V784" s="1"/>
      <c r="W784" s="1"/>
      <c r="X784" s="1"/>
      <c r="Y784" s="1"/>
      <c r="Z784" s="1"/>
    </row>
    <row r="785" spans="1:26" ht="24.75" customHeight="1">
      <c r="A785" s="1"/>
      <c r="B785" s="1"/>
      <c r="C785" s="1"/>
      <c r="D785" s="1"/>
      <c r="E785" s="1"/>
      <c r="F785" s="1"/>
      <c r="G785" s="1"/>
      <c r="H785" s="1"/>
      <c r="I785" s="1"/>
      <c r="J785" s="1"/>
      <c r="K785" s="1"/>
      <c r="L785" s="1"/>
      <c r="M785" s="1"/>
      <c r="N785" s="1"/>
      <c r="O785" s="1"/>
      <c r="P785" s="1"/>
      <c r="Q785" s="1"/>
      <c r="R785" s="1"/>
      <c r="S785" s="1"/>
      <c r="T785" s="1"/>
      <c r="U785" s="2"/>
      <c r="V785" s="1"/>
      <c r="W785" s="1"/>
      <c r="X785" s="1"/>
      <c r="Y785" s="1"/>
      <c r="Z785" s="1"/>
    </row>
    <row r="786" spans="1:26" ht="24.75" customHeight="1">
      <c r="A786" s="1"/>
      <c r="B786" s="1"/>
      <c r="C786" s="1"/>
      <c r="D786" s="1"/>
      <c r="E786" s="1"/>
      <c r="F786" s="1"/>
      <c r="G786" s="1"/>
      <c r="H786" s="1"/>
      <c r="I786" s="1"/>
      <c r="J786" s="1"/>
      <c r="K786" s="1"/>
      <c r="L786" s="1"/>
      <c r="M786" s="1"/>
      <c r="N786" s="1"/>
      <c r="O786" s="1"/>
      <c r="P786" s="1"/>
      <c r="Q786" s="1"/>
      <c r="R786" s="1"/>
      <c r="S786" s="1"/>
      <c r="T786" s="1"/>
      <c r="U786" s="2"/>
      <c r="V786" s="1"/>
      <c r="W786" s="1"/>
      <c r="X786" s="1"/>
      <c r="Y786" s="1"/>
      <c r="Z786" s="1"/>
    </row>
    <row r="787" spans="1:26" ht="24.75" customHeight="1">
      <c r="A787" s="1"/>
      <c r="B787" s="1"/>
      <c r="C787" s="1"/>
      <c r="D787" s="1"/>
      <c r="E787" s="1"/>
      <c r="F787" s="1"/>
      <c r="G787" s="1"/>
      <c r="H787" s="1"/>
      <c r="I787" s="1"/>
      <c r="J787" s="1"/>
      <c r="K787" s="1"/>
      <c r="L787" s="1"/>
      <c r="M787" s="1"/>
      <c r="N787" s="1"/>
      <c r="O787" s="1"/>
      <c r="P787" s="1"/>
      <c r="Q787" s="1"/>
      <c r="R787" s="1"/>
      <c r="S787" s="1"/>
      <c r="T787" s="1"/>
      <c r="U787" s="2"/>
      <c r="V787" s="1"/>
      <c r="W787" s="1"/>
      <c r="X787" s="1"/>
      <c r="Y787" s="1"/>
      <c r="Z787" s="1"/>
    </row>
    <row r="788" spans="1:26" ht="24.75" customHeight="1">
      <c r="A788" s="1"/>
      <c r="B788" s="1"/>
      <c r="C788" s="1"/>
      <c r="D788" s="1"/>
      <c r="E788" s="1"/>
      <c r="F788" s="1"/>
      <c r="G788" s="1"/>
      <c r="H788" s="1"/>
      <c r="I788" s="1"/>
      <c r="J788" s="1"/>
      <c r="K788" s="1"/>
      <c r="L788" s="1"/>
      <c r="M788" s="1"/>
      <c r="N788" s="1"/>
      <c r="O788" s="1"/>
      <c r="P788" s="1"/>
      <c r="Q788" s="1"/>
      <c r="R788" s="1"/>
      <c r="S788" s="1"/>
      <c r="T788" s="1"/>
      <c r="U788" s="2"/>
      <c r="V788" s="1"/>
      <c r="W788" s="1"/>
      <c r="X788" s="1"/>
      <c r="Y788" s="1"/>
      <c r="Z788" s="1"/>
    </row>
    <row r="789" spans="1:26" ht="24.75" customHeight="1">
      <c r="A789" s="1"/>
      <c r="B789" s="1"/>
      <c r="C789" s="1"/>
      <c r="D789" s="1"/>
      <c r="E789" s="1"/>
      <c r="F789" s="1"/>
      <c r="G789" s="1"/>
      <c r="H789" s="1"/>
      <c r="I789" s="1"/>
      <c r="J789" s="1"/>
      <c r="K789" s="1"/>
      <c r="L789" s="1"/>
      <c r="M789" s="1"/>
      <c r="N789" s="1"/>
      <c r="O789" s="1"/>
      <c r="P789" s="1"/>
      <c r="Q789" s="1"/>
      <c r="R789" s="1"/>
      <c r="S789" s="1"/>
      <c r="T789" s="1"/>
      <c r="U789" s="2"/>
      <c r="V789" s="1"/>
      <c r="W789" s="1"/>
      <c r="X789" s="1"/>
      <c r="Y789" s="1"/>
      <c r="Z789" s="1"/>
    </row>
    <row r="790" spans="1:26" ht="24.75" customHeight="1">
      <c r="A790" s="1"/>
      <c r="B790" s="1"/>
      <c r="C790" s="1"/>
      <c r="D790" s="1"/>
      <c r="E790" s="1"/>
      <c r="F790" s="1"/>
      <c r="G790" s="1"/>
      <c r="H790" s="1"/>
      <c r="I790" s="1"/>
      <c r="J790" s="1"/>
      <c r="K790" s="1"/>
      <c r="L790" s="1"/>
      <c r="M790" s="1"/>
      <c r="N790" s="1"/>
      <c r="O790" s="1"/>
      <c r="P790" s="1"/>
      <c r="Q790" s="1"/>
      <c r="R790" s="1"/>
      <c r="S790" s="1"/>
      <c r="T790" s="1"/>
      <c r="U790" s="2"/>
      <c r="V790" s="1"/>
      <c r="W790" s="1"/>
      <c r="X790" s="1"/>
      <c r="Y790" s="1"/>
      <c r="Z790" s="1"/>
    </row>
    <row r="791" spans="1:26" ht="24.75" customHeight="1">
      <c r="A791" s="1"/>
      <c r="B791" s="1"/>
      <c r="C791" s="1"/>
      <c r="D791" s="1"/>
      <c r="E791" s="1"/>
      <c r="F791" s="1"/>
      <c r="G791" s="1"/>
      <c r="H791" s="1"/>
      <c r="I791" s="1"/>
      <c r="J791" s="1"/>
      <c r="K791" s="1"/>
      <c r="L791" s="1"/>
      <c r="M791" s="1"/>
      <c r="N791" s="1"/>
      <c r="O791" s="1"/>
      <c r="P791" s="1"/>
      <c r="Q791" s="1"/>
      <c r="R791" s="1"/>
      <c r="S791" s="1"/>
      <c r="T791" s="1"/>
      <c r="U791" s="2"/>
      <c r="V791" s="1"/>
      <c r="W791" s="1"/>
      <c r="X791" s="1"/>
      <c r="Y791" s="1"/>
      <c r="Z791" s="1"/>
    </row>
    <row r="792" spans="1:26" ht="24.75" customHeight="1">
      <c r="A792" s="1"/>
      <c r="B792" s="1"/>
      <c r="C792" s="1"/>
      <c r="D792" s="1"/>
      <c r="E792" s="1"/>
      <c r="F792" s="1"/>
      <c r="G792" s="1"/>
      <c r="H792" s="1"/>
      <c r="I792" s="1"/>
      <c r="J792" s="1"/>
      <c r="K792" s="1"/>
      <c r="L792" s="1"/>
      <c r="M792" s="1"/>
      <c r="N792" s="1"/>
      <c r="O792" s="1"/>
      <c r="P792" s="1"/>
      <c r="Q792" s="1"/>
      <c r="R792" s="1"/>
      <c r="S792" s="1"/>
      <c r="T792" s="1"/>
      <c r="U792" s="2"/>
      <c r="V792" s="1"/>
      <c r="W792" s="1"/>
      <c r="X792" s="1"/>
      <c r="Y792" s="1"/>
      <c r="Z792" s="1"/>
    </row>
    <row r="793" spans="1:26" ht="24.75" customHeight="1">
      <c r="A793" s="1"/>
      <c r="B793" s="1"/>
      <c r="C793" s="1"/>
      <c r="D793" s="1"/>
      <c r="E793" s="1"/>
      <c r="F793" s="1"/>
      <c r="G793" s="1"/>
      <c r="H793" s="1"/>
      <c r="I793" s="1"/>
      <c r="J793" s="1"/>
      <c r="K793" s="1"/>
      <c r="L793" s="1"/>
      <c r="M793" s="1"/>
      <c r="N793" s="1"/>
      <c r="O793" s="1"/>
      <c r="P793" s="1"/>
      <c r="Q793" s="1"/>
      <c r="R793" s="1"/>
      <c r="S793" s="1"/>
      <c r="T793" s="1"/>
      <c r="U793" s="2"/>
      <c r="V793" s="1"/>
      <c r="W793" s="1"/>
      <c r="X793" s="1"/>
      <c r="Y793" s="1"/>
      <c r="Z793" s="1"/>
    </row>
    <row r="794" spans="1:26" ht="24.75" customHeight="1">
      <c r="A794" s="1"/>
      <c r="B794" s="1"/>
      <c r="C794" s="1"/>
      <c r="D794" s="1"/>
      <c r="E794" s="1"/>
      <c r="F794" s="1"/>
      <c r="G794" s="1"/>
      <c r="H794" s="1"/>
      <c r="I794" s="1"/>
      <c r="J794" s="1"/>
      <c r="K794" s="1"/>
      <c r="L794" s="1"/>
      <c r="M794" s="1"/>
      <c r="N794" s="1"/>
      <c r="O794" s="1"/>
      <c r="P794" s="1"/>
      <c r="Q794" s="1"/>
      <c r="R794" s="1"/>
      <c r="S794" s="1"/>
      <c r="T794" s="1"/>
      <c r="U794" s="2"/>
      <c r="V794" s="1"/>
      <c r="W794" s="1"/>
      <c r="X794" s="1"/>
      <c r="Y794" s="1"/>
      <c r="Z794" s="1"/>
    </row>
    <row r="795" spans="1:26" ht="24.75" customHeight="1">
      <c r="A795" s="1"/>
      <c r="B795" s="1"/>
      <c r="C795" s="1"/>
      <c r="D795" s="1"/>
      <c r="E795" s="1"/>
      <c r="F795" s="1"/>
      <c r="G795" s="1"/>
      <c r="H795" s="1"/>
      <c r="I795" s="1"/>
      <c r="J795" s="1"/>
      <c r="K795" s="1"/>
      <c r="L795" s="1"/>
      <c r="M795" s="1"/>
      <c r="N795" s="1"/>
      <c r="O795" s="1"/>
      <c r="P795" s="1"/>
      <c r="Q795" s="1"/>
      <c r="R795" s="1"/>
      <c r="S795" s="1"/>
      <c r="T795" s="1"/>
      <c r="U795" s="2"/>
      <c r="V795" s="1"/>
      <c r="W795" s="1"/>
      <c r="X795" s="1"/>
      <c r="Y795" s="1"/>
      <c r="Z795" s="1"/>
    </row>
    <row r="796" spans="1:26" ht="24.75" customHeight="1">
      <c r="A796" s="1"/>
      <c r="B796" s="1"/>
      <c r="C796" s="1"/>
      <c r="D796" s="1"/>
      <c r="E796" s="1"/>
      <c r="F796" s="1"/>
      <c r="G796" s="1"/>
      <c r="H796" s="1"/>
      <c r="I796" s="1"/>
      <c r="J796" s="1"/>
      <c r="K796" s="1"/>
      <c r="L796" s="1"/>
      <c r="M796" s="1"/>
      <c r="N796" s="1"/>
      <c r="O796" s="1"/>
      <c r="P796" s="1"/>
      <c r="Q796" s="1"/>
      <c r="R796" s="1"/>
      <c r="S796" s="1"/>
      <c r="T796" s="1"/>
      <c r="U796" s="2"/>
      <c r="V796" s="1"/>
      <c r="W796" s="1"/>
      <c r="X796" s="1"/>
      <c r="Y796" s="1"/>
      <c r="Z796" s="1"/>
    </row>
    <row r="797" spans="1:26" ht="24.75" customHeight="1">
      <c r="A797" s="1"/>
      <c r="B797" s="1"/>
      <c r="C797" s="1"/>
      <c r="D797" s="1"/>
      <c r="E797" s="1"/>
      <c r="F797" s="1"/>
      <c r="G797" s="1"/>
      <c r="H797" s="1"/>
      <c r="I797" s="1"/>
      <c r="J797" s="1"/>
      <c r="K797" s="1"/>
      <c r="L797" s="1"/>
      <c r="M797" s="1"/>
      <c r="N797" s="1"/>
      <c r="O797" s="1"/>
      <c r="P797" s="1"/>
      <c r="Q797" s="1"/>
      <c r="R797" s="1"/>
      <c r="S797" s="1"/>
      <c r="T797" s="1"/>
      <c r="U797" s="2"/>
      <c r="V797" s="1"/>
      <c r="W797" s="1"/>
      <c r="X797" s="1"/>
      <c r="Y797" s="1"/>
      <c r="Z797" s="1"/>
    </row>
    <row r="798" spans="1:26" ht="24.75" customHeight="1">
      <c r="A798" s="1"/>
      <c r="B798" s="1"/>
      <c r="C798" s="1"/>
      <c r="D798" s="1"/>
      <c r="E798" s="1"/>
      <c r="F798" s="1"/>
      <c r="G798" s="1"/>
      <c r="H798" s="1"/>
      <c r="I798" s="1"/>
      <c r="J798" s="1"/>
      <c r="K798" s="1"/>
      <c r="L798" s="1"/>
      <c r="M798" s="1"/>
      <c r="N798" s="1"/>
      <c r="O798" s="1"/>
      <c r="P798" s="1"/>
      <c r="Q798" s="1"/>
      <c r="R798" s="1"/>
      <c r="S798" s="1"/>
      <c r="T798" s="1"/>
      <c r="U798" s="2"/>
      <c r="V798" s="1"/>
      <c r="W798" s="1"/>
      <c r="X798" s="1"/>
      <c r="Y798" s="1"/>
      <c r="Z798" s="1"/>
    </row>
    <row r="799" spans="1:26" ht="24.75" customHeight="1">
      <c r="A799" s="1"/>
      <c r="B799" s="1"/>
      <c r="C799" s="1"/>
      <c r="D799" s="1"/>
      <c r="E799" s="1"/>
      <c r="F799" s="1"/>
      <c r="G799" s="1"/>
      <c r="H799" s="1"/>
      <c r="I799" s="1"/>
      <c r="J799" s="1"/>
      <c r="K799" s="1"/>
      <c r="L799" s="1"/>
      <c r="M799" s="1"/>
      <c r="N799" s="1"/>
      <c r="O799" s="1"/>
      <c r="P799" s="1"/>
      <c r="Q799" s="1"/>
      <c r="R799" s="1"/>
      <c r="S799" s="1"/>
      <c r="T799" s="1"/>
      <c r="U799" s="2"/>
      <c r="V799" s="1"/>
      <c r="W799" s="1"/>
      <c r="X799" s="1"/>
      <c r="Y799" s="1"/>
      <c r="Z799" s="1"/>
    </row>
    <row r="800" spans="1:26" ht="24.75" customHeight="1">
      <c r="A800" s="1"/>
      <c r="B800" s="1"/>
      <c r="C800" s="1"/>
      <c r="D800" s="1"/>
      <c r="E800" s="1"/>
      <c r="F800" s="1"/>
      <c r="G800" s="1"/>
      <c r="H800" s="1"/>
      <c r="I800" s="1"/>
      <c r="J800" s="1"/>
      <c r="K800" s="1"/>
      <c r="L800" s="1"/>
      <c r="M800" s="1"/>
      <c r="N800" s="1"/>
      <c r="O800" s="1"/>
      <c r="P800" s="1"/>
      <c r="Q800" s="1"/>
      <c r="R800" s="1"/>
      <c r="S800" s="1"/>
      <c r="T800" s="1"/>
      <c r="U800" s="2"/>
      <c r="V800" s="1"/>
      <c r="W800" s="1"/>
      <c r="X800" s="1"/>
      <c r="Y800" s="1"/>
      <c r="Z800" s="1"/>
    </row>
    <row r="801" spans="1:26" ht="24.75" customHeight="1">
      <c r="A801" s="1"/>
      <c r="B801" s="1"/>
      <c r="C801" s="1"/>
      <c r="D801" s="1"/>
      <c r="E801" s="1"/>
      <c r="F801" s="1"/>
      <c r="G801" s="1"/>
      <c r="H801" s="1"/>
      <c r="I801" s="1"/>
      <c r="J801" s="1"/>
      <c r="K801" s="1"/>
      <c r="L801" s="1"/>
      <c r="M801" s="1"/>
      <c r="N801" s="1"/>
      <c r="O801" s="1"/>
      <c r="P801" s="1"/>
      <c r="Q801" s="1"/>
      <c r="R801" s="1"/>
      <c r="S801" s="1"/>
      <c r="T801" s="1"/>
      <c r="U801" s="2"/>
      <c r="V801" s="1"/>
      <c r="W801" s="1"/>
      <c r="X801" s="1"/>
      <c r="Y801" s="1"/>
      <c r="Z801" s="1"/>
    </row>
    <row r="802" spans="1:26" ht="24.75" customHeight="1">
      <c r="A802" s="1"/>
      <c r="B802" s="1"/>
      <c r="C802" s="1"/>
      <c r="D802" s="1"/>
      <c r="E802" s="1"/>
      <c r="F802" s="1"/>
      <c r="G802" s="1"/>
      <c r="H802" s="1"/>
      <c r="I802" s="1"/>
      <c r="J802" s="1"/>
      <c r="K802" s="1"/>
      <c r="L802" s="1"/>
      <c r="M802" s="1"/>
      <c r="N802" s="1"/>
      <c r="O802" s="1"/>
      <c r="P802" s="1"/>
      <c r="Q802" s="1"/>
      <c r="R802" s="1"/>
      <c r="S802" s="1"/>
      <c r="T802" s="1"/>
      <c r="U802" s="2"/>
      <c r="V802" s="1"/>
      <c r="W802" s="1"/>
      <c r="X802" s="1"/>
      <c r="Y802" s="1"/>
      <c r="Z802" s="1"/>
    </row>
    <row r="803" spans="1:26" ht="24.75" customHeight="1">
      <c r="A803" s="1"/>
      <c r="B803" s="1"/>
      <c r="C803" s="1"/>
      <c r="D803" s="1"/>
      <c r="E803" s="1"/>
      <c r="F803" s="1"/>
      <c r="G803" s="1"/>
      <c r="H803" s="1"/>
      <c r="I803" s="1"/>
      <c r="J803" s="1"/>
      <c r="K803" s="1"/>
      <c r="L803" s="1"/>
      <c r="M803" s="1"/>
      <c r="N803" s="1"/>
      <c r="O803" s="1"/>
      <c r="P803" s="1"/>
      <c r="Q803" s="1"/>
      <c r="R803" s="1"/>
      <c r="S803" s="1"/>
      <c r="T803" s="1"/>
      <c r="U803" s="2"/>
      <c r="V803" s="1"/>
      <c r="W803" s="1"/>
      <c r="X803" s="1"/>
      <c r="Y803" s="1"/>
      <c r="Z803" s="1"/>
    </row>
    <row r="804" spans="1:26" ht="24.75" customHeight="1">
      <c r="A804" s="1"/>
      <c r="B804" s="1"/>
      <c r="C804" s="1"/>
      <c r="D804" s="1"/>
      <c r="E804" s="1"/>
      <c r="F804" s="1"/>
      <c r="G804" s="1"/>
      <c r="H804" s="1"/>
      <c r="I804" s="1"/>
      <c r="J804" s="1"/>
      <c r="K804" s="1"/>
      <c r="L804" s="1"/>
      <c r="M804" s="1"/>
      <c r="N804" s="1"/>
      <c r="O804" s="1"/>
      <c r="P804" s="1"/>
      <c r="Q804" s="1"/>
      <c r="R804" s="1"/>
      <c r="S804" s="1"/>
      <c r="T804" s="1"/>
      <c r="U804" s="2"/>
      <c r="V804" s="1"/>
      <c r="W804" s="1"/>
      <c r="X804" s="1"/>
      <c r="Y804" s="1"/>
      <c r="Z804" s="1"/>
    </row>
    <row r="805" spans="1:26" ht="24.75" customHeight="1">
      <c r="A805" s="1"/>
      <c r="B805" s="1"/>
      <c r="C805" s="1"/>
      <c r="D805" s="1"/>
      <c r="E805" s="1"/>
      <c r="F805" s="1"/>
      <c r="G805" s="1"/>
      <c r="H805" s="1"/>
      <c r="I805" s="1"/>
      <c r="J805" s="1"/>
      <c r="K805" s="1"/>
      <c r="L805" s="1"/>
      <c r="M805" s="1"/>
      <c r="N805" s="1"/>
      <c r="O805" s="1"/>
      <c r="P805" s="1"/>
      <c r="Q805" s="1"/>
      <c r="R805" s="1"/>
      <c r="S805" s="1"/>
      <c r="T805" s="1"/>
      <c r="U805" s="2"/>
      <c r="V805" s="1"/>
      <c r="W805" s="1"/>
      <c r="X805" s="1"/>
      <c r="Y805" s="1"/>
      <c r="Z805" s="1"/>
    </row>
    <row r="806" spans="1:26" ht="24.75" customHeight="1">
      <c r="A806" s="1"/>
      <c r="B806" s="1"/>
      <c r="C806" s="1"/>
      <c r="D806" s="1"/>
      <c r="E806" s="1"/>
      <c r="F806" s="1"/>
      <c r="G806" s="1"/>
      <c r="H806" s="1"/>
      <c r="I806" s="1"/>
      <c r="J806" s="1"/>
      <c r="K806" s="1"/>
      <c r="L806" s="1"/>
      <c r="M806" s="1"/>
      <c r="N806" s="1"/>
      <c r="O806" s="1"/>
      <c r="P806" s="1"/>
      <c r="Q806" s="1"/>
      <c r="R806" s="1"/>
      <c r="S806" s="1"/>
      <c r="T806" s="1"/>
      <c r="U806" s="2"/>
      <c r="V806" s="1"/>
      <c r="W806" s="1"/>
      <c r="X806" s="1"/>
      <c r="Y806" s="1"/>
      <c r="Z806" s="1"/>
    </row>
    <row r="807" spans="1:26" ht="24.75" customHeight="1">
      <c r="A807" s="1"/>
      <c r="B807" s="1"/>
      <c r="C807" s="1"/>
      <c r="D807" s="1"/>
      <c r="E807" s="1"/>
      <c r="F807" s="1"/>
      <c r="G807" s="1"/>
      <c r="H807" s="1"/>
      <c r="I807" s="1"/>
      <c r="J807" s="1"/>
      <c r="K807" s="1"/>
      <c r="L807" s="1"/>
      <c r="M807" s="1"/>
      <c r="N807" s="1"/>
      <c r="O807" s="1"/>
      <c r="P807" s="1"/>
      <c r="Q807" s="1"/>
      <c r="R807" s="1"/>
      <c r="S807" s="1"/>
      <c r="T807" s="1"/>
      <c r="U807" s="2"/>
      <c r="V807" s="1"/>
      <c r="W807" s="1"/>
      <c r="X807" s="1"/>
      <c r="Y807" s="1"/>
      <c r="Z807" s="1"/>
    </row>
    <row r="808" spans="1:26" ht="24.75" customHeight="1">
      <c r="A808" s="1"/>
      <c r="B808" s="1"/>
      <c r="C808" s="1"/>
      <c r="D808" s="1"/>
      <c r="E808" s="1"/>
      <c r="F808" s="1"/>
      <c r="G808" s="1"/>
      <c r="H808" s="1"/>
      <c r="I808" s="1"/>
      <c r="J808" s="1"/>
      <c r="K808" s="1"/>
      <c r="L808" s="1"/>
      <c r="M808" s="1"/>
      <c r="N808" s="1"/>
      <c r="O808" s="1"/>
      <c r="P808" s="1"/>
      <c r="Q808" s="1"/>
      <c r="R808" s="1"/>
      <c r="S808" s="1"/>
      <c r="T808" s="1"/>
      <c r="U808" s="2"/>
      <c r="V808" s="1"/>
      <c r="W808" s="1"/>
      <c r="X808" s="1"/>
      <c r="Y808" s="1"/>
      <c r="Z808" s="1"/>
    </row>
    <row r="809" spans="1:26" ht="24.75" customHeight="1">
      <c r="A809" s="1"/>
      <c r="B809" s="1"/>
      <c r="C809" s="1"/>
      <c r="D809" s="1"/>
      <c r="E809" s="1"/>
      <c r="F809" s="1"/>
      <c r="G809" s="1"/>
      <c r="H809" s="1"/>
      <c r="I809" s="1"/>
      <c r="J809" s="1"/>
      <c r="K809" s="1"/>
      <c r="L809" s="1"/>
      <c r="M809" s="1"/>
      <c r="N809" s="1"/>
      <c r="O809" s="1"/>
      <c r="P809" s="1"/>
      <c r="Q809" s="1"/>
      <c r="R809" s="1"/>
      <c r="S809" s="1"/>
      <c r="T809" s="1"/>
      <c r="U809" s="2"/>
      <c r="V809" s="1"/>
      <c r="W809" s="1"/>
      <c r="X809" s="1"/>
      <c r="Y809" s="1"/>
      <c r="Z809" s="1"/>
    </row>
    <row r="810" spans="1:26" ht="24.75" customHeight="1">
      <c r="A810" s="1"/>
      <c r="B810" s="1"/>
      <c r="C810" s="1"/>
      <c r="D810" s="1"/>
      <c r="E810" s="1"/>
      <c r="F810" s="1"/>
      <c r="G810" s="1"/>
      <c r="H810" s="1"/>
      <c r="I810" s="1"/>
      <c r="J810" s="1"/>
      <c r="K810" s="1"/>
      <c r="L810" s="1"/>
      <c r="M810" s="1"/>
      <c r="N810" s="1"/>
      <c r="O810" s="1"/>
      <c r="P810" s="1"/>
      <c r="Q810" s="1"/>
      <c r="R810" s="1"/>
      <c r="S810" s="1"/>
      <c r="T810" s="1"/>
      <c r="U810" s="2"/>
      <c r="V810" s="1"/>
      <c r="W810" s="1"/>
      <c r="X810" s="1"/>
      <c r="Y810" s="1"/>
      <c r="Z810" s="1"/>
    </row>
    <row r="811" spans="1:26" ht="24.75" customHeight="1">
      <c r="A811" s="1"/>
      <c r="B811" s="1"/>
      <c r="C811" s="1"/>
      <c r="D811" s="1"/>
      <c r="E811" s="1"/>
      <c r="F811" s="1"/>
      <c r="G811" s="1"/>
      <c r="H811" s="1"/>
      <c r="I811" s="1"/>
      <c r="J811" s="1"/>
      <c r="K811" s="1"/>
      <c r="L811" s="1"/>
      <c r="M811" s="1"/>
      <c r="N811" s="1"/>
      <c r="O811" s="1"/>
      <c r="P811" s="1"/>
      <c r="Q811" s="1"/>
      <c r="R811" s="1"/>
      <c r="S811" s="1"/>
      <c r="T811" s="1"/>
      <c r="U811" s="2"/>
      <c r="V811" s="1"/>
      <c r="W811" s="1"/>
      <c r="X811" s="1"/>
      <c r="Y811" s="1"/>
      <c r="Z811" s="1"/>
    </row>
    <row r="812" spans="1:26" ht="24.75" customHeight="1">
      <c r="A812" s="1"/>
      <c r="B812" s="1"/>
      <c r="C812" s="1"/>
      <c r="D812" s="1"/>
      <c r="E812" s="1"/>
      <c r="F812" s="1"/>
      <c r="G812" s="1"/>
      <c r="H812" s="1"/>
      <c r="I812" s="1"/>
      <c r="J812" s="1"/>
      <c r="K812" s="1"/>
      <c r="L812" s="1"/>
      <c r="M812" s="1"/>
      <c r="N812" s="1"/>
      <c r="O812" s="1"/>
      <c r="P812" s="1"/>
      <c r="Q812" s="1"/>
      <c r="R812" s="1"/>
      <c r="S812" s="1"/>
      <c r="T812" s="1"/>
      <c r="U812" s="2"/>
      <c r="V812" s="1"/>
      <c r="W812" s="1"/>
      <c r="X812" s="1"/>
      <c r="Y812" s="1"/>
      <c r="Z812" s="1"/>
    </row>
    <row r="813" spans="1:26" ht="24.75" customHeight="1">
      <c r="A813" s="1"/>
      <c r="B813" s="1"/>
      <c r="C813" s="1"/>
      <c r="D813" s="1"/>
      <c r="E813" s="1"/>
      <c r="F813" s="1"/>
      <c r="G813" s="1"/>
      <c r="H813" s="1"/>
      <c r="I813" s="1"/>
      <c r="J813" s="1"/>
      <c r="K813" s="1"/>
      <c r="L813" s="1"/>
      <c r="M813" s="1"/>
      <c r="N813" s="1"/>
      <c r="O813" s="1"/>
      <c r="P813" s="1"/>
      <c r="Q813" s="1"/>
      <c r="R813" s="1"/>
      <c r="S813" s="1"/>
      <c r="T813" s="1"/>
      <c r="U813" s="2"/>
      <c r="V813" s="1"/>
      <c r="W813" s="1"/>
      <c r="X813" s="1"/>
      <c r="Y813" s="1"/>
      <c r="Z813" s="1"/>
    </row>
    <row r="814" spans="1:26" ht="24.75" customHeight="1">
      <c r="A814" s="1"/>
      <c r="B814" s="1"/>
      <c r="C814" s="1"/>
      <c r="D814" s="1"/>
      <c r="E814" s="1"/>
      <c r="F814" s="1"/>
      <c r="G814" s="1"/>
      <c r="H814" s="1"/>
      <c r="I814" s="1"/>
      <c r="J814" s="1"/>
      <c r="K814" s="1"/>
      <c r="L814" s="1"/>
      <c r="M814" s="1"/>
      <c r="N814" s="1"/>
      <c r="O814" s="1"/>
      <c r="P814" s="1"/>
      <c r="Q814" s="1"/>
      <c r="R814" s="1"/>
      <c r="S814" s="1"/>
      <c r="T814" s="1"/>
      <c r="U814" s="2"/>
      <c r="V814" s="1"/>
      <c r="W814" s="1"/>
      <c r="X814" s="1"/>
      <c r="Y814" s="1"/>
      <c r="Z814" s="1"/>
    </row>
    <row r="815" spans="1:26" ht="24.75" customHeight="1">
      <c r="A815" s="1"/>
      <c r="B815" s="1"/>
      <c r="C815" s="1"/>
      <c r="D815" s="1"/>
      <c r="E815" s="1"/>
      <c r="F815" s="1"/>
      <c r="G815" s="1"/>
      <c r="H815" s="1"/>
      <c r="I815" s="1"/>
      <c r="J815" s="1"/>
      <c r="K815" s="1"/>
      <c r="L815" s="1"/>
      <c r="M815" s="1"/>
      <c r="N815" s="1"/>
      <c r="O815" s="1"/>
      <c r="P815" s="1"/>
      <c r="Q815" s="1"/>
      <c r="R815" s="1"/>
      <c r="S815" s="1"/>
      <c r="T815" s="1"/>
      <c r="U815" s="2"/>
      <c r="V815" s="1"/>
      <c r="W815" s="1"/>
      <c r="X815" s="1"/>
      <c r="Y815" s="1"/>
      <c r="Z815" s="1"/>
    </row>
    <row r="816" spans="1:26" ht="24.75" customHeight="1">
      <c r="A816" s="1"/>
      <c r="B816" s="1"/>
      <c r="C816" s="1"/>
      <c r="D816" s="1"/>
      <c r="E816" s="1"/>
      <c r="F816" s="1"/>
      <c r="G816" s="1"/>
      <c r="H816" s="1"/>
      <c r="I816" s="1"/>
      <c r="J816" s="1"/>
      <c r="K816" s="1"/>
      <c r="L816" s="1"/>
      <c r="M816" s="1"/>
      <c r="N816" s="1"/>
      <c r="O816" s="1"/>
      <c r="P816" s="1"/>
      <c r="Q816" s="1"/>
      <c r="R816" s="1"/>
      <c r="S816" s="1"/>
      <c r="T816" s="1"/>
      <c r="U816" s="2"/>
      <c r="V816" s="1"/>
      <c r="W816" s="1"/>
      <c r="X816" s="1"/>
      <c r="Y816" s="1"/>
      <c r="Z816" s="1"/>
    </row>
    <row r="817" spans="1:26" ht="24.75" customHeight="1">
      <c r="A817" s="1"/>
      <c r="B817" s="1"/>
      <c r="C817" s="1"/>
      <c r="D817" s="1"/>
      <c r="E817" s="1"/>
      <c r="F817" s="1"/>
      <c r="G817" s="1"/>
      <c r="H817" s="1"/>
      <c r="I817" s="1"/>
      <c r="J817" s="1"/>
      <c r="K817" s="1"/>
      <c r="L817" s="1"/>
      <c r="M817" s="1"/>
      <c r="N817" s="1"/>
      <c r="O817" s="1"/>
      <c r="P817" s="1"/>
      <c r="Q817" s="1"/>
      <c r="R817" s="1"/>
      <c r="S817" s="1"/>
      <c r="T817" s="1"/>
      <c r="U817" s="2"/>
      <c r="V817" s="1"/>
      <c r="W817" s="1"/>
      <c r="X817" s="1"/>
      <c r="Y817" s="1"/>
      <c r="Z817" s="1"/>
    </row>
    <row r="818" spans="1:26" ht="24.75" customHeight="1">
      <c r="A818" s="1"/>
      <c r="B818" s="1"/>
      <c r="C818" s="1"/>
      <c r="D818" s="1"/>
      <c r="E818" s="1"/>
      <c r="F818" s="1"/>
      <c r="G818" s="1"/>
      <c r="H818" s="1"/>
      <c r="I818" s="1"/>
      <c r="J818" s="1"/>
      <c r="K818" s="1"/>
      <c r="L818" s="1"/>
      <c r="M818" s="1"/>
      <c r="N818" s="1"/>
      <c r="O818" s="1"/>
      <c r="P818" s="1"/>
      <c r="Q818" s="1"/>
      <c r="R818" s="1"/>
      <c r="S818" s="1"/>
      <c r="T818" s="1"/>
      <c r="U818" s="2"/>
      <c r="V818" s="1"/>
      <c r="W818" s="1"/>
      <c r="X818" s="1"/>
      <c r="Y818" s="1"/>
      <c r="Z818" s="1"/>
    </row>
    <row r="819" spans="1:26" ht="24.75" customHeight="1">
      <c r="A819" s="1"/>
      <c r="B819" s="1"/>
      <c r="C819" s="1"/>
      <c r="D819" s="1"/>
      <c r="E819" s="1"/>
      <c r="F819" s="1"/>
      <c r="G819" s="1"/>
      <c r="H819" s="1"/>
      <c r="I819" s="1"/>
      <c r="J819" s="1"/>
      <c r="K819" s="1"/>
      <c r="L819" s="1"/>
      <c r="M819" s="1"/>
      <c r="N819" s="1"/>
      <c r="O819" s="1"/>
      <c r="P819" s="1"/>
      <c r="Q819" s="1"/>
      <c r="R819" s="1"/>
      <c r="S819" s="1"/>
      <c r="T819" s="1"/>
      <c r="U819" s="2"/>
      <c r="V819" s="1"/>
      <c r="W819" s="1"/>
      <c r="X819" s="1"/>
      <c r="Y819" s="1"/>
      <c r="Z819" s="1"/>
    </row>
    <row r="820" spans="1:26" ht="24.75" customHeight="1">
      <c r="A820" s="1"/>
      <c r="B820" s="1"/>
      <c r="C820" s="1"/>
      <c r="D820" s="1"/>
      <c r="E820" s="1"/>
      <c r="F820" s="1"/>
      <c r="G820" s="1"/>
      <c r="H820" s="1"/>
      <c r="I820" s="1"/>
      <c r="J820" s="1"/>
      <c r="K820" s="1"/>
      <c r="L820" s="1"/>
      <c r="M820" s="1"/>
      <c r="N820" s="1"/>
      <c r="O820" s="1"/>
      <c r="P820" s="1"/>
      <c r="Q820" s="1"/>
      <c r="R820" s="1"/>
      <c r="S820" s="1"/>
      <c r="T820" s="1"/>
      <c r="U820" s="2"/>
      <c r="V820" s="1"/>
      <c r="W820" s="1"/>
      <c r="X820" s="1"/>
      <c r="Y820" s="1"/>
      <c r="Z820" s="1"/>
    </row>
    <row r="821" spans="1:26" ht="24.75" customHeight="1">
      <c r="A821" s="1"/>
      <c r="B821" s="1"/>
      <c r="C821" s="1"/>
      <c r="D821" s="1"/>
      <c r="E821" s="1"/>
      <c r="F821" s="1"/>
      <c r="G821" s="1"/>
      <c r="H821" s="1"/>
      <c r="I821" s="1"/>
      <c r="J821" s="1"/>
      <c r="K821" s="1"/>
      <c r="L821" s="1"/>
      <c r="M821" s="1"/>
      <c r="N821" s="1"/>
      <c r="O821" s="1"/>
      <c r="P821" s="1"/>
      <c r="Q821" s="1"/>
      <c r="R821" s="1"/>
      <c r="S821" s="1"/>
      <c r="T821" s="1"/>
      <c r="U821" s="2"/>
      <c r="V821" s="1"/>
      <c r="W821" s="1"/>
      <c r="X821" s="1"/>
      <c r="Y821" s="1"/>
      <c r="Z821" s="1"/>
    </row>
    <row r="822" spans="1:26" ht="24.75" customHeight="1">
      <c r="A822" s="1"/>
      <c r="B822" s="1"/>
      <c r="C822" s="1"/>
      <c r="D822" s="1"/>
      <c r="E822" s="1"/>
      <c r="F822" s="1"/>
      <c r="G822" s="1"/>
      <c r="H822" s="1"/>
      <c r="I822" s="1"/>
      <c r="J822" s="1"/>
      <c r="K822" s="1"/>
      <c r="L822" s="1"/>
      <c r="M822" s="1"/>
      <c r="N822" s="1"/>
      <c r="O822" s="1"/>
      <c r="P822" s="1"/>
      <c r="Q822" s="1"/>
      <c r="R822" s="1"/>
      <c r="S822" s="1"/>
      <c r="T822" s="1"/>
      <c r="U822" s="2"/>
      <c r="V822" s="1"/>
      <c r="W822" s="1"/>
      <c r="X822" s="1"/>
      <c r="Y822" s="1"/>
      <c r="Z822" s="1"/>
    </row>
    <row r="823" spans="1:26" ht="24.75" customHeight="1">
      <c r="A823" s="1"/>
      <c r="B823" s="1"/>
      <c r="C823" s="1"/>
      <c r="D823" s="1"/>
      <c r="E823" s="1"/>
      <c r="F823" s="1"/>
      <c r="G823" s="1"/>
      <c r="H823" s="1"/>
      <c r="I823" s="1"/>
      <c r="J823" s="1"/>
      <c r="K823" s="1"/>
      <c r="L823" s="1"/>
      <c r="M823" s="1"/>
      <c r="N823" s="1"/>
      <c r="O823" s="1"/>
      <c r="P823" s="1"/>
      <c r="Q823" s="1"/>
      <c r="R823" s="1"/>
      <c r="S823" s="1"/>
      <c r="T823" s="1"/>
      <c r="U823" s="2"/>
      <c r="V823" s="1"/>
      <c r="W823" s="1"/>
      <c r="X823" s="1"/>
      <c r="Y823" s="1"/>
      <c r="Z823" s="1"/>
    </row>
    <row r="824" spans="1:26" ht="24.75" customHeight="1">
      <c r="A824" s="1"/>
      <c r="B824" s="1"/>
      <c r="C824" s="1"/>
      <c r="D824" s="1"/>
      <c r="E824" s="1"/>
      <c r="F824" s="1"/>
      <c r="G824" s="1"/>
      <c r="H824" s="1"/>
      <c r="I824" s="1"/>
      <c r="J824" s="1"/>
      <c r="K824" s="1"/>
      <c r="L824" s="1"/>
      <c r="M824" s="1"/>
      <c r="N824" s="1"/>
      <c r="O824" s="1"/>
      <c r="P824" s="1"/>
      <c r="Q824" s="1"/>
      <c r="R824" s="1"/>
      <c r="S824" s="1"/>
      <c r="T824" s="1"/>
      <c r="U824" s="2"/>
      <c r="V824" s="1"/>
      <c r="W824" s="1"/>
      <c r="X824" s="1"/>
      <c r="Y824" s="1"/>
      <c r="Z824" s="1"/>
    </row>
    <row r="825" spans="1:26" ht="24.75" customHeight="1">
      <c r="A825" s="1"/>
      <c r="B825" s="1"/>
      <c r="C825" s="1"/>
      <c r="D825" s="1"/>
      <c r="E825" s="1"/>
      <c r="F825" s="1"/>
      <c r="G825" s="1"/>
      <c r="H825" s="1"/>
      <c r="I825" s="1"/>
      <c r="J825" s="1"/>
      <c r="K825" s="1"/>
      <c r="L825" s="1"/>
      <c r="M825" s="1"/>
      <c r="N825" s="1"/>
      <c r="O825" s="1"/>
      <c r="P825" s="1"/>
      <c r="Q825" s="1"/>
      <c r="R825" s="1"/>
      <c r="S825" s="1"/>
      <c r="T825" s="1"/>
      <c r="U825" s="2"/>
      <c r="V825" s="1"/>
      <c r="W825" s="1"/>
      <c r="X825" s="1"/>
      <c r="Y825" s="1"/>
      <c r="Z825" s="1"/>
    </row>
    <row r="826" spans="1:26" ht="24.75" customHeight="1">
      <c r="A826" s="1"/>
      <c r="B826" s="1"/>
      <c r="C826" s="1"/>
      <c r="D826" s="1"/>
      <c r="E826" s="1"/>
      <c r="F826" s="1"/>
      <c r="G826" s="1"/>
      <c r="H826" s="1"/>
      <c r="I826" s="1"/>
      <c r="J826" s="1"/>
      <c r="K826" s="1"/>
      <c r="L826" s="1"/>
      <c r="M826" s="1"/>
      <c r="N826" s="1"/>
      <c r="O826" s="1"/>
      <c r="P826" s="1"/>
      <c r="Q826" s="1"/>
      <c r="R826" s="1"/>
      <c r="S826" s="1"/>
      <c r="T826" s="1"/>
      <c r="U826" s="2"/>
      <c r="V826" s="1"/>
      <c r="W826" s="1"/>
      <c r="X826" s="1"/>
      <c r="Y826" s="1"/>
      <c r="Z826" s="1"/>
    </row>
    <row r="827" spans="1:26" ht="24.75" customHeight="1">
      <c r="A827" s="1"/>
      <c r="B827" s="1"/>
      <c r="C827" s="1"/>
      <c r="D827" s="1"/>
      <c r="E827" s="1"/>
      <c r="F827" s="1"/>
      <c r="G827" s="1"/>
      <c r="H827" s="1"/>
      <c r="I827" s="1"/>
      <c r="J827" s="1"/>
      <c r="K827" s="1"/>
      <c r="L827" s="1"/>
      <c r="M827" s="1"/>
      <c r="N827" s="1"/>
      <c r="O827" s="1"/>
      <c r="P827" s="1"/>
      <c r="Q827" s="1"/>
      <c r="R827" s="1"/>
      <c r="S827" s="1"/>
      <c r="T827" s="1"/>
      <c r="U827" s="2"/>
      <c r="V827" s="1"/>
      <c r="W827" s="1"/>
      <c r="X827" s="1"/>
      <c r="Y827" s="1"/>
      <c r="Z827" s="1"/>
    </row>
    <row r="828" spans="1:26" ht="24.75" customHeight="1">
      <c r="A828" s="1"/>
      <c r="B828" s="1"/>
      <c r="C828" s="1"/>
      <c r="D828" s="1"/>
      <c r="E828" s="1"/>
      <c r="F828" s="1"/>
      <c r="G828" s="1"/>
      <c r="H828" s="1"/>
      <c r="I828" s="1"/>
      <c r="J828" s="1"/>
      <c r="K828" s="1"/>
      <c r="L828" s="1"/>
      <c r="M828" s="1"/>
      <c r="N828" s="1"/>
      <c r="O828" s="1"/>
      <c r="P828" s="1"/>
      <c r="Q828" s="1"/>
      <c r="R828" s="1"/>
      <c r="S828" s="1"/>
      <c r="T828" s="1"/>
      <c r="U828" s="2"/>
      <c r="V828" s="1"/>
      <c r="W828" s="1"/>
      <c r="X828" s="1"/>
      <c r="Y828" s="1"/>
      <c r="Z828" s="1"/>
    </row>
    <row r="829" spans="1:26" ht="24.75" customHeight="1">
      <c r="A829" s="1"/>
      <c r="B829" s="1"/>
      <c r="C829" s="1"/>
      <c r="D829" s="1"/>
      <c r="E829" s="1"/>
      <c r="F829" s="1"/>
      <c r="G829" s="1"/>
      <c r="H829" s="1"/>
      <c r="I829" s="1"/>
      <c r="J829" s="1"/>
      <c r="K829" s="1"/>
      <c r="L829" s="1"/>
      <c r="M829" s="1"/>
      <c r="N829" s="1"/>
      <c r="O829" s="1"/>
      <c r="P829" s="1"/>
      <c r="Q829" s="1"/>
      <c r="R829" s="1"/>
      <c r="S829" s="1"/>
      <c r="T829" s="1"/>
      <c r="U829" s="2"/>
      <c r="V829" s="1"/>
      <c r="W829" s="1"/>
      <c r="X829" s="1"/>
      <c r="Y829" s="1"/>
      <c r="Z829" s="1"/>
    </row>
    <row r="830" spans="1:26" ht="24.75" customHeight="1">
      <c r="A830" s="1"/>
      <c r="B830" s="1"/>
      <c r="C830" s="1"/>
      <c r="D830" s="1"/>
      <c r="E830" s="1"/>
      <c r="F830" s="1"/>
      <c r="G830" s="1"/>
      <c r="H830" s="1"/>
      <c r="I830" s="1"/>
      <c r="J830" s="1"/>
      <c r="K830" s="1"/>
      <c r="L830" s="1"/>
      <c r="M830" s="1"/>
      <c r="N830" s="1"/>
      <c r="O830" s="1"/>
      <c r="P830" s="1"/>
      <c r="Q830" s="1"/>
      <c r="R830" s="1"/>
      <c r="S830" s="1"/>
      <c r="T830" s="1"/>
      <c r="U830" s="2"/>
      <c r="V830" s="1"/>
      <c r="W830" s="1"/>
      <c r="X830" s="1"/>
      <c r="Y830" s="1"/>
      <c r="Z830" s="1"/>
    </row>
    <row r="831" spans="1:26" ht="24.75" customHeight="1">
      <c r="A831" s="1"/>
      <c r="B831" s="1"/>
      <c r="C831" s="1"/>
      <c r="D831" s="1"/>
      <c r="E831" s="1"/>
      <c r="F831" s="1"/>
      <c r="G831" s="1"/>
      <c r="H831" s="1"/>
      <c r="I831" s="1"/>
      <c r="J831" s="1"/>
      <c r="K831" s="1"/>
      <c r="L831" s="1"/>
      <c r="M831" s="1"/>
      <c r="N831" s="1"/>
      <c r="O831" s="1"/>
      <c r="P831" s="1"/>
      <c r="Q831" s="1"/>
      <c r="R831" s="1"/>
      <c r="S831" s="1"/>
      <c r="T831" s="1"/>
      <c r="U831" s="2"/>
      <c r="V831" s="1"/>
      <c r="W831" s="1"/>
      <c r="X831" s="1"/>
      <c r="Y831" s="1"/>
      <c r="Z831" s="1"/>
    </row>
    <row r="832" spans="1:26" ht="24.75" customHeight="1">
      <c r="A832" s="1"/>
      <c r="B832" s="1"/>
      <c r="C832" s="1"/>
      <c r="D832" s="1"/>
      <c r="E832" s="1"/>
      <c r="F832" s="1"/>
      <c r="G832" s="1"/>
      <c r="H832" s="1"/>
      <c r="I832" s="1"/>
      <c r="J832" s="1"/>
      <c r="K832" s="1"/>
      <c r="L832" s="1"/>
      <c r="M832" s="1"/>
      <c r="N832" s="1"/>
      <c r="O832" s="1"/>
      <c r="P832" s="1"/>
      <c r="Q832" s="1"/>
      <c r="R832" s="1"/>
      <c r="S832" s="1"/>
      <c r="T832" s="1"/>
      <c r="U832" s="2"/>
      <c r="V832" s="1"/>
      <c r="W832" s="1"/>
      <c r="X832" s="1"/>
      <c r="Y832" s="1"/>
      <c r="Z832" s="1"/>
    </row>
    <row r="833" spans="1:26" ht="24.75" customHeight="1">
      <c r="A833" s="1"/>
      <c r="B833" s="1"/>
      <c r="C833" s="1"/>
      <c r="D833" s="1"/>
      <c r="E833" s="1"/>
      <c r="F833" s="1"/>
      <c r="G833" s="1"/>
      <c r="H833" s="1"/>
      <c r="I833" s="1"/>
      <c r="J833" s="1"/>
      <c r="K833" s="1"/>
      <c r="L833" s="1"/>
      <c r="M833" s="1"/>
      <c r="N833" s="1"/>
      <c r="O833" s="1"/>
      <c r="P833" s="1"/>
      <c r="Q833" s="1"/>
      <c r="R833" s="1"/>
      <c r="S833" s="1"/>
      <c r="T833" s="1"/>
      <c r="U833" s="2"/>
      <c r="V833" s="1"/>
      <c r="W833" s="1"/>
      <c r="X833" s="1"/>
      <c r="Y833" s="1"/>
      <c r="Z833" s="1"/>
    </row>
    <row r="834" spans="1:26" ht="24.75" customHeight="1">
      <c r="A834" s="1"/>
      <c r="B834" s="1"/>
      <c r="C834" s="1"/>
      <c r="D834" s="1"/>
      <c r="E834" s="1"/>
      <c r="F834" s="1"/>
      <c r="G834" s="1"/>
      <c r="H834" s="1"/>
      <c r="I834" s="1"/>
      <c r="J834" s="1"/>
      <c r="K834" s="1"/>
      <c r="L834" s="1"/>
      <c r="M834" s="1"/>
      <c r="N834" s="1"/>
      <c r="O834" s="1"/>
      <c r="P834" s="1"/>
      <c r="Q834" s="1"/>
      <c r="R834" s="1"/>
      <c r="S834" s="1"/>
      <c r="T834" s="1"/>
      <c r="U834" s="2"/>
      <c r="V834" s="1"/>
      <c r="W834" s="1"/>
      <c r="X834" s="1"/>
      <c r="Y834" s="1"/>
      <c r="Z834" s="1"/>
    </row>
    <row r="835" spans="1:26" ht="24.75" customHeight="1">
      <c r="A835" s="1"/>
      <c r="B835" s="1"/>
      <c r="C835" s="1"/>
      <c r="D835" s="1"/>
      <c r="E835" s="1"/>
      <c r="F835" s="1"/>
      <c r="G835" s="1"/>
      <c r="H835" s="1"/>
      <c r="I835" s="1"/>
      <c r="J835" s="1"/>
      <c r="K835" s="1"/>
      <c r="L835" s="1"/>
      <c r="M835" s="1"/>
      <c r="N835" s="1"/>
      <c r="O835" s="1"/>
      <c r="P835" s="1"/>
      <c r="Q835" s="1"/>
      <c r="R835" s="1"/>
      <c r="S835" s="1"/>
      <c r="T835" s="1"/>
      <c r="U835" s="2"/>
      <c r="V835" s="1"/>
      <c r="W835" s="1"/>
      <c r="X835" s="1"/>
      <c r="Y835" s="1"/>
      <c r="Z835" s="1"/>
    </row>
    <row r="836" spans="1:26" ht="24.75" customHeight="1">
      <c r="A836" s="1"/>
      <c r="B836" s="1"/>
      <c r="C836" s="1"/>
      <c r="D836" s="1"/>
      <c r="E836" s="1"/>
      <c r="F836" s="1"/>
      <c r="G836" s="1"/>
      <c r="H836" s="1"/>
      <c r="I836" s="1"/>
      <c r="J836" s="1"/>
      <c r="K836" s="1"/>
      <c r="L836" s="1"/>
      <c r="M836" s="1"/>
      <c r="N836" s="1"/>
      <c r="O836" s="1"/>
      <c r="P836" s="1"/>
      <c r="Q836" s="1"/>
      <c r="R836" s="1"/>
      <c r="S836" s="1"/>
      <c r="T836" s="1"/>
      <c r="U836" s="2"/>
      <c r="V836" s="1"/>
      <c r="W836" s="1"/>
      <c r="X836" s="1"/>
      <c r="Y836" s="1"/>
      <c r="Z836" s="1"/>
    </row>
    <row r="837" spans="1:26" ht="24.75" customHeight="1">
      <c r="A837" s="1"/>
      <c r="B837" s="1"/>
      <c r="C837" s="1"/>
      <c r="D837" s="1"/>
      <c r="E837" s="1"/>
      <c r="F837" s="1"/>
      <c r="G837" s="1"/>
      <c r="H837" s="1"/>
      <c r="I837" s="1"/>
      <c r="J837" s="1"/>
      <c r="K837" s="1"/>
      <c r="L837" s="1"/>
      <c r="M837" s="1"/>
      <c r="N837" s="1"/>
      <c r="O837" s="1"/>
      <c r="P837" s="1"/>
      <c r="Q837" s="1"/>
      <c r="R837" s="1"/>
      <c r="S837" s="1"/>
      <c r="T837" s="1"/>
      <c r="U837" s="2"/>
      <c r="V837" s="1"/>
      <c r="W837" s="1"/>
      <c r="X837" s="1"/>
      <c r="Y837" s="1"/>
      <c r="Z837" s="1"/>
    </row>
    <row r="838" spans="1:26" ht="24.75" customHeight="1">
      <c r="A838" s="1"/>
      <c r="B838" s="1"/>
      <c r="C838" s="1"/>
      <c r="D838" s="1"/>
      <c r="E838" s="1"/>
      <c r="F838" s="1"/>
      <c r="G838" s="1"/>
      <c r="H838" s="1"/>
      <c r="I838" s="1"/>
      <c r="J838" s="1"/>
      <c r="K838" s="1"/>
      <c r="L838" s="1"/>
      <c r="M838" s="1"/>
      <c r="N838" s="1"/>
      <c r="O838" s="1"/>
      <c r="P838" s="1"/>
      <c r="Q838" s="1"/>
      <c r="R838" s="1"/>
      <c r="S838" s="1"/>
      <c r="T838" s="1"/>
      <c r="U838" s="2"/>
      <c r="V838" s="1"/>
      <c r="W838" s="1"/>
      <c r="X838" s="1"/>
      <c r="Y838" s="1"/>
      <c r="Z838" s="1"/>
    </row>
    <row r="839" spans="1:26" ht="24.75" customHeight="1">
      <c r="A839" s="1"/>
      <c r="B839" s="1"/>
      <c r="C839" s="1"/>
      <c r="D839" s="1"/>
      <c r="E839" s="1"/>
      <c r="F839" s="1"/>
      <c r="G839" s="1"/>
      <c r="H839" s="1"/>
      <c r="I839" s="1"/>
      <c r="J839" s="1"/>
      <c r="K839" s="1"/>
      <c r="L839" s="1"/>
      <c r="M839" s="1"/>
      <c r="N839" s="1"/>
      <c r="O839" s="1"/>
      <c r="P839" s="1"/>
      <c r="Q839" s="1"/>
      <c r="R839" s="1"/>
      <c r="S839" s="1"/>
      <c r="T839" s="1"/>
      <c r="U839" s="2"/>
      <c r="V839" s="1"/>
      <c r="W839" s="1"/>
      <c r="X839" s="1"/>
      <c r="Y839" s="1"/>
      <c r="Z839" s="1"/>
    </row>
    <row r="840" spans="1:26" ht="24.75" customHeight="1">
      <c r="A840" s="1"/>
      <c r="B840" s="1"/>
      <c r="C840" s="1"/>
      <c r="D840" s="1"/>
      <c r="E840" s="1"/>
      <c r="F840" s="1"/>
      <c r="G840" s="1"/>
      <c r="H840" s="1"/>
      <c r="I840" s="1"/>
      <c r="J840" s="1"/>
      <c r="K840" s="1"/>
      <c r="L840" s="1"/>
      <c r="M840" s="1"/>
      <c r="N840" s="1"/>
      <c r="O840" s="1"/>
      <c r="P840" s="1"/>
      <c r="Q840" s="1"/>
      <c r="R840" s="1"/>
      <c r="S840" s="1"/>
      <c r="T840" s="1"/>
      <c r="U840" s="2"/>
      <c r="V840" s="1"/>
      <c r="W840" s="1"/>
      <c r="X840" s="1"/>
      <c r="Y840" s="1"/>
      <c r="Z840" s="1"/>
    </row>
    <row r="841" spans="1:26" ht="24.75" customHeight="1">
      <c r="A841" s="1"/>
      <c r="B841" s="1"/>
      <c r="C841" s="1"/>
      <c r="D841" s="1"/>
      <c r="E841" s="1"/>
      <c r="F841" s="1"/>
      <c r="G841" s="1"/>
      <c r="H841" s="1"/>
      <c r="I841" s="1"/>
      <c r="J841" s="1"/>
      <c r="K841" s="1"/>
      <c r="L841" s="1"/>
      <c r="M841" s="1"/>
      <c r="N841" s="1"/>
      <c r="O841" s="1"/>
      <c r="P841" s="1"/>
      <c r="Q841" s="1"/>
      <c r="R841" s="1"/>
      <c r="S841" s="1"/>
      <c r="T841" s="1"/>
      <c r="U841" s="2"/>
      <c r="V841" s="1"/>
      <c r="W841" s="1"/>
      <c r="X841" s="1"/>
      <c r="Y841" s="1"/>
      <c r="Z841" s="1"/>
    </row>
    <row r="842" spans="1:26" ht="24.75" customHeight="1">
      <c r="A842" s="1"/>
      <c r="B842" s="1"/>
      <c r="C842" s="1"/>
      <c r="D842" s="1"/>
      <c r="E842" s="1"/>
      <c r="F842" s="1"/>
      <c r="G842" s="1"/>
      <c r="H842" s="1"/>
      <c r="I842" s="1"/>
      <c r="J842" s="1"/>
      <c r="K842" s="1"/>
      <c r="L842" s="1"/>
      <c r="M842" s="1"/>
      <c r="N842" s="1"/>
      <c r="O842" s="1"/>
      <c r="P842" s="1"/>
      <c r="Q842" s="1"/>
      <c r="R842" s="1"/>
      <c r="S842" s="1"/>
      <c r="T842" s="1"/>
      <c r="U842" s="2"/>
      <c r="V842" s="1"/>
      <c r="W842" s="1"/>
      <c r="X842" s="1"/>
      <c r="Y842" s="1"/>
      <c r="Z842" s="1"/>
    </row>
    <row r="843" spans="1:26" ht="24.75" customHeight="1">
      <c r="A843" s="1"/>
      <c r="B843" s="1"/>
      <c r="C843" s="1"/>
      <c r="D843" s="1"/>
      <c r="E843" s="1"/>
      <c r="F843" s="1"/>
      <c r="G843" s="1"/>
      <c r="H843" s="1"/>
      <c r="I843" s="1"/>
      <c r="J843" s="1"/>
      <c r="K843" s="1"/>
      <c r="L843" s="1"/>
      <c r="M843" s="1"/>
      <c r="N843" s="1"/>
      <c r="O843" s="1"/>
      <c r="P843" s="1"/>
      <c r="Q843" s="1"/>
      <c r="R843" s="1"/>
      <c r="S843" s="1"/>
      <c r="T843" s="1"/>
      <c r="U843" s="2"/>
      <c r="V843" s="1"/>
      <c r="W843" s="1"/>
      <c r="X843" s="1"/>
      <c r="Y843" s="1"/>
      <c r="Z843" s="1"/>
    </row>
    <row r="844" spans="1:26" ht="24.75" customHeight="1">
      <c r="A844" s="1"/>
      <c r="B844" s="1"/>
      <c r="C844" s="1"/>
      <c r="D844" s="1"/>
      <c r="E844" s="1"/>
      <c r="F844" s="1"/>
      <c r="G844" s="1"/>
      <c r="H844" s="1"/>
      <c r="I844" s="1"/>
      <c r="J844" s="1"/>
      <c r="K844" s="1"/>
      <c r="L844" s="1"/>
      <c r="M844" s="1"/>
      <c r="N844" s="1"/>
      <c r="O844" s="1"/>
      <c r="P844" s="1"/>
      <c r="Q844" s="1"/>
      <c r="R844" s="1"/>
      <c r="S844" s="1"/>
      <c r="T844" s="1"/>
      <c r="U844" s="2"/>
      <c r="V844" s="1"/>
      <c r="W844" s="1"/>
      <c r="X844" s="1"/>
      <c r="Y844" s="1"/>
      <c r="Z844" s="1"/>
    </row>
    <row r="845" spans="1:26" ht="24.75" customHeight="1">
      <c r="A845" s="1"/>
      <c r="B845" s="1"/>
      <c r="C845" s="1"/>
      <c r="D845" s="1"/>
      <c r="E845" s="1"/>
      <c r="F845" s="1"/>
      <c r="G845" s="1"/>
      <c r="H845" s="1"/>
      <c r="I845" s="1"/>
      <c r="J845" s="1"/>
      <c r="K845" s="1"/>
      <c r="L845" s="1"/>
      <c r="M845" s="1"/>
      <c r="N845" s="1"/>
      <c r="O845" s="1"/>
      <c r="P845" s="1"/>
      <c r="Q845" s="1"/>
      <c r="R845" s="1"/>
      <c r="S845" s="1"/>
      <c r="T845" s="1"/>
      <c r="U845" s="2"/>
      <c r="V845" s="1"/>
      <c r="W845" s="1"/>
      <c r="X845" s="1"/>
      <c r="Y845" s="1"/>
      <c r="Z845" s="1"/>
    </row>
    <row r="846" spans="1:26" ht="24.75" customHeight="1">
      <c r="A846" s="1"/>
      <c r="B846" s="1"/>
      <c r="C846" s="1"/>
      <c r="D846" s="1"/>
      <c r="E846" s="1"/>
      <c r="F846" s="1"/>
      <c r="G846" s="1"/>
      <c r="H846" s="1"/>
      <c r="I846" s="1"/>
      <c r="J846" s="1"/>
      <c r="K846" s="1"/>
      <c r="L846" s="1"/>
      <c r="M846" s="1"/>
      <c r="N846" s="1"/>
      <c r="O846" s="1"/>
      <c r="P846" s="1"/>
      <c r="Q846" s="1"/>
      <c r="R846" s="1"/>
      <c r="S846" s="1"/>
      <c r="T846" s="1"/>
      <c r="U846" s="2"/>
      <c r="V846" s="1"/>
      <c r="W846" s="1"/>
      <c r="X846" s="1"/>
      <c r="Y846" s="1"/>
      <c r="Z846" s="1"/>
    </row>
    <row r="847" spans="1:26" ht="24.75" customHeight="1">
      <c r="A847" s="1"/>
      <c r="B847" s="1"/>
      <c r="C847" s="1"/>
      <c r="D847" s="1"/>
      <c r="E847" s="1"/>
      <c r="F847" s="1"/>
      <c r="G847" s="1"/>
      <c r="H847" s="1"/>
      <c r="I847" s="1"/>
      <c r="J847" s="1"/>
      <c r="K847" s="1"/>
      <c r="L847" s="1"/>
      <c r="M847" s="1"/>
      <c r="N847" s="1"/>
      <c r="O847" s="1"/>
      <c r="P847" s="1"/>
      <c r="Q847" s="1"/>
      <c r="R847" s="1"/>
      <c r="S847" s="1"/>
      <c r="T847" s="1"/>
      <c r="U847" s="2"/>
      <c r="V847" s="1"/>
      <c r="W847" s="1"/>
      <c r="X847" s="1"/>
      <c r="Y847" s="1"/>
      <c r="Z847" s="1"/>
    </row>
    <row r="848" spans="1:26" ht="24.75" customHeight="1">
      <c r="A848" s="1"/>
      <c r="B848" s="1"/>
      <c r="C848" s="1"/>
      <c r="D848" s="1"/>
      <c r="E848" s="1"/>
      <c r="F848" s="1"/>
      <c r="G848" s="1"/>
      <c r="H848" s="1"/>
      <c r="I848" s="1"/>
      <c r="J848" s="1"/>
      <c r="K848" s="1"/>
      <c r="L848" s="1"/>
      <c r="M848" s="1"/>
      <c r="N848" s="1"/>
      <c r="O848" s="1"/>
      <c r="P848" s="1"/>
      <c r="Q848" s="1"/>
      <c r="R848" s="1"/>
      <c r="S848" s="1"/>
      <c r="T848" s="1"/>
      <c r="U848" s="2"/>
      <c r="V848" s="1"/>
      <c r="W848" s="1"/>
      <c r="X848" s="1"/>
      <c r="Y848" s="1"/>
      <c r="Z848" s="1"/>
    </row>
    <row r="849" spans="1:26" ht="24.75" customHeight="1">
      <c r="A849" s="1"/>
      <c r="B849" s="1"/>
      <c r="C849" s="1"/>
      <c r="D849" s="1"/>
      <c r="E849" s="1"/>
      <c r="F849" s="1"/>
      <c r="G849" s="1"/>
      <c r="H849" s="1"/>
      <c r="I849" s="1"/>
      <c r="J849" s="1"/>
      <c r="K849" s="1"/>
      <c r="L849" s="1"/>
      <c r="M849" s="1"/>
      <c r="N849" s="1"/>
      <c r="O849" s="1"/>
      <c r="P849" s="1"/>
      <c r="Q849" s="1"/>
      <c r="R849" s="1"/>
      <c r="S849" s="1"/>
      <c r="T849" s="1"/>
      <c r="U849" s="2"/>
      <c r="V849" s="1"/>
      <c r="W849" s="1"/>
      <c r="X849" s="1"/>
      <c r="Y849" s="1"/>
      <c r="Z849" s="1"/>
    </row>
    <row r="850" spans="1:26" ht="24.75" customHeight="1">
      <c r="A850" s="1"/>
      <c r="B850" s="1"/>
      <c r="C850" s="1"/>
      <c r="D850" s="1"/>
      <c r="E850" s="1"/>
      <c r="F850" s="1"/>
      <c r="G850" s="1"/>
      <c r="H850" s="1"/>
      <c r="I850" s="1"/>
      <c r="J850" s="1"/>
      <c r="K850" s="1"/>
      <c r="L850" s="1"/>
      <c r="M850" s="1"/>
      <c r="N850" s="1"/>
      <c r="O850" s="1"/>
      <c r="P850" s="1"/>
      <c r="Q850" s="1"/>
      <c r="R850" s="1"/>
      <c r="S850" s="1"/>
      <c r="T850" s="1"/>
      <c r="U850" s="2"/>
      <c r="V850" s="1"/>
      <c r="W850" s="1"/>
      <c r="X850" s="1"/>
      <c r="Y850" s="1"/>
      <c r="Z850" s="1"/>
    </row>
    <row r="851" spans="1:26" ht="24.75" customHeight="1">
      <c r="A851" s="1"/>
      <c r="B851" s="1"/>
      <c r="C851" s="1"/>
      <c r="D851" s="1"/>
      <c r="E851" s="1"/>
      <c r="F851" s="1"/>
      <c r="G851" s="1"/>
      <c r="H851" s="1"/>
      <c r="I851" s="1"/>
      <c r="J851" s="1"/>
      <c r="K851" s="1"/>
      <c r="L851" s="1"/>
      <c r="M851" s="1"/>
      <c r="N851" s="1"/>
      <c r="O851" s="1"/>
      <c r="P851" s="1"/>
      <c r="Q851" s="1"/>
      <c r="R851" s="1"/>
      <c r="S851" s="1"/>
      <c r="T851" s="1"/>
      <c r="U851" s="2"/>
      <c r="V851" s="1"/>
      <c r="W851" s="1"/>
      <c r="X851" s="1"/>
      <c r="Y851" s="1"/>
      <c r="Z851" s="1"/>
    </row>
    <row r="852" spans="1:26" ht="24.75" customHeight="1">
      <c r="A852" s="1"/>
      <c r="B852" s="1"/>
      <c r="C852" s="1"/>
      <c r="D852" s="1"/>
      <c r="E852" s="1"/>
      <c r="F852" s="1"/>
      <c r="G852" s="1"/>
      <c r="H852" s="1"/>
      <c r="I852" s="1"/>
      <c r="J852" s="1"/>
      <c r="K852" s="1"/>
      <c r="L852" s="1"/>
      <c r="M852" s="1"/>
      <c r="N852" s="1"/>
      <c r="O852" s="1"/>
      <c r="P852" s="1"/>
      <c r="Q852" s="1"/>
      <c r="R852" s="1"/>
      <c r="S852" s="1"/>
      <c r="T852" s="1"/>
      <c r="U852" s="2"/>
      <c r="V852" s="1"/>
      <c r="W852" s="1"/>
      <c r="X852" s="1"/>
      <c r="Y852" s="1"/>
      <c r="Z852" s="1"/>
    </row>
    <row r="853" spans="1:26" ht="24.75" customHeight="1">
      <c r="A853" s="1"/>
      <c r="B853" s="1"/>
      <c r="C853" s="1"/>
      <c r="D853" s="1"/>
      <c r="E853" s="1"/>
      <c r="F853" s="1"/>
      <c r="G853" s="1"/>
      <c r="H853" s="1"/>
      <c r="I853" s="1"/>
      <c r="J853" s="1"/>
      <c r="K853" s="1"/>
      <c r="L853" s="1"/>
      <c r="M853" s="1"/>
      <c r="N853" s="1"/>
      <c r="O853" s="1"/>
      <c r="P853" s="1"/>
      <c r="Q853" s="1"/>
      <c r="R853" s="1"/>
      <c r="S853" s="1"/>
      <c r="T853" s="1"/>
      <c r="U853" s="2"/>
      <c r="V853" s="1"/>
      <c r="W853" s="1"/>
      <c r="X853" s="1"/>
      <c r="Y853" s="1"/>
      <c r="Z853" s="1"/>
    </row>
    <row r="854" spans="1:26" ht="24.75" customHeight="1">
      <c r="A854" s="1"/>
      <c r="B854" s="1"/>
      <c r="C854" s="1"/>
      <c r="D854" s="1"/>
      <c r="E854" s="1"/>
      <c r="F854" s="1"/>
      <c r="G854" s="1"/>
      <c r="H854" s="1"/>
      <c r="I854" s="1"/>
      <c r="J854" s="1"/>
      <c r="K854" s="1"/>
      <c r="L854" s="1"/>
      <c r="M854" s="1"/>
      <c r="N854" s="1"/>
      <c r="O854" s="1"/>
      <c r="P854" s="1"/>
      <c r="Q854" s="1"/>
      <c r="R854" s="1"/>
      <c r="S854" s="1"/>
      <c r="T854" s="1"/>
      <c r="U854" s="2"/>
      <c r="V854" s="1"/>
      <c r="W854" s="1"/>
      <c r="X854" s="1"/>
      <c r="Y854" s="1"/>
      <c r="Z854" s="1"/>
    </row>
    <row r="855" spans="1:26" ht="24.75" customHeight="1">
      <c r="A855" s="1"/>
      <c r="B855" s="1"/>
      <c r="C855" s="1"/>
      <c r="D855" s="1"/>
      <c r="E855" s="1"/>
      <c r="F855" s="1"/>
      <c r="G855" s="1"/>
      <c r="H855" s="1"/>
      <c r="I855" s="1"/>
      <c r="J855" s="1"/>
      <c r="K855" s="1"/>
      <c r="L855" s="1"/>
      <c r="M855" s="1"/>
      <c r="N855" s="1"/>
      <c r="O855" s="1"/>
      <c r="P855" s="1"/>
      <c r="Q855" s="1"/>
      <c r="R855" s="1"/>
      <c r="S855" s="1"/>
      <c r="T855" s="1"/>
      <c r="U855" s="2"/>
      <c r="V855" s="1"/>
      <c r="W855" s="1"/>
      <c r="X855" s="1"/>
      <c r="Y855" s="1"/>
      <c r="Z855" s="1"/>
    </row>
    <row r="856" spans="1:26" ht="24.75" customHeight="1">
      <c r="A856" s="1"/>
      <c r="B856" s="1"/>
      <c r="C856" s="1"/>
      <c r="D856" s="1"/>
      <c r="E856" s="1"/>
      <c r="F856" s="1"/>
      <c r="G856" s="1"/>
      <c r="H856" s="1"/>
      <c r="I856" s="1"/>
      <c r="J856" s="1"/>
      <c r="K856" s="1"/>
      <c r="L856" s="1"/>
      <c r="M856" s="1"/>
      <c r="N856" s="1"/>
      <c r="O856" s="1"/>
      <c r="P856" s="1"/>
      <c r="Q856" s="1"/>
      <c r="R856" s="1"/>
      <c r="S856" s="1"/>
      <c r="T856" s="1"/>
      <c r="U856" s="2"/>
      <c r="V856" s="1"/>
      <c r="W856" s="1"/>
      <c r="X856" s="1"/>
      <c r="Y856" s="1"/>
      <c r="Z856" s="1"/>
    </row>
    <row r="857" spans="1:26" ht="24.75" customHeight="1">
      <c r="A857" s="1"/>
      <c r="B857" s="1"/>
      <c r="C857" s="1"/>
      <c r="D857" s="1"/>
      <c r="E857" s="1"/>
      <c r="F857" s="1"/>
      <c r="G857" s="1"/>
      <c r="H857" s="1"/>
      <c r="I857" s="1"/>
      <c r="J857" s="1"/>
      <c r="K857" s="1"/>
      <c r="L857" s="1"/>
      <c r="M857" s="1"/>
      <c r="N857" s="1"/>
      <c r="O857" s="1"/>
      <c r="P857" s="1"/>
      <c r="Q857" s="1"/>
      <c r="R857" s="1"/>
      <c r="S857" s="1"/>
      <c r="T857" s="1"/>
      <c r="U857" s="2"/>
      <c r="V857" s="1"/>
      <c r="W857" s="1"/>
      <c r="X857" s="1"/>
      <c r="Y857" s="1"/>
      <c r="Z857" s="1"/>
    </row>
    <row r="858" spans="1:26" ht="24.75" customHeight="1">
      <c r="A858" s="1"/>
      <c r="B858" s="1"/>
      <c r="C858" s="1"/>
      <c r="D858" s="1"/>
      <c r="E858" s="1"/>
      <c r="F858" s="1"/>
      <c r="G858" s="1"/>
      <c r="H858" s="1"/>
      <c r="I858" s="1"/>
      <c r="J858" s="1"/>
      <c r="K858" s="1"/>
      <c r="L858" s="1"/>
      <c r="M858" s="1"/>
      <c r="N858" s="1"/>
      <c r="O858" s="1"/>
      <c r="P858" s="1"/>
      <c r="Q858" s="1"/>
      <c r="R858" s="1"/>
      <c r="S858" s="1"/>
      <c r="T858" s="1"/>
      <c r="U858" s="2"/>
      <c r="V858" s="1"/>
      <c r="W858" s="1"/>
      <c r="X858" s="1"/>
      <c r="Y858" s="1"/>
      <c r="Z858" s="1"/>
    </row>
    <row r="859" spans="1:26" ht="24.75" customHeight="1">
      <c r="A859" s="1"/>
      <c r="B859" s="1"/>
      <c r="C859" s="1"/>
      <c r="D859" s="1"/>
      <c r="E859" s="1"/>
      <c r="F859" s="1"/>
      <c r="G859" s="1"/>
      <c r="H859" s="1"/>
      <c r="I859" s="1"/>
      <c r="J859" s="1"/>
      <c r="K859" s="1"/>
      <c r="L859" s="1"/>
      <c r="M859" s="1"/>
      <c r="N859" s="1"/>
      <c r="O859" s="1"/>
      <c r="P859" s="1"/>
      <c r="Q859" s="1"/>
      <c r="R859" s="1"/>
      <c r="S859" s="1"/>
      <c r="T859" s="1"/>
      <c r="U859" s="2"/>
      <c r="V859" s="1"/>
      <c r="W859" s="1"/>
      <c r="X859" s="1"/>
      <c r="Y859" s="1"/>
      <c r="Z859" s="1"/>
    </row>
    <row r="860" spans="1:26" ht="24.75" customHeight="1">
      <c r="A860" s="1"/>
      <c r="B860" s="1"/>
      <c r="C860" s="1"/>
      <c r="D860" s="1"/>
      <c r="E860" s="1"/>
      <c r="F860" s="1"/>
      <c r="G860" s="1"/>
      <c r="H860" s="1"/>
      <c r="I860" s="1"/>
      <c r="J860" s="1"/>
      <c r="K860" s="1"/>
      <c r="L860" s="1"/>
      <c r="M860" s="1"/>
      <c r="N860" s="1"/>
      <c r="O860" s="1"/>
      <c r="P860" s="1"/>
      <c r="Q860" s="1"/>
      <c r="R860" s="1"/>
      <c r="S860" s="1"/>
      <c r="T860" s="1"/>
      <c r="U860" s="2"/>
      <c r="V860" s="1"/>
      <c r="W860" s="1"/>
      <c r="X860" s="1"/>
      <c r="Y860" s="1"/>
      <c r="Z860" s="1"/>
    </row>
    <row r="861" spans="1:26" ht="24.75" customHeight="1">
      <c r="A861" s="1"/>
      <c r="B861" s="1"/>
      <c r="C861" s="1"/>
      <c r="D861" s="1"/>
      <c r="E861" s="1"/>
      <c r="F861" s="1"/>
      <c r="G861" s="1"/>
      <c r="H861" s="1"/>
      <c r="I861" s="1"/>
      <c r="J861" s="1"/>
      <c r="K861" s="1"/>
      <c r="L861" s="1"/>
      <c r="M861" s="1"/>
      <c r="N861" s="1"/>
      <c r="O861" s="1"/>
      <c r="P861" s="1"/>
      <c r="Q861" s="1"/>
      <c r="R861" s="1"/>
      <c r="S861" s="1"/>
      <c r="T861" s="1"/>
      <c r="U861" s="2"/>
      <c r="V861" s="1"/>
      <c r="W861" s="1"/>
      <c r="X861" s="1"/>
      <c r="Y861" s="1"/>
      <c r="Z861" s="1"/>
    </row>
    <row r="862" spans="1:26" ht="24.75" customHeight="1">
      <c r="A862" s="1"/>
      <c r="B862" s="1"/>
      <c r="C862" s="1"/>
      <c r="D862" s="1"/>
      <c r="E862" s="1"/>
      <c r="F862" s="1"/>
      <c r="G862" s="1"/>
      <c r="H862" s="1"/>
      <c r="I862" s="1"/>
      <c r="J862" s="1"/>
      <c r="K862" s="1"/>
      <c r="L862" s="1"/>
      <c r="M862" s="1"/>
      <c r="N862" s="1"/>
      <c r="O862" s="1"/>
      <c r="P862" s="1"/>
      <c r="Q862" s="1"/>
      <c r="R862" s="1"/>
      <c r="S862" s="1"/>
      <c r="T862" s="1"/>
      <c r="U862" s="2"/>
      <c r="V862" s="1"/>
      <c r="W862" s="1"/>
      <c r="X862" s="1"/>
      <c r="Y862" s="1"/>
      <c r="Z862" s="1"/>
    </row>
    <row r="863" spans="1:26" ht="24.75" customHeight="1">
      <c r="A863" s="1"/>
      <c r="B863" s="1"/>
      <c r="C863" s="1"/>
      <c r="D863" s="1"/>
      <c r="E863" s="1"/>
      <c r="F863" s="1"/>
      <c r="G863" s="1"/>
      <c r="H863" s="1"/>
      <c r="I863" s="1"/>
      <c r="J863" s="1"/>
      <c r="K863" s="1"/>
      <c r="L863" s="1"/>
      <c r="M863" s="1"/>
      <c r="N863" s="1"/>
      <c r="O863" s="1"/>
      <c r="P863" s="1"/>
      <c r="Q863" s="1"/>
      <c r="R863" s="1"/>
      <c r="S863" s="1"/>
      <c r="T863" s="1"/>
      <c r="U863" s="2"/>
      <c r="V863" s="1"/>
      <c r="W863" s="1"/>
      <c r="X863" s="1"/>
      <c r="Y863" s="1"/>
      <c r="Z863" s="1"/>
    </row>
    <row r="864" spans="1:26" ht="24.75" customHeight="1">
      <c r="A864" s="1"/>
      <c r="B864" s="1"/>
      <c r="C864" s="1"/>
      <c r="D864" s="1"/>
      <c r="E864" s="1"/>
      <c r="F864" s="1"/>
      <c r="G864" s="1"/>
      <c r="H864" s="1"/>
      <c r="I864" s="1"/>
      <c r="J864" s="1"/>
      <c r="K864" s="1"/>
      <c r="L864" s="1"/>
      <c r="M864" s="1"/>
      <c r="N864" s="1"/>
      <c r="O864" s="1"/>
      <c r="P864" s="1"/>
      <c r="Q864" s="1"/>
      <c r="R864" s="1"/>
      <c r="S864" s="1"/>
      <c r="T864" s="1"/>
      <c r="U864" s="2"/>
      <c r="V864" s="1"/>
      <c r="W864" s="1"/>
      <c r="X864" s="1"/>
      <c r="Y864" s="1"/>
      <c r="Z864" s="1"/>
    </row>
    <row r="865" spans="1:26" ht="24.75" customHeight="1">
      <c r="A865" s="1"/>
      <c r="B865" s="1"/>
      <c r="C865" s="1"/>
      <c r="D865" s="1"/>
      <c r="E865" s="1"/>
      <c r="F865" s="1"/>
      <c r="G865" s="1"/>
      <c r="H865" s="1"/>
      <c r="I865" s="1"/>
      <c r="J865" s="1"/>
      <c r="K865" s="1"/>
      <c r="L865" s="1"/>
      <c r="M865" s="1"/>
      <c r="N865" s="1"/>
      <c r="O865" s="1"/>
      <c r="P865" s="1"/>
      <c r="Q865" s="1"/>
      <c r="R865" s="1"/>
      <c r="S865" s="1"/>
      <c r="T865" s="1"/>
      <c r="U865" s="2"/>
      <c r="V865" s="1"/>
      <c r="W865" s="1"/>
      <c r="X865" s="1"/>
      <c r="Y865" s="1"/>
      <c r="Z865" s="1"/>
    </row>
    <row r="866" spans="1:26" ht="24.75" customHeight="1">
      <c r="A866" s="1"/>
      <c r="B866" s="1"/>
      <c r="C866" s="1"/>
      <c r="D866" s="1"/>
      <c r="E866" s="1"/>
      <c r="F866" s="1"/>
      <c r="G866" s="1"/>
      <c r="H866" s="1"/>
      <c r="I866" s="1"/>
      <c r="J866" s="1"/>
      <c r="K866" s="1"/>
      <c r="L866" s="1"/>
      <c r="M866" s="1"/>
      <c r="N866" s="1"/>
      <c r="O866" s="1"/>
      <c r="P866" s="1"/>
      <c r="Q866" s="1"/>
      <c r="R866" s="1"/>
      <c r="S866" s="1"/>
      <c r="T866" s="1"/>
      <c r="U866" s="2"/>
      <c r="V866" s="1"/>
      <c r="W866" s="1"/>
      <c r="X866" s="1"/>
      <c r="Y866" s="1"/>
      <c r="Z866" s="1"/>
    </row>
    <row r="867" spans="1:26" ht="24.75" customHeight="1">
      <c r="A867" s="1"/>
      <c r="B867" s="1"/>
      <c r="C867" s="1"/>
      <c r="D867" s="1"/>
      <c r="E867" s="1"/>
      <c r="F867" s="1"/>
      <c r="G867" s="1"/>
      <c r="H867" s="1"/>
      <c r="I867" s="1"/>
      <c r="J867" s="1"/>
      <c r="K867" s="1"/>
      <c r="L867" s="1"/>
      <c r="M867" s="1"/>
      <c r="N867" s="1"/>
      <c r="O867" s="1"/>
      <c r="P867" s="1"/>
      <c r="Q867" s="1"/>
      <c r="R867" s="1"/>
      <c r="S867" s="1"/>
      <c r="T867" s="1"/>
      <c r="U867" s="2"/>
      <c r="V867" s="1"/>
      <c r="W867" s="1"/>
      <c r="X867" s="1"/>
      <c r="Y867" s="1"/>
      <c r="Z867" s="1"/>
    </row>
    <row r="868" spans="1:26" ht="24.75" customHeight="1">
      <c r="A868" s="1"/>
      <c r="B868" s="1"/>
      <c r="C868" s="1"/>
      <c r="D868" s="1"/>
      <c r="E868" s="1"/>
      <c r="F868" s="1"/>
      <c r="G868" s="1"/>
      <c r="H868" s="1"/>
      <c r="I868" s="1"/>
      <c r="J868" s="1"/>
      <c r="K868" s="1"/>
      <c r="L868" s="1"/>
      <c r="M868" s="1"/>
      <c r="N868" s="1"/>
      <c r="O868" s="1"/>
      <c r="P868" s="1"/>
      <c r="Q868" s="1"/>
      <c r="R868" s="1"/>
      <c r="S868" s="1"/>
      <c r="T868" s="1"/>
      <c r="U868" s="2"/>
      <c r="V868" s="1"/>
      <c r="W868" s="1"/>
      <c r="X868" s="1"/>
      <c r="Y868" s="1"/>
      <c r="Z868" s="1"/>
    </row>
    <row r="869" spans="1:26" ht="24.75" customHeight="1">
      <c r="A869" s="1"/>
      <c r="B869" s="1"/>
      <c r="C869" s="1"/>
      <c r="D869" s="1"/>
      <c r="E869" s="1"/>
      <c r="F869" s="1"/>
      <c r="G869" s="1"/>
      <c r="H869" s="1"/>
      <c r="I869" s="1"/>
      <c r="J869" s="1"/>
      <c r="K869" s="1"/>
      <c r="L869" s="1"/>
      <c r="M869" s="1"/>
      <c r="N869" s="1"/>
      <c r="O869" s="1"/>
      <c r="P869" s="1"/>
      <c r="Q869" s="1"/>
      <c r="R869" s="1"/>
      <c r="S869" s="1"/>
      <c r="T869" s="1"/>
      <c r="U869" s="2"/>
      <c r="V869" s="1"/>
      <c r="W869" s="1"/>
      <c r="X869" s="1"/>
      <c r="Y869" s="1"/>
      <c r="Z869" s="1"/>
    </row>
    <row r="870" spans="1:26" ht="24.75" customHeight="1">
      <c r="A870" s="1"/>
      <c r="B870" s="1"/>
      <c r="C870" s="1"/>
      <c r="D870" s="1"/>
      <c r="E870" s="1"/>
      <c r="F870" s="1"/>
      <c r="G870" s="1"/>
      <c r="H870" s="1"/>
      <c r="I870" s="1"/>
      <c r="J870" s="1"/>
      <c r="K870" s="1"/>
      <c r="L870" s="1"/>
      <c r="M870" s="1"/>
      <c r="N870" s="1"/>
      <c r="O870" s="1"/>
      <c r="P870" s="1"/>
      <c r="Q870" s="1"/>
      <c r="R870" s="1"/>
      <c r="S870" s="1"/>
      <c r="T870" s="1"/>
      <c r="U870" s="2"/>
      <c r="V870" s="1"/>
      <c r="W870" s="1"/>
      <c r="X870" s="1"/>
      <c r="Y870" s="1"/>
      <c r="Z870" s="1"/>
    </row>
    <row r="871" spans="1:26" ht="24.75" customHeight="1">
      <c r="A871" s="1"/>
      <c r="B871" s="1"/>
      <c r="C871" s="1"/>
      <c r="D871" s="1"/>
      <c r="E871" s="1"/>
      <c r="F871" s="1"/>
      <c r="G871" s="1"/>
      <c r="H871" s="1"/>
      <c r="I871" s="1"/>
      <c r="J871" s="1"/>
      <c r="K871" s="1"/>
      <c r="L871" s="1"/>
      <c r="M871" s="1"/>
      <c r="N871" s="1"/>
      <c r="O871" s="1"/>
      <c r="P871" s="1"/>
      <c r="Q871" s="1"/>
      <c r="R871" s="1"/>
      <c r="S871" s="1"/>
      <c r="T871" s="1"/>
      <c r="U871" s="2"/>
      <c r="V871" s="1"/>
      <c r="W871" s="1"/>
      <c r="X871" s="1"/>
      <c r="Y871" s="1"/>
      <c r="Z871" s="1"/>
    </row>
    <row r="872" spans="1:26" ht="24.75" customHeight="1">
      <c r="A872" s="1"/>
      <c r="B872" s="1"/>
      <c r="C872" s="1"/>
      <c r="D872" s="1"/>
      <c r="E872" s="1"/>
      <c r="F872" s="1"/>
      <c r="G872" s="1"/>
      <c r="H872" s="1"/>
      <c r="I872" s="1"/>
      <c r="J872" s="1"/>
      <c r="K872" s="1"/>
      <c r="L872" s="1"/>
      <c r="M872" s="1"/>
      <c r="N872" s="1"/>
      <c r="O872" s="1"/>
      <c r="P872" s="1"/>
      <c r="Q872" s="1"/>
      <c r="R872" s="1"/>
      <c r="S872" s="1"/>
      <c r="T872" s="1"/>
      <c r="U872" s="2"/>
      <c r="V872" s="1"/>
      <c r="W872" s="1"/>
      <c r="X872" s="1"/>
      <c r="Y872" s="1"/>
      <c r="Z872" s="1"/>
    </row>
    <row r="873" spans="1:26" ht="24.75" customHeight="1">
      <c r="A873" s="1"/>
      <c r="B873" s="1"/>
      <c r="C873" s="1"/>
      <c r="D873" s="1"/>
      <c r="E873" s="1"/>
      <c r="F873" s="1"/>
      <c r="G873" s="1"/>
      <c r="H873" s="1"/>
      <c r="I873" s="1"/>
      <c r="J873" s="1"/>
      <c r="K873" s="1"/>
      <c r="L873" s="1"/>
      <c r="M873" s="1"/>
      <c r="N873" s="1"/>
      <c r="O873" s="1"/>
      <c r="P873" s="1"/>
      <c r="Q873" s="1"/>
      <c r="R873" s="1"/>
      <c r="S873" s="1"/>
      <c r="T873" s="1"/>
      <c r="U873" s="2"/>
      <c r="V873" s="1"/>
      <c r="W873" s="1"/>
      <c r="X873" s="1"/>
      <c r="Y873" s="1"/>
      <c r="Z873" s="1"/>
    </row>
    <row r="874" spans="1:26" ht="24.75" customHeight="1">
      <c r="A874" s="1"/>
      <c r="B874" s="1"/>
      <c r="C874" s="1"/>
      <c r="D874" s="1"/>
      <c r="E874" s="1"/>
      <c r="F874" s="1"/>
      <c r="G874" s="1"/>
      <c r="H874" s="1"/>
      <c r="I874" s="1"/>
      <c r="J874" s="1"/>
      <c r="K874" s="1"/>
      <c r="L874" s="1"/>
      <c r="M874" s="1"/>
      <c r="N874" s="1"/>
      <c r="O874" s="1"/>
      <c r="P874" s="1"/>
      <c r="Q874" s="1"/>
      <c r="R874" s="1"/>
      <c r="S874" s="1"/>
      <c r="T874" s="1"/>
      <c r="U874" s="2"/>
      <c r="V874" s="1"/>
      <c r="W874" s="1"/>
      <c r="X874" s="1"/>
      <c r="Y874" s="1"/>
      <c r="Z874" s="1"/>
    </row>
    <row r="875" spans="1:26" ht="24.75" customHeight="1">
      <c r="A875" s="1"/>
      <c r="B875" s="1"/>
      <c r="C875" s="1"/>
      <c r="D875" s="1"/>
      <c r="E875" s="1"/>
      <c r="F875" s="1"/>
      <c r="G875" s="1"/>
      <c r="H875" s="1"/>
      <c r="I875" s="1"/>
      <c r="J875" s="1"/>
      <c r="K875" s="1"/>
      <c r="L875" s="1"/>
      <c r="M875" s="1"/>
      <c r="N875" s="1"/>
      <c r="O875" s="1"/>
      <c r="P875" s="1"/>
      <c r="Q875" s="1"/>
      <c r="R875" s="1"/>
      <c r="S875" s="1"/>
      <c r="T875" s="1"/>
      <c r="U875" s="2"/>
      <c r="V875" s="1"/>
      <c r="W875" s="1"/>
      <c r="X875" s="1"/>
      <c r="Y875" s="1"/>
      <c r="Z875" s="1"/>
    </row>
    <row r="876" spans="1:26" ht="24.75" customHeight="1">
      <c r="A876" s="1"/>
      <c r="B876" s="1"/>
      <c r="C876" s="1"/>
      <c r="D876" s="1"/>
      <c r="E876" s="1"/>
      <c r="F876" s="1"/>
      <c r="G876" s="1"/>
      <c r="H876" s="1"/>
      <c r="I876" s="1"/>
      <c r="J876" s="1"/>
      <c r="K876" s="1"/>
      <c r="L876" s="1"/>
      <c r="M876" s="1"/>
      <c r="N876" s="1"/>
      <c r="O876" s="1"/>
      <c r="P876" s="1"/>
      <c r="Q876" s="1"/>
      <c r="R876" s="1"/>
      <c r="S876" s="1"/>
      <c r="T876" s="1"/>
      <c r="U876" s="2"/>
      <c r="V876" s="1"/>
      <c r="W876" s="1"/>
      <c r="X876" s="1"/>
      <c r="Y876" s="1"/>
      <c r="Z876" s="1"/>
    </row>
    <row r="877" spans="1:26" ht="24.75" customHeight="1">
      <c r="A877" s="1"/>
      <c r="B877" s="1"/>
      <c r="C877" s="1"/>
      <c r="D877" s="1"/>
      <c r="E877" s="1"/>
      <c r="F877" s="1"/>
      <c r="G877" s="1"/>
      <c r="H877" s="1"/>
      <c r="I877" s="1"/>
      <c r="J877" s="1"/>
      <c r="K877" s="1"/>
      <c r="L877" s="1"/>
      <c r="M877" s="1"/>
      <c r="N877" s="1"/>
      <c r="O877" s="1"/>
      <c r="P877" s="1"/>
      <c r="Q877" s="1"/>
      <c r="R877" s="1"/>
      <c r="S877" s="1"/>
      <c r="T877" s="1"/>
      <c r="U877" s="2"/>
      <c r="V877" s="1"/>
      <c r="W877" s="1"/>
      <c r="X877" s="1"/>
      <c r="Y877" s="1"/>
      <c r="Z877" s="1"/>
    </row>
    <row r="878" spans="1:26" ht="24.75" customHeight="1">
      <c r="A878" s="1"/>
      <c r="B878" s="1"/>
      <c r="C878" s="1"/>
      <c r="D878" s="1"/>
      <c r="E878" s="1"/>
      <c r="F878" s="1"/>
      <c r="G878" s="1"/>
      <c r="H878" s="1"/>
      <c r="I878" s="1"/>
      <c r="J878" s="1"/>
      <c r="K878" s="1"/>
      <c r="L878" s="1"/>
      <c r="M878" s="1"/>
      <c r="N878" s="1"/>
      <c r="O878" s="1"/>
      <c r="P878" s="1"/>
      <c r="Q878" s="1"/>
      <c r="R878" s="1"/>
      <c r="S878" s="1"/>
      <c r="T878" s="1"/>
      <c r="U878" s="2"/>
      <c r="V878" s="1"/>
      <c r="W878" s="1"/>
      <c r="X878" s="1"/>
      <c r="Y878" s="1"/>
      <c r="Z878" s="1"/>
    </row>
    <row r="879" spans="1:26" ht="24.75" customHeight="1">
      <c r="A879" s="1"/>
      <c r="B879" s="1"/>
      <c r="C879" s="1"/>
      <c r="D879" s="1"/>
      <c r="E879" s="1"/>
      <c r="F879" s="1"/>
      <c r="G879" s="1"/>
      <c r="H879" s="1"/>
      <c r="I879" s="1"/>
      <c r="J879" s="1"/>
      <c r="K879" s="1"/>
      <c r="L879" s="1"/>
      <c r="M879" s="1"/>
      <c r="N879" s="1"/>
      <c r="O879" s="1"/>
      <c r="P879" s="1"/>
      <c r="Q879" s="1"/>
      <c r="R879" s="1"/>
      <c r="S879" s="1"/>
      <c r="T879" s="1"/>
      <c r="U879" s="2"/>
      <c r="V879" s="1"/>
      <c r="W879" s="1"/>
      <c r="X879" s="1"/>
      <c r="Y879" s="1"/>
      <c r="Z879" s="1"/>
    </row>
    <row r="880" spans="1:26" ht="24.75" customHeight="1">
      <c r="A880" s="1"/>
      <c r="B880" s="1"/>
      <c r="C880" s="1"/>
      <c r="D880" s="1"/>
      <c r="E880" s="1"/>
      <c r="F880" s="1"/>
      <c r="G880" s="1"/>
      <c r="H880" s="1"/>
      <c r="I880" s="1"/>
      <c r="J880" s="1"/>
      <c r="K880" s="1"/>
      <c r="L880" s="1"/>
      <c r="M880" s="1"/>
      <c r="N880" s="1"/>
      <c r="O880" s="1"/>
      <c r="P880" s="1"/>
      <c r="Q880" s="1"/>
      <c r="R880" s="1"/>
      <c r="S880" s="1"/>
      <c r="T880" s="1"/>
      <c r="U880" s="2"/>
      <c r="V880" s="1"/>
      <c r="W880" s="1"/>
      <c r="X880" s="1"/>
      <c r="Y880" s="1"/>
      <c r="Z880" s="1"/>
    </row>
    <row r="881" spans="1:26" ht="24.75" customHeight="1">
      <c r="A881" s="1"/>
      <c r="B881" s="1"/>
      <c r="C881" s="1"/>
      <c r="D881" s="1"/>
      <c r="E881" s="1"/>
      <c r="F881" s="1"/>
      <c r="G881" s="1"/>
      <c r="H881" s="1"/>
      <c r="I881" s="1"/>
      <c r="J881" s="1"/>
      <c r="K881" s="1"/>
      <c r="L881" s="1"/>
      <c r="M881" s="1"/>
      <c r="N881" s="1"/>
      <c r="O881" s="1"/>
      <c r="P881" s="1"/>
      <c r="Q881" s="1"/>
      <c r="R881" s="1"/>
      <c r="S881" s="1"/>
      <c r="T881" s="1"/>
      <c r="U881" s="2"/>
      <c r="V881" s="1"/>
      <c r="W881" s="1"/>
      <c r="X881" s="1"/>
      <c r="Y881" s="1"/>
      <c r="Z881" s="1"/>
    </row>
    <row r="882" spans="1:26" ht="24.75" customHeight="1">
      <c r="A882" s="1"/>
      <c r="B882" s="1"/>
      <c r="C882" s="1"/>
      <c r="D882" s="1"/>
      <c r="E882" s="1"/>
      <c r="F882" s="1"/>
      <c r="G882" s="1"/>
      <c r="H882" s="1"/>
      <c r="I882" s="1"/>
      <c r="J882" s="1"/>
      <c r="K882" s="1"/>
      <c r="L882" s="1"/>
      <c r="M882" s="1"/>
      <c r="N882" s="1"/>
      <c r="O882" s="1"/>
      <c r="P882" s="1"/>
      <c r="Q882" s="1"/>
      <c r="R882" s="1"/>
      <c r="S882" s="1"/>
      <c r="T882" s="1"/>
      <c r="U882" s="2"/>
      <c r="V882" s="1"/>
      <c r="W882" s="1"/>
      <c r="X882" s="1"/>
      <c r="Y882" s="1"/>
      <c r="Z882" s="1"/>
    </row>
    <row r="883" spans="1:26" ht="24.75" customHeight="1">
      <c r="A883" s="1"/>
      <c r="B883" s="1"/>
      <c r="C883" s="1"/>
      <c r="D883" s="1"/>
      <c r="E883" s="1"/>
      <c r="F883" s="1"/>
      <c r="G883" s="1"/>
      <c r="H883" s="1"/>
      <c r="I883" s="1"/>
      <c r="J883" s="1"/>
      <c r="K883" s="1"/>
      <c r="L883" s="1"/>
      <c r="M883" s="1"/>
      <c r="N883" s="1"/>
      <c r="O883" s="1"/>
      <c r="P883" s="1"/>
      <c r="Q883" s="1"/>
      <c r="R883" s="1"/>
      <c r="S883" s="1"/>
      <c r="T883" s="1"/>
      <c r="U883" s="2"/>
      <c r="V883" s="1"/>
      <c r="W883" s="1"/>
      <c r="X883" s="1"/>
      <c r="Y883" s="1"/>
      <c r="Z883" s="1"/>
    </row>
    <row r="884" spans="1:26" ht="24.75" customHeight="1">
      <c r="A884" s="1"/>
      <c r="B884" s="1"/>
      <c r="C884" s="1"/>
      <c r="D884" s="1"/>
      <c r="E884" s="1"/>
      <c r="F884" s="1"/>
      <c r="G884" s="1"/>
      <c r="H884" s="1"/>
      <c r="I884" s="1"/>
      <c r="J884" s="1"/>
      <c r="K884" s="1"/>
      <c r="L884" s="1"/>
      <c r="M884" s="1"/>
      <c r="N884" s="1"/>
      <c r="O884" s="1"/>
      <c r="P884" s="1"/>
      <c r="Q884" s="1"/>
      <c r="R884" s="1"/>
      <c r="S884" s="1"/>
      <c r="T884" s="1"/>
      <c r="U884" s="2"/>
      <c r="V884" s="1"/>
      <c r="W884" s="1"/>
      <c r="X884" s="1"/>
      <c r="Y884" s="1"/>
      <c r="Z884" s="1"/>
    </row>
    <row r="885" spans="1:26" ht="24.75" customHeight="1">
      <c r="A885" s="1"/>
      <c r="B885" s="1"/>
      <c r="C885" s="1"/>
      <c r="D885" s="1"/>
      <c r="E885" s="1"/>
      <c r="F885" s="1"/>
      <c r="G885" s="1"/>
      <c r="H885" s="1"/>
      <c r="I885" s="1"/>
      <c r="J885" s="1"/>
      <c r="K885" s="1"/>
      <c r="L885" s="1"/>
      <c r="M885" s="1"/>
      <c r="N885" s="1"/>
      <c r="O885" s="1"/>
      <c r="P885" s="1"/>
      <c r="Q885" s="1"/>
      <c r="R885" s="1"/>
      <c r="S885" s="1"/>
      <c r="T885" s="1"/>
      <c r="U885" s="2"/>
      <c r="V885" s="1"/>
      <c r="W885" s="1"/>
      <c r="X885" s="1"/>
      <c r="Y885" s="1"/>
      <c r="Z885" s="1"/>
    </row>
    <row r="886" spans="1:26" ht="24.75" customHeight="1">
      <c r="A886" s="1"/>
      <c r="B886" s="1"/>
      <c r="C886" s="1"/>
      <c r="D886" s="1"/>
      <c r="E886" s="1"/>
      <c r="F886" s="1"/>
      <c r="G886" s="1"/>
      <c r="H886" s="1"/>
      <c r="I886" s="1"/>
      <c r="J886" s="1"/>
      <c r="K886" s="1"/>
      <c r="L886" s="1"/>
      <c r="M886" s="1"/>
      <c r="N886" s="1"/>
      <c r="O886" s="1"/>
      <c r="P886" s="1"/>
      <c r="Q886" s="1"/>
      <c r="R886" s="1"/>
      <c r="S886" s="1"/>
      <c r="T886" s="1"/>
      <c r="U886" s="2"/>
      <c r="V886" s="1"/>
      <c r="W886" s="1"/>
      <c r="X886" s="1"/>
      <c r="Y886" s="1"/>
      <c r="Z886" s="1"/>
    </row>
    <row r="887" spans="1:26" ht="24.75" customHeight="1">
      <c r="A887" s="1"/>
      <c r="B887" s="1"/>
      <c r="C887" s="1"/>
      <c r="D887" s="1"/>
      <c r="E887" s="1"/>
      <c r="F887" s="1"/>
      <c r="G887" s="1"/>
      <c r="H887" s="1"/>
      <c r="I887" s="1"/>
      <c r="J887" s="1"/>
      <c r="K887" s="1"/>
      <c r="L887" s="1"/>
      <c r="M887" s="1"/>
      <c r="N887" s="1"/>
      <c r="O887" s="1"/>
      <c r="P887" s="1"/>
      <c r="Q887" s="1"/>
      <c r="R887" s="1"/>
      <c r="S887" s="1"/>
      <c r="T887" s="1"/>
      <c r="U887" s="2"/>
      <c r="V887" s="1"/>
      <c r="W887" s="1"/>
      <c r="X887" s="1"/>
      <c r="Y887" s="1"/>
      <c r="Z887" s="1"/>
    </row>
    <row r="888" spans="1:26" ht="24.75" customHeight="1">
      <c r="A888" s="1"/>
      <c r="B888" s="1"/>
      <c r="C888" s="1"/>
      <c r="D888" s="1"/>
      <c r="E888" s="1"/>
      <c r="F888" s="1"/>
      <c r="G888" s="1"/>
      <c r="H888" s="1"/>
      <c r="I888" s="1"/>
      <c r="J888" s="1"/>
      <c r="K888" s="1"/>
      <c r="L888" s="1"/>
      <c r="M888" s="1"/>
      <c r="N888" s="1"/>
      <c r="O888" s="1"/>
      <c r="P888" s="1"/>
      <c r="Q888" s="1"/>
      <c r="R888" s="1"/>
      <c r="S888" s="1"/>
      <c r="T888" s="1"/>
      <c r="U888" s="2"/>
      <c r="V888" s="1"/>
      <c r="W888" s="1"/>
      <c r="X888" s="1"/>
      <c r="Y888" s="1"/>
      <c r="Z888" s="1"/>
    </row>
    <row r="889" spans="1:26" ht="24.75" customHeight="1">
      <c r="A889" s="1"/>
      <c r="B889" s="1"/>
      <c r="C889" s="1"/>
      <c r="D889" s="1"/>
      <c r="E889" s="1"/>
      <c r="F889" s="1"/>
      <c r="G889" s="1"/>
      <c r="H889" s="1"/>
      <c r="I889" s="1"/>
      <c r="J889" s="1"/>
      <c r="K889" s="1"/>
      <c r="L889" s="1"/>
      <c r="M889" s="1"/>
      <c r="N889" s="1"/>
      <c r="O889" s="1"/>
      <c r="P889" s="1"/>
      <c r="Q889" s="1"/>
      <c r="R889" s="1"/>
      <c r="S889" s="1"/>
      <c r="T889" s="1"/>
      <c r="U889" s="2"/>
      <c r="V889" s="1"/>
      <c r="W889" s="1"/>
      <c r="X889" s="1"/>
      <c r="Y889" s="1"/>
      <c r="Z889" s="1"/>
    </row>
    <row r="890" spans="1:26" ht="24.75" customHeight="1">
      <c r="A890" s="1"/>
      <c r="B890" s="1"/>
      <c r="C890" s="1"/>
      <c r="D890" s="1"/>
      <c r="E890" s="1"/>
      <c r="F890" s="1"/>
      <c r="G890" s="1"/>
      <c r="H890" s="1"/>
      <c r="I890" s="1"/>
      <c r="J890" s="1"/>
      <c r="K890" s="1"/>
      <c r="L890" s="1"/>
      <c r="M890" s="1"/>
      <c r="N890" s="1"/>
      <c r="O890" s="1"/>
      <c r="P890" s="1"/>
      <c r="Q890" s="1"/>
      <c r="R890" s="1"/>
      <c r="S890" s="1"/>
      <c r="T890" s="1"/>
      <c r="U890" s="2"/>
      <c r="V890" s="1"/>
      <c r="W890" s="1"/>
      <c r="X890" s="1"/>
      <c r="Y890" s="1"/>
      <c r="Z890" s="1"/>
    </row>
    <row r="891" spans="1:26" ht="24.75" customHeight="1">
      <c r="A891" s="1"/>
      <c r="B891" s="1"/>
      <c r="C891" s="1"/>
      <c r="D891" s="1"/>
      <c r="E891" s="1"/>
      <c r="F891" s="1"/>
      <c r="G891" s="1"/>
      <c r="H891" s="1"/>
      <c r="I891" s="1"/>
      <c r="J891" s="1"/>
      <c r="K891" s="1"/>
      <c r="L891" s="1"/>
      <c r="M891" s="1"/>
      <c r="N891" s="1"/>
      <c r="O891" s="1"/>
      <c r="P891" s="1"/>
      <c r="Q891" s="1"/>
      <c r="R891" s="1"/>
      <c r="S891" s="1"/>
      <c r="T891" s="1"/>
      <c r="U891" s="2"/>
      <c r="V891" s="1"/>
      <c r="W891" s="1"/>
      <c r="X891" s="1"/>
      <c r="Y891" s="1"/>
      <c r="Z891" s="1"/>
    </row>
    <row r="892" spans="1:26" ht="24.75" customHeight="1">
      <c r="A892" s="1"/>
      <c r="B892" s="1"/>
      <c r="C892" s="1"/>
      <c r="D892" s="1"/>
      <c r="E892" s="1"/>
      <c r="F892" s="1"/>
      <c r="G892" s="1"/>
      <c r="H892" s="1"/>
      <c r="I892" s="1"/>
      <c r="J892" s="1"/>
      <c r="K892" s="1"/>
      <c r="L892" s="1"/>
      <c r="M892" s="1"/>
      <c r="N892" s="1"/>
      <c r="O892" s="1"/>
      <c r="P892" s="1"/>
      <c r="Q892" s="1"/>
      <c r="R892" s="1"/>
      <c r="S892" s="1"/>
      <c r="T892" s="1"/>
      <c r="U892" s="2"/>
      <c r="V892" s="1"/>
      <c r="W892" s="1"/>
      <c r="X892" s="1"/>
      <c r="Y892" s="1"/>
      <c r="Z892" s="1"/>
    </row>
    <row r="893" spans="1:26" ht="24.75" customHeight="1">
      <c r="A893" s="1"/>
      <c r="B893" s="1"/>
      <c r="C893" s="1"/>
      <c r="D893" s="1"/>
      <c r="E893" s="1"/>
      <c r="F893" s="1"/>
      <c r="G893" s="1"/>
      <c r="H893" s="1"/>
      <c r="I893" s="1"/>
      <c r="J893" s="1"/>
      <c r="K893" s="1"/>
      <c r="L893" s="1"/>
      <c r="M893" s="1"/>
      <c r="N893" s="1"/>
      <c r="O893" s="1"/>
      <c r="P893" s="1"/>
      <c r="Q893" s="1"/>
      <c r="R893" s="1"/>
      <c r="S893" s="1"/>
      <c r="T893" s="1"/>
      <c r="U893" s="2"/>
      <c r="V893" s="1"/>
      <c r="W893" s="1"/>
      <c r="X893" s="1"/>
      <c r="Y893" s="1"/>
      <c r="Z893" s="1"/>
    </row>
    <row r="894" spans="1:26" ht="24.75" customHeight="1">
      <c r="A894" s="1"/>
      <c r="B894" s="1"/>
      <c r="C894" s="1"/>
      <c r="D894" s="1"/>
      <c r="E894" s="1"/>
      <c r="F894" s="1"/>
      <c r="G894" s="1"/>
      <c r="H894" s="1"/>
      <c r="I894" s="1"/>
      <c r="J894" s="1"/>
      <c r="K894" s="1"/>
      <c r="L894" s="1"/>
      <c r="M894" s="1"/>
      <c r="N894" s="1"/>
      <c r="O894" s="1"/>
      <c r="P894" s="1"/>
      <c r="Q894" s="1"/>
      <c r="R894" s="1"/>
      <c r="S894" s="1"/>
      <c r="T894" s="1"/>
      <c r="U894" s="2"/>
      <c r="V894" s="1"/>
      <c r="W894" s="1"/>
      <c r="X894" s="1"/>
      <c r="Y894" s="1"/>
      <c r="Z894" s="1"/>
    </row>
    <row r="895" spans="1:26" ht="24.75" customHeight="1">
      <c r="A895" s="1"/>
      <c r="B895" s="1"/>
      <c r="C895" s="1"/>
      <c r="D895" s="1"/>
      <c r="E895" s="1"/>
      <c r="F895" s="1"/>
      <c r="G895" s="1"/>
      <c r="H895" s="1"/>
      <c r="I895" s="1"/>
      <c r="J895" s="1"/>
      <c r="K895" s="1"/>
      <c r="L895" s="1"/>
      <c r="M895" s="1"/>
      <c r="N895" s="1"/>
      <c r="O895" s="1"/>
      <c r="P895" s="1"/>
      <c r="Q895" s="1"/>
      <c r="R895" s="1"/>
      <c r="S895" s="1"/>
      <c r="T895" s="1"/>
      <c r="U895" s="2"/>
      <c r="V895" s="1"/>
      <c r="W895" s="1"/>
      <c r="X895" s="1"/>
      <c r="Y895" s="1"/>
      <c r="Z895" s="1"/>
    </row>
    <row r="896" spans="1:26" ht="24.75" customHeight="1">
      <c r="A896" s="1"/>
      <c r="B896" s="1"/>
      <c r="C896" s="1"/>
      <c r="D896" s="1"/>
      <c r="E896" s="1"/>
      <c r="F896" s="1"/>
      <c r="G896" s="1"/>
      <c r="H896" s="1"/>
      <c r="I896" s="1"/>
      <c r="J896" s="1"/>
      <c r="K896" s="1"/>
      <c r="L896" s="1"/>
      <c r="M896" s="1"/>
      <c r="N896" s="1"/>
      <c r="O896" s="1"/>
      <c r="P896" s="1"/>
      <c r="Q896" s="1"/>
      <c r="R896" s="1"/>
      <c r="S896" s="1"/>
      <c r="T896" s="1"/>
      <c r="U896" s="2"/>
      <c r="V896" s="1"/>
      <c r="W896" s="1"/>
      <c r="X896" s="1"/>
      <c r="Y896" s="1"/>
      <c r="Z896" s="1"/>
    </row>
    <row r="897" spans="1:26" ht="24.75" customHeight="1">
      <c r="A897" s="1"/>
      <c r="B897" s="1"/>
      <c r="C897" s="1"/>
      <c r="D897" s="1"/>
      <c r="E897" s="1"/>
      <c r="F897" s="1"/>
      <c r="G897" s="1"/>
      <c r="H897" s="1"/>
      <c r="I897" s="1"/>
      <c r="J897" s="1"/>
      <c r="K897" s="1"/>
      <c r="L897" s="1"/>
      <c r="M897" s="1"/>
      <c r="N897" s="1"/>
      <c r="O897" s="1"/>
      <c r="P897" s="1"/>
      <c r="Q897" s="1"/>
      <c r="R897" s="1"/>
      <c r="S897" s="1"/>
      <c r="T897" s="1"/>
      <c r="U897" s="2"/>
      <c r="V897" s="1"/>
      <c r="W897" s="1"/>
      <c r="X897" s="1"/>
      <c r="Y897" s="1"/>
      <c r="Z897" s="1"/>
    </row>
    <row r="898" spans="1:26" ht="24.75" customHeight="1">
      <c r="A898" s="1"/>
      <c r="B898" s="1"/>
      <c r="C898" s="1"/>
      <c r="D898" s="1"/>
      <c r="E898" s="1"/>
      <c r="F898" s="1"/>
      <c r="G898" s="1"/>
      <c r="H898" s="1"/>
      <c r="I898" s="1"/>
      <c r="J898" s="1"/>
      <c r="K898" s="1"/>
      <c r="L898" s="1"/>
      <c r="M898" s="1"/>
      <c r="N898" s="1"/>
      <c r="O898" s="1"/>
      <c r="P898" s="1"/>
      <c r="Q898" s="1"/>
      <c r="R898" s="1"/>
      <c r="S898" s="1"/>
      <c r="T898" s="1"/>
      <c r="U898" s="2"/>
      <c r="V898" s="1"/>
      <c r="W898" s="1"/>
      <c r="X898" s="1"/>
      <c r="Y898" s="1"/>
      <c r="Z898" s="1"/>
    </row>
    <row r="899" spans="1:26" ht="24.75" customHeight="1">
      <c r="A899" s="1"/>
      <c r="B899" s="1"/>
      <c r="C899" s="1"/>
      <c r="D899" s="1"/>
      <c r="E899" s="1"/>
      <c r="F899" s="1"/>
      <c r="G899" s="1"/>
      <c r="H899" s="1"/>
      <c r="I899" s="1"/>
      <c r="J899" s="1"/>
      <c r="K899" s="1"/>
      <c r="L899" s="1"/>
      <c r="M899" s="1"/>
      <c r="N899" s="1"/>
      <c r="O899" s="1"/>
      <c r="P899" s="1"/>
      <c r="Q899" s="1"/>
      <c r="R899" s="1"/>
      <c r="S899" s="1"/>
      <c r="T899" s="1"/>
      <c r="U899" s="2"/>
      <c r="V899" s="1"/>
      <c r="W899" s="1"/>
      <c r="X899" s="1"/>
      <c r="Y899" s="1"/>
      <c r="Z899" s="1"/>
    </row>
    <row r="900" spans="1:26" ht="24.75" customHeight="1">
      <c r="A900" s="1"/>
      <c r="B900" s="1"/>
      <c r="C900" s="1"/>
      <c r="D900" s="1"/>
      <c r="E900" s="1"/>
      <c r="F900" s="1"/>
      <c r="G900" s="1"/>
      <c r="H900" s="1"/>
      <c r="I900" s="1"/>
      <c r="J900" s="1"/>
      <c r="K900" s="1"/>
      <c r="L900" s="1"/>
      <c r="M900" s="1"/>
      <c r="N900" s="1"/>
      <c r="O900" s="1"/>
      <c r="P900" s="1"/>
      <c r="Q900" s="1"/>
      <c r="R900" s="1"/>
      <c r="S900" s="1"/>
      <c r="T900" s="1"/>
      <c r="U900" s="2"/>
      <c r="V900" s="1"/>
      <c r="W900" s="1"/>
      <c r="X900" s="1"/>
      <c r="Y900" s="1"/>
      <c r="Z900" s="1"/>
    </row>
    <row r="901" spans="1:26" ht="24.75" customHeight="1">
      <c r="A901" s="1"/>
      <c r="B901" s="1"/>
      <c r="C901" s="1"/>
      <c r="D901" s="1"/>
      <c r="E901" s="1"/>
      <c r="F901" s="1"/>
      <c r="G901" s="1"/>
      <c r="H901" s="1"/>
      <c r="I901" s="1"/>
      <c r="J901" s="1"/>
      <c r="K901" s="1"/>
      <c r="L901" s="1"/>
      <c r="M901" s="1"/>
      <c r="N901" s="1"/>
      <c r="O901" s="1"/>
      <c r="P901" s="1"/>
      <c r="Q901" s="1"/>
      <c r="R901" s="1"/>
      <c r="S901" s="1"/>
      <c r="T901" s="1"/>
      <c r="U901" s="2"/>
      <c r="V901" s="1"/>
      <c r="W901" s="1"/>
      <c r="X901" s="1"/>
      <c r="Y901" s="1"/>
      <c r="Z901" s="1"/>
    </row>
    <row r="902" spans="1:26" ht="24.75" customHeight="1">
      <c r="A902" s="1"/>
      <c r="B902" s="1"/>
      <c r="C902" s="1"/>
      <c r="D902" s="1"/>
      <c r="E902" s="1"/>
      <c r="F902" s="1"/>
      <c r="G902" s="1"/>
      <c r="H902" s="1"/>
      <c r="I902" s="1"/>
      <c r="J902" s="1"/>
      <c r="K902" s="1"/>
      <c r="L902" s="1"/>
      <c r="M902" s="1"/>
      <c r="N902" s="1"/>
      <c r="O902" s="1"/>
      <c r="P902" s="1"/>
      <c r="Q902" s="1"/>
      <c r="R902" s="1"/>
      <c r="S902" s="1"/>
      <c r="T902" s="1"/>
      <c r="U902" s="2"/>
      <c r="V902" s="1"/>
      <c r="W902" s="1"/>
      <c r="X902" s="1"/>
      <c r="Y902" s="1"/>
      <c r="Z902" s="1"/>
    </row>
    <row r="903" spans="1:26" ht="24.75" customHeight="1">
      <c r="A903" s="1"/>
      <c r="B903" s="1"/>
      <c r="C903" s="1"/>
      <c r="D903" s="1"/>
      <c r="E903" s="1"/>
      <c r="F903" s="1"/>
      <c r="G903" s="1"/>
      <c r="H903" s="1"/>
      <c r="I903" s="1"/>
      <c r="J903" s="1"/>
      <c r="K903" s="1"/>
      <c r="L903" s="1"/>
      <c r="M903" s="1"/>
      <c r="N903" s="1"/>
      <c r="O903" s="1"/>
      <c r="P903" s="1"/>
      <c r="Q903" s="1"/>
      <c r="R903" s="1"/>
      <c r="S903" s="1"/>
      <c r="T903" s="1"/>
      <c r="U903" s="2"/>
      <c r="V903" s="1"/>
      <c r="W903" s="1"/>
      <c r="X903" s="1"/>
      <c r="Y903" s="1"/>
      <c r="Z903" s="1"/>
    </row>
    <row r="904" spans="1:26" ht="24.75" customHeight="1">
      <c r="A904" s="1"/>
      <c r="B904" s="1"/>
      <c r="C904" s="1"/>
      <c r="D904" s="1"/>
      <c r="E904" s="1"/>
      <c r="F904" s="1"/>
      <c r="G904" s="1"/>
      <c r="H904" s="1"/>
      <c r="I904" s="1"/>
      <c r="J904" s="1"/>
      <c r="K904" s="1"/>
      <c r="L904" s="1"/>
      <c r="M904" s="1"/>
      <c r="N904" s="1"/>
      <c r="O904" s="1"/>
      <c r="P904" s="1"/>
      <c r="Q904" s="1"/>
      <c r="R904" s="1"/>
      <c r="S904" s="1"/>
      <c r="T904" s="1"/>
      <c r="U904" s="2"/>
      <c r="V904" s="1"/>
      <c r="W904" s="1"/>
      <c r="X904" s="1"/>
      <c r="Y904" s="1"/>
      <c r="Z904" s="1"/>
    </row>
    <row r="905" spans="1:26" ht="24.75" customHeight="1">
      <c r="A905" s="1"/>
      <c r="B905" s="1"/>
      <c r="C905" s="1"/>
      <c r="D905" s="1"/>
      <c r="E905" s="1"/>
      <c r="F905" s="1"/>
      <c r="G905" s="1"/>
      <c r="H905" s="1"/>
      <c r="I905" s="1"/>
      <c r="J905" s="1"/>
      <c r="K905" s="1"/>
      <c r="L905" s="1"/>
      <c r="M905" s="1"/>
      <c r="N905" s="1"/>
      <c r="O905" s="1"/>
      <c r="P905" s="1"/>
      <c r="Q905" s="1"/>
      <c r="R905" s="1"/>
      <c r="S905" s="1"/>
      <c r="T905" s="1"/>
      <c r="U905" s="2"/>
      <c r="V905" s="1"/>
      <c r="W905" s="1"/>
      <c r="X905" s="1"/>
      <c r="Y905" s="1"/>
      <c r="Z905" s="1"/>
    </row>
    <row r="906" spans="1:26" ht="24.75" customHeight="1">
      <c r="A906" s="1"/>
      <c r="B906" s="1"/>
      <c r="C906" s="1"/>
      <c r="D906" s="1"/>
      <c r="E906" s="1"/>
      <c r="F906" s="1"/>
      <c r="G906" s="1"/>
      <c r="H906" s="1"/>
      <c r="I906" s="1"/>
      <c r="J906" s="1"/>
      <c r="K906" s="1"/>
      <c r="L906" s="1"/>
      <c r="M906" s="1"/>
      <c r="N906" s="1"/>
      <c r="O906" s="1"/>
      <c r="P906" s="1"/>
      <c r="Q906" s="1"/>
      <c r="R906" s="1"/>
      <c r="S906" s="1"/>
      <c r="T906" s="1"/>
      <c r="U906" s="2"/>
      <c r="V906" s="1"/>
      <c r="W906" s="1"/>
      <c r="X906" s="1"/>
      <c r="Y906" s="1"/>
      <c r="Z906" s="1"/>
    </row>
    <row r="907" spans="1:26" ht="24.75" customHeight="1">
      <c r="A907" s="1"/>
      <c r="B907" s="1"/>
      <c r="C907" s="1"/>
      <c r="D907" s="1"/>
      <c r="E907" s="1"/>
      <c r="F907" s="1"/>
      <c r="G907" s="1"/>
      <c r="H907" s="1"/>
      <c r="I907" s="1"/>
      <c r="J907" s="1"/>
      <c r="K907" s="1"/>
      <c r="L907" s="1"/>
      <c r="M907" s="1"/>
      <c r="N907" s="1"/>
      <c r="O907" s="1"/>
      <c r="P907" s="1"/>
      <c r="Q907" s="1"/>
      <c r="R907" s="1"/>
      <c r="S907" s="1"/>
      <c r="T907" s="1"/>
      <c r="U907" s="2"/>
      <c r="V907" s="1"/>
      <c r="W907" s="1"/>
      <c r="X907" s="1"/>
      <c r="Y907" s="1"/>
      <c r="Z907" s="1"/>
    </row>
    <row r="908" spans="1:26" ht="24.75" customHeight="1">
      <c r="A908" s="1"/>
      <c r="B908" s="1"/>
      <c r="C908" s="1"/>
      <c r="D908" s="1"/>
      <c r="E908" s="1"/>
      <c r="F908" s="1"/>
      <c r="G908" s="1"/>
      <c r="H908" s="1"/>
      <c r="I908" s="1"/>
      <c r="J908" s="1"/>
      <c r="K908" s="1"/>
      <c r="L908" s="1"/>
      <c r="M908" s="1"/>
      <c r="N908" s="1"/>
      <c r="O908" s="1"/>
      <c r="P908" s="1"/>
      <c r="Q908" s="1"/>
      <c r="R908" s="1"/>
      <c r="S908" s="1"/>
      <c r="T908" s="1"/>
      <c r="U908" s="2"/>
      <c r="V908" s="1"/>
      <c r="W908" s="1"/>
      <c r="X908" s="1"/>
      <c r="Y908" s="1"/>
      <c r="Z908" s="1"/>
    </row>
    <row r="909" spans="1:26" ht="24.75" customHeight="1">
      <c r="A909" s="1"/>
      <c r="B909" s="1"/>
      <c r="C909" s="1"/>
      <c r="D909" s="1"/>
      <c r="E909" s="1"/>
      <c r="F909" s="1"/>
      <c r="G909" s="1"/>
      <c r="H909" s="1"/>
      <c r="I909" s="1"/>
      <c r="J909" s="1"/>
      <c r="K909" s="1"/>
      <c r="L909" s="1"/>
      <c r="M909" s="1"/>
      <c r="N909" s="1"/>
      <c r="O909" s="1"/>
      <c r="P909" s="1"/>
      <c r="Q909" s="1"/>
      <c r="R909" s="1"/>
      <c r="S909" s="1"/>
      <c r="T909" s="1"/>
      <c r="U909" s="2"/>
      <c r="V909" s="1"/>
      <c r="W909" s="1"/>
      <c r="X909" s="1"/>
      <c r="Y909" s="1"/>
      <c r="Z909" s="1"/>
    </row>
    <row r="910" spans="1:26" ht="24.75" customHeight="1">
      <c r="A910" s="1"/>
      <c r="B910" s="1"/>
      <c r="C910" s="1"/>
      <c r="D910" s="1"/>
      <c r="E910" s="1"/>
      <c r="F910" s="1"/>
      <c r="G910" s="1"/>
      <c r="H910" s="1"/>
      <c r="I910" s="1"/>
      <c r="J910" s="1"/>
      <c r="K910" s="1"/>
      <c r="L910" s="1"/>
      <c r="M910" s="1"/>
      <c r="N910" s="1"/>
      <c r="O910" s="1"/>
      <c r="P910" s="1"/>
      <c r="Q910" s="1"/>
      <c r="R910" s="1"/>
      <c r="S910" s="1"/>
      <c r="T910" s="1"/>
      <c r="U910" s="2"/>
      <c r="V910" s="1"/>
      <c r="W910" s="1"/>
      <c r="X910" s="1"/>
      <c r="Y910" s="1"/>
      <c r="Z910" s="1"/>
    </row>
    <row r="911" spans="1:26" ht="24.75" customHeight="1">
      <c r="A911" s="1"/>
      <c r="B911" s="1"/>
      <c r="C911" s="1"/>
      <c r="D911" s="1"/>
      <c r="E911" s="1"/>
      <c r="F911" s="1"/>
      <c r="G911" s="1"/>
      <c r="H911" s="1"/>
      <c r="I911" s="1"/>
      <c r="J911" s="1"/>
      <c r="K911" s="1"/>
      <c r="L911" s="1"/>
      <c r="M911" s="1"/>
      <c r="N911" s="1"/>
      <c r="O911" s="1"/>
      <c r="P911" s="1"/>
      <c r="Q911" s="1"/>
      <c r="R911" s="1"/>
      <c r="S911" s="1"/>
      <c r="T911" s="1"/>
      <c r="U911" s="2"/>
      <c r="V911" s="1"/>
      <c r="W911" s="1"/>
      <c r="X911" s="1"/>
      <c r="Y911" s="1"/>
      <c r="Z911" s="1"/>
    </row>
    <row r="912" spans="1:26" ht="24.75" customHeight="1">
      <c r="A912" s="1"/>
      <c r="B912" s="1"/>
      <c r="C912" s="1"/>
      <c r="D912" s="1"/>
      <c r="E912" s="1"/>
      <c r="F912" s="1"/>
      <c r="G912" s="1"/>
      <c r="H912" s="1"/>
      <c r="I912" s="1"/>
      <c r="J912" s="1"/>
      <c r="K912" s="1"/>
      <c r="L912" s="1"/>
      <c r="M912" s="1"/>
      <c r="N912" s="1"/>
      <c r="O912" s="1"/>
      <c r="P912" s="1"/>
      <c r="Q912" s="1"/>
      <c r="R912" s="1"/>
      <c r="S912" s="1"/>
      <c r="T912" s="1"/>
      <c r="U912" s="2"/>
      <c r="V912" s="1"/>
      <c r="W912" s="1"/>
      <c r="X912" s="1"/>
      <c r="Y912" s="1"/>
      <c r="Z912" s="1"/>
    </row>
    <row r="913" spans="1:26" ht="24.75" customHeight="1">
      <c r="A913" s="1"/>
      <c r="B913" s="1"/>
      <c r="C913" s="1"/>
      <c r="D913" s="1"/>
      <c r="E913" s="1"/>
      <c r="F913" s="1"/>
      <c r="G913" s="1"/>
      <c r="H913" s="1"/>
      <c r="I913" s="1"/>
      <c r="J913" s="1"/>
      <c r="K913" s="1"/>
      <c r="L913" s="1"/>
      <c r="M913" s="1"/>
      <c r="N913" s="1"/>
      <c r="O913" s="1"/>
      <c r="P913" s="1"/>
      <c r="Q913" s="1"/>
      <c r="R913" s="1"/>
      <c r="S913" s="1"/>
      <c r="T913" s="1"/>
      <c r="U913" s="2"/>
      <c r="V913" s="1"/>
      <c r="W913" s="1"/>
      <c r="X913" s="1"/>
      <c r="Y913" s="1"/>
      <c r="Z913" s="1"/>
    </row>
    <row r="914" spans="1:26" ht="24.75" customHeight="1">
      <c r="A914" s="1"/>
      <c r="B914" s="1"/>
      <c r="C914" s="1"/>
      <c r="D914" s="1"/>
      <c r="E914" s="1"/>
      <c r="F914" s="1"/>
      <c r="G914" s="1"/>
      <c r="H914" s="1"/>
      <c r="I914" s="1"/>
      <c r="J914" s="1"/>
      <c r="K914" s="1"/>
      <c r="L914" s="1"/>
      <c r="M914" s="1"/>
      <c r="N914" s="1"/>
      <c r="O914" s="1"/>
      <c r="P914" s="1"/>
      <c r="Q914" s="1"/>
      <c r="R914" s="1"/>
      <c r="S914" s="1"/>
      <c r="T914" s="1"/>
      <c r="U914" s="2"/>
      <c r="V914" s="1"/>
      <c r="W914" s="1"/>
      <c r="X914" s="1"/>
      <c r="Y914" s="1"/>
      <c r="Z914" s="1"/>
    </row>
    <row r="915" spans="1:26" ht="24.75" customHeight="1">
      <c r="A915" s="1"/>
      <c r="B915" s="1"/>
      <c r="C915" s="1"/>
      <c r="D915" s="1"/>
      <c r="E915" s="1"/>
      <c r="F915" s="1"/>
      <c r="G915" s="1"/>
      <c r="H915" s="1"/>
      <c r="I915" s="1"/>
      <c r="J915" s="1"/>
      <c r="K915" s="1"/>
      <c r="L915" s="1"/>
      <c r="M915" s="1"/>
      <c r="N915" s="1"/>
      <c r="O915" s="1"/>
      <c r="P915" s="1"/>
      <c r="Q915" s="1"/>
      <c r="R915" s="1"/>
      <c r="S915" s="1"/>
      <c r="T915" s="1"/>
      <c r="U915" s="2"/>
      <c r="V915" s="1"/>
      <c r="W915" s="1"/>
      <c r="X915" s="1"/>
      <c r="Y915" s="1"/>
      <c r="Z915" s="1"/>
    </row>
    <row r="916" spans="1:26" ht="24.75" customHeight="1">
      <c r="A916" s="1"/>
      <c r="B916" s="1"/>
      <c r="C916" s="1"/>
      <c r="D916" s="1"/>
      <c r="E916" s="1"/>
      <c r="F916" s="1"/>
      <c r="G916" s="1"/>
      <c r="H916" s="1"/>
      <c r="I916" s="1"/>
      <c r="J916" s="1"/>
      <c r="K916" s="1"/>
      <c r="L916" s="1"/>
      <c r="M916" s="1"/>
      <c r="N916" s="1"/>
      <c r="O916" s="1"/>
      <c r="P916" s="1"/>
      <c r="Q916" s="1"/>
      <c r="R916" s="1"/>
      <c r="S916" s="1"/>
      <c r="T916" s="1"/>
      <c r="U916" s="2"/>
      <c r="V916" s="1"/>
      <c r="W916" s="1"/>
      <c r="X916" s="1"/>
      <c r="Y916" s="1"/>
      <c r="Z916" s="1"/>
    </row>
    <row r="917" spans="1:26" ht="24.75" customHeight="1">
      <c r="A917" s="1"/>
      <c r="B917" s="1"/>
      <c r="C917" s="1"/>
      <c r="D917" s="1"/>
      <c r="E917" s="1"/>
      <c r="F917" s="1"/>
      <c r="G917" s="1"/>
      <c r="H917" s="1"/>
      <c r="I917" s="1"/>
      <c r="J917" s="1"/>
      <c r="K917" s="1"/>
      <c r="L917" s="1"/>
      <c r="M917" s="1"/>
      <c r="N917" s="1"/>
      <c r="O917" s="1"/>
      <c r="P917" s="1"/>
      <c r="Q917" s="1"/>
      <c r="R917" s="1"/>
      <c r="S917" s="1"/>
      <c r="T917" s="1"/>
      <c r="U917" s="2"/>
      <c r="V917" s="1"/>
      <c r="W917" s="1"/>
      <c r="X917" s="1"/>
      <c r="Y917" s="1"/>
      <c r="Z917" s="1"/>
    </row>
    <row r="918" spans="1:26" ht="24.75" customHeight="1">
      <c r="A918" s="1"/>
      <c r="B918" s="1"/>
      <c r="C918" s="1"/>
      <c r="D918" s="1"/>
      <c r="E918" s="1"/>
      <c r="F918" s="1"/>
      <c r="G918" s="1"/>
      <c r="H918" s="1"/>
      <c r="I918" s="1"/>
      <c r="J918" s="1"/>
      <c r="K918" s="1"/>
      <c r="L918" s="1"/>
      <c r="M918" s="1"/>
      <c r="N918" s="1"/>
      <c r="O918" s="1"/>
      <c r="P918" s="1"/>
      <c r="Q918" s="1"/>
      <c r="R918" s="1"/>
      <c r="S918" s="1"/>
      <c r="T918" s="1"/>
      <c r="U918" s="2"/>
      <c r="V918" s="1"/>
      <c r="W918" s="1"/>
      <c r="X918" s="1"/>
      <c r="Y918" s="1"/>
      <c r="Z918" s="1"/>
    </row>
    <row r="919" spans="1:26" ht="24.75" customHeight="1">
      <c r="A919" s="1"/>
      <c r="B919" s="1"/>
      <c r="C919" s="1"/>
      <c r="D919" s="1"/>
      <c r="E919" s="1"/>
      <c r="F919" s="1"/>
      <c r="G919" s="1"/>
      <c r="H919" s="1"/>
      <c r="I919" s="1"/>
      <c r="J919" s="1"/>
      <c r="K919" s="1"/>
      <c r="L919" s="1"/>
      <c r="M919" s="1"/>
      <c r="N919" s="1"/>
      <c r="O919" s="1"/>
      <c r="P919" s="1"/>
      <c r="Q919" s="1"/>
      <c r="R919" s="1"/>
      <c r="S919" s="1"/>
      <c r="T919" s="1"/>
      <c r="U919" s="2"/>
      <c r="V919" s="1"/>
      <c r="W919" s="1"/>
      <c r="X919" s="1"/>
      <c r="Y919" s="1"/>
      <c r="Z919" s="1"/>
    </row>
    <row r="920" spans="1:26" ht="24.75" customHeight="1">
      <c r="A920" s="1"/>
      <c r="B920" s="1"/>
      <c r="C920" s="1"/>
      <c r="D920" s="1"/>
      <c r="E920" s="1"/>
      <c r="F920" s="1"/>
      <c r="G920" s="1"/>
      <c r="H920" s="1"/>
      <c r="I920" s="1"/>
      <c r="J920" s="1"/>
      <c r="K920" s="1"/>
      <c r="L920" s="1"/>
      <c r="M920" s="1"/>
      <c r="N920" s="1"/>
      <c r="O920" s="1"/>
      <c r="P920" s="1"/>
      <c r="Q920" s="1"/>
      <c r="R920" s="1"/>
      <c r="S920" s="1"/>
      <c r="T920" s="1"/>
      <c r="U920" s="2"/>
      <c r="V920" s="1"/>
      <c r="W920" s="1"/>
      <c r="X920" s="1"/>
      <c r="Y920" s="1"/>
      <c r="Z920" s="1"/>
    </row>
    <row r="921" spans="1:26" ht="24.75" customHeight="1">
      <c r="A921" s="1"/>
      <c r="B921" s="1"/>
      <c r="C921" s="1"/>
      <c r="D921" s="1"/>
      <c r="E921" s="1"/>
      <c r="F921" s="1"/>
      <c r="G921" s="1"/>
      <c r="H921" s="1"/>
      <c r="I921" s="1"/>
      <c r="J921" s="1"/>
      <c r="K921" s="1"/>
      <c r="L921" s="1"/>
      <c r="M921" s="1"/>
      <c r="N921" s="1"/>
      <c r="O921" s="1"/>
      <c r="P921" s="1"/>
      <c r="Q921" s="1"/>
      <c r="R921" s="1"/>
      <c r="S921" s="1"/>
      <c r="T921" s="1"/>
      <c r="U921" s="2"/>
      <c r="V921" s="1"/>
      <c r="W921" s="1"/>
      <c r="X921" s="1"/>
      <c r="Y921" s="1"/>
      <c r="Z921" s="1"/>
    </row>
    <row r="922" spans="1:26" ht="24.75" customHeight="1">
      <c r="A922" s="1"/>
      <c r="B922" s="1"/>
      <c r="C922" s="1"/>
      <c r="D922" s="1"/>
      <c r="E922" s="1"/>
      <c r="F922" s="1"/>
      <c r="G922" s="1"/>
      <c r="H922" s="1"/>
      <c r="I922" s="1"/>
      <c r="J922" s="1"/>
      <c r="K922" s="1"/>
      <c r="L922" s="1"/>
      <c r="M922" s="1"/>
      <c r="N922" s="1"/>
      <c r="O922" s="1"/>
      <c r="P922" s="1"/>
      <c r="Q922" s="1"/>
      <c r="R922" s="1"/>
      <c r="S922" s="1"/>
      <c r="T922" s="1"/>
      <c r="U922" s="2"/>
      <c r="V922" s="1"/>
      <c r="W922" s="1"/>
      <c r="X922" s="1"/>
      <c r="Y922" s="1"/>
      <c r="Z922" s="1"/>
    </row>
    <row r="923" spans="1:26" ht="24.75" customHeight="1">
      <c r="A923" s="1"/>
      <c r="B923" s="1"/>
      <c r="C923" s="1"/>
      <c r="D923" s="1"/>
      <c r="E923" s="1"/>
      <c r="F923" s="1"/>
      <c r="G923" s="1"/>
      <c r="H923" s="1"/>
      <c r="I923" s="1"/>
      <c r="J923" s="1"/>
      <c r="K923" s="1"/>
      <c r="L923" s="1"/>
      <c r="M923" s="1"/>
      <c r="N923" s="1"/>
      <c r="O923" s="1"/>
      <c r="P923" s="1"/>
      <c r="Q923" s="1"/>
      <c r="R923" s="1"/>
      <c r="S923" s="1"/>
      <c r="T923" s="1"/>
      <c r="U923" s="2"/>
      <c r="V923" s="1"/>
      <c r="W923" s="1"/>
      <c r="X923" s="1"/>
      <c r="Y923" s="1"/>
      <c r="Z923" s="1"/>
    </row>
    <row r="924" spans="1:26" ht="24.75" customHeight="1">
      <c r="A924" s="1"/>
      <c r="B924" s="1"/>
      <c r="C924" s="1"/>
      <c r="D924" s="1"/>
      <c r="E924" s="1"/>
      <c r="F924" s="1"/>
      <c r="G924" s="1"/>
      <c r="H924" s="1"/>
      <c r="I924" s="1"/>
      <c r="J924" s="1"/>
      <c r="K924" s="1"/>
      <c r="L924" s="1"/>
      <c r="M924" s="1"/>
      <c r="N924" s="1"/>
      <c r="O924" s="1"/>
      <c r="P924" s="1"/>
      <c r="Q924" s="1"/>
      <c r="R924" s="1"/>
      <c r="S924" s="1"/>
      <c r="T924" s="1"/>
      <c r="U924" s="2"/>
      <c r="V924" s="1"/>
      <c r="W924" s="1"/>
      <c r="X924" s="1"/>
      <c r="Y924" s="1"/>
      <c r="Z924" s="1"/>
    </row>
    <row r="925" spans="1:26" ht="24.75" customHeight="1">
      <c r="A925" s="1"/>
      <c r="B925" s="1"/>
      <c r="C925" s="1"/>
      <c r="D925" s="1"/>
      <c r="E925" s="1"/>
      <c r="F925" s="1"/>
      <c r="G925" s="1"/>
      <c r="H925" s="1"/>
      <c r="I925" s="1"/>
      <c r="J925" s="1"/>
      <c r="K925" s="1"/>
      <c r="L925" s="1"/>
      <c r="M925" s="1"/>
      <c r="N925" s="1"/>
      <c r="O925" s="1"/>
      <c r="P925" s="1"/>
      <c r="Q925" s="1"/>
      <c r="R925" s="1"/>
      <c r="S925" s="1"/>
      <c r="T925" s="1"/>
      <c r="U925" s="2"/>
      <c r="V925" s="1"/>
      <c r="W925" s="1"/>
      <c r="X925" s="1"/>
      <c r="Y925" s="1"/>
      <c r="Z925" s="1"/>
    </row>
    <row r="926" spans="1:26" ht="24.75" customHeight="1">
      <c r="A926" s="1"/>
      <c r="B926" s="1"/>
      <c r="C926" s="1"/>
      <c r="D926" s="1"/>
      <c r="E926" s="1"/>
      <c r="F926" s="1"/>
      <c r="G926" s="1"/>
      <c r="H926" s="1"/>
      <c r="I926" s="1"/>
      <c r="J926" s="1"/>
      <c r="K926" s="1"/>
      <c r="L926" s="1"/>
      <c r="M926" s="1"/>
      <c r="N926" s="1"/>
      <c r="O926" s="1"/>
      <c r="P926" s="1"/>
      <c r="Q926" s="1"/>
      <c r="R926" s="1"/>
      <c r="S926" s="1"/>
      <c r="T926" s="1"/>
      <c r="U926" s="2"/>
      <c r="V926" s="1"/>
      <c r="W926" s="1"/>
      <c r="X926" s="1"/>
      <c r="Y926" s="1"/>
      <c r="Z926" s="1"/>
    </row>
    <row r="927" spans="1:26" ht="24.75" customHeight="1">
      <c r="A927" s="1"/>
      <c r="B927" s="1"/>
      <c r="C927" s="1"/>
      <c r="D927" s="1"/>
      <c r="E927" s="1"/>
      <c r="F927" s="1"/>
      <c r="G927" s="1"/>
      <c r="H927" s="1"/>
      <c r="I927" s="1"/>
      <c r="J927" s="1"/>
      <c r="K927" s="1"/>
      <c r="L927" s="1"/>
      <c r="M927" s="1"/>
      <c r="N927" s="1"/>
      <c r="O927" s="1"/>
      <c r="P927" s="1"/>
      <c r="Q927" s="1"/>
      <c r="R927" s="1"/>
      <c r="S927" s="1"/>
      <c r="T927" s="1"/>
      <c r="U927" s="2"/>
      <c r="V927" s="1"/>
      <c r="W927" s="1"/>
      <c r="X927" s="1"/>
      <c r="Y927" s="1"/>
      <c r="Z927" s="1"/>
    </row>
    <row r="928" spans="1:26" ht="24.75" customHeight="1">
      <c r="A928" s="1"/>
      <c r="B928" s="1"/>
      <c r="C928" s="1"/>
      <c r="D928" s="1"/>
      <c r="E928" s="1"/>
      <c r="F928" s="1"/>
      <c r="G928" s="1"/>
      <c r="H928" s="1"/>
      <c r="I928" s="1"/>
      <c r="J928" s="1"/>
      <c r="K928" s="1"/>
      <c r="L928" s="1"/>
      <c r="M928" s="1"/>
      <c r="N928" s="1"/>
      <c r="O928" s="1"/>
      <c r="P928" s="1"/>
      <c r="Q928" s="1"/>
      <c r="R928" s="1"/>
      <c r="S928" s="1"/>
      <c r="T928" s="1"/>
      <c r="U928" s="2"/>
      <c r="V928" s="1"/>
      <c r="W928" s="1"/>
      <c r="X928" s="1"/>
      <c r="Y928" s="1"/>
      <c r="Z928" s="1"/>
    </row>
    <row r="929" spans="1:26" ht="24.75" customHeight="1">
      <c r="A929" s="1"/>
      <c r="B929" s="1"/>
      <c r="C929" s="1"/>
      <c r="D929" s="1"/>
      <c r="E929" s="1"/>
      <c r="F929" s="1"/>
      <c r="G929" s="1"/>
      <c r="H929" s="1"/>
      <c r="I929" s="1"/>
      <c r="J929" s="1"/>
      <c r="K929" s="1"/>
      <c r="L929" s="1"/>
      <c r="M929" s="1"/>
      <c r="N929" s="1"/>
      <c r="O929" s="1"/>
      <c r="P929" s="1"/>
      <c r="Q929" s="1"/>
      <c r="R929" s="1"/>
      <c r="S929" s="1"/>
      <c r="T929" s="1"/>
      <c r="U929" s="2"/>
      <c r="V929" s="1"/>
      <c r="W929" s="1"/>
      <c r="X929" s="1"/>
      <c r="Y929" s="1"/>
      <c r="Z929" s="1"/>
    </row>
    <row r="930" spans="1:26" ht="24.75" customHeight="1">
      <c r="A930" s="1"/>
      <c r="B930" s="1"/>
      <c r="C930" s="1"/>
      <c r="D930" s="1"/>
      <c r="E930" s="1"/>
      <c r="F930" s="1"/>
      <c r="G930" s="1"/>
      <c r="H930" s="1"/>
      <c r="I930" s="1"/>
      <c r="J930" s="1"/>
      <c r="K930" s="1"/>
      <c r="L930" s="1"/>
      <c r="M930" s="1"/>
      <c r="N930" s="1"/>
      <c r="O930" s="1"/>
      <c r="P930" s="1"/>
      <c r="Q930" s="1"/>
      <c r="R930" s="1"/>
      <c r="S930" s="1"/>
      <c r="T930" s="1"/>
      <c r="U930" s="2"/>
      <c r="V930" s="1"/>
      <c r="W930" s="1"/>
      <c r="X930" s="1"/>
      <c r="Y930" s="1"/>
      <c r="Z930" s="1"/>
    </row>
    <row r="931" spans="1:26" ht="24.75" customHeight="1">
      <c r="A931" s="1"/>
      <c r="B931" s="1"/>
      <c r="C931" s="1"/>
      <c r="D931" s="1"/>
      <c r="E931" s="1"/>
      <c r="F931" s="1"/>
      <c r="G931" s="1"/>
      <c r="H931" s="1"/>
      <c r="I931" s="1"/>
      <c r="J931" s="1"/>
      <c r="K931" s="1"/>
      <c r="L931" s="1"/>
      <c r="M931" s="1"/>
      <c r="N931" s="1"/>
      <c r="O931" s="1"/>
      <c r="P931" s="1"/>
      <c r="Q931" s="1"/>
      <c r="R931" s="1"/>
      <c r="S931" s="1"/>
      <c r="T931" s="1"/>
      <c r="U931" s="2"/>
      <c r="V931" s="1"/>
      <c r="W931" s="1"/>
      <c r="X931" s="1"/>
      <c r="Y931" s="1"/>
      <c r="Z931" s="1"/>
    </row>
    <row r="932" spans="1:26" ht="24.75" customHeight="1">
      <c r="A932" s="1"/>
      <c r="B932" s="1"/>
      <c r="C932" s="1"/>
      <c r="D932" s="1"/>
      <c r="E932" s="1"/>
      <c r="F932" s="1"/>
      <c r="G932" s="1"/>
      <c r="H932" s="1"/>
      <c r="I932" s="1"/>
      <c r="J932" s="1"/>
      <c r="K932" s="1"/>
      <c r="L932" s="1"/>
      <c r="M932" s="1"/>
      <c r="N932" s="1"/>
      <c r="O932" s="1"/>
      <c r="P932" s="1"/>
      <c r="Q932" s="1"/>
      <c r="R932" s="1"/>
      <c r="S932" s="1"/>
      <c r="T932" s="1"/>
      <c r="U932" s="2"/>
      <c r="V932" s="1"/>
      <c r="W932" s="1"/>
      <c r="X932" s="1"/>
      <c r="Y932" s="1"/>
      <c r="Z932" s="1"/>
    </row>
    <row r="933" spans="1:26" ht="24.75" customHeight="1">
      <c r="A933" s="1"/>
      <c r="B933" s="1"/>
      <c r="C933" s="1"/>
      <c r="D933" s="1"/>
      <c r="E933" s="1"/>
      <c r="F933" s="1"/>
      <c r="G933" s="1"/>
      <c r="H933" s="1"/>
      <c r="I933" s="1"/>
      <c r="J933" s="1"/>
      <c r="K933" s="1"/>
      <c r="L933" s="1"/>
      <c r="M933" s="1"/>
      <c r="N933" s="1"/>
      <c r="O933" s="1"/>
      <c r="P933" s="1"/>
      <c r="Q933" s="1"/>
      <c r="R933" s="1"/>
      <c r="S933" s="1"/>
      <c r="T933" s="1"/>
      <c r="U933" s="2"/>
      <c r="V933" s="1"/>
      <c r="W933" s="1"/>
      <c r="X933" s="1"/>
      <c r="Y933" s="1"/>
      <c r="Z933" s="1"/>
    </row>
    <row r="934" spans="1:26" ht="24.75" customHeight="1">
      <c r="A934" s="1"/>
      <c r="B934" s="1"/>
      <c r="C934" s="1"/>
      <c r="D934" s="1"/>
      <c r="E934" s="1"/>
      <c r="F934" s="1"/>
      <c r="G934" s="1"/>
      <c r="H934" s="1"/>
      <c r="I934" s="1"/>
      <c r="J934" s="1"/>
      <c r="K934" s="1"/>
      <c r="L934" s="1"/>
      <c r="M934" s="1"/>
      <c r="N934" s="1"/>
      <c r="O934" s="1"/>
      <c r="P934" s="1"/>
      <c r="Q934" s="1"/>
      <c r="R934" s="1"/>
      <c r="S934" s="1"/>
      <c r="T934" s="1"/>
      <c r="U934" s="2"/>
      <c r="V934" s="1"/>
      <c r="W934" s="1"/>
      <c r="X934" s="1"/>
      <c r="Y934" s="1"/>
      <c r="Z934" s="1"/>
    </row>
    <row r="935" spans="1:26" ht="24.75" customHeight="1">
      <c r="A935" s="1"/>
      <c r="B935" s="1"/>
      <c r="C935" s="1"/>
      <c r="D935" s="1"/>
      <c r="E935" s="1"/>
      <c r="F935" s="1"/>
      <c r="G935" s="1"/>
      <c r="H935" s="1"/>
      <c r="I935" s="1"/>
      <c r="J935" s="1"/>
      <c r="K935" s="1"/>
      <c r="L935" s="1"/>
      <c r="M935" s="1"/>
      <c r="N935" s="1"/>
      <c r="O935" s="1"/>
      <c r="P935" s="1"/>
      <c r="Q935" s="1"/>
      <c r="R935" s="1"/>
      <c r="S935" s="1"/>
      <c r="T935" s="1"/>
      <c r="U935" s="2"/>
      <c r="V935" s="1"/>
      <c r="W935" s="1"/>
      <c r="X935" s="1"/>
      <c r="Y935" s="1"/>
      <c r="Z935" s="1"/>
    </row>
    <row r="936" spans="1:26" ht="24.75" customHeight="1">
      <c r="A936" s="1"/>
      <c r="B936" s="1"/>
      <c r="C936" s="1"/>
      <c r="D936" s="1"/>
      <c r="E936" s="1"/>
      <c r="F936" s="1"/>
      <c r="G936" s="1"/>
      <c r="H936" s="1"/>
      <c r="I936" s="1"/>
      <c r="J936" s="1"/>
      <c r="K936" s="1"/>
      <c r="L936" s="1"/>
      <c r="M936" s="1"/>
      <c r="N936" s="1"/>
      <c r="O936" s="1"/>
      <c r="P936" s="1"/>
      <c r="Q936" s="1"/>
      <c r="R936" s="1"/>
      <c r="S936" s="1"/>
      <c r="T936" s="1"/>
      <c r="U936" s="2"/>
      <c r="V936" s="1"/>
      <c r="W936" s="1"/>
      <c r="X936" s="1"/>
      <c r="Y936" s="1"/>
      <c r="Z936" s="1"/>
    </row>
    <row r="937" spans="1:26" ht="24.75" customHeight="1">
      <c r="A937" s="1"/>
      <c r="B937" s="1"/>
      <c r="C937" s="1"/>
      <c r="D937" s="1"/>
      <c r="E937" s="1"/>
      <c r="F937" s="1"/>
      <c r="G937" s="1"/>
      <c r="H937" s="1"/>
      <c r="I937" s="1"/>
      <c r="J937" s="1"/>
      <c r="K937" s="1"/>
      <c r="L937" s="1"/>
      <c r="M937" s="1"/>
      <c r="N937" s="1"/>
      <c r="O937" s="1"/>
      <c r="P937" s="1"/>
      <c r="Q937" s="1"/>
      <c r="R937" s="1"/>
      <c r="S937" s="1"/>
      <c r="T937" s="1"/>
      <c r="U937" s="2"/>
      <c r="V937" s="1"/>
      <c r="W937" s="1"/>
      <c r="X937" s="1"/>
      <c r="Y937" s="1"/>
      <c r="Z937" s="1"/>
    </row>
    <row r="938" spans="1:26" ht="24.75" customHeight="1">
      <c r="A938" s="1"/>
      <c r="B938" s="1"/>
      <c r="C938" s="1"/>
      <c r="D938" s="1"/>
      <c r="E938" s="1"/>
      <c r="F938" s="1"/>
      <c r="G938" s="1"/>
      <c r="H938" s="1"/>
      <c r="I938" s="1"/>
      <c r="J938" s="1"/>
      <c r="K938" s="1"/>
      <c r="L938" s="1"/>
      <c r="M938" s="1"/>
      <c r="N938" s="1"/>
      <c r="O938" s="1"/>
      <c r="P938" s="1"/>
      <c r="Q938" s="1"/>
      <c r="R938" s="1"/>
      <c r="S938" s="1"/>
      <c r="T938" s="1"/>
      <c r="U938" s="2"/>
      <c r="V938" s="1"/>
      <c r="W938" s="1"/>
      <c r="X938" s="1"/>
      <c r="Y938" s="1"/>
      <c r="Z938" s="1"/>
    </row>
    <row r="939" spans="1:26" ht="24.75" customHeight="1">
      <c r="A939" s="1"/>
      <c r="B939" s="1"/>
      <c r="C939" s="1"/>
      <c r="D939" s="1"/>
      <c r="E939" s="1"/>
      <c r="F939" s="1"/>
      <c r="G939" s="1"/>
      <c r="H939" s="1"/>
      <c r="I939" s="1"/>
      <c r="J939" s="1"/>
      <c r="K939" s="1"/>
      <c r="L939" s="1"/>
      <c r="M939" s="1"/>
      <c r="N939" s="1"/>
      <c r="O939" s="1"/>
      <c r="P939" s="1"/>
      <c r="Q939" s="1"/>
      <c r="R939" s="1"/>
      <c r="S939" s="1"/>
      <c r="T939" s="1"/>
      <c r="U939" s="2"/>
      <c r="V939" s="1"/>
      <c r="W939" s="1"/>
      <c r="X939" s="1"/>
      <c r="Y939" s="1"/>
      <c r="Z939" s="1"/>
    </row>
    <row r="940" spans="1:26" ht="24.75" customHeight="1">
      <c r="A940" s="1"/>
      <c r="B940" s="1"/>
      <c r="C940" s="1"/>
      <c r="D940" s="1"/>
      <c r="E940" s="1"/>
      <c r="F940" s="1"/>
      <c r="G940" s="1"/>
      <c r="H940" s="1"/>
      <c r="I940" s="1"/>
      <c r="J940" s="1"/>
      <c r="K940" s="1"/>
      <c r="L940" s="1"/>
      <c r="M940" s="1"/>
      <c r="N940" s="1"/>
      <c r="O940" s="1"/>
      <c r="P940" s="1"/>
      <c r="Q940" s="1"/>
      <c r="R940" s="1"/>
      <c r="S940" s="1"/>
      <c r="T940" s="1"/>
      <c r="U940" s="2"/>
      <c r="V940" s="1"/>
      <c r="W940" s="1"/>
      <c r="X940" s="1"/>
      <c r="Y940" s="1"/>
      <c r="Z940" s="1"/>
    </row>
    <row r="941" spans="1:26" ht="24.75" customHeight="1">
      <c r="A941" s="1"/>
      <c r="B941" s="1"/>
      <c r="C941" s="1"/>
      <c r="D941" s="1"/>
      <c r="E941" s="1"/>
      <c r="F941" s="1"/>
      <c r="G941" s="1"/>
      <c r="H941" s="1"/>
      <c r="I941" s="1"/>
      <c r="J941" s="1"/>
      <c r="K941" s="1"/>
      <c r="L941" s="1"/>
      <c r="M941" s="1"/>
      <c r="N941" s="1"/>
      <c r="O941" s="1"/>
      <c r="P941" s="1"/>
      <c r="Q941" s="1"/>
      <c r="R941" s="1"/>
      <c r="S941" s="1"/>
      <c r="T941" s="1"/>
      <c r="U941" s="2"/>
      <c r="V941" s="1"/>
      <c r="W941" s="1"/>
      <c r="X941" s="1"/>
      <c r="Y941" s="1"/>
      <c r="Z941" s="1"/>
    </row>
    <row r="942" spans="1:26" ht="24.75" customHeight="1">
      <c r="A942" s="1"/>
      <c r="B942" s="1"/>
      <c r="C942" s="1"/>
      <c r="D942" s="1"/>
      <c r="E942" s="1"/>
      <c r="F942" s="1"/>
      <c r="G942" s="1"/>
      <c r="H942" s="1"/>
      <c r="I942" s="1"/>
      <c r="J942" s="1"/>
      <c r="K942" s="1"/>
      <c r="L942" s="1"/>
      <c r="M942" s="1"/>
      <c r="N942" s="1"/>
      <c r="O942" s="1"/>
      <c r="P942" s="1"/>
      <c r="Q942" s="1"/>
      <c r="R942" s="1"/>
      <c r="S942" s="1"/>
      <c r="T942" s="1"/>
      <c r="U942" s="2"/>
      <c r="V942" s="1"/>
      <c r="W942" s="1"/>
      <c r="X942" s="1"/>
      <c r="Y942" s="1"/>
      <c r="Z942" s="1"/>
    </row>
    <row r="943" spans="1:26" ht="24.75" customHeight="1">
      <c r="A943" s="1"/>
      <c r="B943" s="1"/>
      <c r="C943" s="1"/>
      <c r="D943" s="1"/>
      <c r="E943" s="1"/>
      <c r="F943" s="1"/>
      <c r="G943" s="1"/>
      <c r="H943" s="1"/>
      <c r="I943" s="1"/>
      <c r="J943" s="1"/>
      <c r="K943" s="1"/>
      <c r="L943" s="1"/>
      <c r="M943" s="1"/>
      <c r="N943" s="1"/>
      <c r="O943" s="1"/>
      <c r="P943" s="1"/>
      <c r="Q943" s="1"/>
      <c r="R943" s="1"/>
      <c r="S943" s="1"/>
      <c r="T943" s="1"/>
      <c r="U943" s="2"/>
      <c r="V943" s="1"/>
      <c r="W943" s="1"/>
      <c r="X943" s="1"/>
      <c r="Y943" s="1"/>
      <c r="Z943" s="1"/>
    </row>
    <row r="944" spans="1:26" ht="24.75" customHeight="1">
      <c r="A944" s="1"/>
      <c r="B944" s="1"/>
      <c r="C944" s="1"/>
      <c r="D944" s="1"/>
      <c r="E944" s="1"/>
      <c r="F944" s="1"/>
      <c r="G944" s="1"/>
      <c r="H944" s="1"/>
      <c r="I944" s="1"/>
      <c r="J944" s="1"/>
      <c r="K944" s="1"/>
      <c r="L944" s="1"/>
      <c r="M944" s="1"/>
      <c r="N944" s="1"/>
      <c r="O944" s="1"/>
      <c r="P944" s="1"/>
      <c r="Q944" s="1"/>
      <c r="R944" s="1"/>
      <c r="S944" s="1"/>
      <c r="T944" s="1"/>
      <c r="U944" s="2"/>
      <c r="V944" s="1"/>
      <c r="W944" s="1"/>
      <c r="X944" s="1"/>
      <c r="Y944" s="1"/>
      <c r="Z944" s="1"/>
    </row>
    <row r="945" spans="1:26" ht="24.75" customHeight="1">
      <c r="A945" s="1"/>
      <c r="B945" s="1"/>
      <c r="C945" s="1"/>
      <c r="D945" s="1"/>
      <c r="E945" s="1"/>
      <c r="F945" s="1"/>
      <c r="G945" s="1"/>
      <c r="H945" s="1"/>
      <c r="I945" s="1"/>
      <c r="J945" s="1"/>
      <c r="K945" s="1"/>
      <c r="L945" s="1"/>
      <c r="M945" s="1"/>
      <c r="N945" s="1"/>
      <c r="O945" s="1"/>
      <c r="P945" s="1"/>
      <c r="Q945" s="1"/>
      <c r="R945" s="1"/>
      <c r="S945" s="1"/>
      <c r="T945" s="1"/>
      <c r="U945" s="2"/>
      <c r="V945" s="1"/>
      <c r="W945" s="1"/>
      <c r="X945" s="1"/>
      <c r="Y945" s="1"/>
      <c r="Z945" s="1"/>
    </row>
    <row r="946" spans="1:26" ht="24.75" customHeight="1">
      <c r="A946" s="1"/>
      <c r="B946" s="1"/>
      <c r="C946" s="1"/>
      <c r="D946" s="1"/>
      <c r="E946" s="1"/>
      <c r="F946" s="1"/>
      <c r="G946" s="1"/>
      <c r="H946" s="1"/>
      <c r="I946" s="1"/>
      <c r="J946" s="1"/>
      <c r="K946" s="1"/>
      <c r="L946" s="1"/>
      <c r="M946" s="1"/>
      <c r="N946" s="1"/>
      <c r="O946" s="1"/>
      <c r="P946" s="1"/>
      <c r="Q946" s="1"/>
      <c r="R946" s="1"/>
      <c r="S946" s="1"/>
      <c r="T946" s="1"/>
      <c r="U946" s="2"/>
      <c r="V946" s="1"/>
      <c r="W946" s="1"/>
      <c r="X946" s="1"/>
      <c r="Y946" s="1"/>
      <c r="Z946" s="1"/>
    </row>
    <row r="947" spans="1:26" ht="24.75" customHeight="1">
      <c r="A947" s="1"/>
      <c r="B947" s="1"/>
      <c r="C947" s="1"/>
      <c r="D947" s="1"/>
      <c r="E947" s="1"/>
      <c r="F947" s="1"/>
      <c r="G947" s="1"/>
      <c r="H947" s="1"/>
      <c r="I947" s="1"/>
      <c r="J947" s="1"/>
      <c r="K947" s="1"/>
      <c r="L947" s="1"/>
      <c r="M947" s="1"/>
      <c r="N947" s="1"/>
      <c r="O947" s="1"/>
      <c r="P947" s="1"/>
      <c r="Q947" s="1"/>
      <c r="R947" s="1"/>
      <c r="S947" s="1"/>
      <c r="T947" s="1"/>
      <c r="U947" s="2"/>
      <c r="V947" s="1"/>
      <c r="W947" s="1"/>
      <c r="X947" s="1"/>
      <c r="Y947" s="1"/>
      <c r="Z947" s="1"/>
    </row>
    <row r="948" spans="1:26" ht="24.75" customHeight="1">
      <c r="A948" s="1"/>
      <c r="B948" s="1"/>
      <c r="C948" s="1"/>
      <c r="D948" s="1"/>
      <c r="E948" s="1"/>
      <c r="F948" s="1"/>
      <c r="G948" s="1"/>
      <c r="H948" s="1"/>
      <c r="I948" s="1"/>
      <c r="J948" s="1"/>
      <c r="K948" s="1"/>
      <c r="L948" s="1"/>
      <c r="M948" s="1"/>
      <c r="N948" s="1"/>
      <c r="O948" s="1"/>
      <c r="P948" s="1"/>
      <c r="Q948" s="1"/>
      <c r="R948" s="1"/>
      <c r="S948" s="1"/>
      <c r="T948" s="1"/>
      <c r="U948" s="2"/>
      <c r="V948" s="1"/>
      <c r="W948" s="1"/>
      <c r="X948" s="1"/>
      <c r="Y948" s="1"/>
      <c r="Z948" s="1"/>
    </row>
    <row r="949" spans="1:26" ht="24.75" customHeight="1">
      <c r="A949" s="1"/>
      <c r="B949" s="1"/>
      <c r="C949" s="1"/>
      <c r="D949" s="1"/>
      <c r="E949" s="1"/>
      <c r="F949" s="1"/>
      <c r="G949" s="1"/>
      <c r="H949" s="1"/>
      <c r="I949" s="1"/>
      <c r="J949" s="1"/>
      <c r="K949" s="1"/>
      <c r="L949" s="1"/>
      <c r="M949" s="1"/>
      <c r="N949" s="1"/>
      <c r="O949" s="1"/>
      <c r="P949" s="1"/>
      <c r="Q949" s="1"/>
      <c r="R949" s="1"/>
      <c r="S949" s="1"/>
      <c r="T949" s="1"/>
      <c r="U949" s="2"/>
      <c r="V949" s="1"/>
      <c r="W949" s="1"/>
      <c r="X949" s="1"/>
      <c r="Y949" s="1"/>
      <c r="Z949" s="1"/>
    </row>
    <row r="950" spans="1:26" ht="24.75" customHeight="1">
      <c r="A950" s="1"/>
      <c r="B950" s="1"/>
      <c r="C950" s="1"/>
      <c r="D950" s="1"/>
      <c r="E950" s="1"/>
      <c r="F950" s="1"/>
      <c r="G950" s="1"/>
      <c r="H950" s="1"/>
      <c r="I950" s="1"/>
      <c r="J950" s="1"/>
      <c r="K950" s="1"/>
      <c r="L950" s="1"/>
      <c r="M950" s="1"/>
      <c r="N950" s="1"/>
      <c r="O950" s="1"/>
      <c r="P950" s="1"/>
      <c r="Q950" s="1"/>
      <c r="R950" s="1"/>
      <c r="S950" s="1"/>
      <c r="T950" s="1"/>
      <c r="U950" s="2"/>
      <c r="V950" s="1"/>
      <c r="W950" s="1"/>
      <c r="X950" s="1"/>
      <c r="Y950" s="1"/>
      <c r="Z950" s="1"/>
    </row>
    <row r="951" spans="1:26" ht="24.75" customHeight="1">
      <c r="A951" s="1"/>
      <c r="B951" s="1"/>
      <c r="C951" s="1"/>
      <c r="D951" s="1"/>
      <c r="E951" s="1"/>
      <c r="F951" s="1"/>
      <c r="G951" s="1"/>
      <c r="H951" s="1"/>
      <c r="I951" s="1"/>
      <c r="J951" s="1"/>
      <c r="K951" s="1"/>
      <c r="L951" s="1"/>
      <c r="M951" s="1"/>
      <c r="N951" s="1"/>
      <c r="O951" s="1"/>
      <c r="P951" s="1"/>
      <c r="Q951" s="1"/>
      <c r="R951" s="1"/>
      <c r="S951" s="1"/>
      <c r="T951" s="1"/>
      <c r="U951" s="2"/>
      <c r="V951" s="1"/>
      <c r="W951" s="1"/>
      <c r="X951" s="1"/>
      <c r="Y951" s="1"/>
      <c r="Z951" s="1"/>
    </row>
    <row r="952" spans="1:26" ht="24.75" customHeight="1">
      <c r="A952" s="1"/>
      <c r="B952" s="1"/>
      <c r="C952" s="1"/>
      <c r="D952" s="1"/>
      <c r="E952" s="1"/>
      <c r="F952" s="1"/>
      <c r="G952" s="1"/>
      <c r="H952" s="1"/>
      <c r="I952" s="1"/>
      <c r="J952" s="1"/>
      <c r="K952" s="1"/>
      <c r="L952" s="1"/>
      <c r="M952" s="1"/>
      <c r="N952" s="1"/>
      <c r="O952" s="1"/>
      <c r="P952" s="1"/>
      <c r="Q952" s="1"/>
      <c r="R952" s="1"/>
      <c r="S952" s="1"/>
      <c r="T952" s="1"/>
      <c r="U952" s="2"/>
      <c r="V952" s="1"/>
      <c r="W952" s="1"/>
      <c r="X952" s="1"/>
      <c r="Y952" s="1"/>
      <c r="Z952" s="1"/>
    </row>
    <row r="953" spans="1:26" ht="24.75" customHeight="1">
      <c r="A953" s="1"/>
      <c r="B953" s="1"/>
      <c r="C953" s="1"/>
      <c r="D953" s="1"/>
      <c r="E953" s="1"/>
      <c r="F953" s="1"/>
      <c r="G953" s="1"/>
      <c r="H953" s="1"/>
      <c r="I953" s="1"/>
      <c r="J953" s="1"/>
      <c r="K953" s="1"/>
      <c r="L953" s="1"/>
      <c r="M953" s="1"/>
      <c r="N953" s="1"/>
      <c r="O953" s="1"/>
      <c r="P953" s="1"/>
      <c r="Q953" s="1"/>
      <c r="R953" s="1"/>
      <c r="S953" s="1"/>
      <c r="T953" s="1"/>
      <c r="U953" s="2"/>
      <c r="V953" s="1"/>
      <c r="W953" s="1"/>
      <c r="X953" s="1"/>
      <c r="Y953" s="1"/>
      <c r="Z953" s="1"/>
    </row>
    <row r="954" spans="1:26" ht="24.75" customHeight="1">
      <c r="A954" s="1"/>
      <c r="B954" s="1"/>
      <c r="C954" s="1"/>
      <c r="D954" s="1"/>
      <c r="E954" s="1"/>
      <c r="F954" s="1"/>
      <c r="G954" s="1"/>
      <c r="H954" s="1"/>
      <c r="I954" s="1"/>
      <c r="J954" s="1"/>
      <c r="K954" s="1"/>
      <c r="L954" s="1"/>
      <c r="M954" s="1"/>
      <c r="N954" s="1"/>
      <c r="O954" s="1"/>
      <c r="P954" s="1"/>
      <c r="Q954" s="1"/>
      <c r="R954" s="1"/>
      <c r="S954" s="1"/>
      <c r="T954" s="1"/>
      <c r="U954" s="2"/>
      <c r="V954" s="1"/>
      <c r="W954" s="1"/>
      <c r="X954" s="1"/>
      <c r="Y954" s="1"/>
      <c r="Z954" s="1"/>
    </row>
    <row r="955" spans="1:26" ht="24.75" customHeight="1">
      <c r="A955" s="1"/>
      <c r="B955" s="1"/>
      <c r="C955" s="1"/>
      <c r="D955" s="1"/>
      <c r="E955" s="1"/>
      <c r="F955" s="1"/>
      <c r="G955" s="1"/>
      <c r="H955" s="1"/>
      <c r="I955" s="1"/>
      <c r="J955" s="1"/>
      <c r="K955" s="1"/>
      <c r="L955" s="1"/>
      <c r="M955" s="1"/>
      <c r="N955" s="1"/>
      <c r="O955" s="1"/>
      <c r="P955" s="1"/>
      <c r="Q955" s="1"/>
      <c r="R955" s="1"/>
      <c r="S955" s="1"/>
      <c r="T955" s="1"/>
      <c r="U955" s="2"/>
      <c r="V955" s="1"/>
      <c r="W955" s="1"/>
      <c r="X955" s="1"/>
      <c r="Y955" s="1"/>
      <c r="Z955" s="1"/>
    </row>
    <row r="956" spans="1:26" ht="24.75" customHeight="1">
      <c r="A956" s="1"/>
      <c r="B956" s="1"/>
      <c r="C956" s="1"/>
      <c r="D956" s="1"/>
      <c r="E956" s="1"/>
      <c r="F956" s="1"/>
      <c r="G956" s="1"/>
      <c r="H956" s="1"/>
      <c r="I956" s="1"/>
      <c r="J956" s="1"/>
      <c r="K956" s="1"/>
      <c r="L956" s="1"/>
      <c r="M956" s="1"/>
      <c r="N956" s="1"/>
      <c r="O956" s="1"/>
      <c r="P956" s="1"/>
      <c r="Q956" s="1"/>
      <c r="R956" s="1"/>
      <c r="S956" s="1"/>
      <c r="T956" s="1"/>
      <c r="U956" s="2"/>
      <c r="V956" s="1"/>
      <c r="W956" s="1"/>
      <c r="X956" s="1"/>
      <c r="Y956" s="1"/>
      <c r="Z956" s="1"/>
    </row>
    <row r="957" spans="1:26" ht="24.75" customHeight="1">
      <c r="A957" s="1"/>
      <c r="B957" s="1"/>
      <c r="C957" s="1"/>
      <c r="D957" s="1"/>
      <c r="E957" s="1"/>
      <c r="F957" s="1"/>
      <c r="G957" s="1"/>
      <c r="H957" s="1"/>
      <c r="I957" s="1"/>
      <c r="J957" s="1"/>
      <c r="K957" s="1"/>
      <c r="L957" s="1"/>
      <c r="M957" s="1"/>
      <c r="N957" s="1"/>
      <c r="O957" s="1"/>
      <c r="P957" s="1"/>
      <c r="Q957" s="1"/>
      <c r="R957" s="1"/>
      <c r="S957" s="1"/>
      <c r="T957" s="1"/>
      <c r="U957" s="2"/>
      <c r="V957" s="1"/>
      <c r="W957" s="1"/>
      <c r="X957" s="1"/>
      <c r="Y957" s="1"/>
      <c r="Z957" s="1"/>
    </row>
    <row r="958" spans="1:26" ht="24.75" customHeight="1">
      <c r="A958" s="1"/>
      <c r="B958" s="1"/>
      <c r="C958" s="1"/>
      <c r="D958" s="1"/>
      <c r="E958" s="1"/>
      <c r="F958" s="1"/>
      <c r="G958" s="1"/>
      <c r="H958" s="1"/>
      <c r="I958" s="1"/>
      <c r="J958" s="1"/>
      <c r="K958" s="1"/>
      <c r="L958" s="1"/>
      <c r="M958" s="1"/>
      <c r="N958" s="1"/>
      <c r="O958" s="1"/>
      <c r="P958" s="1"/>
      <c r="Q958" s="1"/>
      <c r="R958" s="1"/>
      <c r="S958" s="1"/>
      <c r="T958" s="1"/>
      <c r="U958" s="2"/>
      <c r="V958" s="1"/>
      <c r="W958" s="1"/>
      <c r="X958" s="1"/>
      <c r="Y958" s="1"/>
      <c r="Z958" s="1"/>
    </row>
    <row r="959" spans="1:26" ht="24.75" customHeight="1">
      <c r="A959" s="1"/>
      <c r="B959" s="1"/>
      <c r="C959" s="1"/>
      <c r="D959" s="1"/>
      <c r="E959" s="1"/>
      <c r="F959" s="1"/>
      <c r="G959" s="1"/>
      <c r="H959" s="1"/>
      <c r="I959" s="1"/>
      <c r="J959" s="1"/>
      <c r="K959" s="1"/>
      <c r="L959" s="1"/>
      <c r="M959" s="1"/>
      <c r="N959" s="1"/>
      <c r="O959" s="1"/>
      <c r="P959" s="1"/>
      <c r="Q959" s="1"/>
      <c r="R959" s="1"/>
      <c r="S959" s="1"/>
      <c r="T959" s="1"/>
      <c r="U959" s="2"/>
      <c r="V959" s="1"/>
      <c r="W959" s="1"/>
      <c r="X959" s="1"/>
      <c r="Y959" s="1"/>
      <c r="Z959" s="1"/>
    </row>
    <row r="960" spans="1:26" ht="24.75" customHeight="1">
      <c r="A960" s="1"/>
      <c r="B960" s="1"/>
      <c r="C960" s="1"/>
      <c r="D960" s="1"/>
      <c r="E960" s="1"/>
      <c r="F960" s="1"/>
      <c r="G960" s="1"/>
      <c r="H960" s="1"/>
      <c r="I960" s="1"/>
      <c r="J960" s="1"/>
      <c r="K960" s="1"/>
      <c r="L960" s="1"/>
      <c r="M960" s="1"/>
      <c r="N960" s="1"/>
      <c r="O960" s="1"/>
      <c r="P960" s="1"/>
      <c r="Q960" s="1"/>
      <c r="R960" s="1"/>
      <c r="S960" s="1"/>
      <c r="T960" s="1"/>
      <c r="U960" s="2"/>
      <c r="V960" s="1"/>
      <c r="W960" s="1"/>
      <c r="X960" s="1"/>
      <c r="Y960" s="1"/>
      <c r="Z960" s="1"/>
    </row>
    <row r="961" spans="1:26" ht="24.75" customHeight="1">
      <c r="A961" s="1"/>
      <c r="B961" s="1"/>
      <c r="C961" s="1"/>
      <c r="D961" s="1"/>
      <c r="E961" s="1"/>
      <c r="F961" s="1"/>
      <c r="G961" s="1"/>
      <c r="H961" s="1"/>
      <c r="I961" s="1"/>
      <c r="J961" s="1"/>
      <c r="K961" s="1"/>
      <c r="L961" s="1"/>
      <c r="M961" s="1"/>
      <c r="N961" s="1"/>
      <c r="O961" s="1"/>
      <c r="P961" s="1"/>
      <c r="Q961" s="1"/>
      <c r="R961" s="1"/>
      <c r="S961" s="1"/>
      <c r="T961" s="1"/>
      <c r="U961" s="2"/>
      <c r="V961" s="1"/>
      <c r="W961" s="1"/>
      <c r="X961" s="1"/>
      <c r="Y961" s="1"/>
      <c r="Z961" s="1"/>
    </row>
    <row r="962" spans="1:26" ht="24.75" customHeight="1">
      <c r="A962" s="1"/>
      <c r="B962" s="1"/>
      <c r="C962" s="1"/>
      <c r="D962" s="1"/>
      <c r="E962" s="1"/>
      <c r="F962" s="1"/>
      <c r="G962" s="1"/>
      <c r="H962" s="1"/>
      <c r="I962" s="1"/>
      <c r="J962" s="1"/>
      <c r="K962" s="1"/>
      <c r="L962" s="1"/>
      <c r="M962" s="1"/>
      <c r="N962" s="1"/>
      <c r="O962" s="1"/>
      <c r="P962" s="1"/>
      <c r="Q962" s="1"/>
      <c r="R962" s="1"/>
      <c r="S962" s="1"/>
      <c r="T962" s="1"/>
      <c r="U962" s="2"/>
      <c r="V962" s="1"/>
      <c r="W962" s="1"/>
      <c r="X962" s="1"/>
      <c r="Y962" s="1"/>
      <c r="Z962" s="1"/>
    </row>
    <row r="963" spans="1:26" ht="24.75" customHeight="1">
      <c r="A963" s="1"/>
      <c r="B963" s="1"/>
      <c r="C963" s="1"/>
      <c r="D963" s="1"/>
      <c r="E963" s="1"/>
      <c r="F963" s="1"/>
      <c r="G963" s="1"/>
      <c r="H963" s="1"/>
      <c r="I963" s="1"/>
      <c r="J963" s="1"/>
      <c r="K963" s="1"/>
      <c r="L963" s="1"/>
      <c r="M963" s="1"/>
      <c r="N963" s="1"/>
      <c r="O963" s="1"/>
      <c r="P963" s="1"/>
      <c r="Q963" s="1"/>
      <c r="R963" s="1"/>
      <c r="S963" s="1"/>
      <c r="T963" s="1"/>
      <c r="U963" s="2"/>
      <c r="V963" s="1"/>
      <c r="W963" s="1"/>
      <c r="X963" s="1"/>
      <c r="Y963" s="1"/>
      <c r="Z963" s="1"/>
    </row>
    <row r="964" spans="1:26" ht="24.75" customHeight="1">
      <c r="A964" s="1"/>
      <c r="B964" s="1"/>
      <c r="C964" s="1"/>
      <c r="D964" s="1"/>
      <c r="E964" s="1"/>
      <c r="F964" s="1"/>
      <c r="G964" s="1"/>
      <c r="H964" s="1"/>
      <c r="I964" s="1"/>
      <c r="J964" s="1"/>
      <c r="K964" s="1"/>
      <c r="L964" s="1"/>
      <c r="M964" s="1"/>
      <c r="N964" s="1"/>
      <c r="O964" s="1"/>
      <c r="P964" s="1"/>
      <c r="Q964" s="1"/>
      <c r="R964" s="1"/>
      <c r="S964" s="1"/>
      <c r="T964" s="1"/>
      <c r="U964" s="2"/>
      <c r="V964" s="1"/>
      <c r="W964" s="1"/>
      <c r="X964" s="1"/>
      <c r="Y964" s="1"/>
      <c r="Z964" s="1"/>
    </row>
    <row r="965" spans="1:26" ht="24.75" customHeight="1">
      <c r="A965" s="1"/>
      <c r="B965" s="1"/>
      <c r="C965" s="1"/>
      <c r="D965" s="1"/>
      <c r="E965" s="1"/>
      <c r="F965" s="1"/>
      <c r="G965" s="1"/>
      <c r="H965" s="1"/>
      <c r="I965" s="1"/>
      <c r="J965" s="1"/>
      <c r="K965" s="1"/>
      <c r="L965" s="1"/>
      <c r="M965" s="1"/>
      <c r="N965" s="1"/>
      <c r="O965" s="1"/>
      <c r="P965" s="1"/>
      <c r="Q965" s="1"/>
      <c r="R965" s="1"/>
      <c r="S965" s="1"/>
      <c r="T965" s="1"/>
      <c r="U965" s="2"/>
      <c r="V965" s="1"/>
      <c r="W965" s="1"/>
      <c r="X965" s="1"/>
      <c r="Y965" s="1"/>
      <c r="Z965" s="1"/>
    </row>
    <row r="966" spans="1:26" ht="24.75" customHeight="1">
      <c r="A966" s="1"/>
      <c r="B966" s="1"/>
      <c r="C966" s="1"/>
      <c r="D966" s="1"/>
      <c r="E966" s="1"/>
      <c r="F966" s="1"/>
      <c r="G966" s="1"/>
      <c r="H966" s="1"/>
      <c r="I966" s="1"/>
      <c r="J966" s="1"/>
      <c r="K966" s="1"/>
      <c r="L966" s="1"/>
      <c r="M966" s="1"/>
      <c r="N966" s="1"/>
      <c r="O966" s="1"/>
      <c r="P966" s="1"/>
      <c r="Q966" s="1"/>
      <c r="R966" s="1"/>
      <c r="S966" s="1"/>
      <c r="T966" s="1"/>
      <c r="U966" s="2"/>
      <c r="V966" s="1"/>
      <c r="W966" s="1"/>
      <c r="X966" s="1"/>
      <c r="Y966" s="1"/>
      <c r="Z966" s="1"/>
    </row>
    <row r="967" spans="1:26" ht="24.75" customHeight="1">
      <c r="A967" s="1"/>
      <c r="B967" s="1"/>
      <c r="C967" s="1"/>
      <c r="D967" s="1"/>
      <c r="E967" s="1"/>
      <c r="F967" s="1"/>
      <c r="G967" s="1"/>
      <c r="H967" s="1"/>
      <c r="I967" s="1"/>
      <c r="J967" s="1"/>
      <c r="K967" s="1"/>
      <c r="L967" s="1"/>
      <c r="M967" s="1"/>
      <c r="N967" s="1"/>
      <c r="O967" s="1"/>
      <c r="P967" s="1"/>
      <c r="Q967" s="1"/>
      <c r="R967" s="1"/>
      <c r="S967" s="1"/>
      <c r="T967" s="1"/>
      <c r="U967" s="2"/>
      <c r="V967" s="1"/>
      <c r="W967" s="1"/>
      <c r="X967" s="1"/>
      <c r="Y967" s="1"/>
      <c r="Z967" s="1"/>
    </row>
    <row r="968" spans="1:26" ht="24.75" customHeight="1">
      <c r="A968" s="1"/>
      <c r="B968" s="1"/>
      <c r="C968" s="1"/>
      <c r="D968" s="1"/>
      <c r="E968" s="1"/>
      <c r="F968" s="1"/>
      <c r="G968" s="1"/>
      <c r="H968" s="1"/>
      <c r="I968" s="1"/>
      <c r="J968" s="1"/>
      <c r="K968" s="1"/>
      <c r="L968" s="1"/>
      <c r="M968" s="1"/>
      <c r="N968" s="1"/>
      <c r="O968" s="1"/>
      <c r="P968" s="1"/>
      <c r="Q968" s="1"/>
      <c r="R968" s="1"/>
      <c r="S968" s="1"/>
      <c r="T968" s="1"/>
      <c r="U968" s="2"/>
      <c r="V968" s="1"/>
      <c r="W968" s="1"/>
      <c r="X968" s="1"/>
      <c r="Y968" s="1"/>
      <c r="Z968" s="1"/>
    </row>
    <row r="969" spans="1:26" ht="24.75" customHeight="1">
      <c r="A969" s="1"/>
      <c r="B969" s="1"/>
      <c r="C969" s="1"/>
      <c r="D969" s="1"/>
      <c r="E969" s="1"/>
      <c r="F969" s="1"/>
      <c r="G969" s="1"/>
      <c r="H969" s="1"/>
      <c r="I969" s="1"/>
      <c r="J969" s="1"/>
      <c r="K969" s="1"/>
      <c r="L969" s="1"/>
      <c r="M969" s="1"/>
      <c r="N969" s="1"/>
      <c r="O969" s="1"/>
      <c r="P969" s="1"/>
      <c r="Q969" s="1"/>
      <c r="R969" s="1"/>
      <c r="S969" s="1"/>
      <c r="T969" s="1"/>
      <c r="U969" s="2"/>
      <c r="V969" s="1"/>
      <c r="W969" s="1"/>
      <c r="X969" s="1"/>
      <c r="Y969" s="1"/>
      <c r="Z969" s="1"/>
    </row>
    <row r="970" spans="1:26" ht="24.75" customHeight="1">
      <c r="A970" s="1"/>
      <c r="B970" s="1"/>
      <c r="C970" s="1"/>
      <c r="D970" s="1"/>
      <c r="E970" s="1"/>
      <c r="F970" s="1"/>
      <c r="G970" s="1"/>
      <c r="H970" s="1"/>
      <c r="I970" s="1"/>
      <c r="J970" s="1"/>
      <c r="K970" s="1"/>
      <c r="L970" s="1"/>
      <c r="M970" s="1"/>
      <c r="N970" s="1"/>
      <c r="O970" s="1"/>
      <c r="P970" s="1"/>
      <c r="Q970" s="1"/>
      <c r="R970" s="1"/>
      <c r="S970" s="1"/>
      <c r="T970" s="1"/>
      <c r="U970" s="2"/>
      <c r="V970" s="1"/>
      <c r="W970" s="1"/>
      <c r="X970" s="1"/>
      <c r="Y970" s="1"/>
      <c r="Z970" s="1"/>
    </row>
    <row r="971" spans="1:26" ht="24.75" customHeight="1">
      <c r="A971" s="1"/>
      <c r="B971" s="1"/>
      <c r="C971" s="1"/>
      <c r="D971" s="1"/>
      <c r="E971" s="1"/>
      <c r="F971" s="1"/>
      <c r="G971" s="1"/>
      <c r="H971" s="1"/>
      <c r="I971" s="1"/>
      <c r="J971" s="1"/>
      <c r="K971" s="1"/>
      <c r="L971" s="1"/>
      <c r="M971" s="1"/>
      <c r="N971" s="1"/>
      <c r="O971" s="1"/>
      <c r="P971" s="1"/>
      <c r="Q971" s="1"/>
      <c r="R971" s="1"/>
      <c r="S971" s="1"/>
      <c r="T971" s="1"/>
      <c r="U971" s="2"/>
      <c r="V971" s="1"/>
      <c r="W971" s="1"/>
      <c r="X971" s="1"/>
      <c r="Y971" s="1"/>
      <c r="Z971" s="1"/>
    </row>
    <row r="972" spans="1:26" ht="24.75" customHeight="1">
      <c r="A972" s="1"/>
      <c r="B972" s="1"/>
      <c r="C972" s="1"/>
      <c r="D972" s="1"/>
      <c r="E972" s="1"/>
      <c r="F972" s="1"/>
      <c r="G972" s="1"/>
      <c r="H972" s="1"/>
      <c r="I972" s="1"/>
      <c r="J972" s="1"/>
      <c r="K972" s="1"/>
      <c r="L972" s="1"/>
      <c r="M972" s="1"/>
      <c r="N972" s="1"/>
      <c r="O972" s="1"/>
      <c r="P972" s="1"/>
      <c r="Q972" s="1"/>
      <c r="R972" s="1"/>
      <c r="S972" s="1"/>
      <c r="T972" s="1"/>
      <c r="U972" s="2"/>
      <c r="V972" s="1"/>
      <c r="W972" s="1"/>
      <c r="X972" s="1"/>
      <c r="Y972" s="1"/>
      <c r="Z972" s="1"/>
    </row>
    <row r="973" spans="1:26" ht="24.75" customHeight="1">
      <c r="A973" s="1"/>
      <c r="B973" s="1"/>
      <c r="C973" s="1"/>
      <c r="D973" s="1"/>
      <c r="E973" s="1"/>
      <c r="F973" s="1"/>
      <c r="G973" s="1"/>
      <c r="H973" s="1"/>
      <c r="I973" s="1"/>
      <c r="J973" s="1"/>
      <c r="K973" s="1"/>
      <c r="L973" s="1"/>
      <c r="M973" s="1"/>
      <c r="N973" s="1"/>
      <c r="O973" s="1"/>
      <c r="P973" s="1"/>
      <c r="Q973" s="1"/>
      <c r="R973" s="1"/>
      <c r="S973" s="1"/>
      <c r="T973" s="1"/>
      <c r="U973" s="2"/>
      <c r="V973" s="1"/>
      <c r="W973" s="1"/>
      <c r="X973" s="1"/>
      <c r="Y973" s="1"/>
      <c r="Z973" s="1"/>
    </row>
    <row r="974" spans="1:26" ht="24.75" customHeight="1">
      <c r="A974" s="1"/>
      <c r="B974" s="1"/>
      <c r="C974" s="1"/>
      <c r="D974" s="1"/>
      <c r="E974" s="1"/>
      <c r="F974" s="1"/>
      <c r="G974" s="1"/>
      <c r="H974" s="1"/>
      <c r="I974" s="1"/>
      <c r="J974" s="1"/>
      <c r="K974" s="1"/>
      <c r="L974" s="1"/>
      <c r="M974" s="1"/>
      <c r="N974" s="1"/>
      <c r="O974" s="1"/>
      <c r="P974" s="1"/>
      <c r="Q974" s="1"/>
      <c r="R974" s="1"/>
      <c r="S974" s="1"/>
      <c r="T974" s="1"/>
      <c r="U974" s="2"/>
      <c r="V974" s="1"/>
      <c r="W974" s="1"/>
      <c r="X974" s="1"/>
      <c r="Y974" s="1"/>
      <c r="Z974" s="1"/>
    </row>
    <row r="975" spans="1:26" ht="24.75" customHeight="1">
      <c r="A975" s="1"/>
      <c r="B975" s="1"/>
      <c r="C975" s="1"/>
      <c r="D975" s="1"/>
      <c r="E975" s="1"/>
      <c r="F975" s="1"/>
      <c r="G975" s="1"/>
      <c r="H975" s="1"/>
      <c r="I975" s="1"/>
      <c r="J975" s="1"/>
      <c r="K975" s="1"/>
      <c r="L975" s="1"/>
      <c r="M975" s="1"/>
      <c r="N975" s="1"/>
      <c r="O975" s="1"/>
      <c r="P975" s="1"/>
      <c r="Q975" s="1"/>
      <c r="R975" s="1"/>
      <c r="S975" s="1"/>
      <c r="T975" s="1"/>
      <c r="U975" s="2"/>
      <c r="V975" s="1"/>
      <c r="W975" s="1"/>
      <c r="X975" s="1"/>
      <c r="Y975" s="1"/>
      <c r="Z975" s="1"/>
    </row>
    <row r="976" spans="1:26" ht="24.75" customHeight="1">
      <c r="A976" s="1"/>
      <c r="B976" s="1"/>
      <c r="C976" s="1"/>
      <c r="D976" s="1"/>
      <c r="E976" s="1"/>
      <c r="F976" s="1"/>
      <c r="G976" s="1"/>
      <c r="H976" s="1"/>
      <c r="I976" s="1"/>
      <c r="J976" s="1"/>
      <c r="K976" s="1"/>
      <c r="L976" s="1"/>
      <c r="M976" s="1"/>
      <c r="N976" s="1"/>
      <c r="O976" s="1"/>
      <c r="P976" s="1"/>
      <c r="Q976" s="1"/>
      <c r="R976" s="1"/>
      <c r="S976" s="1"/>
      <c r="T976" s="1"/>
      <c r="U976" s="2"/>
      <c r="V976" s="1"/>
      <c r="W976" s="1"/>
      <c r="X976" s="1"/>
      <c r="Y976" s="1"/>
      <c r="Z976" s="1"/>
    </row>
    <row r="977" spans="1:26" ht="24.75" customHeight="1">
      <c r="A977" s="1"/>
      <c r="B977" s="1"/>
      <c r="C977" s="1"/>
      <c r="D977" s="1"/>
      <c r="E977" s="1"/>
      <c r="F977" s="1"/>
      <c r="G977" s="1"/>
      <c r="H977" s="1"/>
      <c r="I977" s="1"/>
      <c r="J977" s="1"/>
      <c r="K977" s="1"/>
      <c r="L977" s="1"/>
      <c r="M977" s="1"/>
      <c r="N977" s="1"/>
      <c r="O977" s="1"/>
      <c r="P977" s="1"/>
      <c r="Q977" s="1"/>
      <c r="R977" s="1"/>
      <c r="S977" s="1"/>
      <c r="T977" s="1"/>
      <c r="U977" s="2"/>
      <c r="V977" s="1"/>
      <c r="W977" s="1"/>
      <c r="X977" s="1"/>
      <c r="Y977" s="1"/>
      <c r="Z977" s="1"/>
    </row>
    <row r="978" spans="1:26" ht="24.75" customHeight="1">
      <c r="A978" s="1"/>
      <c r="B978" s="1"/>
      <c r="C978" s="1"/>
      <c r="D978" s="1"/>
      <c r="E978" s="1"/>
      <c r="F978" s="1"/>
      <c r="G978" s="1"/>
      <c r="H978" s="1"/>
      <c r="I978" s="1"/>
      <c r="J978" s="1"/>
      <c r="K978" s="1"/>
      <c r="L978" s="1"/>
      <c r="M978" s="1"/>
      <c r="N978" s="1"/>
      <c r="O978" s="1"/>
      <c r="P978" s="1"/>
      <c r="Q978" s="1"/>
      <c r="R978" s="1"/>
      <c r="S978" s="1"/>
      <c r="T978" s="1"/>
      <c r="U978" s="2"/>
      <c r="V978" s="1"/>
      <c r="W978" s="1"/>
      <c r="X978" s="1"/>
      <c r="Y978" s="1"/>
      <c r="Z978" s="1"/>
    </row>
    <row r="979" spans="1:26" ht="24.75" customHeight="1">
      <c r="A979" s="1"/>
      <c r="B979" s="1"/>
      <c r="C979" s="1"/>
      <c r="D979" s="1"/>
      <c r="E979" s="1"/>
      <c r="F979" s="1"/>
      <c r="G979" s="1"/>
      <c r="H979" s="1"/>
      <c r="I979" s="1"/>
      <c r="J979" s="1"/>
      <c r="K979" s="1"/>
      <c r="L979" s="1"/>
      <c r="M979" s="1"/>
      <c r="N979" s="1"/>
      <c r="O979" s="1"/>
      <c r="P979" s="1"/>
      <c r="Q979" s="1"/>
      <c r="R979" s="1"/>
      <c r="S979" s="1"/>
      <c r="T979" s="1"/>
      <c r="U979" s="2"/>
      <c r="V979" s="1"/>
      <c r="W979" s="1"/>
      <c r="X979" s="1"/>
      <c r="Y979" s="1"/>
      <c r="Z979" s="1"/>
    </row>
    <row r="980" spans="1:26" ht="24.75" customHeight="1">
      <c r="A980" s="1"/>
      <c r="B980" s="1"/>
      <c r="C980" s="1"/>
      <c r="D980" s="1"/>
      <c r="E980" s="1"/>
      <c r="F980" s="1"/>
      <c r="G980" s="1"/>
      <c r="H980" s="1"/>
      <c r="I980" s="1"/>
      <c r="J980" s="1"/>
      <c r="K980" s="1"/>
      <c r="L980" s="1"/>
      <c r="M980" s="1"/>
      <c r="N980" s="1"/>
      <c r="O980" s="1"/>
      <c r="P980" s="1"/>
      <c r="Q980" s="1"/>
      <c r="R980" s="1"/>
      <c r="S980" s="1"/>
      <c r="T980" s="1"/>
      <c r="U980" s="2"/>
      <c r="V980" s="1"/>
      <c r="W980" s="1"/>
      <c r="X980" s="1"/>
      <c r="Y980" s="1"/>
      <c r="Z980" s="1"/>
    </row>
    <row r="981" spans="1:26" ht="24.75" customHeight="1">
      <c r="A981" s="1"/>
      <c r="B981" s="1"/>
      <c r="C981" s="1"/>
      <c r="D981" s="1"/>
      <c r="E981" s="1"/>
      <c r="F981" s="1"/>
      <c r="G981" s="1"/>
      <c r="H981" s="1"/>
      <c r="I981" s="1"/>
      <c r="J981" s="1"/>
      <c r="K981" s="1"/>
      <c r="L981" s="1"/>
      <c r="M981" s="1"/>
      <c r="N981" s="1"/>
      <c r="O981" s="1"/>
      <c r="P981" s="1"/>
      <c r="Q981" s="1"/>
      <c r="R981" s="1"/>
      <c r="S981" s="1"/>
      <c r="T981" s="1"/>
      <c r="U981" s="2"/>
      <c r="V981" s="1"/>
      <c r="W981" s="1"/>
      <c r="X981" s="1"/>
      <c r="Y981" s="1"/>
      <c r="Z981" s="1"/>
    </row>
    <row r="982" spans="1:26" ht="24.75" customHeight="1">
      <c r="A982" s="1"/>
      <c r="B982" s="1"/>
      <c r="C982" s="1"/>
      <c r="D982" s="1"/>
      <c r="E982" s="1"/>
      <c r="F982" s="1"/>
      <c r="G982" s="1"/>
      <c r="H982" s="1"/>
      <c r="I982" s="1"/>
      <c r="J982" s="1"/>
      <c r="K982" s="1"/>
      <c r="L982" s="1"/>
      <c r="M982" s="1"/>
      <c r="N982" s="1"/>
      <c r="O982" s="1"/>
      <c r="P982" s="1"/>
      <c r="Q982" s="1"/>
      <c r="R982" s="1"/>
      <c r="S982" s="1"/>
      <c r="T982" s="1"/>
      <c r="U982" s="2"/>
      <c r="V982" s="1"/>
      <c r="W982" s="1"/>
      <c r="X982" s="1"/>
      <c r="Y982" s="1"/>
      <c r="Z982" s="1"/>
    </row>
    <row r="983" spans="1:26" ht="24.75" customHeight="1">
      <c r="A983" s="1"/>
      <c r="B983" s="1"/>
      <c r="C983" s="1"/>
      <c r="D983" s="1"/>
      <c r="E983" s="1"/>
      <c r="F983" s="1"/>
      <c r="G983" s="1"/>
      <c r="H983" s="1"/>
      <c r="I983" s="1"/>
      <c r="J983" s="1"/>
      <c r="K983" s="1"/>
      <c r="L983" s="1"/>
      <c r="M983" s="1"/>
      <c r="N983" s="1"/>
      <c r="O983" s="1"/>
      <c r="P983" s="1"/>
      <c r="Q983" s="1"/>
      <c r="R983" s="1"/>
      <c r="S983" s="1"/>
      <c r="T983" s="1"/>
      <c r="U983" s="2"/>
      <c r="V983" s="1"/>
      <c r="W983" s="1"/>
      <c r="X983" s="1"/>
      <c r="Y983" s="1"/>
      <c r="Z983" s="1"/>
    </row>
    <row r="984" spans="1:26" ht="24.75" customHeight="1">
      <c r="A984" s="1"/>
      <c r="B984" s="1"/>
      <c r="C984" s="1"/>
      <c r="D984" s="1"/>
      <c r="E984" s="1"/>
      <c r="F984" s="1"/>
      <c r="G984" s="1"/>
      <c r="H984" s="1"/>
      <c r="I984" s="1"/>
      <c r="J984" s="1"/>
      <c r="K984" s="1"/>
      <c r="L984" s="1"/>
      <c r="M984" s="1"/>
      <c r="N984" s="1"/>
      <c r="O984" s="1"/>
      <c r="P984" s="1"/>
      <c r="Q984" s="1"/>
      <c r="R984" s="1"/>
      <c r="S984" s="1"/>
      <c r="T984" s="1"/>
      <c r="U984" s="2"/>
      <c r="V984" s="1"/>
      <c r="W984" s="1"/>
      <c r="X984" s="1"/>
      <c r="Y984" s="1"/>
      <c r="Z984" s="1"/>
    </row>
    <row r="985" spans="1:26" ht="24.75" customHeight="1">
      <c r="A985" s="1"/>
      <c r="B985" s="1"/>
      <c r="C985" s="1"/>
      <c r="D985" s="1"/>
      <c r="E985" s="1"/>
      <c r="F985" s="1"/>
      <c r="G985" s="1"/>
      <c r="H985" s="1"/>
      <c r="I985" s="1"/>
      <c r="J985" s="1"/>
      <c r="K985" s="1"/>
      <c r="L985" s="1"/>
      <c r="M985" s="1"/>
      <c r="N985" s="1"/>
      <c r="O985" s="1"/>
      <c r="P985" s="1"/>
      <c r="Q985" s="1"/>
      <c r="R985" s="1"/>
      <c r="S985" s="1"/>
      <c r="T985" s="1"/>
      <c r="U985" s="2"/>
      <c r="V985" s="1"/>
      <c r="W985" s="1"/>
      <c r="X985" s="1"/>
      <c r="Y985" s="1"/>
      <c r="Z985" s="1"/>
    </row>
    <row r="986" spans="1:26" ht="24.75" customHeight="1">
      <c r="A986" s="1"/>
      <c r="B986" s="1"/>
      <c r="C986" s="1"/>
      <c r="D986" s="1"/>
      <c r="E986" s="1"/>
      <c r="F986" s="1"/>
      <c r="G986" s="1"/>
      <c r="H986" s="1"/>
      <c r="I986" s="1"/>
      <c r="J986" s="1"/>
      <c r="K986" s="1"/>
      <c r="L986" s="1"/>
      <c r="M986" s="1"/>
      <c r="N986" s="1"/>
      <c r="O986" s="1"/>
      <c r="P986" s="1"/>
      <c r="Q986" s="1"/>
      <c r="R986" s="1"/>
      <c r="S986" s="1"/>
      <c r="T986" s="1"/>
      <c r="U986" s="2"/>
      <c r="V986" s="1"/>
      <c r="W986" s="1"/>
      <c r="X986" s="1"/>
      <c r="Y986" s="1"/>
      <c r="Z986" s="1"/>
    </row>
    <row r="987" spans="1:26" ht="24.75" customHeight="1">
      <c r="A987" s="1"/>
      <c r="B987" s="1"/>
      <c r="C987" s="1"/>
      <c r="D987" s="1"/>
      <c r="E987" s="1"/>
      <c r="F987" s="1"/>
      <c r="G987" s="1"/>
      <c r="H987" s="1"/>
      <c r="I987" s="1"/>
      <c r="J987" s="1"/>
      <c r="K987" s="1"/>
      <c r="L987" s="1"/>
      <c r="M987" s="1"/>
      <c r="N987" s="1"/>
      <c r="O987" s="1"/>
      <c r="P987" s="1"/>
      <c r="Q987" s="1"/>
      <c r="R987" s="1"/>
      <c r="S987" s="1"/>
      <c r="T987" s="1"/>
      <c r="U987" s="2"/>
      <c r="V987" s="1"/>
      <c r="W987" s="1"/>
      <c r="X987" s="1"/>
      <c r="Y987" s="1"/>
      <c r="Z987" s="1"/>
    </row>
    <row r="988" spans="1:26" ht="24.75" customHeight="1">
      <c r="A988" s="1"/>
      <c r="B988" s="1"/>
      <c r="C988" s="1"/>
      <c r="D988" s="1"/>
      <c r="E988" s="1"/>
      <c r="F988" s="1"/>
      <c r="G988" s="1"/>
      <c r="H988" s="1"/>
      <c r="I988" s="1"/>
      <c r="J988" s="1"/>
      <c r="K988" s="1"/>
      <c r="L988" s="1"/>
      <c r="M988" s="1"/>
      <c r="N988" s="1"/>
      <c r="O988" s="1"/>
      <c r="P988" s="1"/>
      <c r="Q988" s="1"/>
      <c r="R988" s="1"/>
      <c r="S988" s="1"/>
      <c r="T988" s="1"/>
      <c r="U988" s="2"/>
      <c r="V988" s="1"/>
      <c r="W988" s="1"/>
      <c r="X988" s="1"/>
      <c r="Y988" s="1"/>
      <c r="Z988" s="1"/>
    </row>
    <row r="989" spans="1:26" ht="24.75" customHeight="1">
      <c r="A989" s="1"/>
      <c r="B989" s="1"/>
      <c r="C989" s="1"/>
      <c r="D989" s="1"/>
      <c r="E989" s="1"/>
      <c r="F989" s="1"/>
      <c r="G989" s="1"/>
      <c r="H989" s="1"/>
      <c r="I989" s="1"/>
      <c r="J989" s="1"/>
      <c r="K989" s="1"/>
      <c r="L989" s="1"/>
      <c r="M989" s="1"/>
      <c r="N989" s="1"/>
      <c r="O989" s="1"/>
      <c r="P989" s="1"/>
      <c r="Q989" s="1"/>
      <c r="R989" s="1"/>
      <c r="S989" s="1"/>
      <c r="T989" s="1"/>
      <c r="U989" s="2"/>
      <c r="V989" s="1"/>
      <c r="W989" s="1"/>
      <c r="X989" s="1"/>
      <c r="Y989" s="1"/>
      <c r="Z989" s="1"/>
    </row>
    <row r="990" spans="1:26" ht="24.75" customHeight="1">
      <c r="A990" s="1"/>
      <c r="B990" s="1"/>
      <c r="C990" s="1"/>
      <c r="D990" s="1"/>
      <c r="E990" s="1"/>
      <c r="F990" s="1"/>
      <c r="G990" s="1"/>
      <c r="H990" s="1"/>
      <c r="I990" s="1"/>
      <c r="J990" s="1"/>
      <c r="K990" s="1"/>
      <c r="L990" s="1"/>
      <c r="M990" s="1"/>
      <c r="N990" s="1"/>
      <c r="O990" s="1"/>
      <c r="P990" s="1"/>
      <c r="Q990" s="1"/>
      <c r="R990" s="1"/>
      <c r="S990" s="1"/>
      <c r="T990" s="1"/>
      <c r="U990" s="2"/>
      <c r="V990" s="1"/>
      <c r="W990" s="1"/>
      <c r="X990" s="1"/>
      <c r="Y990" s="1"/>
      <c r="Z990" s="1"/>
    </row>
    <row r="991" spans="1:26" ht="24.75" customHeight="1">
      <c r="A991" s="1"/>
      <c r="B991" s="1"/>
      <c r="C991" s="1"/>
      <c r="D991" s="1"/>
      <c r="E991" s="1"/>
      <c r="F991" s="1"/>
      <c r="G991" s="1"/>
      <c r="H991" s="1"/>
      <c r="I991" s="1"/>
      <c r="J991" s="1"/>
      <c r="K991" s="1"/>
      <c r="L991" s="1"/>
      <c r="M991" s="1"/>
      <c r="N991" s="1"/>
      <c r="O991" s="1"/>
      <c r="P991" s="1"/>
      <c r="Q991" s="1"/>
      <c r="R991" s="1"/>
      <c r="S991" s="1"/>
      <c r="T991" s="1"/>
      <c r="U991" s="2"/>
      <c r="V991" s="1"/>
      <c r="W991" s="1"/>
      <c r="X991" s="1"/>
      <c r="Y991" s="1"/>
      <c r="Z991" s="1"/>
    </row>
    <row r="992" spans="1:26" ht="24.75" customHeight="1">
      <c r="A992" s="1"/>
      <c r="B992" s="1"/>
      <c r="C992" s="1"/>
      <c r="D992" s="1"/>
      <c r="E992" s="1"/>
      <c r="F992" s="1"/>
      <c r="G992" s="1"/>
      <c r="H992" s="1"/>
      <c r="I992" s="1"/>
      <c r="J992" s="1"/>
      <c r="K992" s="1"/>
      <c r="L992" s="1"/>
      <c r="M992" s="1"/>
      <c r="N992" s="1"/>
      <c r="O992" s="1"/>
      <c r="P992" s="1"/>
      <c r="Q992" s="1"/>
      <c r="R992" s="1"/>
      <c r="S992" s="1"/>
      <c r="T992" s="1"/>
      <c r="U992" s="2"/>
      <c r="V992" s="1"/>
      <c r="W992" s="1"/>
      <c r="X992" s="1"/>
      <c r="Y992" s="1"/>
      <c r="Z992" s="1"/>
    </row>
    <row r="993" spans="1:26" ht="24.75" customHeight="1">
      <c r="A993" s="1"/>
      <c r="B993" s="1"/>
      <c r="C993" s="1"/>
      <c r="D993" s="1"/>
      <c r="E993" s="1"/>
      <c r="F993" s="1"/>
      <c r="G993" s="1"/>
      <c r="H993" s="1"/>
      <c r="I993" s="1"/>
      <c r="J993" s="1"/>
      <c r="K993" s="1"/>
      <c r="L993" s="1"/>
      <c r="M993" s="1"/>
      <c r="N993" s="1"/>
      <c r="O993" s="1"/>
      <c r="P993" s="1"/>
      <c r="Q993" s="1"/>
      <c r="R993" s="1"/>
      <c r="S993" s="1"/>
      <c r="T993" s="1"/>
      <c r="U993" s="2"/>
      <c r="V993" s="1"/>
      <c r="W993" s="1"/>
      <c r="X993" s="1"/>
      <c r="Y993" s="1"/>
      <c r="Z993" s="1"/>
    </row>
    <row r="994" spans="1:26" ht="24.75" customHeight="1">
      <c r="A994" s="1"/>
      <c r="B994" s="1"/>
      <c r="C994" s="1"/>
      <c r="D994" s="1"/>
      <c r="E994" s="1"/>
      <c r="F994" s="1"/>
      <c r="G994" s="1"/>
      <c r="H994" s="1"/>
      <c r="I994" s="1"/>
      <c r="J994" s="1"/>
      <c r="K994" s="1"/>
      <c r="L994" s="1"/>
      <c r="M994" s="1"/>
      <c r="N994" s="1"/>
      <c r="O994" s="1"/>
      <c r="P994" s="1"/>
      <c r="Q994" s="1"/>
      <c r="R994" s="1"/>
      <c r="S994" s="1"/>
      <c r="T994" s="1"/>
      <c r="U994" s="2"/>
      <c r="V994" s="1"/>
      <c r="W994" s="1"/>
      <c r="X994" s="1"/>
      <c r="Y994" s="1"/>
      <c r="Z994" s="1"/>
    </row>
    <row r="995" spans="1:26" ht="24.75" customHeight="1">
      <c r="A995" s="1"/>
      <c r="B995" s="1"/>
      <c r="C995" s="1"/>
      <c r="D995" s="1"/>
      <c r="E995" s="1"/>
      <c r="F995" s="1"/>
      <c r="G995" s="1"/>
      <c r="H995" s="1"/>
      <c r="I995" s="1"/>
      <c r="J995" s="1"/>
      <c r="K995" s="1"/>
      <c r="L995" s="1"/>
      <c r="M995" s="1"/>
      <c r="N995" s="1"/>
      <c r="O995" s="1"/>
      <c r="P995" s="1"/>
      <c r="Q995" s="1"/>
      <c r="R995" s="1"/>
      <c r="S995" s="1"/>
      <c r="T995" s="1"/>
      <c r="U995" s="2"/>
      <c r="V995" s="1"/>
      <c r="W995" s="1"/>
      <c r="X995" s="1"/>
      <c r="Y995" s="1"/>
      <c r="Z995" s="1"/>
    </row>
    <row r="996" spans="1:26" ht="24.75" customHeight="1">
      <c r="A996" s="1"/>
      <c r="B996" s="1"/>
      <c r="C996" s="1"/>
      <c r="D996" s="1"/>
      <c r="E996" s="1"/>
      <c r="F996" s="1"/>
      <c r="G996" s="1"/>
      <c r="H996" s="1"/>
      <c r="I996" s="1"/>
      <c r="J996" s="1"/>
      <c r="K996" s="1"/>
      <c r="L996" s="1"/>
      <c r="M996" s="1"/>
      <c r="N996" s="1"/>
      <c r="O996" s="1"/>
      <c r="P996" s="1"/>
      <c r="Q996" s="1"/>
      <c r="R996" s="1"/>
      <c r="S996" s="1"/>
      <c r="T996" s="1"/>
      <c r="U996" s="2"/>
      <c r="V996" s="1"/>
      <c r="W996" s="1"/>
      <c r="X996" s="1"/>
      <c r="Y996" s="1"/>
      <c r="Z996" s="1"/>
    </row>
    <row r="997" spans="1:26" ht="24.75" customHeight="1">
      <c r="A997" s="1"/>
      <c r="B997" s="1"/>
      <c r="C997" s="1"/>
      <c r="D997" s="1"/>
      <c r="E997" s="1"/>
      <c r="F997" s="1"/>
      <c r="G997" s="1"/>
      <c r="H997" s="1"/>
      <c r="I997" s="1"/>
      <c r="J997" s="1"/>
      <c r="K997" s="1"/>
      <c r="L997" s="1"/>
      <c r="M997" s="1"/>
      <c r="N997" s="1"/>
      <c r="O997" s="1"/>
      <c r="P997" s="1"/>
      <c r="Q997" s="1"/>
      <c r="R997" s="1"/>
      <c r="S997" s="1"/>
      <c r="T997" s="1"/>
      <c r="U997" s="2"/>
      <c r="V997" s="1"/>
      <c r="W997" s="1"/>
      <c r="X997" s="1"/>
      <c r="Y997" s="1"/>
      <c r="Z997" s="1"/>
    </row>
    <row r="998" spans="1:26" ht="24.75" customHeight="1">
      <c r="A998" s="1"/>
      <c r="B998" s="1"/>
      <c r="C998" s="1"/>
      <c r="D998" s="1"/>
      <c r="E998" s="1"/>
      <c r="F998" s="1"/>
      <c r="G998" s="1"/>
      <c r="H998" s="1"/>
      <c r="I998" s="1"/>
      <c r="J998" s="1"/>
      <c r="K998" s="1"/>
      <c r="L998" s="1"/>
      <c r="M998" s="1"/>
      <c r="N998" s="1"/>
      <c r="O998" s="1"/>
      <c r="P998" s="1"/>
      <c r="Q998" s="1"/>
      <c r="R998" s="1"/>
      <c r="S998" s="1"/>
      <c r="T998" s="1"/>
      <c r="U998" s="2"/>
      <c r="V998" s="1"/>
      <c r="W998" s="1"/>
      <c r="X998" s="1"/>
      <c r="Y998" s="1"/>
      <c r="Z998" s="1"/>
    </row>
    <row r="999" spans="1:26" ht="24.75" customHeight="1">
      <c r="A999" s="1"/>
      <c r="B999" s="1"/>
      <c r="C999" s="1"/>
      <c r="D999" s="1"/>
      <c r="E999" s="1"/>
      <c r="F999" s="1"/>
      <c r="G999" s="1"/>
      <c r="H999" s="1"/>
      <c r="I999" s="1"/>
      <c r="J999" s="1"/>
      <c r="K999" s="1"/>
      <c r="L999" s="1"/>
      <c r="M999" s="1"/>
      <c r="N999" s="1"/>
      <c r="O999" s="1"/>
      <c r="P999" s="1"/>
      <c r="Q999" s="1"/>
      <c r="R999" s="1"/>
      <c r="S999" s="1"/>
      <c r="T999" s="1"/>
      <c r="U999" s="2"/>
      <c r="V999" s="1"/>
      <c r="W999" s="1"/>
      <c r="X999" s="1"/>
      <c r="Y999" s="1"/>
      <c r="Z999" s="1"/>
    </row>
    <row r="1000" spans="1:26" ht="24.75" customHeight="1">
      <c r="A1000" s="1"/>
      <c r="B1000" s="1"/>
      <c r="C1000" s="1"/>
      <c r="D1000" s="1"/>
      <c r="E1000" s="1"/>
      <c r="F1000" s="1"/>
      <c r="G1000" s="1"/>
      <c r="H1000" s="1"/>
      <c r="I1000" s="1"/>
      <c r="J1000" s="1"/>
      <c r="K1000" s="1"/>
      <c r="L1000" s="1"/>
      <c r="M1000" s="1"/>
      <c r="N1000" s="1"/>
      <c r="O1000" s="1"/>
      <c r="P1000" s="1"/>
      <c r="Q1000" s="1"/>
      <c r="R1000" s="1"/>
      <c r="S1000" s="1"/>
      <c r="T1000" s="1"/>
      <c r="U1000" s="2"/>
      <c r="V1000" s="1"/>
      <c r="W1000" s="1"/>
      <c r="X1000" s="1"/>
      <c r="Y1000" s="1"/>
      <c r="Z1000" s="1"/>
    </row>
  </sheetData>
  <mergeCells count="101">
    <mergeCell ref="B204:B206"/>
    <mergeCell ref="C204:C206"/>
    <mergeCell ref="B209:D209"/>
    <mergeCell ref="A210:D210"/>
    <mergeCell ref="A135:A158"/>
    <mergeCell ref="B135:B136"/>
    <mergeCell ref="B138:B144"/>
    <mergeCell ref="B145:B146"/>
    <mergeCell ref="B147:B149"/>
    <mergeCell ref="B158:D158"/>
    <mergeCell ref="A159:A209"/>
    <mergeCell ref="C135:C136"/>
    <mergeCell ref="C138:C144"/>
    <mergeCell ref="C145:C146"/>
    <mergeCell ref="C147:C149"/>
    <mergeCell ref="C150:C153"/>
    <mergeCell ref="B173:B179"/>
    <mergeCell ref="C173:C179"/>
    <mergeCell ref="B180:B183"/>
    <mergeCell ref="C180:C183"/>
    <mergeCell ref="B184:B186"/>
    <mergeCell ref="C184:C186"/>
    <mergeCell ref="B187:B192"/>
    <mergeCell ref="C187:C192"/>
    <mergeCell ref="B150:B153"/>
    <mergeCell ref="B159:B162"/>
    <mergeCell ref="C159:C162"/>
    <mergeCell ref="B163:B167"/>
    <mergeCell ref="C163:C167"/>
    <mergeCell ref="B168:B172"/>
    <mergeCell ref="C168:C172"/>
    <mergeCell ref="B202:B203"/>
    <mergeCell ref="C202:C203"/>
    <mergeCell ref="B194:B199"/>
    <mergeCell ref="C194:C199"/>
    <mergeCell ref="B200:B201"/>
    <mergeCell ref="C200:C201"/>
    <mergeCell ref="C94:C103"/>
    <mergeCell ref="B104:B105"/>
    <mergeCell ref="C104:C105"/>
    <mergeCell ref="B106:B110"/>
    <mergeCell ref="C106:C110"/>
    <mergeCell ref="B111:B113"/>
    <mergeCell ref="C111:C113"/>
    <mergeCell ref="B94:B103"/>
    <mergeCell ref="A94:A134"/>
    <mergeCell ref="B114:B118"/>
    <mergeCell ref="C114:C118"/>
    <mergeCell ref="B119:B120"/>
    <mergeCell ref="C119:C120"/>
    <mergeCell ref="B122:B125"/>
    <mergeCell ref="C122:C125"/>
    <mergeCell ref="B128:B130"/>
    <mergeCell ref="C128:C130"/>
    <mergeCell ref="B131:B132"/>
    <mergeCell ref="C131:C132"/>
    <mergeCell ref="B134:D134"/>
    <mergeCell ref="B79:B85"/>
    <mergeCell ref="C79:C85"/>
    <mergeCell ref="B75:B78"/>
    <mergeCell ref="B57:B66"/>
    <mergeCell ref="C57:C66"/>
    <mergeCell ref="A69:A93"/>
    <mergeCell ref="B70:B74"/>
    <mergeCell ref="C70:C74"/>
    <mergeCell ref="C75:C78"/>
    <mergeCell ref="B86:B89"/>
    <mergeCell ref="C86:C89"/>
    <mergeCell ref="B93:D93"/>
    <mergeCell ref="B47:B56"/>
    <mergeCell ref="C47:C56"/>
    <mergeCell ref="C6:C23"/>
    <mergeCell ref="B24:B25"/>
    <mergeCell ref="C24:C25"/>
    <mergeCell ref="Q4:Q5"/>
    <mergeCell ref="R4:R5"/>
    <mergeCell ref="S4:S5"/>
    <mergeCell ref="A1:E1"/>
    <mergeCell ref="A4:A5"/>
    <mergeCell ref="C4:C5"/>
    <mergeCell ref="D4:D5"/>
    <mergeCell ref="E4:E5"/>
    <mergeCell ref="F4:F5"/>
    <mergeCell ref="A6:A68"/>
    <mergeCell ref="B68:D68"/>
    <mergeCell ref="B4:B5"/>
    <mergeCell ref="B6:B23"/>
    <mergeCell ref="B26:B36"/>
    <mergeCell ref="C26:C36"/>
    <mergeCell ref="B37:B39"/>
    <mergeCell ref="C37:C39"/>
    <mergeCell ref="B40:B46"/>
    <mergeCell ref="U4:U5"/>
    <mergeCell ref="G4:H4"/>
    <mergeCell ref="I4:I5"/>
    <mergeCell ref="J4:L4"/>
    <mergeCell ref="M4:M5"/>
    <mergeCell ref="N4:N5"/>
    <mergeCell ref="O4:O5"/>
    <mergeCell ref="P4:P5"/>
    <mergeCell ref="C40:C46"/>
  </mergeCell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dimension ref="A1:Z1000"/>
  <sheetViews>
    <sheetView workbookViewId="0">
      <pane xSplit="3" ySplit="5" topLeftCell="D81" activePane="bottomRight" state="frozen"/>
      <selection pane="topRight" activeCell="D1" sqref="D1"/>
      <selection pane="bottomLeft" activeCell="A6" sqref="A6"/>
      <selection pane="bottomRight" activeCell="K89" sqref="K89"/>
    </sheetView>
  </sheetViews>
  <sheetFormatPr defaultColWidth="14.42578125" defaultRowHeight="15" customHeight="1"/>
  <cols>
    <col min="1" max="1" width="6.7109375" style="3" customWidth="1"/>
    <col min="2" max="2" width="7.28515625" style="3" customWidth="1"/>
    <col min="3" max="3" width="11.28515625" style="3" customWidth="1"/>
    <col min="4" max="4" width="5.85546875" style="3" customWidth="1"/>
    <col min="5" max="5" width="35.85546875" style="3" customWidth="1"/>
    <col min="6" max="6" width="7.42578125" style="3" customWidth="1"/>
    <col min="7" max="7" width="10.7109375" style="3" customWidth="1"/>
    <col min="8" max="8" width="8.28515625" style="3" customWidth="1"/>
    <col min="9" max="9" width="10.5703125" style="3" customWidth="1"/>
    <col min="10" max="10" width="11.85546875" style="3" customWidth="1"/>
    <col min="11" max="11" width="9.28515625" style="3" customWidth="1"/>
    <col min="12" max="12" width="6.7109375" style="3" customWidth="1"/>
    <col min="13" max="13" width="9" style="3" customWidth="1"/>
    <col min="14" max="14" width="9.7109375" style="3" customWidth="1"/>
    <col min="15" max="15" width="6.5703125" style="3" customWidth="1"/>
    <col min="16" max="16" width="7.85546875" style="3" customWidth="1"/>
    <col min="17" max="17" width="8.28515625" style="3" customWidth="1"/>
    <col min="18" max="18" width="10.140625" style="3" customWidth="1"/>
    <col min="19" max="19" width="10.42578125" style="3" customWidth="1"/>
    <col min="20" max="20" width="15.7109375" style="3" customWidth="1"/>
    <col min="21" max="21" width="41.28515625" style="21" customWidth="1"/>
    <col min="22" max="16384" width="14.42578125" style="3"/>
  </cols>
  <sheetData>
    <row r="1" spans="1:26" ht="24.75" customHeight="1">
      <c r="A1" s="172" t="s">
        <v>379</v>
      </c>
      <c r="B1" s="173"/>
      <c r="C1" s="173"/>
      <c r="D1" s="173"/>
      <c r="E1" s="174"/>
      <c r="F1" s="1"/>
      <c r="G1" s="1"/>
      <c r="H1" s="1"/>
      <c r="I1" s="1"/>
      <c r="J1" s="1"/>
      <c r="K1" s="1"/>
      <c r="L1" s="1"/>
      <c r="M1" s="1"/>
      <c r="N1" s="1"/>
      <c r="O1" s="1"/>
      <c r="P1" s="1"/>
      <c r="Q1" s="1"/>
      <c r="R1" s="1"/>
      <c r="S1" s="1"/>
      <c r="T1" s="1"/>
      <c r="U1" s="2"/>
      <c r="V1" s="1"/>
      <c r="W1" s="1"/>
      <c r="X1" s="1"/>
      <c r="Y1" s="1"/>
      <c r="Z1" s="1"/>
    </row>
    <row r="2" spans="1:26" ht="24.75" hidden="1" customHeight="1">
      <c r="A2" s="1"/>
      <c r="B2" s="1"/>
      <c r="C2" s="1"/>
      <c r="D2" s="1"/>
      <c r="E2" s="1"/>
      <c r="F2" s="1"/>
      <c r="G2" s="1"/>
      <c r="H2" s="1"/>
      <c r="I2" s="1"/>
      <c r="J2" s="1"/>
      <c r="K2" s="1"/>
      <c r="L2" s="1"/>
      <c r="M2" s="1"/>
      <c r="N2" s="1"/>
      <c r="O2" s="1"/>
      <c r="P2" s="1"/>
      <c r="Q2" s="1"/>
      <c r="R2" s="1"/>
      <c r="S2" s="1"/>
      <c r="T2" s="1"/>
      <c r="U2" s="2"/>
      <c r="V2" s="1"/>
      <c r="W2" s="1"/>
      <c r="X2" s="1"/>
      <c r="Y2" s="1"/>
      <c r="Z2" s="1"/>
    </row>
    <row r="3" spans="1:26" ht="24.75" hidden="1" customHeight="1">
      <c r="A3" s="1"/>
      <c r="B3" s="4"/>
      <c r="C3" s="4"/>
      <c r="D3" s="4"/>
      <c r="E3" s="4"/>
      <c r="F3" s="4"/>
      <c r="G3" s="4"/>
      <c r="H3" s="4"/>
      <c r="I3" s="4"/>
      <c r="J3" s="4"/>
      <c r="K3" s="4"/>
      <c r="L3" s="4"/>
      <c r="M3" s="4"/>
      <c r="N3" s="4"/>
      <c r="O3" s="4"/>
      <c r="P3" s="4"/>
      <c r="Q3" s="4"/>
      <c r="R3" s="4"/>
      <c r="S3" s="4"/>
      <c r="T3" s="4"/>
      <c r="U3" s="60" t="s">
        <v>1</v>
      </c>
      <c r="V3" s="1"/>
      <c r="W3" s="1"/>
      <c r="X3" s="1"/>
      <c r="Y3" s="1"/>
      <c r="Z3" s="1"/>
    </row>
    <row r="4" spans="1:26" ht="24.75" customHeight="1">
      <c r="A4" s="168" t="s">
        <v>2</v>
      </c>
      <c r="B4" s="168" t="s">
        <v>3</v>
      </c>
      <c r="C4" s="168" t="s">
        <v>4</v>
      </c>
      <c r="D4" s="168" t="s">
        <v>5</v>
      </c>
      <c r="E4" s="168" t="s">
        <v>6</v>
      </c>
      <c r="F4" s="168" t="s">
        <v>7</v>
      </c>
      <c r="G4" s="166" t="s">
        <v>8</v>
      </c>
      <c r="H4" s="167"/>
      <c r="I4" s="168" t="s">
        <v>9</v>
      </c>
      <c r="J4" s="166" t="s">
        <v>10</v>
      </c>
      <c r="K4" s="170"/>
      <c r="L4" s="167"/>
      <c r="M4" s="168" t="s">
        <v>570</v>
      </c>
      <c r="N4" s="168" t="s">
        <v>11</v>
      </c>
      <c r="O4" s="168" t="s">
        <v>12</v>
      </c>
      <c r="P4" s="168" t="s">
        <v>380</v>
      </c>
      <c r="Q4" s="168" t="s">
        <v>14</v>
      </c>
      <c r="R4" s="168" t="s">
        <v>15</v>
      </c>
      <c r="S4" s="168" t="s">
        <v>16</v>
      </c>
      <c r="T4" s="5" t="s">
        <v>597</v>
      </c>
      <c r="U4" s="164" t="s">
        <v>17</v>
      </c>
      <c r="V4" s="1"/>
      <c r="W4" s="1"/>
      <c r="X4" s="1"/>
      <c r="Y4" s="1"/>
      <c r="Z4" s="1"/>
    </row>
    <row r="5" spans="1:26" ht="24.75" customHeight="1">
      <c r="A5" s="169"/>
      <c r="B5" s="169"/>
      <c r="C5" s="169"/>
      <c r="D5" s="169"/>
      <c r="E5" s="169"/>
      <c r="F5" s="169"/>
      <c r="G5" s="5" t="s">
        <v>18</v>
      </c>
      <c r="H5" s="5" t="s">
        <v>19</v>
      </c>
      <c r="I5" s="169"/>
      <c r="J5" s="5" t="s">
        <v>571</v>
      </c>
      <c r="K5" s="5" t="s">
        <v>20</v>
      </c>
      <c r="L5" s="5" t="s">
        <v>21</v>
      </c>
      <c r="M5" s="169"/>
      <c r="N5" s="169"/>
      <c r="O5" s="169"/>
      <c r="P5" s="169"/>
      <c r="Q5" s="169"/>
      <c r="R5" s="169"/>
      <c r="S5" s="169"/>
      <c r="T5" s="5" t="s">
        <v>22</v>
      </c>
      <c r="U5" s="169"/>
      <c r="V5" s="1"/>
      <c r="W5" s="1"/>
      <c r="X5" s="1"/>
      <c r="Y5" s="1"/>
      <c r="Z5" s="1"/>
    </row>
    <row r="6" spans="1:26" ht="24.75" customHeight="1">
      <c r="A6" s="175" t="s">
        <v>23</v>
      </c>
      <c r="B6" s="168" t="s">
        <v>24</v>
      </c>
      <c r="C6" s="168" t="s">
        <v>25</v>
      </c>
      <c r="D6" s="5">
        <v>1</v>
      </c>
      <c r="E6" s="5" t="s">
        <v>26</v>
      </c>
      <c r="F6" s="5"/>
      <c r="G6" s="5"/>
      <c r="H6" s="5"/>
      <c r="I6" s="5"/>
      <c r="J6" s="5"/>
      <c r="K6" s="5"/>
      <c r="L6" s="5"/>
      <c r="M6" s="5"/>
      <c r="N6" s="5"/>
      <c r="O6" s="5"/>
      <c r="P6" s="5"/>
      <c r="Q6" s="5"/>
      <c r="R6" s="5"/>
      <c r="S6" s="5"/>
      <c r="T6" s="6">
        <f t="shared" ref="T6:T69" si="0">SUM(F6:S6)</f>
        <v>0</v>
      </c>
      <c r="U6" s="9"/>
      <c r="V6" s="1"/>
      <c r="W6" s="1"/>
      <c r="X6" s="1"/>
      <c r="Y6" s="1"/>
      <c r="Z6" s="1"/>
    </row>
    <row r="7" spans="1:26" ht="24.75" customHeight="1">
      <c r="A7" s="171"/>
      <c r="B7" s="171"/>
      <c r="C7" s="171"/>
      <c r="D7" s="5">
        <v>2</v>
      </c>
      <c r="E7" s="5" t="s">
        <v>27</v>
      </c>
      <c r="F7" s="5"/>
      <c r="G7" s="5"/>
      <c r="H7" s="5"/>
      <c r="I7" s="5"/>
      <c r="J7" s="5"/>
      <c r="K7" s="6">
        <v>137.69</v>
      </c>
      <c r="L7" s="5"/>
      <c r="M7" s="5"/>
      <c r="N7" s="5"/>
      <c r="O7" s="5"/>
      <c r="P7" s="8">
        <v>1.48</v>
      </c>
      <c r="Q7" s="5"/>
      <c r="R7" s="5"/>
      <c r="S7" s="5"/>
      <c r="T7" s="6">
        <f t="shared" si="0"/>
        <v>139.16999999999999</v>
      </c>
      <c r="U7" s="9" t="s">
        <v>28</v>
      </c>
      <c r="V7" s="1"/>
      <c r="W7" s="1"/>
      <c r="X7" s="1"/>
      <c r="Y7" s="1"/>
      <c r="Z7" s="1"/>
    </row>
    <row r="8" spans="1:26" ht="24.75" customHeight="1">
      <c r="A8" s="171"/>
      <c r="B8" s="171"/>
      <c r="C8" s="171"/>
      <c r="D8" s="5">
        <v>3</v>
      </c>
      <c r="E8" s="5" t="s">
        <v>29</v>
      </c>
      <c r="F8" s="8">
        <v>93.43</v>
      </c>
      <c r="G8" s="5"/>
      <c r="H8" s="5"/>
      <c r="I8" s="5"/>
      <c r="J8" s="5"/>
      <c r="K8" s="5"/>
      <c r="L8" s="5"/>
      <c r="M8" s="5"/>
      <c r="N8" s="5"/>
      <c r="O8" s="8">
        <v>74.709999999999994</v>
      </c>
      <c r="P8" s="5"/>
      <c r="Q8" s="5"/>
      <c r="R8" s="8">
        <v>4.3</v>
      </c>
      <c r="S8" s="5"/>
      <c r="T8" s="6">
        <f t="shared" si="0"/>
        <v>172.44</v>
      </c>
      <c r="U8" s="9" t="s">
        <v>30</v>
      </c>
      <c r="V8" s="1"/>
      <c r="W8" s="1"/>
      <c r="X8" s="1"/>
      <c r="Y8" s="1"/>
      <c r="Z8" s="1"/>
    </row>
    <row r="9" spans="1:26" ht="24.75" customHeight="1">
      <c r="A9" s="171"/>
      <c r="B9" s="171"/>
      <c r="C9" s="171"/>
      <c r="D9" s="5">
        <v>4</v>
      </c>
      <c r="E9" s="5" t="s">
        <v>31</v>
      </c>
      <c r="F9" s="5"/>
      <c r="G9" s="5"/>
      <c r="H9" s="5"/>
      <c r="I9" s="5"/>
      <c r="J9" s="5"/>
      <c r="K9" s="5"/>
      <c r="L9" s="5"/>
      <c r="M9" s="6">
        <v>46.94</v>
      </c>
      <c r="N9" s="5"/>
      <c r="O9" s="5"/>
      <c r="P9" s="8">
        <v>2.35</v>
      </c>
      <c r="Q9" s="5"/>
      <c r="R9" s="5"/>
      <c r="S9" s="5"/>
      <c r="T9" s="6">
        <f t="shared" si="0"/>
        <v>49.29</v>
      </c>
      <c r="U9" s="9" t="s">
        <v>32</v>
      </c>
      <c r="V9" s="1"/>
      <c r="W9" s="1"/>
      <c r="X9" s="1"/>
      <c r="Y9" s="1"/>
      <c r="Z9" s="1"/>
    </row>
    <row r="10" spans="1:26" ht="24.75" customHeight="1">
      <c r="A10" s="171"/>
      <c r="B10" s="171"/>
      <c r="C10" s="171"/>
      <c r="D10" s="5">
        <v>5</v>
      </c>
      <c r="E10" s="5" t="s">
        <v>33</v>
      </c>
      <c r="F10" s="5"/>
      <c r="G10" s="5"/>
      <c r="H10" s="5"/>
      <c r="I10" s="5"/>
      <c r="J10" s="5"/>
      <c r="K10" s="5"/>
      <c r="L10" s="5"/>
      <c r="M10" s="5"/>
      <c r="N10" s="5"/>
      <c r="O10" s="5"/>
      <c r="P10" s="6">
        <v>78.239999999999995</v>
      </c>
      <c r="Q10" s="5"/>
      <c r="R10" s="5"/>
      <c r="S10" s="5"/>
      <c r="T10" s="6">
        <f t="shared" si="0"/>
        <v>78.239999999999995</v>
      </c>
      <c r="U10" s="9" t="s">
        <v>34</v>
      </c>
      <c r="V10" s="1"/>
      <c r="W10" s="1"/>
      <c r="X10" s="1"/>
      <c r="Y10" s="1"/>
      <c r="Z10" s="1"/>
    </row>
    <row r="11" spans="1:26" ht="24.75" customHeight="1">
      <c r="A11" s="171"/>
      <c r="B11" s="171"/>
      <c r="C11" s="171"/>
      <c r="D11" s="5">
        <v>6</v>
      </c>
      <c r="E11" s="5" t="s">
        <v>35</v>
      </c>
      <c r="F11" s="5"/>
      <c r="G11" s="5"/>
      <c r="H11" s="5"/>
      <c r="I11" s="5"/>
      <c r="J11" s="5"/>
      <c r="K11" s="5"/>
      <c r="L11" s="5"/>
      <c r="M11" s="5"/>
      <c r="N11" s="8"/>
      <c r="O11" s="5"/>
      <c r="P11" s="8">
        <v>0.5</v>
      </c>
      <c r="Q11" s="5"/>
      <c r="R11" s="5"/>
      <c r="S11" s="5"/>
      <c r="T11" s="6">
        <f t="shared" si="0"/>
        <v>0.5</v>
      </c>
      <c r="U11" s="9" t="s">
        <v>36</v>
      </c>
      <c r="V11" s="1"/>
      <c r="W11" s="1"/>
      <c r="X11" s="1"/>
      <c r="Y11" s="1"/>
      <c r="Z11" s="1"/>
    </row>
    <row r="12" spans="1:26" ht="24.75" customHeight="1">
      <c r="A12" s="171"/>
      <c r="B12" s="171"/>
      <c r="C12" s="171"/>
      <c r="D12" s="5">
        <v>7</v>
      </c>
      <c r="E12" s="5" t="s">
        <v>37</v>
      </c>
      <c r="F12" s="5"/>
      <c r="G12" s="5"/>
      <c r="H12" s="5"/>
      <c r="I12" s="5"/>
      <c r="J12" s="5"/>
      <c r="K12" s="5"/>
      <c r="L12" s="5"/>
      <c r="M12" s="5"/>
      <c r="N12" s="5"/>
      <c r="O12" s="5"/>
      <c r="P12" s="8">
        <v>0.06</v>
      </c>
      <c r="Q12" s="8"/>
      <c r="R12" s="5"/>
      <c r="S12" s="5"/>
      <c r="T12" s="6">
        <f t="shared" si="0"/>
        <v>0.06</v>
      </c>
      <c r="U12" s="9" t="s">
        <v>38</v>
      </c>
      <c r="V12" s="1"/>
      <c r="W12" s="1"/>
      <c r="X12" s="1"/>
      <c r="Y12" s="1"/>
      <c r="Z12" s="1"/>
    </row>
    <row r="13" spans="1:26" ht="24.75" customHeight="1">
      <c r="A13" s="171"/>
      <c r="B13" s="171"/>
      <c r="C13" s="171"/>
      <c r="D13" s="5">
        <v>8</v>
      </c>
      <c r="E13" s="5" t="s">
        <v>39</v>
      </c>
      <c r="F13" s="5"/>
      <c r="G13" s="5"/>
      <c r="H13" s="5"/>
      <c r="I13" s="5"/>
      <c r="J13" s="5"/>
      <c r="K13" s="5"/>
      <c r="L13" s="5"/>
      <c r="M13" s="5"/>
      <c r="N13" s="6"/>
      <c r="O13" s="5"/>
      <c r="P13" s="5"/>
      <c r="Q13" s="5"/>
      <c r="R13" s="5"/>
      <c r="S13" s="5"/>
      <c r="T13" s="6">
        <f t="shared" si="0"/>
        <v>0</v>
      </c>
      <c r="U13" s="9"/>
      <c r="V13" s="1"/>
      <c r="W13" s="1"/>
      <c r="X13" s="1"/>
      <c r="Y13" s="1"/>
      <c r="Z13" s="1"/>
    </row>
    <row r="14" spans="1:26" ht="24.75" customHeight="1">
      <c r="A14" s="171"/>
      <c r="B14" s="171"/>
      <c r="C14" s="171"/>
      <c r="D14" s="5">
        <v>9</v>
      </c>
      <c r="E14" s="5" t="s">
        <v>40</v>
      </c>
      <c r="F14" s="5"/>
      <c r="G14" s="5"/>
      <c r="H14" s="5"/>
      <c r="I14" s="5"/>
      <c r="J14" s="5"/>
      <c r="K14" s="5"/>
      <c r="L14" s="5"/>
      <c r="M14" s="5"/>
      <c r="N14" s="6">
        <v>0.18</v>
      </c>
      <c r="O14" s="5"/>
      <c r="P14" s="5"/>
      <c r="Q14" s="8"/>
      <c r="R14" s="5"/>
      <c r="S14" s="8">
        <v>0.35</v>
      </c>
      <c r="T14" s="6">
        <f t="shared" si="0"/>
        <v>0.53</v>
      </c>
      <c r="U14" s="9" t="s">
        <v>41</v>
      </c>
      <c r="V14" s="1"/>
      <c r="W14" s="1"/>
      <c r="X14" s="1"/>
      <c r="Y14" s="1"/>
      <c r="Z14" s="1"/>
    </row>
    <row r="15" spans="1:26" ht="24.75" customHeight="1">
      <c r="A15" s="171"/>
      <c r="B15" s="171"/>
      <c r="C15" s="171"/>
      <c r="D15" s="5">
        <v>10</v>
      </c>
      <c r="E15" s="5" t="s">
        <v>42</v>
      </c>
      <c r="F15" s="5"/>
      <c r="G15" s="5"/>
      <c r="H15" s="5"/>
      <c r="I15" s="6"/>
      <c r="J15" s="5"/>
      <c r="K15" s="5"/>
      <c r="L15" s="5"/>
      <c r="M15" s="5"/>
      <c r="N15" s="6">
        <v>0.45750000000000002</v>
      </c>
      <c r="O15" s="5"/>
      <c r="P15" s="5"/>
      <c r="Q15" s="5"/>
      <c r="R15" s="5"/>
      <c r="S15" s="5"/>
      <c r="T15" s="6">
        <f t="shared" si="0"/>
        <v>0.45750000000000002</v>
      </c>
      <c r="U15" s="10" t="s">
        <v>43</v>
      </c>
      <c r="V15" s="1"/>
      <c r="W15" s="1"/>
      <c r="X15" s="1"/>
      <c r="Y15" s="1"/>
      <c r="Z15" s="1"/>
    </row>
    <row r="16" spans="1:26" ht="24.75" customHeight="1">
      <c r="A16" s="171"/>
      <c r="B16" s="171"/>
      <c r="C16" s="171"/>
      <c r="D16" s="5">
        <v>11</v>
      </c>
      <c r="E16" s="5" t="s">
        <v>44</v>
      </c>
      <c r="F16" s="5"/>
      <c r="G16" s="8"/>
      <c r="H16" s="8"/>
      <c r="I16" s="5"/>
      <c r="J16" s="5"/>
      <c r="K16" s="5"/>
      <c r="L16" s="5"/>
      <c r="M16" s="5"/>
      <c r="N16" s="5"/>
      <c r="O16" s="5"/>
      <c r="P16" s="5"/>
      <c r="Q16" s="5"/>
      <c r="R16" s="5"/>
      <c r="S16" s="5"/>
      <c r="T16" s="6">
        <f t="shared" si="0"/>
        <v>0</v>
      </c>
      <c r="U16" s="9"/>
      <c r="V16" s="1"/>
      <c r="W16" s="1"/>
      <c r="X16" s="1"/>
      <c r="Y16" s="1"/>
      <c r="Z16" s="1"/>
    </row>
    <row r="17" spans="1:26" ht="24.75" customHeight="1">
      <c r="A17" s="171"/>
      <c r="B17" s="171"/>
      <c r="C17" s="171"/>
      <c r="D17" s="5">
        <v>12</v>
      </c>
      <c r="E17" s="5" t="s">
        <v>45</v>
      </c>
      <c r="F17" s="5"/>
      <c r="G17" s="5"/>
      <c r="H17" s="5"/>
      <c r="I17" s="5"/>
      <c r="J17" s="5"/>
      <c r="K17" s="5"/>
      <c r="L17" s="5"/>
      <c r="M17" s="5"/>
      <c r="N17" s="6">
        <v>3.4950000000000001</v>
      </c>
      <c r="O17" s="5"/>
      <c r="P17" s="5"/>
      <c r="Q17" s="5"/>
      <c r="R17" s="5"/>
      <c r="S17" s="5"/>
      <c r="T17" s="6">
        <f t="shared" si="0"/>
        <v>3.4950000000000001</v>
      </c>
      <c r="U17" s="9" t="s">
        <v>46</v>
      </c>
      <c r="V17" s="1"/>
      <c r="W17" s="1"/>
      <c r="X17" s="1"/>
      <c r="Y17" s="1"/>
      <c r="Z17" s="1"/>
    </row>
    <row r="18" spans="1:26" ht="24.75" customHeight="1">
      <c r="A18" s="171"/>
      <c r="B18" s="171"/>
      <c r="C18" s="171"/>
      <c r="D18" s="5">
        <v>13</v>
      </c>
      <c r="E18" s="5" t="s">
        <v>47</v>
      </c>
      <c r="F18" s="5"/>
      <c r="G18" s="5"/>
      <c r="H18" s="5"/>
      <c r="I18" s="5"/>
      <c r="J18" s="5"/>
      <c r="K18" s="5"/>
      <c r="L18" s="5"/>
      <c r="M18" s="5"/>
      <c r="N18" s="5"/>
      <c r="O18" s="5"/>
      <c r="P18" s="8"/>
      <c r="Q18" s="5"/>
      <c r="R18" s="5"/>
      <c r="S18" s="5"/>
      <c r="T18" s="6">
        <f t="shared" si="0"/>
        <v>0</v>
      </c>
      <c r="U18" s="9"/>
      <c r="V18" s="1"/>
      <c r="W18" s="1"/>
      <c r="X18" s="1"/>
      <c r="Y18" s="1"/>
      <c r="Z18" s="1"/>
    </row>
    <row r="19" spans="1:26" ht="24.75" customHeight="1">
      <c r="A19" s="171"/>
      <c r="B19" s="171"/>
      <c r="C19" s="171"/>
      <c r="D19" s="5">
        <v>14</v>
      </c>
      <c r="E19" s="5" t="s">
        <v>48</v>
      </c>
      <c r="F19" s="5"/>
      <c r="G19" s="5"/>
      <c r="H19" s="5"/>
      <c r="I19" s="5"/>
      <c r="J19" s="5"/>
      <c r="K19" s="5"/>
      <c r="L19" s="5"/>
      <c r="M19" s="5"/>
      <c r="N19" s="5"/>
      <c r="O19" s="5"/>
      <c r="P19" s="5"/>
      <c r="Q19" s="5"/>
      <c r="R19" s="5"/>
      <c r="S19" s="5"/>
      <c r="T19" s="6">
        <f t="shared" si="0"/>
        <v>0</v>
      </c>
      <c r="U19" s="9"/>
      <c r="V19" s="1"/>
      <c r="W19" s="1"/>
      <c r="X19" s="1"/>
      <c r="Y19" s="1"/>
      <c r="Z19" s="1"/>
    </row>
    <row r="20" spans="1:26" ht="24.75" customHeight="1">
      <c r="A20" s="171"/>
      <c r="B20" s="171"/>
      <c r="C20" s="171"/>
      <c r="D20" s="5">
        <v>15</v>
      </c>
      <c r="E20" s="5" t="s">
        <v>49</v>
      </c>
      <c r="F20" s="5"/>
      <c r="G20" s="5"/>
      <c r="H20" s="5"/>
      <c r="I20" s="8">
        <v>4.5</v>
      </c>
      <c r="J20" s="5"/>
      <c r="K20" s="5"/>
      <c r="L20" s="5"/>
      <c r="M20" s="5"/>
      <c r="N20" s="6">
        <v>0.74785000000000001</v>
      </c>
      <c r="O20" s="5"/>
      <c r="P20" s="8"/>
      <c r="Q20" s="8"/>
      <c r="R20" s="5"/>
      <c r="S20" s="5"/>
      <c r="T20" s="6">
        <f t="shared" si="0"/>
        <v>5.2478499999999997</v>
      </c>
      <c r="U20" s="9" t="s">
        <v>50</v>
      </c>
      <c r="V20" s="1"/>
      <c r="W20" s="1"/>
      <c r="X20" s="1"/>
      <c r="Y20" s="1"/>
      <c r="Z20" s="1"/>
    </row>
    <row r="21" spans="1:26" ht="24.75" customHeight="1">
      <c r="A21" s="171"/>
      <c r="B21" s="171"/>
      <c r="C21" s="171"/>
      <c r="D21" s="5">
        <v>16</v>
      </c>
      <c r="E21" s="5" t="s">
        <v>51</v>
      </c>
      <c r="F21" s="5"/>
      <c r="G21" s="5"/>
      <c r="H21" s="5"/>
      <c r="I21" s="5"/>
      <c r="J21" s="5"/>
      <c r="K21" s="5"/>
      <c r="L21" s="5"/>
      <c r="M21" s="5"/>
      <c r="N21" s="5"/>
      <c r="O21" s="5"/>
      <c r="P21" s="5"/>
      <c r="Q21" s="5"/>
      <c r="R21" s="5"/>
      <c r="S21" s="5"/>
      <c r="T21" s="6">
        <f t="shared" si="0"/>
        <v>0</v>
      </c>
      <c r="U21" s="9"/>
      <c r="V21" s="1"/>
      <c r="W21" s="1"/>
      <c r="X21" s="1"/>
      <c r="Y21" s="1"/>
      <c r="Z21" s="1"/>
    </row>
    <row r="22" spans="1:26" ht="24.75" customHeight="1">
      <c r="A22" s="171"/>
      <c r="B22" s="171"/>
      <c r="C22" s="171"/>
      <c r="D22" s="5">
        <v>17</v>
      </c>
      <c r="E22" s="5" t="s">
        <v>52</v>
      </c>
      <c r="F22" s="5"/>
      <c r="G22" s="5"/>
      <c r="H22" s="5"/>
      <c r="I22" s="6"/>
      <c r="J22" s="5"/>
      <c r="K22" s="5"/>
      <c r="L22" s="5"/>
      <c r="M22" s="5"/>
      <c r="N22" s="6">
        <v>0.92100000000000004</v>
      </c>
      <c r="O22" s="5"/>
      <c r="P22" s="8">
        <v>0.15</v>
      </c>
      <c r="Q22" s="6">
        <v>2.5</v>
      </c>
      <c r="R22" s="5"/>
      <c r="S22" s="8"/>
      <c r="T22" s="6">
        <f t="shared" si="0"/>
        <v>3.5709999999999997</v>
      </c>
      <c r="U22" s="9" t="s">
        <v>358</v>
      </c>
      <c r="V22" s="1"/>
      <c r="W22" s="1"/>
      <c r="X22" s="1"/>
      <c r="Y22" s="1"/>
      <c r="Z22" s="1"/>
    </row>
    <row r="23" spans="1:26" ht="24.75" customHeight="1">
      <c r="A23" s="171"/>
      <c r="B23" s="169"/>
      <c r="C23" s="169"/>
      <c r="D23" s="5">
        <v>18</v>
      </c>
      <c r="E23" s="5" t="s">
        <v>54</v>
      </c>
      <c r="F23" s="5"/>
      <c r="G23" s="5"/>
      <c r="H23" s="5"/>
      <c r="I23" s="5"/>
      <c r="J23" s="5"/>
      <c r="K23" s="5"/>
      <c r="L23" s="5"/>
      <c r="M23" s="5"/>
      <c r="N23" s="5"/>
      <c r="O23" s="5"/>
      <c r="P23" s="8">
        <f>0.435+0.15</f>
        <v>0.58499999999999996</v>
      </c>
      <c r="Q23" s="8"/>
      <c r="R23" s="5"/>
      <c r="S23" s="8"/>
      <c r="T23" s="6">
        <f t="shared" si="0"/>
        <v>0.58499999999999996</v>
      </c>
      <c r="U23" s="9" t="s">
        <v>55</v>
      </c>
      <c r="V23" s="1"/>
      <c r="W23" s="1"/>
      <c r="X23" s="1"/>
      <c r="Y23" s="1"/>
      <c r="Z23" s="1"/>
    </row>
    <row r="24" spans="1:26" ht="24.75" customHeight="1">
      <c r="A24" s="171"/>
      <c r="B24" s="168" t="s">
        <v>56</v>
      </c>
      <c r="C24" s="168" t="s">
        <v>57</v>
      </c>
      <c r="D24" s="5">
        <v>19</v>
      </c>
      <c r="E24" s="5" t="s">
        <v>57</v>
      </c>
      <c r="F24" s="5"/>
      <c r="G24" s="5"/>
      <c r="H24" s="5"/>
      <c r="I24" s="5"/>
      <c r="J24" s="5"/>
      <c r="K24" s="5"/>
      <c r="L24" s="5"/>
      <c r="M24" s="5"/>
      <c r="N24" s="5"/>
      <c r="O24" s="5"/>
      <c r="P24" s="5"/>
      <c r="Q24" s="5"/>
      <c r="R24" s="5"/>
      <c r="S24" s="5"/>
      <c r="T24" s="6">
        <f t="shared" si="0"/>
        <v>0</v>
      </c>
      <c r="U24" s="9"/>
      <c r="V24" s="1"/>
      <c r="W24" s="1"/>
      <c r="X24" s="1"/>
      <c r="Y24" s="1"/>
      <c r="Z24" s="1"/>
    </row>
    <row r="25" spans="1:26" ht="24.75" customHeight="1">
      <c r="A25" s="171"/>
      <c r="B25" s="169"/>
      <c r="C25" s="169"/>
      <c r="D25" s="5">
        <v>20</v>
      </c>
      <c r="E25" s="5" t="s">
        <v>58</v>
      </c>
      <c r="F25" s="5"/>
      <c r="G25" s="5"/>
      <c r="H25" s="5"/>
      <c r="I25" s="5"/>
      <c r="J25" s="5"/>
      <c r="K25" s="5"/>
      <c r="L25" s="5"/>
      <c r="M25" s="5"/>
      <c r="N25" s="5"/>
      <c r="O25" s="5"/>
      <c r="P25" s="5"/>
      <c r="Q25" s="6">
        <v>0.5</v>
      </c>
      <c r="R25" s="5"/>
      <c r="S25" s="5"/>
      <c r="T25" s="6">
        <f t="shared" si="0"/>
        <v>0.5</v>
      </c>
      <c r="U25" s="9" t="s">
        <v>359</v>
      </c>
      <c r="V25" s="1"/>
      <c r="W25" s="1"/>
      <c r="X25" s="1"/>
      <c r="Y25" s="1"/>
      <c r="Z25" s="1"/>
    </row>
    <row r="26" spans="1:26" ht="24.75" customHeight="1">
      <c r="A26" s="171"/>
      <c r="B26" s="168" t="s">
        <v>60</v>
      </c>
      <c r="C26" s="168" t="s">
        <v>61</v>
      </c>
      <c r="D26" s="5">
        <v>21</v>
      </c>
      <c r="E26" s="5" t="s">
        <v>62</v>
      </c>
      <c r="F26" s="123"/>
      <c r="G26" s="123"/>
      <c r="H26" s="124"/>
      <c r="I26" s="125">
        <v>2.66</v>
      </c>
      <c r="J26" s="123"/>
      <c r="K26" s="125"/>
      <c r="L26" s="123"/>
      <c r="M26" s="123"/>
      <c r="N26" s="125">
        <f>0.99+0.4565+0.4+1</f>
        <v>2.8464999999999998</v>
      </c>
      <c r="O26" s="123"/>
      <c r="P26" s="124">
        <f>11.52+2.88</f>
        <v>14.399999999999999</v>
      </c>
      <c r="Q26" s="124">
        <f>0.19</f>
        <v>0.19</v>
      </c>
      <c r="R26" s="125">
        <f>0.5+0.266</f>
        <v>0.76600000000000001</v>
      </c>
      <c r="S26" s="123"/>
      <c r="T26" s="125">
        <f t="shared" ref="T26:T36" si="1">SUM(F26:S26)</f>
        <v>20.862499999999997</v>
      </c>
      <c r="U26" s="9" t="s">
        <v>65</v>
      </c>
      <c r="V26" s="1"/>
      <c r="W26" s="1"/>
      <c r="X26" s="1"/>
      <c r="Y26" s="1"/>
      <c r="Z26" s="1"/>
    </row>
    <row r="27" spans="1:26" ht="24.75" customHeight="1">
      <c r="A27" s="171"/>
      <c r="B27" s="171"/>
      <c r="C27" s="171"/>
      <c r="D27" s="5">
        <v>22</v>
      </c>
      <c r="E27" s="5" t="s">
        <v>64</v>
      </c>
      <c r="F27" s="124"/>
      <c r="G27" s="123"/>
      <c r="H27" s="124"/>
      <c r="I27" s="125"/>
      <c r="J27" s="123"/>
      <c r="K27" s="123"/>
      <c r="L27" s="123"/>
      <c r="M27" s="124">
        <v>0.75</v>
      </c>
      <c r="N27" s="123"/>
      <c r="O27" s="123"/>
      <c r="P27" s="124">
        <v>201.2</v>
      </c>
      <c r="Q27" s="124"/>
      <c r="R27" s="125"/>
      <c r="S27" s="123"/>
      <c r="T27" s="125">
        <f t="shared" si="1"/>
        <v>201.95</v>
      </c>
      <c r="U27" s="9" t="s">
        <v>65</v>
      </c>
      <c r="V27" s="1"/>
      <c r="W27" s="1"/>
      <c r="X27" s="1"/>
      <c r="Y27" s="1"/>
      <c r="Z27" s="1"/>
    </row>
    <row r="28" spans="1:26" ht="24.75" customHeight="1">
      <c r="A28" s="171"/>
      <c r="B28" s="171"/>
      <c r="C28" s="171"/>
      <c r="D28" s="5">
        <v>23</v>
      </c>
      <c r="E28" s="5" t="s">
        <v>66</v>
      </c>
      <c r="F28" s="123"/>
      <c r="G28" s="123"/>
      <c r="H28" s="123"/>
      <c r="I28" s="123"/>
      <c r="J28" s="123"/>
      <c r="K28" s="125"/>
      <c r="L28" s="123"/>
      <c r="M28" s="123"/>
      <c r="N28" s="123"/>
      <c r="O28" s="124">
        <f>24.252+2.13</f>
        <v>26.381999999999998</v>
      </c>
      <c r="P28" s="123"/>
      <c r="Q28" s="124"/>
      <c r="R28" s="123"/>
      <c r="S28" s="123"/>
      <c r="T28" s="125">
        <f t="shared" si="1"/>
        <v>26.381999999999998</v>
      </c>
      <c r="U28" s="9" t="s">
        <v>65</v>
      </c>
      <c r="V28" s="1"/>
      <c r="W28" s="1"/>
      <c r="X28" s="1"/>
      <c r="Y28" s="1"/>
      <c r="Z28" s="1"/>
    </row>
    <row r="29" spans="1:26" ht="24.75" customHeight="1">
      <c r="A29" s="171"/>
      <c r="B29" s="171"/>
      <c r="C29" s="171"/>
      <c r="D29" s="5">
        <v>24</v>
      </c>
      <c r="E29" s="5" t="s">
        <v>67</v>
      </c>
      <c r="F29" s="123"/>
      <c r="G29" s="123"/>
      <c r="H29" s="124"/>
      <c r="I29" s="123"/>
      <c r="J29" s="123"/>
      <c r="K29" s="123"/>
      <c r="L29" s="123"/>
      <c r="M29" s="123"/>
      <c r="N29" s="125">
        <f>1.72+1.72+1+1</f>
        <v>5.4399999999999995</v>
      </c>
      <c r="O29" s="124"/>
      <c r="P29" s="123">
        <f>2+10+0.6+7</f>
        <v>19.600000000000001</v>
      </c>
      <c r="Q29" s="125"/>
      <c r="R29" s="123"/>
      <c r="S29" s="123"/>
      <c r="T29" s="125">
        <f t="shared" si="1"/>
        <v>25.04</v>
      </c>
      <c r="U29" s="9" t="s">
        <v>360</v>
      </c>
      <c r="V29" s="1"/>
      <c r="W29" s="1"/>
      <c r="X29" s="1"/>
      <c r="Y29" s="1"/>
      <c r="Z29" s="1"/>
    </row>
    <row r="30" spans="1:26" ht="24.75" customHeight="1">
      <c r="A30" s="171"/>
      <c r="B30" s="171"/>
      <c r="C30" s="171"/>
      <c r="D30" s="5">
        <v>25</v>
      </c>
      <c r="E30" s="5" t="s">
        <v>69</v>
      </c>
      <c r="F30" s="123"/>
      <c r="G30" s="123"/>
      <c r="H30" s="123"/>
      <c r="I30" s="123"/>
      <c r="J30" s="123"/>
      <c r="K30" s="123"/>
      <c r="L30" s="123"/>
      <c r="M30" s="123"/>
      <c r="N30" s="125">
        <v>0.5</v>
      </c>
      <c r="O30" s="123"/>
      <c r="P30" s="123"/>
      <c r="Q30" s="123"/>
      <c r="R30" s="123"/>
      <c r="S30" s="123"/>
      <c r="T30" s="125">
        <f t="shared" si="1"/>
        <v>0.5</v>
      </c>
      <c r="U30" s="9" t="s">
        <v>65</v>
      </c>
      <c r="V30" s="1"/>
      <c r="W30" s="1"/>
      <c r="X30" s="1"/>
      <c r="Y30" s="1"/>
      <c r="Z30" s="1"/>
    </row>
    <row r="31" spans="1:26" ht="24.75" customHeight="1">
      <c r="A31" s="171"/>
      <c r="B31" s="171"/>
      <c r="C31" s="171"/>
      <c r="D31" s="5">
        <v>26</v>
      </c>
      <c r="E31" s="5" t="s">
        <v>70</v>
      </c>
      <c r="F31" s="123"/>
      <c r="G31" s="123"/>
      <c r="H31" s="123"/>
      <c r="I31" s="125"/>
      <c r="J31" s="123"/>
      <c r="K31" s="123"/>
      <c r="L31" s="123"/>
      <c r="M31" s="123"/>
      <c r="N31" s="125">
        <v>3.06</v>
      </c>
      <c r="O31" s="123"/>
      <c r="P31" s="123"/>
      <c r="Q31" s="125">
        <v>1</v>
      </c>
      <c r="R31" s="124"/>
      <c r="S31" s="123"/>
      <c r="T31" s="125">
        <f t="shared" si="1"/>
        <v>4.0600000000000005</v>
      </c>
      <c r="U31" s="9" t="s">
        <v>360</v>
      </c>
      <c r="V31" s="1"/>
      <c r="W31" s="1"/>
      <c r="X31" s="1"/>
      <c r="Y31" s="1"/>
      <c r="Z31" s="1"/>
    </row>
    <row r="32" spans="1:26" ht="24.75" customHeight="1">
      <c r="A32" s="171"/>
      <c r="B32" s="171"/>
      <c r="C32" s="171"/>
      <c r="D32" s="5">
        <v>27</v>
      </c>
      <c r="E32" s="5" t="s">
        <v>72</v>
      </c>
      <c r="F32" s="123"/>
      <c r="G32" s="123"/>
      <c r="H32" s="124"/>
      <c r="I32" s="125"/>
      <c r="J32" s="123"/>
      <c r="K32" s="123"/>
      <c r="L32" s="123"/>
      <c r="M32" s="123"/>
      <c r="N32" s="125"/>
      <c r="O32" s="124"/>
      <c r="P32" s="124"/>
      <c r="Q32" s="123"/>
      <c r="R32" s="123"/>
      <c r="S32" s="123"/>
      <c r="T32" s="125">
        <f t="shared" si="1"/>
        <v>0</v>
      </c>
      <c r="U32" s="9"/>
      <c r="V32" s="1"/>
      <c r="W32" s="1"/>
      <c r="X32" s="1"/>
      <c r="Y32" s="1"/>
      <c r="Z32" s="1"/>
    </row>
    <row r="33" spans="1:26" ht="24.75" customHeight="1">
      <c r="A33" s="171"/>
      <c r="B33" s="171"/>
      <c r="C33" s="171"/>
      <c r="D33" s="5">
        <v>28</v>
      </c>
      <c r="E33" s="5" t="s">
        <v>31</v>
      </c>
      <c r="F33" s="123"/>
      <c r="G33" s="123"/>
      <c r="H33" s="123"/>
      <c r="I33" s="123"/>
      <c r="J33" s="123"/>
      <c r="K33" s="125">
        <v>4.694</v>
      </c>
      <c r="L33" s="123"/>
      <c r="M33" s="125">
        <v>4.694</v>
      </c>
      <c r="N33" s="123"/>
      <c r="O33" s="123"/>
      <c r="P33" s="123"/>
      <c r="Q33" s="123"/>
      <c r="R33" s="123"/>
      <c r="S33" s="123"/>
      <c r="T33" s="125">
        <f t="shared" si="1"/>
        <v>9.3879999999999999</v>
      </c>
      <c r="U33" s="9" t="s">
        <v>65</v>
      </c>
      <c r="V33" s="1"/>
      <c r="W33" s="1"/>
      <c r="X33" s="1"/>
      <c r="Y33" s="1"/>
      <c r="Z33" s="1"/>
    </row>
    <row r="34" spans="1:26" ht="24.75" customHeight="1">
      <c r="A34" s="171"/>
      <c r="B34" s="171"/>
      <c r="C34" s="171"/>
      <c r="D34" s="5">
        <v>29</v>
      </c>
      <c r="E34" s="5" t="s">
        <v>33</v>
      </c>
      <c r="F34" s="123"/>
      <c r="G34" s="123"/>
      <c r="H34" s="123"/>
      <c r="I34" s="123"/>
      <c r="J34" s="123"/>
      <c r="K34" s="123"/>
      <c r="L34" s="123"/>
      <c r="M34" s="123"/>
      <c r="N34" s="123"/>
      <c r="O34" s="123"/>
      <c r="P34" s="125">
        <v>11.734999999999999</v>
      </c>
      <c r="Q34" s="123"/>
      <c r="R34" s="123"/>
      <c r="S34" s="123"/>
      <c r="T34" s="125">
        <f t="shared" si="1"/>
        <v>11.734999999999999</v>
      </c>
      <c r="U34" s="9" t="s">
        <v>65</v>
      </c>
      <c r="V34" s="1"/>
      <c r="W34" s="1"/>
      <c r="X34" s="1"/>
      <c r="Y34" s="1"/>
      <c r="Z34" s="1"/>
    </row>
    <row r="35" spans="1:26" ht="24.75" customHeight="1">
      <c r="A35" s="171"/>
      <c r="B35" s="171"/>
      <c r="C35" s="171"/>
      <c r="D35" s="5">
        <v>30</v>
      </c>
      <c r="E35" s="5" t="s">
        <v>73</v>
      </c>
      <c r="F35" s="123"/>
      <c r="G35" s="123"/>
      <c r="H35" s="123"/>
      <c r="I35" s="125"/>
      <c r="J35" s="123"/>
      <c r="K35" s="123"/>
      <c r="L35" s="123"/>
      <c r="M35" s="123"/>
      <c r="N35" s="123"/>
      <c r="O35" s="123"/>
      <c r="P35" s="123"/>
      <c r="Q35" s="125">
        <v>3</v>
      </c>
      <c r="R35" s="124">
        <v>1.516</v>
      </c>
      <c r="S35" s="123"/>
      <c r="T35" s="125">
        <f t="shared" si="1"/>
        <v>4.516</v>
      </c>
      <c r="U35" s="9" t="s">
        <v>360</v>
      </c>
      <c r="V35" s="1"/>
      <c r="W35" s="1"/>
      <c r="X35" s="1"/>
      <c r="Y35" s="1"/>
      <c r="Z35" s="1"/>
    </row>
    <row r="36" spans="1:26" ht="24.75" customHeight="1">
      <c r="A36" s="171"/>
      <c r="B36" s="169"/>
      <c r="C36" s="169"/>
      <c r="D36" s="5">
        <v>31</v>
      </c>
      <c r="E36" s="5" t="s">
        <v>54</v>
      </c>
      <c r="F36" s="123"/>
      <c r="G36" s="123"/>
      <c r="H36" s="123"/>
      <c r="I36" s="123"/>
      <c r="J36" s="123"/>
      <c r="K36" s="123"/>
      <c r="L36" s="123"/>
      <c r="M36" s="123"/>
      <c r="N36" s="123"/>
      <c r="O36" s="123"/>
      <c r="P36" s="123"/>
      <c r="Q36" s="123"/>
      <c r="R36" s="123"/>
      <c r="S36" s="123"/>
      <c r="T36" s="125">
        <f t="shared" si="1"/>
        <v>0</v>
      </c>
      <c r="U36" s="9"/>
      <c r="V36" s="1"/>
      <c r="W36" s="1"/>
      <c r="X36" s="1"/>
      <c r="Y36" s="1"/>
      <c r="Z36" s="1"/>
    </row>
    <row r="37" spans="1:26" ht="24.75" customHeight="1">
      <c r="A37" s="171"/>
      <c r="B37" s="168" t="s">
        <v>75</v>
      </c>
      <c r="C37" s="168" t="s">
        <v>76</v>
      </c>
      <c r="D37" s="5">
        <v>32</v>
      </c>
      <c r="E37" s="5" t="s">
        <v>77</v>
      </c>
      <c r="F37" s="5"/>
      <c r="G37" s="5"/>
      <c r="H37" s="5"/>
      <c r="I37" s="6"/>
      <c r="J37" s="5"/>
      <c r="K37" s="5"/>
      <c r="L37" s="5"/>
      <c r="M37" s="6"/>
      <c r="N37" s="6">
        <v>2.37</v>
      </c>
      <c r="O37" s="8">
        <v>63.75</v>
      </c>
      <c r="P37" s="8">
        <v>12.27</v>
      </c>
      <c r="Q37" s="6">
        <v>1</v>
      </c>
      <c r="R37" s="8">
        <v>5.0330000000000004</v>
      </c>
      <c r="S37" s="5"/>
      <c r="T37" s="6">
        <f t="shared" si="0"/>
        <v>84.423000000000002</v>
      </c>
      <c r="U37" s="9" t="s">
        <v>361</v>
      </c>
      <c r="V37" s="1"/>
      <c r="W37" s="1"/>
      <c r="X37" s="1"/>
      <c r="Y37" s="1"/>
      <c r="Z37" s="1"/>
    </row>
    <row r="38" spans="1:26" ht="24.75" customHeight="1">
      <c r="A38" s="171"/>
      <c r="B38" s="171"/>
      <c r="C38" s="171"/>
      <c r="D38" s="5">
        <v>33</v>
      </c>
      <c r="E38" s="5" t="s">
        <v>79</v>
      </c>
      <c r="F38" s="5"/>
      <c r="G38" s="5"/>
      <c r="H38" s="5"/>
      <c r="I38" s="5"/>
      <c r="J38" s="5"/>
      <c r="K38" s="5"/>
      <c r="L38" s="5"/>
      <c r="M38" s="5"/>
      <c r="N38" s="5"/>
      <c r="O38" s="5"/>
      <c r="P38" s="5"/>
      <c r="Q38" s="5"/>
      <c r="R38" s="5"/>
      <c r="S38" s="5"/>
      <c r="T38" s="6">
        <f t="shared" si="0"/>
        <v>0</v>
      </c>
      <c r="U38" s="9"/>
      <c r="V38" s="1"/>
      <c r="W38" s="1"/>
      <c r="X38" s="1"/>
      <c r="Y38" s="1"/>
      <c r="Z38" s="1"/>
    </row>
    <row r="39" spans="1:26" ht="24.75" customHeight="1">
      <c r="A39" s="171"/>
      <c r="B39" s="169"/>
      <c r="C39" s="169"/>
      <c r="D39" s="5">
        <v>34</v>
      </c>
      <c r="E39" s="5" t="s">
        <v>80</v>
      </c>
      <c r="F39" s="5"/>
      <c r="G39" s="5"/>
      <c r="H39" s="5"/>
      <c r="I39" s="5"/>
      <c r="J39" s="5"/>
      <c r="K39" s="5"/>
      <c r="L39" s="5"/>
      <c r="M39" s="5"/>
      <c r="N39" s="6"/>
      <c r="O39" s="5"/>
      <c r="P39" s="8"/>
      <c r="Q39" s="5"/>
      <c r="R39" s="5"/>
      <c r="S39" s="5"/>
      <c r="T39" s="6">
        <f t="shared" si="0"/>
        <v>0</v>
      </c>
      <c r="U39" s="9"/>
      <c r="V39" s="1"/>
      <c r="W39" s="1"/>
      <c r="X39" s="1"/>
      <c r="Y39" s="1"/>
      <c r="Z39" s="1"/>
    </row>
    <row r="40" spans="1:26" ht="24.75" customHeight="1">
      <c r="A40" s="171"/>
      <c r="B40" s="168" t="s">
        <v>81</v>
      </c>
      <c r="C40" s="168" t="s">
        <v>82</v>
      </c>
      <c r="D40" s="5">
        <v>35</v>
      </c>
      <c r="E40" s="5" t="s">
        <v>83</v>
      </c>
      <c r="F40" s="5"/>
      <c r="G40" s="5"/>
      <c r="H40" s="5"/>
      <c r="I40" s="6"/>
      <c r="J40" s="5"/>
      <c r="K40" s="5"/>
      <c r="L40" s="5"/>
      <c r="M40" s="5"/>
      <c r="N40" s="6">
        <v>2.75</v>
      </c>
      <c r="O40" s="5"/>
      <c r="P40" s="8">
        <v>2.83</v>
      </c>
      <c r="Q40" s="8"/>
      <c r="R40" s="5">
        <v>0.1</v>
      </c>
      <c r="S40" s="5"/>
      <c r="T40" s="6">
        <f t="shared" si="0"/>
        <v>5.68</v>
      </c>
      <c r="U40" s="9" t="s">
        <v>591</v>
      </c>
      <c r="V40" s="1"/>
      <c r="W40" s="1"/>
      <c r="X40" s="1"/>
      <c r="Y40" s="1"/>
      <c r="Z40" s="1"/>
    </row>
    <row r="41" spans="1:26" ht="24.75" customHeight="1">
      <c r="A41" s="171"/>
      <c r="B41" s="171"/>
      <c r="C41" s="171"/>
      <c r="D41" s="5">
        <v>36</v>
      </c>
      <c r="E41" s="5" t="s">
        <v>84</v>
      </c>
      <c r="F41" s="5"/>
      <c r="G41" s="5"/>
      <c r="H41" s="5"/>
      <c r="I41" s="5"/>
      <c r="J41" s="5"/>
      <c r="K41" s="6"/>
      <c r="L41" s="5"/>
      <c r="M41" s="5"/>
      <c r="N41" s="27">
        <v>0.8</v>
      </c>
      <c r="O41" s="5"/>
      <c r="P41" s="5"/>
      <c r="Q41" s="5"/>
      <c r="R41" s="5"/>
      <c r="S41" s="5"/>
      <c r="T41" s="6">
        <f t="shared" si="0"/>
        <v>0.8</v>
      </c>
      <c r="U41" s="9" t="s">
        <v>405</v>
      </c>
      <c r="V41" s="1"/>
      <c r="W41" s="1"/>
      <c r="X41" s="1"/>
      <c r="Y41" s="1"/>
      <c r="Z41" s="1"/>
    </row>
    <row r="42" spans="1:26" ht="24.75" customHeight="1">
      <c r="A42" s="171"/>
      <c r="B42" s="171"/>
      <c r="C42" s="171"/>
      <c r="D42" s="5">
        <v>37</v>
      </c>
      <c r="E42" s="5" t="s">
        <v>86</v>
      </c>
      <c r="F42" s="5"/>
      <c r="G42" s="5"/>
      <c r="H42" s="5"/>
      <c r="I42" s="5"/>
      <c r="J42" s="5"/>
      <c r="K42" s="6"/>
      <c r="L42" s="5"/>
      <c r="M42" s="5"/>
      <c r="N42" s="5"/>
      <c r="O42" s="5"/>
      <c r="P42" s="5"/>
      <c r="Q42" s="5"/>
      <c r="R42" s="5"/>
      <c r="S42" s="5"/>
      <c r="T42" s="6">
        <f t="shared" si="0"/>
        <v>0</v>
      </c>
      <c r="U42" s="9"/>
      <c r="V42" s="1"/>
      <c r="W42" s="1"/>
      <c r="X42" s="1"/>
      <c r="Y42" s="1"/>
      <c r="Z42" s="1"/>
    </row>
    <row r="43" spans="1:26" ht="24.75" customHeight="1">
      <c r="A43" s="171"/>
      <c r="B43" s="171"/>
      <c r="C43" s="171"/>
      <c r="D43" s="5">
        <v>38</v>
      </c>
      <c r="E43" s="5" t="s">
        <v>87</v>
      </c>
      <c r="F43" s="5"/>
      <c r="G43" s="5"/>
      <c r="H43" s="5"/>
      <c r="I43" s="5"/>
      <c r="J43" s="5"/>
      <c r="K43" s="5"/>
      <c r="L43" s="5"/>
      <c r="M43" s="5"/>
      <c r="N43" s="6">
        <v>3.9249999999999998</v>
      </c>
      <c r="O43" s="8">
        <v>0.128</v>
      </c>
      <c r="P43" s="8">
        <v>6.4</v>
      </c>
      <c r="Q43" s="8">
        <v>0.7</v>
      </c>
      <c r="R43" s="5">
        <v>1</v>
      </c>
      <c r="S43" s="5"/>
      <c r="T43" s="6">
        <f t="shared" si="0"/>
        <v>12.152999999999999</v>
      </c>
      <c r="U43" s="9" t="s">
        <v>592</v>
      </c>
      <c r="V43" s="1"/>
      <c r="W43" s="1"/>
      <c r="X43" s="1"/>
      <c r="Y43" s="1"/>
      <c r="Z43" s="1"/>
    </row>
    <row r="44" spans="1:26" ht="24.75" customHeight="1">
      <c r="A44" s="171"/>
      <c r="B44" s="171"/>
      <c r="C44" s="171"/>
      <c r="D44" s="5">
        <v>39</v>
      </c>
      <c r="E44" s="5" t="s">
        <v>88</v>
      </c>
      <c r="F44" s="5"/>
      <c r="G44" s="5"/>
      <c r="H44" s="5"/>
      <c r="I44" s="5"/>
      <c r="J44" s="5"/>
      <c r="K44" s="5"/>
      <c r="L44" s="5"/>
      <c r="M44" s="5"/>
      <c r="N44" s="5"/>
      <c r="O44" s="5"/>
      <c r="P44" s="8">
        <v>0.7</v>
      </c>
      <c r="Q44" s="8">
        <v>15.5</v>
      </c>
      <c r="R44" s="5"/>
      <c r="S44" s="5"/>
      <c r="T44" s="6">
        <f t="shared" si="0"/>
        <v>16.2</v>
      </c>
      <c r="U44" s="9" t="s">
        <v>593</v>
      </c>
      <c r="V44" s="1"/>
      <c r="W44" s="1"/>
      <c r="X44" s="1"/>
      <c r="Y44" s="1"/>
      <c r="Z44" s="1"/>
    </row>
    <row r="45" spans="1:26" ht="24.75" customHeight="1">
      <c r="A45" s="171"/>
      <c r="B45" s="171"/>
      <c r="C45" s="171"/>
      <c r="D45" s="5">
        <v>40</v>
      </c>
      <c r="E45" s="5" t="s">
        <v>89</v>
      </c>
      <c r="F45" s="5"/>
      <c r="G45" s="5"/>
      <c r="H45" s="5"/>
      <c r="I45" s="5"/>
      <c r="J45" s="5"/>
      <c r="K45" s="5"/>
      <c r="L45" s="5"/>
      <c r="M45" s="5"/>
      <c r="N45" s="6">
        <v>0.10920000000000001</v>
      </c>
      <c r="O45" s="5"/>
      <c r="P45" s="8">
        <v>0.12</v>
      </c>
      <c r="Q45" s="6">
        <v>0.32</v>
      </c>
      <c r="R45" s="8">
        <v>2</v>
      </c>
      <c r="S45" s="5"/>
      <c r="T45" s="6">
        <f t="shared" si="0"/>
        <v>2.5491999999999999</v>
      </c>
      <c r="U45" s="9" t="s">
        <v>826</v>
      </c>
      <c r="V45" s="1"/>
      <c r="W45" s="1"/>
      <c r="X45" s="1"/>
      <c r="Y45" s="1"/>
      <c r="Z45" s="1"/>
    </row>
    <row r="46" spans="1:26" ht="24.75" customHeight="1">
      <c r="A46" s="171"/>
      <c r="B46" s="169"/>
      <c r="C46" s="169"/>
      <c r="D46" s="5">
        <v>41</v>
      </c>
      <c r="E46" s="5" t="s">
        <v>54</v>
      </c>
      <c r="F46" s="5"/>
      <c r="G46" s="5"/>
      <c r="H46" s="5"/>
      <c r="I46" s="5"/>
      <c r="J46" s="5"/>
      <c r="K46" s="5"/>
      <c r="L46" s="5"/>
      <c r="M46" s="5"/>
      <c r="N46" s="5"/>
      <c r="O46" s="5"/>
      <c r="P46" s="5"/>
      <c r="Q46" s="5"/>
      <c r="R46" s="5"/>
      <c r="S46" s="5"/>
      <c r="T46" s="6">
        <f t="shared" si="0"/>
        <v>0</v>
      </c>
      <c r="U46" s="9"/>
      <c r="V46" s="1"/>
      <c r="W46" s="1"/>
      <c r="X46" s="1"/>
      <c r="Y46" s="1"/>
      <c r="Z46" s="1"/>
    </row>
    <row r="47" spans="1:26" ht="24.75" customHeight="1">
      <c r="A47" s="171"/>
      <c r="B47" s="168" t="s">
        <v>90</v>
      </c>
      <c r="C47" s="168" t="s">
        <v>91</v>
      </c>
      <c r="D47" s="5">
        <v>42</v>
      </c>
      <c r="E47" s="5" t="s">
        <v>92</v>
      </c>
      <c r="F47" s="8">
        <v>9.51</v>
      </c>
      <c r="G47" s="5"/>
      <c r="H47" s="5"/>
      <c r="I47" s="6"/>
      <c r="J47" s="5"/>
      <c r="K47" s="5"/>
      <c r="L47" s="5"/>
      <c r="M47" s="5"/>
      <c r="N47" s="6">
        <v>1.37</v>
      </c>
      <c r="O47" s="5"/>
      <c r="P47" s="8">
        <v>0.9</v>
      </c>
      <c r="Q47" s="5"/>
      <c r="R47" s="5"/>
      <c r="S47" s="5"/>
      <c r="T47" s="6">
        <f t="shared" si="0"/>
        <v>11.78</v>
      </c>
      <c r="V47" s="1"/>
      <c r="W47" s="1"/>
      <c r="X47" s="1"/>
      <c r="Y47" s="1"/>
      <c r="Z47" s="1"/>
    </row>
    <row r="48" spans="1:26" ht="24.75" customHeight="1">
      <c r="A48" s="171"/>
      <c r="B48" s="171"/>
      <c r="C48" s="171"/>
      <c r="D48" s="5">
        <v>43</v>
      </c>
      <c r="E48" s="5" t="s">
        <v>93</v>
      </c>
      <c r="F48" s="8">
        <v>1.95</v>
      </c>
      <c r="G48" s="5"/>
      <c r="H48" s="5"/>
      <c r="I48" s="6"/>
      <c r="J48" s="5"/>
      <c r="K48" s="5"/>
      <c r="L48" s="5"/>
      <c r="M48" s="5"/>
      <c r="N48" s="6">
        <v>0.45750000000000002</v>
      </c>
      <c r="O48" s="5"/>
      <c r="P48" s="8">
        <v>0.8</v>
      </c>
      <c r="Q48" s="5"/>
      <c r="R48" s="5"/>
      <c r="S48" s="5"/>
      <c r="T48" s="6">
        <f t="shared" si="0"/>
        <v>3.2074999999999996</v>
      </c>
      <c r="U48" s="9"/>
      <c r="V48" s="1"/>
      <c r="W48" s="1"/>
      <c r="X48" s="1"/>
      <c r="Y48" s="1"/>
      <c r="Z48" s="1"/>
    </row>
    <row r="49" spans="1:26" ht="24.75" customHeight="1">
      <c r="A49" s="171"/>
      <c r="B49" s="171"/>
      <c r="C49" s="171"/>
      <c r="D49" s="5">
        <v>44</v>
      </c>
      <c r="E49" s="5" t="s">
        <v>94</v>
      </c>
      <c r="F49" s="8">
        <v>1.1499999999999999</v>
      </c>
      <c r="G49" s="5"/>
      <c r="H49" s="5"/>
      <c r="I49" s="6"/>
      <c r="J49" s="5"/>
      <c r="K49" s="5"/>
      <c r="L49" s="5"/>
      <c r="M49" s="5"/>
      <c r="N49" s="6">
        <v>2.44</v>
      </c>
      <c r="O49" s="8">
        <v>0.31</v>
      </c>
      <c r="P49" s="8">
        <v>0.3</v>
      </c>
      <c r="Q49" s="5"/>
      <c r="R49" s="5"/>
      <c r="S49" s="5"/>
      <c r="T49" s="6">
        <f t="shared" si="0"/>
        <v>4.2</v>
      </c>
      <c r="U49" s="9" t="s">
        <v>406</v>
      </c>
      <c r="V49" s="1"/>
      <c r="W49" s="1"/>
      <c r="X49" s="1"/>
      <c r="Y49" s="1"/>
      <c r="Z49" s="1"/>
    </row>
    <row r="50" spans="1:26" ht="24.75" customHeight="1">
      <c r="A50" s="171"/>
      <c r="B50" s="171"/>
      <c r="C50" s="171"/>
      <c r="D50" s="5">
        <v>45</v>
      </c>
      <c r="E50" s="5" t="s">
        <v>96</v>
      </c>
      <c r="F50" s="8">
        <v>0.08</v>
      </c>
      <c r="G50" s="5"/>
      <c r="H50" s="5"/>
      <c r="I50" s="5"/>
      <c r="J50" s="5"/>
      <c r="K50" s="5"/>
      <c r="L50" s="5"/>
      <c r="M50" s="5"/>
      <c r="N50" s="6">
        <v>1</v>
      </c>
      <c r="O50" s="8">
        <v>0.08</v>
      </c>
      <c r="P50" s="5"/>
      <c r="Q50" s="5"/>
      <c r="R50" s="5"/>
      <c r="S50" s="5"/>
      <c r="T50" s="6">
        <f t="shared" si="0"/>
        <v>1.1600000000000001</v>
      </c>
      <c r="U50" s="9"/>
      <c r="V50" s="1"/>
      <c r="W50" s="1"/>
      <c r="X50" s="1"/>
      <c r="Y50" s="1"/>
      <c r="Z50" s="1"/>
    </row>
    <row r="51" spans="1:26" ht="24.75" customHeight="1">
      <c r="A51" s="171"/>
      <c r="B51" s="171"/>
      <c r="C51" s="171"/>
      <c r="D51" s="5">
        <v>46</v>
      </c>
      <c r="E51" s="5" t="s">
        <v>97</v>
      </c>
      <c r="F51" s="5"/>
      <c r="G51" s="5"/>
      <c r="H51" s="5"/>
      <c r="I51" s="5"/>
      <c r="J51" s="5"/>
      <c r="K51" s="5"/>
      <c r="L51" s="5"/>
      <c r="M51" s="5"/>
      <c r="N51" s="5"/>
      <c r="O51" s="5"/>
      <c r="P51" s="5"/>
      <c r="Q51" s="5"/>
      <c r="R51" s="5"/>
      <c r="S51" s="5"/>
      <c r="T51" s="6">
        <f t="shared" si="0"/>
        <v>0</v>
      </c>
      <c r="U51" s="9"/>
      <c r="V51" s="1"/>
      <c r="W51" s="1"/>
      <c r="X51" s="1"/>
      <c r="Y51" s="1"/>
      <c r="Z51" s="1"/>
    </row>
    <row r="52" spans="1:26" ht="24.75" customHeight="1">
      <c r="A52" s="171"/>
      <c r="B52" s="171"/>
      <c r="C52" s="171"/>
      <c r="D52" s="5">
        <v>47</v>
      </c>
      <c r="E52" s="5" t="s">
        <v>98</v>
      </c>
      <c r="F52" s="8">
        <v>1.5</v>
      </c>
      <c r="G52" s="5"/>
      <c r="H52" s="5"/>
      <c r="I52" s="5"/>
      <c r="J52" s="5"/>
      <c r="K52" s="5"/>
      <c r="L52" s="5"/>
      <c r="M52" s="5"/>
      <c r="N52" s="5"/>
      <c r="O52" s="5"/>
      <c r="P52" s="5"/>
      <c r="Q52" s="5"/>
      <c r="R52" s="5"/>
      <c r="S52" s="5"/>
      <c r="T52" s="6">
        <f t="shared" si="0"/>
        <v>1.5</v>
      </c>
      <c r="U52" s="9"/>
      <c r="V52" s="1"/>
      <c r="W52" s="1"/>
      <c r="X52" s="1"/>
      <c r="Y52" s="1"/>
      <c r="Z52" s="1"/>
    </row>
    <row r="53" spans="1:26" ht="24.75" customHeight="1">
      <c r="A53" s="171"/>
      <c r="B53" s="171"/>
      <c r="C53" s="171"/>
      <c r="D53" s="5">
        <v>48</v>
      </c>
      <c r="E53" s="5" t="s">
        <v>99</v>
      </c>
      <c r="F53" s="5"/>
      <c r="G53" s="5"/>
      <c r="H53" s="5"/>
      <c r="I53" s="5"/>
      <c r="J53" s="5"/>
      <c r="K53" s="5"/>
      <c r="L53" s="5"/>
      <c r="M53" s="5"/>
      <c r="N53" s="6">
        <v>0.1</v>
      </c>
      <c r="O53" s="5"/>
      <c r="P53" s="8"/>
      <c r="Q53" s="5"/>
      <c r="R53" s="5"/>
      <c r="S53" s="5"/>
      <c r="T53" s="6">
        <f t="shared" si="0"/>
        <v>0.1</v>
      </c>
      <c r="U53" s="9"/>
      <c r="V53" s="1"/>
      <c r="W53" s="1"/>
      <c r="X53" s="1"/>
      <c r="Y53" s="1"/>
      <c r="Z53" s="1"/>
    </row>
    <row r="54" spans="1:26" ht="24.75" customHeight="1">
      <c r="A54" s="171"/>
      <c r="B54" s="171"/>
      <c r="C54" s="171"/>
      <c r="D54" s="5">
        <v>49</v>
      </c>
      <c r="E54" s="5" t="s">
        <v>100</v>
      </c>
      <c r="F54" s="5"/>
      <c r="G54" s="5"/>
      <c r="H54" s="5"/>
      <c r="I54" s="5"/>
      <c r="J54" s="5"/>
      <c r="K54" s="5"/>
      <c r="L54" s="5"/>
      <c r="M54" s="5"/>
      <c r="N54" s="5"/>
      <c r="O54" s="5"/>
      <c r="P54" s="5"/>
      <c r="Q54" s="6">
        <v>0.8</v>
      </c>
      <c r="R54" s="8">
        <v>1.5</v>
      </c>
      <c r="S54" s="5"/>
      <c r="T54" s="6">
        <f t="shared" si="0"/>
        <v>2.2999999999999998</v>
      </c>
      <c r="U54" s="9" t="s">
        <v>310</v>
      </c>
      <c r="V54" s="1"/>
      <c r="W54" s="1"/>
      <c r="X54" s="1"/>
      <c r="Y54" s="1"/>
      <c r="Z54" s="1"/>
    </row>
    <row r="55" spans="1:26" ht="24.75" customHeight="1">
      <c r="A55" s="171"/>
      <c r="B55" s="171"/>
      <c r="C55" s="171"/>
      <c r="D55" s="5">
        <v>50</v>
      </c>
      <c r="E55" s="5" t="s">
        <v>102</v>
      </c>
      <c r="F55" s="5"/>
      <c r="G55" s="5"/>
      <c r="H55" s="5"/>
      <c r="I55" s="6"/>
      <c r="J55" s="5"/>
      <c r="K55" s="5"/>
      <c r="L55" s="5"/>
      <c r="M55" s="5"/>
      <c r="N55" s="6">
        <v>0.73</v>
      </c>
      <c r="O55" s="5"/>
      <c r="P55" s="8">
        <v>0.78</v>
      </c>
      <c r="Q55" s="6">
        <v>1</v>
      </c>
      <c r="R55" s="8">
        <v>0.113</v>
      </c>
      <c r="S55" s="5"/>
      <c r="T55" s="6">
        <f t="shared" si="0"/>
        <v>2.6229999999999998</v>
      </c>
      <c r="U55" s="9" t="s">
        <v>310</v>
      </c>
      <c r="V55" s="1"/>
      <c r="W55" s="1"/>
      <c r="X55" s="1"/>
      <c r="Y55" s="1"/>
      <c r="Z55" s="1"/>
    </row>
    <row r="56" spans="1:26" ht="24.75" customHeight="1">
      <c r="A56" s="171"/>
      <c r="B56" s="169"/>
      <c r="C56" s="169"/>
      <c r="D56" s="5">
        <v>51</v>
      </c>
      <c r="E56" s="5" t="s">
        <v>54</v>
      </c>
      <c r="F56" s="5"/>
      <c r="G56" s="5"/>
      <c r="H56" s="5"/>
      <c r="I56" s="5"/>
      <c r="J56" s="5"/>
      <c r="K56" s="5"/>
      <c r="L56" s="5"/>
      <c r="M56" s="5"/>
      <c r="N56" s="8"/>
      <c r="O56" s="5"/>
      <c r="P56" s="5">
        <v>1</v>
      </c>
      <c r="Q56" s="5"/>
      <c r="R56" s="5"/>
      <c r="S56" s="5"/>
      <c r="T56" s="6">
        <f t="shared" si="0"/>
        <v>1</v>
      </c>
      <c r="U56" s="9"/>
      <c r="V56" s="1"/>
      <c r="W56" s="1"/>
      <c r="X56" s="1"/>
      <c r="Y56" s="1"/>
      <c r="Z56" s="1"/>
    </row>
    <row r="57" spans="1:26" ht="24.75" customHeight="1">
      <c r="A57" s="171"/>
      <c r="B57" s="168" t="s">
        <v>103</v>
      </c>
      <c r="C57" s="168" t="s">
        <v>104</v>
      </c>
      <c r="D57" s="5">
        <v>52</v>
      </c>
      <c r="E57" s="5" t="s">
        <v>105</v>
      </c>
      <c r="F57" s="123"/>
      <c r="G57" s="123"/>
      <c r="H57" s="123"/>
      <c r="I57" s="125"/>
      <c r="J57" s="123"/>
      <c r="K57" s="125"/>
      <c r="L57" s="123"/>
      <c r="M57" s="123"/>
      <c r="N57" s="125">
        <v>2</v>
      </c>
      <c r="O57" s="124">
        <v>27.99</v>
      </c>
      <c r="P57" s="123"/>
      <c r="Q57" s="123"/>
      <c r="R57" s="123"/>
      <c r="S57" s="123"/>
      <c r="T57" s="125">
        <f t="shared" ref="T57:T66" si="2">SUM(F57:S57)</f>
        <v>29.99</v>
      </c>
      <c r="U57" s="9" t="s">
        <v>65</v>
      </c>
      <c r="V57" s="1"/>
      <c r="W57" s="1"/>
      <c r="X57" s="1"/>
      <c r="Y57" s="1"/>
      <c r="Z57" s="1"/>
    </row>
    <row r="58" spans="1:26" ht="24.75" customHeight="1">
      <c r="A58" s="171"/>
      <c r="B58" s="171"/>
      <c r="C58" s="171"/>
      <c r="D58" s="5">
        <v>53</v>
      </c>
      <c r="E58" s="5" t="s">
        <v>106</v>
      </c>
      <c r="F58" s="123"/>
      <c r="G58" s="123"/>
      <c r="H58" s="123"/>
      <c r="I58" s="123"/>
      <c r="J58" s="123"/>
      <c r="K58" s="125"/>
      <c r="L58" s="123"/>
      <c r="M58" s="123"/>
      <c r="N58" s="125"/>
      <c r="O58" s="124">
        <v>3.11</v>
      </c>
      <c r="P58" s="123"/>
      <c r="Q58" s="124">
        <v>3</v>
      </c>
      <c r="R58" s="123"/>
      <c r="S58" s="123"/>
      <c r="T58" s="125">
        <f t="shared" si="2"/>
        <v>6.1099999999999994</v>
      </c>
      <c r="U58" s="9" t="s">
        <v>65</v>
      </c>
      <c r="V58" s="1"/>
      <c r="W58" s="1"/>
      <c r="X58" s="1"/>
      <c r="Y58" s="1"/>
      <c r="Z58" s="1"/>
    </row>
    <row r="59" spans="1:26" ht="24.75" customHeight="1">
      <c r="A59" s="171"/>
      <c r="B59" s="171"/>
      <c r="C59" s="171"/>
      <c r="D59" s="5">
        <v>54</v>
      </c>
      <c r="E59" s="5" t="s">
        <v>107</v>
      </c>
      <c r="F59" s="123"/>
      <c r="G59" s="123"/>
      <c r="H59" s="124"/>
      <c r="I59" s="123"/>
      <c r="J59" s="123"/>
      <c r="K59" s="123"/>
      <c r="L59" s="123"/>
      <c r="M59" s="123"/>
      <c r="N59" s="123"/>
      <c r="O59" s="124"/>
      <c r="P59" s="124"/>
      <c r="Q59" s="123"/>
      <c r="R59" s="123"/>
      <c r="S59" s="123"/>
      <c r="T59" s="125">
        <f t="shared" si="2"/>
        <v>0</v>
      </c>
      <c r="U59" s="9"/>
      <c r="V59" s="1"/>
      <c r="W59" s="1"/>
      <c r="X59" s="1"/>
      <c r="Y59" s="1"/>
      <c r="Z59" s="1"/>
    </row>
    <row r="60" spans="1:26" ht="24.75" customHeight="1">
      <c r="A60" s="171"/>
      <c r="B60" s="171"/>
      <c r="C60" s="171"/>
      <c r="D60" s="5">
        <v>55</v>
      </c>
      <c r="E60" s="5" t="s">
        <v>108</v>
      </c>
      <c r="F60" s="123"/>
      <c r="G60" s="123"/>
      <c r="H60" s="123"/>
      <c r="I60" s="123"/>
      <c r="J60" s="123"/>
      <c r="K60" s="125"/>
      <c r="L60" s="123"/>
      <c r="M60" s="123"/>
      <c r="N60" s="123"/>
      <c r="O60" s="123"/>
      <c r="P60" s="123"/>
      <c r="Q60" s="123"/>
      <c r="R60" s="123"/>
      <c r="S60" s="123"/>
      <c r="T60" s="125">
        <f t="shared" si="2"/>
        <v>0</v>
      </c>
      <c r="U60" s="9"/>
      <c r="V60" s="1"/>
      <c r="W60" s="1"/>
      <c r="X60" s="1"/>
      <c r="Y60" s="1"/>
      <c r="Z60" s="1"/>
    </row>
    <row r="61" spans="1:26" ht="24.75" customHeight="1">
      <c r="A61" s="171"/>
      <c r="B61" s="171"/>
      <c r="C61" s="171"/>
      <c r="D61" s="5">
        <v>56</v>
      </c>
      <c r="E61" s="5" t="s">
        <v>109</v>
      </c>
      <c r="F61" s="123"/>
      <c r="G61" s="123"/>
      <c r="H61" s="123"/>
      <c r="I61" s="123"/>
      <c r="J61" s="123"/>
      <c r="K61" s="123"/>
      <c r="L61" s="123"/>
      <c r="M61" s="123"/>
      <c r="N61" s="123"/>
      <c r="O61" s="124">
        <v>6.22</v>
      </c>
      <c r="P61" s="123"/>
      <c r="Q61" s="123"/>
      <c r="R61" s="123"/>
      <c r="S61" s="123"/>
      <c r="T61" s="125">
        <f t="shared" si="2"/>
        <v>6.22</v>
      </c>
      <c r="U61" s="9" t="s">
        <v>65</v>
      </c>
      <c r="V61" s="1"/>
      <c r="W61" s="1"/>
      <c r="X61" s="1"/>
      <c r="Y61" s="1"/>
      <c r="Z61" s="1"/>
    </row>
    <row r="62" spans="1:26" ht="24.75" customHeight="1">
      <c r="A62" s="171"/>
      <c r="B62" s="171"/>
      <c r="C62" s="171"/>
      <c r="D62" s="5">
        <v>57</v>
      </c>
      <c r="E62" s="5" t="s">
        <v>110</v>
      </c>
      <c r="F62" s="123"/>
      <c r="G62" s="123"/>
      <c r="H62" s="124"/>
      <c r="I62" s="123"/>
      <c r="J62" s="123"/>
      <c r="K62" s="123"/>
      <c r="L62" s="123"/>
      <c r="M62" s="124">
        <f>1.05*2</f>
        <v>2.1</v>
      </c>
      <c r="N62" s="123"/>
      <c r="O62" s="123"/>
      <c r="P62" s="123"/>
      <c r="Q62" s="123"/>
      <c r="R62" s="123"/>
      <c r="S62" s="123"/>
      <c r="T62" s="125">
        <f t="shared" si="2"/>
        <v>2.1</v>
      </c>
      <c r="U62" s="9" t="s">
        <v>65</v>
      </c>
      <c r="V62" s="1"/>
      <c r="W62" s="1"/>
      <c r="X62" s="1"/>
      <c r="Y62" s="1"/>
      <c r="Z62" s="1"/>
    </row>
    <row r="63" spans="1:26" ht="24.75" customHeight="1">
      <c r="A63" s="171"/>
      <c r="B63" s="171"/>
      <c r="C63" s="171"/>
      <c r="D63" s="5">
        <v>58</v>
      </c>
      <c r="E63" s="5" t="s">
        <v>111</v>
      </c>
      <c r="F63" s="123"/>
      <c r="G63" s="123"/>
      <c r="H63" s="123"/>
      <c r="I63" s="123"/>
      <c r="J63" s="123"/>
      <c r="K63" s="125"/>
      <c r="L63" s="123"/>
      <c r="M63" s="123"/>
      <c r="N63" s="123"/>
      <c r="O63" s="124">
        <v>1.5549999999999999</v>
      </c>
      <c r="P63" s="123"/>
      <c r="Q63" s="124">
        <v>0.75</v>
      </c>
      <c r="R63" s="123"/>
      <c r="S63" s="123"/>
      <c r="T63" s="125">
        <f t="shared" si="2"/>
        <v>2.3049999999999997</v>
      </c>
      <c r="U63" s="9" t="s">
        <v>65</v>
      </c>
      <c r="V63" s="1"/>
      <c r="W63" s="1"/>
      <c r="X63" s="1"/>
      <c r="Y63" s="1"/>
      <c r="Z63" s="1"/>
    </row>
    <row r="64" spans="1:26" ht="24.75" customHeight="1">
      <c r="A64" s="171"/>
      <c r="B64" s="171"/>
      <c r="C64" s="171"/>
      <c r="D64" s="5">
        <v>59</v>
      </c>
      <c r="E64" s="5" t="s">
        <v>112</v>
      </c>
      <c r="F64" s="123"/>
      <c r="G64" s="123"/>
      <c r="H64" s="123"/>
      <c r="I64" s="123"/>
      <c r="J64" s="123"/>
      <c r="K64" s="123"/>
      <c r="L64" s="123"/>
      <c r="M64" s="123"/>
      <c r="N64" s="123"/>
      <c r="O64" s="123"/>
      <c r="P64" s="123"/>
      <c r="Q64" s="123"/>
      <c r="R64" s="123"/>
      <c r="S64" s="123"/>
      <c r="T64" s="125">
        <f t="shared" si="2"/>
        <v>0</v>
      </c>
      <c r="U64" s="9"/>
      <c r="V64" s="1"/>
      <c r="W64" s="1"/>
      <c r="X64" s="1"/>
      <c r="Y64" s="1"/>
      <c r="Z64" s="1"/>
    </row>
    <row r="65" spans="1:26" ht="24.75" customHeight="1">
      <c r="A65" s="171"/>
      <c r="B65" s="171"/>
      <c r="C65" s="171"/>
      <c r="D65" s="5">
        <v>60</v>
      </c>
      <c r="E65" s="5" t="s">
        <v>113</v>
      </c>
      <c r="F65" s="123"/>
      <c r="G65" s="123"/>
      <c r="H65" s="123"/>
      <c r="I65" s="123"/>
      <c r="J65" s="123"/>
      <c r="K65" s="123"/>
      <c r="L65" s="123"/>
      <c r="M65" s="123"/>
      <c r="N65" s="123"/>
      <c r="O65" s="123"/>
      <c r="P65" s="123"/>
      <c r="Q65" s="123"/>
      <c r="R65" s="123"/>
      <c r="S65" s="123"/>
      <c r="T65" s="125">
        <f t="shared" si="2"/>
        <v>0</v>
      </c>
      <c r="U65" s="9"/>
      <c r="V65" s="1"/>
      <c r="W65" s="1"/>
      <c r="X65" s="1"/>
      <c r="Y65" s="1"/>
      <c r="Z65" s="1"/>
    </row>
    <row r="66" spans="1:26" ht="24.75" customHeight="1">
      <c r="A66" s="171"/>
      <c r="B66" s="169"/>
      <c r="C66" s="169"/>
      <c r="D66" s="5">
        <v>61</v>
      </c>
      <c r="E66" s="5" t="s">
        <v>54</v>
      </c>
      <c r="F66" s="123"/>
      <c r="G66" s="123"/>
      <c r="H66" s="123"/>
      <c r="I66" s="123"/>
      <c r="J66" s="123"/>
      <c r="K66" s="123"/>
      <c r="L66" s="123"/>
      <c r="M66" s="123"/>
      <c r="N66" s="123"/>
      <c r="O66" s="123"/>
      <c r="P66" s="123"/>
      <c r="Q66" s="123"/>
      <c r="R66" s="123"/>
      <c r="S66" s="123"/>
      <c r="T66" s="125">
        <f t="shared" si="2"/>
        <v>0</v>
      </c>
      <c r="U66" s="9"/>
      <c r="V66" s="1"/>
      <c r="W66" s="1"/>
      <c r="X66" s="1"/>
      <c r="Y66" s="1"/>
      <c r="Z66" s="1"/>
    </row>
    <row r="67" spans="1:26" ht="24.75" customHeight="1">
      <c r="A67" s="171"/>
      <c r="B67" s="5" t="s">
        <v>114</v>
      </c>
      <c r="C67" s="5" t="s">
        <v>115</v>
      </c>
      <c r="D67" s="5">
        <v>62</v>
      </c>
      <c r="E67" s="5" t="s">
        <v>116</v>
      </c>
      <c r="F67" s="5"/>
      <c r="G67" s="5"/>
      <c r="H67" s="5"/>
      <c r="I67" s="5"/>
      <c r="J67" s="5"/>
      <c r="K67" s="5"/>
      <c r="L67" s="5"/>
      <c r="M67" s="6"/>
      <c r="N67" s="5"/>
      <c r="O67" s="8">
        <v>1</v>
      </c>
      <c r="P67" s="8"/>
      <c r="Q67" s="6">
        <v>0.25</v>
      </c>
      <c r="R67" s="5"/>
      <c r="S67" s="8"/>
      <c r="T67" s="6">
        <f t="shared" si="0"/>
        <v>1.25</v>
      </c>
      <c r="U67" s="61" t="s">
        <v>577</v>
      </c>
      <c r="V67" s="1"/>
      <c r="W67" s="1"/>
      <c r="X67" s="1"/>
      <c r="Y67" s="1"/>
      <c r="Z67" s="1"/>
    </row>
    <row r="68" spans="1:26" ht="24.75" customHeight="1">
      <c r="A68" s="169"/>
      <c r="B68" s="176" t="s">
        <v>117</v>
      </c>
      <c r="C68" s="177"/>
      <c r="D68" s="178"/>
      <c r="E68" s="51"/>
      <c r="F68" s="51">
        <f t="shared" ref="F68:S68" si="3">SUM(F6:F67)</f>
        <v>107.62000000000002</v>
      </c>
      <c r="G68" s="51">
        <f t="shared" si="3"/>
        <v>0</v>
      </c>
      <c r="H68" s="51">
        <f t="shared" si="3"/>
        <v>0</v>
      </c>
      <c r="I68" s="51">
        <f t="shared" si="3"/>
        <v>7.16</v>
      </c>
      <c r="J68" s="51">
        <f t="shared" si="3"/>
        <v>0</v>
      </c>
      <c r="K68" s="51">
        <f t="shared" si="3"/>
        <v>142.38399999999999</v>
      </c>
      <c r="L68" s="51">
        <f t="shared" si="3"/>
        <v>0</v>
      </c>
      <c r="M68" s="51">
        <f t="shared" si="3"/>
        <v>54.484000000000002</v>
      </c>
      <c r="N68" s="51">
        <f t="shared" si="3"/>
        <v>35.699550000000002</v>
      </c>
      <c r="O68" s="51">
        <f t="shared" si="3"/>
        <v>205.23500000000001</v>
      </c>
      <c r="P68" s="51">
        <f t="shared" si="3"/>
        <v>356.39999999999992</v>
      </c>
      <c r="Q68" s="51">
        <f t="shared" si="3"/>
        <v>30.51</v>
      </c>
      <c r="R68" s="51">
        <f t="shared" si="3"/>
        <v>16.327999999999999</v>
      </c>
      <c r="S68" s="51">
        <f t="shared" si="3"/>
        <v>0.35</v>
      </c>
      <c r="T68" s="6">
        <f t="shared" si="0"/>
        <v>956.17054999999993</v>
      </c>
      <c r="U68" s="9"/>
      <c r="V68" s="1"/>
      <c r="W68" s="1"/>
      <c r="X68" s="1"/>
      <c r="Y68" s="1"/>
      <c r="Z68" s="1"/>
    </row>
    <row r="69" spans="1:26" ht="39.75" customHeight="1">
      <c r="A69" s="175" t="s">
        <v>118</v>
      </c>
      <c r="B69" s="5" t="s">
        <v>119</v>
      </c>
      <c r="C69" s="5" t="s">
        <v>120</v>
      </c>
      <c r="D69" s="5">
        <v>63</v>
      </c>
      <c r="E69" s="5" t="s">
        <v>121</v>
      </c>
      <c r="F69" s="5"/>
      <c r="G69" s="5"/>
      <c r="H69" s="5"/>
      <c r="I69" s="5"/>
      <c r="J69" s="5"/>
      <c r="K69" s="5"/>
      <c r="L69" s="5"/>
      <c r="M69" s="8"/>
      <c r="N69" s="6">
        <v>7.55</v>
      </c>
      <c r="O69" s="5"/>
      <c r="P69" s="6"/>
      <c r="Q69" s="5"/>
      <c r="R69" s="8">
        <v>5</v>
      </c>
      <c r="S69" s="8"/>
      <c r="T69" s="6">
        <f t="shared" si="0"/>
        <v>12.55</v>
      </c>
      <c r="U69" s="9" t="s">
        <v>407</v>
      </c>
      <c r="V69" s="1"/>
      <c r="W69" s="1"/>
      <c r="X69" s="1"/>
      <c r="Y69" s="1"/>
      <c r="Z69" s="1"/>
    </row>
    <row r="70" spans="1:26" ht="39.75" customHeight="1">
      <c r="A70" s="171"/>
      <c r="B70" s="168" t="s">
        <v>122</v>
      </c>
      <c r="C70" s="168" t="s">
        <v>123</v>
      </c>
      <c r="D70" s="5">
        <v>64</v>
      </c>
      <c r="E70" s="5" t="s">
        <v>124</v>
      </c>
      <c r="F70" s="15"/>
      <c r="G70" s="15"/>
      <c r="H70" s="16"/>
      <c r="I70" s="17"/>
      <c r="J70" s="15"/>
      <c r="K70" s="17"/>
      <c r="L70" s="15"/>
      <c r="M70" s="15"/>
      <c r="N70" s="17">
        <v>0.8</v>
      </c>
      <c r="O70" s="16">
        <v>0.52500000000000002</v>
      </c>
      <c r="P70" s="17">
        <f>29.945+0.99</f>
        <v>30.934999999999999</v>
      </c>
      <c r="Q70" s="17">
        <v>0.64500000000000002</v>
      </c>
      <c r="R70" s="16">
        <v>2</v>
      </c>
      <c r="S70" s="16"/>
      <c r="T70" s="6">
        <f t="shared" ref="T70:T133" si="4">SUM(F70:S70)</f>
        <v>34.905000000000001</v>
      </c>
      <c r="U70" s="9" t="s">
        <v>396</v>
      </c>
      <c r="V70" s="1"/>
      <c r="W70" s="1"/>
      <c r="X70" s="1"/>
      <c r="Y70" s="1"/>
      <c r="Z70" s="1"/>
    </row>
    <row r="71" spans="1:26" ht="39.75" customHeight="1">
      <c r="A71" s="171"/>
      <c r="B71" s="171"/>
      <c r="C71" s="171"/>
      <c r="D71" s="5">
        <v>65</v>
      </c>
      <c r="E71" s="5" t="s">
        <v>126</v>
      </c>
      <c r="F71" s="15"/>
      <c r="G71" s="15"/>
      <c r="H71" s="15"/>
      <c r="I71" s="15"/>
      <c r="J71" s="15"/>
      <c r="K71" s="15"/>
      <c r="L71" s="15"/>
      <c r="M71" s="15"/>
      <c r="N71" s="17"/>
      <c r="O71" s="15"/>
      <c r="P71" s="16">
        <v>0.17</v>
      </c>
      <c r="Q71" s="15"/>
      <c r="R71" s="15"/>
      <c r="S71" s="16"/>
      <c r="T71" s="6">
        <f t="shared" si="4"/>
        <v>0.17</v>
      </c>
      <c r="U71" s="9" t="s">
        <v>366</v>
      </c>
      <c r="V71" s="1"/>
      <c r="W71" s="1"/>
      <c r="X71" s="1"/>
      <c r="Y71" s="1"/>
      <c r="Z71" s="1"/>
    </row>
    <row r="72" spans="1:26" ht="39.75" customHeight="1">
      <c r="A72" s="171"/>
      <c r="B72" s="171"/>
      <c r="C72" s="171"/>
      <c r="D72" s="5">
        <v>66</v>
      </c>
      <c r="E72" s="5" t="s">
        <v>128</v>
      </c>
      <c r="F72" s="15"/>
      <c r="G72" s="15"/>
      <c r="H72" s="15"/>
      <c r="I72" s="15"/>
      <c r="J72" s="15"/>
      <c r="K72" s="17"/>
      <c r="L72" s="15"/>
      <c r="M72" s="15"/>
      <c r="N72" s="17">
        <v>0.2</v>
      </c>
      <c r="O72" s="15"/>
      <c r="P72" s="16"/>
      <c r="Q72" s="17">
        <v>0.05</v>
      </c>
      <c r="R72" s="34">
        <v>0.15</v>
      </c>
      <c r="S72" s="15"/>
      <c r="T72" s="6">
        <f t="shared" si="4"/>
        <v>0.4</v>
      </c>
      <c r="U72" s="9" t="s">
        <v>129</v>
      </c>
      <c r="V72" s="1"/>
      <c r="W72" s="1"/>
      <c r="X72" s="1"/>
      <c r="Y72" s="1"/>
      <c r="Z72" s="1"/>
    </row>
    <row r="73" spans="1:26" ht="39.75" customHeight="1">
      <c r="A73" s="171"/>
      <c r="B73" s="171"/>
      <c r="C73" s="171"/>
      <c r="D73" s="5">
        <v>67</v>
      </c>
      <c r="E73" s="5" t="s">
        <v>131</v>
      </c>
      <c r="F73" s="15"/>
      <c r="G73" s="15"/>
      <c r="H73" s="15"/>
      <c r="I73" s="15">
        <v>0.375</v>
      </c>
      <c r="J73" s="15"/>
      <c r="K73" s="17"/>
      <c r="L73" s="15"/>
      <c r="M73" s="15"/>
      <c r="N73" s="17">
        <v>0.4</v>
      </c>
      <c r="O73" s="15">
        <v>1.25</v>
      </c>
      <c r="P73" s="16">
        <v>2</v>
      </c>
      <c r="Q73" s="17">
        <v>0.995</v>
      </c>
      <c r="R73" s="16">
        <v>3.5</v>
      </c>
      <c r="S73" s="16"/>
      <c r="T73" s="6">
        <f t="shared" si="4"/>
        <v>8.52</v>
      </c>
      <c r="U73" s="9" t="s">
        <v>367</v>
      </c>
      <c r="V73" s="1"/>
      <c r="W73" s="1"/>
      <c r="X73" s="1"/>
      <c r="Y73" s="1"/>
      <c r="Z73" s="1"/>
    </row>
    <row r="74" spans="1:26" ht="39.75" customHeight="1">
      <c r="A74" s="171"/>
      <c r="B74" s="169"/>
      <c r="C74" s="169"/>
      <c r="D74" s="5">
        <v>68</v>
      </c>
      <c r="E74" s="5" t="s">
        <v>133</v>
      </c>
      <c r="F74" s="16"/>
      <c r="G74" s="15"/>
      <c r="H74" s="15"/>
      <c r="I74" s="17"/>
      <c r="J74" s="15"/>
      <c r="K74" s="17"/>
      <c r="L74" s="15"/>
      <c r="M74" s="15"/>
      <c r="N74" s="17">
        <v>1.1000000000000001</v>
      </c>
      <c r="O74" s="16"/>
      <c r="P74" s="16">
        <v>2.4</v>
      </c>
      <c r="Q74" s="17">
        <v>3</v>
      </c>
      <c r="R74" s="16">
        <v>5.7</v>
      </c>
      <c r="S74" s="16">
        <v>0.7</v>
      </c>
      <c r="T74" s="6">
        <f t="shared" si="4"/>
        <v>12.899999999999999</v>
      </c>
      <c r="U74" s="9" t="s">
        <v>368</v>
      </c>
      <c r="V74" s="1"/>
      <c r="W74" s="1"/>
      <c r="X74" s="1"/>
      <c r="Y74" s="1"/>
      <c r="Z74" s="1"/>
    </row>
    <row r="75" spans="1:26" ht="39.75" customHeight="1">
      <c r="A75" s="171"/>
      <c r="B75" s="168" t="s">
        <v>136</v>
      </c>
      <c r="C75" s="168" t="s">
        <v>137</v>
      </c>
      <c r="D75" s="5">
        <v>69</v>
      </c>
      <c r="E75" s="5" t="s">
        <v>138</v>
      </c>
      <c r="F75" s="20"/>
      <c r="G75" s="20"/>
      <c r="H75" s="20"/>
      <c r="I75" s="20"/>
      <c r="J75" s="20"/>
      <c r="K75" s="20"/>
      <c r="L75" s="20"/>
      <c r="M75" s="20">
        <v>0.68</v>
      </c>
      <c r="N75" s="20"/>
      <c r="O75" s="20">
        <v>83.009</v>
      </c>
      <c r="P75" s="20">
        <v>0.45</v>
      </c>
      <c r="Q75" s="20"/>
      <c r="R75" s="20"/>
      <c r="S75" s="20"/>
      <c r="T75" s="6">
        <f t="shared" si="4"/>
        <v>84.13900000000001</v>
      </c>
      <c r="U75" s="10" t="s">
        <v>408</v>
      </c>
      <c r="V75" s="1"/>
      <c r="W75" s="1"/>
      <c r="X75" s="1"/>
      <c r="Y75" s="1"/>
      <c r="Z75" s="1"/>
    </row>
    <row r="76" spans="1:26" ht="39.75" customHeight="1">
      <c r="A76" s="171"/>
      <c r="B76" s="171"/>
      <c r="C76" s="171"/>
      <c r="D76" s="5">
        <v>70</v>
      </c>
      <c r="E76" s="5" t="s">
        <v>140</v>
      </c>
      <c r="F76" s="20"/>
      <c r="G76" s="20"/>
      <c r="H76" s="20"/>
      <c r="I76" s="20">
        <v>0.22</v>
      </c>
      <c r="J76" s="20"/>
      <c r="K76" s="20"/>
      <c r="L76" s="20"/>
      <c r="M76" s="20"/>
      <c r="N76" s="20"/>
      <c r="O76" s="20"/>
      <c r="P76" s="20">
        <v>0.3</v>
      </c>
      <c r="Q76" s="20"/>
      <c r="R76" s="20"/>
      <c r="S76" s="20"/>
      <c r="T76" s="6">
        <f t="shared" si="4"/>
        <v>0.52</v>
      </c>
      <c r="U76" s="46" t="s">
        <v>409</v>
      </c>
      <c r="V76" s="1"/>
      <c r="W76" s="1"/>
      <c r="X76" s="1"/>
      <c r="Y76" s="1"/>
      <c r="Z76" s="1"/>
    </row>
    <row r="77" spans="1:26" ht="39.75" customHeight="1">
      <c r="A77" s="171"/>
      <c r="B77" s="171"/>
      <c r="C77" s="171"/>
      <c r="D77" s="5">
        <v>71</v>
      </c>
      <c r="E77" s="5" t="s">
        <v>142</v>
      </c>
      <c r="F77" s="20"/>
      <c r="G77" s="20"/>
      <c r="H77" s="20"/>
      <c r="I77" s="20"/>
      <c r="J77" s="20"/>
      <c r="K77" s="20"/>
      <c r="L77" s="20"/>
      <c r="M77" s="20"/>
      <c r="N77" s="20"/>
      <c r="O77" s="20"/>
      <c r="P77" s="20"/>
      <c r="Q77" s="20"/>
      <c r="R77" s="20"/>
      <c r="S77" s="20"/>
      <c r="T77" s="6">
        <f t="shared" si="4"/>
        <v>0</v>
      </c>
      <c r="U77" s="46"/>
      <c r="V77" s="1"/>
      <c r="W77" s="1"/>
      <c r="X77" s="1"/>
      <c r="Y77" s="1"/>
      <c r="Z77" s="1"/>
    </row>
    <row r="78" spans="1:26" ht="39.75" customHeight="1">
      <c r="A78" s="171"/>
      <c r="B78" s="169"/>
      <c r="C78" s="169"/>
      <c r="D78" s="5">
        <v>72</v>
      </c>
      <c r="E78" s="5" t="s">
        <v>143</v>
      </c>
      <c r="F78" s="23"/>
      <c r="G78" s="23"/>
      <c r="H78" s="23"/>
      <c r="I78" s="23"/>
      <c r="J78" s="23"/>
      <c r="K78" s="23"/>
      <c r="L78" s="23"/>
      <c r="M78" s="23"/>
      <c r="N78" s="23">
        <v>4.9829999999999997</v>
      </c>
      <c r="O78" s="23"/>
      <c r="P78" s="23"/>
      <c r="Q78" s="23">
        <v>2.9350000000000001</v>
      </c>
      <c r="R78" s="23">
        <v>2.5179999999999998</v>
      </c>
      <c r="S78" s="23"/>
      <c r="T78" s="6">
        <f t="shared" si="4"/>
        <v>10.436</v>
      </c>
      <c r="U78" s="46" t="s">
        <v>410</v>
      </c>
      <c r="V78" s="1"/>
      <c r="W78" s="1"/>
      <c r="X78" s="1"/>
      <c r="Y78" s="1"/>
      <c r="Z78" s="1"/>
    </row>
    <row r="79" spans="1:26" ht="39.75" customHeight="1">
      <c r="A79" s="171"/>
      <c r="B79" s="168" t="s">
        <v>145</v>
      </c>
      <c r="C79" s="168" t="s">
        <v>146</v>
      </c>
      <c r="D79" s="5">
        <v>73</v>
      </c>
      <c r="E79" s="5" t="s">
        <v>147</v>
      </c>
      <c r="F79" s="128">
        <v>5.6</v>
      </c>
      <c r="G79" s="128"/>
      <c r="H79" s="128">
        <v>2.5</v>
      </c>
      <c r="I79" s="128">
        <f>2.5+2.4+2+1.5</f>
        <v>8.4</v>
      </c>
      <c r="J79" s="112"/>
      <c r="K79" s="128">
        <f>2.8</f>
        <v>2.8</v>
      </c>
      <c r="L79" s="112"/>
      <c r="M79" s="128">
        <f>5.1+5.1</f>
        <v>10.199999999999999</v>
      </c>
      <c r="N79" s="128">
        <f>4.3+1.9+0.5</f>
        <v>6.6999999999999993</v>
      </c>
      <c r="O79" s="128"/>
      <c r="P79" s="128">
        <f>1.2+0.25+1.5</f>
        <v>2.95</v>
      </c>
      <c r="Q79" s="112"/>
      <c r="R79" s="128">
        <f>4+2.4+1.3+1+3+1.1</f>
        <v>12.799999999999999</v>
      </c>
      <c r="S79" s="128">
        <f>0.6</f>
        <v>0.6</v>
      </c>
      <c r="T79" s="129">
        <f>SUM(F79:S79)</f>
        <v>52.550000000000004</v>
      </c>
      <c r="U79" s="130" t="s">
        <v>761</v>
      </c>
      <c r="V79" s="1"/>
      <c r="W79" s="1"/>
      <c r="X79" s="1"/>
      <c r="Y79" s="1"/>
      <c r="Z79" s="1"/>
    </row>
    <row r="80" spans="1:26" ht="39.75" customHeight="1">
      <c r="A80" s="171"/>
      <c r="B80" s="171"/>
      <c r="C80" s="171"/>
      <c r="D80" s="5">
        <v>74</v>
      </c>
      <c r="E80" s="5" t="s">
        <v>148</v>
      </c>
      <c r="F80" s="128">
        <f>53+4</f>
        <v>57</v>
      </c>
      <c r="G80" s="128"/>
      <c r="H80" s="112"/>
      <c r="I80" s="112"/>
      <c r="J80" s="112"/>
      <c r="K80" s="112"/>
      <c r="L80" s="112"/>
      <c r="M80" s="112"/>
      <c r="N80" s="112"/>
      <c r="O80" s="112"/>
      <c r="P80" s="112"/>
      <c r="Q80" s="112"/>
      <c r="R80" s="112"/>
      <c r="S80" s="112"/>
      <c r="T80" s="129">
        <f t="shared" ref="T80:T84" si="5">SUM(F80:S80)</f>
        <v>57</v>
      </c>
      <c r="U80" s="130" t="s">
        <v>762</v>
      </c>
      <c r="V80" s="1"/>
      <c r="W80" s="1"/>
      <c r="X80" s="1"/>
      <c r="Y80" s="1"/>
      <c r="Z80" s="1"/>
    </row>
    <row r="81" spans="1:26" ht="39.75" customHeight="1">
      <c r="A81" s="171"/>
      <c r="B81" s="171"/>
      <c r="C81" s="171"/>
      <c r="D81" s="5">
        <v>75</v>
      </c>
      <c r="E81" s="5" t="s">
        <v>149</v>
      </c>
      <c r="F81" s="128">
        <f>3.8+1.4</f>
        <v>5.1999999999999993</v>
      </c>
      <c r="G81" s="128"/>
      <c r="H81" s="112"/>
      <c r="I81" s="112"/>
      <c r="J81" s="112"/>
      <c r="K81" s="112"/>
      <c r="L81" s="112"/>
      <c r="M81" s="112"/>
      <c r="N81" s="112"/>
      <c r="O81" s="112"/>
      <c r="P81" s="128">
        <f>3</f>
        <v>3</v>
      </c>
      <c r="Q81" s="112"/>
      <c r="R81" s="112"/>
      <c r="S81" s="112"/>
      <c r="T81" s="129">
        <f t="shared" si="5"/>
        <v>8.1999999999999993</v>
      </c>
      <c r="U81" s="130" t="s">
        <v>763</v>
      </c>
      <c r="V81" s="1"/>
      <c r="W81" s="1"/>
      <c r="X81" s="1"/>
      <c r="Y81" s="1"/>
      <c r="Z81" s="1"/>
    </row>
    <row r="82" spans="1:26" ht="39.75" customHeight="1">
      <c r="A82" s="171"/>
      <c r="B82" s="171"/>
      <c r="C82" s="171"/>
      <c r="D82" s="5">
        <v>76</v>
      </c>
      <c r="E82" s="5" t="s">
        <v>150</v>
      </c>
      <c r="F82" s="112"/>
      <c r="G82" s="112"/>
      <c r="H82" s="112"/>
      <c r="I82" s="112"/>
      <c r="J82" s="112"/>
      <c r="K82" s="128"/>
      <c r="L82" s="112"/>
      <c r="M82" s="128">
        <f>2.2</f>
        <v>2.2000000000000002</v>
      </c>
      <c r="N82" s="112"/>
      <c r="O82" s="112"/>
      <c r="P82" s="112"/>
      <c r="Q82" s="112"/>
      <c r="R82" s="112"/>
      <c r="S82" s="112"/>
      <c r="T82" s="129">
        <f t="shared" si="5"/>
        <v>2.2000000000000002</v>
      </c>
      <c r="U82" s="131" t="s">
        <v>747</v>
      </c>
      <c r="V82" s="1"/>
      <c r="W82" s="1"/>
      <c r="X82" s="1"/>
      <c r="Y82" s="1"/>
      <c r="Z82" s="1"/>
    </row>
    <row r="83" spans="1:26" ht="39.75" customHeight="1">
      <c r="A83" s="171"/>
      <c r="B83" s="171"/>
      <c r="C83" s="171"/>
      <c r="D83" s="5">
        <v>77</v>
      </c>
      <c r="E83" s="5" t="s">
        <v>151</v>
      </c>
      <c r="F83" s="128">
        <f>2.1</f>
        <v>2.1</v>
      </c>
      <c r="G83" s="128"/>
      <c r="H83" s="128">
        <f>1.5</f>
        <v>1.5</v>
      </c>
      <c r="I83" s="128">
        <f>1+1</f>
        <v>2</v>
      </c>
      <c r="J83" s="112"/>
      <c r="K83" s="128">
        <f>1.9</f>
        <v>1.9</v>
      </c>
      <c r="L83" s="112"/>
      <c r="M83" s="128"/>
      <c r="N83" s="128">
        <f>0.4</f>
        <v>0.4</v>
      </c>
      <c r="O83" s="112"/>
      <c r="P83" s="112"/>
      <c r="Q83" s="112"/>
      <c r="R83" s="112"/>
      <c r="S83" s="128">
        <f>0.5</f>
        <v>0.5</v>
      </c>
      <c r="T83" s="129">
        <f t="shared" si="5"/>
        <v>8.4</v>
      </c>
      <c r="U83" s="130" t="s">
        <v>764</v>
      </c>
      <c r="V83" s="1"/>
      <c r="W83" s="1"/>
      <c r="X83" s="1"/>
      <c r="Y83" s="1"/>
      <c r="Z83" s="1"/>
    </row>
    <row r="84" spans="1:26" ht="39.75" customHeight="1">
      <c r="A84" s="171"/>
      <c r="B84" s="171"/>
      <c r="C84" s="171"/>
      <c r="D84" s="5">
        <v>78</v>
      </c>
      <c r="E84" s="5" t="s">
        <v>152</v>
      </c>
      <c r="F84" s="112"/>
      <c r="G84" s="112"/>
      <c r="H84" s="112"/>
      <c r="I84" s="112"/>
      <c r="J84" s="112"/>
      <c r="K84" s="112"/>
      <c r="L84" s="112"/>
      <c r="M84" s="112"/>
      <c r="N84" s="112"/>
      <c r="O84" s="112"/>
      <c r="P84" s="112"/>
      <c r="Q84" s="128">
        <f>10.48+1.2</f>
        <v>11.68</v>
      </c>
      <c r="R84" s="112"/>
      <c r="S84" s="112"/>
      <c r="T84" s="129">
        <f t="shared" si="5"/>
        <v>11.68</v>
      </c>
      <c r="U84" s="130" t="s">
        <v>765</v>
      </c>
      <c r="V84" s="1"/>
      <c r="W84" s="1"/>
      <c r="X84" s="1"/>
      <c r="Y84" s="1"/>
      <c r="Z84" s="1"/>
    </row>
    <row r="85" spans="1:26" ht="39.75" customHeight="1">
      <c r="A85" s="171"/>
      <c r="B85" s="169"/>
      <c r="C85" s="169"/>
      <c r="D85" s="5">
        <v>79</v>
      </c>
      <c r="E85" s="5" t="s">
        <v>54</v>
      </c>
      <c r="F85" s="112"/>
      <c r="G85" s="112"/>
      <c r="H85" s="112"/>
      <c r="I85" s="112"/>
      <c r="J85" s="112"/>
      <c r="K85" s="112"/>
      <c r="L85" s="112"/>
      <c r="M85" s="112"/>
      <c r="N85" s="112"/>
      <c r="O85" s="112"/>
      <c r="P85" s="112"/>
      <c r="Q85" s="112"/>
      <c r="R85" s="112"/>
      <c r="S85" s="112"/>
      <c r="T85" s="129"/>
      <c r="U85" s="112"/>
      <c r="V85" s="1"/>
      <c r="W85" s="1"/>
      <c r="X85" s="1"/>
      <c r="Y85" s="1"/>
      <c r="Z85" s="1"/>
    </row>
    <row r="86" spans="1:26" ht="39.75" customHeight="1">
      <c r="A86" s="171"/>
      <c r="B86" s="168" t="s">
        <v>153</v>
      </c>
      <c r="C86" s="168" t="s">
        <v>154</v>
      </c>
      <c r="D86" s="5">
        <v>80</v>
      </c>
      <c r="E86" s="5" t="s">
        <v>155</v>
      </c>
      <c r="F86" s="5"/>
      <c r="G86" s="5"/>
      <c r="H86" s="5"/>
      <c r="I86" s="5"/>
      <c r="J86" s="5"/>
      <c r="K86" s="25"/>
      <c r="L86" s="5"/>
      <c r="M86" s="6"/>
      <c r="N86" s="5"/>
      <c r="O86" s="5"/>
      <c r="P86" s="8">
        <v>2.4</v>
      </c>
      <c r="Q86" s="6">
        <v>1</v>
      </c>
      <c r="R86" s="8"/>
      <c r="S86" s="5"/>
      <c r="T86" s="6">
        <f t="shared" si="4"/>
        <v>3.4</v>
      </c>
      <c r="U86" s="45" t="s">
        <v>411</v>
      </c>
      <c r="V86" s="1"/>
      <c r="W86" s="1"/>
      <c r="X86" s="1"/>
      <c r="Y86" s="1"/>
      <c r="Z86" s="1"/>
    </row>
    <row r="87" spans="1:26" ht="39.75" customHeight="1">
      <c r="A87" s="171"/>
      <c r="B87" s="171"/>
      <c r="C87" s="171"/>
      <c r="D87" s="5">
        <v>81</v>
      </c>
      <c r="E87" s="5" t="s">
        <v>156</v>
      </c>
      <c r="F87" s="5"/>
      <c r="G87" s="5"/>
      <c r="H87" s="5"/>
      <c r="I87" s="5"/>
      <c r="J87" s="5"/>
      <c r="K87" s="5"/>
      <c r="L87" s="5"/>
      <c r="M87" s="6"/>
      <c r="N87" s="6"/>
      <c r="O87" s="5"/>
      <c r="P87" s="8"/>
      <c r="Q87" s="8"/>
      <c r="R87" s="5"/>
      <c r="S87" s="5"/>
      <c r="T87" s="6">
        <f t="shared" si="4"/>
        <v>0</v>
      </c>
      <c r="U87" s="68"/>
      <c r="V87" s="1"/>
      <c r="W87" s="1"/>
      <c r="X87" s="1"/>
      <c r="Y87" s="1"/>
      <c r="Z87" s="1"/>
    </row>
    <row r="88" spans="1:26" ht="39.75" customHeight="1">
      <c r="A88" s="171"/>
      <c r="B88" s="171"/>
      <c r="C88" s="171"/>
      <c r="D88" s="5">
        <v>82</v>
      </c>
      <c r="E88" s="5" t="s">
        <v>157</v>
      </c>
      <c r="F88" s="5"/>
      <c r="G88" s="5"/>
      <c r="H88" s="5"/>
      <c r="I88" s="5"/>
      <c r="J88" s="5"/>
      <c r="K88" s="5"/>
      <c r="L88" s="5"/>
      <c r="M88" s="5"/>
      <c r="N88" s="5"/>
      <c r="O88" s="5"/>
      <c r="P88" s="8"/>
      <c r="Q88" s="5"/>
      <c r="R88" s="5"/>
      <c r="S88" s="5"/>
      <c r="T88" s="6">
        <f t="shared" si="4"/>
        <v>0</v>
      </c>
      <c r="U88" s="68"/>
      <c r="V88" s="1"/>
      <c r="W88" s="1"/>
      <c r="X88" s="1"/>
      <c r="Y88" s="1"/>
      <c r="Z88" s="1"/>
    </row>
    <row r="89" spans="1:26" ht="39.75" customHeight="1">
      <c r="A89" s="171"/>
      <c r="B89" s="169"/>
      <c r="C89" s="169"/>
      <c r="D89" s="5">
        <v>83</v>
      </c>
      <c r="E89" s="5" t="s">
        <v>158</v>
      </c>
      <c r="F89" s="5"/>
      <c r="G89" s="5"/>
      <c r="H89" s="5"/>
      <c r="I89" s="5"/>
      <c r="J89" s="5"/>
      <c r="K89" s="6">
        <v>2</v>
      </c>
      <c r="L89" s="5"/>
      <c r="M89" s="8"/>
      <c r="N89" s="6"/>
      <c r="O89" s="5"/>
      <c r="P89" s="8">
        <v>1.54</v>
      </c>
      <c r="Q89" s="6"/>
      <c r="R89" s="8"/>
      <c r="S89" s="5"/>
      <c r="T89" s="6">
        <f t="shared" si="4"/>
        <v>3.54</v>
      </c>
      <c r="U89" s="149" t="s">
        <v>873</v>
      </c>
      <c r="V89" s="1"/>
      <c r="W89" s="1"/>
      <c r="X89" s="1"/>
      <c r="Y89" s="1"/>
      <c r="Z89" s="1"/>
    </row>
    <row r="90" spans="1:26" ht="39.75" customHeight="1">
      <c r="A90" s="171"/>
      <c r="B90" s="5" t="s">
        <v>159</v>
      </c>
      <c r="C90" s="5" t="s">
        <v>160</v>
      </c>
      <c r="D90" s="5">
        <v>84</v>
      </c>
      <c r="E90" s="5" t="s">
        <v>161</v>
      </c>
      <c r="F90" s="5"/>
      <c r="G90" s="5"/>
      <c r="H90" s="5"/>
      <c r="I90" s="6"/>
      <c r="J90" s="5"/>
      <c r="K90" s="6"/>
      <c r="L90" s="5"/>
      <c r="M90" s="5"/>
      <c r="N90" s="6">
        <v>0.78</v>
      </c>
      <c r="O90" s="5"/>
      <c r="P90" s="5"/>
      <c r="Q90" s="6">
        <v>2.5</v>
      </c>
      <c r="R90" s="8">
        <v>0.2</v>
      </c>
      <c r="S90" s="5"/>
      <c r="T90" s="6">
        <f t="shared" si="4"/>
        <v>3.4800000000000004</v>
      </c>
      <c r="U90" s="9" t="s">
        <v>581</v>
      </c>
      <c r="V90" s="1"/>
      <c r="W90" s="1"/>
      <c r="X90" s="1"/>
      <c r="Y90" s="1"/>
      <c r="Z90" s="1"/>
    </row>
    <row r="91" spans="1:26" ht="39.75" customHeight="1">
      <c r="A91" s="171"/>
      <c r="B91" s="5" t="s">
        <v>162</v>
      </c>
      <c r="C91" s="5" t="s">
        <v>163</v>
      </c>
      <c r="D91" s="5">
        <v>85</v>
      </c>
      <c r="E91" s="5" t="s">
        <v>164</v>
      </c>
      <c r="F91" s="5"/>
      <c r="G91" s="5"/>
      <c r="H91" s="5"/>
      <c r="I91" s="5"/>
      <c r="J91" s="5"/>
      <c r="K91" s="6"/>
      <c r="L91" s="5"/>
      <c r="M91" s="5"/>
      <c r="N91" s="6">
        <v>0.25</v>
      </c>
      <c r="O91" s="5"/>
      <c r="P91" s="5"/>
      <c r="Q91" s="6">
        <v>1</v>
      </c>
      <c r="R91" s="8"/>
      <c r="S91" s="5"/>
      <c r="T91" s="6">
        <f t="shared" si="4"/>
        <v>1.25</v>
      </c>
      <c r="U91" s="9" t="s">
        <v>165</v>
      </c>
      <c r="V91" s="1"/>
      <c r="W91" s="1"/>
      <c r="X91" s="1"/>
      <c r="Y91" s="1"/>
      <c r="Z91" s="1"/>
    </row>
    <row r="92" spans="1:26" ht="39.75" customHeight="1">
      <c r="A92" s="171"/>
      <c r="B92" s="5" t="s">
        <v>166</v>
      </c>
      <c r="C92" s="5" t="s">
        <v>54</v>
      </c>
      <c r="D92" s="5">
        <v>86</v>
      </c>
      <c r="E92" s="5" t="s">
        <v>167</v>
      </c>
      <c r="F92" s="5"/>
      <c r="G92" s="5"/>
      <c r="H92" s="5"/>
      <c r="I92" s="5"/>
      <c r="J92" s="5"/>
      <c r="K92" s="5"/>
      <c r="L92" s="5"/>
      <c r="M92" s="5"/>
      <c r="N92" s="5"/>
      <c r="O92" s="5"/>
      <c r="P92" s="5"/>
      <c r="Q92" s="5"/>
      <c r="R92" s="5"/>
      <c r="S92" s="5"/>
      <c r="T92" s="6">
        <f t="shared" si="4"/>
        <v>0</v>
      </c>
      <c r="U92" s="9"/>
      <c r="V92" s="1"/>
      <c r="W92" s="1"/>
      <c r="X92" s="1"/>
      <c r="Y92" s="1"/>
      <c r="Z92" s="1"/>
    </row>
    <row r="93" spans="1:26" ht="39.75" customHeight="1">
      <c r="A93" s="169"/>
      <c r="B93" s="176" t="s">
        <v>168</v>
      </c>
      <c r="C93" s="177"/>
      <c r="D93" s="178"/>
      <c r="E93" s="51"/>
      <c r="F93" s="51">
        <f t="shared" ref="F93:S93" si="6">SUM(F69:F92)</f>
        <v>69.899999999999991</v>
      </c>
      <c r="G93" s="51">
        <f t="shared" si="6"/>
        <v>0</v>
      </c>
      <c r="H93" s="51">
        <f t="shared" si="6"/>
        <v>4</v>
      </c>
      <c r="I93" s="51">
        <f t="shared" si="6"/>
        <v>10.995000000000001</v>
      </c>
      <c r="J93" s="51">
        <f t="shared" si="6"/>
        <v>0</v>
      </c>
      <c r="K93" s="51">
        <f t="shared" si="6"/>
        <v>6.6999999999999993</v>
      </c>
      <c r="L93" s="51">
        <f t="shared" si="6"/>
        <v>0</v>
      </c>
      <c r="M93" s="56">
        <f t="shared" si="6"/>
        <v>13.079999999999998</v>
      </c>
      <c r="N93" s="52">
        <f t="shared" si="6"/>
        <v>23.162999999999997</v>
      </c>
      <c r="O93" s="51">
        <f t="shared" si="6"/>
        <v>84.784000000000006</v>
      </c>
      <c r="P93" s="52">
        <f t="shared" si="6"/>
        <v>46.145000000000003</v>
      </c>
      <c r="Q93" s="51">
        <f t="shared" si="6"/>
        <v>23.805</v>
      </c>
      <c r="R93" s="56">
        <f t="shared" si="6"/>
        <v>31.867999999999999</v>
      </c>
      <c r="S93" s="56">
        <f t="shared" si="6"/>
        <v>1.7999999999999998</v>
      </c>
      <c r="T93" s="52">
        <f t="shared" si="4"/>
        <v>316.24</v>
      </c>
      <c r="U93" s="9"/>
      <c r="V93" s="1"/>
      <c r="W93" s="1"/>
      <c r="X93" s="1"/>
      <c r="Y93" s="1"/>
      <c r="Z93" s="1"/>
    </row>
    <row r="94" spans="1:26" ht="39.75" customHeight="1">
      <c r="A94" s="175" t="s">
        <v>169</v>
      </c>
      <c r="B94" s="168" t="s">
        <v>170</v>
      </c>
      <c r="C94" s="168" t="s">
        <v>171</v>
      </c>
      <c r="D94" s="5">
        <v>87</v>
      </c>
      <c r="E94" s="5" t="s">
        <v>172</v>
      </c>
      <c r="F94" s="114"/>
      <c r="G94" s="114"/>
      <c r="H94" s="114"/>
      <c r="I94" s="114"/>
      <c r="J94" s="114"/>
      <c r="K94" s="115">
        <v>17</v>
      </c>
      <c r="L94" s="114"/>
      <c r="M94" s="114"/>
      <c r="N94" s="114"/>
      <c r="O94" s="114"/>
      <c r="P94" s="114"/>
      <c r="Q94" s="114"/>
      <c r="R94" s="114"/>
      <c r="S94" s="116"/>
      <c r="T94" s="117">
        <f>SUM(F94:S94)</f>
        <v>17</v>
      </c>
      <c r="U94" s="88" t="s">
        <v>709</v>
      </c>
      <c r="V94" s="1"/>
      <c r="W94" s="1"/>
      <c r="X94" s="1"/>
      <c r="Y94" s="1"/>
      <c r="Z94" s="1"/>
    </row>
    <row r="95" spans="1:26" ht="39.75" customHeight="1">
      <c r="A95" s="171"/>
      <c r="B95" s="171"/>
      <c r="C95" s="171"/>
      <c r="D95" s="5">
        <v>88</v>
      </c>
      <c r="E95" s="5" t="s">
        <v>173</v>
      </c>
      <c r="F95" s="114"/>
      <c r="G95" s="114"/>
      <c r="H95" s="114"/>
      <c r="I95" s="114"/>
      <c r="J95" s="114"/>
      <c r="K95" s="114"/>
      <c r="L95" s="114"/>
      <c r="M95" s="114"/>
      <c r="N95" s="114"/>
      <c r="O95" s="114"/>
      <c r="P95" s="118">
        <v>4</v>
      </c>
      <c r="Q95" s="114"/>
      <c r="R95" s="114"/>
      <c r="S95" s="116"/>
      <c r="T95" s="117">
        <f t="shared" ref="T95:T103" si="7">SUM(F95:S95)</f>
        <v>4</v>
      </c>
      <c r="U95" s="88" t="s">
        <v>446</v>
      </c>
      <c r="V95" s="1"/>
      <c r="W95" s="1"/>
      <c r="X95" s="1"/>
      <c r="Y95" s="1"/>
      <c r="Z95" s="1"/>
    </row>
    <row r="96" spans="1:26" ht="39.75" customHeight="1">
      <c r="A96" s="171"/>
      <c r="B96" s="171"/>
      <c r="C96" s="171"/>
      <c r="D96" s="5">
        <v>89</v>
      </c>
      <c r="E96" s="5" t="s">
        <v>174</v>
      </c>
      <c r="F96" s="114"/>
      <c r="G96" s="114"/>
      <c r="H96" s="114"/>
      <c r="I96" s="114"/>
      <c r="J96" s="114"/>
      <c r="K96" s="114"/>
      <c r="L96" s="114"/>
      <c r="M96" s="114"/>
      <c r="N96" s="114"/>
      <c r="O96" s="114"/>
      <c r="P96" s="114"/>
      <c r="Q96" s="114"/>
      <c r="R96" s="114"/>
      <c r="S96" s="116"/>
      <c r="T96" s="117">
        <f t="shared" si="7"/>
        <v>0</v>
      </c>
      <c r="U96" s="88"/>
      <c r="V96" s="1"/>
      <c r="W96" s="1"/>
      <c r="X96" s="1"/>
      <c r="Y96" s="1"/>
      <c r="Z96" s="1"/>
    </row>
    <row r="97" spans="1:26" ht="39.75" customHeight="1">
      <c r="A97" s="171"/>
      <c r="B97" s="171"/>
      <c r="C97" s="171"/>
      <c r="D97" s="5">
        <v>90</v>
      </c>
      <c r="E97" s="5" t="s">
        <v>175</v>
      </c>
      <c r="F97" s="114"/>
      <c r="G97" s="114"/>
      <c r="H97" s="114"/>
      <c r="I97" s="114"/>
      <c r="J97" s="114"/>
      <c r="K97" s="114"/>
      <c r="L97" s="114"/>
      <c r="M97" s="114"/>
      <c r="N97" s="114"/>
      <c r="O97" s="114"/>
      <c r="P97" s="118"/>
      <c r="Q97" s="114"/>
      <c r="R97" s="114"/>
      <c r="S97" s="116"/>
      <c r="T97" s="117">
        <f t="shared" si="7"/>
        <v>0</v>
      </c>
      <c r="U97" s="88"/>
      <c r="V97" s="1"/>
      <c r="W97" s="1"/>
      <c r="X97" s="1"/>
      <c r="Y97" s="1"/>
      <c r="Z97" s="1"/>
    </row>
    <row r="98" spans="1:26" ht="39.75" customHeight="1">
      <c r="A98" s="171"/>
      <c r="B98" s="171"/>
      <c r="C98" s="171"/>
      <c r="D98" s="5">
        <v>91</v>
      </c>
      <c r="E98" s="5" t="s">
        <v>176</v>
      </c>
      <c r="F98" s="114"/>
      <c r="G98" s="114"/>
      <c r="H98" s="114"/>
      <c r="I98" s="114"/>
      <c r="J98" s="114"/>
      <c r="K98" s="115">
        <v>0</v>
      </c>
      <c r="L98" s="114"/>
      <c r="M98" s="114"/>
      <c r="N98" s="114"/>
      <c r="O98" s="114"/>
      <c r="P98" s="118">
        <v>2</v>
      </c>
      <c r="Q98" s="114"/>
      <c r="R98" s="114"/>
      <c r="S98" s="116"/>
      <c r="T98" s="117">
        <f t="shared" si="7"/>
        <v>2</v>
      </c>
      <c r="U98" s="119" t="s">
        <v>710</v>
      </c>
      <c r="V98" s="1"/>
      <c r="W98" s="1"/>
      <c r="X98" s="1"/>
      <c r="Y98" s="1"/>
      <c r="Z98" s="1"/>
    </row>
    <row r="99" spans="1:26" ht="39.75" customHeight="1">
      <c r="A99" s="171"/>
      <c r="B99" s="171"/>
      <c r="C99" s="171"/>
      <c r="D99" s="5">
        <v>92</v>
      </c>
      <c r="E99" s="5" t="s">
        <v>178</v>
      </c>
      <c r="F99" s="114"/>
      <c r="G99" s="114"/>
      <c r="H99" s="114"/>
      <c r="I99" s="114"/>
      <c r="J99" s="114"/>
      <c r="K99" s="114"/>
      <c r="L99" s="114"/>
      <c r="M99" s="114"/>
      <c r="N99" s="114"/>
      <c r="O99" s="114"/>
      <c r="P99" s="118">
        <v>2</v>
      </c>
      <c r="Q99" s="114"/>
      <c r="R99" s="114"/>
      <c r="S99" s="116"/>
      <c r="T99" s="117">
        <f t="shared" si="7"/>
        <v>2</v>
      </c>
      <c r="U99" s="120" t="s">
        <v>403</v>
      </c>
      <c r="V99" s="1"/>
      <c r="W99" s="1"/>
      <c r="X99" s="1"/>
      <c r="Y99" s="1"/>
      <c r="Z99" s="1"/>
    </row>
    <row r="100" spans="1:26" ht="39.75" customHeight="1">
      <c r="A100" s="171"/>
      <c r="B100" s="171"/>
      <c r="C100" s="171"/>
      <c r="D100" s="5">
        <v>93</v>
      </c>
      <c r="E100" s="5" t="s">
        <v>180</v>
      </c>
      <c r="F100" s="114"/>
      <c r="G100" s="114"/>
      <c r="H100" s="114"/>
      <c r="I100" s="118"/>
      <c r="J100" s="114"/>
      <c r="K100" s="114"/>
      <c r="L100" s="114"/>
      <c r="M100" s="114"/>
      <c r="N100" s="114"/>
      <c r="O100" s="114"/>
      <c r="P100" s="114"/>
      <c r="Q100" s="114"/>
      <c r="R100" s="114"/>
      <c r="S100" s="116"/>
      <c r="T100" s="117">
        <f t="shared" si="7"/>
        <v>0</v>
      </c>
      <c r="U100" s="119"/>
      <c r="V100" s="1"/>
      <c r="W100" s="1"/>
      <c r="X100" s="1"/>
      <c r="Y100" s="1"/>
      <c r="Z100" s="1"/>
    </row>
    <row r="101" spans="1:26" ht="39.75" customHeight="1">
      <c r="A101" s="171"/>
      <c r="B101" s="171"/>
      <c r="C101" s="171"/>
      <c r="D101" s="5">
        <v>94</v>
      </c>
      <c r="E101" s="5" t="s">
        <v>181</v>
      </c>
      <c r="F101" s="114"/>
      <c r="G101" s="114"/>
      <c r="H101" s="114"/>
      <c r="I101" s="118"/>
      <c r="J101" s="114"/>
      <c r="K101" s="114"/>
      <c r="L101" s="114"/>
      <c r="M101" s="114"/>
      <c r="N101" s="114"/>
      <c r="O101" s="114"/>
      <c r="P101" s="114"/>
      <c r="Q101" s="114"/>
      <c r="R101" s="114"/>
      <c r="S101" s="116"/>
      <c r="T101" s="117">
        <f t="shared" si="7"/>
        <v>0</v>
      </c>
      <c r="U101" s="120"/>
      <c r="V101" s="1"/>
      <c r="W101" s="1"/>
      <c r="X101" s="1"/>
      <c r="Y101" s="1"/>
      <c r="Z101" s="1"/>
    </row>
    <row r="102" spans="1:26" ht="39.75" customHeight="1">
      <c r="A102" s="171"/>
      <c r="B102" s="171"/>
      <c r="C102" s="171"/>
      <c r="D102" s="5">
        <v>95</v>
      </c>
      <c r="E102" s="5" t="s">
        <v>182</v>
      </c>
      <c r="F102" s="114"/>
      <c r="G102" s="114"/>
      <c r="H102" s="118"/>
      <c r="I102" s="115">
        <v>2</v>
      </c>
      <c r="J102" s="114"/>
      <c r="K102" s="114"/>
      <c r="L102" s="114"/>
      <c r="M102" s="114"/>
      <c r="N102" s="114"/>
      <c r="O102" s="114"/>
      <c r="P102" s="114"/>
      <c r="Q102" s="114"/>
      <c r="R102" s="114"/>
      <c r="S102" s="116"/>
      <c r="T102" s="117">
        <f t="shared" si="7"/>
        <v>2</v>
      </c>
      <c r="U102" s="88" t="s">
        <v>708</v>
      </c>
      <c r="V102" s="1"/>
      <c r="W102" s="1"/>
      <c r="X102" s="1"/>
      <c r="Y102" s="1"/>
      <c r="Z102" s="1"/>
    </row>
    <row r="103" spans="1:26" ht="39.75" customHeight="1">
      <c r="A103" s="171"/>
      <c r="B103" s="169"/>
      <c r="C103" s="169"/>
      <c r="D103" s="5">
        <v>96</v>
      </c>
      <c r="E103" s="5" t="s">
        <v>183</v>
      </c>
      <c r="F103" s="114"/>
      <c r="G103" s="114"/>
      <c r="H103" s="114"/>
      <c r="I103" s="114"/>
      <c r="J103" s="114"/>
      <c r="K103" s="114"/>
      <c r="L103" s="114"/>
      <c r="M103" s="114"/>
      <c r="N103" s="115"/>
      <c r="O103" s="114"/>
      <c r="P103" s="114"/>
      <c r="Q103" s="115">
        <v>1</v>
      </c>
      <c r="R103" s="118">
        <v>1</v>
      </c>
      <c r="S103" s="116"/>
      <c r="T103" s="117">
        <f t="shared" si="7"/>
        <v>2</v>
      </c>
      <c r="U103" s="88" t="s">
        <v>421</v>
      </c>
      <c r="V103" s="1"/>
      <c r="W103" s="1"/>
      <c r="X103" s="1"/>
      <c r="Y103" s="1"/>
      <c r="Z103" s="1"/>
    </row>
    <row r="104" spans="1:26" ht="39.75" customHeight="1">
      <c r="A104" s="171"/>
      <c r="B104" s="168" t="s">
        <v>184</v>
      </c>
      <c r="C104" s="168" t="s">
        <v>185</v>
      </c>
      <c r="D104" s="5">
        <v>97</v>
      </c>
      <c r="E104" s="5" t="s">
        <v>186</v>
      </c>
      <c r="F104" s="5"/>
      <c r="G104" s="5"/>
      <c r="H104" s="5"/>
      <c r="I104" s="6"/>
      <c r="J104" s="5"/>
      <c r="K104" s="6"/>
      <c r="L104" s="5"/>
      <c r="M104" s="6"/>
      <c r="N104" s="6">
        <v>5.5</v>
      </c>
      <c r="O104" s="5"/>
      <c r="P104" s="8">
        <v>15.2</v>
      </c>
      <c r="Q104" s="6">
        <v>4</v>
      </c>
      <c r="R104" s="8">
        <v>17.55</v>
      </c>
      <c r="S104" s="5"/>
      <c r="T104" s="6">
        <f t="shared" si="4"/>
        <v>42.25</v>
      </c>
      <c r="U104" s="10" t="s">
        <v>391</v>
      </c>
      <c r="V104" s="1"/>
      <c r="W104" s="1"/>
      <c r="X104" s="1"/>
      <c r="Y104" s="1"/>
      <c r="Z104" s="1"/>
    </row>
    <row r="105" spans="1:26" ht="39.75" customHeight="1">
      <c r="A105" s="171"/>
      <c r="B105" s="169"/>
      <c r="C105" s="169"/>
      <c r="D105" s="5">
        <v>98</v>
      </c>
      <c r="E105" s="5" t="s">
        <v>54</v>
      </c>
      <c r="F105" s="5"/>
      <c r="G105" s="5"/>
      <c r="H105" s="5"/>
      <c r="I105" s="5"/>
      <c r="J105" s="5"/>
      <c r="K105" s="5"/>
      <c r="L105" s="5"/>
      <c r="M105" s="5"/>
      <c r="N105" s="5"/>
      <c r="O105" s="5"/>
      <c r="P105" s="5"/>
      <c r="Q105" s="5"/>
      <c r="R105" s="5"/>
      <c r="S105" s="5"/>
      <c r="T105" s="6">
        <f t="shared" si="4"/>
        <v>0</v>
      </c>
      <c r="U105" s="46"/>
      <c r="V105" s="1"/>
      <c r="W105" s="1"/>
      <c r="X105" s="1"/>
      <c r="Y105" s="1"/>
      <c r="Z105" s="1"/>
    </row>
    <row r="106" spans="1:26" ht="39.75" customHeight="1">
      <c r="A106" s="171"/>
      <c r="B106" s="168" t="s">
        <v>188</v>
      </c>
      <c r="C106" s="168" t="s">
        <v>189</v>
      </c>
      <c r="D106" s="5">
        <v>99</v>
      </c>
      <c r="E106" s="5" t="s">
        <v>190</v>
      </c>
      <c r="F106" s="5"/>
      <c r="G106" s="5"/>
      <c r="H106" s="8"/>
      <c r="I106" s="6">
        <v>2</v>
      </c>
      <c r="J106" s="5"/>
      <c r="K106" s="6"/>
      <c r="L106" s="5"/>
      <c r="M106" s="5"/>
      <c r="N106" s="6">
        <v>0.8</v>
      </c>
      <c r="O106" s="5"/>
      <c r="P106" s="5"/>
      <c r="Q106" s="6">
        <v>2</v>
      </c>
      <c r="R106" s="5"/>
      <c r="S106" s="5"/>
      <c r="T106" s="6">
        <f t="shared" si="4"/>
        <v>4.8</v>
      </c>
      <c r="U106" s="46" t="s">
        <v>374</v>
      </c>
      <c r="V106" s="1"/>
      <c r="W106" s="1"/>
      <c r="X106" s="1"/>
      <c r="Y106" s="1"/>
      <c r="Z106" s="1"/>
    </row>
    <row r="107" spans="1:26" ht="39.75" customHeight="1">
      <c r="A107" s="171"/>
      <c r="B107" s="171"/>
      <c r="C107" s="171"/>
      <c r="D107" s="5">
        <v>100</v>
      </c>
      <c r="E107" s="5" t="s">
        <v>192</v>
      </c>
      <c r="F107" s="5"/>
      <c r="G107" s="5"/>
      <c r="H107" s="5"/>
      <c r="I107" s="6">
        <v>1</v>
      </c>
      <c r="J107" s="5"/>
      <c r="K107" s="6"/>
      <c r="L107" s="5"/>
      <c r="M107" s="5"/>
      <c r="N107" s="5"/>
      <c r="O107" s="5"/>
      <c r="P107" s="5"/>
      <c r="Q107" s="5"/>
      <c r="R107" s="5"/>
      <c r="S107" s="5"/>
      <c r="T107" s="6">
        <f t="shared" si="4"/>
        <v>1</v>
      </c>
      <c r="U107" s="46" t="s">
        <v>193</v>
      </c>
      <c r="V107" s="1"/>
      <c r="W107" s="1"/>
      <c r="X107" s="1"/>
      <c r="Y107" s="1"/>
      <c r="Z107" s="1"/>
    </row>
    <row r="108" spans="1:26" ht="39.75" customHeight="1">
      <c r="A108" s="171"/>
      <c r="B108" s="171"/>
      <c r="C108" s="171"/>
      <c r="D108" s="5">
        <v>101</v>
      </c>
      <c r="E108" s="5" t="s">
        <v>194</v>
      </c>
      <c r="F108" s="5"/>
      <c r="G108" s="5"/>
      <c r="H108" s="5"/>
      <c r="I108" s="5"/>
      <c r="J108" s="5"/>
      <c r="K108" s="5"/>
      <c r="L108" s="5"/>
      <c r="M108" s="5"/>
      <c r="N108" s="5"/>
      <c r="O108" s="5"/>
      <c r="P108" s="5"/>
      <c r="Q108" s="5"/>
      <c r="R108" s="5"/>
      <c r="S108" s="5"/>
      <c r="T108" s="6">
        <f t="shared" si="4"/>
        <v>0</v>
      </c>
      <c r="U108" s="9"/>
      <c r="V108" s="1"/>
      <c r="W108" s="1"/>
      <c r="X108" s="1"/>
      <c r="Y108" s="1"/>
      <c r="Z108" s="1"/>
    </row>
    <row r="109" spans="1:26" ht="39.75" customHeight="1">
      <c r="A109" s="171"/>
      <c r="B109" s="171"/>
      <c r="C109" s="171"/>
      <c r="D109" s="5">
        <v>102</v>
      </c>
      <c r="E109" s="5" t="s">
        <v>195</v>
      </c>
      <c r="F109" s="5"/>
      <c r="G109" s="5"/>
      <c r="H109" s="5"/>
      <c r="I109" s="5"/>
      <c r="J109" s="5"/>
      <c r="K109" s="5"/>
      <c r="L109" s="5"/>
      <c r="M109" s="5"/>
      <c r="N109" s="5"/>
      <c r="O109" s="5"/>
      <c r="P109" s="5"/>
      <c r="Q109" s="6"/>
      <c r="R109" s="5"/>
      <c r="S109" s="5"/>
      <c r="T109" s="6">
        <f t="shared" si="4"/>
        <v>0</v>
      </c>
      <c r="U109" s="9"/>
      <c r="V109" s="1"/>
      <c r="W109" s="1"/>
      <c r="X109" s="1"/>
      <c r="Y109" s="1"/>
      <c r="Z109" s="1"/>
    </row>
    <row r="110" spans="1:26" ht="39.75" customHeight="1">
      <c r="A110" s="171"/>
      <c r="B110" s="169"/>
      <c r="C110" s="169"/>
      <c r="D110" s="5">
        <v>103</v>
      </c>
      <c r="E110" s="5" t="s">
        <v>54</v>
      </c>
      <c r="F110" s="5"/>
      <c r="G110" s="5"/>
      <c r="H110" s="5"/>
      <c r="I110" s="5"/>
      <c r="J110" s="5"/>
      <c r="K110" s="5"/>
      <c r="L110" s="5"/>
      <c r="M110" s="5"/>
      <c r="N110" s="5"/>
      <c r="O110" s="5"/>
      <c r="P110" s="8">
        <v>12.5</v>
      </c>
      <c r="Q110" s="5"/>
      <c r="R110" s="8"/>
      <c r="S110" s="8"/>
      <c r="T110" s="6">
        <f t="shared" si="4"/>
        <v>12.5</v>
      </c>
      <c r="U110" s="10" t="s">
        <v>196</v>
      </c>
      <c r="V110" s="1"/>
      <c r="W110" s="1"/>
      <c r="X110" s="1"/>
      <c r="Y110" s="1"/>
      <c r="Z110" s="1"/>
    </row>
    <row r="111" spans="1:26" ht="39.75" customHeight="1">
      <c r="A111" s="171"/>
      <c r="B111" s="168" t="s">
        <v>197</v>
      </c>
      <c r="C111" s="168" t="s">
        <v>198</v>
      </c>
      <c r="D111" s="5">
        <v>104</v>
      </c>
      <c r="E111" s="5" t="s">
        <v>199</v>
      </c>
      <c r="F111" s="5"/>
      <c r="G111" s="5"/>
      <c r="H111" s="5"/>
      <c r="I111" s="5"/>
      <c r="J111" s="5"/>
      <c r="K111" s="5"/>
      <c r="L111" s="5"/>
      <c r="M111" s="5"/>
      <c r="N111" s="8">
        <v>2</v>
      </c>
      <c r="O111" s="5"/>
      <c r="P111" s="8">
        <v>3</v>
      </c>
      <c r="Q111" s="8">
        <v>1</v>
      </c>
      <c r="R111" s="8"/>
      <c r="S111" s="8"/>
      <c r="T111" s="6">
        <f t="shared" si="4"/>
        <v>6</v>
      </c>
      <c r="U111" s="113" t="s">
        <v>691</v>
      </c>
      <c r="V111" s="1"/>
      <c r="W111" s="1"/>
      <c r="X111" s="1"/>
      <c r="Y111" s="1"/>
      <c r="Z111" s="1"/>
    </row>
    <row r="112" spans="1:26" ht="39.75" customHeight="1">
      <c r="A112" s="171"/>
      <c r="B112" s="171"/>
      <c r="C112" s="171"/>
      <c r="D112" s="5">
        <v>105</v>
      </c>
      <c r="E112" s="5" t="s">
        <v>200</v>
      </c>
      <c r="F112" s="5"/>
      <c r="G112" s="5"/>
      <c r="H112" s="5"/>
      <c r="I112" s="5"/>
      <c r="J112" s="5"/>
      <c r="K112" s="5"/>
      <c r="L112" s="5"/>
      <c r="M112" s="5"/>
      <c r="N112" s="5"/>
      <c r="O112" s="5"/>
      <c r="P112" s="5"/>
      <c r="Q112" s="5"/>
      <c r="R112" s="5"/>
      <c r="S112" s="5"/>
      <c r="T112" s="6">
        <f t="shared" si="4"/>
        <v>0</v>
      </c>
      <c r="U112" s="9"/>
      <c r="V112" s="1"/>
      <c r="W112" s="1"/>
      <c r="X112" s="1"/>
      <c r="Y112" s="1"/>
      <c r="Z112" s="1"/>
    </row>
    <row r="113" spans="1:26" ht="39.75" customHeight="1">
      <c r="A113" s="171"/>
      <c r="B113" s="169"/>
      <c r="C113" s="169"/>
      <c r="D113" s="5">
        <v>106</v>
      </c>
      <c r="E113" s="5" t="s">
        <v>201</v>
      </c>
      <c r="F113" s="5"/>
      <c r="G113" s="5"/>
      <c r="H113" s="5"/>
      <c r="I113" s="6"/>
      <c r="J113" s="5"/>
      <c r="K113" s="6"/>
      <c r="L113" s="5"/>
      <c r="M113" s="5"/>
      <c r="N113" s="6"/>
      <c r="O113" s="5"/>
      <c r="P113" s="8"/>
      <c r="Q113" s="6">
        <v>2</v>
      </c>
      <c r="R113" s="8">
        <v>3</v>
      </c>
      <c r="S113" s="8"/>
      <c r="T113" s="6">
        <f t="shared" si="4"/>
        <v>5</v>
      </c>
      <c r="U113" s="113" t="s">
        <v>689</v>
      </c>
      <c r="V113" s="1"/>
      <c r="W113" s="1"/>
      <c r="X113" s="1"/>
      <c r="Y113" s="1"/>
      <c r="Z113" s="1"/>
    </row>
    <row r="114" spans="1:26" ht="39.75" customHeight="1">
      <c r="A114" s="171"/>
      <c r="B114" s="168" t="s">
        <v>202</v>
      </c>
      <c r="C114" s="168" t="s">
        <v>203</v>
      </c>
      <c r="D114" s="5">
        <v>107</v>
      </c>
      <c r="E114" s="5" t="s">
        <v>204</v>
      </c>
      <c r="F114" s="5"/>
      <c r="G114" s="5"/>
      <c r="H114" s="5"/>
      <c r="I114" s="6"/>
      <c r="J114" s="5"/>
      <c r="K114" s="6"/>
      <c r="L114" s="5"/>
      <c r="M114" s="5"/>
      <c r="N114" s="6"/>
      <c r="O114" s="5"/>
      <c r="P114" s="8">
        <v>3.5</v>
      </c>
      <c r="Q114" s="5"/>
      <c r="R114" s="8"/>
      <c r="S114" s="5"/>
      <c r="T114" s="6">
        <f t="shared" si="4"/>
        <v>3.5</v>
      </c>
      <c r="U114" s="46" t="s">
        <v>205</v>
      </c>
      <c r="V114" s="1"/>
      <c r="W114" s="1"/>
      <c r="X114" s="1"/>
      <c r="Y114" s="1"/>
      <c r="Z114" s="1"/>
    </row>
    <row r="115" spans="1:26" ht="39.75" customHeight="1">
      <c r="A115" s="171"/>
      <c r="B115" s="171"/>
      <c r="C115" s="171"/>
      <c r="D115" s="5">
        <v>108</v>
      </c>
      <c r="E115" s="5" t="s">
        <v>206</v>
      </c>
      <c r="F115" s="5"/>
      <c r="G115" s="5"/>
      <c r="H115" s="5"/>
      <c r="I115" s="6"/>
      <c r="J115" s="5"/>
      <c r="K115" s="6"/>
      <c r="L115" s="5"/>
      <c r="M115" s="5"/>
      <c r="N115" s="5"/>
      <c r="O115" s="5"/>
      <c r="P115" s="8">
        <v>16</v>
      </c>
      <c r="Q115" s="5"/>
      <c r="R115" s="5"/>
      <c r="S115" s="5"/>
      <c r="T115" s="6">
        <f t="shared" si="4"/>
        <v>16</v>
      </c>
      <c r="U115" s="46" t="s">
        <v>207</v>
      </c>
      <c r="V115" s="1"/>
      <c r="W115" s="1"/>
      <c r="X115" s="1"/>
      <c r="Y115" s="1"/>
      <c r="Z115" s="1"/>
    </row>
    <row r="116" spans="1:26" ht="39.75" customHeight="1">
      <c r="A116" s="171"/>
      <c r="B116" s="171"/>
      <c r="C116" s="171"/>
      <c r="D116" s="5">
        <v>109</v>
      </c>
      <c r="E116" s="5" t="s">
        <v>208</v>
      </c>
      <c r="F116" s="5"/>
      <c r="G116" s="5"/>
      <c r="H116" s="8"/>
      <c r="I116" s="6"/>
      <c r="J116" s="5"/>
      <c r="K116" s="6"/>
      <c r="L116" s="5"/>
      <c r="M116" s="5"/>
      <c r="N116" s="5"/>
      <c r="O116" s="5"/>
      <c r="P116" s="5"/>
      <c r="Q116" s="5"/>
      <c r="R116" s="5"/>
      <c r="S116" s="5"/>
      <c r="T116" s="6">
        <f t="shared" si="4"/>
        <v>0</v>
      </c>
      <c r="U116" s="9"/>
      <c r="V116" s="1"/>
      <c r="W116" s="1"/>
      <c r="X116" s="1"/>
      <c r="Y116" s="1"/>
      <c r="Z116" s="1"/>
    </row>
    <row r="117" spans="1:26" ht="39.75" customHeight="1">
      <c r="A117" s="171"/>
      <c r="B117" s="171"/>
      <c r="C117" s="171"/>
      <c r="D117" s="5">
        <v>110</v>
      </c>
      <c r="E117" s="5" t="s">
        <v>209</v>
      </c>
      <c r="F117" s="5"/>
      <c r="G117" s="5"/>
      <c r="H117" s="5"/>
      <c r="I117" s="6"/>
      <c r="J117" s="5"/>
      <c r="K117" s="6"/>
      <c r="L117" s="5"/>
      <c r="M117" s="8"/>
      <c r="N117" s="6">
        <v>3</v>
      </c>
      <c r="O117" s="8">
        <v>9.33</v>
      </c>
      <c r="P117" s="6"/>
      <c r="Q117" s="8">
        <v>6.37</v>
      </c>
      <c r="R117" s="8">
        <v>8.5</v>
      </c>
      <c r="S117" s="5"/>
      <c r="T117" s="6">
        <f t="shared" si="4"/>
        <v>27.2</v>
      </c>
      <c r="U117" s="9" t="s">
        <v>375</v>
      </c>
      <c r="V117" s="1"/>
      <c r="W117" s="1"/>
      <c r="X117" s="1"/>
      <c r="Y117" s="1"/>
      <c r="Z117" s="1"/>
    </row>
    <row r="118" spans="1:26" ht="39.75" customHeight="1">
      <c r="A118" s="171"/>
      <c r="B118" s="169"/>
      <c r="C118" s="169"/>
      <c r="D118" s="5">
        <v>111</v>
      </c>
      <c r="E118" s="5" t="s">
        <v>54</v>
      </c>
      <c r="F118" s="5"/>
      <c r="G118" s="5"/>
      <c r="H118" s="5"/>
      <c r="I118" s="8"/>
      <c r="J118" s="5"/>
      <c r="K118" s="8"/>
      <c r="L118" s="5"/>
      <c r="M118" s="5">
        <v>6</v>
      </c>
      <c r="N118" s="5"/>
      <c r="O118" s="5"/>
      <c r="P118" s="8"/>
      <c r="Q118" s="6"/>
      <c r="R118" s="5"/>
      <c r="S118" s="8"/>
      <c r="T118" s="6">
        <f t="shared" si="4"/>
        <v>6</v>
      </c>
      <c r="U118" s="113" t="s">
        <v>683</v>
      </c>
      <c r="V118" s="1"/>
      <c r="W118" s="1"/>
      <c r="X118" s="1"/>
      <c r="Y118" s="1"/>
      <c r="Z118" s="1"/>
    </row>
    <row r="119" spans="1:26" ht="39.75" customHeight="1">
      <c r="A119" s="171"/>
      <c r="B119" s="168" t="s">
        <v>211</v>
      </c>
      <c r="C119" s="168" t="s">
        <v>212</v>
      </c>
      <c r="D119" s="5">
        <v>112</v>
      </c>
      <c r="E119" s="5" t="s">
        <v>213</v>
      </c>
      <c r="F119" s="5"/>
      <c r="G119" s="5"/>
      <c r="H119" s="5"/>
      <c r="I119" s="6"/>
      <c r="J119" s="5"/>
      <c r="K119" s="6"/>
      <c r="L119" s="5"/>
      <c r="M119" s="5"/>
      <c r="N119" s="5"/>
      <c r="O119" s="5"/>
      <c r="P119" s="5"/>
      <c r="Q119" s="6"/>
      <c r="R119" s="5"/>
      <c r="S119" s="5"/>
      <c r="T119" s="6">
        <f t="shared" si="4"/>
        <v>0</v>
      </c>
      <c r="U119" s="9"/>
      <c r="V119" s="1"/>
      <c r="W119" s="1"/>
      <c r="X119" s="1"/>
      <c r="Y119" s="1"/>
      <c r="Z119" s="1"/>
    </row>
    <row r="120" spans="1:26" ht="39.75" customHeight="1">
      <c r="A120" s="171"/>
      <c r="B120" s="169"/>
      <c r="C120" s="169"/>
      <c r="D120" s="5">
        <v>113</v>
      </c>
      <c r="E120" s="5" t="s">
        <v>214</v>
      </c>
      <c r="F120" s="5"/>
      <c r="G120" s="5"/>
      <c r="H120" s="5"/>
      <c r="I120" s="6"/>
      <c r="J120" s="5"/>
      <c r="K120" s="6"/>
      <c r="L120" s="5"/>
      <c r="M120" s="6"/>
      <c r="N120" s="6">
        <v>0.5</v>
      </c>
      <c r="O120" s="5"/>
      <c r="P120" s="5"/>
      <c r="Q120" s="6">
        <v>0.5</v>
      </c>
      <c r="R120" s="5"/>
      <c r="S120" s="5"/>
      <c r="T120" s="6">
        <f t="shared" si="4"/>
        <v>1</v>
      </c>
      <c r="U120" s="10" t="s">
        <v>215</v>
      </c>
      <c r="V120" s="1"/>
      <c r="W120" s="1"/>
      <c r="X120" s="1"/>
      <c r="Y120" s="1"/>
      <c r="Z120" s="1"/>
    </row>
    <row r="121" spans="1:26" ht="39.75" customHeight="1">
      <c r="A121" s="171"/>
      <c r="B121" s="5" t="s">
        <v>216</v>
      </c>
      <c r="C121" s="5" t="s">
        <v>217</v>
      </c>
      <c r="D121" s="5">
        <v>114</v>
      </c>
      <c r="E121" s="5" t="s">
        <v>218</v>
      </c>
      <c r="F121" s="5"/>
      <c r="G121" s="5"/>
      <c r="H121" s="8"/>
      <c r="I121" s="5"/>
      <c r="J121" s="5"/>
      <c r="K121" s="5"/>
      <c r="L121" s="5"/>
      <c r="M121" s="5"/>
      <c r="N121" s="8">
        <v>1.5</v>
      </c>
      <c r="O121" s="5"/>
      <c r="P121" s="8">
        <v>7</v>
      </c>
      <c r="Q121" s="6">
        <v>2</v>
      </c>
      <c r="R121" s="8">
        <v>1</v>
      </c>
      <c r="S121" s="8"/>
      <c r="T121" s="6">
        <f t="shared" si="4"/>
        <v>11.5</v>
      </c>
      <c r="U121" s="113" t="s">
        <v>681</v>
      </c>
      <c r="V121" s="1"/>
      <c r="W121" s="1"/>
      <c r="X121" s="1"/>
      <c r="Y121" s="1"/>
      <c r="Z121" s="1"/>
    </row>
    <row r="122" spans="1:26" ht="39.75" customHeight="1">
      <c r="A122" s="171"/>
      <c r="B122" s="168" t="s">
        <v>219</v>
      </c>
      <c r="C122" s="168" t="s">
        <v>220</v>
      </c>
      <c r="D122" s="5">
        <v>115</v>
      </c>
      <c r="E122" s="5" t="s">
        <v>221</v>
      </c>
      <c r="F122" s="5"/>
      <c r="G122" s="5"/>
      <c r="H122" s="5"/>
      <c r="I122" s="5"/>
      <c r="J122" s="5"/>
      <c r="K122" s="5"/>
      <c r="L122" s="5"/>
      <c r="M122" s="6"/>
      <c r="N122" s="5"/>
      <c r="O122" s="5"/>
      <c r="P122" s="5"/>
      <c r="Q122" s="5"/>
      <c r="R122" s="5"/>
      <c r="S122" s="5"/>
      <c r="T122" s="6">
        <f t="shared" si="4"/>
        <v>0</v>
      </c>
      <c r="U122" s="9"/>
      <c r="V122" s="1"/>
      <c r="W122" s="1"/>
      <c r="X122" s="1"/>
      <c r="Y122" s="1"/>
      <c r="Z122" s="1"/>
    </row>
    <row r="123" spans="1:26" ht="39.75" customHeight="1">
      <c r="A123" s="171"/>
      <c r="B123" s="171"/>
      <c r="C123" s="171"/>
      <c r="D123" s="5">
        <v>116</v>
      </c>
      <c r="E123" s="5" t="s">
        <v>222</v>
      </c>
      <c r="F123" s="5"/>
      <c r="G123" s="5"/>
      <c r="H123" s="5"/>
      <c r="I123" s="5"/>
      <c r="J123" s="5"/>
      <c r="K123" s="5"/>
      <c r="L123" s="5"/>
      <c r="M123" s="6">
        <v>9.2200000000000006</v>
      </c>
      <c r="N123" s="5"/>
      <c r="O123" s="5"/>
      <c r="P123" s="5"/>
      <c r="Q123" s="6">
        <v>6.7</v>
      </c>
      <c r="R123" s="5"/>
      <c r="S123" s="5"/>
      <c r="T123" s="6">
        <f t="shared" si="4"/>
        <v>15.920000000000002</v>
      </c>
      <c r="U123" s="113" t="s">
        <v>679</v>
      </c>
      <c r="V123" s="1"/>
      <c r="W123" s="1"/>
      <c r="X123" s="1"/>
      <c r="Y123" s="1"/>
      <c r="Z123" s="1"/>
    </row>
    <row r="124" spans="1:26" ht="39.75" customHeight="1">
      <c r="A124" s="171"/>
      <c r="B124" s="171"/>
      <c r="C124" s="171"/>
      <c r="D124" s="5">
        <v>117</v>
      </c>
      <c r="E124" s="5" t="s">
        <v>224</v>
      </c>
      <c r="F124" s="5"/>
      <c r="G124" s="5"/>
      <c r="H124" s="5"/>
      <c r="I124" s="5"/>
      <c r="J124" s="5"/>
      <c r="K124" s="5"/>
      <c r="L124" s="5"/>
      <c r="M124" s="5"/>
      <c r="N124" s="5"/>
      <c r="O124" s="5"/>
      <c r="P124" s="5"/>
      <c r="Q124" s="5"/>
      <c r="R124" s="5"/>
      <c r="S124" s="5"/>
      <c r="T124" s="6">
        <f t="shared" si="4"/>
        <v>0</v>
      </c>
      <c r="U124" s="46"/>
      <c r="V124" s="1"/>
      <c r="W124" s="1"/>
      <c r="X124" s="1"/>
      <c r="Y124" s="1"/>
      <c r="Z124" s="1"/>
    </row>
    <row r="125" spans="1:26" ht="39.75" customHeight="1">
      <c r="A125" s="171"/>
      <c r="B125" s="169"/>
      <c r="C125" s="169"/>
      <c r="D125" s="5">
        <v>118</v>
      </c>
      <c r="E125" s="5" t="s">
        <v>54</v>
      </c>
      <c r="F125" s="5"/>
      <c r="G125" s="5"/>
      <c r="H125" s="5"/>
      <c r="I125" s="5"/>
      <c r="J125" s="5"/>
      <c r="K125" s="5"/>
      <c r="L125" s="5"/>
      <c r="M125" s="5"/>
      <c r="N125" s="5"/>
      <c r="O125" s="5"/>
      <c r="P125" s="5"/>
      <c r="Q125" s="6"/>
      <c r="R125" s="5"/>
      <c r="S125" s="5"/>
      <c r="T125" s="6">
        <f t="shared" si="4"/>
        <v>0</v>
      </c>
      <c r="U125" s="9"/>
      <c r="V125" s="1"/>
      <c r="W125" s="1"/>
      <c r="X125" s="1"/>
      <c r="Y125" s="1"/>
      <c r="Z125" s="1"/>
    </row>
    <row r="126" spans="1:26" ht="39.75" customHeight="1">
      <c r="A126" s="171"/>
      <c r="B126" s="5" t="s">
        <v>225</v>
      </c>
      <c r="C126" s="5" t="s">
        <v>226</v>
      </c>
      <c r="D126" s="5">
        <v>119</v>
      </c>
      <c r="E126" s="5" t="s">
        <v>227</v>
      </c>
      <c r="F126" s="5"/>
      <c r="G126" s="5"/>
      <c r="H126" s="8">
        <v>0</v>
      </c>
      <c r="I126" s="6">
        <v>1</v>
      </c>
      <c r="J126" s="5"/>
      <c r="K126" s="5"/>
      <c r="L126" s="5"/>
      <c r="M126" s="5"/>
      <c r="N126" s="6">
        <v>1</v>
      </c>
      <c r="O126" s="5"/>
      <c r="P126" s="8">
        <v>8</v>
      </c>
      <c r="Q126" s="6">
        <v>2</v>
      </c>
      <c r="R126" s="5"/>
      <c r="S126" s="5"/>
      <c r="T126" s="6">
        <f t="shared" si="4"/>
        <v>12</v>
      </c>
      <c r="U126" s="113" t="s">
        <v>678</v>
      </c>
      <c r="V126" s="1"/>
      <c r="W126" s="1"/>
      <c r="X126" s="1"/>
      <c r="Y126" s="1"/>
      <c r="Z126" s="1"/>
    </row>
    <row r="127" spans="1:26" ht="39.75" customHeight="1">
      <c r="A127" s="171"/>
      <c r="B127" s="5" t="s">
        <v>228</v>
      </c>
      <c r="C127" s="5" t="s">
        <v>229</v>
      </c>
      <c r="D127" s="5">
        <v>120</v>
      </c>
      <c r="E127" s="5" t="s">
        <v>230</v>
      </c>
      <c r="F127" s="5"/>
      <c r="G127" s="5"/>
      <c r="H127" s="5"/>
      <c r="I127" s="5"/>
      <c r="J127" s="5"/>
      <c r="K127" s="8"/>
      <c r="L127" s="5"/>
      <c r="M127" s="8"/>
      <c r="N127" s="6"/>
      <c r="O127" s="5"/>
      <c r="P127" s="8"/>
      <c r="Q127" s="6"/>
      <c r="R127" s="8"/>
      <c r="S127" s="5"/>
      <c r="T127" s="6">
        <f t="shared" si="4"/>
        <v>0</v>
      </c>
      <c r="U127" s="10"/>
      <c r="V127" s="1"/>
      <c r="W127" s="1"/>
      <c r="X127" s="1"/>
      <c r="Y127" s="1"/>
      <c r="Z127" s="1"/>
    </row>
    <row r="128" spans="1:26" ht="39.75" customHeight="1">
      <c r="A128" s="171"/>
      <c r="B128" s="168" t="s">
        <v>231</v>
      </c>
      <c r="C128" s="168" t="s">
        <v>232</v>
      </c>
      <c r="D128" s="5">
        <v>121</v>
      </c>
      <c r="E128" s="5" t="s">
        <v>233</v>
      </c>
      <c r="F128" s="5"/>
      <c r="G128" s="5"/>
      <c r="H128" s="5"/>
      <c r="I128" s="6"/>
      <c r="J128" s="5"/>
      <c r="K128" s="5"/>
      <c r="L128" s="5"/>
      <c r="M128" s="5"/>
      <c r="N128" s="5"/>
      <c r="O128" s="5"/>
      <c r="P128" s="5"/>
      <c r="Q128" s="5"/>
      <c r="R128" s="5"/>
      <c r="S128" s="5"/>
      <c r="T128" s="6">
        <f t="shared" si="4"/>
        <v>0</v>
      </c>
      <c r="U128" s="46"/>
      <c r="V128" s="1"/>
      <c r="W128" s="1"/>
      <c r="X128" s="1"/>
      <c r="Y128" s="1"/>
      <c r="Z128" s="1"/>
    </row>
    <row r="129" spans="1:26" ht="39.75" customHeight="1">
      <c r="A129" s="171"/>
      <c r="B129" s="171"/>
      <c r="C129" s="171"/>
      <c r="D129" s="5">
        <v>122</v>
      </c>
      <c r="E129" s="5" t="s">
        <v>234</v>
      </c>
      <c r="F129" s="5"/>
      <c r="G129" s="5"/>
      <c r="H129" s="5"/>
      <c r="I129" s="5"/>
      <c r="J129" s="5"/>
      <c r="K129" s="5"/>
      <c r="L129" s="5"/>
      <c r="M129" s="5"/>
      <c r="N129" s="5"/>
      <c r="O129" s="5"/>
      <c r="P129" s="5"/>
      <c r="Q129" s="5"/>
      <c r="R129" s="5"/>
      <c r="S129" s="5"/>
      <c r="T129" s="6">
        <f t="shared" si="4"/>
        <v>0</v>
      </c>
      <c r="U129" s="46" t="s">
        <v>236</v>
      </c>
      <c r="V129" s="1"/>
      <c r="W129" s="1"/>
      <c r="X129" s="1"/>
      <c r="Y129" s="1"/>
      <c r="Z129" s="1"/>
    </row>
    <row r="130" spans="1:26" ht="39.75" customHeight="1">
      <c r="A130" s="171"/>
      <c r="B130" s="169"/>
      <c r="C130" s="169"/>
      <c r="D130" s="5">
        <v>123</v>
      </c>
      <c r="E130" s="5" t="s">
        <v>235</v>
      </c>
      <c r="F130" s="5"/>
      <c r="G130" s="5"/>
      <c r="H130" s="5"/>
      <c r="I130" s="5"/>
      <c r="J130" s="5"/>
      <c r="K130" s="5"/>
      <c r="L130" s="5"/>
      <c r="M130" s="5"/>
      <c r="N130" s="5"/>
      <c r="O130" s="5"/>
      <c r="P130" s="8">
        <v>0</v>
      </c>
      <c r="Q130" s="6">
        <v>2</v>
      </c>
      <c r="R130" s="5"/>
      <c r="S130" s="5"/>
      <c r="T130" s="6">
        <f t="shared" si="4"/>
        <v>2</v>
      </c>
      <c r="U130" s="62"/>
      <c r="V130" s="1"/>
      <c r="W130" s="1"/>
      <c r="X130" s="1"/>
      <c r="Y130" s="1"/>
      <c r="Z130" s="1"/>
    </row>
    <row r="131" spans="1:26" ht="39.75" customHeight="1">
      <c r="A131" s="171"/>
      <c r="B131" s="168" t="s">
        <v>237</v>
      </c>
      <c r="C131" s="168" t="s">
        <v>238</v>
      </c>
      <c r="D131" s="5">
        <v>124</v>
      </c>
      <c r="E131" s="5" t="s">
        <v>239</v>
      </c>
      <c r="F131" s="5"/>
      <c r="G131" s="5"/>
      <c r="H131" s="8"/>
      <c r="I131" s="5"/>
      <c r="J131" s="5"/>
      <c r="K131" s="5"/>
      <c r="L131" s="5"/>
      <c r="M131" s="5"/>
      <c r="N131" s="5"/>
      <c r="O131" s="5"/>
      <c r="P131" s="5"/>
      <c r="Q131" s="8">
        <v>2</v>
      </c>
      <c r="R131" s="5"/>
      <c r="S131" s="5"/>
      <c r="T131" s="6">
        <f t="shared" si="4"/>
        <v>2</v>
      </c>
      <c r="U131" s="10" t="s">
        <v>240</v>
      </c>
      <c r="V131" s="1"/>
      <c r="W131" s="1"/>
      <c r="X131" s="1"/>
      <c r="Y131" s="1"/>
      <c r="Z131" s="1"/>
    </row>
    <row r="132" spans="1:26" ht="39.75" customHeight="1">
      <c r="A132" s="171"/>
      <c r="B132" s="169"/>
      <c r="C132" s="169"/>
      <c r="D132" s="5">
        <v>125</v>
      </c>
      <c r="E132" s="5" t="s">
        <v>241</v>
      </c>
      <c r="F132" s="5"/>
      <c r="G132" s="5"/>
      <c r="H132" s="8"/>
      <c r="I132" s="5"/>
      <c r="J132" s="5"/>
      <c r="K132" s="5"/>
      <c r="L132" s="5"/>
      <c r="M132" s="5"/>
      <c r="N132" s="5"/>
      <c r="O132" s="5"/>
      <c r="P132" s="5"/>
      <c r="Q132" s="5"/>
      <c r="R132" s="5"/>
      <c r="S132" s="5"/>
      <c r="T132" s="6">
        <f t="shared" si="4"/>
        <v>0</v>
      </c>
      <c r="U132" s="9"/>
      <c r="V132" s="1"/>
      <c r="W132" s="1"/>
      <c r="X132" s="1"/>
      <c r="Y132" s="1"/>
      <c r="Z132" s="1"/>
    </row>
    <row r="133" spans="1:26" ht="39.75" customHeight="1">
      <c r="A133" s="171"/>
      <c r="B133" s="5" t="s">
        <v>242</v>
      </c>
      <c r="C133" s="5" t="s">
        <v>243</v>
      </c>
      <c r="D133" s="5">
        <v>126</v>
      </c>
      <c r="E133" s="5" t="s">
        <v>167</v>
      </c>
      <c r="F133" s="5"/>
      <c r="G133" s="5"/>
      <c r="H133" s="5"/>
      <c r="I133" s="5"/>
      <c r="J133" s="5"/>
      <c r="K133" s="5"/>
      <c r="L133" s="5"/>
      <c r="M133" s="5"/>
      <c r="N133" s="5"/>
      <c r="O133" s="5"/>
      <c r="P133" s="5"/>
      <c r="Q133" s="5"/>
      <c r="R133" s="5"/>
      <c r="S133" s="5"/>
      <c r="T133" s="6">
        <f t="shared" si="4"/>
        <v>0</v>
      </c>
      <c r="U133" s="9"/>
      <c r="V133" s="1"/>
      <c r="W133" s="1"/>
      <c r="X133" s="1"/>
      <c r="Y133" s="1"/>
      <c r="Z133" s="1"/>
    </row>
    <row r="134" spans="1:26" ht="39.75" customHeight="1">
      <c r="A134" s="169"/>
      <c r="B134" s="176" t="s">
        <v>244</v>
      </c>
      <c r="C134" s="177"/>
      <c r="D134" s="178"/>
      <c r="E134" s="51"/>
      <c r="F134" s="51">
        <f t="shared" ref="F134:S134" si="8">SUM(F94:F133)</f>
        <v>0</v>
      </c>
      <c r="G134" s="51">
        <f t="shared" si="8"/>
        <v>0</v>
      </c>
      <c r="H134" s="51">
        <f t="shared" si="8"/>
        <v>0</v>
      </c>
      <c r="I134" s="51">
        <f t="shared" si="8"/>
        <v>6</v>
      </c>
      <c r="J134" s="51">
        <f t="shared" si="8"/>
        <v>0</v>
      </c>
      <c r="K134" s="52">
        <f t="shared" si="8"/>
        <v>17</v>
      </c>
      <c r="L134" s="51">
        <f t="shared" si="8"/>
        <v>0</v>
      </c>
      <c r="M134" s="51">
        <f t="shared" si="8"/>
        <v>15.22</v>
      </c>
      <c r="N134" s="51">
        <f t="shared" si="8"/>
        <v>14.3</v>
      </c>
      <c r="O134" s="51">
        <f t="shared" si="8"/>
        <v>9.33</v>
      </c>
      <c r="P134" s="51">
        <f t="shared" si="8"/>
        <v>73.2</v>
      </c>
      <c r="Q134" s="51">
        <f t="shared" si="8"/>
        <v>31.57</v>
      </c>
      <c r="R134" s="51">
        <f t="shared" si="8"/>
        <v>31.05</v>
      </c>
      <c r="S134" s="51">
        <f t="shared" si="8"/>
        <v>0</v>
      </c>
      <c r="T134" s="52">
        <f t="shared" ref="T134:T197" si="9">SUM(F134:S134)</f>
        <v>197.67000000000002</v>
      </c>
      <c r="U134" s="9"/>
      <c r="V134" s="1"/>
      <c r="W134" s="1"/>
      <c r="X134" s="1"/>
      <c r="Y134" s="1"/>
      <c r="Z134" s="1"/>
    </row>
    <row r="135" spans="1:26" ht="39.75" customHeight="1">
      <c r="A135" s="175" t="s">
        <v>245</v>
      </c>
      <c r="B135" s="168" t="s">
        <v>246</v>
      </c>
      <c r="C135" s="168" t="s">
        <v>247</v>
      </c>
      <c r="D135" s="5">
        <v>127</v>
      </c>
      <c r="E135" s="5" t="s">
        <v>248</v>
      </c>
      <c r="F135" s="98"/>
      <c r="G135" s="98"/>
      <c r="H135" s="98"/>
      <c r="I135" s="98"/>
      <c r="J135" s="98"/>
      <c r="K135" s="98"/>
      <c r="L135" s="98"/>
      <c r="M135" s="98"/>
      <c r="N135" s="98"/>
      <c r="O135" s="98"/>
      <c r="P135" s="98"/>
      <c r="Q135" s="98"/>
      <c r="R135" s="98"/>
      <c r="S135" s="98"/>
      <c r="T135" s="99">
        <f t="shared" ref="T135:T157" si="10">SUM(F135:S135)</f>
        <v>0</v>
      </c>
      <c r="U135" s="100"/>
      <c r="V135" s="1"/>
      <c r="W135" s="1"/>
      <c r="X135" s="1"/>
      <c r="Y135" s="1"/>
      <c r="Z135" s="1"/>
    </row>
    <row r="136" spans="1:26" ht="39.75" customHeight="1">
      <c r="A136" s="171"/>
      <c r="B136" s="169"/>
      <c r="C136" s="169"/>
      <c r="D136" s="5">
        <v>128</v>
      </c>
      <c r="E136" s="5" t="s">
        <v>249</v>
      </c>
      <c r="F136" s="98"/>
      <c r="G136" s="98"/>
      <c r="H136" s="98"/>
      <c r="I136" s="98"/>
      <c r="J136" s="98"/>
      <c r="K136" s="99"/>
      <c r="L136" s="98"/>
      <c r="M136" s="98"/>
      <c r="N136" s="99"/>
      <c r="O136" s="98"/>
      <c r="P136" s="99"/>
      <c r="Q136" s="99">
        <f>(3*0.75)+(3*0.1)</f>
        <v>2.5499999999999998</v>
      </c>
      <c r="R136" s="98"/>
      <c r="S136" s="98"/>
      <c r="T136" s="99">
        <f t="shared" si="10"/>
        <v>2.5499999999999998</v>
      </c>
      <c r="U136" s="101" t="s">
        <v>662</v>
      </c>
      <c r="V136" s="1"/>
      <c r="W136" s="1"/>
      <c r="X136" s="1"/>
      <c r="Y136" s="1"/>
      <c r="Z136" s="1"/>
    </row>
    <row r="137" spans="1:26" ht="39.75" customHeight="1">
      <c r="A137" s="171"/>
      <c r="B137" s="28"/>
      <c r="C137" s="28"/>
      <c r="D137" s="5">
        <v>129</v>
      </c>
      <c r="E137" s="5" t="s">
        <v>250</v>
      </c>
      <c r="F137" s="98"/>
      <c r="G137" s="98"/>
      <c r="H137" s="98"/>
      <c r="I137" s="98"/>
      <c r="J137" s="98"/>
      <c r="K137" s="98"/>
      <c r="L137" s="98"/>
      <c r="M137" s="98"/>
      <c r="N137" s="98"/>
      <c r="O137" s="98"/>
      <c r="P137" s="98"/>
      <c r="Q137" s="98"/>
      <c r="R137" s="98"/>
      <c r="S137" s="98"/>
      <c r="T137" s="99">
        <f t="shared" si="10"/>
        <v>0</v>
      </c>
      <c r="U137" s="100"/>
      <c r="V137" s="1"/>
      <c r="W137" s="1"/>
      <c r="X137" s="1"/>
      <c r="Y137" s="1"/>
      <c r="Z137" s="1"/>
    </row>
    <row r="138" spans="1:26" ht="39.75" customHeight="1">
      <c r="A138" s="171"/>
      <c r="B138" s="168" t="s">
        <v>251</v>
      </c>
      <c r="C138" s="168" t="s">
        <v>252</v>
      </c>
      <c r="D138" s="5">
        <v>130</v>
      </c>
      <c r="E138" s="5" t="s">
        <v>253</v>
      </c>
      <c r="F138" s="98"/>
      <c r="G138" s="98"/>
      <c r="H138" s="98"/>
      <c r="I138" s="98"/>
      <c r="J138" s="98"/>
      <c r="K138" s="98"/>
      <c r="L138" s="98"/>
      <c r="M138" s="98"/>
      <c r="N138" s="98"/>
      <c r="O138" s="98"/>
      <c r="P138" s="98"/>
      <c r="Q138" s="98"/>
      <c r="R138" s="98"/>
      <c r="S138" s="98"/>
      <c r="T138" s="99">
        <f t="shared" si="10"/>
        <v>0</v>
      </c>
      <c r="U138" s="100"/>
      <c r="V138" s="1"/>
      <c r="W138" s="1"/>
      <c r="X138" s="1"/>
      <c r="Y138" s="1"/>
      <c r="Z138" s="1"/>
    </row>
    <row r="139" spans="1:26" ht="39.75" customHeight="1">
      <c r="A139" s="171"/>
      <c r="B139" s="171"/>
      <c r="C139" s="171"/>
      <c r="D139" s="5">
        <v>131</v>
      </c>
      <c r="E139" s="5" t="s">
        <v>254</v>
      </c>
      <c r="F139" s="98"/>
      <c r="G139" s="98"/>
      <c r="H139" s="98"/>
      <c r="I139" s="98"/>
      <c r="J139" s="98"/>
      <c r="K139" s="98"/>
      <c r="L139" s="98"/>
      <c r="M139" s="98"/>
      <c r="N139" s="99">
        <f>0.01*30</f>
        <v>0.3</v>
      </c>
      <c r="O139" s="98"/>
      <c r="P139" s="98"/>
      <c r="Q139" s="98"/>
      <c r="R139" s="98"/>
      <c r="S139" s="98"/>
      <c r="T139" s="99">
        <f t="shared" si="10"/>
        <v>0.3</v>
      </c>
      <c r="U139" s="102" t="s">
        <v>667</v>
      </c>
      <c r="V139" s="1"/>
      <c r="W139" s="1"/>
      <c r="X139" s="1"/>
      <c r="Y139" s="1"/>
      <c r="Z139" s="1"/>
    </row>
    <row r="140" spans="1:26" ht="39.75" customHeight="1">
      <c r="A140" s="171"/>
      <c r="B140" s="171"/>
      <c r="C140" s="171"/>
      <c r="D140" s="5">
        <v>132</v>
      </c>
      <c r="E140" s="5" t="s">
        <v>255</v>
      </c>
      <c r="F140" s="98"/>
      <c r="G140" s="98"/>
      <c r="H140" s="98"/>
      <c r="I140" s="98"/>
      <c r="J140" s="98"/>
      <c r="K140" s="98"/>
      <c r="L140" s="98"/>
      <c r="M140" s="98"/>
      <c r="N140" s="98"/>
      <c r="O140" s="98"/>
      <c r="P140" s="98"/>
      <c r="Q140" s="98"/>
      <c r="R140" s="98"/>
      <c r="S140" s="98"/>
      <c r="T140" s="99">
        <f t="shared" si="10"/>
        <v>0</v>
      </c>
      <c r="U140" s="100"/>
      <c r="V140" s="1"/>
      <c r="W140" s="1"/>
      <c r="X140" s="1"/>
      <c r="Y140" s="1"/>
      <c r="Z140" s="1"/>
    </row>
    <row r="141" spans="1:26" ht="39.75" customHeight="1">
      <c r="A141" s="171"/>
      <c r="B141" s="171"/>
      <c r="C141" s="171"/>
      <c r="D141" s="5">
        <v>133</v>
      </c>
      <c r="E141" s="5" t="s">
        <v>256</v>
      </c>
      <c r="F141" s="98"/>
      <c r="G141" s="98"/>
      <c r="H141" s="98"/>
      <c r="I141" s="98"/>
      <c r="J141" s="98"/>
      <c r="K141" s="98"/>
      <c r="L141" s="98"/>
      <c r="M141" s="98"/>
      <c r="N141" s="98"/>
      <c r="O141" s="98"/>
      <c r="P141" s="98"/>
      <c r="Q141" s="98"/>
      <c r="R141" s="98"/>
      <c r="S141" s="98"/>
      <c r="T141" s="99">
        <f t="shared" si="10"/>
        <v>0</v>
      </c>
      <c r="U141" s="100"/>
      <c r="V141" s="1"/>
      <c r="W141" s="1"/>
      <c r="X141" s="1"/>
      <c r="Y141" s="1"/>
      <c r="Z141" s="1"/>
    </row>
    <row r="142" spans="1:26" ht="39.75" customHeight="1">
      <c r="A142" s="171"/>
      <c r="B142" s="171"/>
      <c r="C142" s="171"/>
      <c r="D142" s="5">
        <v>134</v>
      </c>
      <c r="E142" s="5" t="s">
        <v>257</v>
      </c>
      <c r="F142" s="98"/>
      <c r="G142" s="98"/>
      <c r="H142" s="98"/>
      <c r="I142" s="98"/>
      <c r="J142" s="98"/>
      <c r="K142" s="98"/>
      <c r="L142" s="98"/>
      <c r="M142" s="98"/>
      <c r="N142" s="98"/>
      <c r="O142" s="98"/>
      <c r="P142" s="99">
        <f>(15*0.005*12)+(15*0.0025*12)+(3*4*0.1)</f>
        <v>2.5499999999999998</v>
      </c>
      <c r="Q142" s="98"/>
      <c r="R142" s="98"/>
      <c r="S142" s="98"/>
      <c r="T142" s="99">
        <f t="shared" si="10"/>
        <v>2.5499999999999998</v>
      </c>
      <c r="U142" s="100" t="s">
        <v>258</v>
      </c>
      <c r="V142" s="1"/>
      <c r="W142" s="1"/>
      <c r="X142" s="1"/>
      <c r="Y142" s="1"/>
      <c r="Z142" s="1"/>
    </row>
    <row r="143" spans="1:26" ht="39.75" customHeight="1">
      <c r="A143" s="171"/>
      <c r="B143" s="171"/>
      <c r="C143" s="171"/>
      <c r="D143" s="5">
        <v>135</v>
      </c>
      <c r="E143" s="5" t="s">
        <v>259</v>
      </c>
      <c r="F143" s="98"/>
      <c r="G143" s="98"/>
      <c r="H143" s="98"/>
      <c r="I143" s="98"/>
      <c r="J143" s="98"/>
      <c r="K143" s="98"/>
      <c r="L143" s="98"/>
      <c r="M143" s="98"/>
      <c r="N143" s="98"/>
      <c r="O143" s="98"/>
      <c r="P143" s="98"/>
      <c r="Q143" s="98"/>
      <c r="R143" s="98"/>
      <c r="S143" s="98"/>
      <c r="T143" s="99">
        <f t="shared" si="10"/>
        <v>0</v>
      </c>
      <c r="U143" s="100"/>
      <c r="V143" s="1"/>
      <c r="W143" s="1"/>
      <c r="X143" s="1"/>
      <c r="Y143" s="1"/>
      <c r="Z143" s="1"/>
    </row>
    <row r="144" spans="1:26" ht="39.75" customHeight="1">
      <c r="A144" s="171"/>
      <c r="B144" s="169"/>
      <c r="C144" s="169"/>
      <c r="D144" s="5">
        <v>136</v>
      </c>
      <c r="E144" s="5" t="s">
        <v>260</v>
      </c>
      <c r="F144" s="98"/>
      <c r="G144" s="98"/>
      <c r="H144" s="98"/>
      <c r="I144" s="98"/>
      <c r="J144" s="98"/>
      <c r="K144" s="98"/>
      <c r="L144" s="98"/>
      <c r="M144" s="98"/>
      <c r="N144" s="98"/>
      <c r="O144" s="98"/>
      <c r="P144" s="99"/>
      <c r="Q144" s="98"/>
      <c r="R144" s="98"/>
      <c r="S144" s="98"/>
      <c r="T144" s="99">
        <f t="shared" si="10"/>
        <v>0</v>
      </c>
      <c r="U144" s="101"/>
      <c r="V144" s="1"/>
      <c r="W144" s="1"/>
      <c r="X144" s="1"/>
      <c r="Y144" s="1"/>
      <c r="Z144" s="1"/>
    </row>
    <row r="145" spans="1:26" ht="39.75" customHeight="1">
      <c r="A145" s="171"/>
      <c r="B145" s="168" t="s">
        <v>261</v>
      </c>
      <c r="C145" s="168" t="s">
        <v>262</v>
      </c>
      <c r="D145" s="5">
        <v>137</v>
      </c>
      <c r="E145" s="5" t="s">
        <v>263</v>
      </c>
      <c r="F145" s="98"/>
      <c r="G145" s="98"/>
      <c r="H145" s="98"/>
      <c r="I145" s="98"/>
      <c r="J145" s="98"/>
      <c r="K145" s="98"/>
      <c r="L145" s="98"/>
      <c r="M145" s="99"/>
      <c r="N145" s="98"/>
      <c r="O145" s="98"/>
      <c r="P145" s="99">
        <f>0.24*3</f>
        <v>0.72</v>
      </c>
      <c r="Q145" s="98"/>
      <c r="R145" s="98"/>
      <c r="S145" s="98"/>
      <c r="T145" s="99">
        <f t="shared" si="10"/>
        <v>0.72</v>
      </c>
      <c r="U145" s="101" t="s">
        <v>264</v>
      </c>
      <c r="V145" s="1"/>
      <c r="W145" s="1"/>
      <c r="X145" s="1"/>
      <c r="Y145" s="1"/>
      <c r="Z145" s="1"/>
    </row>
    <row r="146" spans="1:26" ht="39.75" customHeight="1">
      <c r="A146" s="171"/>
      <c r="B146" s="169"/>
      <c r="C146" s="169"/>
      <c r="D146" s="5">
        <v>138</v>
      </c>
      <c r="E146" s="5" t="s">
        <v>265</v>
      </c>
      <c r="F146" s="103"/>
      <c r="G146" s="103"/>
      <c r="H146" s="104"/>
      <c r="I146" s="104"/>
      <c r="J146" s="103"/>
      <c r="K146" s="104"/>
      <c r="L146" s="103"/>
      <c r="M146" s="104"/>
      <c r="N146" s="103"/>
      <c r="O146" s="103"/>
      <c r="P146" s="103"/>
      <c r="Q146" s="103"/>
      <c r="R146" s="103"/>
      <c r="S146" s="103"/>
      <c r="T146" s="104">
        <f t="shared" si="10"/>
        <v>0</v>
      </c>
      <c r="U146" s="105"/>
      <c r="V146" s="1"/>
      <c r="W146" s="1"/>
      <c r="X146" s="1"/>
      <c r="Y146" s="1"/>
      <c r="Z146" s="1"/>
    </row>
    <row r="147" spans="1:26" ht="39.75" customHeight="1">
      <c r="A147" s="171"/>
      <c r="B147" s="168" t="s">
        <v>266</v>
      </c>
      <c r="C147" s="168" t="s">
        <v>267</v>
      </c>
      <c r="D147" s="5">
        <v>139</v>
      </c>
      <c r="E147" s="5" t="s">
        <v>268</v>
      </c>
      <c r="F147" s="98"/>
      <c r="G147" s="98"/>
      <c r="H147" s="98"/>
      <c r="I147" s="98"/>
      <c r="J147" s="98"/>
      <c r="K147" s="98"/>
      <c r="L147" s="98"/>
      <c r="M147" s="98"/>
      <c r="N147" s="99"/>
      <c r="O147" s="98"/>
      <c r="P147" s="99">
        <v>3</v>
      </c>
      <c r="Q147" s="98"/>
      <c r="R147" s="99"/>
      <c r="S147" s="98"/>
      <c r="T147" s="99">
        <f t="shared" si="10"/>
        <v>3</v>
      </c>
      <c r="U147" s="101" t="s">
        <v>668</v>
      </c>
      <c r="V147" s="1"/>
      <c r="W147" s="1"/>
      <c r="X147" s="1"/>
      <c r="Y147" s="1"/>
      <c r="Z147" s="1"/>
    </row>
    <row r="148" spans="1:26" ht="39.75" customHeight="1">
      <c r="A148" s="171"/>
      <c r="B148" s="171"/>
      <c r="C148" s="171"/>
      <c r="D148" s="5">
        <v>140</v>
      </c>
      <c r="E148" s="5" t="s">
        <v>269</v>
      </c>
      <c r="F148" s="98"/>
      <c r="G148" s="98"/>
      <c r="H148" s="98"/>
      <c r="I148" s="98"/>
      <c r="J148" s="98"/>
      <c r="K148" s="98"/>
      <c r="L148" s="98"/>
      <c r="M148" s="98"/>
      <c r="N148" s="98"/>
      <c r="O148" s="98"/>
      <c r="P148" s="99">
        <f>3+(3*0.055)+(0.08*3)</f>
        <v>3.4050000000000002</v>
      </c>
      <c r="Q148" s="98"/>
      <c r="R148" s="98"/>
      <c r="S148" s="98"/>
      <c r="T148" s="99">
        <f t="shared" si="10"/>
        <v>3.4050000000000002</v>
      </c>
      <c r="U148" s="101" t="s">
        <v>666</v>
      </c>
      <c r="V148" s="1"/>
      <c r="W148" s="1"/>
      <c r="X148" s="1"/>
      <c r="Y148" s="1"/>
      <c r="Z148" s="1"/>
    </row>
    <row r="149" spans="1:26" ht="39.75" customHeight="1">
      <c r="A149" s="171"/>
      <c r="B149" s="169"/>
      <c r="C149" s="169"/>
      <c r="D149" s="5">
        <v>141</v>
      </c>
      <c r="E149" s="5" t="s">
        <v>270</v>
      </c>
      <c r="F149" s="98"/>
      <c r="G149" s="98"/>
      <c r="H149" s="98"/>
      <c r="I149" s="98"/>
      <c r="J149" s="98"/>
      <c r="K149" s="98"/>
      <c r="L149" s="98"/>
      <c r="M149" s="98"/>
      <c r="N149" s="98"/>
      <c r="O149" s="98"/>
      <c r="P149" s="98"/>
      <c r="Q149" s="98"/>
      <c r="R149" s="98"/>
      <c r="S149" s="98"/>
      <c r="T149" s="99">
        <f t="shared" si="10"/>
        <v>0</v>
      </c>
      <c r="U149" s="100"/>
      <c r="V149" s="1"/>
      <c r="W149" s="1"/>
      <c r="X149" s="1"/>
      <c r="Y149" s="1"/>
      <c r="Z149" s="1"/>
    </row>
    <row r="150" spans="1:26" ht="39.75" customHeight="1">
      <c r="A150" s="171"/>
      <c r="B150" s="168" t="s">
        <v>271</v>
      </c>
      <c r="C150" s="168" t="s">
        <v>272</v>
      </c>
      <c r="D150" s="5">
        <v>142</v>
      </c>
      <c r="E150" s="5" t="s">
        <v>273</v>
      </c>
      <c r="F150" s="98"/>
      <c r="G150" s="98"/>
      <c r="H150" s="98"/>
      <c r="I150" s="98"/>
      <c r="J150" s="98"/>
      <c r="K150" s="98"/>
      <c r="L150" s="98"/>
      <c r="M150" s="98"/>
      <c r="N150" s="98"/>
      <c r="O150" s="98"/>
      <c r="P150" s="98"/>
      <c r="Q150" s="98"/>
      <c r="R150" s="98">
        <v>171.26</v>
      </c>
      <c r="S150" s="98"/>
      <c r="T150" s="99">
        <f t="shared" si="10"/>
        <v>171.26</v>
      </c>
      <c r="U150" s="100"/>
      <c r="V150" s="1"/>
      <c r="W150" s="1"/>
      <c r="X150" s="1"/>
      <c r="Y150" s="1"/>
      <c r="Z150" s="1"/>
    </row>
    <row r="151" spans="1:26" ht="39.75" customHeight="1">
      <c r="A151" s="171"/>
      <c r="B151" s="171"/>
      <c r="C151" s="171"/>
      <c r="D151" s="5">
        <v>143</v>
      </c>
      <c r="E151" s="5" t="s">
        <v>274</v>
      </c>
      <c r="F151" s="98"/>
      <c r="G151" s="98"/>
      <c r="H151" s="98"/>
      <c r="I151" s="98"/>
      <c r="J151" s="98"/>
      <c r="K151" s="98"/>
      <c r="L151" s="98"/>
      <c r="M151" s="98"/>
      <c r="N151" s="98"/>
      <c r="O151" s="98"/>
      <c r="P151" s="98"/>
      <c r="Q151" s="98"/>
      <c r="R151" s="98"/>
      <c r="S151" s="98"/>
      <c r="T151" s="99">
        <f t="shared" si="10"/>
        <v>0</v>
      </c>
      <c r="U151" s="100"/>
      <c r="V151" s="1"/>
      <c r="W151" s="1"/>
      <c r="X151" s="1"/>
      <c r="Y151" s="1"/>
      <c r="Z151" s="1"/>
    </row>
    <row r="152" spans="1:26" ht="39.75" customHeight="1">
      <c r="A152" s="171"/>
      <c r="B152" s="171"/>
      <c r="C152" s="171"/>
      <c r="D152" s="5">
        <v>144</v>
      </c>
      <c r="E152" s="5" t="s">
        <v>275</v>
      </c>
      <c r="F152" s="98"/>
      <c r="G152" s="98"/>
      <c r="H152" s="98"/>
      <c r="I152" s="98"/>
      <c r="J152" s="98"/>
      <c r="K152" s="98"/>
      <c r="L152" s="98"/>
      <c r="M152" s="98"/>
      <c r="N152" s="98"/>
      <c r="O152" s="98"/>
      <c r="P152" s="98"/>
      <c r="Q152" s="98"/>
      <c r="R152" s="98"/>
      <c r="S152" s="98"/>
      <c r="T152" s="99">
        <f t="shared" si="10"/>
        <v>0</v>
      </c>
      <c r="U152" s="100"/>
      <c r="V152" s="1"/>
      <c r="W152" s="1"/>
      <c r="X152" s="1"/>
      <c r="Y152" s="1"/>
      <c r="Z152" s="1"/>
    </row>
    <row r="153" spans="1:26" ht="39.75" customHeight="1">
      <c r="A153" s="171"/>
      <c r="B153" s="169"/>
      <c r="C153" s="169"/>
      <c r="D153" s="5">
        <v>145</v>
      </c>
      <c r="E153" s="5" t="s">
        <v>276</v>
      </c>
      <c r="F153" s="98"/>
      <c r="G153" s="98"/>
      <c r="H153" s="98"/>
      <c r="I153" s="98"/>
      <c r="J153" s="98"/>
      <c r="K153" s="98"/>
      <c r="L153" s="98"/>
      <c r="M153" s="98"/>
      <c r="N153" s="98"/>
      <c r="O153" s="98"/>
      <c r="P153" s="98"/>
      <c r="Q153" s="98"/>
      <c r="R153" s="98"/>
      <c r="S153" s="98"/>
      <c r="T153" s="99">
        <f t="shared" si="10"/>
        <v>0</v>
      </c>
      <c r="U153" s="100"/>
      <c r="V153" s="1"/>
      <c r="W153" s="1"/>
      <c r="X153" s="1"/>
      <c r="Y153" s="1"/>
      <c r="Z153" s="1"/>
    </row>
    <row r="154" spans="1:26" ht="39.75" customHeight="1">
      <c r="A154" s="171"/>
      <c r="B154" s="5" t="s">
        <v>277</v>
      </c>
      <c r="C154" s="5" t="s">
        <v>278</v>
      </c>
      <c r="D154" s="5">
        <v>146</v>
      </c>
      <c r="E154" s="5" t="s">
        <v>279</v>
      </c>
      <c r="F154" s="98"/>
      <c r="G154" s="98"/>
      <c r="H154" s="98"/>
      <c r="I154" s="98"/>
      <c r="J154" s="98"/>
      <c r="K154" s="98"/>
      <c r="L154" s="98"/>
      <c r="M154" s="98"/>
      <c r="N154" s="98"/>
      <c r="O154" s="98"/>
      <c r="P154" s="98"/>
      <c r="Q154" s="98"/>
      <c r="R154" s="99">
        <v>5.4</v>
      </c>
      <c r="S154" s="98"/>
      <c r="T154" s="99">
        <f t="shared" si="10"/>
        <v>5.4</v>
      </c>
      <c r="U154" s="102" t="s">
        <v>280</v>
      </c>
      <c r="V154" s="1"/>
      <c r="W154" s="1"/>
      <c r="X154" s="1"/>
      <c r="Y154" s="1"/>
      <c r="Z154" s="1"/>
    </row>
    <row r="155" spans="1:26" ht="39.75" customHeight="1">
      <c r="A155" s="171"/>
      <c r="B155" s="5" t="s">
        <v>281</v>
      </c>
      <c r="C155" s="5" t="s">
        <v>282</v>
      </c>
      <c r="D155" s="5">
        <v>147</v>
      </c>
      <c r="E155" s="5" t="s">
        <v>149</v>
      </c>
      <c r="F155" s="98"/>
      <c r="G155" s="98"/>
      <c r="H155" s="98"/>
      <c r="I155" s="98"/>
      <c r="J155" s="98"/>
      <c r="K155" s="98"/>
      <c r="L155" s="98"/>
      <c r="M155" s="98"/>
      <c r="N155" s="98"/>
      <c r="O155" s="98"/>
      <c r="P155" s="98"/>
      <c r="Q155" s="98"/>
      <c r="R155" s="98"/>
      <c r="S155" s="98"/>
      <c r="T155" s="99">
        <f t="shared" si="10"/>
        <v>0</v>
      </c>
      <c r="U155" s="100"/>
      <c r="V155" s="1"/>
      <c r="W155" s="1"/>
      <c r="X155" s="1"/>
      <c r="Y155" s="1"/>
      <c r="Z155" s="1"/>
    </row>
    <row r="156" spans="1:26" ht="39.75" customHeight="1">
      <c r="A156" s="171"/>
      <c r="B156" s="5" t="s">
        <v>283</v>
      </c>
      <c r="C156" s="5" t="s">
        <v>284</v>
      </c>
      <c r="D156" s="5">
        <v>148</v>
      </c>
      <c r="E156" s="5" t="s">
        <v>285</v>
      </c>
      <c r="F156" s="98"/>
      <c r="G156" s="98"/>
      <c r="H156" s="98"/>
      <c r="I156" s="98"/>
      <c r="J156" s="98"/>
      <c r="K156" s="98"/>
      <c r="L156" s="98"/>
      <c r="M156" s="98"/>
      <c r="N156" s="99"/>
      <c r="O156" s="98"/>
      <c r="P156" s="99"/>
      <c r="Q156" s="98"/>
      <c r="R156" s="98"/>
      <c r="S156" s="98"/>
      <c r="T156" s="99">
        <f t="shared" si="10"/>
        <v>0</v>
      </c>
      <c r="U156" s="101"/>
      <c r="V156" s="1"/>
      <c r="W156" s="1"/>
      <c r="X156" s="1"/>
      <c r="Y156" s="1"/>
      <c r="Z156" s="1"/>
    </row>
    <row r="157" spans="1:26" ht="39.75" customHeight="1">
      <c r="A157" s="171"/>
      <c r="B157" s="5" t="s">
        <v>286</v>
      </c>
      <c r="C157" s="5" t="s">
        <v>287</v>
      </c>
      <c r="D157" s="5">
        <v>149</v>
      </c>
      <c r="E157" s="5" t="s">
        <v>288</v>
      </c>
      <c r="F157" s="106"/>
      <c r="G157" s="106"/>
      <c r="H157" s="106"/>
      <c r="I157" s="106"/>
      <c r="J157" s="106"/>
      <c r="K157" s="106"/>
      <c r="L157" s="106"/>
      <c r="M157" s="106"/>
      <c r="N157" s="106"/>
      <c r="O157" s="106"/>
      <c r="P157" s="99">
        <f>(3*1.75)+(0.05*30)</f>
        <v>6.75</v>
      </c>
      <c r="Q157" s="106"/>
      <c r="R157" s="106"/>
      <c r="S157" s="106"/>
      <c r="T157" s="99">
        <f t="shared" si="10"/>
        <v>6.75</v>
      </c>
      <c r="U157" s="101"/>
      <c r="V157" s="1"/>
      <c r="W157" s="1"/>
      <c r="X157" s="1"/>
      <c r="Y157" s="1"/>
      <c r="Z157" s="1"/>
    </row>
    <row r="158" spans="1:26" ht="39.75" customHeight="1">
      <c r="A158" s="169"/>
      <c r="B158" s="176" t="s">
        <v>289</v>
      </c>
      <c r="C158" s="177"/>
      <c r="D158" s="178"/>
      <c r="E158" s="51"/>
      <c r="F158" s="51">
        <f t="shared" ref="F158:S158" si="11">SUM(F135:F157)</f>
        <v>0</v>
      </c>
      <c r="G158" s="51">
        <f t="shared" si="11"/>
        <v>0</v>
      </c>
      <c r="H158" s="51">
        <f t="shared" si="11"/>
        <v>0</v>
      </c>
      <c r="I158" s="51">
        <f t="shared" si="11"/>
        <v>0</v>
      </c>
      <c r="J158" s="51">
        <f t="shared" si="11"/>
        <v>0</v>
      </c>
      <c r="K158" s="51">
        <f t="shared" si="11"/>
        <v>0</v>
      </c>
      <c r="L158" s="51">
        <f t="shared" si="11"/>
        <v>0</v>
      </c>
      <c r="M158" s="51">
        <f t="shared" si="11"/>
        <v>0</v>
      </c>
      <c r="N158" s="51">
        <f t="shared" si="11"/>
        <v>0.3</v>
      </c>
      <c r="O158" s="51">
        <f t="shared" si="11"/>
        <v>0</v>
      </c>
      <c r="P158" s="51">
        <f t="shared" si="11"/>
        <v>16.425000000000001</v>
      </c>
      <c r="Q158" s="51">
        <f t="shared" si="11"/>
        <v>2.5499999999999998</v>
      </c>
      <c r="R158" s="51">
        <f t="shared" si="11"/>
        <v>176.66</v>
      </c>
      <c r="S158" s="51">
        <f t="shared" si="11"/>
        <v>0</v>
      </c>
      <c r="T158" s="52">
        <f t="shared" si="9"/>
        <v>195.935</v>
      </c>
      <c r="U158" s="9"/>
      <c r="V158" s="29"/>
      <c r="W158" s="29"/>
      <c r="X158" s="29"/>
      <c r="Y158" s="29"/>
      <c r="Z158" s="29"/>
    </row>
    <row r="159" spans="1:26" ht="39.75" customHeight="1">
      <c r="A159" s="175" t="s">
        <v>290</v>
      </c>
      <c r="B159" s="168" t="s">
        <v>291</v>
      </c>
      <c r="C159" s="168" t="s">
        <v>247</v>
      </c>
      <c r="D159" s="5">
        <v>150</v>
      </c>
      <c r="E159" s="5" t="s">
        <v>292</v>
      </c>
      <c r="F159" s="5"/>
      <c r="G159" s="8">
        <v>315</v>
      </c>
      <c r="H159" s="8">
        <v>420</v>
      </c>
      <c r="I159" s="5"/>
      <c r="J159" s="5"/>
      <c r="K159" s="5"/>
      <c r="L159" s="5"/>
      <c r="M159" s="5"/>
      <c r="N159" s="6">
        <v>2.5</v>
      </c>
      <c r="O159" s="5"/>
      <c r="P159" s="8"/>
      <c r="Q159" s="5"/>
      <c r="R159" s="5"/>
      <c r="S159" s="5"/>
      <c r="T159" s="6">
        <f t="shared" si="9"/>
        <v>737.5</v>
      </c>
      <c r="U159" s="62" t="s">
        <v>376</v>
      </c>
      <c r="V159" s="1"/>
      <c r="W159" s="1"/>
      <c r="X159" s="1"/>
      <c r="Y159" s="1"/>
      <c r="Z159" s="1"/>
    </row>
    <row r="160" spans="1:26" ht="39.75" customHeight="1">
      <c r="A160" s="171"/>
      <c r="B160" s="171"/>
      <c r="C160" s="171"/>
      <c r="D160" s="5">
        <v>151</v>
      </c>
      <c r="E160" s="5" t="s">
        <v>294</v>
      </c>
      <c r="F160" s="5"/>
      <c r="G160" s="8"/>
      <c r="H160" s="8"/>
      <c r="I160" s="6"/>
      <c r="J160" s="5"/>
      <c r="K160" s="5"/>
      <c r="L160" s="5"/>
      <c r="M160" s="5"/>
      <c r="N160" s="6"/>
      <c r="O160" s="8"/>
      <c r="P160" s="8"/>
      <c r="Q160" s="6"/>
      <c r="R160" s="8">
        <v>6</v>
      </c>
      <c r="S160" s="5"/>
      <c r="T160" s="6">
        <f t="shared" si="9"/>
        <v>6</v>
      </c>
      <c r="U160" s="9" t="s">
        <v>640</v>
      </c>
      <c r="V160" s="1"/>
      <c r="W160" s="1"/>
      <c r="X160" s="1"/>
      <c r="Y160" s="1"/>
      <c r="Z160" s="1"/>
    </row>
    <row r="161" spans="1:26" ht="39.75" customHeight="1">
      <c r="A161" s="171"/>
      <c r="B161" s="171"/>
      <c r="C161" s="171"/>
      <c r="D161" s="5">
        <v>152</v>
      </c>
      <c r="E161" s="5" t="s">
        <v>295</v>
      </c>
      <c r="F161" s="5"/>
      <c r="G161" s="5"/>
      <c r="H161" s="5"/>
      <c r="I161" s="5"/>
      <c r="J161" s="5"/>
      <c r="K161" s="5"/>
      <c r="L161" s="5"/>
      <c r="M161" s="5"/>
      <c r="N161" s="5"/>
      <c r="O161" s="5"/>
      <c r="P161" s="8">
        <v>15</v>
      </c>
      <c r="Q161" s="5"/>
      <c r="R161" s="5"/>
      <c r="S161" s="5"/>
      <c r="T161" s="6">
        <f t="shared" si="9"/>
        <v>15</v>
      </c>
      <c r="U161" s="9" t="s">
        <v>296</v>
      </c>
      <c r="V161" s="1"/>
      <c r="W161" s="1"/>
      <c r="X161" s="1"/>
      <c r="Y161" s="1"/>
      <c r="Z161" s="1"/>
    </row>
    <row r="162" spans="1:26" ht="39.75" customHeight="1">
      <c r="A162" s="171"/>
      <c r="B162" s="179"/>
      <c r="C162" s="179"/>
      <c r="D162" s="5">
        <v>153</v>
      </c>
      <c r="E162" s="5" t="s">
        <v>297</v>
      </c>
      <c r="F162" s="24"/>
      <c r="G162" s="24"/>
      <c r="H162" s="24"/>
      <c r="I162" s="24"/>
      <c r="J162" s="24"/>
      <c r="K162" s="24"/>
      <c r="L162" s="24"/>
      <c r="M162" s="24"/>
      <c r="N162" s="6"/>
      <c r="O162" s="24"/>
      <c r="P162" s="24"/>
      <c r="Q162" s="24"/>
      <c r="R162" s="24"/>
      <c r="S162" s="24"/>
      <c r="T162" s="6">
        <f t="shared" si="9"/>
        <v>0</v>
      </c>
      <c r="U162" s="9" t="s">
        <v>298</v>
      </c>
      <c r="V162" s="1"/>
      <c r="W162" s="1"/>
      <c r="X162" s="1"/>
      <c r="Y162" s="1"/>
      <c r="Z162" s="1"/>
    </row>
    <row r="163" spans="1:26" ht="39.75" customHeight="1">
      <c r="A163" s="171"/>
      <c r="B163" s="168" t="s">
        <v>299</v>
      </c>
      <c r="C163" s="168" t="s">
        <v>300</v>
      </c>
      <c r="D163" s="5">
        <v>154</v>
      </c>
      <c r="E163" s="5" t="s">
        <v>301</v>
      </c>
      <c r="F163" s="5"/>
      <c r="G163" s="5"/>
      <c r="H163" s="5"/>
      <c r="I163" s="5"/>
      <c r="J163" s="5"/>
      <c r="K163" s="6"/>
      <c r="L163" s="5"/>
      <c r="M163" s="6"/>
      <c r="N163" s="5"/>
      <c r="O163" s="5"/>
      <c r="P163" s="5"/>
      <c r="Q163" s="8"/>
      <c r="R163" s="5"/>
      <c r="S163" s="5"/>
      <c r="T163" s="6">
        <f t="shared" si="9"/>
        <v>0</v>
      </c>
      <c r="U163" s="9"/>
      <c r="V163" s="1"/>
      <c r="W163" s="1"/>
      <c r="X163" s="1"/>
      <c r="Y163" s="1"/>
      <c r="Z163" s="1"/>
    </row>
    <row r="164" spans="1:26" ht="39.75" customHeight="1">
      <c r="A164" s="171"/>
      <c r="B164" s="171"/>
      <c r="C164" s="171"/>
      <c r="D164" s="5">
        <v>155</v>
      </c>
      <c r="E164" s="5" t="s">
        <v>302</v>
      </c>
      <c r="F164" s="5"/>
      <c r="G164" s="5"/>
      <c r="H164" s="5"/>
      <c r="I164" s="5"/>
      <c r="J164" s="5"/>
      <c r="K164" s="5"/>
      <c r="L164" s="5"/>
      <c r="M164" s="5"/>
      <c r="N164" s="5"/>
      <c r="O164" s="5"/>
      <c r="P164" s="8"/>
      <c r="Q164" s="5"/>
      <c r="R164" s="5"/>
      <c r="S164" s="5"/>
      <c r="T164" s="6">
        <f t="shared" si="9"/>
        <v>0</v>
      </c>
      <c r="U164" s="9"/>
      <c r="V164" s="1"/>
      <c r="W164" s="1"/>
      <c r="X164" s="1"/>
      <c r="Y164" s="1"/>
      <c r="Z164" s="1"/>
    </row>
    <row r="165" spans="1:26" ht="39.75" customHeight="1">
      <c r="A165" s="171"/>
      <c r="B165" s="171"/>
      <c r="C165" s="171"/>
      <c r="D165" s="5">
        <v>156</v>
      </c>
      <c r="E165" s="5" t="s">
        <v>303</v>
      </c>
      <c r="F165" s="5"/>
      <c r="G165" s="5"/>
      <c r="H165" s="8"/>
      <c r="I165" s="6"/>
      <c r="J165" s="5"/>
      <c r="K165" s="5"/>
      <c r="L165" s="5"/>
      <c r="M165" s="5"/>
      <c r="N165" s="5"/>
      <c r="O165" s="5"/>
      <c r="P165" s="8">
        <v>1.6</v>
      </c>
      <c r="Q165" s="5"/>
      <c r="R165" s="5"/>
      <c r="S165" s="5"/>
      <c r="T165" s="6">
        <f t="shared" si="9"/>
        <v>1.6</v>
      </c>
      <c r="U165" s="9"/>
      <c r="V165" s="1"/>
      <c r="W165" s="1"/>
      <c r="X165" s="1"/>
      <c r="Y165" s="1"/>
      <c r="Z165" s="1"/>
    </row>
    <row r="166" spans="1:26" ht="39.75" customHeight="1">
      <c r="A166" s="171"/>
      <c r="B166" s="171"/>
      <c r="C166" s="171"/>
      <c r="D166" s="5">
        <v>157</v>
      </c>
      <c r="E166" s="5" t="s">
        <v>304</v>
      </c>
      <c r="F166" s="5"/>
      <c r="G166" s="5"/>
      <c r="H166" s="5"/>
      <c r="I166" s="5"/>
      <c r="J166" s="5"/>
      <c r="K166" s="5"/>
      <c r="L166" s="5"/>
      <c r="M166" s="5"/>
      <c r="N166" s="5"/>
      <c r="O166" s="5"/>
      <c r="P166" s="5"/>
      <c r="Q166" s="5"/>
      <c r="R166" s="5"/>
      <c r="S166" s="5"/>
      <c r="T166" s="6">
        <f t="shared" si="9"/>
        <v>0</v>
      </c>
      <c r="U166" s="9"/>
      <c r="V166" s="1"/>
      <c r="W166" s="1"/>
      <c r="X166" s="1"/>
      <c r="Y166" s="1"/>
      <c r="Z166" s="1"/>
    </row>
    <row r="167" spans="1:26" ht="39.75" customHeight="1">
      <c r="A167" s="171"/>
      <c r="B167" s="169"/>
      <c r="C167" s="169"/>
      <c r="D167" s="5">
        <v>158</v>
      </c>
      <c r="E167" s="5" t="s">
        <v>305</v>
      </c>
      <c r="F167" s="5"/>
      <c r="G167" s="5"/>
      <c r="H167" s="5"/>
      <c r="I167" s="5"/>
      <c r="J167" s="5"/>
      <c r="K167" s="5"/>
      <c r="L167" s="5"/>
      <c r="M167" s="5"/>
      <c r="N167" s="5"/>
      <c r="O167" s="5"/>
      <c r="P167" s="5"/>
      <c r="Q167" s="6"/>
      <c r="R167" s="5"/>
      <c r="S167" s="5"/>
      <c r="T167" s="6">
        <f t="shared" si="9"/>
        <v>0</v>
      </c>
      <c r="U167" s="9"/>
      <c r="V167" s="1"/>
      <c r="W167" s="1"/>
      <c r="X167" s="1"/>
      <c r="Y167" s="1"/>
      <c r="Z167" s="1"/>
    </row>
    <row r="168" spans="1:26" ht="39.75" customHeight="1">
      <c r="A168" s="171"/>
      <c r="B168" s="168" t="s">
        <v>306</v>
      </c>
      <c r="C168" s="168" t="s">
        <v>252</v>
      </c>
      <c r="D168" s="5">
        <v>159</v>
      </c>
      <c r="E168" s="5" t="s">
        <v>253</v>
      </c>
      <c r="F168" s="5"/>
      <c r="G168" s="5"/>
      <c r="H168" s="5"/>
      <c r="I168" s="5"/>
      <c r="J168" s="5"/>
      <c r="K168" s="6"/>
      <c r="L168" s="5"/>
      <c r="M168" s="5"/>
      <c r="N168" s="8">
        <v>24.49</v>
      </c>
      <c r="O168" s="8">
        <v>410.52</v>
      </c>
      <c r="P168" s="8">
        <v>41.26</v>
      </c>
      <c r="Q168" s="6">
        <v>2.36</v>
      </c>
      <c r="R168" s="5"/>
      <c r="S168" s="5"/>
      <c r="T168" s="6">
        <f t="shared" si="9"/>
        <v>478.63</v>
      </c>
      <c r="U168" s="9" t="s">
        <v>377</v>
      </c>
      <c r="V168" s="1"/>
      <c r="W168" s="1"/>
      <c r="X168" s="1"/>
      <c r="Y168" s="1"/>
      <c r="Z168" s="1"/>
    </row>
    <row r="169" spans="1:26" ht="39.75" customHeight="1">
      <c r="A169" s="171"/>
      <c r="B169" s="171"/>
      <c r="C169" s="171"/>
      <c r="D169" s="5">
        <v>160</v>
      </c>
      <c r="E169" s="5" t="s">
        <v>308</v>
      </c>
      <c r="F169" s="5"/>
      <c r="G169" s="5"/>
      <c r="H169" s="5"/>
      <c r="I169" s="5"/>
      <c r="J169" s="5"/>
      <c r="K169" s="5"/>
      <c r="L169" s="5"/>
      <c r="M169" s="5"/>
      <c r="N169" s="5"/>
      <c r="O169" s="5"/>
      <c r="P169" s="5"/>
      <c r="Q169" s="5"/>
      <c r="R169" s="5"/>
      <c r="S169" s="5"/>
      <c r="T169" s="6">
        <f t="shared" si="9"/>
        <v>0</v>
      </c>
      <c r="U169" s="9"/>
      <c r="V169" s="1"/>
      <c r="W169" s="1"/>
      <c r="X169" s="1"/>
      <c r="Y169" s="1"/>
      <c r="Z169" s="1"/>
    </row>
    <row r="170" spans="1:26" ht="39.75" customHeight="1">
      <c r="A170" s="171"/>
      <c r="B170" s="171"/>
      <c r="C170" s="171"/>
      <c r="D170" s="5">
        <v>161</v>
      </c>
      <c r="E170" s="5" t="s">
        <v>255</v>
      </c>
      <c r="F170" s="5"/>
      <c r="G170" s="5"/>
      <c r="H170" s="5"/>
      <c r="I170" s="5"/>
      <c r="J170" s="5"/>
      <c r="K170" s="5"/>
      <c r="L170" s="5"/>
      <c r="M170" s="5"/>
      <c r="N170" s="5"/>
      <c r="O170" s="5"/>
      <c r="P170" s="5"/>
      <c r="Q170" s="5"/>
      <c r="R170" s="5"/>
      <c r="S170" s="5"/>
      <c r="T170" s="6">
        <f t="shared" si="9"/>
        <v>0</v>
      </c>
      <c r="U170" s="9"/>
      <c r="V170" s="1"/>
      <c r="W170" s="1"/>
      <c r="X170" s="1"/>
      <c r="Y170" s="1"/>
      <c r="Z170" s="1"/>
    </row>
    <row r="171" spans="1:26" ht="39.75" customHeight="1">
      <c r="A171" s="171"/>
      <c r="B171" s="171"/>
      <c r="C171" s="171"/>
      <c r="D171" s="5">
        <v>162</v>
      </c>
      <c r="E171" s="5" t="s">
        <v>256</v>
      </c>
      <c r="F171" s="5"/>
      <c r="G171" s="5"/>
      <c r="H171" s="5"/>
      <c r="I171" s="5"/>
      <c r="J171" s="5"/>
      <c r="K171" s="5"/>
      <c r="L171" s="5"/>
      <c r="M171" s="5"/>
      <c r="N171" s="5"/>
      <c r="O171" s="5"/>
      <c r="P171" s="5"/>
      <c r="Q171" s="5"/>
      <c r="R171" s="5"/>
      <c r="S171" s="5"/>
      <c r="T171" s="6">
        <f t="shared" si="9"/>
        <v>0</v>
      </c>
      <c r="U171" s="9"/>
      <c r="V171" s="1"/>
      <c r="W171" s="1"/>
      <c r="X171" s="1"/>
      <c r="Y171" s="1"/>
      <c r="Z171" s="1"/>
    </row>
    <row r="172" spans="1:26" ht="39.75" customHeight="1">
      <c r="A172" s="171"/>
      <c r="B172" s="169"/>
      <c r="C172" s="169"/>
      <c r="D172" s="5">
        <v>163</v>
      </c>
      <c r="E172" s="5" t="s">
        <v>309</v>
      </c>
      <c r="F172" s="5"/>
      <c r="G172" s="5"/>
      <c r="H172" s="5"/>
      <c r="I172" s="5"/>
      <c r="J172" s="5"/>
      <c r="K172" s="5"/>
      <c r="L172" s="5"/>
      <c r="M172" s="5"/>
      <c r="N172" s="5"/>
      <c r="O172" s="8"/>
      <c r="P172" s="8">
        <v>2.1</v>
      </c>
      <c r="Q172" s="6">
        <v>1</v>
      </c>
      <c r="R172" s="5"/>
      <c r="S172" s="5"/>
      <c r="T172" s="6">
        <f t="shared" si="9"/>
        <v>3.1</v>
      </c>
      <c r="U172" s="9" t="s">
        <v>310</v>
      </c>
      <c r="V172" s="1"/>
      <c r="W172" s="1"/>
      <c r="X172" s="1"/>
      <c r="Y172" s="1"/>
      <c r="Z172" s="1"/>
    </row>
    <row r="173" spans="1:26" ht="39.75" customHeight="1">
      <c r="A173" s="171"/>
      <c r="B173" s="168" t="s">
        <v>311</v>
      </c>
      <c r="C173" s="168" t="s">
        <v>312</v>
      </c>
      <c r="D173" s="5">
        <v>164</v>
      </c>
      <c r="E173" s="5" t="s">
        <v>313</v>
      </c>
      <c r="F173" s="5"/>
      <c r="G173" s="8"/>
      <c r="H173" s="8"/>
      <c r="I173" s="5"/>
      <c r="J173" s="5"/>
      <c r="K173" s="5"/>
      <c r="L173" s="5"/>
      <c r="M173" s="5"/>
      <c r="N173" s="5"/>
      <c r="O173" s="5"/>
      <c r="P173" s="5"/>
      <c r="Q173" s="5"/>
      <c r="R173" s="5"/>
      <c r="S173" s="5"/>
      <c r="T173" s="6">
        <f t="shared" si="9"/>
        <v>0</v>
      </c>
      <c r="U173" s="9"/>
      <c r="V173" s="1"/>
      <c r="W173" s="1"/>
      <c r="X173" s="1"/>
      <c r="Y173" s="1"/>
      <c r="Z173" s="1"/>
    </row>
    <row r="174" spans="1:26" ht="39.75" customHeight="1">
      <c r="A174" s="171"/>
      <c r="B174" s="171"/>
      <c r="C174" s="171"/>
      <c r="D174" s="5">
        <v>165</v>
      </c>
      <c r="E174" s="5" t="s">
        <v>314</v>
      </c>
      <c r="F174" s="5"/>
      <c r="G174" s="8"/>
      <c r="H174" s="8"/>
      <c r="I174" s="5"/>
      <c r="J174" s="5"/>
      <c r="K174" s="5"/>
      <c r="L174" s="5"/>
      <c r="M174" s="5"/>
      <c r="N174" s="5"/>
      <c r="O174" s="5"/>
      <c r="P174" s="5"/>
      <c r="Q174" s="5"/>
      <c r="R174" s="5"/>
      <c r="S174" s="5"/>
      <c r="T174" s="6">
        <f t="shared" si="9"/>
        <v>0</v>
      </c>
      <c r="U174" s="9"/>
      <c r="V174" s="1"/>
      <c r="W174" s="1"/>
      <c r="X174" s="1"/>
      <c r="Y174" s="1"/>
      <c r="Z174" s="1"/>
    </row>
    <row r="175" spans="1:26" ht="39.75" customHeight="1">
      <c r="A175" s="171"/>
      <c r="B175" s="171"/>
      <c r="C175" s="171"/>
      <c r="D175" s="5">
        <v>166</v>
      </c>
      <c r="E175" s="5" t="s">
        <v>315</v>
      </c>
      <c r="F175" s="5"/>
      <c r="G175" s="8"/>
      <c r="H175" s="8"/>
      <c r="I175" s="5"/>
      <c r="J175" s="5"/>
      <c r="K175" s="5"/>
      <c r="L175" s="5"/>
      <c r="M175" s="5"/>
      <c r="N175" s="5"/>
      <c r="O175" s="5"/>
      <c r="P175" s="5"/>
      <c r="Q175" s="5"/>
      <c r="R175" s="5"/>
      <c r="S175" s="5"/>
      <c r="T175" s="6">
        <f t="shared" si="9"/>
        <v>0</v>
      </c>
      <c r="U175" s="9"/>
      <c r="V175" s="1"/>
      <c r="W175" s="1"/>
      <c r="X175" s="1"/>
      <c r="Y175" s="1"/>
      <c r="Z175" s="1"/>
    </row>
    <row r="176" spans="1:26" ht="39.75" customHeight="1">
      <c r="A176" s="171"/>
      <c r="B176" s="171"/>
      <c r="C176" s="171"/>
      <c r="D176" s="5">
        <v>167</v>
      </c>
      <c r="E176" s="5" t="s">
        <v>316</v>
      </c>
      <c r="F176" s="5"/>
      <c r="G176" s="8"/>
      <c r="H176" s="8"/>
      <c r="I176" s="5"/>
      <c r="J176" s="5"/>
      <c r="K176" s="5"/>
      <c r="L176" s="5"/>
      <c r="M176" s="5"/>
      <c r="N176" s="5"/>
      <c r="O176" s="5"/>
      <c r="P176" s="5"/>
      <c r="Q176" s="5"/>
      <c r="R176" s="5"/>
      <c r="S176" s="5"/>
      <c r="T176" s="6">
        <f t="shared" si="9"/>
        <v>0</v>
      </c>
      <c r="U176" s="9"/>
      <c r="V176" s="1"/>
      <c r="W176" s="1"/>
      <c r="X176" s="1"/>
      <c r="Y176" s="1"/>
      <c r="Z176" s="1"/>
    </row>
    <row r="177" spans="1:26" ht="39.75" customHeight="1">
      <c r="A177" s="171"/>
      <c r="B177" s="171"/>
      <c r="C177" s="171"/>
      <c r="D177" s="5">
        <v>168</v>
      </c>
      <c r="E177" s="5" t="s">
        <v>317</v>
      </c>
      <c r="F177" s="5"/>
      <c r="G177" s="8"/>
      <c r="H177" s="8"/>
      <c r="I177" s="5"/>
      <c r="J177" s="5"/>
      <c r="K177" s="5"/>
      <c r="L177" s="5"/>
      <c r="M177" s="5"/>
      <c r="N177" s="5"/>
      <c r="O177" s="5"/>
      <c r="P177" s="5"/>
      <c r="Q177" s="5"/>
      <c r="R177" s="5"/>
      <c r="S177" s="5"/>
      <c r="T177" s="6">
        <f t="shared" si="9"/>
        <v>0</v>
      </c>
      <c r="U177" s="9"/>
      <c r="V177" s="1"/>
      <c r="W177" s="1"/>
      <c r="X177" s="1"/>
      <c r="Y177" s="1"/>
      <c r="Z177" s="1"/>
    </row>
    <row r="178" spans="1:26" ht="39.75" customHeight="1">
      <c r="A178" s="171"/>
      <c r="B178" s="171"/>
      <c r="C178" s="171"/>
      <c r="D178" s="5">
        <v>169</v>
      </c>
      <c r="E178" s="5" t="s">
        <v>318</v>
      </c>
      <c r="F178" s="5"/>
      <c r="G178" s="8"/>
      <c r="H178" s="8"/>
      <c r="I178" s="6"/>
      <c r="J178" s="5"/>
      <c r="K178" s="5"/>
      <c r="L178" s="5"/>
      <c r="M178" s="5"/>
      <c r="N178" s="5"/>
      <c r="O178" s="5"/>
      <c r="P178" s="5"/>
      <c r="Q178" s="5"/>
      <c r="R178" s="5"/>
      <c r="S178" s="5"/>
      <c r="T178" s="6">
        <f t="shared" si="9"/>
        <v>0</v>
      </c>
      <c r="U178" s="9"/>
      <c r="V178" s="1"/>
      <c r="W178" s="1"/>
      <c r="X178" s="1"/>
      <c r="Y178" s="1"/>
      <c r="Z178" s="1"/>
    </row>
    <row r="179" spans="1:26" ht="39.75" customHeight="1">
      <c r="A179" s="171"/>
      <c r="B179" s="169"/>
      <c r="C179" s="169"/>
      <c r="D179" s="5">
        <v>170</v>
      </c>
      <c r="E179" s="5" t="s">
        <v>319</v>
      </c>
      <c r="F179" s="5"/>
      <c r="G179" s="5"/>
      <c r="H179" s="5"/>
      <c r="I179" s="5"/>
      <c r="J179" s="5"/>
      <c r="K179" s="5"/>
      <c r="L179" s="5"/>
      <c r="M179" s="5"/>
      <c r="N179" s="5"/>
      <c r="O179" s="5"/>
      <c r="P179" s="5"/>
      <c r="Q179" s="5"/>
      <c r="R179" s="5"/>
      <c r="S179" s="5"/>
      <c r="T179" s="6">
        <f t="shared" si="9"/>
        <v>0</v>
      </c>
      <c r="U179" s="9"/>
      <c r="V179" s="1"/>
      <c r="W179" s="1"/>
      <c r="X179" s="1"/>
      <c r="Y179" s="1"/>
      <c r="Z179" s="1"/>
    </row>
    <row r="180" spans="1:26" ht="39.75" customHeight="1">
      <c r="A180" s="171"/>
      <c r="B180" s="168" t="s">
        <v>320</v>
      </c>
      <c r="C180" s="168" t="s">
        <v>321</v>
      </c>
      <c r="D180" s="5">
        <v>171</v>
      </c>
      <c r="E180" s="5" t="s">
        <v>322</v>
      </c>
      <c r="F180" s="5"/>
      <c r="G180" s="5"/>
      <c r="H180" s="5"/>
      <c r="I180" s="5"/>
      <c r="J180" s="5"/>
      <c r="K180" s="5"/>
      <c r="L180" s="5"/>
      <c r="M180" s="5"/>
      <c r="N180" s="5"/>
      <c r="O180" s="5"/>
      <c r="P180" s="5"/>
      <c r="Q180" s="5"/>
      <c r="R180" s="5"/>
      <c r="S180" s="5"/>
      <c r="T180" s="6">
        <f t="shared" si="9"/>
        <v>0</v>
      </c>
      <c r="U180" s="9"/>
      <c r="V180" s="1"/>
      <c r="W180" s="1"/>
      <c r="X180" s="1"/>
      <c r="Y180" s="1"/>
      <c r="Z180" s="1"/>
    </row>
    <row r="181" spans="1:26" ht="39.75" customHeight="1">
      <c r="A181" s="171"/>
      <c r="B181" s="171"/>
      <c r="C181" s="171"/>
      <c r="D181" s="5">
        <v>172</v>
      </c>
      <c r="E181" s="5" t="s">
        <v>323</v>
      </c>
      <c r="F181" s="5"/>
      <c r="G181" s="5"/>
      <c r="H181" s="5"/>
      <c r="I181" s="5"/>
      <c r="J181" s="5"/>
      <c r="K181" s="5"/>
      <c r="L181" s="5"/>
      <c r="M181" s="5"/>
      <c r="N181" s="5"/>
      <c r="O181" s="5"/>
      <c r="P181" s="6"/>
      <c r="Q181" s="5"/>
      <c r="R181" s="5"/>
      <c r="S181" s="5"/>
      <c r="T181" s="6">
        <f t="shared" si="9"/>
        <v>0</v>
      </c>
      <c r="U181" s="9"/>
      <c r="V181" s="1"/>
      <c r="W181" s="1"/>
      <c r="X181" s="1"/>
      <c r="Y181" s="1"/>
      <c r="Z181" s="1"/>
    </row>
    <row r="182" spans="1:26" ht="39.75" customHeight="1">
      <c r="A182" s="171"/>
      <c r="B182" s="171"/>
      <c r="C182" s="171"/>
      <c r="D182" s="5">
        <v>173</v>
      </c>
      <c r="E182" s="5" t="s">
        <v>324</v>
      </c>
      <c r="F182" s="5"/>
      <c r="G182" s="5"/>
      <c r="H182" s="5"/>
      <c r="I182" s="5"/>
      <c r="J182" s="5"/>
      <c r="K182" s="5"/>
      <c r="L182" s="5"/>
      <c r="M182" s="5"/>
      <c r="N182" s="5"/>
      <c r="O182" s="5"/>
      <c r="P182" s="5"/>
      <c r="Q182" s="5"/>
      <c r="R182" s="5"/>
      <c r="S182" s="5"/>
      <c r="T182" s="6">
        <f t="shared" si="9"/>
        <v>0</v>
      </c>
      <c r="U182" s="9"/>
      <c r="V182" s="1"/>
      <c r="W182" s="1"/>
      <c r="X182" s="1"/>
      <c r="Y182" s="1"/>
      <c r="Z182" s="1"/>
    </row>
    <row r="183" spans="1:26" ht="39.75" customHeight="1">
      <c r="A183" s="171"/>
      <c r="B183" s="169"/>
      <c r="C183" s="169"/>
      <c r="D183" s="5">
        <v>174</v>
      </c>
      <c r="E183" s="5" t="s">
        <v>325</v>
      </c>
      <c r="F183" s="5"/>
      <c r="G183" s="5"/>
      <c r="H183" s="5"/>
      <c r="I183" s="5"/>
      <c r="J183" s="5"/>
      <c r="K183" s="5"/>
      <c r="L183" s="5"/>
      <c r="M183" s="5"/>
      <c r="N183" s="5"/>
      <c r="O183" s="5"/>
      <c r="P183" s="6"/>
      <c r="Q183" s="5"/>
      <c r="R183" s="5"/>
      <c r="S183" s="5"/>
      <c r="T183" s="6">
        <f t="shared" si="9"/>
        <v>0</v>
      </c>
      <c r="U183" s="9"/>
      <c r="V183" s="1"/>
      <c r="W183" s="1"/>
      <c r="X183" s="1"/>
      <c r="Y183" s="1"/>
      <c r="Z183" s="1"/>
    </row>
    <row r="184" spans="1:26" ht="39.75" customHeight="1">
      <c r="A184" s="171"/>
      <c r="B184" s="168" t="s">
        <v>326</v>
      </c>
      <c r="C184" s="168" t="s">
        <v>267</v>
      </c>
      <c r="D184" s="5">
        <v>175</v>
      </c>
      <c r="E184" s="5" t="s">
        <v>268</v>
      </c>
      <c r="F184" s="134"/>
      <c r="G184" s="134"/>
      <c r="H184" s="134"/>
      <c r="I184" s="135">
        <v>8.9</v>
      </c>
      <c r="J184" s="134"/>
      <c r="K184" s="134"/>
      <c r="L184" s="134"/>
      <c r="M184" s="134"/>
      <c r="N184" s="136">
        <f>8.05+1.5</f>
        <v>9.5500000000000007</v>
      </c>
      <c r="O184" s="134"/>
      <c r="P184" s="135">
        <v>4</v>
      </c>
      <c r="Q184" s="137">
        <v>4.2857000000000003</v>
      </c>
      <c r="R184" s="135">
        <f>0.504+0.252</f>
        <v>0.75600000000000001</v>
      </c>
      <c r="S184" s="135"/>
      <c r="T184" s="136">
        <f t="shared" ref="T184:T186" si="12">SUM(F184:S184)</f>
        <v>27.491700000000002</v>
      </c>
      <c r="U184" s="138" t="s">
        <v>846</v>
      </c>
      <c r="V184" s="1"/>
      <c r="W184" s="1"/>
      <c r="X184" s="1"/>
      <c r="Y184" s="1"/>
      <c r="Z184" s="1"/>
    </row>
    <row r="185" spans="1:26" ht="39.75" customHeight="1">
      <c r="A185" s="171"/>
      <c r="B185" s="171"/>
      <c r="C185" s="171"/>
      <c r="D185" s="5">
        <v>176</v>
      </c>
      <c r="E185" s="5" t="s">
        <v>269</v>
      </c>
      <c r="F185" s="134"/>
      <c r="G185" s="134"/>
      <c r="H185" s="134"/>
      <c r="I185" s="134"/>
      <c r="J185" s="134"/>
      <c r="K185" s="134"/>
      <c r="L185" s="134"/>
      <c r="M185" s="135">
        <v>26</v>
      </c>
      <c r="N185" s="134"/>
      <c r="O185" s="134"/>
      <c r="P185" s="135">
        <v>47.634999999999998</v>
      </c>
      <c r="Q185" s="140">
        <v>5.05</v>
      </c>
      <c r="R185" s="134"/>
      <c r="S185" s="134"/>
      <c r="T185" s="136">
        <f t="shared" si="12"/>
        <v>78.684999999999988</v>
      </c>
      <c r="U185" s="138" t="s">
        <v>847</v>
      </c>
      <c r="V185" s="1"/>
      <c r="W185" s="1"/>
      <c r="X185" s="1"/>
      <c r="Y185" s="1"/>
      <c r="Z185" s="1"/>
    </row>
    <row r="186" spans="1:26" ht="39.75" customHeight="1">
      <c r="A186" s="171"/>
      <c r="B186" s="169"/>
      <c r="C186" s="169"/>
      <c r="D186" s="5">
        <v>177</v>
      </c>
      <c r="E186" s="5" t="s">
        <v>270</v>
      </c>
      <c r="F186" s="134"/>
      <c r="G186" s="134"/>
      <c r="H186" s="134"/>
      <c r="I186" s="134"/>
      <c r="J186" s="134"/>
      <c r="K186" s="134"/>
      <c r="L186" s="134"/>
      <c r="M186" s="134"/>
      <c r="N186" s="136">
        <v>1</v>
      </c>
      <c r="O186" s="134"/>
      <c r="P186" s="134"/>
      <c r="Q186" s="134"/>
      <c r="R186" s="134"/>
      <c r="S186" s="134"/>
      <c r="T186" s="136">
        <f t="shared" si="12"/>
        <v>1</v>
      </c>
      <c r="U186" s="138" t="s">
        <v>839</v>
      </c>
      <c r="V186" s="1"/>
      <c r="W186" s="1"/>
      <c r="X186" s="1"/>
      <c r="Y186" s="1"/>
      <c r="Z186" s="1"/>
    </row>
    <row r="187" spans="1:26" ht="39.75" customHeight="1">
      <c r="A187" s="171"/>
      <c r="B187" s="168" t="s">
        <v>327</v>
      </c>
      <c r="C187" s="168" t="s">
        <v>328</v>
      </c>
      <c r="D187" s="5">
        <v>178</v>
      </c>
      <c r="E187" s="5" t="s">
        <v>329</v>
      </c>
      <c r="F187" s="5"/>
      <c r="G187" s="5"/>
      <c r="H187" s="5"/>
      <c r="I187" s="5"/>
      <c r="J187" s="5"/>
      <c r="K187" s="5"/>
      <c r="L187" s="5"/>
      <c r="M187" s="5"/>
      <c r="N187" s="5"/>
      <c r="O187" s="5"/>
      <c r="P187" s="5"/>
      <c r="Q187" s="5"/>
      <c r="R187" s="5"/>
      <c r="S187" s="5"/>
      <c r="T187" s="6">
        <f t="shared" si="9"/>
        <v>0</v>
      </c>
      <c r="U187" s="9"/>
      <c r="V187" s="1"/>
      <c r="W187" s="1"/>
      <c r="X187" s="1"/>
      <c r="Y187" s="1"/>
      <c r="Z187" s="1"/>
    </row>
    <row r="188" spans="1:26" ht="39.75" customHeight="1">
      <c r="A188" s="171"/>
      <c r="B188" s="171"/>
      <c r="C188" s="171"/>
      <c r="D188" s="5">
        <v>179</v>
      </c>
      <c r="E188" s="5" t="s">
        <v>149</v>
      </c>
      <c r="F188" s="5"/>
      <c r="G188" s="5"/>
      <c r="H188" s="5"/>
      <c r="I188" s="5"/>
      <c r="J188" s="5"/>
      <c r="K188" s="5"/>
      <c r="L188" s="5"/>
      <c r="M188" s="5"/>
      <c r="N188" s="5"/>
      <c r="O188" s="5"/>
      <c r="P188" s="5"/>
      <c r="Q188" s="5"/>
      <c r="R188" s="5"/>
      <c r="S188" s="5"/>
      <c r="T188" s="6">
        <f t="shared" si="9"/>
        <v>0</v>
      </c>
      <c r="U188" s="9"/>
      <c r="V188" s="1"/>
      <c r="W188" s="1"/>
      <c r="X188" s="1"/>
      <c r="Y188" s="1"/>
      <c r="Z188" s="1"/>
    </row>
    <row r="189" spans="1:26" ht="39.75" customHeight="1">
      <c r="A189" s="171"/>
      <c r="B189" s="171"/>
      <c r="C189" s="171"/>
      <c r="D189" s="5">
        <v>180</v>
      </c>
      <c r="E189" s="5" t="s">
        <v>330</v>
      </c>
      <c r="F189" s="5"/>
      <c r="G189" s="5"/>
      <c r="H189" s="5"/>
      <c r="I189" s="5"/>
      <c r="J189" s="5"/>
      <c r="K189" s="6"/>
      <c r="L189" s="5"/>
      <c r="M189" s="5"/>
      <c r="N189" s="5"/>
      <c r="O189" s="5"/>
      <c r="P189" s="8"/>
      <c r="Q189" s="5"/>
      <c r="R189" s="5"/>
      <c r="S189" s="5"/>
      <c r="T189" s="6">
        <f t="shared" si="9"/>
        <v>0</v>
      </c>
      <c r="U189" s="9"/>
      <c r="V189" s="1"/>
      <c r="W189" s="1"/>
      <c r="X189" s="1"/>
      <c r="Y189" s="1"/>
      <c r="Z189" s="1"/>
    </row>
    <row r="190" spans="1:26" ht="39.75" customHeight="1">
      <c r="A190" s="171"/>
      <c r="B190" s="171"/>
      <c r="C190" s="171"/>
      <c r="D190" s="5">
        <v>181</v>
      </c>
      <c r="E190" s="5" t="s">
        <v>331</v>
      </c>
      <c r="F190" s="5"/>
      <c r="G190" s="5"/>
      <c r="H190" s="5"/>
      <c r="I190" s="5"/>
      <c r="J190" s="5"/>
      <c r="K190" s="5"/>
      <c r="L190" s="5"/>
      <c r="M190" s="5"/>
      <c r="N190" s="5"/>
      <c r="O190" s="5"/>
      <c r="P190" s="5"/>
      <c r="Q190" s="5"/>
      <c r="R190" s="5"/>
      <c r="S190" s="5"/>
      <c r="T190" s="6">
        <f t="shared" si="9"/>
        <v>0</v>
      </c>
      <c r="U190" s="9"/>
      <c r="V190" s="1"/>
      <c r="W190" s="1"/>
      <c r="X190" s="1"/>
      <c r="Y190" s="1"/>
      <c r="Z190" s="1"/>
    </row>
    <row r="191" spans="1:26" ht="39.75" customHeight="1">
      <c r="A191" s="171"/>
      <c r="B191" s="171"/>
      <c r="C191" s="171"/>
      <c r="D191" s="5">
        <v>182</v>
      </c>
      <c r="E191" s="5" t="s">
        <v>332</v>
      </c>
      <c r="F191" s="5"/>
      <c r="G191" s="5"/>
      <c r="H191" s="5"/>
      <c r="I191" s="5"/>
      <c r="J191" s="5"/>
      <c r="K191" s="5"/>
      <c r="L191" s="5"/>
      <c r="M191" s="5"/>
      <c r="N191" s="5"/>
      <c r="O191" s="5"/>
      <c r="P191" s="6">
        <v>6</v>
      </c>
      <c r="Q191" s="5"/>
      <c r="R191" s="5"/>
      <c r="S191" s="5"/>
      <c r="T191" s="6">
        <f t="shared" si="9"/>
        <v>6</v>
      </c>
      <c r="U191" s="9" t="s">
        <v>378</v>
      </c>
      <c r="V191" s="1"/>
      <c r="W191" s="1"/>
      <c r="X191" s="1"/>
      <c r="Y191" s="1"/>
      <c r="Z191" s="1"/>
    </row>
    <row r="192" spans="1:26" ht="39.75" customHeight="1">
      <c r="A192" s="171"/>
      <c r="B192" s="169"/>
      <c r="C192" s="169"/>
      <c r="D192" s="5">
        <v>183</v>
      </c>
      <c r="E192" s="5" t="s">
        <v>334</v>
      </c>
      <c r="F192" s="5"/>
      <c r="G192" s="5"/>
      <c r="H192" s="5"/>
      <c r="I192" s="5"/>
      <c r="J192" s="5"/>
      <c r="K192" s="5"/>
      <c r="L192" s="5"/>
      <c r="M192" s="5"/>
      <c r="N192" s="5"/>
      <c r="O192" s="5"/>
      <c r="P192" s="8"/>
      <c r="Q192" s="5"/>
      <c r="R192" s="5"/>
      <c r="S192" s="5"/>
      <c r="T192" s="6">
        <f t="shared" si="9"/>
        <v>0</v>
      </c>
      <c r="U192" s="9"/>
      <c r="V192" s="1"/>
      <c r="W192" s="1"/>
      <c r="X192" s="1"/>
      <c r="Y192" s="1"/>
      <c r="Z192" s="1"/>
    </row>
    <row r="193" spans="1:26" ht="39.75" customHeight="1">
      <c r="A193" s="171"/>
      <c r="B193" s="5" t="s">
        <v>335</v>
      </c>
      <c r="C193" s="5" t="s">
        <v>336</v>
      </c>
      <c r="D193" s="5">
        <v>184</v>
      </c>
      <c r="E193" s="5" t="s">
        <v>337</v>
      </c>
      <c r="F193" s="5"/>
      <c r="G193" s="5"/>
      <c r="H193" s="5"/>
      <c r="I193" s="5"/>
      <c r="J193" s="5"/>
      <c r="K193" s="5"/>
      <c r="L193" s="5"/>
      <c r="M193" s="5"/>
      <c r="N193" s="5"/>
      <c r="O193" s="5"/>
      <c r="P193" s="6"/>
      <c r="Q193" s="5"/>
      <c r="R193" s="5"/>
      <c r="S193" s="5"/>
      <c r="T193" s="6">
        <f t="shared" si="9"/>
        <v>0</v>
      </c>
      <c r="U193" s="9"/>
      <c r="V193" s="1"/>
      <c r="W193" s="1"/>
      <c r="X193" s="1"/>
      <c r="Y193" s="1"/>
      <c r="Z193" s="1"/>
    </row>
    <row r="194" spans="1:26" ht="39.75" customHeight="1">
      <c r="A194" s="171"/>
      <c r="B194" s="168" t="s">
        <v>338</v>
      </c>
      <c r="C194" s="168" t="s">
        <v>272</v>
      </c>
      <c r="D194" s="5">
        <v>185</v>
      </c>
      <c r="E194" s="5" t="s">
        <v>273</v>
      </c>
      <c r="F194" s="5"/>
      <c r="G194" s="5"/>
      <c r="H194" s="5"/>
      <c r="I194" s="5"/>
      <c r="J194" s="5"/>
      <c r="K194" s="5"/>
      <c r="L194" s="5"/>
      <c r="M194" s="5"/>
      <c r="N194" s="5"/>
      <c r="O194" s="5"/>
      <c r="P194" s="5"/>
      <c r="Q194" s="5"/>
      <c r="R194" s="5">
        <v>1712.66</v>
      </c>
      <c r="S194" s="5"/>
      <c r="T194" s="6">
        <f t="shared" si="9"/>
        <v>1712.66</v>
      </c>
      <c r="U194" s="9" t="s">
        <v>639</v>
      </c>
      <c r="V194" s="1"/>
      <c r="W194" s="1"/>
      <c r="X194" s="1"/>
      <c r="Y194" s="1"/>
      <c r="Z194" s="1"/>
    </row>
    <row r="195" spans="1:26" ht="39.75" customHeight="1">
      <c r="A195" s="171"/>
      <c r="B195" s="171"/>
      <c r="C195" s="171"/>
      <c r="D195" s="5">
        <v>186</v>
      </c>
      <c r="E195" s="5" t="s">
        <v>274</v>
      </c>
      <c r="F195" s="5"/>
      <c r="G195" s="5"/>
      <c r="H195" s="5"/>
      <c r="I195" s="5"/>
      <c r="J195" s="5"/>
      <c r="K195" s="5"/>
      <c r="L195" s="5"/>
      <c r="M195" s="5"/>
      <c r="N195" s="5"/>
      <c r="O195" s="5"/>
      <c r="P195" s="8">
        <v>0.31</v>
      </c>
      <c r="Q195" s="6"/>
      <c r="R195" s="5"/>
      <c r="S195" s="5"/>
      <c r="T195" s="6">
        <f t="shared" si="9"/>
        <v>0.31</v>
      </c>
      <c r="U195" s="9" t="s">
        <v>638</v>
      </c>
      <c r="V195" s="1"/>
      <c r="W195" s="1"/>
      <c r="X195" s="1"/>
      <c r="Y195" s="1"/>
      <c r="Z195" s="1"/>
    </row>
    <row r="196" spans="1:26" ht="39.75" customHeight="1">
      <c r="A196" s="171"/>
      <c r="B196" s="171"/>
      <c r="C196" s="171"/>
      <c r="D196" s="5">
        <v>187</v>
      </c>
      <c r="E196" s="5" t="s">
        <v>339</v>
      </c>
      <c r="F196" s="5"/>
      <c r="G196" s="5"/>
      <c r="H196" s="5"/>
      <c r="I196" s="5"/>
      <c r="J196" s="5"/>
      <c r="K196" s="5"/>
      <c r="L196" s="5"/>
      <c r="M196" s="5"/>
      <c r="N196" s="5"/>
      <c r="O196" s="5"/>
      <c r="P196" s="5"/>
      <c r="Q196" s="5"/>
      <c r="R196" s="5"/>
      <c r="S196" s="5"/>
      <c r="T196" s="6">
        <f t="shared" si="9"/>
        <v>0</v>
      </c>
      <c r="U196" s="9"/>
      <c r="V196" s="1"/>
      <c r="W196" s="1"/>
      <c r="X196" s="1"/>
      <c r="Y196" s="1"/>
      <c r="Z196" s="1"/>
    </row>
    <row r="197" spans="1:26" ht="39.75" customHeight="1">
      <c r="A197" s="171"/>
      <c r="B197" s="171"/>
      <c r="C197" s="171"/>
      <c r="D197" s="5">
        <v>188</v>
      </c>
      <c r="E197" s="5" t="s">
        <v>275</v>
      </c>
      <c r="F197" s="5"/>
      <c r="G197" s="5"/>
      <c r="H197" s="5"/>
      <c r="I197" s="5"/>
      <c r="J197" s="5"/>
      <c r="K197" s="5"/>
      <c r="L197" s="5"/>
      <c r="M197" s="5"/>
      <c r="N197" s="5"/>
      <c r="O197" s="5"/>
      <c r="P197" s="5"/>
      <c r="Q197" s="5"/>
      <c r="R197" s="5"/>
      <c r="S197" s="5"/>
      <c r="T197" s="6">
        <f t="shared" si="9"/>
        <v>0</v>
      </c>
      <c r="U197" s="9"/>
      <c r="V197" s="1"/>
      <c r="W197" s="1"/>
      <c r="X197" s="1"/>
      <c r="Y197" s="1"/>
      <c r="Z197" s="1"/>
    </row>
    <row r="198" spans="1:26" ht="39.75" customHeight="1">
      <c r="A198" s="171"/>
      <c r="B198" s="171"/>
      <c r="C198" s="171"/>
      <c r="D198" s="5">
        <v>189</v>
      </c>
      <c r="E198" s="5" t="s">
        <v>276</v>
      </c>
      <c r="F198" s="5"/>
      <c r="G198" s="5"/>
      <c r="H198" s="5"/>
      <c r="I198" s="5"/>
      <c r="J198" s="5"/>
      <c r="K198" s="5"/>
      <c r="L198" s="5"/>
      <c r="M198" s="5"/>
      <c r="N198" s="5"/>
      <c r="O198" s="5"/>
      <c r="P198" s="5"/>
      <c r="Q198" s="5"/>
      <c r="R198" s="5"/>
      <c r="S198" s="5"/>
      <c r="T198" s="6">
        <f t="shared" ref="T198:T208" si="13">SUM(F198:S198)</f>
        <v>0</v>
      </c>
      <c r="U198" s="9"/>
      <c r="V198" s="1"/>
      <c r="W198" s="1"/>
      <c r="X198" s="1"/>
      <c r="Y198" s="1"/>
      <c r="Z198" s="1"/>
    </row>
    <row r="199" spans="1:26" ht="39.75" customHeight="1">
      <c r="A199" s="171"/>
      <c r="B199" s="169"/>
      <c r="C199" s="169"/>
      <c r="D199" s="5">
        <v>190</v>
      </c>
      <c r="E199" s="5" t="s">
        <v>340</v>
      </c>
      <c r="F199" s="5"/>
      <c r="G199" s="5"/>
      <c r="H199" s="5"/>
      <c r="I199" s="5"/>
      <c r="J199" s="5"/>
      <c r="K199" s="5"/>
      <c r="L199" s="5"/>
      <c r="M199" s="5"/>
      <c r="N199" s="5"/>
      <c r="O199" s="5"/>
      <c r="P199" s="8"/>
      <c r="Q199" s="5"/>
      <c r="R199" s="5"/>
      <c r="S199" s="5"/>
      <c r="T199" s="6">
        <f t="shared" si="13"/>
        <v>0</v>
      </c>
      <c r="U199" s="9"/>
      <c r="V199" s="1"/>
      <c r="W199" s="1"/>
      <c r="X199" s="1"/>
      <c r="Y199" s="1"/>
      <c r="Z199" s="1"/>
    </row>
    <row r="200" spans="1:26" ht="39.75" customHeight="1">
      <c r="A200" s="171"/>
      <c r="B200" s="168" t="s">
        <v>341</v>
      </c>
      <c r="C200" s="168" t="s">
        <v>342</v>
      </c>
      <c r="D200" s="5">
        <v>191</v>
      </c>
      <c r="E200" s="5" t="s">
        <v>343</v>
      </c>
      <c r="F200" s="5"/>
      <c r="G200" s="5"/>
      <c r="H200" s="5"/>
      <c r="I200" s="5"/>
      <c r="J200" s="5"/>
      <c r="K200" s="5"/>
      <c r="L200" s="5"/>
      <c r="M200" s="5"/>
      <c r="N200" s="6"/>
      <c r="O200" s="5"/>
      <c r="P200" s="5"/>
      <c r="Q200" s="5"/>
      <c r="R200" s="5"/>
      <c r="S200" s="5"/>
      <c r="T200" s="6">
        <f t="shared" si="13"/>
        <v>0</v>
      </c>
      <c r="U200" s="9"/>
      <c r="V200" s="1"/>
      <c r="W200" s="1"/>
      <c r="X200" s="1"/>
      <c r="Y200" s="1"/>
      <c r="Z200" s="1"/>
    </row>
    <row r="201" spans="1:26" ht="39.75" customHeight="1">
      <c r="A201" s="171"/>
      <c r="B201" s="169"/>
      <c r="C201" s="169"/>
      <c r="D201" s="5">
        <v>192</v>
      </c>
      <c r="E201" s="5" t="s">
        <v>345</v>
      </c>
      <c r="F201" s="5"/>
      <c r="G201" s="5"/>
      <c r="H201" s="8"/>
      <c r="I201" s="5"/>
      <c r="J201" s="5"/>
      <c r="K201" s="5"/>
      <c r="L201" s="5"/>
      <c r="M201" s="5"/>
      <c r="N201" s="6">
        <v>0.5</v>
      </c>
      <c r="O201" s="5"/>
      <c r="P201" s="6"/>
      <c r="Q201" s="8"/>
      <c r="R201" s="5"/>
      <c r="S201" s="5"/>
      <c r="T201" s="6">
        <f t="shared" si="13"/>
        <v>0.5</v>
      </c>
      <c r="U201" s="61" t="s">
        <v>651</v>
      </c>
      <c r="V201" s="1"/>
      <c r="W201" s="1"/>
      <c r="X201" s="1"/>
      <c r="Y201" s="1"/>
      <c r="Z201" s="1"/>
    </row>
    <row r="202" spans="1:26" ht="39.75" customHeight="1">
      <c r="A202" s="171"/>
      <c r="B202" s="168" t="s">
        <v>346</v>
      </c>
      <c r="C202" s="168" t="s">
        <v>278</v>
      </c>
      <c r="D202" s="5">
        <v>193</v>
      </c>
      <c r="E202" s="5" t="s">
        <v>347</v>
      </c>
      <c r="F202" s="5"/>
      <c r="G202" s="5"/>
      <c r="H202" s="5"/>
      <c r="I202" s="5"/>
      <c r="J202" s="5"/>
      <c r="K202" s="5"/>
      <c r="L202" s="5"/>
      <c r="M202" s="5"/>
      <c r="N202" s="5"/>
      <c r="O202" s="5"/>
      <c r="P202" s="6"/>
      <c r="Q202" s="5"/>
      <c r="R202" s="5"/>
      <c r="S202" s="8"/>
      <c r="T202" s="6">
        <f t="shared" si="13"/>
        <v>0</v>
      </c>
      <c r="U202" s="9"/>
      <c r="V202" s="1"/>
      <c r="W202" s="1"/>
      <c r="X202" s="1"/>
      <c r="Y202" s="1"/>
      <c r="Z202" s="1"/>
    </row>
    <row r="203" spans="1:26" ht="39.75" customHeight="1">
      <c r="A203" s="171"/>
      <c r="B203" s="169"/>
      <c r="C203" s="169"/>
      <c r="D203" s="5">
        <v>194</v>
      </c>
      <c r="E203" s="5" t="s">
        <v>279</v>
      </c>
      <c r="F203" s="5"/>
      <c r="G203" s="5"/>
      <c r="H203" s="5"/>
      <c r="I203" s="5"/>
      <c r="J203" s="5"/>
      <c r="K203" s="5"/>
      <c r="L203" s="5"/>
      <c r="M203" s="5"/>
      <c r="N203" s="6"/>
      <c r="O203" s="5"/>
      <c r="P203" s="5"/>
      <c r="Q203" s="6"/>
      <c r="R203" s="6">
        <v>45.88</v>
      </c>
      <c r="S203" s="5"/>
      <c r="T203" s="6">
        <f t="shared" si="13"/>
        <v>45.88</v>
      </c>
      <c r="U203" s="9" t="s">
        <v>629</v>
      </c>
      <c r="V203" s="1"/>
      <c r="W203" s="1"/>
      <c r="X203" s="1"/>
      <c r="Y203" s="1"/>
      <c r="Z203" s="1"/>
    </row>
    <row r="204" spans="1:26" ht="39.75" customHeight="1">
      <c r="A204" s="171"/>
      <c r="B204" s="168" t="s">
        <v>348</v>
      </c>
      <c r="C204" s="168" t="s">
        <v>349</v>
      </c>
      <c r="D204" s="5">
        <v>195</v>
      </c>
      <c r="E204" s="5" t="s">
        <v>350</v>
      </c>
      <c r="F204" s="5"/>
      <c r="G204" s="5"/>
      <c r="H204" s="5"/>
      <c r="I204" s="5"/>
      <c r="J204" s="5"/>
      <c r="K204" s="5"/>
      <c r="L204" s="5"/>
      <c r="M204" s="5"/>
      <c r="N204" s="5"/>
      <c r="O204" s="5"/>
      <c r="P204" s="6">
        <v>0.35</v>
      </c>
      <c r="Q204" s="8">
        <v>1.03</v>
      </c>
      <c r="R204" s="6">
        <v>2.1</v>
      </c>
      <c r="S204" s="5"/>
      <c r="T204" s="6">
        <f t="shared" si="13"/>
        <v>3.48</v>
      </c>
      <c r="U204" s="61" t="s">
        <v>351</v>
      </c>
      <c r="V204" s="1"/>
      <c r="W204" s="1"/>
      <c r="X204" s="1"/>
      <c r="Y204" s="1"/>
      <c r="Z204" s="1"/>
    </row>
    <row r="205" spans="1:26" ht="39.75" customHeight="1">
      <c r="A205" s="171"/>
      <c r="B205" s="171"/>
      <c r="C205" s="171"/>
      <c r="D205" s="5">
        <v>196</v>
      </c>
      <c r="E205" s="5" t="s">
        <v>352</v>
      </c>
      <c r="F205" s="5"/>
      <c r="G205" s="5"/>
      <c r="H205" s="5"/>
      <c r="I205" s="5"/>
      <c r="J205" s="5"/>
      <c r="K205" s="5"/>
      <c r="L205" s="5"/>
      <c r="M205" s="5"/>
      <c r="N205" s="5"/>
      <c r="O205" s="5"/>
      <c r="P205" s="5"/>
      <c r="Q205" s="5"/>
      <c r="R205" s="5"/>
      <c r="S205" s="5"/>
      <c r="T205" s="6">
        <f t="shared" si="13"/>
        <v>0</v>
      </c>
      <c r="U205" s="9"/>
      <c r="V205" s="1"/>
      <c r="W205" s="1"/>
      <c r="X205" s="1"/>
      <c r="Y205" s="1"/>
      <c r="Z205" s="1"/>
    </row>
    <row r="206" spans="1:26" ht="39.75" customHeight="1">
      <c r="A206" s="171"/>
      <c r="B206" s="169"/>
      <c r="C206" s="169"/>
      <c r="D206" s="5">
        <v>197</v>
      </c>
      <c r="E206" s="5" t="s">
        <v>353</v>
      </c>
      <c r="F206" s="5"/>
      <c r="G206" s="5"/>
      <c r="H206" s="5"/>
      <c r="I206" s="5"/>
      <c r="J206" s="5"/>
      <c r="K206" s="5"/>
      <c r="L206" s="5"/>
      <c r="M206" s="5"/>
      <c r="N206" s="5"/>
      <c r="O206" s="5"/>
      <c r="P206" s="6"/>
      <c r="Q206" s="5"/>
      <c r="R206" s="5"/>
      <c r="S206" s="5"/>
      <c r="T206" s="6">
        <f t="shared" si="13"/>
        <v>0</v>
      </c>
      <c r="U206" s="9"/>
      <c r="V206" s="1"/>
      <c r="W206" s="1"/>
      <c r="X206" s="1"/>
      <c r="Y206" s="1"/>
      <c r="Z206" s="1"/>
    </row>
    <row r="207" spans="1:26" ht="39.75" customHeight="1">
      <c r="A207" s="171"/>
      <c r="B207" s="5" t="s">
        <v>354</v>
      </c>
      <c r="C207" s="5" t="s">
        <v>284</v>
      </c>
      <c r="D207" s="5">
        <v>198</v>
      </c>
      <c r="E207" s="5" t="s">
        <v>285</v>
      </c>
      <c r="F207" s="5"/>
      <c r="G207" s="5"/>
      <c r="H207" s="5"/>
      <c r="I207" s="5"/>
      <c r="J207" s="5"/>
      <c r="K207" s="5"/>
      <c r="L207" s="5"/>
      <c r="M207" s="5"/>
      <c r="N207" s="5"/>
      <c r="O207" s="5"/>
      <c r="P207" s="5"/>
      <c r="Q207" s="5"/>
      <c r="R207" s="5"/>
      <c r="S207" s="5"/>
      <c r="T207" s="6">
        <f t="shared" si="13"/>
        <v>0</v>
      </c>
      <c r="U207" s="9"/>
      <c r="V207" s="1"/>
      <c r="W207" s="1"/>
      <c r="X207" s="1"/>
      <c r="Y207" s="1"/>
      <c r="Z207" s="1"/>
    </row>
    <row r="208" spans="1:26" ht="39.75" customHeight="1">
      <c r="A208" s="171"/>
      <c r="B208" s="5" t="s">
        <v>355</v>
      </c>
      <c r="C208" s="5" t="s">
        <v>287</v>
      </c>
      <c r="D208" s="5">
        <v>199</v>
      </c>
      <c r="E208" s="5" t="s">
        <v>288</v>
      </c>
      <c r="F208" s="24"/>
      <c r="G208" s="24"/>
      <c r="H208" s="24"/>
      <c r="I208" s="24"/>
      <c r="J208" s="24"/>
      <c r="K208" s="24"/>
      <c r="L208" s="24"/>
      <c r="M208" s="24"/>
      <c r="N208" s="24"/>
      <c r="O208" s="24"/>
      <c r="P208" s="24">
        <v>225.7</v>
      </c>
      <c r="Q208" s="24"/>
      <c r="R208" s="24"/>
      <c r="S208" s="24"/>
      <c r="T208" s="6">
        <f t="shared" si="13"/>
        <v>225.7</v>
      </c>
      <c r="U208" s="76" t="s">
        <v>631</v>
      </c>
      <c r="V208" s="1"/>
      <c r="W208" s="1"/>
      <c r="X208" s="1"/>
      <c r="Y208" s="1"/>
      <c r="Z208" s="1"/>
    </row>
    <row r="209" spans="1:26" ht="39.75" customHeight="1">
      <c r="A209" s="169"/>
      <c r="B209" s="176" t="s">
        <v>356</v>
      </c>
      <c r="C209" s="177"/>
      <c r="D209" s="178"/>
      <c r="E209" s="51"/>
      <c r="F209" s="51">
        <f t="shared" ref="F209:T209" si="14">SUM(F159:F208)</f>
        <v>0</v>
      </c>
      <c r="G209" s="51">
        <f t="shared" si="14"/>
        <v>315</v>
      </c>
      <c r="H209" s="51">
        <f t="shared" si="14"/>
        <v>420</v>
      </c>
      <c r="I209" s="51">
        <f t="shared" si="14"/>
        <v>8.9</v>
      </c>
      <c r="J209" s="51">
        <f t="shared" si="14"/>
        <v>0</v>
      </c>
      <c r="K209" s="51">
        <f t="shared" si="14"/>
        <v>0</v>
      </c>
      <c r="L209" s="51">
        <f t="shared" si="14"/>
        <v>0</v>
      </c>
      <c r="M209" s="51">
        <f t="shared" si="14"/>
        <v>26</v>
      </c>
      <c r="N209" s="51">
        <f t="shared" si="14"/>
        <v>38.04</v>
      </c>
      <c r="O209" s="51">
        <f t="shared" si="14"/>
        <v>410.52</v>
      </c>
      <c r="P209" s="51">
        <f t="shared" si="14"/>
        <v>343.95499999999998</v>
      </c>
      <c r="Q209" s="51">
        <f t="shared" si="14"/>
        <v>13.725699999999998</v>
      </c>
      <c r="R209" s="51">
        <f t="shared" si="14"/>
        <v>1767.3960000000002</v>
      </c>
      <c r="S209" s="51">
        <f t="shared" si="14"/>
        <v>0</v>
      </c>
      <c r="T209" s="51">
        <f t="shared" si="14"/>
        <v>3343.5366999999997</v>
      </c>
      <c r="U209" s="9"/>
      <c r="V209" s="1"/>
      <c r="W209" s="1"/>
      <c r="X209" s="1"/>
      <c r="Y209" s="1"/>
      <c r="Z209" s="1"/>
    </row>
    <row r="210" spans="1:26" ht="39.75" customHeight="1">
      <c r="A210" s="180" t="s">
        <v>357</v>
      </c>
      <c r="B210" s="181"/>
      <c r="C210" s="181"/>
      <c r="D210" s="182"/>
      <c r="E210" s="64"/>
      <c r="F210" s="67">
        <f t="shared" ref="F210:T210" si="15">F209+F158+F134+F93+F68</f>
        <v>177.52</v>
      </c>
      <c r="G210" s="67">
        <f t="shared" si="15"/>
        <v>315</v>
      </c>
      <c r="H210" s="67">
        <f t="shared" si="15"/>
        <v>424</v>
      </c>
      <c r="I210" s="67">
        <f t="shared" si="15"/>
        <v>33.055000000000007</v>
      </c>
      <c r="J210" s="67">
        <f t="shared" si="15"/>
        <v>0</v>
      </c>
      <c r="K210" s="67">
        <f t="shared" si="15"/>
        <v>166.08399999999997</v>
      </c>
      <c r="L210" s="67">
        <f t="shared" si="15"/>
        <v>0</v>
      </c>
      <c r="M210" s="67">
        <f t="shared" si="15"/>
        <v>108.78399999999999</v>
      </c>
      <c r="N210" s="67">
        <f t="shared" si="15"/>
        <v>111.50255</v>
      </c>
      <c r="O210" s="67">
        <f t="shared" si="15"/>
        <v>709.86899999999991</v>
      </c>
      <c r="P210" s="67">
        <f t="shared" si="15"/>
        <v>836.12499999999989</v>
      </c>
      <c r="Q210" s="67">
        <f t="shared" si="15"/>
        <v>102.16070000000001</v>
      </c>
      <c r="R210" s="67">
        <f t="shared" si="15"/>
        <v>2023.3020000000001</v>
      </c>
      <c r="S210" s="67">
        <f t="shared" si="15"/>
        <v>2.15</v>
      </c>
      <c r="T210" s="67">
        <f t="shared" si="15"/>
        <v>5009.5522499999997</v>
      </c>
      <c r="U210" s="9"/>
      <c r="V210" s="1"/>
      <c r="W210" s="1"/>
      <c r="X210" s="1"/>
      <c r="Y210" s="1"/>
      <c r="Z210" s="1"/>
    </row>
    <row r="211" spans="1:26" ht="24.75" customHeight="1">
      <c r="A211" s="1"/>
      <c r="B211" s="1"/>
      <c r="C211" s="1"/>
      <c r="D211" s="1"/>
      <c r="E211" s="1"/>
      <c r="F211" s="1"/>
      <c r="G211" s="1"/>
      <c r="H211" s="1"/>
      <c r="I211" s="1"/>
      <c r="J211" s="1"/>
      <c r="K211" s="1"/>
      <c r="L211" s="1"/>
      <c r="M211" s="1"/>
      <c r="N211" s="1"/>
      <c r="O211" s="1"/>
      <c r="P211" s="1"/>
      <c r="Q211" s="1"/>
      <c r="R211" s="1"/>
      <c r="S211" s="1"/>
      <c r="T211" s="32"/>
      <c r="U211" s="2"/>
      <c r="V211" s="1"/>
      <c r="W211" s="1"/>
      <c r="X211" s="1"/>
      <c r="Y211" s="1"/>
      <c r="Z211" s="1"/>
    </row>
    <row r="212" spans="1:26" ht="24.75" customHeight="1">
      <c r="A212" s="1"/>
      <c r="B212" s="1"/>
      <c r="C212" s="1"/>
      <c r="D212" s="1"/>
      <c r="E212" s="1"/>
      <c r="F212" s="1"/>
      <c r="G212" s="1"/>
      <c r="H212" s="1"/>
      <c r="I212" s="1"/>
      <c r="J212" s="1"/>
      <c r="K212" s="1"/>
      <c r="L212" s="1"/>
      <c r="M212" s="1"/>
      <c r="N212" s="1"/>
      <c r="O212" s="1"/>
      <c r="P212" s="1"/>
      <c r="Q212" s="1"/>
      <c r="R212" s="1"/>
      <c r="S212" s="1"/>
      <c r="T212" s="1"/>
      <c r="U212" s="2"/>
      <c r="V212" s="1"/>
      <c r="W212" s="1"/>
      <c r="X212" s="1"/>
      <c r="Y212" s="1"/>
      <c r="Z212" s="1"/>
    </row>
    <row r="213" spans="1:26" ht="24.75" customHeight="1">
      <c r="A213" s="1"/>
      <c r="B213" s="1"/>
      <c r="C213" s="1"/>
      <c r="D213" s="1"/>
      <c r="E213" s="1"/>
      <c r="F213" s="1"/>
      <c r="G213" s="1"/>
      <c r="H213" s="1"/>
      <c r="I213" s="1"/>
      <c r="J213" s="1"/>
      <c r="K213" s="1"/>
      <c r="L213" s="1"/>
      <c r="M213" s="1"/>
      <c r="N213" s="1"/>
      <c r="O213" s="1"/>
      <c r="P213" s="1"/>
      <c r="Q213" s="1"/>
      <c r="R213" s="1"/>
      <c r="S213" s="1"/>
      <c r="T213" s="1"/>
      <c r="U213" s="2"/>
      <c r="V213" s="1"/>
      <c r="W213" s="1"/>
      <c r="X213" s="1"/>
      <c r="Y213" s="1"/>
      <c r="Z213" s="1"/>
    </row>
    <row r="214" spans="1:26" ht="24.75" customHeight="1">
      <c r="A214" s="1"/>
      <c r="B214" s="1"/>
      <c r="C214" s="1"/>
      <c r="D214" s="1"/>
      <c r="E214" s="1"/>
      <c r="F214" s="1"/>
      <c r="G214" s="1"/>
      <c r="H214" s="1"/>
      <c r="I214" s="1"/>
      <c r="J214" s="1"/>
      <c r="K214" s="1"/>
      <c r="L214" s="1"/>
      <c r="M214" s="1"/>
      <c r="N214" s="1"/>
      <c r="O214" s="1"/>
      <c r="P214" s="1"/>
      <c r="Q214" s="1"/>
      <c r="R214" s="1"/>
      <c r="S214" s="1"/>
      <c r="T214" s="1"/>
      <c r="U214" s="2"/>
      <c r="V214" s="1"/>
      <c r="W214" s="1"/>
      <c r="X214" s="1"/>
      <c r="Y214" s="1"/>
      <c r="Z214" s="1"/>
    </row>
    <row r="215" spans="1:26" ht="24.75" customHeight="1">
      <c r="A215" s="1"/>
      <c r="B215" s="1"/>
      <c r="C215" s="1"/>
      <c r="D215" s="1"/>
      <c r="E215" s="1"/>
      <c r="F215" s="1"/>
      <c r="G215" s="1"/>
      <c r="H215" s="1"/>
      <c r="I215" s="1"/>
      <c r="J215" s="1"/>
      <c r="K215" s="1"/>
      <c r="L215" s="1"/>
      <c r="M215" s="1"/>
      <c r="N215" s="1"/>
      <c r="O215" s="1"/>
      <c r="P215" s="1"/>
      <c r="Q215" s="1"/>
      <c r="R215" s="1"/>
      <c r="S215" s="1"/>
      <c r="T215" s="1"/>
      <c r="U215" s="2"/>
      <c r="V215" s="1"/>
      <c r="W215" s="1"/>
      <c r="X215" s="1"/>
      <c r="Y215" s="1"/>
      <c r="Z215" s="1"/>
    </row>
    <row r="216" spans="1:26" ht="24.75" customHeight="1">
      <c r="A216" s="1"/>
      <c r="B216" s="1"/>
      <c r="C216" s="1"/>
      <c r="D216" s="1"/>
      <c r="E216" s="1"/>
      <c r="F216" s="1"/>
      <c r="G216" s="1"/>
      <c r="H216" s="1"/>
      <c r="I216" s="1"/>
      <c r="J216" s="1"/>
      <c r="K216" s="1"/>
      <c r="L216" s="1"/>
      <c r="M216" s="1"/>
      <c r="N216" s="1"/>
      <c r="O216" s="1"/>
      <c r="P216" s="1"/>
      <c r="Q216" s="1"/>
      <c r="R216" s="1"/>
      <c r="S216" s="1"/>
      <c r="T216" s="1"/>
      <c r="U216" s="2"/>
      <c r="V216" s="1"/>
      <c r="W216" s="1"/>
      <c r="X216" s="1"/>
      <c r="Y216" s="1"/>
      <c r="Z216" s="1"/>
    </row>
    <row r="217" spans="1:26" ht="24.75" customHeight="1">
      <c r="A217" s="1"/>
      <c r="B217" s="1"/>
      <c r="C217" s="1"/>
      <c r="D217" s="1"/>
      <c r="E217" s="1"/>
      <c r="F217" s="1"/>
      <c r="G217" s="1"/>
      <c r="H217" s="1"/>
      <c r="I217" s="1"/>
      <c r="J217" s="1"/>
      <c r="K217" s="1"/>
      <c r="L217" s="1"/>
      <c r="M217" s="1"/>
      <c r="N217" s="1"/>
      <c r="O217" s="1"/>
      <c r="P217" s="1"/>
      <c r="Q217" s="1"/>
      <c r="R217" s="1"/>
      <c r="S217" s="1"/>
      <c r="T217" s="1"/>
      <c r="U217" s="2"/>
      <c r="V217" s="1"/>
      <c r="W217" s="1"/>
      <c r="X217" s="1"/>
      <c r="Y217" s="1"/>
      <c r="Z217" s="1"/>
    </row>
    <row r="218" spans="1:26" ht="24.75" customHeight="1">
      <c r="A218" s="1"/>
      <c r="B218" s="1"/>
      <c r="C218" s="1"/>
      <c r="D218" s="1"/>
      <c r="E218" s="1"/>
      <c r="F218" s="1"/>
      <c r="G218" s="1"/>
      <c r="H218" s="1"/>
      <c r="I218" s="1"/>
      <c r="J218" s="1"/>
      <c r="K218" s="1"/>
      <c r="L218" s="1"/>
      <c r="M218" s="1"/>
      <c r="N218" s="1"/>
      <c r="O218" s="1"/>
      <c r="P218" s="1"/>
      <c r="Q218" s="1"/>
      <c r="R218" s="1"/>
      <c r="S218" s="1"/>
      <c r="T218" s="1"/>
      <c r="U218" s="2"/>
      <c r="V218" s="1"/>
      <c r="W218" s="1"/>
      <c r="X218" s="1"/>
      <c r="Y218" s="1"/>
      <c r="Z218" s="1"/>
    </row>
    <row r="219" spans="1:26" ht="24.75" customHeight="1">
      <c r="A219" s="1"/>
      <c r="B219" s="1"/>
      <c r="C219" s="1"/>
      <c r="D219" s="1"/>
      <c r="E219" s="1"/>
      <c r="F219" s="1"/>
      <c r="G219" s="1"/>
      <c r="H219" s="1"/>
      <c r="I219" s="1"/>
      <c r="J219" s="1"/>
      <c r="K219" s="1"/>
      <c r="L219" s="1"/>
      <c r="M219" s="1"/>
      <c r="N219" s="1"/>
      <c r="O219" s="1"/>
      <c r="P219" s="1"/>
      <c r="Q219" s="1"/>
      <c r="R219" s="1"/>
      <c r="S219" s="1"/>
      <c r="T219" s="1"/>
      <c r="U219" s="2"/>
      <c r="V219" s="1"/>
      <c r="W219" s="1"/>
      <c r="X219" s="1"/>
      <c r="Y219" s="1"/>
      <c r="Z219" s="1"/>
    </row>
    <row r="220" spans="1:26" ht="24.75" customHeight="1">
      <c r="A220" s="1"/>
      <c r="B220" s="1"/>
      <c r="C220" s="1"/>
      <c r="D220" s="1"/>
      <c r="E220" s="1"/>
      <c r="F220" s="1"/>
      <c r="G220" s="1"/>
      <c r="H220" s="1"/>
      <c r="I220" s="1"/>
      <c r="J220" s="1"/>
      <c r="K220" s="1"/>
      <c r="L220" s="1"/>
      <c r="M220" s="1"/>
      <c r="N220" s="1"/>
      <c r="O220" s="1"/>
      <c r="P220" s="1"/>
      <c r="Q220" s="1"/>
      <c r="R220" s="1"/>
      <c r="S220" s="1"/>
      <c r="T220" s="1"/>
      <c r="U220" s="2"/>
      <c r="V220" s="1"/>
      <c r="W220" s="1"/>
      <c r="X220" s="1"/>
      <c r="Y220" s="1"/>
      <c r="Z220" s="1"/>
    </row>
    <row r="221" spans="1:26" ht="24.75" customHeight="1">
      <c r="A221" s="1"/>
      <c r="B221" s="1"/>
      <c r="C221" s="1"/>
      <c r="D221" s="1"/>
      <c r="E221" s="1"/>
      <c r="F221" s="1"/>
      <c r="G221" s="1"/>
      <c r="H221" s="1"/>
      <c r="I221" s="1"/>
      <c r="J221" s="1"/>
      <c r="K221" s="1"/>
      <c r="L221" s="1"/>
      <c r="M221" s="1"/>
      <c r="N221" s="1"/>
      <c r="O221" s="1"/>
      <c r="P221" s="1"/>
      <c r="Q221" s="1"/>
      <c r="R221" s="1"/>
      <c r="S221" s="1"/>
      <c r="T221" s="1"/>
      <c r="U221" s="2"/>
      <c r="V221" s="1"/>
      <c r="W221" s="1"/>
      <c r="X221" s="1"/>
      <c r="Y221" s="1"/>
      <c r="Z221" s="1"/>
    </row>
    <row r="222" spans="1:26" ht="24.75" customHeight="1">
      <c r="A222" s="1"/>
      <c r="B222" s="1"/>
      <c r="C222" s="1"/>
      <c r="D222" s="1"/>
      <c r="E222" s="1"/>
      <c r="F222" s="1"/>
      <c r="G222" s="1"/>
      <c r="H222" s="1"/>
      <c r="I222" s="1"/>
      <c r="J222" s="1"/>
      <c r="K222" s="1"/>
      <c r="L222" s="1"/>
      <c r="M222" s="1"/>
      <c r="N222" s="1"/>
      <c r="O222" s="1"/>
      <c r="P222" s="1"/>
      <c r="Q222" s="1"/>
      <c r="R222" s="1"/>
      <c r="S222" s="1"/>
      <c r="T222" s="1"/>
      <c r="U222" s="2"/>
      <c r="V222" s="1"/>
      <c r="W222" s="1"/>
      <c r="X222" s="1"/>
      <c r="Y222" s="1"/>
      <c r="Z222" s="1"/>
    </row>
    <row r="223" spans="1:26" ht="24.75" customHeight="1">
      <c r="A223" s="1"/>
      <c r="B223" s="1"/>
      <c r="C223" s="1"/>
      <c r="D223" s="1"/>
      <c r="E223" s="1"/>
      <c r="F223" s="1"/>
      <c r="G223" s="1"/>
      <c r="H223" s="1"/>
      <c r="I223" s="1"/>
      <c r="J223" s="1"/>
      <c r="K223" s="1"/>
      <c r="L223" s="1"/>
      <c r="M223" s="1"/>
      <c r="N223" s="1"/>
      <c r="O223" s="1"/>
      <c r="P223" s="1"/>
      <c r="Q223" s="1"/>
      <c r="R223" s="1"/>
      <c r="S223" s="1"/>
      <c r="T223" s="1"/>
      <c r="U223" s="2"/>
      <c r="V223" s="1"/>
      <c r="W223" s="1"/>
      <c r="X223" s="1"/>
      <c r="Y223" s="1"/>
      <c r="Z223" s="1"/>
    </row>
    <row r="224" spans="1:26" ht="24.75" customHeight="1">
      <c r="A224" s="1"/>
      <c r="B224" s="1"/>
      <c r="C224" s="1"/>
      <c r="D224" s="1"/>
      <c r="E224" s="1"/>
      <c r="F224" s="1"/>
      <c r="G224" s="1"/>
      <c r="H224" s="1"/>
      <c r="I224" s="1"/>
      <c r="J224" s="1"/>
      <c r="K224" s="1"/>
      <c r="L224" s="1"/>
      <c r="M224" s="1"/>
      <c r="N224" s="1"/>
      <c r="O224" s="1"/>
      <c r="P224" s="1"/>
      <c r="Q224" s="1"/>
      <c r="R224" s="1"/>
      <c r="S224" s="1"/>
      <c r="T224" s="1"/>
      <c r="U224" s="2"/>
      <c r="V224" s="1"/>
      <c r="W224" s="1"/>
      <c r="X224" s="1"/>
      <c r="Y224" s="1"/>
      <c r="Z224" s="1"/>
    </row>
    <row r="225" spans="1:26" ht="24.75" customHeight="1">
      <c r="A225" s="1"/>
      <c r="B225" s="1"/>
      <c r="C225" s="1"/>
      <c r="D225" s="1"/>
      <c r="E225" s="1"/>
      <c r="F225" s="1"/>
      <c r="G225" s="1"/>
      <c r="H225" s="1"/>
      <c r="I225" s="1"/>
      <c r="J225" s="1"/>
      <c r="K225" s="1"/>
      <c r="L225" s="1"/>
      <c r="M225" s="1"/>
      <c r="N225" s="1"/>
      <c r="O225" s="1"/>
      <c r="P225" s="1"/>
      <c r="Q225" s="1"/>
      <c r="R225" s="1"/>
      <c r="S225" s="1"/>
      <c r="T225" s="1"/>
      <c r="U225" s="2"/>
      <c r="V225" s="1"/>
      <c r="W225" s="1"/>
      <c r="X225" s="1"/>
      <c r="Y225" s="1"/>
      <c r="Z225" s="1"/>
    </row>
    <row r="226" spans="1:26" ht="24.75" customHeight="1">
      <c r="A226" s="1"/>
      <c r="B226" s="1"/>
      <c r="C226" s="1"/>
      <c r="D226" s="1"/>
      <c r="E226" s="1"/>
      <c r="F226" s="1"/>
      <c r="G226" s="1"/>
      <c r="H226" s="1"/>
      <c r="I226" s="1"/>
      <c r="J226" s="1"/>
      <c r="K226" s="1"/>
      <c r="L226" s="1"/>
      <c r="M226" s="1"/>
      <c r="N226" s="1"/>
      <c r="O226" s="1"/>
      <c r="P226" s="1"/>
      <c r="Q226" s="1"/>
      <c r="R226" s="1"/>
      <c r="S226" s="1"/>
      <c r="T226" s="1"/>
      <c r="U226" s="2"/>
      <c r="V226" s="1"/>
      <c r="W226" s="1"/>
      <c r="X226" s="1"/>
      <c r="Y226" s="1"/>
      <c r="Z226" s="1"/>
    </row>
    <row r="227" spans="1:26" ht="24.75" customHeight="1">
      <c r="A227" s="1"/>
      <c r="B227" s="1"/>
      <c r="C227" s="1"/>
      <c r="D227" s="1"/>
      <c r="E227" s="1"/>
      <c r="F227" s="1"/>
      <c r="G227" s="1"/>
      <c r="H227" s="1"/>
      <c r="I227" s="1"/>
      <c r="J227" s="1"/>
      <c r="K227" s="1"/>
      <c r="L227" s="1"/>
      <c r="M227" s="1"/>
      <c r="N227" s="1"/>
      <c r="O227" s="1"/>
      <c r="P227" s="1"/>
      <c r="Q227" s="1"/>
      <c r="R227" s="1"/>
      <c r="S227" s="1"/>
      <c r="T227" s="1"/>
      <c r="U227" s="2"/>
      <c r="V227" s="1"/>
      <c r="W227" s="1"/>
      <c r="X227" s="1"/>
      <c r="Y227" s="1"/>
      <c r="Z227" s="1"/>
    </row>
    <row r="228" spans="1:26" ht="24.75" customHeight="1">
      <c r="A228" s="1"/>
      <c r="B228" s="1"/>
      <c r="C228" s="1"/>
      <c r="D228" s="1"/>
      <c r="E228" s="1"/>
      <c r="F228" s="1"/>
      <c r="G228" s="1"/>
      <c r="H228" s="1"/>
      <c r="I228" s="1"/>
      <c r="J228" s="1"/>
      <c r="K228" s="1"/>
      <c r="L228" s="1"/>
      <c r="M228" s="1"/>
      <c r="N228" s="1"/>
      <c r="O228" s="1"/>
      <c r="P228" s="1"/>
      <c r="Q228" s="1"/>
      <c r="R228" s="1"/>
      <c r="S228" s="1"/>
      <c r="T228" s="1"/>
      <c r="U228" s="2"/>
      <c r="V228" s="1"/>
      <c r="W228" s="1"/>
      <c r="X228" s="1"/>
      <c r="Y228" s="1"/>
      <c r="Z228" s="1"/>
    </row>
    <row r="229" spans="1:26" ht="24.75" customHeight="1">
      <c r="A229" s="1"/>
      <c r="B229" s="1"/>
      <c r="C229" s="1"/>
      <c r="D229" s="1"/>
      <c r="E229" s="1"/>
      <c r="F229" s="1"/>
      <c r="G229" s="1"/>
      <c r="H229" s="1"/>
      <c r="I229" s="1"/>
      <c r="J229" s="1"/>
      <c r="K229" s="1"/>
      <c r="L229" s="1"/>
      <c r="M229" s="1"/>
      <c r="N229" s="1"/>
      <c r="O229" s="1"/>
      <c r="P229" s="1"/>
      <c r="Q229" s="1"/>
      <c r="R229" s="1"/>
      <c r="S229" s="1"/>
      <c r="T229" s="1"/>
      <c r="U229" s="2"/>
      <c r="V229" s="1"/>
      <c r="W229" s="1"/>
      <c r="X229" s="1"/>
      <c r="Y229" s="1"/>
      <c r="Z229" s="1"/>
    </row>
    <row r="230" spans="1:26" ht="24.75" customHeight="1">
      <c r="A230" s="1"/>
      <c r="B230" s="1"/>
      <c r="C230" s="1"/>
      <c r="D230" s="1"/>
      <c r="E230" s="1"/>
      <c r="F230" s="1"/>
      <c r="G230" s="1"/>
      <c r="H230" s="1"/>
      <c r="I230" s="1"/>
      <c r="J230" s="1"/>
      <c r="K230" s="1"/>
      <c r="L230" s="1"/>
      <c r="M230" s="1"/>
      <c r="N230" s="1"/>
      <c r="O230" s="1"/>
      <c r="P230" s="1"/>
      <c r="Q230" s="1"/>
      <c r="R230" s="1"/>
      <c r="S230" s="1"/>
      <c r="T230" s="1"/>
      <c r="U230" s="2"/>
      <c r="V230" s="1"/>
      <c r="W230" s="1"/>
      <c r="X230" s="1"/>
      <c r="Y230" s="1"/>
      <c r="Z230" s="1"/>
    </row>
    <row r="231" spans="1:26" ht="24.75" customHeight="1">
      <c r="A231" s="1"/>
      <c r="B231" s="1"/>
      <c r="C231" s="1"/>
      <c r="D231" s="1"/>
      <c r="E231" s="1"/>
      <c r="F231" s="1"/>
      <c r="G231" s="1"/>
      <c r="H231" s="1"/>
      <c r="I231" s="1"/>
      <c r="J231" s="1"/>
      <c r="K231" s="1"/>
      <c r="L231" s="1"/>
      <c r="M231" s="1"/>
      <c r="N231" s="1"/>
      <c r="O231" s="1"/>
      <c r="P231" s="1"/>
      <c r="Q231" s="1"/>
      <c r="R231" s="1"/>
      <c r="S231" s="1"/>
      <c r="T231" s="1"/>
      <c r="U231" s="2"/>
      <c r="V231" s="1"/>
      <c r="W231" s="1"/>
      <c r="X231" s="1"/>
      <c r="Y231" s="1"/>
      <c r="Z231" s="1"/>
    </row>
    <row r="232" spans="1:26" ht="24.75" customHeight="1">
      <c r="A232" s="1"/>
      <c r="B232" s="1"/>
      <c r="C232" s="1"/>
      <c r="D232" s="1"/>
      <c r="E232" s="1"/>
      <c r="F232" s="1"/>
      <c r="G232" s="1"/>
      <c r="H232" s="1"/>
      <c r="I232" s="1"/>
      <c r="J232" s="1"/>
      <c r="K232" s="1"/>
      <c r="L232" s="1"/>
      <c r="M232" s="1"/>
      <c r="N232" s="1"/>
      <c r="O232" s="1"/>
      <c r="P232" s="1"/>
      <c r="Q232" s="1"/>
      <c r="R232" s="1"/>
      <c r="S232" s="1"/>
      <c r="T232" s="1"/>
      <c r="U232" s="2"/>
      <c r="V232" s="1"/>
      <c r="W232" s="1"/>
      <c r="X232" s="1"/>
      <c r="Y232" s="1"/>
      <c r="Z232" s="1"/>
    </row>
    <row r="233" spans="1:26" ht="24.75" customHeight="1">
      <c r="A233" s="1"/>
      <c r="B233" s="1"/>
      <c r="C233" s="1"/>
      <c r="D233" s="1"/>
      <c r="E233" s="1"/>
      <c r="F233" s="1"/>
      <c r="G233" s="1"/>
      <c r="H233" s="1"/>
      <c r="I233" s="1"/>
      <c r="J233" s="1"/>
      <c r="K233" s="1"/>
      <c r="L233" s="1"/>
      <c r="M233" s="1"/>
      <c r="N233" s="1"/>
      <c r="O233" s="1"/>
      <c r="P233" s="1"/>
      <c r="Q233" s="1"/>
      <c r="R233" s="1"/>
      <c r="S233" s="1"/>
      <c r="T233" s="1"/>
      <c r="U233" s="2"/>
      <c r="V233" s="1"/>
      <c r="W233" s="1"/>
      <c r="X233" s="1"/>
      <c r="Y233" s="1"/>
      <c r="Z233" s="1"/>
    </row>
    <row r="234" spans="1:26" ht="24.75" customHeight="1">
      <c r="A234" s="1"/>
      <c r="B234" s="1"/>
      <c r="C234" s="1"/>
      <c r="D234" s="1"/>
      <c r="E234" s="1"/>
      <c r="F234" s="1"/>
      <c r="G234" s="1"/>
      <c r="H234" s="1"/>
      <c r="I234" s="1"/>
      <c r="J234" s="1"/>
      <c r="K234" s="1"/>
      <c r="L234" s="1"/>
      <c r="M234" s="1"/>
      <c r="N234" s="1"/>
      <c r="O234" s="1"/>
      <c r="P234" s="1"/>
      <c r="Q234" s="1"/>
      <c r="R234" s="1"/>
      <c r="S234" s="1"/>
      <c r="T234" s="1"/>
      <c r="U234" s="2"/>
      <c r="V234" s="1"/>
      <c r="W234" s="1"/>
      <c r="X234" s="1"/>
      <c r="Y234" s="1"/>
      <c r="Z234" s="1"/>
    </row>
    <row r="235" spans="1:26" ht="24.75" customHeight="1">
      <c r="A235" s="1"/>
      <c r="B235" s="1"/>
      <c r="C235" s="1"/>
      <c r="D235" s="1"/>
      <c r="E235" s="1"/>
      <c r="F235" s="1"/>
      <c r="G235" s="1"/>
      <c r="H235" s="1"/>
      <c r="I235" s="1"/>
      <c r="J235" s="1"/>
      <c r="K235" s="1"/>
      <c r="L235" s="1"/>
      <c r="M235" s="1"/>
      <c r="N235" s="1"/>
      <c r="O235" s="1"/>
      <c r="P235" s="1"/>
      <c r="Q235" s="1"/>
      <c r="R235" s="1"/>
      <c r="S235" s="1"/>
      <c r="T235" s="1"/>
      <c r="U235" s="2"/>
      <c r="V235" s="1"/>
      <c r="W235" s="1"/>
      <c r="X235" s="1"/>
      <c r="Y235" s="1"/>
      <c r="Z235" s="1"/>
    </row>
    <row r="236" spans="1:26" ht="24.75" customHeight="1">
      <c r="A236" s="1"/>
      <c r="B236" s="1"/>
      <c r="C236" s="1"/>
      <c r="D236" s="1"/>
      <c r="E236" s="1"/>
      <c r="F236" s="1"/>
      <c r="G236" s="1"/>
      <c r="H236" s="1"/>
      <c r="I236" s="1"/>
      <c r="J236" s="1"/>
      <c r="K236" s="1"/>
      <c r="L236" s="1"/>
      <c r="M236" s="1"/>
      <c r="N236" s="1"/>
      <c r="O236" s="1"/>
      <c r="P236" s="1"/>
      <c r="Q236" s="1"/>
      <c r="R236" s="1"/>
      <c r="S236" s="1"/>
      <c r="T236" s="1"/>
      <c r="U236" s="2"/>
      <c r="V236" s="1"/>
      <c r="W236" s="1"/>
      <c r="X236" s="1"/>
      <c r="Y236" s="1"/>
      <c r="Z236" s="1"/>
    </row>
    <row r="237" spans="1:26" ht="24.75" customHeight="1">
      <c r="A237" s="1"/>
      <c r="B237" s="1"/>
      <c r="C237" s="1"/>
      <c r="D237" s="1"/>
      <c r="E237" s="1"/>
      <c r="F237" s="1"/>
      <c r="G237" s="1"/>
      <c r="H237" s="1"/>
      <c r="I237" s="1"/>
      <c r="J237" s="1"/>
      <c r="K237" s="1"/>
      <c r="L237" s="1"/>
      <c r="M237" s="1"/>
      <c r="N237" s="1"/>
      <c r="O237" s="1"/>
      <c r="P237" s="1"/>
      <c r="Q237" s="1"/>
      <c r="R237" s="1"/>
      <c r="S237" s="1"/>
      <c r="T237" s="1"/>
      <c r="U237" s="2"/>
      <c r="V237" s="1"/>
      <c r="W237" s="1"/>
      <c r="X237" s="1"/>
      <c r="Y237" s="1"/>
      <c r="Z237" s="1"/>
    </row>
    <row r="238" spans="1:26" ht="24.75" customHeight="1">
      <c r="A238" s="1"/>
      <c r="B238" s="1"/>
      <c r="C238" s="1"/>
      <c r="D238" s="1"/>
      <c r="E238" s="1"/>
      <c r="F238" s="1"/>
      <c r="G238" s="1"/>
      <c r="H238" s="1"/>
      <c r="I238" s="1"/>
      <c r="J238" s="1"/>
      <c r="K238" s="1"/>
      <c r="L238" s="1"/>
      <c r="M238" s="1"/>
      <c r="N238" s="1"/>
      <c r="O238" s="1"/>
      <c r="P238" s="1"/>
      <c r="Q238" s="1"/>
      <c r="R238" s="1"/>
      <c r="S238" s="1"/>
      <c r="T238" s="1"/>
      <c r="U238" s="2"/>
      <c r="V238" s="1"/>
      <c r="W238" s="1"/>
      <c r="X238" s="1"/>
      <c r="Y238" s="1"/>
      <c r="Z238" s="1"/>
    </row>
    <row r="239" spans="1:26" ht="24.75" customHeight="1">
      <c r="A239" s="1"/>
      <c r="B239" s="1"/>
      <c r="C239" s="1"/>
      <c r="D239" s="1"/>
      <c r="E239" s="1"/>
      <c r="F239" s="1"/>
      <c r="G239" s="1"/>
      <c r="H239" s="1"/>
      <c r="I239" s="1"/>
      <c r="J239" s="1"/>
      <c r="K239" s="1"/>
      <c r="L239" s="1"/>
      <c r="M239" s="1"/>
      <c r="N239" s="1"/>
      <c r="O239" s="1"/>
      <c r="P239" s="1"/>
      <c r="Q239" s="1"/>
      <c r="R239" s="1"/>
      <c r="S239" s="1"/>
      <c r="T239" s="1"/>
      <c r="U239" s="2"/>
      <c r="V239" s="1"/>
      <c r="W239" s="1"/>
      <c r="X239" s="1"/>
      <c r="Y239" s="1"/>
      <c r="Z239" s="1"/>
    </row>
    <row r="240" spans="1:26" ht="24.75" customHeight="1">
      <c r="A240" s="1"/>
      <c r="B240" s="1"/>
      <c r="C240" s="1"/>
      <c r="D240" s="1"/>
      <c r="E240" s="1"/>
      <c r="F240" s="1"/>
      <c r="G240" s="1"/>
      <c r="H240" s="1"/>
      <c r="I240" s="1"/>
      <c r="J240" s="1"/>
      <c r="K240" s="1"/>
      <c r="L240" s="1"/>
      <c r="M240" s="1"/>
      <c r="N240" s="1"/>
      <c r="O240" s="1"/>
      <c r="P240" s="1"/>
      <c r="Q240" s="1"/>
      <c r="R240" s="1"/>
      <c r="S240" s="1"/>
      <c r="T240" s="1"/>
      <c r="U240" s="2"/>
      <c r="V240" s="1"/>
      <c r="W240" s="1"/>
      <c r="X240" s="1"/>
      <c r="Y240" s="1"/>
      <c r="Z240" s="1"/>
    </row>
    <row r="241" spans="1:26" ht="24.75" customHeight="1">
      <c r="A241" s="1"/>
      <c r="B241" s="1"/>
      <c r="C241" s="1"/>
      <c r="D241" s="1"/>
      <c r="E241" s="1"/>
      <c r="F241" s="1"/>
      <c r="G241" s="1"/>
      <c r="H241" s="1"/>
      <c r="I241" s="1"/>
      <c r="J241" s="1"/>
      <c r="K241" s="1"/>
      <c r="L241" s="1"/>
      <c r="M241" s="1"/>
      <c r="N241" s="1"/>
      <c r="O241" s="1"/>
      <c r="P241" s="1"/>
      <c r="Q241" s="1"/>
      <c r="R241" s="1"/>
      <c r="S241" s="1"/>
      <c r="T241" s="1"/>
      <c r="U241" s="2"/>
      <c r="V241" s="1"/>
      <c r="W241" s="1"/>
      <c r="X241" s="1"/>
      <c r="Y241" s="1"/>
      <c r="Z241" s="1"/>
    </row>
    <row r="242" spans="1:26" ht="24.75" customHeight="1">
      <c r="A242" s="1"/>
      <c r="B242" s="1"/>
      <c r="C242" s="1"/>
      <c r="D242" s="1"/>
      <c r="E242" s="1"/>
      <c r="F242" s="1"/>
      <c r="G242" s="1"/>
      <c r="H242" s="1"/>
      <c r="I242" s="1"/>
      <c r="J242" s="1"/>
      <c r="K242" s="1"/>
      <c r="L242" s="1"/>
      <c r="M242" s="1"/>
      <c r="N242" s="1"/>
      <c r="O242" s="1"/>
      <c r="P242" s="1"/>
      <c r="Q242" s="1"/>
      <c r="R242" s="1"/>
      <c r="S242" s="1"/>
      <c r="T242" s="1"/>
      <c r="U242" s="2"/>
      <c r="V242" s="1"/>
      <c r="W242" s="1"/>
      <c r="X242" s="1"/>
      <c r="Y242" s="1"/>
      <c r="Z242" s="1"/>
    </row>
    <row r="243" spans="1:26" ht="24.75" customHeight="1">
      <c r="A243" s="1"/>
      <c r="B243" s="1"/>
      <c r="C243" s="1"/>
      <c r="D243" s="1"/>
      <c r="E243" s="1"/>
      <c r="F243" s="1"/>
      <c r="G243" s="1"/>
      <c r="H243" s="1"/>
      <c r="I243" s="1"/>
      <c r="J243" s="1"/>
      <c r="K243" s="1"/>
      <c r="L243" s="1"/>
      <c r="M243" s="1"/>
      <c r="N243" s="1"/>
      <c r="O243" s="1"/>
      <c r="P243" s="1"/>
      <c r="Q243" s="1"/>
      <c r="R243" s="1"/>
      <c r="S243" s="1"/>
      <c r="T243" s="1"/>
      <c r="U243" s="2"/>
      <c r="V243" s="1"/>
      <c r="W243" s="1"/>
      <c r="X243" s="1"/>
      <c r="Y243" s="1"/>
      <c r="Z243" s="1"/>
    </row>
    <row r="244" spans="1:26" ht="24.75" customHeight="1">
      <c r="A244" s="1"/>
      <c r="B244" s="1"/>
      <c r="C244" s="1"/>
      <c r="D244" s="1"/>
      <c r="E244" s="1"/>
      <c r="F244" s="1"/>
      <c r="G244" s="1"/>
      <c r="H244" s="1"/>
      <c r="I244" s="1"/>
      <c r="J244" s="1"/>
      <c r="K244" s="1"/>
      <c r="L244" s="1"/>
      <c r="M244" s="1"/>
      <c r="N244" s="1"/>
      <c r="O244" s="1"/>
      <c r="P244" s="1"/>
      <c r="Q244" s="1"/>
      <c r="R244" s="1"/>
      <c r="S244" s="1"/>
      <c r="T244" s="1"/>
      <c r="U244" s="2"/>
      <c r="V244" s="1"/>
      <c r="W244" s="1"/>
      <c r="X244" s="1"/>
      <c r="Y244" s="1"/>
      <c r="Z244" s="1"/>
    </row>
    <row r="245" spans="1:26" ht="24.75" customHeight="1">
      <c r="A245" s="1"/>
      <c r="B245" s="1"/>
      <c r="C245" s="1"/>
      <c r="D245" s="1"/>
      <c r="E245" s="1"/>
      <c r="F245" s="1"/>
      <c r="G245" s="1"/>
      <c r="H245" s="1"/>
      <c r="I245" s="1"/>
      <c r="J245" s="1"/>
      <c r="K245" s="1"/>
      <c r="L245" s="1"/>
      <c r="M245" s="1"/>
      <c r="N245" s="1"/>
      <c r="O245" s="1"/>
      <c r="P245" s="1"/>
      <c r="Q245" s="1"/>
      <c r="R245" s="1"/>
      <c r="S245" s="1"/>
      <c r="T245" s="1"/>
      <c r="U245" s="2"/>
      <c r="V245" s="1"/>
      <c r="W245" s="1"/>
      <c r="X245" s="1"/>
      <c r="Y245" s="1"/>
      <c r="Z245" s="1"/>
    </row>
    <row r="246" spans="1:26" ht="24.75" customHeight="1">
      <c r="A246" s="1"/>
      <c r="B246" s="1"/>
      <c r="C246" s="1"/>
      <c r="D246" s="1"/>
      <c r="E246" s="1"/>
      <c r="F246" s="1"/>
      <c r="G246" s="1"/>
      <c r="H246" s="1"/>
      <c r="I246" s="1"/>
      <c r="J246" s="1"/>
      <c r="K246" s="1"/>
      <c r="L246" s="1"/>
      <c r="M246" s="1"/>
      <c r="N246" s="1"/>
      <c r="O246" s="1"/>
      <c r="P246" s="1"/>
      <c r="Q246" s="1"/>
      <c r="R246" s="1"/>
      <c r="S246" s="1"/>
      <c r="T246" s="1"/>
      <c r="U246" s="2"/>
      <c r="V246" s="1"/>
      <c r="W246" s="1"/>
      <c r="X246" s="1"/>
      <c r="Y246" s="1"/>
      <c r="Z246" s="1"/>
    </row>
    <row r="247" spans="1:26" ht="24.75" customHeight="1">
      <c r="A247" s="1"/>
      <c r="B247" s="1"/>
      <c r="C247" s="1"/>
      <c r="D247" s="1"/>
      <c r="E247" s="1"/>
      <c r="F247" s="1"/>
      <c r="G247" s="1"/>
      <c r="H247" s="1"/>
      <c r="I247" s="1"/>
      <c r="J247" s="1"/>
      <c r="K247" s="1"/>
      <c r="L247" s="1"/>
      <c r="M247" s="1"/>
      <c r="N247" s="1"/>
      <c r="O247" s="1"/>
      <c r="P247" s="1"/>
      <c r="Q247" s="1"/>
      <c r="R247" s="1"/>
      <c r="S247" s="1"/>
      <c r="T247" s="1"/>
      <c r="U247" s="2"/>
      <c r="V247" s="1"/>
      <c r="W247" s="1"/>
      <c r="X247" s="1"/>
      <c r="Y247" s="1"/>
      <c r="Z247" s="1"/>
    </row>
    <row r="248" spans="1:26" ht="24.75" customHeight="1">
      <c r="A248" s="1"/>
      <c r="B248" s="1"/>
      <c r="C248" s="1"/>
      <c r="D248" s="1"/>
      <c r="E248" s="1"/>
      <c r="F248" s="1"/>
      <c r="G248" s="1"/>
      <c r="H248" s="1"/>
      <c r="I248" s="1"/>
      <c r="J248" s="1"/>
      <c r="K248" s="1"/>
      <c r="L248" s="1"/>
      <c r="M248" s="1"/>
      <c r="N248" s="1"/>
      <c r="O248" s="1"/>
      <c r="P248" s="1"/>
      <c r="Q248" s="1"/>
      <c r="R248" s="1"/>
      <c r="S248" s="1"/>
      <c r="T248" s="1"/>
      <c r="U248" s="2"/>
      <c r="V248" s="1"/>
      <c r="W248" s="1"/>
      <c r="X248" s="1"/>
      <c r="Y248" s="1"/>
      <c r="Z248" s="1"/>
    </row>
    <row r="249" spans="1:26" ht="24.75" customHeight="1">
      <c r="A249" s="1"/>
      <c r="B249" s="1"/>
      <c r="C249" s="1"/>
      <c r="D249" s="1"/>
      <c r="E249" s="1"/>
      <c r="F249" s="1"/>
      <c r="G249" s="1"/>
      <c r="H249" s="1"/>
      <c r="I249" s="1"/>
      <c r="J249" s="1"/>
      <c r="K249" s="1"/>
      <c r="L249" s="1"/>
      <c r="M249" s="1"/>
      <c r="N249" s="1"/>
      <c r="O249" s="1"/>
      <c r="P249" s="1"/>
      <c r="Q249" s="1"/>
      <c r="R249" s="1"/>
      <c r="S249" s="1"/>
      <c r="T249" s="1"/>
      <c r="U249" s="2"/>
      <c r="V249" s="1"/>
      <c r="W249" s="1"/>
      <c r="X249" s="1"/>
      <c r="Y249" s="1"/>
      <c r="Z249" s="1"/>
    </row>
    <row r="250" spans="1:26" ht="24.75" customHeight="1">
      <c r="A250" s="1"/>
      <c r="B250" s="1"/>
      <c r="C250" s="1"/>
      <c r="D250" s="1"/>
      <c r="E250" s="1"/>
      <c r="F250" s="1"/>
      <c r="G250" s="1"/>
      <c r="H250" s="1"/>
      <c r="I250" s="1"/>
      <c r="J250" s="1"/>
      <c r="K250" s="1"/>
      <c r="L250" s="1"/>
      <c r="M250" s="1"/>
      <c r="N250" s="1"/>
      <c r="O250" s="1"/>
      <c r="P250" s="1"/>
      <c r="Q250" s="1"/>
      <c r="R250" s="1"/>
      <c r="S250" s="1"/>
      <c r="T250" s="1"/>
      <c r="U250" s="2"/>
      <c r="V250" s="1"/>
      <c r="W250" s="1"/>
      <c r="X250" s="1"/>
      <c r="Y250" s="1"/>
      <c r="Z250" s="1"/>
    </row>
    <row r="251" spans="1:26" ht="24.75" customHeight="1">
      <c r="A251" s="1"/>
      <c r="B251" s="1"/>
      <c r="C251" s="1"/>
      <c r="D251" s="1"/>
      <c r="E251" s="1"/>
      <c r="F251" s="1"/>
      <c r="G251" s="1"/>
      <c r="H251" s="1"/>
      <c r="I251" s="1"/>
      <c r="J251" s="1"/>
      <c r="K251" s="1"/>
      <c r="L251" s="1"/>
      <c r="M251" s="1"/>
      <c r="N251" s="1"/>
      <c r="O251" s="1"/>
      <c r="P251" s="1"/>
      <c r="Q251" s="1"/>
      <c r="R251" s="1"/>
      <c r="S251" s="1"/>
      <c r="T251" s="1"/>
      <c r="U251" s="2"/>
      <c r="V251" s="1"/>
      <c r="W251" s="1"/>
      <c r="X251" s="1"/>
      <c r="Y251" s="1"/>
      <c r="Z251" s="1"/>
    </row>
    <row r="252" spans="1:26" ht="24.75" customHeight="1">
      <c r="A252" s="1"/>
      <c r="B252" s="1"/>
      <c r="C252" s="1"/>
      <c r="D252" s="1"/>
      <c r="E252" s="1"/>
      <c r="F252" s="1"/>
      <c r="G252" s="1"/>
      <c r="H252" s="1"/>
      <c r="I252" s="1"/>
      <c r="J252" s="1"/>
      <c r="K252" s="1"/>
      <c r="L252" s="1"/>
      <c r="M252" s="1"/>
      <c r="N252" s="1"/>
      <c r="O252" s="1"/>
      <c r="P252" s="1"/>
      <c r="Q252" s="1"/>
      <c r="R252" s="1"/>
      <c r="S252" s="1"/>
      <c r="T252" s="1"/>
      <c r="U252" s="2"/>
      <c r="V252" s="1"/>
      <c r="W252" s="1"/>
      <c r="X252" s="1"/>
      <c r="Y252" s="1"/>
      <c r="Z252" s="1"/>
    </row>
    <row r="253" spans="1:26" ht="24.75" customHeight="1">
      <c r="A253" s="1"/>
      <c r="B253" s="1"/>
      <c r="C253" s="1"/>
      <c r="D253" s="1"/>
      <c r="E253" s="1"/>
      <c r="F253" s="1"/>
      <c r="G253" s="1"/>
      <c r="H253" s="1"/>
      <c r="I253" s="1"/>
      <c r="J253" s="1"/>
      <c r="K253" s="1"/>
      <c r="L253" s="1"/>
      <c r="M253" s="1"/>
      <c r="N253" s="1"/>
      <c r="O253" s="1"/>
      <c r="P253" s="1"/>
      <c r="Q253" s="1"/>
      <c r="R253" s="1"/>
      <c r="S253" s="1"/>
      <c r="T253" s="1"/>
      <c r="U253" s="2"/>
      <c r="V253" s="1"/>
      <c r="W253" s="1"/>
      <c r="X253" s="1"/>
      <c r="Y253" s="1"/>
      <c r="Z253" s="1"/>
    </row>
    <row r="254" spans="1:26" ht="24.75" customHeight="1">
      <c r="A254" s="1"/>
      <c r="B254" s="1"/>
      <c r="C254" s="1"/>
      <c r="D254" s="1"/>
      <c r="E254" s="1"/>
      <c r="F254" s="1"/>
      <c r="G254" s="1"/>
      <c r="H254" s="1"/>
      <c r="I254" s="1"/>
      <c r="J254" s="1"/>
      <c r="K254" s="1"/>
      <c r="L254" s="1"/>
      <c r="M254" s="1"/>
      <c r="N254" s="1"/>
      <c r="O254" s="1"/>
      <c r="P254" s="1"/>
      <c r="Q254" s="1"/>
      <c r="R254" s="1"/>
      <c r="S254" s="1"/>
      <c r="T254" s="1"/>
      <c r="U254" s="2"/>
      <c r="V254" s="1"/>
      <c r="W254" s="1"/>
      <c r="X254" s="1"/>
      <c r="Y254" s="1"/>
      <c r="Z254" s="1"/>
    </row>
    <row r="255" spans="1:26" ht="24.75" customHeight="1">
      <c r="A255" s="1"/>
      <c r="B255" s="1"/>
      <c r="C255" s="1"/>
      <c r="D255" s="1"/>
      <c r="E255" s="1"/>
      <c r="F255" s="1"/>
      <c r="G255" s="1"/>
      <c r="H255" s="1"/>
      <c r="I255" s="1"/>
      <c r="J255" s="1"/>
      <c r="K255" s="1"/>
      <c r="L255" s="1"/>
      <c r="M255" s="1"/>
      <c r="N255" s="1"/>
      <c r="O255" s="1"/>
      <c r="P255" s="1"/>
      <c r="Q255" s="1"/>
      <c r="R255" s="1"/>
      <c r="S255" s="1"/>
      <c r="T255" s="1"/>
      <c r="U255" s="2"/>
      <c r="V255" s="1"/>
      <c r="W255" s="1"/>
      <c r="X255" s="1"/>
      <c r="Y255" s="1"/>
      <c r="Z255" s="1"/>
    </row>
    <row r="256" spans="1:26" ht="24.75" customHeight="1">
      <c r="A256" s="1"/>
      <c r="B256" s="1"/>
      <c r="C256" s="1"/>
      <c r="D256" s="1"/>
      <c r="E256" s="1"/>
      <c r="F256" s="1"/>
      <c r="G256" s="1"/>
      <c r="H256" s="1"/>
      <c r="I256" s="1"/>
      <c r="J256" s="1"/>
      <c r="K256" s="1"/>
      <c r="L256" s="1"/>
      <c r="M256" s="1"/>
      <c r="N256" s="1"/>
      <c r="O256" s="1"/>
      <c r="P256" s="1"/>
      <c r="Q256" s="1"/>
      <c r="R256" s="1"/>
      <c r="S256" s="1"/>
      <c r="T256" s="1"/>
      <c r="U256" s="2"/>
      <c r="V256" s="1"/>
      <c r="W256" s="1"/>
      <c r="X256" s="1"/>
      <c r="Y256" s="1"/>
      <c r="Z256" s="1"/>
    </row>
    <row r="257" spans="1:26" ht="24.75" customHeight="1">
      <c r="A257" s="1"/>
      <c r="B257" s="1"/>
      <c r="C257" s="1"/>
      <c r="D257" s="1"/>
      <c r="E257" s="1"/>
      <c r="F257" s="1"/>
      <c r="G257" s="1"/>
      <c r="H257" s="1"/>
      <c r="I257" s="1"/>
      <c r="J257" s="1"/>
      <c r="K257" s="1"/>
      <c r="L257" s="1"/>
      <c r="M257" s="1"/>
      <c r="N257" s="1"/>
      <c r="O257" s="1"/>
      <c r="P257" s="1"/>
      <c r="Q257" s="1"/>
      <c r="R257" s="1"/>
      <c r="S257" s="1"/>
      <c r="T257" s="1"/>
      <c r="U257" s="2"/>
      <c r="V257" s="1"/>
      <c r="W257" s="1"/>
      <c r="X257" s="1"/>
      <c r="Y257" s="1"/>
      <c r="Z257" s="1"/>
    </row>
    <row r="258" spans="1:26" ht="24.75" customHeight="1">
      <c r="A258" s="1"/>
      <c r="B258" s="1"/>
      <c r="C258" s="1"/>
      <c r="D258" s="1"/>
      <c r="E258" s="1"/>
      <c r="F258" s="1"/>
      <c r="G258" s="1"/>
      <c r="H258" s="1"/>
      <c r="I258" s="1"/>
      <c r="J258" s="1"/>
      <c r="K258" s="1"/>
      <c r="L258" s="1"/>
      <c r="M258" s="1"/>
      <c r="N258" s="1"/>
      <c r="O258" s="1"/>
      <c r="P258" s="1"/>
      <c r="Q258" s="1"/>
      <c r="R258" s="1"/>
      <c r="S258" s="1"/>
      <c r="T258" s="1"/>
      <c r="U258" s="2"/>
      <c r="V258" s="1"/>
      <c r="W258" s="1"/>
      <c r="X258" s="1"/>
      <c r="Y258" s="1"/>
      <c r="Z258" s="1"/>
    </row>
    <row r="259" spans="1:26" ht="24.75" customHeight="1">
      <c r="A259" s="1"/>
      <c r="B259" s="1"/>
      <c r="C259" s="1"/>
      <c r="D259" s="1"/>
      <c r="E259" s="1"/>
      <c r="F259" s="1"/>
      <c r="G259" s="1"/>
      <c r="H259" s="1"/>
      <c r="I259" s="1"/>
      <c r="J259" s="1"/>
      <c r="K259" s="1"/>
      <c r="L259" s="1"/>
      <c r="M259" s="1"/>
      <c r="N259" s="1"/>
      <c r="O259" s="1"/>
      <c r="P259" s="1"/>
      <c r="Q259" s="1"/>
      <c r="R259" s="1"/>
      <c r="S259" s="1"/>
      <c r="T259" s="1"/>
      <c r="U259" s="2"/>
      <c r="V259" s="1"/>
      <c r="W259" s="1"/>
      <c r="X259" s="1"/>
      <c r="Y259" s="1"/>
      <c r="Z259" s="1"/>
    </row>
    <row r="260" spans="1:26" ht="24.75" customHeight="1">
      <c r="A260" s="1"/>
      <c r="B260" s="1"/>
      <c r="C260" s="1"/>
      <c r="D260" s="1"/>
      <c r="E260" s="1"/>
      <c r="F260" s="1"/>
      <c r="G260" s="1"/>
      <c r="H260" s="1"/>
      <c r="I260" s="1"/>
      <c r="J260" s="1"/>
      <c r="K260" s="1"/>
      <c r="L260" s="1"/>
      <c r="M260" s="1"/>
      <c r="N260" s="1"/>
      <c r="O260" s="1"/>
      <c r="P260" s="1"/>
      <c r="Q260" s="1"/>
      <c r="R260" s="1"/>
      <c r="S260" s="1"/>
      <c r="T260" s="1"/>
      <c r="U260" s="2"/>
      <c r="V260" s="1"/>
      <c r="W260" s="1"/>
      <c r="X260" s="1"/>
      <c r="Y260" s="1"/>
      <c r="Z260" s="1"/>
    </row>
    <row r="261" spans="1:26" ht="24.75" customHeight="1">
      <c r="A261" s="1"/>
      <c r="B261" s="1"/>
      <c r="C261" s="1"/>
      <c r="D261" s="1"/>
      <c r="E261" s="1"/>
      <c r="F261" s="1"/>
      <c r="G261" s="1"/>
      <c r="H261" s="1"/>
      <c r="I261" s="1"/>
      <c r="J261" s="1"/>
      <c r="K261" s="1"/>
      <c r="L261" s="1"/>
      <c r="M261" s="1"/>
      <c r="N261" s="1"/>
      <c r="O261" s="1"/>
      <c r="P261" s="1"/>
      <c r="Q261" s="1"/>
      <c r="R261" s="1"/>
      <c r="S261" s="1"/>
      <c r="T261" s="1"/>
      <c r="U261" s="2"/>
      <c r="V261" s="1"/>
      <c r="W261" s="1"/>
      <c r="X261" s="1"/>
      <c r="Y261" s="1"/>
      <c r="Z261" s="1"/>
    </row>
    <row r="262" spans="1:26" ht="24.75" customHeight="1">
      <c r="A262" s="1"/>
      <c r="B262" s="1"/>
      <c r="C262" s="1"/>
      <c r="D262" s="1"/>
      <c r="E262" s="1"/>
      <c r="F262" s="1"/>
      <c r="G262" s="1"/>
      <c r="H262" s="1"/>
      <c r="I262" s="1"/>
      <c r="J262" s="1"/>
      <c r="K262" s="1"/>
      <c r="L262" s="1"/>
      <c r="M262" s="1"/>
      <c r="N262" s="1"/>
      <c r="O262" s="1"/>
      <c r="P262" s="1"/>
      <c r="Q262" s="1"/>
      <c r="R262" s="1"/>
      <c r="S262" s="1"/>
      <c r="T262" s="1"/>
      <c r="U262" s="2"/>
      <c r="V262" s="1"/>
      <c r="W262" s="1"/>
      <c r="X262" s="1"/>
      <c r="Y262" s="1"/>
      <c r="Z262" s="1"/>
    </row>
    <row r="263" spans="1:26" ht="24.75" customHeight="1">
      <c r="A263" s="1"/>
      <c r="B263" s="1"/>
      <c r="C263" s="1"/>
      <c r="D263" s="1"/>
      <c r="E263" s="1"/>
      <c r="F263" s="1"/>
      <c r="G263" s="1"/>
      <c r="H263" s="1"/>
      <c r="I263" s="1"/>
      <c r="J263" s="1"/>
      <c r="K263" s="1"/>
      <c r="L263" s="1"/>
      <c r="M263" s="1"/>
      <c r="N263" s="1"/>
      <c r="O263" s="1"/>
      <c r="P263" s="1"/>
      <c r="Q263" s="1"/>
      <c r="R263" s="1"/>
      <c r="S263" s="1"/>
      <c r="T263" s="1"/>
      <c r="U263" s="2"/>
      <c r="V263" s="1"/>
      <c r="W263" s="1"/>
      <c r="X263" s="1"/>
      <c r="Y263" s="1"/>
      <c r="Z263" s="1"/>
    </row>
    <row r="264" spans="1:26" ht="24.75" customHeight="1">
      <c r="A264" s="1"/>
      <c r="B264" s="1"/>
      <c r="C264" s="1"/>
      <c r="D264" s="1"/>
      <c r="E264" s="1"/>
      <c r="F264" s="1"/>
      <c r="G264" s="1"/>
      <c r="H264" s="1"/>
      <c r="I264" s="1"/>
      <c r="J264" s="1"/>
      <c r="K264" s="1"/>
      <c r="L264" s="1"/>
      <c r="M264" s="1"/>
      <c r="N264" s="1"/>
      <c r="O264" s="1"/>
      <c r="P264" s="1"/>
      <c r="Q264" s="1"/>
      <c r="R264" s="1"/>
      <c r="S264" s="1"/>
      <c r="T264" s="1"/>
      <c r="U264" s="2"/>
      <c r="V264" s="1"/>
      <c r="W264" s="1"/>
      <c r="X264" s="1"/>
      <c r="Y264" s="1"/>
      <c r="Z264" s="1"/>
    </row>
    <row r="265" spans="1:26" ht="24.75" customHeight="1">
      <c r="A265" s="1"/>
      <c r="B265" s="1"/>
      <c r="C265" s="1"/>
      <c r="D265" s="1"/>
      <c r="E265" s="1"/>
      <c r="F265" s="1"/>
      <c r="G265" s="1"/>
      <c r="H265" s="1"/>
      <c r="I265" s="1"/>
      <c r="J265" s="1"/>
      <c r="K265" s="1"/>
      <c r="L265" s="1"/>
      <c r="M265" s="1"/>
      <c r="N265" s="1"/>
      <c r="O265" s="1"/>
      <c r="P265" s="1"/>
      <c r="Q265" s="1"/>
      <c r="R265" s="1"/>
      <c r="S265" s="1"/>
      <c r="T265" s="1"/>
      <c r="U265" s="2"/>
      <c r="V265" s="1"/>
      <c r="W265" s="1"/>
      <c r="X265" s="1"/>
      <c r="Y265" s="1"/>
      <c r="Z265" s="1"/>
    </row>
    <row r="266" spans="1:26" ht="24.75" customHeight="1">
      <c r="A266" s="1"/>
      <c r="B266" s="1"/>
      <c r="C266" s="1"/>
      <c r="D266" s="1"/>
      <c r="E266" s="1"/>
      <c r="F266" s="1"/>
      <c r="G266" s="1"/>
      <c r="H266" s="1"/>
      <c r="I266" s="1"/>
      <c r="J266" s="1"/>
      <c r="K266" s="1"/>
      <c r="L266" s="1"/>
      <c r="M266" s="1"/>
      <c r="N266" s="1"/>
      <c r="O266" s="1"/>
      <c r="P266" s="1"/>
      <c r="Q266" s="1"/>
      <c r="R266" s="1"/>
      <c r="S266" s="1"/>
      <c r="T266" s="1"/>
      <c r="U266" s="2"/>
      <c r="V266" s="1"/>
      <c r="W266" s="1"/>
      <c r="X266" s="1"/>
      <c r="Y266" s="1"/>
      <c r="Z266" s="1"/>
    </row>
    <row r="267" spans="1:26" ht="24.75" customHeight="1">
      <c r="A267" s="1"/>
      <c r="B267" s="1"/>
      <c r="C267" s="1"/>
      <c r="D267" s="1"/>
      <c r="E267" s="1"/>
      <c r="F267" s="1"/>
      <c r="G267" s="1"/>
      <c r="H267" s="1"/>
      <c r="I267" s="1"/>
      <c r="J267" s="1"/>
      <c r="K267" s="1"/>
      <c r="L267" s="1"/>
      <c r="M267" s="1"/>
      <c r="N267" s="1"/>
      <c r="O267" s="1"/>
      <c r="P267" s="1"/>
      <c r="Q267" s="1"/>
      <c r="R267" s="1"/>
      <c r="S267" s="1"/>
      <c r="T267" s="1"/>
      <c r="U267" s="2"/>
      <c r="V267" s="1"/>
      <c r="W267" s="1"/>
      <c r="X267" s="1"/>
      <c r="Y267" s="1"/>
      <c r="Z267" s="1"/>
    </row>
    <row r="268" spans="1:26" ht="24.75" customHeight="1">
      <c r="A268" s="1"/>
      <c r="B268" s="1"/>
      <c r="C268" s="1"/>
      <c r="D268" s="1"/>
      <c r="E268" s="1"/>
      <c r="F268" s="1"/>
      <c r="G268" s="1"/>
      <c r="H268" s="1"/>
      <c r="I268" s="1"/>
      <c r="J268" s="1"/>
      <c r="K268" s="1"/>
      <c r="L268" s="1"/>
      <c r="M268" s="1"/>
      <c r="N268" s="1"/>
      <c r="O268" s="1"/>
      <c r="P268" s="1"/>
      <c r="Q268" s="1"/>
      <c r="R268" s="1"/>
      <c r="S268" s="1"/>
      <c r="T268" s="1"/>
      <c r="U268" s="2"/>
      <c r="V268" s="1"/>
      <c r="W268" s="1"/>
      <c r="X268" s="1"/>
      <c r="Y268" s="1"/>
      <c r="Z268" s="1"/>
    </row>
    <row r="269" spans="1:26" ht="24.75" customHeight="1">
      <c r="A269" s="1"/>
      <c r="B269" s="1"/>
      <c r="C269" s="1"/>
      <c r="D269" s="1"/>
      <c r="E269" s="1"/>
      <c r="F269" s="1"/>
      <c r="G269" s="1"/>
      <c r="H269" s="1"/>
      <c r="I269" s="1"/>
      <c r="J269" s="1"/>
      <c r="K269" s="1"/>
      <c r="L269" s="1"/>
      <c r="M269" s="1"/>
      <c r="N269" s="1"/>
      <c r="O269" s="1"/>
      <c r="P269" s="1"/>
      <c r="Q269" s="1"/>
      <c r="R269" s="1"/>
      <c r="S269" s="1"/>
      <c r="T269" s="1"/>
      <c r="U269" s="2"/>
      <c r="V269" s="1"/>
      <c r="W269" s="1"/>
      <c r="X269" s="1"/>
      <c r="Y269" s="1"/>
      <c r="Z269" s="1"/>
    </row>
    <row r="270" spans="1:26" ht="24.75" customHeight="1">
      <c r="A270" s="1"/>
      <c r="B270" s="1"/>
      <c r="C270" s="1"/>
      <c r="D270" s="1"/>
      <c r="E270" s="1"/>
      <c r="F270" s="1"/>
      <c r="G270" s="1"/>
      <c r="H270" s="1"/>
      <c r="I270" s="1"/>
      <c r="J270" s="1"/>
      <c r="K270" s="1"/>
      <c r="L270" s="1"/>
      <c r="M270" s="1"/>
      <c r="N270" s="1"/>
      <c r="O270" s="1"/>
      <c r="P270" s="1"/>
      <c r="Q270" s="1"/>
      <c r="R270" s="1"/>
      <c r="S270" s="1"/>
      <c r="T270" s="1"/>
      <c r="U270" s="2"/>
      <c r="V270" s="1"/>
      <c r="W270" s="1"/>
      <c r="X270" s="1"/>
      <c r="Y270" s="1"/>
      <c r="Z270" s="1"/>
    </row>
    <row r="271" spans="1:26" ht="24.75" customHeight="1">
      <c r="A271" s="1"/>
      <c r="B271" s="1"/>
      <c r="C271" s="1"/>
      <c r="D271" s="1"/>
      <c r="E271" s="1"/>
      <c r="F271" s="1"/>
      <c r="G271" s="1"/>
      <c r="H271" s="1"/>
      <c r="I271" s="1"/>
      <c r="J271" s="1"/>
      <c r="K271" s="1"/>
      <c r="L271" s="1"/>
      <c r="M271" s="1"/>
      <c r="N271" s="1"/>
      <c r="O271" s="1"/>
      <c r="P271" s="1"/>
      <c r="Q271" s="1"/>
      <c r="R271" s="1"/>
      <c r="S271" s="1"/>
      <c r="T271" s="1"/>
      <c r="U271" s="2"/>
      <c r="V271" s="1"/>
      <c r="W271" s="1"/>
      <c r="X271" s="1"/>
      <c r="Y271" s="1"/>
      <c r="Z271" s="1"/>
    </row>
    <row r="272" spans="1:26" ht="24.75" customHeight="1">
      <c r="A272" s="1"/>
      <c r="B272" s="1"/>
      <c r="C272" s="1"/>
      <c r="D272" s="1"/>
      <c r="E272" s="1"/>
      <c r="F272" s="1"/>
      <c r="G272" s="1"/>
      <c r="H272" s="1"/>
      <c r="I272" s="1"/>
      <c r="J272" s="1"/>
      <c r="K272" s="1"/>
      <c r="L272" s="1"/>
      <c r="M272" s="1"/>
      <c r="N272" s="1"/>
      <c r="O272" s="1"/>
      <c r="P272" s="1"/>
      <c r="Q272" s="1"/>
      <c r="R272" s="1"/>
      <c r="S272" s="1"/>
      <c r="T272" s="1"/>
      <c r="U272" s="2"/>
      <c r="V272" s="1"/>
      <c r="W272" s="1"/>
      <c r="X272" s="1"/>
      <c r="Y272" s="1"/>
      <c r="Z272" s="1"/>
    </row>
    <row r="273" spans="1:26" ht="24.75" customHeight="1">
      <c r="A273" s="1"/>
      <c r="B273" s="1"/>
      <c r="C273" s="1"/>
      <c r="D273" s="1"/>
      <c r="E273" s="1"/>
      <c r="F273" s="1"/>
      <c r="G273" s="1"/>
      <c r="H273" s="1"/>
      <c r="I273" s="1"/>
      <c r="J273" s="1"/>
      <c r="K273" s="1"/>
      <c r="L273" s="1"/>
      <c r="M273" s="1"/>
      <c r="N273" s="1"/>
      <c r="O273" s="1"/>
      <c r="P273" s="1"/>
      <c r="Q273" s="1"/>
      <c r="R273" s="1"/>
      <c r="S273" s="1"/>
      <c r="T273" s="1"/>
      <c r="U273" s="2"/>
      <c r="V273" s="1"/>
      <c r="W273" s="1"/>
      <c r="X273" s="1"/>
      <c r="Y273" s="1"/>
      <c r="Z273" s="1"/>
    </row>
    <row r="274" spans="1:26" ht="24.75" customHeight="1">
      <c r="A274" s="1"/>
      <c r="B274" s="1"/>
      <c r="C274" s="1"/>
      <c r="D274" s="1"/>
      <c r="E274" s="1"/>
      <c r="F274" s="1"/>
      <c r="G274" s="1"/>
      <c r="H274" s="1"/>
      <c r="I274" s="1"/>
      <c r="J274" s="1"/>
      <c r="K274" s="1"/>
      <c r="L274" s="1"/>
      <c r="M274" s="1"/>
      <c r="N274" s="1"/>
      <c r="O274" s="1"/>
      <c r="P274" s="1"/>
      <c r="Q274" s="1"/>
      <c r="R274" s="1"/>
      <c r="S274" s="1"/>
      <c r="T274" s="1"/>
      <c r="U274" s="2"/>
      <c r="V274" s="1"/>
      <c r="W274" s="1"/>
      <c r="X274" s="1"/>
      <c r="Y274" s="1"/>
      <c r="Z274" s="1"/>
    </row>
    <row r="275" spans="1:26" ht="24.75" customHeight="1">
      <c r="A275" s="1"/>
      <c r="B275" s="1"/>
      <c r="C275" s="1"/>
      <c r="D275" s="1"/>
      <c r="E275" s="1"/>
      <c r="F275" s="1"/>
      <c r="G275" s="1"/>
      <c r="H275" s="1"/>
      <c r="I275" s="1"/>
      <c r="J275" s="1"/>
      <c r="K275" s="1"/>
      <c r="L275" s="1"/>
      <c r="M275" s="1"/>
      <c r="N275" s="1"/>
      <c r="O275" s="1"/>
      <c r="P275" s="1"/>
      <c r="Q275" s="1"/>
      <c r="R275" s="1"/>
      <c r="S275" s="1"/>
      <c r="T275" s="1"/>
      <c r="U275" s="2"/>
      <c r="V275" s="1"/>
      <c r="W275" s="1"/>
      <c r="X275" s="1"/>
      <c r="Y275" s="1"/>
      <c r="Z275" s="1"/>
    </row>
    <row r="276" spans="1:26" ht="24.75" customHeight="1">
      <c r="A276" s="1"/>
      <c r="B276" s="1"/>
      <c r="C276" s="1"/>
      <c r="D276" s="1"/>
      <c r="E276" s="1"/>
      <c r="F276" s="1"/>
      <c r="G276" s="1"/>
      <c r="H276" s="1"/>
      <c r="I276" s="1"/>
      <c r="J276" s="1"/>
      <c r="K276" s="1"/>
      <c r="L276" s="1"/>
      <c r="M276" s="1"/>
      <c r="N276" s="1"/>
      <c r="O276" s="1"/>
      <c r="P276" s="1"/>
      <c r="Q276" s="1"/>
      <c r="R276" s="1"/>
      <c r="S276" s="1"/>
      <c r="T276" s="1"/>
      <c r="U276" s="2"/>
      <c r="V276" s="1"/>
      <c r="W276" s="1"/>
      <c r="X276" s="1"/>
      <c r="Y276" s="1"/>
      <c r="Z276" s="1"/>
    </row>
    <row r="277" spans="1:26" ht="24.75" customHeight="1">
      <c r="A277" s="1"/>
      <c r="B277" s="1"/>
      <c r="C277" s="1"/>
      <c r="D277" s="1"/>
      <c r="E277" s="1"/>
      <c r="F277" s="1"/>
      <c r="G277" s="1"/>
      <c r="H277" s="1"/>
      <c r="I277" s="1"/>
      <c r="J277" s="1"/>
      <c r="K277" s="1"/>
      <c r="L277" s="1"/>
      <c r="M277" s="1"/>
      <c r="N277" s="1"/>
      <c r="O277" s="1"/>
      <c r="P277" s="1"/>
      <c r="Q277" s="1"/>
      <c r="R277" s="1"/>
      <c r="S277" s="1"/>
      <c r="T277" s="1"/>
      <c r="U277" s="2"/>
      <c r="V277" s="1"/>
      <c r="W277" s="1"/>
      <c r="X277" s="1"/>
      <c r="Y277" s="1"/>
      <c r="Z277" s="1"/>
    </row>
    <row r="278" spans="1:26" ht="24.75" customHeight="1">
      <c r="A278" s="1"/>
      <c r="B278" s="1"/>
      <c r="C278" s="1"/>
      <c r="D278" s="1"/>
      <c r="E278" s="1"/>
      <c r="F278" s="1"/>
      <c r="G278" s="1"/>
      <c r="H278" s="1"/>
      <c r="I278" s="1"/>
      <c r="J278" s="1"/>
      <c r="K278" s="1"/>
      <c r="L278" s="1"/>
      <c r="M278" s="1"/>
      <c r="N278" s="1"/>
      <c r="O278" s="1"/>
      <c r="P278" s="1"/>
      <c r="Q278" s="1"/>
      <c r="R278" s="1"/>
      <c r="S278" s="1"/>
      <c r="T278" s="1"/>
      <c r="U278" s="2"/>
      <c r="V278" s="1"/>
      <c r="W278" s="1"/>
      <c r="X278" s="1"/>
      <c r="Y278" s="1"/>
      <c r="Z278" s="1"/>
    </row>
    <row r="279" spans="1:26" ht="24.75" customHeight="1">
      <c r="A279" s="1"/>
      <c r="B279" s="1"/>
      <c r="C279" s="1"/>
      <c r="D279" s="1"/>
      <c r="E279" s="1"/>
      <c r="F279" s="1"/>
      <c r="G279" s="1"/>
      <c r="H279" s="1"/>
      <c r="I279" s="1"/>
      <c r="J279" s="1"/>
      <c r="K279" s="1"/>
      <c r="L279" s="1"/>
      <c r="M279" s="1"/>
      <c r="N279" s="1"/>
      <c r="O279" s="1"/>
      <c r="P279" s="1"/>
      <c r="Q279" s="1"/>
      <c r="R279" s="1"/>
      <c r="S279" s="1"/>
      <c r="T279" s="1"/>
      <c r="U279" s="2"/>
      <c r="V279" s="1"/>
      <c r="W279" s="1"/>
      <c r="X279" s="1"/>
      <c r="Y279" s="1"/>
      <c r="Z279" s="1"/>
    </row>
    <row r="280" spans="1:26" ht="24.75" customHeight="1">
      <c r="A280" s="1"/>
      <c r="B280" s="1"/>
      <c r="C280" s="1"/>
      <c r="D280" s="1"/>
      <c r="E280" s="1"/>
      <c r="F280" s="1"/>
      <c r="G280" s="1"/>
      <c r="H280" s="1"/>
      <c r="I280" s="1"/>
      <c r="J280" s="1"/>
      <c r="K280" s="1"/>
      <c r="L280" s="1"/>
      <c r="M280" s="1"/>
      <c r="N280" s="1"/>
      <c r="O280" s="1"/>
      <c r="P280" s="1"/>
      <c r="Q280" s="1"/>
      <c r="R280" s="1"/>
      <c r="S280" s="1"/>
      <c r="T280" s="1"/>
      <c r="U280" s="2"/>
      <c r="V280" s="1"/>
      <c r="W280" s="1"/>
      <c r="X280" s="1"/>
      <c r="Y280" s="1"/>
      <c r="Z280" s="1"/>
    </row>
    <row r="281" spans="1:26" ht="24.75" customHeight="1">
      <c r="A281" s="1"/>
      <c r="B281" s="1"/>
      <c r="C281" s="1"/>
      <c r="D281" s="1"/>
      <c r="E281" s="1"/>
      <c r="F281" s="1"/>
      <c r="G281" s="1"/>
      <c r="H281" s="1"/>
      <c r="I281" s="1"/>
      <c r="J281" s="1"/>
      <c r="K281" s="1"/>
      <c r="L281" s="1"/>
      <c r="M281" s="1"/>
      <c r="N281" s="1"/>
      <c r="O281" s="1"/>
      <c r="P281" s="1"/>
      <c r="Q281" s="1"/>
      <c r="R281" s="1"/>
      <c r="S281" s="1"/>
      <c r="T281" s="1"/>
      <c r="U281" s="2"/>
      <c r="V281" s="1"/>
      <c r="W281" s="1"/>
      <c r="X281" s="1"/>
      <c r="Y281" s="1"/>
      <c r="Z281" s="1"/>
    </row>
    <row r="282" spans="1:26" ht="24.75" customHeight="1">
      <c r="A282" s="1"/>
      <c r="B282" s="1"/>
      <c r="C282" s="1"/>
      <c r="D282" s="1"/>
      <c r="E282" s="1"/>
      <c r="F282" s="1"/>
      <c r="G282" s="1"/>
      <c r="H282" s="1"/>
      <c r="I282" s="1"/>
      <c r="J282" s="1"/>
      <c r="K282" s="1"/>
      <c r="L282" s="1"/>
      <c r="M282" s="1"/>
      <c r="N282" s="1"/>
      <c r="O282" s="1"/>
      <c r="P282" s="1"/>
      <c r="Q282" s="1"/>
      <c r="R282" s="1"/>
      <c r="S282" s="1"/>
      <c r="T282" s="1"/>
      <c r="U282" s="2"/>
      <c r="V282" s="1"/>
      <c r="W282" s="1"/>
      <c r="X282" s="1"/>
      <c r="Y282" s="1"/>
      <c r="Z282" s="1"/>
    </row>
    <row r="283" spans="1:26" ht="24.75" customHeight="1">
      <c r="A283" s="1"/>
      <c r="B283" s="1"/>
      <c r="C283" s="1"/>
      <c r="D283" s="1"/>
      <c r="E283" s="1"/>
      <c r="F283" s="1"/>
      <c r="G283" s="1"/>
      <c r="H283" s="1"/>
      <c r="I283" s="1"/>
      <c r="J283" s="1"/>
      <c r="K283" s="1"/>
      <c r="L283" s="1"/>
      <c r="M283" s="1"/>
      <c r="N283" s="1"/>
      <c r="O283" s="1"/>
      <c r="P283" s="1"/>
      <c r="Q283" s="1"/>
      <c r="R283" s="1"/>
      <c r="S283" s="1"/>
      <c r="T283" s="1"/>
      <c r="U283" s="2"/>
      <c r="V283" s="1"/>
      <c r="W283" s="1"/>
      <c r="X283" s="1"/>
      <c r="Y283" s="1"/>
      <c r="Z283" s="1"/>
    </row>
    <row r="284" spans="1:26" ht="24.75" customHeight="1">
      <c r="A284" s="1"/>
      <c r="B284" s="1"/>
      <c r="C284" s="1"/>
      <c r="D284" s="1"/>
      <c r="E284" s="1"/>
      <c r="F284" s="1"/>
      <c r="G284" s="1"/>
      <c r="H284" s="1"/>
      <c r="I284" s="1"/>
      <c r="J284" s="1"/>
      <c r="K284" s="1"/>
      <c r="L284" s="1"/>
      <c r="M284" s="1"/>
      <c r="N284" s="1"/>
      <c r="O284" s="1"/>
      <c r="P284" s="1"/>
      <c r="Q284" s="1"/>
      <c r="R284" s="1"/>
      <c r="S284" s="1"/>
      <c r="T284" s="1"/>
      <c r="U284" s="2"/>
      <c r="V284" s="1"/>
      <c r="W284" s="1"/>
      <c r="X284" s="1"/>
      <c r="Y284" s="1"/>
      <c r="Z284" s="1"/>
    </row>
    <row r="285" spans="1:26" ht="24.75" customHeight="1">
      <c r="A285" s="1"/>
      <c r="B285" s="1"/>
      <c r="C285" s="1"/>
      <c r="D285" s="1"/>
      <c r="E285" s="1"/>
      <c r="F285" s="1"/>
      <c r="G285" s="1"/>
      <c r="H285" s="1"/>
      <c r="I285" s="1"/>
      <c r="J285" s="1"/>
      <c r="K285" s="1"/>
      <c r="L285" s="1"/>
      <c r="M285" s="1"/>
      <c r="N285" s="1"/>
      <c r="O285" s="1"/>
      <c r="P285" s="1"/>
      <c r="Q285" s="1"/>
      <c r="R285" s="1"/>
      <c r="S285" s="1"/>
      <c r="T285" s="1"/>
      <c r="U285" s="2"/>
      <c r="V285" s="1"/>
      <c r="W285" s="1"/>
      <c r="X285" s="1"/>
      <c r="Y285" s="1"/>
      <c r="Z285" s="1"/>
    </row>
    <row r="286" spans="1:26" ht="24.75" customHeight="1">
      <c r="A286" s="1"/>
      <c r="B286" s="1"/>
      <c r="C286" s="1"/>
      <c r="D286" s="1"/>
      <c r="E286" s="1"/>
      <c r="F286" s="1"/>
      <c r="G286" s="1"/>
      <c r="H286" s="1"/>
      <c r="I286" s="1"/>
      <c r="J286" s="1"/>
      <c r="K286" s="1"/>
      <c r="L286" s="1"/>
      <c r="M286" s="1"/>
      <c r="N286" s="1"/>
      <c r="O286" s="1"/>
      <c r="P286" s="1"/>
      <c r="Q286" s="1"/>
      <c r="R286" s="1"/>
      <c r="S286" s="1"/>
      <c r="T286" s="1"/>
      <c r="U286" s="2"/>
      <c r="V286" s="1"/>
      <c r="W286" s="1"/>
      <c r="X286" s="1"/>
      <c r="Y286" s="1"/>
      <c r="Z286" s="1"/>
    </row>
    <row r="287" spans="1:26" ht="24.75" customHeight="1">
      <c r="A287" s="1"/>
      <c r="B287" s="1"/>
      <c r="C287" s="1"/>
      <c r="D287" s="1"/>
      <c r="E287" s="1"/>
      <c r="F287" s="1"/>
      <c r="G287" s="1"/>
      <c r="H287" s="1"/>
      <c r="I287" s="1"/>
      <c r="J287" s="1"/>
      <c r="K287" s="1"/>
      <c r="L287" s="1"/>
      <c r="M287" s="1"/>
      <c r="N287" s="1"/>
      <c r="O287" s="1"/>
      <c r="P287" s="1"/>
      <c r="Q287" s="1"/>
      <c r="R287" s="1"/>
      <c r="S287" s="1"/>
      <c r="T287" s="1"/>
      <c r="U287" s="2"/>
      <c r="V287" s="1"/>
      <c r="W287" s="1"/>
      <c r="X287" s="1"/>
      <c r="Y287" s="1"/>
      <c r="Z287" s="1"/>
    </row>
    <row r="288" spans="1:26" ht="24.75" customHeight="1">
      <c r="A288" s="1"/>
      <c r="B288" s="1"/>
      <c r="C288" s="1"/>
      <c r="D288" s="1"/>
      <c r="E288" s="1"/>
      <c r="F288" s="1"/>
      <c r="G288" s="1"/>
      <c r="H288" s="1"/>
      <c r="I288" s="1"/>
      <c r="J288" s="1"/>
      <c r="K288" s="1"/>
      <c r="L288" s="1"/>
      <c r="M288" s="1"/>
      <c r="N288" s="1"/>
      <c r="O288" s="1"/>
      <c r="P288" s="1"/>
      <c r="Q288" s="1"/>
      <c r="R288" s="1"/>
      <c r="S288" s="1"/>
      <c r="T288" s="1"/>
      <c r="U288" s="2"/>
      <c r="V288" s="1"/>
      <c r="W288" s="1"/>
      <c r="X288" s="1"/>
      <c r="Y288" s="1"/>
      <c r="Z288" s="1"/>
    </row>
    <row r="289" spans="1:26" ht="24.75" customHeight="1">
      <c r="A289" s="1"/>
      <c r="B289" s="1"/>
      <c r="C289" s="1"/>
      <c r="D289" s="1"/>
      <c r="E289" s="1"/>
      <c r="F289" s="1"/>
      <c r="G289" s="1"/>
      <c r="H289" s="1"/>
      <c r="I289" s="1"/>
      <c r="J289" s="1"/>
      <c r="K289" s="1"/>
      <c r="L289" s="1"/>
      <c r="M289" s="1"/>
      <c r="N289" s="1"/>
      <c r="O289" s="1"/>
      <c r="P289" s="1"/>
      <c r="Q289" s="1"/>
      <c r="R289" s="1"/>
      <c r="S289" s="1"/>
      <c r="T289" s="1"/>
      <c r="U289" s="2"/>
      <c r="V289" s="1"/>
      <c r="W289" s="1"/>
      <c r="X289" s="1"/>
      <c r="Y289" s="1"/>
      <c r="Z289" s="1"/>
    </row>
    <row r="290" spans="1:26" ht="24.75" customHeight="1">
      <c r="A290" s="1"/>
      <c r="B290" s="1"/>
      <c r="C290" s="1"/>
      <c r="D290" s="1"/>
      <c r="E290" s="1"/>
      <c r="F290" s="1"/>
      <c r="G290" s="1"/>
      <c r="H290" s="1"/>
      <c r="I290" s="1"/>
      <c r="J290" s="1"/>
      <c r="K290" s="1"/>
      <c r="L290" s="1"/>
      <c r="M290" s="1"/>
      <c r="N290" s="1"/>
      <c r="O290" s="1"/>
      <c r="P290" s="1"/>
      <c r="Q290" s="1"/>
      <c r="R290" s="1"/>
      <c r="S290" s="1"/>
      <c r="T290" s="1"/>
      <c r="U290" s="2"/>
      <c r="V290" s="1"/>
      <c r="W290" s="1"/>
      <c r="X290" s="1"/>
      <c r="Y290" s="1"/>
      <c r="Z290" s="1"/>
    </row>
    <row r="291" spans="1:26" ht="24.75" customHeight="1">
      <c r="A291" s="1"/>
      <c r="B291" s="1"/>
      <c r="C291" s="1"/>
      <c r="D291" s="1"/>
      <c r="E291" s="1"/>
      <c r="F291" s="1"/>
      <c r="G291" s="1"/>
      <c r="H291" s="1"/>
      <c r="I291" s="1"/>
      <c r="J291" s="1"/>
      <c r="K291" s="1"/>
      <c r="L291" s="1"/>
      <c r="M291" s="1"/>
      <c r="N291" s="1"/>
      <c r="O291" s="1"/>
      <c r="P291" s="1"/>
      <c r="Q291" s="1"/>
      <c r="R291" s="1"/>
      <c r="S291" s="1"/>
      <c r="T291" s="1"/>
      <c r="U291" s="2"/>
      <c r="V291" s="1"/>
      <c r="W291" s="1"/>
      <c r="X291" s="1"/>
      <c r="Y291" s="1"/>
      <c r="Z291" s="1"/>
    </row>
    <row r="292" spans="1:26" ht="24.75" customHeight="1">
      <c r="A292" s="1"/>
      <c r="B292" s="1"/>
      <c r="C292" s="1"/>
      <c r="D292" s="1"/>
      <c r="E292" s="1"/>
      <c r="F292" s="1"/>
      <c r="G292" s="1"/>
      <c r="H292" s="1"/>
      <c r="I292" s="1"/>
      <c r="J292" s="1"/>
      <c r="K292" s="1"/>
      <c r="L292" s="1"/>
      <c r="M292" s="1"/>
      <c r="N292" s="1"/>
      <c r="O292" s="1"/>
      <c r="P292" s="1"/>
      <c r="Q292" s="1"/>
      <c r="R292" s="1"/>
      <c r="S292" s="1"/>
      <c r="T292" s="1"/>
      <c r="U292" s="2"/>
      <c r="V292" s="1"/>
      <c r="W292" s="1"/>
      <c r="X292" s="1"/>
      <c r="Y292" s="1"/>
      <c r="Z292" s="1"/>
    </row>
    <row r="293" spans="1:26" ht="24.75" customHeight="1">
      <c r="A293" s="1"/>
      <c r="B293" s="1"/>
      <c r="C293" s="1"/>
      <c r="D293" s="1"/>
      <c r="E293" s="1"/>
      <c r="F293" s="1"/>
      <c r="G293" s="1"/>
      <c r="H293" s="1"/>
      <c r="I293" s="1"/>
      <c r="J293" s="1"/>
      <c r="K293" s="1"/>
      <c r="L293" s="1"/>
      <c r="M293" s="1"/>
      <c r="N293" s="1"/>
      <c r="O293" s="1"/>
      <c r="P293" s="1"/>
      <c r="Q293" s="1"/>
      <c r="R293" s="1"/>
      <c r="S293" s="1"/>
      <c r="T293" s="1"/>
      <c r="U293" s="2"/>
      <c r="V293" s="1"/>
      <c r="W293" s="1"/>
      <c r="X293" s="1"/>
      <c r="Y293" s="1"/>
      <c r="Z293" s="1"/>
    </row>
    <row r="294" spans="1:26" ht="24.75" customHeight="1">
      <c r="A294" s="1"/>
      <c r="B294" s="1"/>
      <c r="C294" s="1"/>
      <c r="D294" s="1"/>
      <c r="E294" s="1"/>
      <c r="F294" s="1"/>
      <c r="G294" s="1"/>
      <c r="H294" s="1"/>
      <c r="I294" s="1"/>
      <c r="J294" s="1"/>
      <c r="K294" s="1"/>
      <c r="L294" s="1"/>
      <c r="M294" s="1"/>
      <c r="N294" s="1"/>
      <c r="O294" s="1"/>
      <c r="P294" s="1"/>
      <c r="Q294" s="1"/>
      <c r="R294" s="1"/>
      <c r="S294" s="1"/>
      <c r="T294" s="1"/>
      <c r="U294" s="2"/>
      <c r="V294" s="1"/>
      <c r="W294" s="1"/>
      <c r="X294" s="1"/>
      <c r="Y294" s="1"/>
      <c r="Z294" s="1"/>
    </row>
    <row r="295" spans="1:26" ht="24.75" customHeight="1">
      <c r="A295" s="1"/>
      <c r="B295" s="1"/>
      <c r="C295" s="1"/>
      <c r="D295" s="1"/>
      <c r="E295" s="1"/>
      <c r="F295" s="1"/>
      <c r="G295" s="1"/>
      <c r="H295" s="1"/>
      <c r="I295" s="1"/>
      <c r="J295" s="1"/>
      <c r="K295" s="1"/>
      <c r="L295" s="1"/>
      <c r="M295" s="1"/>
      <c r="N295" s="1"/>
      <c r="O295" s="1"/>
      <c r="P295" s="1"/>
      <c r="Q295" s="1"/>
      <c r="R295" s="1"/>
      <c r="S295" s="1"/>
      <c r="T295" s="1"/>
      <c r="U295" s="2"/>
      <c r="V295" s="1"/>
      <c r="W295" s="1"/>
      <c r="X295" s="1"/>
      <c r="Y295" s="1"/>
      <c r="Z295" s="1"/>
    </row>
    <row r="296" spans="1:26" ht="24.75" customHeight="1">
      <c r="A296" s="1"/>
      <c r="B296" s="1"/>
      <c r="C296" s="1"/>
      <c r="D296" s="1"/>
      <c r="E296" s="1"/>
      <c r="F296" s="1"/>
      <c r="G296" s="1"/>
      <c r="H296" s="1"/>
      <c r="I296" s="1"/>
      <c r="J296" s="1"/>
      <c r="K296" s="1"/>
      <c r="L296" s="1"/>
      <c r="M296" s="1"/>
      <c r="N296" s="1"/>
      <c r="O296" s="1"/>
      <c r="P296" s="1"/>
      <c r="Q296" s="1"/>
      <c r="R296" s="1"/>
      <c r="S296" s="1"/>
      <c r="T296" s="1"/>
      <c r="U296" s="2"/>
      <c r="V296" s="1"/>
      <c r="W296" s="1"/>
      <c r="X296" s="1"/>
      <c r="Y296" s="1"/>
      <c r="Z296" s="1"/>
    </row>
    <row r="297" spans="1:26" ht="24.75" customHeight="1">
      <c r="A297" s="1"/>
      <c r="B297" s="1"/>
      <c r="C297" s="1"/>
      <c r="D297" s="1"/>
      <c r="E297" s="1"/>
      <c r="F297" s="1"/>
      <c r="G297" s="1"/>
      <c r="H297" s="1"/>
      <c r="I297" s="1"/>
      <c r="J297" s="1"/>
      <c r="K297" s="1"/>
      <c r="L297" s="1"/>
      <c r="M297" s="1"/>
      <c r="N297" s="1"/>
      <c r="O297" s="1"/>
      <c r="P297" s="1"/>
      <c r="Q297" s="1"/>
      <c r="R297" s="1"/>
      <c r="S297" s="1"/>
      <c r="T297" s="1"/>
      <c r="U297" s="2"/>
      <c r="V297" s="1"/>
      <c r="W297" s="1"/>
      <c r="X297" s="1"/>
      <c r="Y297" s="1"/>
      <c r="Z297" s="1"/>
    </row>
    <row r="298" spans="1:26" ht="24.75" customHeight="1">
      <c r="A298" s="1"/>
      <c r="B298" s="1"/>
      <c r="C298" s="1"/>
      <c r="D298" s="1"/>
      <c r="E298" s="1"/>
      <c r="F298" s="1"/>
      <c r="G298" s="1"/>
      <c r="H298" s="1"/>
      <c r="I298" s="1"/>
      <c r="J298" s="1"/>
      <c r="K298" s="1"/>
      <c r="L298" s="1"/>
      <c r="M298" s="1"/>
      <c r="N298" s="1"/>
      <c r="O298" s="1"/>
      <c r="P298" s="1"/>
      <c r="Q298" s="1"/>
      <c r="R298" s="1"/>
      <c r="S298" s="1"/>
      <c r="T298" s="1"/>
      <c r="U298" s="2"/>
      <c r="V298" s="1"/>
      <c r="W298" s="1"/>
      <c r="X298" s="1"/>
      <c r="Y298" s="1"/>
      <c r="Z298" s="1"/>
    </row>
    <row r="299" spans="1:26" ht="24.75" customHeight="1">
      <c r="A299" s="1"/>
      <c r="B299" s="1"/>
      <c r="C299" s="1"/>
      <c r="D299" s="1"/>
      <c r="E299" s="1"/>
      <c r="F299" s="1"/>
      <c r="G299" s="1"/>
      <c r="H299" s="1"/>
      <c r="I299" s="1"/>
      <c r="J299" s="1"/>
      <c r="K299" s="1"/>
      <c r="L299" s="1"/>
      <c r="M299" s="1"/>
      <c r="N299" s="1"/>
      <c r="O299" s="1"/>
      <c r="P299" s="1"/>
      <c r="Q299" s="1"/>
      <c r="R299" s="1"/>
      <c r="S299" s="1"/>
      <c r="T299" s="1"/>
      <c r="U299" s="2"/>
      <c r="V299" s="1"/>
      <c r="W299" s="1"/>
      <c r="X299" s="1"/>
      <c r="Y299" s="1"/>
      <c r="Z299" s="1"/>
    </row>
    <row r="300" spans="1:26" ht="24.75" customHeight="1">
      <c r="A300" s="1"/>
      <c r="B300" s="1"/>
      <c r="C300" s="1"/>
      <c r="D300" s="1"/>
      <c r="E300" s="1"/>
      <c r="F300" s="1"/>
      <c r="G300" s="1"/>
      <c r="H300" s="1"/>
      <c r="I300" s="1"/>
      <c r="J300" s="1"/>
      <c r="K300" s="1"/>
      <c r="L300" s="1"/>
      <c r="M300" s="1"/>
      <c r="N300" s="1"/>
      <c r="O300" s="1"/>
      <c r="P300" s="1"/>
      <c r="Q300" s="1"/>
      <c r="R300" s="1"/>
      <c r="S300" s="1"/>
      <c r="T300" s="1"/>
      <c r="U300" s="2"/>
      <c r="V300" s="1"/>
      <c r="W300" s="1"/>
      <c r="X300" s="1"/>
      <c r="Y300" s="1"/>
      <c r="Z300" s="1"/>
    </row>
    <row r="301" spans="1:26" ht="24.75" customHeight="1">
      <c r="A301" s="1"/>
      <c r="B301" s="1"/>
      <c r="C301" s="1"/>
      <c r="D301" s="1"/>
      <c r="E301" s="1"/>
      <c r="F301" s="1"/>
      <c r="G301" s="1"/>
      <c r="H301" s="1"/>
      <c r="I301" s="1"/>
      <c r="J301" s="1"/>
      <c r="K301" s="1"/>
      <c r="L301" s="1"/>
      <c r="M301" s="1"/>
      <c r="N301" s="1"/>
      <c r="O301" s="1"/>
      <c r="P301" s="1"/>
      <c r="Q301" s="1"/>
      <c r="R301" s="1"/>
      <c r="S301" s="1"/>
      <c r="T301" s="1"/>
      <c r="U301" s="2"/>
      <c r="V301" s="1"/>
      <c r="W301" s="1"/>
      <c r="X301" s="1"/>
      <c r="Y301" s="1"/>
      <c r="Z301" s="1"/>
    </row>
    <row r="302" spans="1:26" ht="24.75" customHeight="1">
      <c r="A302" s="1"/>
      <c r="B302" s="1"/>
      <c r="C302" s="1"/>
      <c r="D302" s="1"/>
      <c r="E302" s="1"/>
      <c r="F302" s="1"/>
      <c r="G302" s="1"/>
      <c r="H302" s="1"/>
      <c r="I302" s="1"/>
      <c r="J302" s="1"/>
      <c r="K302" s="1"/>
      <c r="L302" s="1"/>
      <c r="M302" s="1"/>
      <c r="N302" s="1"/>
      <c r="O302" s="1"/>
      <c r="P302" s="1"/>
      <c r="Q302" s="1"/>
      <c r="R302" s="1"/>
      <c r="S302" s="1"/>
      <c r="T302" s="1"/>
      <c r="U302" s="2"/>
      <c r="V302" s="1"/>
      <c r="W302" s="1"/>
      <c r="X302" s="1"/>
      <c r="Y302" s="1"/>
      <c r="Z302" s="1"/>
    </row>
    <row r="303" spans="1:26" ht="24.75" customHeight="1">
      <c r="A303" s="1"/>
      <c r="B303" s="1"/>
      <c r="C303" s="1"/>
      <c r="D303" s="1"/>
      <c r="E303" s="1"/>
      <c r="F303" s="1"/>
      <c r="G303" s="1"/>
      <c r="H303" s="1"/>
      <c r="I303" s="1"/>
      <c r="J303" s="1"/>
      <c r="K303" s="1"/>
      <c r="L303" s="1"/>
      <c r="M303" s="1"/>
      <c r="N303" s="1"/>
      <c r="O303" s="1"/>
      <c r="P303" s="1"/>
      <c r="Q303" s="1"/>
      <c r="R303" s="1"/>
      <c r="S303" s="1"/>
      <c r="T303" s="1"/>
      <c r="U303" s="2"/>
      <c r="V303" s="1"/>
      <c r="W303" s="1"/>
      <c r="X303" s="1"/>
      <c r="Y303" s="1"/>
      <c r="Z303" s="1"/>
    </row>
    <row r="304" spans="1:26" ht="24.75" customHeight="1">
      <c r="A304" s="1"/>
      <c r="B304" s="1"/>
      <c r="C304" s="1"/>
      <c r="D304" s="1"/>
      <c r="E304" s="1"/>
      <c r="F304" s="1"/>
      <c r="G304" s="1"/>
      <c r="H304" s="1"/>
      <c r="I304" s="1"/>
      <c r="J304" s="1"/>
      <c r="K304" s="1"/>
      <c r="L304" s="1"/>
      <c r="M304" s="1"/>
      <c r="N304" s="1"/>
      <c r="O304" s="1"/>
      <c r="P304" s="1"/>
      <c r="Q304" s="1"/>
      <c r="R304" s="1"/>
      <c r="S304" s="1"/>
      <c r="T304" s="1"/>
      <c r="U304" s="2"/>
      <c r="V304" s="1"/>
      <c r="W304" s="1"/>
      <c r="X304" s="1"/>
      <c r="Y304" s="1"/>
      <c r="Z304" s="1"/>
    </row>
    <row r="305" spans="1:26" ht="24.75" customHeight="1">
      <c r="A305" s="1"/>
      <c r="B305" s="1"/>
      <c r="C305" s="1"/>
      <c r="D305" s="1"/>
      <c r="E305" s="1"/>
      <c r="F305" s="1"/>
      <c r="G305" s="1"/>
      <c r="H305" s="1"/>
      <c r="I305" s="1"/>
      <c r="J305" s="1"/>
      <c r="K305" s="1"/>
      <c r="L305" s="1"/>
      <c r="M305" s="1"/>
      <c r="N305" s="1"/>
      <c r="O305" s="1"/>
      <c r="P305" s="1"/>
      <c r="Q305" s="1"/>
      <c r="R305" s="1"/>
      <c r="S305" s="1"/>
      <c r="T305" s="1"/>
      <c r="U305" s="2"/>
      <c r="V305" s="1"/>
      <c r="W305" s="1"/>
      <c r="X305" s="1"/>
      <c r="Y305" s="1"/>
      <c r="Z305" s="1"/>
    </row>
    <row r="306" spans="1:26" ht="24.75" customHeight="1">
      <c r="A306" s="1"/>
      <c r="B306" s="1"/>
      <c r="C306" s="1"/>
      <c r="D306" s="1"/>
      <c r="E306" s="1"/>
      <c r="F306" s="1"/>
      <c r="G306" s="1"/>
      <c r="H306" s="1"/>
      <c r="I306" s="1"/>
      <c r="J306" s="1"/>
      <c r="K306" s="1"/>
      <c r="L306" s="1"/>
      <c r="M306" s="1"/>
      <c r="N306" s="1"/>
      <c r="O306" s="1"/>
      <c r="P306" s="1"/>
      <c r="Q306" s="1"/>
      <c r="R306" s="1"/>
      <c r="S306" s="1"/>
      <c r="T306" s="1"/>
      <c r="U306" s="2"/>
      <c r="V306" s="1"/>
      <c r="W306" s="1"/>
      <c r="X306" s="1"/>
      <c r="Y306" s="1"/>
      <c r="Z306" s="1"/>
    </row>
    <row r="307" spans="1:26" ht="24.75" customHeight="1">
      <c r="A307" s="1"/>
      <c r="B307" s="1"/>
      <c r="C307" s="1"/>
      <c r="D307" s="1"/>
      <c r="E307" s="1"/>
      <c r="F307" s="1"/>
      <c r="G307" s="1"/>
      <c r="H307" s="1"/>
      <c r="I307" s="1"/>
      <c r="J307" s="1"/>
      <c r="K307" s="1"/>
      <c r="L307" s="1"/>
      <c r="M307" s="1"/>
      <c r="N307" s="1"/>
      <c r="O307" s="1"/>
      <c r="P307" s="1"/>
      <c r="Q307" s="1"/>
      <c r="R307" s="1"/>
      <c r="S307" s="1"/>
      <c r="T307" s="1"/>
      <c r="U307" s="2"/>
      <c r="V307" s="1"/>
      <c r="W307" s="1"/>
      <c r="X307" s="1"/>
      <c r="Y307" s="1"/>
      <c r="Z307" s="1"/>
    </row>
    <row r="308" spans="1:26" ht="24.75" customHeight="1">
      <c r="A308" s="1"/>
      <c r="B308" s="1"/>
      <c r="C308" s="1"/>
      <c r="D308" s="1"/>
      <c r="E308" s="1"/>
      <c r="F308" s="1"/>
      <c r="G308" s="1"/>
      <c r="H308" s="1"/>
      <c r="I308" s="1"/>
      <c r="J308" s="1"/>
      <c r="K308" s="1"/>
      <c r="L308" s="1"/>
      <c r="M308" s="1"/>
      <c r="N308" s="1"/>
      <c r="O308" s="1"/>
      <c r="P308" s="1"/>
      <c r="Q308" s="1"/>
      <c r="R308" s="1"/>
      <c r="S308" s="1"/>
      <c r="T308" s="1"/>
      <c r="U308" s="2"/>
      <c r="V308" s="1"/>
      <c r="W308" s="1"/>
      <c r="X308" s="1"/>
      <c r="Y308" s="1"/>
      <c r="Z308" s="1"/>
    </row>
    <row r="309" spans="1:26" ht="24.75" customHeight="1">
      <c r="A309" s="1"/>
      <c r="B309" s="1"/>
      <c r="C309" s="1"/>
      <c r="D309" s="1"/>
      <c r="E309" s="1"/>
      <c r="F309" s="1"/>
      <c r="G309" s="1"/>
      <c r="H309" s="1"/>
      <c r="I309" s="1"/>
      <c r="J309" s="1"/>
      <c r="K309" s="1"/>
      <c r="L309" s="1"/>
      <c r="M309" s="1"/>
      <c r="N309" s="1"/>
      <c r="O309" s="1"/>
      <c r="P309" s="1"/>
      <c r="Q309" s="1"/>
      <c r="R309" s="1"/>
      <c r="S309" s="1"/>
      <c r="T309" s="1"/>
      <c r="U309" s="2"/>
      <c r="V309" s="1"/>
      <c r="W309" s="1"/>
      <c r="X309" s="1"/>
      <c r="Y309" s="1"/>
      <c r="Z309" s="1"/>
    </row>
    <row r="310" spans="1:26" ht="24.75" customHeight="1">
      <c r="A310" s="1"/>
      <c r="B310" s="1"/>
      <c r="C310" s="1"/>
      <c r="D310" s="1"/>
      <c r="E310" s="1"/>
      <c r="F310" s="1"/>
      <c r="G310" s="1"/>
      <c r="H310" s="1"/>
      <c r="I310" s="1"/>
      <c r="J310" s="1"/>
      <c r="K310" s="1"/>
      <c r="L310" s="1"/>
      <c r="M310" s="1"/>
      <c r="N310" s="1"/>
      <c r="O310" s="1"/>
      <c r="P310" s="1"/>
      <c r="Q310" s="1"/>
      <c r="R310" s="1"/>
      <c r="S310" s="1"/>
      <c r="T310" s="1"/>
      <c r="U310" s="2"/>
      <c r="V310" s="1"/>
      <c r="W310" s="1"/>
      <c r="X310" s="1"/>
      <c r="Y310" s="1"/>
      <c r="Z310" s="1"/>
    </row>
    <row r="311" spans="1:26" ht="24.75" customHeight="1">
      <c r="A311" s="1"/>
      <c r="B311" s="1"/>
      <c r="C311" s="1"/>
      <c r="D311" s="1"/>
      <c r="E311" s="1"/>
      <c r="F311" s="1"/>
      <c r="G311" s="1"/>
      <c r="H311" s="1"/>
      <c r="I311" s="1"/>
      <c r="J311" s="1"/>
      <c r="K311" s="1"/>
      <c r="L311" s="1"/>
      <c r="M311" s="1"/>
      <c r="N311" s="1"/>
      <c r="O311" s="1"/>
      <c r="P311" s="1"/>
      <c r="Q311" s="1"/>
      <c r="R311" s="1"/>
      <c r="S311" s="1"/>
      <c r="T311" s="1"/>
      <c r="U311" s="2"/>
      <c r="V311" s="1"/>
      <c r="W311" s="1"/>
      <c r="X311" s="1"/>
      <c r="Y311" s="1"/>
      <c r="Z311" s="1"/>
    </row>
    <row r="312" spans="1:26" ht="24.75" customHeight="1">
      <c r="A312" s="1"/>
      <c r="B312" s="1"/>
      <c r="C312" s="1"/>
      <c r="D312" s="1"/>
      <c r="E312" s="1"/>
      <c r="F312" s="1"/>
      <c r="G312" s="1"/>
      <c r="H312" s="1"/>
      <c r="I312" s="1"/>
      <c r="J312" s="1"/>
      <c r="K312" s="1"/>
      <c r="L312" s="1"/>
      <c r="M312" s="1"/>
      <c r="N312" s="1"/>
      <c r="O312" s="1"/>
      <c r="P312" s="1"/>
      <c r="Q312" s="1"/>
      <c r="R312" s="1"/>
      <c r="S312" s="1"/>
      <c r="T312" s="1"/>
      <c r="U312" s="2"/>
      <c r="V312" s="1"/>
      <c r="W312" s="1"/>
      <c r="X312" s="1"/>
      <c r="Y312" s="1"/>
      <c r="Z312" s="1"/>
    </row>
    <row r="313" spans="1:26" ht="24.75" customHeight="1">
      <c r="A313" s="1"/>
      <c r="B313" s="1"/>
      <c r="C313" s="1"/>
      <c r="D313" s="1"/>
      <c r="E313" s="1"/>
      <c r="F313" s="1"/>
      <c r="G313" s="1"/>
      <c r="H313" s="1"/>
      <c r="I313" s="1"/>
      <c r="J313" s="1"/>
      <c r="K313" s="1"/>
      <c r="L313" s="1"/>
      <c r="M313" s="1"/>
      <c r="N313" s="1"/>
      <c r="O313" s="1"/>
      <c r="P313" s="1"/>
      <c r="Q313" s="1"/>
      <c r="R313" s="1"/>
      <c r="S313" s="1"/>
      <c r="T313" s="1"/>
      <c r="U313" s="2"/>
      <c r="V313" s="1"/>
      <c r="W313" s="1"/>
      <c r="X313" s="1"/>
      <c r="Y313" s="1"/>
      <c r="Z313" s="1"/>
    </row>
    <row r="314" spans="1:26" ht="24.75" customHeight="1">
      <c r="A314" s="1"/>
      <c r="B314" s="1"/>
      <c r="C314" s="1"/>
      <c r="D314" s="1"/>
      <c r="E314" s="1"/>
      <c r="F314" s="1"/>
      <c r="G314" s="1"/>
      <c r="H314" s="1"/>
      <c r="I314" s="1"/>
      <c r="J314" s="1"/>
      <c r="K314" s="1"/>
      <c r="L314" s="1"/>
      <c r="M314" s="1"/>
      <c r="N314" s="1"/>
      <c r="O314" s="1"/>
      <c r="P314" s="1"/>
      <c r="Q314" s="1"/>
      <c r="R314" s="1"/>
      <c r="S314" s="1"/>
      <c r="T314" s="1"/>
      <c r="U314" s="2"/>
      <c r="V314" s="1"/>
      <c r="W314" s="1"/>
      <c r="X314" s="1"/>
      <c r="Y314" s="1"/>
      <c r="Z314" s="1"/>
    </row>
    <row r="315" spans="1:26" ht="24.75" customHeight="1">
      <c r="A315" s="1"/>
      <c r="B315" s="1"/>
      <c r="C315" s="1"/>
      <c r="D315" s="1"/>
      <c r="E315" s="1"/>
      <c r="F315" s="1"/>
      <c r="G315" s="1"/>
      <c r="H315" s="1"/>
      <c r="I315" s="1"/>
      <c r="J315" s="1"/>
      <c r="K315" s="1"/>
      <c r="L315" s="1"/>
      <c r="M315" s="1"/>
      <c r="N315" s="1"/>
      <c r="O315" s="1"/>
      <c r="P315" s="1"/>
      <c r="Q315" s="1"/>
      <c r="R315" s="1"/>
      <c r="S315" s="1"/>
      <c r="T315" s="1"/>
      <c r="U315" s="2"/>
      <c r="V315" s="1"/>
      <c r="W315" s="1"/>
      <c r="X315" s="1"/>
      <c r="Y315" s="1"/>
      <c r="Z315" s="1"/>
    </row>
    <row r="316" spans="1:26" ht="24.75" customHeight="1">
      <c r="A316" s="1"/>
      <c r="B316" s="1"/>
      <c r="C316" s="1"/>
      <c r="D316" s="1"/>
      <c r="E316" s="1"/>
      <c r="F316" s="1"/>
      <c r="G316" s="1"/>
      <c r="H316" s="1"/>
      <c r="I316" s="1"/>
      <c r="J316" s="1"/>
      <c r="K316" s="1"/>
      <c r="L316" s="1"/>
      <c r="M316" s="1"/>
      <c r="N316" s="1"/>
      <c r="O316" s="1"/>
      <c r="P316" s="1"/>
      <c r="Q316" s="1"/>
      <c r="R316" s="1"/>
      <c r="S316" s="1"/>
      <c r="T316" s="1"/>
      <c r="U316" s="2"/>
      <c r="V316" s="1"/>
      <c r="W316" s="1"/>
      <c r="X316" s="1"/>
      <c r="Y316" s="1"/>
      <c r="Z316" s="1"/>
    </row>
    <row r="317" spans="1:26" ht="24.75" customHeight="1">
      <c r="A317" s="1"/>
      <c r="B317" s="1"/>
      <c r="C317" s="1"/>
      <c r="D317" s="1"/>
      <c r="E317" s="1"/>
      <c r="F317" s="1"/>
      <c r="G317" s="1"/>
      <c r="H317" s="1"/>
      <c r="I317" s="1"/>
      <c r="J317" s="1"/>
      <c r="K317" s="1"/>
      <c r="L317" s="1"/>
      <c r="M317" s="1"/>
      <c r="N317" s="1"/>
      <c r="O317" s="1"/>
      <c r="P317" s="1"/>
      <c r="Q317" s="1"/>
      <c r="R317" s="1"/>
      <c r="S317" s="1"/>
      <c r="T317" s="1"/>
      <c r="U317" s="2"/>
      <c r="V317" s="1"/>
      <c r="W317" s="1"/>
      <c r="X317" s="1"/>
      <c r="Y317" s="1"/>
      <c r="Z317" s="1"/>
    </row>
    <row r="318" spans="1:26" ht="24.75" customHeight="1">
      <c r="A318" s="1"/>
      <c r="B318" s="1"/>
      <c r="C318" s="1"/>
      <c r="D318" s="1"/>
      <c r="E318" s="1"/>
      <c r="F318" s="1"/>
      <c r="G318" s="1"/>
      <c r="H318" s="1"/>
      <c r="I318" s="1"/>
      <c r="J318" s="1"/>
      <c r="K318" s="1"/>
      <c r="L318" s="1"/>
      <c r="M318" s="1"/>
      <c r="N318" s="1"/>
      <c r="O318" s="1"/>
      <c r="P318" s="1"/>
      <c r="Q318" s="1"/>
      <c r="R318" s="1"/>
      <c r="S318" s="1"/>
      <c r="T318" s="1"/>
      <c r="U318" s="2"/>
      <c r="V318" s="1"/>
      <c r="W318" s="1"/>
      <c r="X318" s="1"/>
      <c r="Y318" s="1"/>
      <c r="Z318" s="1"/>
    </row>
    <row r="319" spans="1:26" ht="24.75" customHeight="1">
      <c r="A319" s="1"/>
      <c r="B319" s="1"/>
      <c r="C319" s="1"/>
      <c r="D319" s="1"/>
      <c r="E319" s="1"/>
      <c r="F319" s="1"/>
      <c r="G319" s="1"/>
      <c r="H319" s="1"/>
      <c r="I319" s="1"/>
      <c r="J319" s="1"/>
      <c r="K319" s="1"/>
      <c r="L319" s="1"/>
      <c r="M319" s="1"/>
      <c r="N319" s="1"/>
      <c r="O319" s="1"/>
      <c r="P319" s="1"/>
      <c r="Q319" s="1"/>
      <c r="R319" s="1"/>
      <c r="S319" s="1"/>
      <c r="T319" s="1"/>
      <c r="U319" s="2"/>
      <c r="V319" s="1"/>
      <c r="W319" s="1"/>
      <c r="X319" s="1"/>
      <c r="Y319" s="1"/>
      <c r="Z319" s="1"/>
    </row>
    <row r="320" spans="1:26" ht="24.75" customHeight="1">
      <c r="A320" s="1"/>
      <c r="B320" s="1"/>
      <c r="C320" s="1"/>
      <c r="D320" s="1"/>
      <c r="E320" s="1"/>
      <c r="F320" s="1"/>
      <c r="G320" s="1"/>
      <c r="H320" s="1"/>
      <c r="I320" s="1"/>
      <c r="J320" s="1"/>
      <c r="K320" s="1"/>
      <c r="L320" s="1"/>
      <c r="M320" s="1"/>
      <c r="N320" s="1"/>
      <c r="O320" s="1"/>
      <c r="P320" s="1"/>
      <c r="Q320" s="1"/>
      <c r="R320" s="1"/>
      <c r="S320" s="1"/>
      <c r="T320" s="1"/>
      <c r="U320" s="2"/>
      <c r="V320" s="1"/>
      <c r="W320" s="1"/>
      <c r="X320" s="1"/>
      <c r="Y320" s="1"/>
      <c r="Z320" s="1"/>
    </row>
    <row r="321" spans="1:26" ht="24.75" customHeight="1">
      <c r="A321" s="1"/>
      <c r="B321" s="1"/>
      <c r="C321" s="1"/>
      <c r="D321" s="1"/>
      <c r="E321" s="1"/>
      <c r="F321" s="1"/>
      <c r="G321" s="1"/>
      <c r="H321" s="1"/>
      <c r="I321" s="1"/>
      <c r="J321" s="1"/>
      <c r="K321" s="1"/>
      <c r="L321" s="1"/>
      <c r="M321" s="1"/>
      <c r="N321" s="1"/>
      <c r="O321" s="1"/>
      <c r="P321" s="1"/>
      <c r="Q321" s="1"/>
      <c r="R321" s="1"/>
      <c r="S321" s="1"/>
      <c r="T321" s="1"/>
      <c r="U321" s="2"/>
      <c r="V321" s="1"/>
      <c r="W321" s="1"/>
      <c r="X321" s="1"/>
      <c r="Y321" s="1"/>
      <c r="Z321" s="1"/>
    </row>
    <row r="322" spans="1:26" ht="24.75" customHeight="1">
      <c r="A322" s="1"/>
      <c r="B322" s="1"/>
      <c r="C322" s="1"/>
      <c r="D322" s="1"/>
      <c r="E322" s="1"/>
      <c r="F322" s="1"/>
      <c r="G322" s="1"/>
      <c r="H322" s="1"/>
      <c r="I322" s="1"/>
      <c r="J322" s="1"/>
      <c r="K322" s="1"/>
      <c r="L322" s="1"/>
      <c r="M322" s="1"/>
      <c r="N322" s="1"/>
      <c r="O322" s="1"/>
      <c r="P322" s="1"/>
      <c r="Q322" s="1"/>
      <c r="R322" s="1"/>
      <c r="S322" s="1"/>
      <c r="T322" s="1"/>
      <c r="U322" s="2"/>
      <c r="V322" s="1"/>
      <c r="W322" s="1"/>
      <c r="X322" s="1"/>
      <c r="Y322" s="1"/>
      <c r="Z322" s="1"/>
    </row>
    <row r="323" spans="1:26" ht="24.75" customHeight="1">
      <c r="A323" s="1"/>
      <c r="B323" s="1"/>
      <c r="C323" s="1"/>
      <c r="D323" s="1"/>
      <c r="E323" s="1"/>
      <c r="F323" s="1"/>
      <c r="G323" s="1"/>
      <c r="H323" s="1"/>
      <c r="I323" s="1"/>
      <c r="J323" s="1"/>
      <c r="K323" s="1"/>
      <c r="L323" s="1"/>
      <c r="M323" s="1"/>
      <c r="N323" s="1"/>
      <c r="O323" s="1"/>
      <c r="P323" s="1"/>
      <c r="Q323" s="1"/>
      <c r="R323" s="1"/>
      <c r="S323" s="1"/>
      <c r="T323" s="1"/>
      <c r="U323" s="2"/>
      <c r="V323" s="1"/>
      <c r="W323" s="1"/>
      <c r="X323" s="1"/>
      <c r="Y323" s="1"/>
      <c r="Z323" s="1"/>
    </row>
    <row r="324" spans="1:26" ht="24.75" customHeight="1">
      <c r="A324" s="1"/>
      <c r="B324" s="1"/>
      <c r="C324" s="1"/>
      <c r="D324" s="1"/>
      <c r="E324" s="1"/>
      <c r="F324" s="1"/>
      <c r="G324" s="1"/>
      <c r="H324" s="1"/>
      <c r="I324" s="1"/>
      <c r="J324" s="1"/>
      <c r="K324" s="1"/>
      <c r="L324" s="1"/>
      <c r="M324" s="1"/>
      <c r="N324" s="1"/>
      <c r="O324" s="1"/>
      <c r="P324" s="1"/>
      <c r="Q324" s="1"/>
      <c r="R324" s="1"/>
      <c r="S324" s="1"/>
      <c r="T324" s="1"/>
      <c r="U324" s="2"/>
      <c r="V324" s="1"/>
      <c r="W324" s="1"/>
      <c r="X324" s="1"/>
      <c r="Y324" s="1"/>
      <c r="Z324" s="1"/>
    </row>
    <row r="325" spans="1:26" ht="24.75" customHeight="1">
      <c r="A325" s="1"/>
      <c r="B325" s="1"/>
      <c r="C325" s="1"/>
      <c r="D325" s="1"/>
      <c r="E325" s="1"/>
      <c r="F325" s="1"/>
      <c r="G325" s="1"/>
      <c r="H325" s="1"/>
      <c r="I325" s="1"/>
      <c r="J325" s="1"/>
      <c r="K325" s="1"/>
      <c r="L325" s="1"/>
      <c r="M325" s="1"/>
      <c r="N325" s="1"/>
      <c r="O325" s="1"/>
      <c r="P325" s="1"/>
      <c r="Q325" s="1"/>
      <c r="R325" s="1"/>
      <c r="S325" s="1"/>
      <c r="T325" s="1"/>
      <c r="U325" s="2"/>
      <c r="V325" s="1"/>
      <c r="W325" s="1"/>
      <c r="X325" s="1"/>
      <c r="Y325" s="1"/>
      <c r="Z325" s="1"/>
    </row>
    <row r="326" spans="1:26" ht="24.75" customHeight="1">
      <c r="A326" s="1"/>
      <c r="B326" s="1"/>
      <c r="C326" s="1"/>
      <c r="D326" s="1"/>
      <c r="E326" s="1"/>
      <c r="F326" s="1"/>
      <c r="G326" s="1"/>
      <c r="H326" s="1"/>
      <c r="I326" s="1"/>
      <c r="J326" s="1"/>
      <c r="K326" s="1"/>
      <c r="L326" s="1"/>
      <c r="M326" s="1"/>
      <c r="N326" s="1"/>
      <c r="O326" s="1"/>
      <c r="P326" s="1"/>
      <c r="Q326" s="1"/>
      <c r="R326" s="1"/>
      <c r="S326" s="1"/>
      <c r="T326" s="1"/>
      <c r="U326" s="2"/>
      <c r="V326" s="1"/>
      <c r="W326" s="1"/>
      <c r="X326" s="1"/>
      <c r="Y326" s="1"/>
      <c r="Z326" s="1"/>
    </row>
    <row r="327" spans="1:26" ht="24.75" customHeight="1">
      <c r="A327" s="1"/>
      <c r="B327" s="1"/>
      <c r="C327" s="1"/>
      <c r="D327" s="1"/>
      <c r="E327" s="1"/>
      <c r="F327" s="1"/>
      <c r="G327" s="1"/>
      <c r="H327" s="1"/>
      <c r="I327" s="1"/>
      <c r="J327" s="1"/>
      <c r="K327" s="1"/>
      <c r="L327" s="1"/>
      <c r="M327" s="1"/>
      <c r="N327" s="1"/>
      <c r="O327" s="1"/>
      <c r="P327" s="1"/>
      <c r="Q327" s="1"/>
      <c r="R327" s="1"/>
      <c r="S327" s="1"/>
      <c r="T327" s="1"/>
      <c r="U327" s="2"/>
      <c r="V327" s="1"/>
      <c r="W327" s="1"/>
      <c r="X327" s="1"/>
      <c r="Y327" s="1"/>
      <c r="Z327" s="1"/>
    </row>
    <row r="328" spans="1:26" ht="24.75" customHeight="1">
      <c r="A328" s="1"/>
      <c r="B328" s="1"/>
      <c r="C328" s="1"/>
      <c r="D328" s="1"/>
      <c r="E328" s="1"/>
      <c r="F328" s="1"/>
      <c r="G328" s="1"/>
      <c r="H328" s="1"/>
      <c r="I328" s="1"/>
      <c r="J328" s="1"/>
      <c r="K328" s="1"/>
      <c r="L328" s="1"/>
      <c r="M328" s="1"/>
      <c r="N328" s="1"/>
      <c r="O328" s="1"/>
      <c r="P328" s="1"/>
      <c r="Q328" s="1"/>
      <c r="R328" s="1"/>
      <c r="S328" s="1"/>
      <c r="T328" s="1"/>
      <c r="U328" s="2"/>
      <c r="V328" s="1"/>
      <c r="W328" s="1"/>
      <c r="X328" s="1"/>
      <c r="Y328" s="1"/>
      <c r="Z328" s="1"/>
    </row>
    <row r="329" spans="1:26" ht="24.75" customHeight="1">
      <c r="A329" s="1"/>
      <c r="B329" s="1"/>
      <c r="C329" s="1"/>
      <c r="D329" s="1"/>
      <c r="E329" s="1"/>
      <c r="F329" s="1"/>
      <c r="G329" s="1"/>
      <c r="H329" s="1"/>
      <c r="I329" s="1"/>
      <c r="J329" s="1"/>
      <c r="K329" s="1"/>
      <c r="L329" s="1"/>
      <c r="M329" s="1"/>
      <c r="N329" s="1"/>
      <c r="O329" s="1"/>
      <c r="P329" s="1"/>
      <c r="Q329" s="1"/>
      <c r="R329" s="1"/>
      <c r="S329" s="1"/>
      <c r="T329" s="1"/>
      <c r="U329" s="2"/>
      <c r="V329" s="1"/>
      <c r="W329" s="1"/>
      <c r="X329" s="1"/>
      <c r="Y329" s="1"/>
      <c r="Z329" s="1"/>
    </row>
    <row r="330" spans="1:26" ht="24.75" customHeight="1">
      <c r="A330" s="1"/>
      <c r="B330" s="1"/>
      <c r="C330" s="1"/>
      <c r="D330" s="1"/>
      <c r="E330" s="1"/>
      <c r="F330" s="1"/>
      <c r="G330" s="1"/>
      <c r="H330" s="1"/>
      <c r="I330" s="1"/>
      <c r="J330" s="1"/>
      <c r="K330" s="1"/>
      <c r="L330" s="1"/>
      <c r="M330" s="1"/>
      <c r="N330" s="1"/>
      <c r="O330" s="1"/>
      <c r="P330" s="1"/>
      <c r="Q330" s="1"/>
      <c r="R330" s="1"/>
      <c r="S330" s="1"/>
      <c r="T330" s="1"/>
      <c r="U330" s="2"/>
      <c r="V330" s="1"/>
      <c r="W330" s="1"/>
      <c r="X330" s="1"/>
      <c r="Y330" s="1"/>
      <c r="Z330" s="1"/>
    </row>
    <row r="331" spans="1:26" ht="24.75" customHeight="1">
      <c r="A331" s="1"/>
      <c r="B331" s="1"/>
      <c r="C331" s="1"/>
      <c r="D331" s="1"/>
      <c r="E331" s="1"/>
      <c r="F331" s="1"/>
      <c r="G331" s="1"/>
      <c r="H331" s="1"/>
      <c r="I331" s="1"/>
      <c r="J331" s="1"/>
      <c r="K331" s="1"/>
      <c r="L331" s="1"/>
      <c r="M331" s="1"/>
      <c r="N331" s="1"/>
      <c r="O331" s="1"/>
      <c r="P331" s="1"/>
      <c r="Q331" s="1"/>
      <c r="R331" s="1"/>
      <c r="S331" s="1"/>
      <c r="T331" s="1"/>
      <c r="U331" s="2"/>
      <c r="V331" s="1"/>
      <c r="W331" s="1"/>
      <c r="X331" s="1"/>
      <c r="Y331" s="1"/>
      <c r="Z331" s="1"/>
    </row>
    <row r="332" spans="1:26" ht="24.75" customHeight="1">
      <c r="A332" s="1"/>
      <c r="B332" s="1"/>
      <c r="C332" s="1"/>
      <c r="D332" s="1"/>
      <c r="E332" s="1"/>
      <c r="F332" s="1"/>
      <c r="G332" s="1"/>
      <c r="H332" s="1"/>
      <c r="I332" s="1"/>
      <c r="J332" s="1"/>
      <c r="K332" s="1"/>
      <c r="L332" s="1"/>
      <c r="M332" s="1"/>
      <c r="N332" s="1"/>
      <c r="O332" s="1"/>
      <c r="P332" s="1"/>
      <c r="Q332" s="1"/>
      <c r="R332" s="1"/>
      <c r="S332" s="1"/>
      <c r="T332" s="1"/>
      <c r="U332" s="2"/>
      <c r="V332" s="1"/>
      <c r="W332" s="1"/>
      <c r="X332" s="1"/>
      <c r="Y332" s="1"/>
      <c r="Z332" s="1"/>
    </row>
    <row r="333" spans="1:26" ht="24.75" customHeight="1">
      <c r="A333" s="1"/>
      <c r="B333" s="1"/>
      <c r="C333" s="1"/>
      <c r="D333" s="1"/>
      <c r="E333" s="1"/>
      <c r="F333" s="1"/>
      <c r="G333" s="1"/>
      <c r="H333" s="1"/>
      <c r="I333" s="1"/>
      <c r="J333" s="1"/>
      <c r="K333" s="1"/>
      <c r="L333" s="1"/>
      <c r="M333" s="1"/>
      <c r="N333" s="1"/>
      <c r="O333" s="1"/>
      <c r="P333" s="1"/>
      <c r="Q333" s="1"/>
      <c r="R333" s="1"/>
      <c r="S333" s="1"/>
      <c r="T333" s="1"/>
      <c r="U333" s="2"/>
      <c r="V333" s="1"/>
      <c r="W333" s="1"/>
      <c r="X333" s="1"/>
      <c r="Y333" s="1"/>
      <c r="Z333" s="1"/>
    </row>
    <row r="334" spans="1:26" ht="24.75" customHeight="1">
      <c r="A334" s="1"/>
      <c r="B334" s="1"/>
      <c r="C334" s="1"/>
      <c r="D334" s="1"/>
      <c r="E334" s="1"/>
      <c r="F334" s="1"/>
      <c r="G334" s="1"/>
      <c r="H334" s="1"/>
      <c r="I334" s="1"/>
      <c r="J334" s="1"/>
      <c r="K334" s="1"/>
      <c r="L334" s="1"/>
      <c r="M334" s="1"/>
      <c r="N334" s="1"/>
      <c r="O334" s="1"/>
      <c r="P334" s="1"/>
      <c r="Q334" s="1"/>
      <c r="R334" s="1"/>
      <c r="S334" s="1"/>
      <c r="T334" s="1"/>
      <c r="U334" s="2"/>
      <c r="V334" s="1"/>
      <c r="W334" s="1"/>
      <c r="X334" s="1"/>
      <c r="Y334" s="1"/>
      <c r="Z334" s="1"/>
    </row>
    <row r="335" spans="1:26" ht="24.75" customHeight="1">
      <c r="A335" s="1"/>
      <c r="B335" s="1"/>
      <c r="C335" s="1"/>
      <c r="D335" s="1"/>
      <c r="E335" s="1"/>
      <c r="F335" s="1"/>
      <c r="G335" s="1"/>
      <c r="H335" s="1"/>
      <c r="I335" s="1"/>
      <c r="J335" s="1"/>
      <c r="K335" s="1"/>
      <c r="L335" s="1"/>
      <c r="M335" s="1"/>
      <c r="N335" s="1"/>
      <c r="O335" s="1"/>
      <c r="P335" s="1"/>
      <c r="Q335" s="1"/>
      <c r="R335" s="1"/>
      <c r="S335" s="1"/>
      <c r="T335" s="1"/>
      <c r="U335" s="2"/>
      <c r="V335" s="1"/>
      <c r="W335" s="1"/>
      <c r="X335" s="1"/>
      <c r="Y335" s="1"/>
      <c r="Z335" s="1"/>
    </row>
    <row r="336" spans="1:26" ht="24.75" customHeight="1">
      <c r="A336" s="1"/>
      <c r="B336" s="1"/>
      <c r="C336" s="1"/>
      <c r="D336" s="1"/>
      <c r="E336" s="1"/>
      <c r="F336" s="1"/>
      <c r="G336" s="1"/>
      <c r="H336" s="1"/>
      <c r="I336" s="1"/>
      <c r="J336" s="1"/>
      <c r="K336" s="1"/>
      <c r="L336" s="1"/>
      <c r="M336" s="1"/>
      <c r="N336" s="1"/>
      <c r="O336" s="1"/>
      <c r="P336" s="1"/>
      <c r="Q336" s="1"/>
      <c r="R336" s="1"/>
      <c r="S336" s="1"/>
      <c r="T336" s="1"/>
      <c r="U336" s="2"/>
      <c r="V336" s="1"/>
      <c r="W336" s="1"/>
      <c r="X336" s="1"/>
      <c r="Y336" s="1"/>
      <c r="Z336" s="1"/>
    </row>
    <row r="337" spans="1:26" ht="24.75" customHeight="1">
      <c r="A337" s="1"/>
      <c r="B337" s="1"/>
      <c r="C337" s="1"/>
      <c r="D337" s="1"/>
      <c r="E337" s="1"/>
      <c r="F337" s="1"/>
      <c r="G337" s="1"/>
      <c r="H337" s="1"/>
      <c r="I337" s="1"/>
      <c r="J337" s="1"/>
      <c r="K337" s="1"/>
      <c r="L337" s="1"/>
      <c r="M337" s="1"/>
      <c r="N337" s="1"/>
      <c r="O337" s="1"/>
      <c r="P337" s="1"/>
      <c r="Q337" s="1"/>
      <c r="R337" s="1"/>
      <c r="S337" s="1"/>
      <c r="T337" s="1"/>
      <c r="U337" s="2"/>
      <c r="V337" s="1"/>
      <c r="W337" s="1"/>
      <c r="X337" s="1"/>
      <c r="Y337" s="1"/>
      <c r="Z337" s="1"/>
    </row>
    <row r="338" spans="1:26" ht="24.75" customHeight="1">
      <c r="A338" s="1"/>
      <c r="B338" s="1"/>
      <c r="C338" s="1"/>
      <c r="D338" s="1"/>
      <c r="E338" s="1"/>
      <c r="F338" s="1"/>
      <c r="G338" s="1"/>
      <c r="H338" s="1"/>
      <c r="I338" s="1"/>
      <c r="J338" s="1"/>
      <c r="K338" s="1"/>
      <c r="L338" s="1"/>
      <c r="M338" s="1"/>
      <c r="N338" s="1"/>
      <c r="O338" s="1"/>
      <c r="P338" s="1"/>
      <c r="Q338" s="1"/>
      <c r="R338" s="1"/>
      <c r="S338" s="1"/>
      <c r="T338" s="1"/>
      <c r="U338" s="2"/>
      <c r="V338" s="1"/>
      <c r="W338" s="1"/>
      <c r="X338" s="1"/>
      <c r="Y338" s="1"/>
      <c r="Z338" s="1"/>
    </row>
    <row r="339" spans="1:26" ht="24.75" customHeight="1">
      <c r="A339" s="1"/>
      <c r="B339" s="1"/>
      <c r="C339" s="1"/>
      <c r="D339" s="1"/>
      <c r="E339" s="1"/>
      <c r="F339" s="1"/>
      <c r="G339" s="1"/>
      <c r="H339" s="1"/>
      <c r="I339" s="1"/>
      <c r="J339" s="1"/>
      <c r="K339" s="1"/>
      <c r="L339" s="1"/>
      <c r="M339" s="1"/>
      <c r="N339" s="1"/>
      <c r="O339" s="1"/>
      <c r="P339" s="1"/>
      <c r="Q339" s="1"/>
      <c r="R339" s="1"/>
      <c r="S339" s="1"/>
      <c r="T339" s="1"/>
      <c r="U339" s="2"/>
      <c r="V339" s="1"/>
      <c r="W339" s="1"/>
      <c r="X339" s="1"/>
      <c r="Y339" s="1"/>
      <c r="Z339" s="1"/>
    </row>
    <row r="340" spans="1:26" ht="24.75" customHeight="1">
      <c r="A340" s="1"/>
      <c r="B340" s="1"/>
      <c r="C340" s="1"/>
      <c r="D340" s="1"/>
      <c r="E340" s="1"/>
      <c r="F340" s="1"/>
      <c r="G340" s="1"/>
      <c r="H340" s="1"/>
      <c r="I340" s="1"/>
      <c r="J340" s="1"/>
      <c r="K340" s="1"/>
      <c r="L340" s="1"/>
      <c r="M340" s="1"/>
      <c r="N340" s="1"/>
      <c r="O340" s="1"/>
      <c r="P340" s="1"/>
      <c r="Q340" s="1"/>
      <c r="R340" s="1"/>
      <c r="S340" s="1"/>
      <c r="T340" s="1"/>
      <c r="U340" s="2"/>
      <c r="V340" s="1"/>
      <c r="W340" s="1"/>
      <c r="X340" s="1"/>
      <c r="Y340" s="1"/>
      <c r="Z340" s="1"/>
    </row>
    <row r="341" spans="1:26" ht="24.75" customHeight="1">
      <c r="A341" s="1"/>
      <c r="B341" s="1"/>
      <c r="C341" s="1"/>
      <c r="D341" s="1"/>
      <c r="E341" s="1"/>
      <c r="F341" s="1"/>
      <c r="G341" s="1"/>
      <c r="H341" s="1"/>
      <c r="I341" s="1"/>
      <c r="J341" s="1"/>
      <c r="K341" s="1"/>
      <c r="L341" s="1"/>
      <c r="M341" s="1"/>
      <c r="N341" s="1"/>
      <c r="O341" s="1"/>
      <c r="P341" s="1"/>
      <c r="Q341" s="1"/>
      <c r="R341" s="1"/>
      <c r="S341" s="1"/>
      <c r="T341" s="1"/>
      <c r="U341" s="2"/>
      <c r="V341" s="1"/>
      <c r="W341" s="1"/>
      <c r="X341" s="1"/>
      <c r="Y341" s="1"/>
      <c r="Z341" s="1"/>
    </row>
    <row r="342" spans="1:26" ht="24.75" customHeight="1">
      <c r="A342" s="1"/>
      <c r="B342" s="1"/>
      <c r="C342" s="1"/>
      <c r="D342" s="1"/>
      <c r="E342" s="1"/>
      <c r="F342" s="1"/>
      <c r="G342" s="1"/>
      <c r="H342" s="1"/>
      <c r="I342" s="1"/>
      <c r="J342" s="1"/>
      <c r="K342" s="1"/>
      <c r="L342" s="1"/>
      <c r="M342" s="1"/>
      <c r="N342" s="1"/>
      <c r="O342" s="1"/>
      <c r="P342" s="1"/>
      <c r="Q342" s="1"/>
      <c r="R342" s="1"/>
      <c r="S342" s="1"/>
      <c r="T342" s="1"/>
      <c r="U342" s="2"/>
      <c r="V342" s="1"/>
      <c r="W342" s="1"/>
      <c r="X342" s="1"/>
      <c r="Y342" s="1"/>
      <c r="Z342" s="1"/>
    </row>
    <row r="343" spans="1:26" ht="24.75" customHeight="1">
      <c r="A343" s="1"/>
      <c r="B343" s="1"/>
      <c r="C343" s="1"/>
      <c r="D343" s="1"/>
      <c r="E343" s="1"/>
      <c r="F343" s="1"/>
      <c r="G343" s="1"/>
      <c r="H343" s="1"/>
      <c r="I343" s="1"/>
      <c r="J343" s="1"/>
      <c r="K343" s="1"/>
      <c r="L343" s="1"/>
      <c r="M343" s="1"/>
      <c r="N343" s="1"/>
      <c r="O343" s="1"/>
      <c r="P343" s="1"/>
      <c r="Q343" s="1"/>
      <c r="R343" s="1"/>
      <c r="S343" s="1"/>
      <c r="T343" s="1"/>
      <c r="U343" s="2"/>
      <c r="V343" s="1"/>
      <c r="W343" s="1"/>
      <c r="X343" s="1"/>
      <c r="Y343" s="1"/>
      <c r="Z343" s="1"/>
    </row>
    <row r="344" spans="1:26" ht="24.75" customHeight="1">
      <c r="A344" s="1"/>
      <c r="B344" s="1"/>
      <c r="C344" s="1"/>
      <c r="D344" s="1"/>
      <c r="E344" s="1"/>
      <c r="F344" s="1"/>
      <c r="G344" s="1"/>
      <c r="H344" s="1"/>
      <c r="I344" s="1"/>
      <c r="J344" s="1"/>
      <c r="K344" s="1"/>
      <c r="L344" s="1"/>
      <c r="M344" s="1"/>
      <c r="N344" s="1"/>
      <c r="O344" s="1"/>
      <c r="P344" s="1"/>
      <c r="Q344" s="1"/>
      <c r="R344" s="1"/>
      <c r="S344" s="1"/>
      <c r="T344" s="1"/>
      <c r="U344" s="2"/>
      <c r="V344" s="1"/>
      <c r="W344" s="1"/>
      <c r="X344" s="1"/>
      <c r="Y344" s="1"/>
      <c r="Z344" s="1"/>
    </row>
    <row r="345" spans="1:26" ht="24.75" customHeight="1">
      <c r="A345" s="1"/>
      <c r="B345" s="1"/>
      <c r="C345" s="1"/>
      <c r="D345" s="1"/>
      <c r="E345" s="1"/>
      <c r="F345" s="1"/>
      <c r="G345" s="1"/>
      <c r="H345" s="1"/>
      <c r="I345" s="1"/>
      <c r="J345" s="1"/>
      <c r="K345" s="1"/>
      <c r="L345" s="1"/>
      <c r="M345" s="1"/>
      <c r="N345" s="1"/>
      <c r="O345" s="1"/>
      <c r="P345" s="1"/>
      <c r="Q345" s="1"/>
      <c r="R345" s="1"/>
      <c r="S345" s="1"/>
      <c r="T345" s="1"/>
      <c r="U345" s="2"/>
      <c r="V345" s="1"/>
      <c r="W345" s="1"/>
      <c r="X345" s="1"/>
      <c r="Y345" s="1"/>
      <c r="Z345" s="1"/>
    </row>
    <row r="346" spans="1:26" ht="24.75" customHeight="1">
      <c r="A346" s="1"/>
      <c r="B346" s="1"/>
      <c r="C346" s="1"/>
      <c r="D346" s="1"/>
      <c r="E346" s="1"/>
      <c r="F346" s="1"/>
      <c r="G346" s="1"/>
      <c r="H346" s="1"/>
      <c r="I346" s="1"/>
      <c r="J346" s="1"/>
      <c r="K346" s="1"/>
      <c r="L346" s="1"/>
      <c r="M346" s="1"/>
      <c r="N346" s="1"/>
      <c r="O346" s="1"/>
      <c r="P346" s="1"/>
      <c r="Q346" s="1"/>
      <c r="R346" s="1"/>
      <c r="S346" s="1"/>
      <c r="T346" s="1"/>
      <c r="U346" s="2"/>
      <c r="V346" s="1"/>
      <c r="W346" s="1"/>
      <c r="X346" s="1"/>
      <c r="Y346" s="1"/>
      <c r="Z346" s="1"/>
    </row>
    <row r="347" spans="1:26" ht="24.75" customHeight="1">
      <c r="A347" s="1"/>
      <c r="B347" s="1"/>
      <c r="C347" s="1"/>
      <c r="D347" s="1"/>
      <c r="E347" s="1"/>
      <c r="F347" s="1"/>
      <c r="G347" s="1"/>
      <c r="H347" s="1"/>
      <c r="I347" s="1"/>
      <c r="J347" s="1"/>
      <c r="K347" s="1"/>
      <c r="L347" s="1"/>
      <c r="M347" s="1"/>
      <c r="N347" s="1"/>
      <c r="O347" s="1"/>
      <c r="P347" s="1"/>
      <c r="Q347" s="1"/>
      <c r="R347" s="1"/>
      <c r="S347" s="1"/>
      <c r="T347" s="1"/>
      <c r="U347" s="2"/>
      <c r="V347" s="1"/>
      <c r="W347" s="1"/>
      <c r="X347" s="1"/>
      <c r="Y347" s="1"/>
      <c r="Z347" s="1"/>
    </row>
    <row r="348" spans="1:26" ht="24.75" customHeight="1">
      <c r="A348" s="1"/>
      <c r="B348" s="1"/>
      <c r="C348" s="1"/>
      <c r="D348" s="1"/>
      <c r="E348" s="1"/>
      <c r="F348" s="1"/>
      <c r="G348" s="1"/>
      <c r="H348" s="1"/>
      <c r="I348" s="1"/>
      <c r="J348" s="1"/>
      <c r="K348" s="1"/>
      <c r="L348" s="1"/>
      <c r="M348" s="1"/>
      <c r="N348" s="1"/>
      <c r="O348" s="1"/>
      <c r="P348" s="1"/>
      <c r="Q348" s="1"/>
      <c r="R348" s="1"/>
      <c r="S348" s="1"/>
      <c r="T348" s="1"/>
      <c r="U348" s="2"/>
      <c r="V348" s="1"/>
      <c r="W348" s="1"/>
      <c r="X348" s="1"/>
      <c r="Y348" s="1"/>
      <c r="Z348" s="1"/>
    </row>
    <row r="349" spans="1:26" ht="24.75" customHeight="1">
      <c r="A349" s="1"/>
      <c r="B349" s="1"/>
      <c r="C349" s="1"/>
      <c r="D349" s="1"/>
      <c r="E349" s="1"/>
      <c r="F349" s="1"/>
      <c r="G349" s="1"/>
      <c r="H349" s="1"/>
      <c r="I349" s="1"/>
      <c r="J349" s="1"/>
      <c r="K349" s="1"/>
      <c r="L349" s="1"/>
      <c r="M349" s="1"/>
      <c r="N349" s="1"/>
      <c r="O349" s="1"/>
      <c r="P349" s="1"/>
      <c r="Q349" s="1"/>
      <c r="R349" s="1"/>
      <c r="S349" s="1"/>
      <c r="T349" s="1"/>
      <c r="U349" s="2"/>
      <c r="V349" s="1"/>
      <c r="W349" s="1"/>
      <c r="X349" s="1"/>
      <c r="Y349" s="1"/>
      <c r="Z349" s="1"/>
    </row>
    <row r="350" spans="1:26" ht="24.75" customHeight="1">
      <c r="A350" s="1"/>
      <c r="B350" s="1"/>
      <c r="C350" s="1"/>
      <c r="D350" s="1"/>
      <c r="E350" s="1"/>
      <c r="F350" s="1"/>
      <c r="G350" s="1"/>
      <c r="H350" s="1"/>
      <c r="I350" s="1"/>
      <c r="J350" s="1"/>
      <c r="K350" s="1"/>
      <c r="L350" s="1"/>
      <c r="M350" s="1"/>
      <c r="N350" s="1"/>
      <c r="O350" s="1"/>
      <c r="P350" s="1"/>
      <c r="Q350" s="1"/>
      <c r="R350" s="1"/>
      <c r="S350" s="1"/>
      <c r="T350" s="1"/>
      <c r="U350" s="2"/>
      <c r="V350" s="1"/>
      <c r="W350" s="1"/>
      <c r="X350" s="1"/>
      <c r="Y350" s="1"/>
      <c r="Z350" s="1"/>
    </row>
    <row r="351" spans="1:26" ht="24.75" customHeight="1">
      <c r="A351" s="1"/>
      <c r="B351" s="1"/>
      <c r="C351" s="1"/>
      <c r="D351" s="1"/>
      <c r="E351" s="1"/>
      <c r="F351" s="1"/>
      <c r="G351" s="1"/>
      <c r="H351" s="1"/>
      <c r="I351" s="1"/>
      <c r="J351" s="1"/>
      <c r="K351" s="1"/>
      <c r="L351" s="1"/>
      <c r="M351" s="1"/>
      <c r="N351" s="1"/>
      <c r="O351" s="1"/>
      <c r="P351" s="1"/>
      <c r="Q351" s="1"/>
      <c r="R351" s="1"/>
      <c r="S351" s="1"/>
      <c r="T351" s="1"/>
      <c r="U351" s="2"/>
      <c r="V351" s="1"/>
      <c r="W351" s="1"/>
      <c r="X351" s="1"/>
      <c r="Y351" s="1"/>
      <c r="Z351" s="1"/>
    </row>
    <row r="352" spans="1:26" ht="24.75" customHeight="1">
      <c r="A352" s="1"/>
      <c r="B352" s="1"/>
      <c r="C352" s="1"/>
      <c r="D352" s="1"/>
      <c r="E352" s="1"/>
      <c r="F352" s="1"/>
      <c r="G352" s="1"/>
      <c r="H352" s="1"/>
      <c r="I352" s="1"/>
      <c r="J352" s="1"/>
      <c r="K352" s="1"/>
      <c r="L352" s="1"/>
      <c r="M352" s="1"/>
      <c r="N352" s="1"/>
      <c r="O352" s="1"/>
      <c r="P352" s="1"/>
      <c r="Q352" s="1"/>
      <c r="R352" s="1"/>
      <c r="S352" s="1"/>
      <c r="T352" s="1"/>
      <c r="U352" s="2"/>
      <c r="V352" s="1"/>
      <c r="W352" s="1"/>
      <c r="X352" s="1"/>
      <c r="Y352" s="1"/>
      <c r="Z352" s="1"/>
    </row>
    <row r="353" spans="1:26" ht="24.75" customHeight="1">
      <c r="A353" s="1"/>
      <c r="B353" s="1"/>
      <c r="C353" s="1"/>
      <c r="D353" s="1"/>
      <c r="E353" s="1"/>
      <c r="F353" s="1"/>
      <c r="G353" s="1"/>
      <c r="H353" s="1"/>
      <c r="I353" s="1"/>
      <c r="J353" s="1"/>
      <c r="K353" s="1"/>
      <c r="L353" s="1"/>
      <c r="M353" s="1"/>
      <c r="N353" s="1"/>
      <c r="O353" s="1"/>
      <c r="P353" s="1"/>
      <c r="Q353" s="1"/>
      <c r="R353" s="1"/>
      <c r="S353" s="1"/>
      <c r="T353" s="1"/>
      <c r="U353" s="2"/>
      <c r="V353" s="1"/>
      <c r="W353" s="1"/>
      <c r="X353" s="1"/>
      <c r="Y353" s="1"/>
      <c r="Z353" s="1"/>
    </row>
    <row r="354" spans="1:26" ht="24.75" customHeight="1">
      <c r="A354" s="1"/>
      <c r="B354" s="1"/>
      <c r="C354" s="1"/>
      <c r="D354" s="1"/>
      <c r="E354" s="1"/>
      <c r="F354" s="1"/>
      <c r="G354" s="1"/>
      <c r="H354" s="1"/>
      <c r="I354" s="1"/>
      <c r="J354" s="1"/>
      <c r="K354" s="1"/>
      <c r="L354" s="1"/>
      <c r="M354" s="1"/>
      <c r="N354" s="1"/>
      <c r="O354" s="1"/>
      <c r="P354" s="1"/>
      <c r="Q354" s="1"/>
      <c r="R354" s="1"/>
      <c r="S354" s="1"/>
      <c r="T354" s="1"/>
      <c r="U354" s="2"/>
      <c r="V354" s="1"/>
      <c r="W354" s="1"/>
      <c r="X354" s="1"/>
      <c r="Y354" s="1"/>
      <c r="Z354" s="1"/>
    </row>
    <row r="355" spans="1:26" ht="24.75" customHeight="1">
      <c r="A355" s="1"/>
      <c r="B355" s="1"/>
      <c r="C355" s="1"/>
      <c r="D355" s="1"/>
      <c r="E355" s="1"/>
      <c r="F355" s="1"/>
      <c r="G355" s="1"/>
      <c r="H355" s="1"/>
      <c r="I355" s="1"/>
      <c r="J355" s="1"/>
      <c r="K355" s="1"/>
      <c r="L355" s="1"/>
      <c r="M355" s="1"/>
      <c r="N355" s="1"/>
      <c r="O355" s="1"/>
      <c r="P355" s="1"/>
      <c r="Q355" s="1"/>
      <c r="R355" s="1"/>
      <c r="S355" s="1"/>
      <c r="T355" s="1"/>
      <c r="U355" s="2"/>
      <c r="V355" s="1"/>
      <c r="W355" s="1"/>
      <c r="X355" s="1"/>
      <c r="Y355" s="1"/>
      <c r="Z355" s="1"/>
    </row>
    <row r="356" spans="1:26" ht="24.75" customHeight="1">
      <c r="A356" s="1"/>
      <c r="B356" s="1"/>
      <c r="C356" s="1"/>
      <c r="D356" s="1"/>
      <c r="E356" s="1"/>
      <c r="F356" s="1"/>
      <c r="G356" s="1"/>
      <c r="H356" s="1"/>
      <c r="I356" s="1"/>
      <c r="J356" s="1"/>
      <c r="K356" s="1"/>
      <c r="L356" s="1"/>
      <c r="M356" s="1"/>
      <c r="N356" s="1"/>
      <c r="O356" s="1"/>
      <c r="P356" s="1"/>
      <c r="Q356" s="1"/>
      <c r="R356" s="1"/>
      <c r="S356" s="1"/>
      <c r="T356" s="1"/>
      <c r="U356" s="2"/>
      <c r="V356" s="1"/>
      <c r="W356" s="1"/>
      <c r="X356" s="1"/>
      <c r="Y356" s="1"/>
      <c r="Z356" s="1"/>
    </row>
    <row r="357" spans="1:26" ht="24.75" customHeight="1">
      <c r="A357" s="1"/>
      <c r="B357" s="1"/>
      <c r="C357" s="1"/>
      <c r="D357" s="1"/>
      <c r="E357" s="1"/>
      <c r="F357" s="1"/>
      <c r="G357" s="1"/>
      <c r="H357" s="1"/>
      <c r="I357" s="1"/>
      <c r="J357" s="1"/>
      <c r="K357" s="1"/>
      <c r="L357" s="1"/>
      <c r="M357" s="1"/>
      <c r="N357" s="1"/>
      <c r="O357" s="1"/>
      <c r="P357" s="1"/>
      <c r="Q357" s="1"/>
      <c r="R357" s="1"/>
      <c r="S357" s="1"/>
      <c r="T357" s="1"/>
      <c r="U357" s="2"/>
      <c r="V357" s="1"/>
      <c r="W357" s="1"/>
      <c r="X357" s="1"/>
      <c r="Y357" s="1"/>
      <c r="Z357" s="1"/>
    </row>
    <row r="358" spans="1:26" ht="24.75" customHeight="1">
      <c r="A358" s="1"/>
      <c r="B358" s="1"/>
      <c r="C358" s="1"/>
      <c r="D358" s="1"/>
      <c r="E358" s="1"/>
      <c r="F358" s="1"/>
      <c r="G358" s="1"/>
      <c r="H358" s="1"/>
      <c r="I358" s="1"/>
      <c r="J358" s="1"/>
      <c r="K358" s="1"/>
      <c r="L358" s="1"/>
      <c r="M358" s="1"/>
      <c r="N358" s="1"/>
      <c r="O358" s="1"/>
      <c r="P358" s="1"/>
      <c r="Q358" s="1"/>
      <c r="R358" s="1"/>
      <c r="S358" s="1"/>
      <c r="T358" s="1"/>
      <c r="U358" s="2"/>
      <c r="V358" s="1"/>
      <c r="W358" s="1"/>
      <c r="X358" s="1"/>
      <c r="Y358" s="1"/>
      <c r="Z358" s="1"/>
    </row>
    <row r="359" spans="1:26" ht="24.75" customHeight="1">
      <c r="A359" s="1"/>
      <c r="B359" s="1"/>
      <c r="C359" s="1"/>
      <c r="D359" s="1"/>
      <c r="E359" s="1"/>
      <c r="F359" s="1"/>
      <c r="G359" s="1"/>
      <c r="H359" s="1"/>
      <c r="I359" s="1"/>
      <c r="J359" s="1"/>
      <c r="K359" s="1"/>
      <c r="L359" s="1"/>
      <c r="M359" s="1"/>
      <c r="N359" s="1"/>
      <c r="O359" s="1"/>
      <c r="P359" s="1"/>
      <c r="Q359" s="1"/>
      <c r="R359" s="1"/>
      <c r="S359" s="1"/>
      <c r="T359" s="1"/>
      <c r="U359" s="2"/>
      <c r="V359" s="1"/>
      <c r="W359" s="1"/>
      <c r="X359" s="1"/>
      <c r="Y359" s="1"/>
      <c r="Z359" s="1"/>
    </row>
    <row r="360" spans="1:26" ht="24.75" customHeight="1">
      <c r="A360" s="1"/>
      <c r="B360" s="1"/>
      <c r="C360" s="1"/>
      <c r="D360" s="1"/>
      <c r="E360" s="1"/>
      <c r="F360" s="1"/>
      <c r="G360" s="1"/>
      <c r="H360" s="1"/>
      <c r="I360" s="1"/>
      <c r="J360" s="1"/>
      <c r="K360" s="1"/>
      <c r="L360" s="1"/>
      <c r="M360" s="1"/>
      <c r="N360" s="1"/>
      <c r="O360" s="1"/>
      <c r="P360" s="1"/>
      <c r="Q360" s="1"/>
      <c r="R360" s="1"/>
      <c r="S360" s="1"/>
      <c r="T360" s="1"/>
      <c r="U360" s="2"/>
      <c r="V360" s="1"/>
      <c r="W360" s="1"/>
      <c r="X360" s="1"/>
      <c r="Y360" s="1"/>
      <c r="Z360" s="1"/>
    </row>
    <row r="361" spans="1:26" ht="24.75" customHeight="1">
      <c r="A361" s="1"/>
      <c r="B361" s="1"/>
      <c r="C361" s="1"/>
      <c r="D361" s="1"/>
      <c r="E361" s="1"/>
      <c r="F361" s="1"/>
      <c r="G361" s="1"/>
      <c r="H361" s="1"/>
      <c r="I361" s="1"/>
      <c r="J361" s="1"/>
      <c r="K361" s="1"/>
      <c r="L361" s="1"/>
      <c r="M361" s="1"/>
      <c r="N361" s="1"/>
      <c r="O361" s="1"/>
      <c r="P361" s="1"/>
      <c r="Q361" s="1"/>
      <c r="R361" s="1"/>
      <c r="S361" s="1"/>
      <c r="T361" s="1"/>
      <c r="U361" s="2"/>
      <c r="V361" s="1"/>
      <c r="W361" s="1"/>
      <c r="X361" s="1"/>
      <c r="Y361" s="1"/>
      <c r="Z361" s="1"/>
    </row>
    <row r="362" spans="1:26" ht="24.75" customHeight="1">
      <c r="A362" s="1"/>
      <c r="B362" s="1"/>
      <c r="C362" s="1"/>
      <c r="D362" s="1"/>
      <c r="E362" s="1"/>
      <c r="F362" s="1"/>
      <c r="G362" s="1"/>
      <c r="H362" s="1"/>
      <c r="I362" s="1"/>
      <c r="J362" s="1"/>
      <c r="K362" s="1"/>
      <c r="L362" s="1"/>
      <c r="M362" s="1"/>
      <c r="N362" s="1"/>
      <c r="O362" s="1"/>
      <c r="P362" s="1"/>
      <c r="Q362" s="1"/>
      <c r="R362" s="1"/>
      <c r="S362" s="1"/>
      <c r="T362" s="1"/>
      <c r="U362" s="2"/>
      <c r="V362" s="1"/>
      <c r="W362" s="1"/>
      <c r="X362" s="1"/>
      <c r="Y362" s="1"/>
      <c r="Z362" s="1"/>
    </row>
    <row r="363" spans="1:26" ht="24.75" customHeight="1">
      <c r="A363" s="1"/>
      <c r="B363" s="1"/>
      <c r="C363" s="1"/>
      <c r="D363" s="1"/>
      <c r="E363" s="1"/>
      <c r="F363" s="1"/>
      <c r="G363" s="1"/>
      <c r="H363" s="1"/>
      <c r="I363" s="1"/>
      <c r="J363" s="1"/>
      <c r="K363" s="1"/>
      <c r="L363" s="1"/>
      <c r="M363" s="1"/>
      <c r="N363" s="1"/>
      <c r="O363" s="1"/>
      <c r="P363" s="1"/>
      <c r="Q363" s="1"/>
      <c r="R363" s="1"/>
      <c r="S363" s="1"/>
      <c r="T363" s="1"/>
      <c r="U363" s="2"/>
      <c r="V363" s="1"/>
      <c r="W363" s="1"/>
      <c r="X363" s="1"/>
      <c r="Y363" s="1"/>
      <c r="Z363" s="1"/>
    </row>
    <row r="364" spans="1:26" ht="24.75" customHeight="1">
      <c r="A364" s="1"/>
      <c r="B364" s="1"/>
      <c r="C364" s="1"/>
      <c r="D364" s="1"/>
      <c r="E364" s="1"/>
      <c r="F364" s="1"/>
      <c r="G364" s="1"/>
      <c r="H364" s="1"/>
      <c r="I364" s="1"/>
      <c r="J364" s="1"/>
      <c r="K364" s="1"/>
      <c r="L364" s="1"/>
      <c r="M364" s="1"/>
      <c r="N364" s="1"/>
      <c r="O364" s="1"/>
      <c r="P364" s="1"/>
      <c r="Q364" s="1"/>
      <c r="R364" s="1"/>
      <c r="S364" s="1"/>
      <c r="T364" s="1"/>
      <c r="U364" s="2"/>
      <c r="V364" s="1"/>
      <c r="W364" s="1"/>
      <c r="X364" s="1"/>
      <c r="Y364" s="1"/>
      <c r="Z364" s="1"/>
    </row>
    <row r="365" spans="1:26" ht="24.75" customHeight="1">
      <c r="A365" s="1"/>
      <c r="B365" s="1"/>
      <c r="C365" s="1"/>
      <c r="D365" s="1"/>
      <c r="E365" s="1"/>
      <c r="F365" s="1"/>
      <c r="G365" s="1"/>
      <c r="H365" s="1"/>
      <c r="I365" s="1"/>
      <c r="J365" s="1"/>
      <c r="K365" s="1"/>
      <c r="L365" s="1"/>
      <c r="M365" s="1"/>
      <c r="N365" s="1"/>
      <c r="O365" s="1"/>
      <c r="P365" s="1"/>
      <c r="Q365" s="1"/>
      <c r="R365" s="1"/>
      <c r="S365" s="1"/>
      <c r="T365" s="1"/>
      <c r="U365" s="2"/>
      <c r="V365" s="1"/>
      <c r="W365" s="1"/>
      <c r="X365" s="1"/>
      <c r="Y365" s="1"/>
      <c r="Z365" s="1"/>
    </row>
    <row r="366" spans="1:26" ht="24.75" customHeight="1">
      <c r="A366" s="1"/>
      <c r="B366" s="1"/>
      <c r="C366" s="1"/>
      <c r="D366" s="1"/>
      <c r="E366" s="1"/>
      <c r="F366" s="1"/>
      <c r="G366" s="1"/>
      <c r="H366" s="1"/>
      <c r="I366" s="1"/>
      <c r="J366" s="1"/>
      <c r="K366" s="1"/>
      <c r="L366" s="1"/>
      <c r="M366" s="1"/>
      <c r="N366" s="1"/>
      <c r="O366" s="1"/>
      <c r="P366" s="1"/>
      <c r="Q366" s="1"/>
      <c r="R366" s="1"/>
      <c r="S366" s="1"/>
      <c r="T366" s="1"/>
      <c r="U366" s="2"/>
      <c r="V366" s="1"/>
      <c r="W366" s="1"/>
      <c r="X366" s="1"/>
      <c r="Y366" s="1"/>
      <c r="Z366" s="1"/>
    </row>
    <row r="367" spans="1:26" ht="24.75" customHeight="1">
      <c r="A367" s="1"/>
      <c r="B367" s="1"/>
      <c r="C367" s="1"/>
      <c r="D367" s="1"/>
      <c r="E367" s="1"/>
      <c r="F367" s="1"/>
      <c r="G367" s="1"/>
      <c r="H367" s="1"/>
      <c r="I367" s="1"/>
      <c r="J367" s="1"/>
      <c r="K367" s="1"/>
      <c r="L367" s="1"/>
      <c r="M367" s="1"/>
      <c r="N367" s="1"/>
      <c r="O367" s="1"/>
      <c r="P367" s="1"/>
      <c r="Q367" s="1"/>
      <c r="R367" s="1"/>
      <c r="S367" s="1"/>
      <c r="T367" s="1"/>
      <c r="U367" s="2"/>
      <c r="V367" s="1"/>
      <c r="W367" s="1"/>
      <c r="X367" s="1"/>
      <c r="Y367" s="1"/>
      <c r="Z367" s="1"/>
    </row>
    <row r="368" spans="1:26" ht="24.75" customHeight="1">
      <c r="A368" s="1"/>
      <c r="B368" s="1"/>
      <c r="C368" s="1"/>
      <c r="D368" s="1"/>
      <c r="E368" s="1"/>
      <c r="F368" s="1"/>
      <c r="G368" s="1"/>
      <c r="H368" s="1"/>
      <c r="I368" s="1"/>
      <c r="J368" s="1"/>
      <c r="K368" s="1"/>
      <c r="L368" s="1"/>
      <c r="M368" s="1"/>
      <c r="N368" s="1"/>
      <c r="O368" s="1"/>
      <c r="P368" s="1"/>
      <c r="Q368" s="1"/>
      <c r="R368" s="1"/>
      <c r="S368" s="1"/>
      <c r="T368" s="1"/>
      <c r="U368" s="2"/>
      <c r="V368" s="1"/>
      <c r="W368" s="1"/>
      <c r="X368" s="1"/>
      <c r="Y368" s="1"/>
      <c r="Z368" s="1"/>
    </row>
    <row r="369" spans="1:26" ht="24.75" customHeight="1">
      <c r="A369" s="1"/>
      <c r="B369" s="1"/>
      <c r="C369" s="1"/>
      <c r="D369" s="1"/>
      <c r="E369" s="1"/>
      <c r="F369" s="1"/>
      <c r="G369" s="1"/>
      <c r="H369" s="1"/>
      <c r="I369" s="1"/>
      <c r="J369" s="1"/>
      <c r="K369" s="1"/>
      <c r="L369" s="1"/>
      <c r="M369" s="1"/>
      <c r="N369" s="1"/>
      <c r="O369" s="1"/>
      <c r="P369" s="1"/>
      <c r="Q369" s="1"/>
      <c r="R369" s="1"/>
      <c r="S369" s="1"/>
      <c r="T369" s="1"/>
      <c r="U369" s="2"/>
      <c r="V369" s="1"/>
      <c r="W369" s="1"/>
      <c r="X369" s="1"/>
      <c r="Y369" s="1"/>
      <c r="Z369" s="1"/>
    </row>
    <row r="370" spans="1:26" ht="24.75" customHeight="1">
      <c r="A370" s="1"/>
      <c r="B370" s="1"/>
      <c r="C370" s="1"/>
      <c r="D370" s="1"/>
      <c r="E370" s="1"/>
      <c r="F370" s="1"/>
      <c r="G370" s="1"/>
      <c r="H370" s="1"/>
      <c r="I370" s="1"/>
      <c r="J370" s="1"/>
      <c r="K370" s="1"/>
      <c r="L370" s="1"/>
      <c r="M370" s="1"/>
      <c r="N370" s="1"/>
      <c r="O370" s="1"/>
      <c r="P370" s="1"/>
      <c r="Q370" s="1"/>
      <c r="R370" s="1"/>
      <c r="S370" s="1"/>
      <c r="T370" s="1"/>
      <c r="U370" s="2"/>
      <c r="V370" s="1"/>
      <c r="W370" s="1"/>
      <c r="X370" s="1"/>
      <c r="Y370" s="1"/>
      <c r="Z370" s="1"/>
    </row>
    <row r="371" spans="1:26" ht="24.75" customHeight="1">
      <c r="A371" s="1"/>
      <c r="B371" s="1"/>
      <c r="C371" s="1"/>
      <c r="D371" s="1"/>
      <c r="E371" s="1"/>
      <c r="F371" s="1"/>
      <c r="G371" s="1"/>
      <c r="H371" s="1"/>
      <c r="I371" s="1"/>
      <c r="J371" s="1"/>
      <c r="K371" s="1"/>
      <c r="L371" s="1"/>
      <c r="M371" s="1"/>
      <c r="N371" s="1"/>
      <c r="O371" s="1"/>
      <c r="P371" s="1"/>
      <c r="Q371" s="1"/>
      <c r="R371" s="1"/>
      <c r="S371" s="1"/>
      <c r="T371" s="1"/>
      <c r="U371" s="2"/>
      <c r="V371" s="1"/>
      <c r="W371" s="1"/>
      <c r="X371" s="1"/>
      <c r="Y371" s="1"/>
      <c r="Z371" s="1"/>
    </row>
    <row r="372" spans="1:26" ht="24.75" customHeight="1">
      <c r="A372" s="1"/>
      <c r="B372" s="1"/>
      <c r="C372" s="1"/>
      <c r="D372" s="1"/>
      <c r="E372" s="1"/>
      <c r="F372" s="1"/>
      <c r="G372" s="1"/>
      <c r="H372" s="1"/>
      <c r="I372" s="1"/>
      <c r="J372" s="1"/>
      <c r="K372" s="1"/>
      <c r="L372" s="1"/>
      <c r="M372" s="1"/>
      <c r="N372" s="1"/>
      <c r="O372" s="1"/>
      <c r="P372" s="1"/>
      <c r="Q372" s="1"/>
      <c r="R372" s="1"/>
      <c r="S372" s="1"/>
      <c r="T372" s="1"/>
      <c r="U372" s="2"/>
      <c r="V372" s="1"/>
      <c r="W372" s="1"/>
      <c r="X372" s="1"/>
      <c r="Y372" s="1"/>
      <c r="Z372" s="1"/>
    </row>
    <row r="373" spans="1:26" ht="24.75" customHeight="1">
      <c r="A373" s="1"/>
      <c r="B373" s="1"/>
      <c r="C373" s="1"/>
      <c r="D373" s="1"/>
      <c r="E373" s="1"/>
      <c r="F373" s="1"/>
      <c r="G373" s="1"/>
      <c r="H373" s="1"/>
      <c r="I373" s="1"/>
      <c r="J373" s="1"/>
      <c r="K373" s="1"/>
      <c r="L373" s="1"/>
      <c r="M373" s="1"/>
      <c r="N373" s="1"/>
      <c r="O373" s="1"/>
      <c r="P373" s="1"/>
      <c r="Q373" s="1"/>
      <c r="R373" s="1"/>
      <c r="S373" s="1"/>
      <c r="T373" s="1"/>
      <c r="U373" s="2"/>
      <c r="V373" s="1"/>
      <c r="W373" s="1"/>
      <c r="X373" s="1"/>
      <c r="Y373" s="1"/>
      <c r="Z373" s="1"/>
    </row>
    <row r="374" spans="1:26" ht="24.75" customHeight="1">
      <c r="A374" s="1"/>
      <c r="B374" s="1"/>
      <c r="C374" s="1"/>
      <c r="D374" s="1"/>
      <c r="E374" s="1"/>
      <c r="F374" s="1"/>
      <c r="G374" s="1"/>
      <c r="H374" s="1"/>
      <c r="I374" s="1"/>
      <c r="J374" s="1"/>
      <c r="K374" s="1"/>
      <c r="L374" s="1"/>
      <c r="M374" s="1"/>
      <c r="N374" s="1"/>
      <c r="O374" s="1"/>
      <c r="P374" s="1"/>
      <c r="Q374" s="1"/>
      <c r="R374" s="1"/>
      <c r="S374" s="1"/>
      <c r="T374" s="1"/>
      <c r="U374" s="2"/>
      <c r="V374" s="1"/>
      <c r="W374" s="1"/>
      <c r="X374" s="1"/>
      <c r="Y374" s="1"/>
      <c r="Z374" s="1"/>
    </row>
    <row r="375" spans="1:26" ht="24.75" customHeight="1">
      <c r="A375" s="1"/>
      <c r="B375" s="1"/>
      <c r="C375" s="1"/>
      <c r="D375" s="1"/>
      <c r="E375" s="1"/>
      <c r="F375" s="1"/>
      <c r="G375" s="1"/>
      <c r="H375" s="1"/>
      <c r="I375" s="1"/>
      <c r="J375" s="1"/>
      <c r="K375" s="1"/>
      <c r="L375" s="1"/>
      <c r="M375" s="1"/>
      <c r="N375" s="1"/>
      <c r="O375" s="1"/>
      <c r="P375" s="1"/>
      <c r="Q375" s="1"/>
      <c r="R375" s="1"/>
      <c r="S375" s="1"/>
      <c r="T375" s="1"/>
      <c r="U375" s="2"/>
      <c r="V375" s="1"/>
      <c r="W375" s="1"/>
      <c r="X375" s="1"/>
      <c r="Y375" s="1"/>
      <c r="Z375" s="1"/>
    </row>
    <row r="376" spans="1:26" ht="24.75" customHeight="1">
      <c r="A376" s="1"/>
      <c r="B376" s="1"/>
      <c r="C376" s="1"/>
      <c r="D376" s="1"/>
      <c r="E376" s="1"/>
      <c r="F376" s="1"/>
      <c r="G376" s="1"/>
      <c r="H376" s="1"/>
      <c r="I376" s="1"/>
      <c r="J376" s="1"/>
      <c r="K376" s="1"/>
      <c r="L376" s="1"/>
      <c r="M376" s="1"/>
      <c r="N376" s="1"/>
      <c r="O376" s="1"/>
      <c r="P376" s="1"/>
      <c r="Q376" s="1"/>
      <c r="R376" s="1"/>
      <c r="S376" s="1"/>
      <c r="T376" s="1"/>
      <c r="U376" s="2"/>
      <c r="V376" s="1"/>
      <c r="W376" s="1"/>
      <c r="X376" s="1"/>
      <c r="Y376" s="1"/>
      <c r="Z376" s="1"/>
    </row>
    <row r="377" spans="1:26" ht="24.75" customHeight="1">
      <c r="A377" s="1"/>
      <c r="B377" s="1"/>
      <c r="C377" s="1"/>
      <c r="D377" s="1"/>
      <c r="E377" s="1"/>
      <c r="F377" s="1"/>
      <c r="G377" s="1"/>
      <c r="H377" s="1"/>
      <c r="I377" s="1"/>
      <c r="J377" s="1"/>
      <c r="K377" s="1"/>
      <c r="L377" s="1"/>
      <c r="M377" s="1"/>
      <c r="N377" s="1"/>
      <c r="O377" s="1"/>
      <c r="P377" s="1"/>
      <c r="Q377" s="1"/>
      <c r="R377" s="1"/>
      <c r="S377" s="1"/>
      <c r="T377" s="1"/>
      <c r="U377" s="2"/>
      <c r="V377" s="1"/>
      <c r="W377" s="1"/>
      <c r="X377" s="1"/>
      <c r="Y377" s="1"/>
      <c r="Z377" s="1"/>
    </row>
    <row r="378" spans="1:26" ht="24.75" customHeight="1">
      <c r="A378" s="1"/>
      <c r="B378" s="1"/>
      <c r="C378" s="1"/>
      <c r="D378" s="1"/>
      <c r="E378" s="1"/>
      <c r="F378" s="1"/>
      <c r="G378" s="1"/>
      <c r="H378" s="1"/>
      <c r="I378" s="1"/>
      <c r="J378" s="1"/>
      <c r="K378" s="1"/>
      <c r="L378" s="1"/>
      <c r="M378" s="1"/>
      <c r="N378" s="1"/>
      <c r="O378" s="1"/>
      <c r="P378" s="1"/>
      <c r="Q378" s="1"/>
      <c r="R378" s="1"/>
      <c r="S378" s="1"/>
      <c r="T378" s="1"/>
      <c r="U378" s="2"/>
      <c r="V378" s="1"/>
      <c r="W378" s="1"/>
      <c r="X378" s="1"/>
      <c r="Y378" s="1"/>
      <c r="Z378" s="1"/>
    </row>
    <row r="379" spans="1:26" ht="24.75" customHeight="1">
      <c r="A379" s="1"/>
      <c r="B379" s="1"/>
      <c r="C379" s="1"/>
      <c r="D379" s="1"/>
      <c r="E379" s="1"/>
      <c r="F379" s="1"/>
      <c r="G379" s="1"/>
      <c r="H379" s="1"/>
      <c r="I379" s="1"/>
      <c r="J379" s="1"/>
      <c r="K379" s="1"/>
      <c r="L379" s="1"/>
      <c r="M379" s="1"/>
      <c r="N379" s="1"/>
      <c r="O379" s="1"/>
      <c r="P379" s="1"/>
      <c r="Q379" s="1"/>
      <c r="R379" s="1"/>
      <c r="S379" s="1"/>
      <c r="T379" s="1"/>
      <c r="U379" s="2"/>
      <c r="V379" s="1"/>
      <c r="W379" s="1"/>
      <c r="X379" s="1"/>
      <c r="Y379" s="1"/>
      <c r="Z379" s="1"/>
    </row>
    <row r="380" spans="1:26" ht="24.75" customHeight="1">
      <c r="A380" s="1"/>
      <c r="B380" s="1"/>
      <c r="C380" s="1"/>
      <c r="D380" s="1"/>
      <c r="E380" s="1"/>
      <c r="F380" s="1"/>
      <c r="G380" s="1"/>
      <c r="H380" s="1"/>
      <c r="I380" s="1"/>
      <c r="J380" s="1"/>
      <c r="K380" s="1"/>
      <c r="L380" s="1"/>
      <c r="M380" s="1"/>
      <c r="N380" s="1"/>
      <c r="O380" s="1"/>
      <c r="P380" s="1"/>
      <c r="Q380" s="1"/>
      <c r="R380" s="1"/>
      <c r="S380" s="1"/>
      <c r="T380" s="1"/>
      <c r="U380" s="2"/>
      <c r="V380" s="1"/>
      <c r="W380" s="1"/>
      <c r="X380" s="1"/>
      <c r="Y380" s="1"/>
      <c r="Z380" s="1"/>
    </row>
    <row r="381" spans="1:26" ht="24.75" customHeight="1">
      <c r="A381" s="1"/>
      <c r="B381" s="1"/>
      <c r="C381" s="1"/>
      <c r="D381" s="1"/>
      <c r="E381" s="1"/>
      <c r="F381" s="1"/>
      <c r="G381" s="1"/>
      <c r="H381" s="1"/>
      <c r="I381" s="1"/>
      <c r="J381" s="1"/>
      <c r="K381" s="1"/>
      <c r="L381" s="1"/>
      <c r="M381" s="1"/>
      <c r="N381" s="1"/>
      <c r="O381" s="1"/>
      <c r="P381" s="1"/>
      <c r="Q381" s="1"/>
      <c r="R381" s="1"/>
      <c r="S381" s="1"/>
      <c r="T381" s="1"/>
      <c r="U381" s="2"/>
      <c r="V381" s="1"/>
      <c r="W381" s="1"/>
      <c r="X381" s="1"/>
      <c r="Y381" s="1"/>
      <c r="Z381" s="1"/>
    </row>
    <row r="382" spans="1:26" ht="24.75" customHeight="1">
      <c r="A382" s="1"/>
      <c r="B382" s="1"/>
      <c r="C382" s="1"/>
      <c r="D382" s="1"/>
      <c r="E382" s="1"/>
      <c r="F382" s="1"/>
      <c r="G382" s="1"/>
      <c r="H382" s="1"/>
      <c r="I382" s="1"/>
      <c r="J382" s="1"/>
      <c r="K382" s="1"/>
      <c r="L382" s="1"/>
      <c r="M382" s="1"/>
      <c r="N382" s="1"/>
      <c r="O382" s="1"/>
      <c r="P382" s="1"/>
      <c r="Q382" s="1"/>
      <c r="R382" s="1"/>
      <c r="S382" s="1"/>
      <c r="T382" s="1"/>
      <c r="U382" s="2"/>
      <c r="V382" s="1"/>
      <c r="W382" s="1"/>
      <c r="X382" s="1"/>
      <c r="Y382" s="1"/>
      <c r="Z382" s="1"/>
    </row>
    <row r="383" spans="1:26" ht="24.75" customHeight="1">
      <c r="A383" s="1"/>
      <c r="B383" s="1"/>
      <c r="C383" s="1"/>
      <c r="D383" s="1"/>
      <c r="E383" s="1"/>
      <c r="F383" s="1"/>
      <c r="G383" s="1"/>
      <c r="H383" s="1"/>
      <c r="I383" s="1"/>
      <c r="J383" s="1"/>
      <c r="K383" s="1"/>
      <c r="L383" s="1"/>
      <c r="M383" s="1"/>
      <c r="N383" s="1"/>
      <c r="O383" s="1"/>
      <c r="P383" s="1"/>
      <c r="Q383" s="1"/>
      <c r="R383" s="1"/>
      <c r="S383" s="1"/>
      <c r="T383" s="1"/>
      <c r="U383" s="2"/>
      <c r="V383" s="1"/>
      <c r="W383" s="1"/>
      <c r="X383" s="1"/>
      <c r="Y383" s="1"/>
      <c r="Z383" s="1"/>
    </row>
    <row r="384" spans="1:26" ht="24.75" customHeight="1">
      <c r="A384" s="1"/>
      <c r="B384" s="1"/>
      <c r="C384" s="1"/>
      <c r="D384" s="1"/>
      <c r="E384" s="1"/>
      <c r="F384" s="1"/>
      <c r="G384" s="1"/>
      <c r="H384" s="1"/>
      <c r="I384" s="1"/>
      <c r="J384" s="1"/>
      <c r="K384" s="1"/>
      <c r="L384" s="1"/>
      <c r="M384" s="1"/>
      <c r="N384" s="1"/>
      <c r="O384" s="1"/>
      <c r="P384" s="1"/>
      <c r="Q384" s="1"/>
      <c r="R384" s="1"/>
      <c r="S384" s="1"/>
      <c r="T384" s="1"/>
      <c r="U384" s="2"/>
      <c r="V384" s="1"/>
      <c r="W384" s="1"/>
      <c r="X384" s="1"/>
      <c r="Y384" s="1"/>
      <c r="Z384" s="1"/>
    </row>
    <row r="385" spans="1:26" ht="24.75" customHeight="1">
      <c r="A385" s="1"/>
      <c r="B385" s="1"/>
      <c r="C385" s="1"/>
      <c r="D385" s="1"/>
      <c r="E385" s="1"/>
      <c r="F385" s="1"/>
      <c r="G385" s="1"/>
      <c r="H385" s="1"/>
      <c r="I385" s="1"/>
      <c r="J385" s="1"/>
      <c r="K385" s="1"/>
      <c r="L385" s="1"/>
      <c r="M385" s="1"/>
      <c r="N385" s="1"/>
      <c r="O385" s="1"/>
      <c r="P385" s="1"/>
      <c r="Q385" s="1"/>
      <c r="R385" s="1"/>
      <c r="S385" s="1"/>
      <c r="T385" s="1"/>
      <c r="U385" s="2"/>
      <c r="V385" s="1"/>
      <c r="W385" s="1"/>
      <c r="X385" s="1"/>
      <c r="Y385" s="1"/>
      <c r="Z385" s="1"/>
    </row>
    <row r="386" spans="1:26" ht="24.75" customHeight="1">
      <c r="A386" s="1"/>
      <c r="B386" s="1"/>
      <c r="C386" s="1"/>
      <c r="D386" s="1"/>
      <c r="E386" s="1"/>
      <c r="F386" s="1"/>
      <c r="G386" s="1"/>
      <c r="H386" s="1"/>
      <c r="I386" s="1"/>
      <c r="J386" s="1"/>
      <c r="K386" s="1"/>
      <c r="L386" s="1"/>
      <c r="M386" s="1"/>
      <c r="N386" s="1"/>
      <c r="O386" s="1"/>
      <c r="P386" s="1"/>
      <c r="Q386" s="1"/>
      <c r="R386" s="1"/>
      <c r="S386" s="1"/>
      <c r="T386" s="1"/>
      <c r="U386" s="2"/>
      <c r="V386" s="1"/>
      <c r="W386" s="1"/>
      <c r="X386" s="1"/>
      <c r="Y386" s="1"/>
      <c r="Z386" s="1"/>
    </row>
    <row r="387" spans="1:26" ht="24.75" customHeight="1">
      <c r="A387" s="1"/>
      <c r="B387" s="1"/>
      <c r="C387" s="1"/>
      <c r="D387" s="1"/>
      <c r="E387" s="1"/>
      <c r="F387" s="1"/>
      <c r="G387" s="1"/>
      <c r="H387" s="1"/>
      <c r="I387" s="1"/>
      <c r="J387" s="1"/>
      <c r="K387" s="1"/>
      <c r="L387" s="1"/>
      <c r="M387" s="1"/>
      <c r="N387" s="1"/>
      <c r="O387" s="1"/>
      <c r="P387" s="1"/>
      <c r="Q387" s="1"/>
      <c r="R387" s="1"/>
      <c r="S387" s="1"/>
      <c r="T387" s="1"/>
      <c r="U387" s="2"/>
      <c r="V387" s="1"/>
      <c r="W387" s="1"/>
      <c r="X387" s="1"/>
      <c r="Y387" s="1"/>
      <c r="Z387" s="1"/>
    </row>
    <row r="388" spans="1:26" ht="24.75" customHeight="1">
      <c r="A388" s="1"/>
      <c r="B388" s="1"/>
      <c r="C388" s="1"/>
      <c r="D388" s="1"/>
      <c r="E388" s="1"/>
      <c r="F388" s="1"/>
      <c r="G388" s="1"/>
      <c r="H388" s="1"/>
      <c r="I388" s="1"/>
      <c r="J388" s="1"/>
      <c r="K388" s="1"/>
      <c r="L388" s="1"/>
      <c r="M388" s="1"/>
      <c r="N388" s="1"/>
      <c r="O388" s="1"/>
      <c r="P388" s="1"/>
      <c r="Q388" s="1"/>
      <c r="R388" s="1"/>
      <c r="S388" s="1"/>
      <c r="T388" s="1"/>
      <c r="U388" s="2"/>
      <c r="V388" s="1"/>
      <c r="W388" s="1"/>
      <c r="X388" s="1"/>
      <c r="Y388" s="1"/>
      <c r="Z388" s="1"/>
    </row>
    <row r="389" spans="1:26" ht="24.75" customHeight="1">
      <c r="A389" s="1"/>
      <c r="B389" s="1"/>
      <c r="C389" s="1"/>
      <c r="D389" s="1"/>
      <c r="E389" s="1"/>
      <c r="F389" s="1"/>
      <c r="G389" s="1"/>
      <c r="H389" s="1"/>
      <c r="I389" s="1"/>
      <c r="J389" s="1"/>
      <c r="K389" s="1"/>
      <c r="L389" s="1"/>
      <c r="M389" s="1"/>
      <c r="N389" s="1"/>
      <c r="O389" s="1"/>
      <c r="P389" s="1"/>
      <c r="Q389" s="1"/>
      <c r="R389" s="1"/>
      <c r="S389" s="1"/>
      <c r="T389" s="1"/>
      <c r="U389" s="2"/>
      <c r="V389" s="1"/>
      <c r="W389" s="1"/>
      <c r="X389" s="1"/>
      <c r="Y389" s="1"/>
      <c r="Z389" s="1"/>
    </row>
    <row r="390" spans="1:26" ht="24.75" customHeight="1">
      <c r="A390" s="1"/>
      <c r="B390" s="1"/>
      <c r="C390" s="1"/>
      <c r="D390" s="1"/>
      <c r="E390" s="1"/>
      <c r="F390" s="1"/>
      <c r="G390" s="1"/>
      <c r="H390" s="1"/>
      <c r="I390" s="1"/>
      <c r="J390" s="1"/>
      <c r="K390" s="1"/>
      <c r="L390" s="1"/>
      <c r="M390" s="1"/>
      <c r="N390" s="1"/>
      <c r="O390" s="1"/>
      <c r="P390" s="1"/>
      <c r="Q390" s="1"/>
      <c r="R390" s="1"/>
      <c r="S390" s="1"/>
      <c r="T390" s="1"/>
      <c r="U390" s="2"/>
      <c r="V390" s="1"/>
      <c r="W390" s="1"/>
      <c r="X390" s="1"/>
      <c r="Y390" s="1"/>
      <c r="Z390" s="1"/>
    </row>
    <row r="391" spans="1:26" ht="24.75" customHeight="1">
      <c r="A391" s="1"/>
      <c r="B391" s="1"/>
      <c r="C391" s="1"/>
      <c r="D391" s="1"/>
      <c r="E391" s="1"/>
      <c r="F391" s="1"/>
      <c r="G391" s="1"/>
      <c r="H391" s="1"/>
      <c r="I391" s="1"/>
      <c r="J391" s="1"/>
      <c r="K391" s="1"/>
      <c r="L391" s="1"/>
      <c r="M391" s="1"/>
      <c r="N391" s="1"/>
      <c r="O391" s="1"/>
      <c r="P391" s="1"/>
      <c r="Q391" s="1"/>
      <c r="R391" s="1"/>
      <c r="S391" s="1"/>
      <c r="T391" s="1"/>
      <c r="U391" s="2"/>
      <c r="V391" s="1"/>
      <c r="W391" s="1"/>
      <c r="X391" s="1"/>
      <c r="Y391" s="1"/>
      <c r="Z391" s="1"/>
    </row>
    <row r="392" spans="1:26" ht="24.75" customHeight="1">
      <c r="A392" s="1"/>
      <c r="B392" s="1"/>
      <c r="C392" s="1"/>
      <c r="D392" s="1"/>
      <c r="E392" s="1"/>
      <c r="F392" s="1"/>
      <c r="G392" s="1"/>
      <c r="H392" s="1"/>
      <c r="I392" s="1"/>
      <c r="J392" s="1"/>
      <c r="K392" s="1"/>
      <c r="L392" s="1"/>
      <c r="M392" s="1"/>
      <c r="N392" s="1"/>
      <c r="O392" s="1"/>
      <c r="P392" s="1"/>
      <c r="Q392" s="1"/>
      <c r="R392" s="1"/>
      <c r="S392" s="1"/>
      <c r="T392" s="1"/>
      <c r="U392" s="2"/>
      <c r="V392" s="1"/>
      <c r="W392" s="1"/>
      <c r="X392" s="1"/>
      <c r="Y392" s="1"/>
      <c r="Z392" s="1"/>
    </row>
    <row r="393" spans="1:26" ht="24.75" customHeight="1">
      <c r="A393" s="1"/>
      <c r="B393" s="1"/>
      <c r="C393" s="1"/>
      <c r="D393" s="1"/>
      <c r="E393" s="1"/>
      <c r="F393" s="1"/>
      <c r="G393" s="1"/>
      <c r="H393" s="1"/>
      <c r="I393" s="1"/>
      <c r="J393" s="1"/>
      <c r="K393" s="1"/>
      <c r="L393" s="1"/>
      <c r="M393" s="1"/>
      <c r="N393" s="1"/>
      <c r="O393" s="1"/>
      <c r="P393" s="1"/>
      <c r="Q393" s="1"/>
      <c r="R393" s="1"/>
      <c r="S393" s="1"/>
      <c r="T393" s="1"/>
      <c r="U393" s="2"/>
      <c r="V393" s="1"/>
      <c r="W393" s="1"/>
      <c r="X393" s="1"/>
      <c r="Y393" s="1"/>
      <c r="Z393" s="1"/>
    </row>
    <row r="394" spans="1:26" ht="24.75" customHeight="1">
      <c r="A394" s="1"/>
      <c r="B394" s="1"/>
      <c r="C394" s="1"/>
      <c r="D394" s="1"/>
      <c r="E394" s="1"/>
      <c r="F394" s="1"/>
      <c r="G394" s="1"/>
      <c r="H394" s="1"/>
      <c r="I394" s="1"/>
      <c r="J394" s="1"/>
      <c r="K394" s="1"/>
      <c r="L394" s="1"/>
      <c r="M394" s="1"/>
      <c r="N394" s="1"/>
      <c r="O394" s="1"/>
      <c r="P394" s="1"/>
      <c r="Q394" s="1"/>
      <c r="R394" s="1"/>
      <c r="S394" s="1"/>
      <c r="T394" s="1"/>
      <c r="U394" s="2"/>
      <c r="V394" s="1"/>
      <c r="W394" s="1"/>
      <c r="X394" s="1"/>
      <c r="Y394" s="1"/>
      <c r="Z394" s="1"/>
    </row>
    <row r="395" spans="1:26" ht="24.75" customHeight="1">
      <c r="A395" s="1"/>
      <c r="B395" s="1"/>
      <c r="C395" s="1"/>
      <c r="D395" s="1"/>
      <c r="E395" s="1"/>
      <c r="F395" s="1"/>
      <c r="G395" s="1"/>
      <c r="H395" s="1"/>
      <c r="I395" s="1"/>
      <c r="J395" s="1"/>
      <c r="K395" s="1"/>
      <c r="L395" s="1"/>
      <c r="M395" s="1"/>
      <c r="N395" s="1"/>
      <c r="O395" s="1"/>
      <c r="P395" s="1"/>
      <c r="Q395" s="1"/>
      <c r="R395" s="1"/>
      <c r="S395" s="1"/>
      <c r="T395" s="1"/>
      <c r="U395" s="2"/>
      <c r="V395" s="1"/>
      <c r="W395" s="1"/>
      <c r="X395" s="1"/>
      <c r="Y395" s="1"/>
      <c r="Z395" s="1"/>
    </row>
    <row r="396" spans="1:26" ht="24.75" customHeight="1">
      <c r="A396" s="1"/>
      <c r="B396" s="1"/>
      <c r="C396" s="1"/>
      <c r="D396" s="1"/>
      <c r="E396" s="1"/>
      <c r="F396" s="1"/>
      <c r="G396" s="1"/>
      <c r="H396" s="1"/>
      <c r="I396" s="1"/>
      <c r="J396" s="1"/>
      <c r="K396" s="1"/>
      <c r="L396" s="1"/>
      <c r="M396" s="1"/>
      <c r="N396" s="1"/>
      <c r="O396" s="1"/>
      <c r="P396" s="1"/>
      <c r="Q396" s="1"/>
      <c r="R396" s="1"/>
      <c r="S396" s="1"/>
      <c r="T396" s="1"/>
      <c r="U396" s="2"/>
      <c r="V396" s="1"/>
      <c r="W396" s="1"/>
      <c r="X396" s="1"/>
      <c r="Y396" s="1"/>
      <c r="Z396" s="1"/>
    </row>
    <row r="397" spans="1:26" ht="24.75" customHeight="1">
      <c r="A397" s="1"/>
      <c r="B397" s="1"/>
      <c r="C397" s="1"/>
      <c r="D397" s="1"/>
      <c r="E397" s="1"/>
      <c r="F397" s="1"/>
      <c r="G397" s="1"/>
      <c r="H397" s="1"/>
      <c r="I397" s="1"/>
      <c r="J397" s="1"/>
      <c r="K397" s="1"/>
      <c r="L397" s="1"/>
      <c r="M397" s="1"/>
      <c r="N397" s="1"/>
      <c r="O397" s="1"/>
      <c r="P397" s="1"/>
      <c r="Q397" s="1"/>
      <c r="R397" s="1"/>
      <c r="S397" s="1"/>
      <c r="T397" s="1"/>
      <c r="U397" s="2"/>
      <c r="V397" s="1"/>
      <c r="W397" s="1"/>
      <c r="X397" s="1"/>
      <c r="Y397" s="1"/>
      <c r="Z397" s="1"/>
    </row>
    <row r="398" spans="1:26" ht="24.75" customHeight="1">
      <c r="A398" s="1"/>
      <c r="B398" s="1"/>
      <c r="C398" s="1"/>
      <c r="D398" s="1"/>
      <c r="E398" s="1"/>
      <c r="F398" s="1"/>
      <c r="G398" s="1"/>
      <c r="H398" s="1"/>
      <c r="I398" s="1"/>
      <c r="J398" s="1"/>
      <c r="K398" s="1"/>
      <c r="L398" s="1"/>
      <c r="M398" s="1"/>
      <c r="N398" s="1"/>
      <c r="O398" s="1"/>
      <c r="P398" s="1"/>
      <c r="Q398" s="1"/>
      <c r="R398" s="1"/>
      <c r="S398" s="1"/>
      <c r="T398" s="1"/>
      <c r="U398" s="2"/>
      <c r="V398" s="1"/>
      <c r="W398" s="1"/>
      <c r="X398" s="1"/>
      <c r="Y398" s="1"/>
      <c r="Z398" s="1"/>
    </row>
    <row r="399" spans="1:26" ht="24.75" customHeight="1">
      <c r="A399" s="1"/>
      <c r="B399" s="1"/>
      <c r="C399" s="1"/>
      <c r="D399" s="1"/>
      <c r="E399" s="1"/>
      <c r="F399" s="1"/>
      <c r="G399" s="1"/>
      <c r="H399" s="1"/>
      <c r="I399" s="1"/>
      <c r="J399" s="1"/>
      <c r="K399" s="1"/>
      <c r="L399" s="1"/>
      <c r="M399" s="1"/>
      <c r="N399" s="1"/>
      <c r="O399" s="1"/>
      <c r="P399" s="1"/>
      <c r="Q399" s="1"/>
      <c r="R399" s="1"/>
      <c r="S399" s="1"/>
      <c r="T399" s="1"/>
      <c r="U399" s="2"/>
      <c r="V399" s="1"/>
      <c r="W399" s="1"/>
      <c r="X399" s="1"/>
      <c r="Y399" s="1"/>
      <c r="Z399" s="1"/>
    </row>
    <row r="400" spans="1:26" ht="24.75" customHeight="1">
      <c r="A400" s="1"/>
      <c r="B400" s="1"/>
      <c r="C400" s="1"/>
      <c r="D400" s="1"/>
      <c r="E400" s="1"/>
      <c r="F400" s="1"/>
      <c r="G400" s="1"/>
      <c r="H400" s="1"/>
      <c r="I400" s="1"/>
      <c r="J400" s="1"/>
      <c r="K400" s="1"/>
      <c r="L400" s="1"/>
      <c r="M400" s="1"/>
      <c r="N400" s="1"/>
      <c r="O400" s="1"/>
      <c r="P400" s="1"/>
      <c r="Q400" s="1"/>
      <c r="R400" s="1"/>
      <c r="S400" s="1"/>
      <c r="T400" s="1"/>
      <c r="U400" s="2"/>
      <c r="V400" s="1"/>
      <c r="W400" s="1"/>
      <c r="X400" s="1"/>
      <c r="Y400" s="1"/>
      <c r="Z400" s="1"/>
    </row>
    <row r="401" spans="1:26" ht="24.75" customHeight="1">
      <c r="A401" s="1"/>
      <c r="B401" s="1"/>
      <c r="C401" s="1"/>
      <c r="D401" s="1"/>
      <c r="E401" s="1"/>
      <c r="F401" s="1"/>
      <c r="G401" s="1"/>
      <c r="H401" s="1"/>
      <c r="I401" s="1"/>
      <c r="J401" s="1"/>
      <c r="K401" s="1"/>
      <c r="L401" s="1"/>
      <c r="M401" s="1"/>
      <c r="N401" s="1"/>
      <c r="O401" s="1"/>
      <c r="P401" s="1"/>
      <c r="Q401" s="1"/>
      <c r="R401" s="1"/>
      <c r="S401" s="1"/>
      <c r="T401" s="1"/>
      <c r="U401" s="2"/>
      <c r="V401" s="1"/>
      <c r="W401" s="1"/>
      <c r="X401" s="1"/>
      <c r="Y401" s="1"/>
      <c r="Z401" s="1"/>
    </row>
    <row r="402" spans="1:26" ht="24.75" customHeight="1">
      <c r="A402" s="1"/>
      <c r="B402" s="1"/>
      <c r="C402" s="1"/>
      <c r="D402" s="1"/>
      <c r="E402" s="1"/>
      <c r="F402" s="1"/>
      <c r="G402" s="1"/>
      <c r="H402" s="1"/>
      <c r="I402" s="1"/>
      <c r="J402" s="1"/>
      <c r="K402" s="1"/>
      <c r="L402" s="1"/>
      <c r="M402" s="1"/>
      <c r="N402" s="1"/>
      <c r="O402" s="1"/>
      <c r="P402" s="1"/>
      <c r="Q402" s="1"/>
      <c r="R402" s="1"/>
      <c r="S402" s="1"/>
      <c r="T402" s="1"/>
      <c r="U402" s="2"/>
      <c r="V402" s="1"/>
      <c r="W402" s="1"/>
      <c r="X402" s="1"/>
      <c r="Y402" s="1"/>
      <c r="Z402" s="1"/>
    </row>
    <row r="403" spans="1:26" ht="24.75" customHeight="1">
      <c r="A403" s="1"/>
      <c r="B403" s="1"/>
      <c r="C403" s="1"/>
      <c r="D403" s="1"/>
      <c r="E403" s="1"/>
      <c r="F403" s="1"/>
      <c r="G403" s="1"/>
      <c r="H403" s="1"/>
      <c r="I403" s="1"/>
      <c r="J403" s="1"/>
      <c r="K403" s="1"/>
      <c r="L403" s="1"/>
      <c r="M403" s="1"/>
      <c r="N403" s="1"/>
      <c r="O403" s="1"/>
      <c r="P403" s="1"/>
      <c r="Q403" s="1"/>
      <c r="R403" s="1"/>
      <c r="S403" s="1"/>
      <c r="T403" s="1"/>
      <c r="U403" s="2"/>
      <c r="V403" s="1"/>
      <c r="W403" s="1"/>
      <c r="X403" s="1"/>
      <c r="Y403" s="1"/>
      <c r="Z403" s="1"/>
    </row>
    <row r="404" spans="1:26" ht="24.75" customHeight="1">
      <c r="A404" s="1"/>
      <c r="B404" s="1"/>
      <c r="C404" s="1"/>
      <c r="D404" s="1"/>
      <c r="E404" s="1"/>
      <c r="F404" s="1"/>
      <c r="G404" s="1"/>
      <c r="H404" s="1"/>
      <c r="I404" s="1"/>
      <c r="J404" s="1"/>
      <c r="K404" s="1"/>
      <c r="L404" s="1"/>
      <c r="M404" s="1"/>
      <c r="N404" s="1"/>
      <c r="O404" s="1"/>
      <c r="P404" s="1"/>
      <c r="Q404" s="1"/>
      <c r="R404" s="1"/>
      <c r="S404" s="1"/>
      <c r="T404" s="1"/>
      <c r="U404" s="2"/>
      <c r="V404" s="1"/>
      <c r="W404" s="1"/>
      <c r="X404" s="1"/>
      <c r="Y404" s="1"/>
      <c r="Z404" s="1"/>
    </row>
    <row r="405" spans="1:26" ht="24.75" customHeight="1">
      <c r="A405" s="1"/>
      <c r="B405" s="1"/>
      <c r="C405" s="1"/>
      <c r="D405" s="1"/>
      <c r="E405" s="1"/>
      <c r="F405" s="1"/>
      <c r="G405" s="1"/>
      <c r="H405" s="1"/>
      <c r="I405" s="1"/>
      <c r="J405" s="1"/>
      <c r="K405" s="1"/>
      <c r="L405" s="1"/>
      <c r="M405" s="1"/>
      <c r="N405" s="1"/>
      <c r="O405" s="1"/>
      <c r="P405" s="1"/>
      <c r="Q405" s="1"/>
      <c r="R405" s="1"/>
      <c r="S405" s="1"/>
      <c r="T405" s="1"/>
      <c r="U405" s="2"/>
      <c r="V405" s="1"/>
      <c r="W405" s="1"/>
      <c r="X405" s="1"/>
      <c r="Y405" s="1"/>
      <c r="Z405" s="1"/>
    </row>
    <row r="406" spans="1:26" ht="24.75" customHeight="1">
      <c r="A406" s="1"/>
      <c r="B406" s="1"/>
      <c r="C406" s="1"/>
      <c r="D406" s="1"/>
      <c r="E406" s="1"/>
      <c r="F406" s="1"/>
      <c r="G406" s="1"/>
      <c r="H406" s="1"/>
      <c r="I406" s="1"/>
      <c r="J406" s="1"/>
      <c r="K406" s="1"/>
      <c r="L406" s="1"/>
      <c r="M406" s="1"/>
      <c r="N406" s="1"/>
      <c r="O406" s="1"/>
      <c r="P406" s="1"/>
      <c r="Q406" s="1"/>
      <c r="R406" s="1"/>
      <c r="S406" s="1"/>
      <c r="T406" s="1"/>
      <c r="U406" s="2"/>
      <c r="V406" s="1"/>
      <c r="W406" s="1"/>
      <c r="X406" s="1"/>
      <c r="Y406" s="1"/>
      <c r="Z406" s="1"/>
    </row>
    <row r="407" spans="1:26" ht="24.75" customHeight="1">
      <c r="A407" s="1"/>
      <c r="B407" s="1"/>
      <c r="C407" s="1"/>
      <c r="D407" s="1"/>
      <c r="E407" s="1"/>
      <c r="F407" s="1"/>
      <c r="G407" s="1"/>
      <c r="H407" s="1"/>
      <c r="I407" s="1"/>
      <c r="J407" s="1"/>
      <c r="K407" s="1"/>
      <c r="L407" s="1"/>
      <c r="M407" s="1"/>
      <c r="N407" s="1"/>
      <c r="O407" s="1"/>
      <c r="P407" s="1"/>
      <c r="Q407" s="1"/>
      <c r="R407" s="1"/>
      <c r="S407" s="1"/>
      <c r="T407" s="1"/>
      <c r="U407" s="2"/>
      <c r="V407" s="1"/>
      <c r="W407" s="1"/>
      <c r="X407" s="1"/>
      <c r="Y407" s="1"/>
      <c r="Z407" s="1"/>
    </row>
    <row r="408" spans="1:26" ht="24.75" customHeight="1">
      <c r="A408" s="1"/>
      <c r="B408" s="1"/>
      <c r="C408" s="1"/>
      <c r="D408" s="1"/>
      <c r="E408" s="1"/>
      <c r="F408" s="1"/>
      <c r="G408" s="1"/>
      <c r="H408" s="1"/>
      <c r="I408" s="1"/>
      <c r="J408" s="1"/>
      <c r="K408" s="1"/>
      <c r="L408" s="1"/>
      <c r="M408" s="1"/>
      <c r="N408" s="1"/>
      <c r="O408" s="1"/>
      <c r="P408" s="1"/>
      <c r="Q408" s="1"/>
      <c r="R408" s="1"/>
      <c r="S408" s="1"/>
      <c r="T408" s="1"/>
      <c r="U408" s="2"/>
      <c r="V408" s="1"/>
      <c r="W408" s="1"/>
      <c r="X408" s="1"/>
      <c r="Y408" s="1"/>
      <c r="Z408" s="1"/>
    </row>
    <row r="409" spans="1:26" ht="24.75" customHeight="1">
      <c r="A409" s="1"/>
      <c r="B409" s="1"/>
      <c r="C409" s="1"/>
      <c r="D409" s="1"/>
      <c r="E409" s="1"/>
      <c r="F409" s="1"/>
      <c r="G409" s="1"/>
      <c r="H409" s="1"/>
      <c r="I409" s="1"/>
      <c r="J409" s="1"/>
      <c r="K409" s="1"/>
      <c r="L409" s="1"/>
      <c r="M409" s="1"/>
      <c r="N409" s="1"/>
      <c r="O409" s="1"/>
      <c r="P409" s="1"/>
      <c r="Q409" s="1"/>
      <c r="R409" s="1"/>
      <c r="S409" s="1"/>
      <c r="T409" s="1"/>
      <c r="U409" s="2"/>
      <c r="V409" s="1"/>
      <c r="W409" s="1"/>
      <c r="X409" s="1"/>
      <c r="Y409" s="1"/>
      <c r="Z409" s="1"/>
    </row>
    <row r="410" spans="1:26" ht="24.75" customHeight="1">
      <c r="A410" s="1"/>
      <c r="B410" s="1"/>
      <c r="C410" s="1"/>
      <c r="D410" s="1"/>
      <c r="E410" s="1"/>
      <c r="F410" s="1"/>
      <c r="G410" s="1"/>
      <c r="H410" s="1"/>
      <c r="I410" s="1"/>
      <c r="J410" s="1"/>
      <c r="K410" s="1"/>
      <c r="L410" s="1"/>
      <c r="M410" s="1"/>
      <c r="N410" s="1"/>
      <c r="O410" s="1"/>
      <c r="P410" s="1"/>
      <c r="Q410" s="1"/>
      <c r="R410" s="1"/>
      <c r="S410" s="1"/>
      <c r="T410" s="1"/>
      <c r="U410" s="2"/>
      <c r="V410" s="1"/>
      <c r="W410" s="1"/>
      <c r="X410" s="1"/>
      <c r="Y410" s="1"/>
      <c r="Z410" s="1"/>
    </row>
    <row r="411" spans="1:26" ht="24.75" customHeight="1">
      <c r="A411" s="1"/>
      <c r="B411" s="1"/>
      <c r="C411" s="1"/>
      <c r="D411" s="1"/>
      <c r="E411" s="1"/>
      <c r="F411" s="1"/>
      <c r="G411" s="1"/>
      <c r="H411" s="1"/>
      <c r="I411" s="1"/>
      <c r="J411" s="1"/>
      <c r="K411" s="1"/>
      <c r="L411" s="1"/>
      <c r="M411" s="1"/>
      <c r="N411" s="1"/>
      <c r="O411" s="1"/>
      <c r="P411" s="1"/>
      <c r="Q411" s="1"/>
      <c r="R411" s="1"/>
      <c r="S411" s="1"/>
      <c r="T411" s="1"/>
      <c r="U411" s="2"/>
      <c r="V411" s="1"/>
      <c r="W411" s="1"/>
      <c r="X411" s="1"/>
      <c r="Y411" s="1"/>
      <c r="Z411" s="1"/>
    </row>
    <row r="412" spans="1:26" ht="24.75" customHeight="1">
      <c r="A412" s="1"/>
      <c r="B412" s="1"/>
      <c r="C412" s="1"/>
      <c r="D412" s="1"/>
      <c r="E412" s="1"/>
      <c r="F412" s="1"/>
      <c r="G412" s="1"/>
      <c r="H412" s="1"/>
      <c r="I412" s="1"/>
      <c r="J412" s="1"/>
      <c r="K412" s="1"/>
      <c r="L412" s="1"/>
      <c r="M412" s="1"/>
      <c r="N412" s="1"/>
      <c r="O412" s="1"/>
      <c r="P412" s="1"/>
      <c r="Q412" s="1"/>
      <c r="R412" s="1"/>
      <c r="S412" s="1"/>
      <c r="T412" s="1"/>
      <c r="U412" s="2"/>
      <c r="V412" s="1"/>
      <c r="W412" s="1"/>
      <c r="X412" s="1"/>
      <c r="Y412" s="1"/>
      <c r="Z412" s="1"/>
    </row>
    <row r="413" spans="1:26" ht="24.75" customHeight="1">
      <c r="A413" s="1"/>
      <c r="B413" s="1"/>
      <c r="C413" s="1"/>
      <c r="D413" s="1"/>
      <c r="E413" s="1"/>
      <c r="F413" s="1"/>
      <c r="G413" s="1"/>
      <c r="H413" s="1"/>
      <c r="I413" s="1"/>
      <c r="J413" s="1"/>
      <c r="K413" s="1"/>
      <c r="L413" s="1"/>
      <c r="M413" s="1"/>
      <c r="N413" s="1"/>
      <c r="O413" s="1"/>
      <c r="P413" s="1"/>
      <c r="Q413" s="1"/>
      <c r="R413" s="1"/>
      <c r="S413" s="1"/>
      <c r="T413" s="1"/>
      <c r="U413" s="2"/>
      <c r="V413" s="1"/>
      <c r="W413" s="1"/>
      <c r="X413" s="1"/>
      <c r="Y413" s="1"/>
      <c r="Z413" s="1"/>
    </row>
    <row r="414" spans="1:26" ht="24.75" customHeight="1">
      <c r="A414" s="1"/>
      <c r="B414" s="1"/>
      <c r="C414" s="1"/>
      <c r="D414" s="1"/>
      <c r="E414" s="1"/>
      <c r="F414" s="1"/>
      <c r="G414" s="1"/>
      <c r="H414" s="1"/>
      <c r="I414" s="1"/>
      <c r="J414" s="1"/>
      <c r="K414" s="1"/>
      <c r="L414" s="1"/>
      <c r="M414" s="1"/>
      <c r="N414" s="1"/>
      <c r="O414" s="1"/>
      <c r="P414" s="1"/>
      <c r="Q414" s="1"/>
      <c r="R414" s="1"/>
      <c r="S414" s="1"/>
      <c r="T414" s="1"/>
      <c r="U414" s="2"/>
      <c r="V414" s="1"/>
      <c r="W414" s="1"/>
      <c r="X414" s="1"/>
      <c r="Y414" s="1"/>
      <c r="Z414" s="1"/>
    </row>
    <row r="415" spans="1:26" ht="24.75" customHeight="1">
      <c r="A415" s="1"/>
      <c r="B415" s="1"/>
      <c r="C415" s="1"/>
      <c r="D415" s="1"/>
      <c r="E415" s="1"/>
      <c r="F415" s="1"/>
      <c r="G415" s="1"/>
      <c r="H415" s="1"/>
      <c r="I415" s="1"/>
      <c r="J415" s="1"/>
      <c r="K415" s="1"/>
      <c r="L415" s="1"/>
      <c r="M415" s="1"/>
      <c r="N415" s="1"/>
      <c r="O415" s="1"/>
      <c r="P415" s="1"/>
      <c r="Q415" s="1"/>
      <c r="R415" s="1"/>
      <c r="S415" s="1"/>
      <c r="T415" s="1"/>
      <c r="U415" s="2"/>
      <c r="V415" s="1"/>
      <c r="W415" s="1"/>
      <c r="X415" s="1"/>
      <c r="Y415" s="1"/>
      <c r="Z415" s="1"/>
    </row>
    <row r="416" spans="1:26" ht="24.75" customHeight="1">
      <c r="A416" s="1"/>
      <c r="B416" s="1"/>
      <c r="C416" s="1"/>
      <c r="D416" s="1"/>
      <c r="E416" s="1"/>
      <c r="F416" s="1"/>
      <c r="G416" s="1"/>
      <c r="H416" s="1"/>
      <c r="I416" s="1"/>
      <c r="J416" s="1"/>
      <c r="K416" s="1"/>
      <c r="L416" s="1"/>
      <c r="M416" s="1"/>
      <c r="N416" s="1"/>
      <c r="O416" s="1"/>
      <c r="P416" s="1"/>
      <c r="Q416" s="1"/>
      <c r="R416" s="1"/>
      <c r="S416" s="1"/>
      <c r="T416" s="1"/>
      <c r="U416" s="2"/>
      <c r="V416" s="1"/>
      <c r="W416" s="1"/>
      <c r="X416" s="1"/>
      <c r="Y416" s="1"/>
      <c r="Z416" s="1"/>
    </row>
    <row r="417" spans="1:26" ht="24.75" customHeight="1">
      <c r="A417" s="1"/>
      <c r="B417" s="1"/>
      <c r="C417" s="1"/>
      <c r="D417" s="1"/>
      <c r="E417" s="1"/>
      <c r="F417" s="1"/>
      <c r="G417" s="1"/>
      <c r="H417" s="1"/>
      <c r="I417" s="1"/>
      <c r="J417" s="1"/>
      <c r="K417" s="1"/>
      <c r="L417" s="1"/>
      <c r="M417" s="1"/>
      <c r="N417" s="1"/>
      <c r="O417" s="1"/>
      <c r="P417" s="1"/>
      <c r="Q417" s="1"/>
      <c r="R417" s="1"/>
      <c r="S417" s="1"/>
      <c r="T417" s="1"/>
      <c r="U417" s="2"/>
      <c r="V417" s="1"/>
      <c r="W417" s="1"/>
      <c r="X417" s="1"/>
      <c r="Y417" s="1"/>
      <c r="Z417" s="1"/>
    </row>
    <row r="418" spans="1:26" ht="24.75" customHeight="1">
      <c r="A418" s="1"/>
      <c r="B418" s="1"/>
      <c r="C418" s="1"/>
      <c r="D418" s="1"/>
      <c r="E418" s="1"/>
      <c r="F418" s="1"/>
      <c r="G418" s="1"/>
      <c r="H418" s="1"/>
      <c r="I418" s="1"/>
      <c r="J418" s="1"/>
      <c r="K418" s="1"/>
      <c r="L418" s="1"/>
      <c r="M418" s="1"/>
      <c r="N418" s="1"/>
      <c r="O418" s="1"/>
      <c r="P418" s="1"/>
      <c r="Q418" s="1"/>
      <c r="R418" s="1"/>
      <c r="S418" s="1"/>
      <c r="T418" s="1"/>
      <c r="U418" s="2"/>
      <c r="V418" s="1"/>
      <c r="W418" s="1"/>
      <c r="X418" s="1"/>
      <c r="Y418" s="1"/>
      <c r="Z418" s="1"/>
    </row>
    <row r="419" spans="1:26" ht="24.75" customHeight="1">
      <c r="A419" s="1"/>
      <c r="B419" s="1"/>
      <c r="C419" s="1"/>
      <c r="D419" s="1"/>
      <c r="E419" s="1"/>
      <c r="F419" s="1"/>
      <c r="G419" s="1"/>
      <c r="H419" s="1"/>
      <c r="I419" s="1"/>
      <c r="J419" s="1"/>
      <c r="K419" s="1"/>
      <c r="L419" s="1"/>
      <c r="M419" s="1"/>
      <c r="N419" s="1"/>
      <c r="O419" s="1"/>
      <c r="P419" s="1"/>
      <c r="Q419" s="1"/>
      <c r="R419" s="1"/>
      <c r="S419" s="1"/>
      <c r="T419" s="1"/>
      <c r="U419" s="2"/>
      <c r="V419" s="1"/>
      <c r="W419" s="1"/>
      <c r="X419" s="1"/>
      <c r="Y419" s="1"/>
      <c r="Z419" s="1"/>
    </row>
    <row r="420" spans="1:26" ht="24.75" customHeight="1">
      <c r="A420" s="1"/>
      <c r="B420" s="1"/>
      <c r="C420" s="1"/>
      <c r="D420" s="1"/>
      <c r="E420" s="1"/>
      <c r="F420" s="1"/>
      <c r="G420" s="1"/>
      <c r="H420" s="1"/>
      <c r="I420" s="1"/>
      <c r="J420" s="1"/>
      <c r="K420" s="1"/>
      <c r="L420" s="1"/>
      <c r="M420" s="1"/>
      <c r="N420" s="1"/>
      <c r="O420" s="1"/>
      <c r="P420" s="1"/>
      <c r="Q420" s="1"/>
      <c r="R420" s="1"/>
      <c r="S420" s="1"/>
      <c r="T420" s="1"/>
      <c r="U420" s="2"/>
      <c r="V420" s="1"/>
      <c r="W420" s="1"/>
      <c r="X420" s="1"/>
      <c r="Y420" s="1"/>
      <c r="Z420" s="1"/>
    </row>
    <row r="421" spans="1:26" ht="24.75" customHeight="1">
      <c r="A421" s="1"/>
      <c r="B421" s="1"/>
      <c r="C421" s="1"/>
      <c r="D421" s="1"/>
      <c r="E421" s="1"/>
      <c r="F421" s="1"/>
      <c r="G421" s="1"/>
      <c r="H421" s="1"/>
      <c r="I421" s="1"/>
      <c r="J421" s="1"/>
      <c r="K421" s="1"/>
      <c r="L421" s="1"/>
      <c r="M421" s="1"/>
      <c r="N421" s="1"/>
      <c r="O421" s="1"/>
      <c r="P421" s="1"/>
      <c r="Q421" s="1"/>
      <c r="R421" s="1"/>
      <c r="S421" s="1"/>
      <c r="T421" s="1"/>
      <c r="U421" s="2"/>
      <c r="V421" s="1"/>
      <c r="W421" s="1"/>
      <c r="X421" s="1"/>
      <c r="Y421" s="1"/>
      <c r="Z421" s="1"/>
    </row>
    <row r="422" spans="1:26" ht="24.75" customHeight="1">
      <c r="A422" s="1"/>
      <c r="B422" s="1"/>
      <c r="C422" s="1"/>
      <c r="D422" s="1"/>
      <c r="E422" s="1"/>
      <c r="F422" s="1"/>
      <c r="G422" s="1"/>
      <c r="H422" s="1"/>
      <c r="I422" s="1"/>
      <c r="J422" s="1"/>
      <c r="K422" s="1"/>
      <c r="L422" s="1"/>
      <c r="M422" s="1"/>
      <c r="N422" s="1"/>
      <c r="O422" s="1"/>
      <c r="P422" s="1"/>
      <c r="Q422" s="1"/>
      <c r="R422" s="1"/>
      <c r="S422" s="1"/>
      <c r="T422" s="1"/>
      <c r="U422" s="2"/>
      <c r="V422" s="1"/>
      <c r="W422" s="1"/>
      <c r="X422" s="1"/>
      <c r="Y422" s="1"/>
      <c r="Z422" s="1"/>
    </row>
    <row r="423" spans="1:26" ht="24.75" customHeight="1">
      <c r="A423" s="1"/>
      <c r="B423" s="1"/>
      <c r="C423" s="1"/>
      <c r="D423" s="1"/>
      <c r="E423" s="1"/>
      <c r="F423" s="1"/>
      <c r="G423" s="1"/>
      <c r="H423" s="1"/>
      <c r="I423" s="1"/>
      <c r="J423" s="1"/>
      <c r="K423" s="1"/>
      <c r="L423" s="1"/>
      <c r="M423" s="1"/>
      <c r="N423" s="1"/>
      <c r="O423" s="1"/>
      <c r="P423" s="1"/>
      <c r="Q423" s="1"/>
      <c r="R423" s="1"/>
      <c r="S423" s="1"/>
      <c r="T423" s="1"/>
      <c r="U423" s="2"/>
      <c r="V423" s="1"/>
      <c r="W423" s="1"/>
      <c r="X423" s="1"/>
      <c r="Y423" s="1"/>
      <c r="Z423" s="1"/>
    </row>
    <row r="424" spans="1:26" ht="24.75" customHeight="1">
      <c r="A424" s="1"/>
      <c r="B424" s="1"/>
      <c r="C424" s="1"/>
      <c r="D424" s="1"/>
      <c r="E424" s="1"/>
      <c r="F424" s="1"/>
      <c r="G424" s="1"/>
      <c r="H424" s="1"/>
      <c r="I424" s="1"/>
      <c r="J424" s="1"/>
      <c r="K424" s="1"/>
      <c r="L424" s="1"/>
      <c r="M424" s="1"/>
      <c r="N424" s="1"/>
      <c r="O424" s="1"/>
      <c r="P424" s="1"/>
      <c r="Q424" s="1"/>
      <c r="R424" s="1"/>
      <c r="S424" s="1"/>
      <c r="T424" s="1"/>
      <c r="U424" s="2"/>
      <c r="V424" s="1"/>
      <c r="W424" s="1"/>
      <c r="X424" s="1"/>
      <c r="Y424" s="1"/>
      <c r="Z424" s="1"/>
    </row>
    <row r="425" spans="1:26" ht="24.75" customHeight="1">
      <c r="A425" s="1"/>
      <c r="B425" s="1"/>
      <c r="C425" s="1"/>
      <c r="D425" s="1"/>
      <c r="E425" s="1"/>
      <c r="F425" s="1"/>
      <c r="G425" s="1"/>
      <c r="H425" s="1"/>
      <c r="I425" s="1"/>
      <c r="J425" s="1"/>
      <c r="K425" s="1"/>
      <c r="L425" s="1"/>
      <c r="M425" s="1"/>
      <c r="N425" s="1"/>
      <c r="O425" s="1"/>
      <c r="P425" s="1"/>
      <c r="Q425" s="1"/>
      <c r="R425" s="1"/>
      <c r="S425" s="1"/>
      <c r="T425" s="1"/>
      <c r="U425" s="2"/>
      <c r="V425" s="1"/>
      <c r="W425" s="1"/>
      <c r="X425" s="1"/>
      <c r="Y425" s="1"/>
      <c r="Z425" s="1"/>
    </row>
    <row r="426" spans="1:26" ht="24.75" customHeight="1">
      <c r="A426" s="1"/>
      <c r="B426" s="1"/>
      <c r="C426" s="1"/>
      <c r="D426" s="1"/>
      <c r="E426" s="1"/>
      <c r="F426" s="1"/>
      <c r="G426" s="1"/>
      <c r="H426" s="1"/>
      <c r="I426" s="1"/>
      <c r="J426" s="1"/>
      <c r="K426" s="1"/>
      <c r="L426" s="1"/>
      <c r="M426" s="1"/>
      <c r="N426" s="1"/>
      <c r="O426" s="1"/>
      <c r="P426" s="1"/>
      <c r="Q426" s="1"/>
      <c r="R426" s="1"/>
      <c r="S426" s="1"/>
      <c r="T426" s="1"/>
      <c r="U426" s="2"/>
      <c r="V426" s="1"/>
      <c r="W426" s="1"/>
      <c r="X426" s="1"/>
      <c r="Y426" s="1"/>
      <c r="Z426" s="1"/>
    </row>
    <row r="427" spans="1:26" ht="24.75" customHeight="1">
      <c r="A427" s="1"/>
      <c r="B427" s="1"/>
      <c r="C427" s="1"/>
      <c r="D427" s="1"/>
      <c r="E427" s="1"/>
      <c r="F427" s="1"/>
      <c r="G427" s="1"/>
      <c r="H427" s="1"/>
      <c r="I427" s="1"/>
      <c r="J427" s="1"/>
      <c r="K427" s="1"/>
      <c r="L427" s="1"/>
      <c r="M427" s="1"/>
      <c r="N427" s="1"/>
      <c r="O427" s="1"/>
      <c r="P427" s="1"/>
      <c r="Q427" s="1"/>
      <c r="R427" s="1"/>
      <c r="S427" s="1"/>
      <c r="T427" s="1"/>
      <c r="U427" s="2"/>
      <c r="V427" s="1"/>
      <c r="W427" s="1"/>
      <c r="X427" s="1"/>
      <c r="Y427" s="1"/>
      <c r="Z427" s="1"/>
    </row>
    <row r="428" spans="1:26" ht="24.75" customHeight="1">
      <c r="A428" s="1"/>
      <c r="B428" s="1"/>
      <c r="C428" s="1"/>
      <c r="D428" s="1"/>
      <c r="E428" s="1"/>
      <c r="F428" s="1"/>
      <c r="G428" s="1"/>
      <c r="H428" s="1"/>
      <c r="I428" s="1"/>
      <c r="J428" s="1"/>
      <c r="K428" s="1"/>
      <c r="L428" s="1"/>
      <c r="M428" s="1"/>
      <c r="N428" s="1"/>
      <c r="O428" s="1"/>
      <c r="P428" s="1"/>
      <c r="Q428" s="1"/>
      <c r="R428" s="1"/>
      <c r="S428" s="1"/>
      <c r="T428" s="1"/>
      <c r="U428" s="2"/>
      <c r="V428" s="1"/>
      <c r="W428" s="1"/>
      <c r="X428" s="1"/>
      <c r="Y428" s="1"/>
      <c r="Z428" s="1"/>
    </row>
    <row r="429" spans="1:26" ht="24.75" customHeight="1">
      <c r="A429" s="1"/>
      <c r="B429" s="1"/>
      <c r="C429" s="1"/>
      <c r="D429" s="1"/>
      <c r="E429" s="1"/>
      <c r="F429" s="1"/>
      <c r="G429" s="1"/>
      <c r="H429" s="1"/>
      <c r="I429" s="1"/>
      <c r="J429" s="1"/>
      <c r="K429" s="1"/>
      <c r="L429" s="1"/>
      <c r="M429" s="1"/>
      <c r="N429" s="1"/>
      <c r="O429" s="1"/>
      <c r="P429" s="1"/>
      <c r="Q429" s="1"/>
      <c r="R429" s="1"/>
      <c r="S429" s="1"/>
      <c r="T429" s="1"/>
      <c r="U429" s="2"/>
      <c r="V429" s="1"/>
      <c r="W429" s="1"/>
      <c r="X429" s="1"/>
      <c r="Y429" s="1"/>
      <c r="Z429" s="1"/>
    </row>
    <row r="430" spans="1:26" ht="24.75" customHeight="1">
      <c r="A430" s="1"/>
      <c r="B430" s="1"/>
      <c r="C430" s="1"/>
      <c r="D430" s="1"/>
      <c r="E430" s="1"/>
      <c r="F430" s="1"/>
      <c r="G430" s="1"/>
      <c r="H430" s="1"/>
      <c r="I430" s="1"/>
      <c r="J430" s="1"/>
      <c r="K430" s="1"/>
      <c r="L430" s="1"/>
      <c r="M430" s="1"/>
      <c r="N430" s="1"/>
      <c r="O430" s="1"/>
      <c r="P430" s="1"/>
      <c r="Q430" s="1"/>
      <c r="R430" s="1"/>
      <c r="S430" s="1"/>
      <c r="T430" s="1"/>
      <c r="U430" s="2"/>
      <c r="V430" s="1"/>
      <c r="W430" s="1"/>
      <c r="X430" s="1"/>
      <c r="Y430" s="1"/>
      <c r="Z430" s="1"/>
    </row>
    <row r="431" spans="1:26" ht="24.75" customHeight="1">
      <c r="A431" s="1"/>
      <c r="B431" s="1"/>
      <c r="C431" s="1"/>
      <c r="D431" s="1"/>
      <c r="E431" s="1"/>
      <c r="F431" s="1"/>
      <c r="G431" s="1"/>
      <c r="H431" s="1"/>
      <c r="I431" s="1"/>
      <c r="J431" s="1"/>
      <c r="K431" s="1"/>
      <c r="L431" s="1"/>
      <c r="M431" s="1"/>
      <c r="N431" s="1"/>
      <c r="O431" s="1"/>
      <c r="P431" s="1"/>
      <c r="Q431" s="1"/>
      <c r="R431" s="1"/>
      <c r="S431" s="1"/>
      <c r="T431" s="1"/>
      <c r="U431" s="2"/>
      <c r="V431" s="1"/>
      <c r="W431" s="1"/>
      <c r="X431" s="1"/>
      <c r="Y431" s="1"/>
      <c r="Z431" s="1"/>
    </row>
    <row r="432" spans="1:26" ht="24.75" customHeight="1">
      <c r="A432" s="1"/>
      <c r="B432" s="1"/>
      <c r="C432" s="1"/>
      <c r="D432" s="1"/>
      <c r="E432" s="1"/>
      <c r="F432" s="1"/>
      <c r="G432" s="1"/>
      <c r="H432" s="1"/>
      <c r="I432" s="1"/>
      <c r="J432" s="1"/>
      <c r="K432" s="1"/>
      <c r="L432" s="1"/>
      <c r="M432" s="1"/>
      <c r="N432" s="1"/>
      <c r="O432" s="1"/>
      <c r="P432" s="1"/>
      <c r="Q432" s="1"/>
      <c r="R432" s="1"/>
      <c r="S432" s="1"/>
      <c r="T432" s="1"/>
      <c r="U432" s="2"/>
      <c r="V432" s="1"/>
      <c r="W432" s="1"/>
      <c r="X432" s="1"/>
      <c r="Y432" s="1"/>
      <c r="Z432" s="1"/>
    </row>
    <row r="433" spans="1:26" ht="24.75" customHeight="1">
      <c r="A433" s="1"/>
      <c r="B433" s="1"/>
      <c r="C433" s="1"/>
      <c r="D433" s="1"/>
      <c r="E433" s="1"/>
      <c r="F433" s="1"/>
      <c r="G433" s="1"/>
      <c r="H433" s="1"/>
      <c r="I433" s="1"/>
      <c r="J433" s="1"/>
      <c r="K433" s="1"/>
      <c r="L433" s="1"/>
      <c r="M433" s="1"/>
      <c r="N433" s="1"/>
      <c r="O433" s="1"/>
      <c r="P433" s="1"/>
      <c r="Q433" s="1"/>
      <c r="R433" s="1"/>
      <c r="S433" s="1"/>
      <c r="T433" s="1"/>
      <c r="U433" s="2"/>
      <c r="V433" s="1"/>
      <c r="W433" s="1"/>
      <c r="X433" s="1"/>
      <c r="Y433" s="1"/>
      <c r="Z433" s="1"/>
    </row>
    <row r="434" spans="1:26" ht="24.75" customHeight="1">
      <c r="A434" s="1"/>
      <c r="B434" s="1"/>
      <c r="C434" s="1"/>
      <c r="D434" s="1"/>
      <c r="E434" s="1"/>
      <c r="F434" s="1"/>
      <c r="G434" s="1"/>
      <c r="H434" s="1"/>
      <c r="I434" s="1"/>
      <c r="J434" s="1"/>
      <c r="K434" s="1"/>
      <c r="L434" s="1"/>
      <c r="M434" s="1"/>
      <c r="N434" s="1"/>
      <c r="O434" s="1"/>
      <c r="P434" s="1"/>
      <c r="Q434" s="1"/>
      <c r="R434" s="1"/>
      <c r="S434" s="1"/>
      <c r="T434" s="1"/>
      <c r="U434" s="2"/>
      <c r="V434" s="1"/>
      <c r="W434" s="1"/>
      <c r="X434" s="1"/>
      <c r="Y434" s="1"/>
      <c r="Z434" s="1"/>
    </row>
    <row r="435" spans="1:26" ht="24.75" customHeight="1">
      <c r="A435" s="1"/>
      <c r="B435" s="1"/>
      <c r="C435" s="1"/>
      <c r="D435" s="1"/>
      <c r="E435" s="1"/>
      <c r="F435" s="1"/>
      <c r="G435" s="1"/>
      <c r="H435" s="1"/>
      <c r="I435" s="1"/>
      <c r="J435" s="1"/>
      <c r="K435" s="1"/>
      <c r="L435" s="1"/>
      <c r="M435" s="1"/>
      <c r="N435" s="1"/>
      <c r="O435" s="1"/>
      <c r="P435" s="1"/>
      <c r="Q435" s="1"/>
      <c r="R435" s="1"/>
      <c r="S435" s="1"/>
      <c r="T435" s="1"/>
      <c r="U435" s="2"/>
      <c r="V435" s="1"/>
      <c r="W435" s="1"/>
      <c r="X435" s="1"/>
      <c r="Y435" s="1"/>
      <c r="Z435" s="1"/>
    </row>
    <row r="436" spans="1:26" ht="24.75" customHeight="1">
      <c r="A436" s="1"/>
      <c r="B436" s="1"/>
      <c r="C436" s="1"/>
      <c r="D436" s="1"/>
      <c r="E436" s="1"/>
      <c r="F436" s="1"/>
      <c r="G436" s="1"/>
      <c r="H436" s="1"/>
      <c r="I436" s="1"/>
      <c r="J436" s="1"/>
      <c r="K436" s="1"/>
      <c r="L436" s="1"/>
      <c r="M436" s="1"/>
      <c r="N436" s="1"/>
      <c r="O436" s="1"/>
      <c r="P436" s="1"/>
      <c r="Q436" s="1"/>
      <c r="R436" s="1"/>
      <c r="S436" s="1"/>
      <c r="T436" s="1"/>
      <c r="U436" s="2"/>
      <c r="V436" s="1"/>
      <c r="W436" s="1"/>
      <c r="X436" s="1"/>
      <c r="Y436" s="1"/>
      <c r="Z436" s="1"/>
    </row>
    <row r="437" spans="1:26" ht="24.75" customHeight="1">
      <c r="A437" s="1"/>
      <c r="B437" s="1"/>
      <c r="C437" s="1"/>
      <c r="D437" s="1"/>
      <c r="E437" s="1"/>
      <c r="F437" s="1"/>
      <c r="G437" s="1"/>
      <c r="H437" s="1"/>
      <c r="I437" s="1"/>
      <c r="J437" s="1"/>
      <c r="K437" s="1"/>
      <c r="L437" s="1"/>
      <c r="M437" s="1"/>
      <c r="N437" s="1"/>
      <c r="O437" s="1"/>
      <c r="P437" s="1"/>
      <c r="Q437" s="1"/>
      <c r="R437" s="1"/>
      <c r="S437" s="1"/>
      <c r="T437" s="1"/>
      <c r="U437" s="2"/>
      <c r="V437" s="1"/>
      <c r="W437" s="1"/>
      <c r="X437" s="1"/>
      <c r="Y437" s="1"/>
      <c r="Z437" s="1"/>
    </row>
    <row r="438" spans="1:26" ht="24.75" customHeight="1">
      <c r="A438" s="1"/>
      <c r="B438" s="1"/>
      <c r="C438" s="1"/>
      <c r="D438" s="1"/>
      <c r="E438" s="1"/>
      <c r="F438" s="1"/>
      <c r="G438" s="1"/>
      <c r="H438" s="1"/>
      <c r="I438" s="1"/>
      <c r="J438" s="1"/>
      <c r="K438" s="1"/>
      <c r="L438" s="1"/>
      <c r="M438" s="1"/>
      <c r="N438" s="1"/>
      <c r="O438" s="1"/>
      <c r="P438" s="1"/>
      <c r="Q438" s="1"/>
      <c r="R438" s="1"/>
      <c r="S438" s="1"/>
      <c r="T438" s="1"/>
      <c r="U438" s="2"/>
      <c r="V438" s="1"/>
      <c r="W438" s="1"/>
      <c r="X438" s="1"/>
      <c r="Y438" s="1"/>
      <c r="Z438" s="1"/>
    </row>
    <row r="439" spans="1:26" ht="24.75" customHeight="1">
      <c r="A439" s="1"/>
      <c r="B439" s="1"/>
      <c r="C439" s="1"/>
      <c r="D439" s="1"/>
      <c r="E439" s="1"/>
      <c r="F439" s="1"/>
      <c r="G439" s="1"/>
      <c r="H439" s="1"/>
      <c r="I439" s="1"/>
      <c r="J439" s="1"/>
      <c r="K439" s="1"/>
      <c r="L439" s="1"/>
      <c r="M439" s="1"/>
      <c r="N439" s="1"/>
      <c r="O439" s="1"/>
      <c r="P439" s="1"/>
      <c r="Q439" s="1"/>
      <c r="R439" s="1"/>
      <c r="S439" s="1"/>
      <c r="T439" s="1"/>
      <c r="U439" s="2"/>
      <c r="V439" s="1"/>
      <c r="W439" s="1"/>
      <c r="X439" s="1"/>
      <c r="Y439" s="1"/>
      <c r="Z439" s="1"/>
    </row>
    <row r="440" spans="1:26" ht="24.75" customHeight="1">
      <c r="A440" s="1"/>
      <c r="B440" s="1"/>
      <c r="C440" s="1"/>
      <c r="D440" s="1"/>
      <c r="E440" s="1"/>
      <c r="F440" s="1"/>
      <c r="G440" s="1"/>
      <c r="H440" s="1"/>
      <c r="I440" s="1"/>
      <c r="J440" s="1"/>
      <c r="K440" s="1"/>
      <c r="L440" s="1"/>
      <c r="M440" s="1"/>
      <c r="N440" s="1"/>
      <c r="O440" s="1"/>
      <c r="P440" s="1"/>
      <c r="Q440" s="1"/>
      <c r="R440" s="1"/>
      <c r="S440" s="1"/>
      <c r="T440" s="1"/>
      <c r="U440" s="2"/>
      <c r="V440" s="1"/>
      <c r="W440" s="1"/>
      <c r="X440" s="1"/>
      <c r="Y440" s="1"/>
      <c r="Z440" s="1"/>
    </row>
    <row r="441" spans="1:26" ht="24.75" customHeight="1">
      <c r="A441" s="1"/>
      <c r="B441" s="1"/>
      <c r="C441" s="1"/>
      <c r="D441" s="1"/>
      <c r="E441" s="1"/>
      <c r="F441" s="1"/>
      <c r="G441" s="1"/>
      <c r="H441" s="1"/>
      <c r="I441" s="1"/>
      <c r="J441" s="1"/>
      <c r="K441" s="1"/>
      <c r="L441" s="1"/>
      <c r="M441" s="1"/>
      <c r="N441" s="1"/>
      <c r="O441" s="1"/>
      <c r="P441" s="1"/>
      <c r="Q441" s="1"/>
      <c r="R441" s="1"/>
      <c r="S441" s="1"/>
      <c r="T441" s="1"/>
      <c r="U441" s="2"/>
      <c r="V441" s="1"/>
      <c r="W441" s="1"/>
      <c r="X441" s="1"/>
      <c r="Y441" s="1"/>
      <c r="Z441" s="1"/>
    </row>
    <row r="442" spans="1:26" ht="24.75" customHeight="1">
      <c r="A442" s="1"/>
      <c r="B442" s="1"/>
      <c r="C442" s="1"/>
      <c r="D442" s="1"/>
      <c r="E442" s="1"/>
      <c r="F442" s="1"/>
      <c r="G442" s="1"/>
      <c r="H442" s="1"/>
      <c r="I442" s="1"/>
      <c r="J442" s="1"/>
      <c r="K442" s="1"/>
      <c r="L442" s="1"/>
      <c r="M442" s="1"/>
      <c r="N442" s="1"/>
      <c r="O442" s="1"/>
      <c r="P442" s="1"/>
      <c r="Q442" s="1"/>
      <c r="R442" s="1"/>
      <c r="S442" s="1"/>
      <c r="T442" s="1"/>
      <c r="U442" s="2"/>
      <c r="V442" s="1"/>
      <c r="W442" s="1"/>
      <c r="X442" s="1"/>
      <c r="Y442" s="1"/>
      <c r="Z442" s="1"/>
    </row>
    <row r="443" spans="1:26" ht="24.75" customHeight="1">
      <c r="A443" s="1"/>
      <c r="B443" s="1"/>
      <c r="C443" s="1"/>
      <c r="D443" s="1"/>
      <c r="E443" s="1"/>
      <c r="F443" s="1"/>
      <c r="G443" s="1"/>
      <c r="H443" s="1"/>
      <c r="I443" s="1"/>
      <c r="J443" s="1"/>
      <c r="K443" s="1"/>
      <c r="L443" s="1"/>
      <c r="M443" s="1"/>
      <c r="N443" s="1"/>
      <c r="O443" s="1"/>
      <c r="P443" s="1"/>
      <c r="Q443" s="1"/>
      <c r="R443" s="1"/>
      <c r="S443" s="1"/>
      <c r="T443" s="1"/>
      <c r="U443" s="2"/>
      <c r="V443" s="1"/>
      <c r="W443" s="1"/>
      <c r="X443" s="1"/>
      <c r="Y443" s="1"/>
      <c r="Z443" s="1"/>
    </row>
    <row r="444" spans="1:26" ht="24.75" customHeight="1">
      <c r="A444" s="1"/>
      <c r="B444" s="1"/>
      <c r="C444" s="1"/>
      <c r="D444" s="1"/>
      <c r="E444" s="1"/>
      <c r="F444" s="1"/>
      <c r="G444" s="1"/>
      <c r="H444" s="1"/>
      <c r="I444" s="1"/>
      <c r="J444" s="1"/>
      <c r="K444" s="1"/>
      <c r="L444" s="1"/>
      <c r="M444" s="1"/>
      <c r="N444" s="1"/>
      <c r="O444" s="1"/>
      <c r="P444" s="1"/>
      <c r="Q444" s="1"/>
      <c r="R444" s="1"/>
      <c r="S444" s="1"/>
      <c r="T444" s="1"/>
      <c r="U444" s="2"/>
      <c r="V444" s="1"/>
      <c r="W444" s="1"/>
      <c r="X444" s="1"/>
      <c r="Y444" s="1"/>
      <c r="Z444" s="1"/>
    </row>
    <row r="445" spans="1:26" ht="24.75" customHeight="1">
      <c r="A445" s="1"/>
      <c r="B445" s="1"/>
      <c r="C445" s="1"/>
      <c r="D445" s="1"/>
      <c r="E445" s="1"/>
      <c r="F445" s="1"/>
      <c r="G445" s="1"/>
      <c r="H445" s="1"/>
      <c r="I445" s="1"/>
      <c r="J445" s="1"/>
      <c r="K445" s="1"/>
      <c r="L445" s="1"/>
      <c r="M445" s="1"/>
      <c r="N445" s="1"/>
      <c r="O445" s="1"/>
      <c r="P445" s="1"/>
      <c r="Q445" s="1"/>
      <c r="R445" s="1"/>
      <c r="S445" s="1"/>
      <c r="T445" s="1"/>
      <c r="U445" s="2"/>
      <c r="V445" s="1"/>
      <c r="W445" s="1"/>
      <c r="X445" s="1"/>
      <c r="Y445" s="1"/>
      <c r="Z445" s="1"/>
    </row>
    <row r="446" spans="1:26" ht="24.75" customHeight="1">
      <c r="A446" s="1"/>
      <c r="B446" s="1"/>
      <c r="C446" s="1"/>
      <c r="D446" s="1"/>
      <c r="E446" s="1"/>
      <c r="F446" s="1"/>
      <c r="G446" s="1"/>
      <c r="H446" s="1"/>
      <c r="I446" s="1"/>
      <c r="J446" s="1"/>
      <c r="K446" s="1"/>
      <c r="L446" s="1"/>
      <c r="M446" s="1"/>
      <c r="N446" s="1"/>
      <c r="O446" s="1"/>
      <c r="P446" s="1"/>
      <c r="Q446" s="1"/>
      <c r="R446" s="1"/>
      <c r="S446" s="1"/>
      <c r="T446" s="1"/>
      <c r="U446" s="2"/>
      <c r="V446" s="1"/>
      <c r="W446" s="1"/>
      <c r="X446" s="1"/>
      <c r="Y446" s="1"/>
      <c r="Z446" s="1"/>
    </row>
    <row r="447" spans="1:26" ht="24.75" customHeight="1">
      <c r="A447" s="1"/>
      <c r="B447" s="1"/>
      <c r="C447" s="1"/>
      <c r="D447" s="1"/>
      <c r="E447" s="1"/>
      <c r="F447" s="1"/>
      <c r="G447" s="1"/>
      <c r="H447" s="1"/>
      <c r="I447" s="1"/>
      <c r="J447" s="1"/>
      <c r="K447" s="1"/>
      <c r="L447" s="1"/>
      <c r="M447" s="1"/>
      <c r="N447" s="1"/>
      <c r="O447" s="1"/>
      <c r="P447" s="1"/>
      <c r="Q447" s="1"/>
      <c r="R447" s="1"/>
      <c r="S447" s="1"/>
      <c r="T447" s="1"/>
      <c r="U447" s="2"/>
      <c r="V447" s="1"/>
      <c r="W447" s="1"/>
      <c r="X447" s="1"/>
      <c r="Y447" s="1"/>
      <c r="Z447" s="1"/>
    </row>
    <row r="448" spans="1:26" ht="24.75" customHeight="1">
      <c r="A448" s="1"/>
      <c r="B448" s="1"/>
      <c r="C448" s="1"/>
      <c r="D448" s="1"/>
      <c r="E448" s="1"/>
      <c r="F448" s="1"/>
      <c r="G448" s="1"/>
      <c r="H448" s="1"/>
      <c r="I448" s="1"/>
      <c r="J448" s="1"/>
      <c r="K448" s="1"/>
      <c r="L448" s="1"/>
      <c r="M448" s="1"/>
      <c r="N448" s="1"/>
      <c r="O448" s="1"/>
      <c r="P448" s="1"/>
      <c r="Q448" s="1"/>
      <c r="R448" s="1"/>
      <c r="S448" s="1"/>
      <c r="T448" s="1"/>
      <c r="U448" s="2"/>
      <c r="V448" s="1"/>
      <c r="W448" s="1"/>
      <c r="X448" s="1"/>
      <c r="Y448" s="1"/>
      <c r="Z448" s="1"/>
    </row>
    <row r="449" spans="1:26" ht="24.75" customHeight="1">
      <c r="A449" s="1"/>
      <c r="B449" s="1"/>
      <c r="C449" s="1"/>
      <c r="D449" s="1"/>
      <c r="E449" s="1"/>
      <c r="F449" s="1"/>
      <c r="G449" s="1"/>
      <c r="H449" s="1"/>
      <c r="I449" s="1"/>
      <c r="J449" s="1"/>
      <c r="K449" s="1"/>
      <c r="L449" s="1"/>
      <c r="M449" s="1"/>
      <c r="N449" s="1"/>
      <c r="O449" s="1"/>
      <c r="P449" s="1"/>
      <c r="Q449" s="1"/>
      <c r="R449" s="1"/>
      <c r="S449" s="1"/>
      <c r="T449" s="1"/>
      <c r="U449" s="2"/>
      <c r="V449" s="1"/>
      <c r="W449" s="1"/>
      <c r="X449" s="1"/>
      <c r="Y449" s="1"/>
      <c r="Z449" s="1"/>
    </row>
    <row r="450" spans="1:26" ht="24.75" customHeight="1">
      <c r="A450" s="1"/>
      <c r="B450" s="1"/>
      <c r="C450" s="1"/>
      <c r="D450" s="1"/>
      <c r="E450" s="1"/>
      <c r="F450" s="1"/>
      <c r="G450" s="1"/>
      <c r="H450" s="1"/>
      <c r="I450" s="1"/>
      <c r="J450" s="1"/>
      <c r="K450" s="1"/>
      <c r="L450" s="1"/>
      <c r="M450" s="1"/>
      <c r="N450" s="1"/>
      <c r="O450" s="1"/>
      <c r="P450" s="1"/>
      <c r="Q450" s="1"/>
      <c r="R450" s="1"/>
      <c r="S450" s="1"/>
      <c r="T450" s="1"/>
      <c r="U450" s="2"/>
      <c r="V450" s="1"/>
      <c r="W450" s="1"/>
      <c r="X450" s="1"/>
      <c r="Y450" s="1"/>
      <c r="Z450" s="1"/>
    </row>
    <row r="451" spans="1:26" ht="24.75" customHeight="1">
      <c r="A451" s="1"/>
      <c r="B451" s="1"/>
      <c r="C451" s="1"/>
      <c r="D451" s="1"/>
      <c r="E451" s="1"/>
      <c r="F451" s="1"/>
      <c r="G451" s="1"/>
      <c r="H451" s="1"/>
      <c r="I451" s="1"/>
      <c r="J451" s="1"/>
      <c r="K451" s="1"/>
      <c r="L451" s="1"/>
      <c r="M451" s="1"/>
      <c r="N451" s="1"/>
      <c r="O451" s="1"/>
      <c r="P451" s="1"/>
      <c r="Q451" s="1"/>
      <c r="R451" s="1"/>
      <c r="S451" s="1"/>
      <c r="T451" s="1"/>
      <c r="U451" s="2"/>
      <c r="V451" s="1"/>
      <c r="W451" s="1"/>
      <c r="X451" s="1"/>
      <c r="Y451" s="1"/>
      <c r="Z451" s="1"/>
    </row>
    <row r="452" spans="1:26" ht="24.75" customHeight="1">
      <c r="A452" s="1"/>
      <c r="B452" s="1"/>
      <c r="C452" s="1"/>
      <c r="D452" s="1"/>
      <c r="E452" s="1"/>
      <c r="F452" s="1"/>
      <c r="G452" s="1"/>
      <c r="H452" s="1"/>
      <c r="I452" s="1"/>
      <c r="J452" s="1"/>
      <c r="K452" s="1"/>
      <c r="L452" s="1"/>
      <c r="M452" s="1"/>
      <c r="N452" s="1"/>
      <c r="O452" s="1"/>
      <c r="P452" s="1"/>
      <c r="Q452" s="1"/>
      <c r="R452" s="1"/>
      <c r="S452" s="1"/>
      <c r="T452" s="1"/>
      <c r="U452" s="2"/>
      <c r="V452" s="1"/>
      <c r="W452" s="1"/>
      <c r="X452" s="1"/>
      <c r="Y452" s="1"/>
      <c r="Z452" s="1"/>
    </row>
    <row r="453" spans="1:26" ht="24.75" customHeight="1">
      <c r="A453" s="1"/>
      <c r="B453" s="1"/>
      <c r="C453" s="1"/>
      <c r="D453" s="1"/>
      <c r="E453" s="1"/>
      <c r="F453" s="1"/>
      <c r="G453" s="1"/>
      <c r="H453" s="1"/>
      <c r="I453" s="1"/>
      <c r="J453" s="1"/>
      <c r="K453" s="1"/>
      <c r="L453" s="1"/>
      <c r="M453" s="1"/>
      <c r="N453" s="1"/>
      <c r="O453" s="1"/>
      <c r="P453" s="1"/>
      <c r="Q453" s="1"/>
      <c r="R453" s="1"/>
      <c r="S453" s="1"/>
      <c r="T453" s="1"/>
      <c r="U453" s="2"/>
      <c r="V453" s="1"/>
      <c r="W453" s="1"/>
      <c r="X453" s="1"/>
      <c r="Y453" s="1"/>
      <c r="Z453" s="1"/>
    </row>
    <row r="454" spans="1:26" ht="24.75" customHeight="1">
      <c r="A454" s="1"/>
      <c r="B454" s="1"/>
      <c r="C454" s="1"/>
      <c r="D454" s="1"/>
      <c r="E454" s="1"/>
      <c r="F454" s="1"/>
      <c r="G454" s="1"/>
      <c r="H454" s="1"/>
      <c r="I454" s="1"/>
      <c r="J454" s="1"/>
      <c r="K454" s="1"/>
      <c r="L454" s="1"/>
      <c r="M454" s="1"/>
      <c r="N454" s="1"/>
      <c r="O454" s="1"/>
      <c r="P454" s="1"/>
      <c r="Q454" s="1"/>
      <c r="R454" s="1"/>
      <c r="S454" s="1"/>
      <c r="T454" s="1"/>
      <c r="U454" s="2"/>
      <c r="V454" s="1"/>
      <c r="W454" s="1"/>
      <c r="X454" s="1"/>
      <c r="Y454" s="1"/>
      <c r="Z454" s="1"/>
    </row>
    <row r="455" spans="1:26" ht="24.75" customHeight="1">
      <c r="A455" s="1"/>
      <c r="B455" s="1"/>
      <c r="C455" s="1"/>
      <c r="D455" s="1"/>
      <c r="E455" s="1"/>
      <c r="F455" s="1"/>
      <c r="G455" s="1"/>
      <c r="H455" s="1"/>
      <c r="I455" s="1"/>
      <c r="J455" s="1"/>
      <c r="K455" s="1"/>
      <c r="L455" s="1"/>
      <c r="M455" s="1"/>
      <c r="N455" s="1"/>
      <c r="O455" s="1"/>
      <c r="P455" s="1"/>
      <c r="Q455" s="1"/>
      <c r="R455" s="1"/>
      <c r="S455" s="1"/>
      <c r="T455" s="1"/>
      <c r="U455" s="2"/>
      <c r="V455" s="1"/>
      <c r="W455" s="1"/>
      <c r="X455" s="1"/>
      <c r="Y455" s="1"/>
      <c r="Z455" s="1"/>
    </row>
    <row r="456" spans="1:26" ht="24.75" customHeight="1">
      <c r="A456" s="1"/>
      <c r="B456" s="1"/>
      <c r="C456" s="1"/>
      <c r="D456" s="1"/>
      <c r="E456" s="1"/>
      <c r="F456" s="1"/>
      <c r="G456" s="1"/>
      <c r="H456" s="1"/>
      <c r="I456" s="1"/>
      <c r="J456" s="1"/>
      <c r="K456" s="1"/>
      <c r="L456" s="1"/>
      <c r="M456" s="1"/>
      <c r="N456" s="1"/>
      <c r="O456" s="1"/>
      <c r="P456" s="1"/>
      <c r="Q456" s="1"/>
      <c r="R456" s="1"/>
      <c r="S456" s="1"/>
      <c r="T456" s="1"/>
      <c r="U456" s="2"/>
      <c r="V456" s="1"/>
      <c r="W456" s="1"/>
      <c r="X456" s="1"/>
      <c r="Y456" s="1"/>
      <c r="Z456" s="1"/>
    </row>
    <row r="457" spans="1:26" ht="24.75" customHeight="1">
      <c r="A457" s="1"/>
      <c r="B457" s="1"/>
      <c r="C457" s="1"/>
      <c r="D457" s="1"/>
      <c r="E457" s="1"/>
      <c r="F457" s="1"/>
      <c r="G457" s="1"/>
      <c r="H457" s="1"/>
      <c r="I457" s="1"/>
      <c r="J457" s="1"/>
      <c r="K457" s="1"/>
      <c r="L457" s="1"/>
      <c r="M457" s="1"/>
      <c r="N457" s="1"/>
      <c r="O457" s="1"/>
      <c r="P457" s="1"/>
      <c r="Q457" s="1"/>
      <c r="R457" s="1"/>
      <c r="S457" s="1"/>
      <c r="T457" s="1"/>
      <c r="U457" s="2"/>
      <c r="V457" s="1"/>
      <c r="W457" s="1"/>
      <c r="X457" s="1"/>
      <c r="Y457" s="1"/>
      <c r="Z457" s="1"/>
    </row>
    <row r="458" spans="1:26" ht="24.75" customHeight="1">
      <c r="A458" s="1"/>
      <c r="B458" s="1"/>
      <c r="C458" s="1"/>
      <c r="D458" s="1"/>
      <c r="E458" s="1"/>
      <c r="F458" s="1"/>
      <c r="G458" s="1"/>
      <c r="H458" s="1"/>
      <c r="I458" s="1"/>
      <c r="J458" s="1"/>
      <c r="K458" s="1"/>
      <c r="L458" s="1"/>
      <c r="M458" s="1"/>
      <c r="N458" s="1"/>
      <c r="O458" s="1"/>
      <c r="P458" s="1"/>
      <c r="Q458" s="1"/>
      <c r="R458" s="1"/>
      <c r="S458" s="1"/>
      <c r="T458" s="1"/>
      <c r="U458" s="2"/>
      <c r="V458" s="1"/>
      <c r="W458" s="1"/>
      <c r="X458" s="1"/>
      <c r="Y458" s="1"/>
      <c r="Z458" s="1"/>
    </row>
    <row r="459" spans="1:26" ht="24.75" customHeight="1">
      <c r="A459" s="1"/>
      <c r="B459" s="1"/>
      <c r="C459" s="1"/>
      <c r="D459" s="1"/>
      <c r="E459" s="1"/>
      <c r="F459" s="1"/>
      <c r="G459" s="1"/>
      <c r="H459" s="1"/>
      <c r="I459" s="1"/>
      <c r="J459" s="1"/>
      <c r="K459" s="1"/>
      <c r="L459" s="1"/>
      <c r="M459" s="1"/>
      <c r="N459" s="1"/>
      <c r="O459" s="1"/>
      <c r="P459" s="1"/>
      <c r="Q459" s="1"/>
      <c r="R459" s="1"/>
      <c r="S459" s="1"/>
      <c r="T459" s="1"/>
      <c r="U459" s="2"/>
      <c r="V459" s="1"/>
      <c r="W459" s="1"/>
      <c r="X459" s="1"/>
      <c r="Y459" s="1"/>
      <c r="Z459" s="1"/>
    </row>
    <row r="460" spans="1:26" ht="24.75" customHeight="1">
      <c r="A460" s="1"/>
      <c r="B460" s="1"/>
      <c r="C460" s="1"/>
      <c r="D460" s="1"/>
      <c r="E460" s="1"/>
      <c r="F460" s="1"/>
      <c r="G460" s="1"/>
      <c r="H460" s="1"/>
      <c r="I460" s="1"/>
      <c r="J460" s="1"/>
      <c r="K460" s="1"/>
      <c r="L460" s="1"/>
      <c r="M460" s="1"/>
      <c r="N460" s="1"/>
      <c r="O460" s="1"/>
      <c r="P460" s="1"/>
      <c r="Q460" s="1"/>
      <c r="R460" s="1"/>
      <c r="S460" s="1"/>
      <c r="T460" s="1"/>
      <c r="U460" s="2"/>
      <c r="V460" s="1"/>
      <c r="W460" s="1"/>
      <c r="X460" s="1"/>
      <c r="Y460" s="1"/>
      <c r="Z460" s="1"/>
    </row>
    <row r="461" spans="1:26" ht="24.75" customHeight="1">
      <c r="A461" s="1"/>
      <c r="B461" s="1"/>
      <c r="C461" s="1"/>
      <c r="D461" s="1"/>
      <c r="E461" s="1"/>
      <c r="F461" s="1"/>
      <c r="G461" s="1"/>
      <c r="H461" s="1"/>
      <c r="I461" s="1"/>
      <c r="J461" s="1"/>
      <c r="K461" s="1"/>
      <c r="L461" s="1"/>
      <c r="M461" s="1"/>
      <c r="N461" s="1"/>
      <c r="O461" s="1"/>
      <c r="P461" s="1"/>
      <c r="Q461" s="1"/>
      <c r="R461" s="1"/>
      <c r="S461" s="1"/>
      <c r="T461" s="1"/>
      <c r="U461" s="2"/>
      <c r="V461" s="1"/>
      <c r="W461" s="1"/>
      <c r="X461" s="1"/>
      <c r="Y461" s="1"/>
      <c r="Z461" s="1"/>
    </row>
    <row r="462" spans="1:26" ht="24.75" customHeight="1">
      <c r="A462" s="1"/>
      <c r="B462" s="1"/>
      <c r="C462" s="1"/>
      <c r="D462" s="1"/>
      <c r="E462" s="1"/>
      <c r="F462" s="1"/>
      <c r="G462" s="1"/>
      <c r="H462" s="1"/>
      <c r="I462" s="1"/>
      <c r="J462" s="1"/>
      <c r="K462" s="1"/>
      <c r="L462" s="1"/>
      <c r="M462" s="1"/>
      <c r="N462" s="1"/>
      <c r="O462" s="1"/>
      <c r="P462" s="1"/>
      <c r="Q462" s="1"/>
      <c r="R462" s="1"/>
      <c r="S462" s="1"/>
      <c r="T462" s="1"/>
      <c r="U462" s="2"/>
      <c r="V462" s="1"/>
      <c r="W462" s="1"/>
      <c r="X462" s="1"/>
      <c r="Y462" s="1"/>
      <c r="Z462" s="1"/>
    </row>
    <row r="463" spans="1:26" ht="24.75" customHeight="1">
      <c r="A463" s="1"/>
      <c r="B463" s="1"/>
      <c r="C463" s="1"/>
      <c r="D463" s="1"/>
      <c r="E463" s="1"/>
      <c r="F463" s="1"/>
      <c r="G463" s="1"/>
      <c r="H463" s="1"/>
      <c r="I463" s="1"/>
      <c r="J463" s="1"/>
      <c r="K463" s="1"/>
      <c r="L463" s="1"/>
      <c r="M463" s="1"/>
      <c r="N463" s="1"/>
      <c r="O463" s="1"/>
      <c r="P463" s="1"/>
      <c r="Q463" s="1"/>
      <c r="R463" s="1"/>
      <c r="S463" s="1"/>
      <c r="T463" s="1"/>
      <c r="U463" s="2"/>
      <c r="V463" s="1"/>
      <c r="W463" s="1"/>
      <c r="X463" s="1"/>
      <c r="Y463" s="1"/>
      <c r="Z463" s="1"/>
    </row>
    <row r="464" spans="1:26" ht="24.75" customHeight="1">
      <c r="A464" s="1"/>
      <c r="B464" s="1"/>
      <c r="C464" s="1"/>
      <c r="D464" s="1"/>
      <c r="E464" s="1"/>
      <c r="F464" s="1"/>
      <c r="G464" s="1"/>
      <c r="H464" s="1"/>
      <c r="I464" s="1"/>
      <c r="J464" s="1"/>
      <c r="K464" s="1"/>
      <c r="L464" s="1"/>
      <c r="M464" s="1"/>
      <c r="N464" s="1"/>
      <c r="O464" s="1"/>
      <c r="P464" s="1"/>
      <c r="Q464" s="1"/>
      <c r="R464" s="1"/>
      <c r="S464" s="1"/>
      <c r="T464" s="1"/>
      <c r="U464" s="2"/>
      <c r="V464" s="1"/>
      <c r="W464" s="1"/>
      <c r="X464" s="1"/>
      <c r="Y464" s="1"/>
      <c r="Z464" s="1"/>
    </row>
    <row r="465" spans="1:26" ht="24.75" customHeight="1">
      <c r="A465" s="1"/>
      <c r="B465" s="1"/>
      <c r="C465" s="1"/>
      <c r="D465" s="1"/>
      <c r="E465" s="1"/>
      <c r="F465" s="1"/>
      <c r="G465" s="1"/>
      <c r="H465" s="1"/>
      <c r="I465" s="1"/>
      <c r="J465" s="1"/>
      <c r="K465" s="1"/>
      <c r="L465" s="1"/>
      <c r="M465" s="1"/>
      <c r="N465" s="1"/>
      <c r="O465" s="1"/>
      <c r="P465" s="1"/>
      <c r="Q465" s="1"/>
      <c r="R465" s="1"/>
      <c r="S465" s="1"/>
      <c r="T465" s="1"/>
      <c r="U465" s="2"/>
      <c r="V465" s="1"/>
      <c r="W465" s="1"/>
      <c r="X465" s="1"/>
      <c r="Y465" s="1"/>
      <c r="Z465" s="1"/>
    </row>
    <row r="466" spans="1:26" ht="24.75" customHeight="1">
      <c r="A466" s="1"/>
      <c r="B466" s="1"/>
      <c r="C466" s="1"/>
      <c r="D466" s="1"/>
      <c r="E466" s="1"/>
      <c r="F466" s="1"/>
      <c r="G466" s="1"/>
      <c r="H466" s="1"/>
      <c r="I466" s="1"/>
      <c r="J466" s="1"/>
      <c r="K466" s="1"/>
      <c r="L466" s="1"/>
      <c r="M466" s="1"/>
      <c r="N466" s="1"/>
      <c r="O466" s="1"/>
      <c r="P466" s="1"/>
      <c r="Q466" s="1"/>
      <c r="R466" s="1"/>
      <c r="S466" s="1"/>
      <c r="T466" s="1"/>
      <c r="U466" s="2"/>
      <c r="V466" s="1"/>
      <c r="W466" s="1"/>
      <c r="X466" s="1"/>
      <c r="Y466" s="1"/>
      <c r="Z466" s="1"/>
    </row>
    <row r="467" spans="1:26" ht="24.75" customHeight="1">
      <c r="A467" s="1"/>
      <c r="B467" s="1"/>
      <c r="C467" s="1"/>
      <c r="D467" s="1"/>
      <c r="E467" s="1"/>
      <c r="F467" s="1"/>
      <c r="G467" s="1"/>
      <c r="H467" s="1"/>
      <c r="I467" s="1"/>
      <c r="J467" s="1"/>
      <c r="K467" s="1"/>
      <c r="L467" s="1"/>
      <c r="M467" s="1"/>
      <c r="N467" s="1"/>
      <c r="O467" s="1"/>
      <c r="P467" s="1"/>
      <c r="Q467" s="1"/>
      <c r="R467" s="1"/>
      <c r="S467" s="1"/>
      <c r="T467" s="1"/>
      <c r="U467" s="2"/>
      <c r="V467" s="1"/>
      <c r="W467" s="1"/>
      <c r="X467" s="1"/>
      <c r="Y467" s="1"/>
      <c r="Z467" s="1"/>
    </row>
    <row r="468" spans="1:26" ht="24.75" customHeight="1">
      <c r="A468" s="1"/>
      <c r="B468" s="1"/>
      <c r="C468" s="1"/>
      <c r="D468" s="1"/>
      <c r="E468" s="1"/>
      <c r="F468" s="1"/>
      <c r="G468" s="1"/>
      <c r="H468" s="1"/>
      <c r="I468" s="1"/>
      <c r="J468" s="1"/>
      <c r="K468" s="1"/>
      <c r="L468" s="1"/>
      <c r="M468" s="1"/>
      <c r="N468" s="1"/>
      <c r="O468" s="1"/>
      <c r="P468" s="1"/>
      <c r="Q468" s="1"/>
      <c r="R468" s="1"/>
      <c r="S468" s="1"/>
      <c r="T468" s="1"/>
      <c r="U468" s="2"/>
      <c r="V468" s="1"/>
      <c r="W468" s="1"/>
      <c r="X468" s="1"/>
      <c r="Y468" s="1"/>
      <c r="Z468" s="1"/>
    </row>
    <row r="469" spans="1:26" ht="24.75" customHeight="1">
      <c r="A469" s="1"/>
      <c r="B469" s="1"/>
      <c r="C469" s="1"/>
      <c r="D469" s="1"/>
      <c r="E469" s="1"/>
      <c r="F469" s="1"/>
      <c r="G469" s="1"/>
      <c r="H469" s="1"/>
      <c r="I469" s="1"/>
      <c r="J469" s="1"/>
      <c r="K469" s="1"/>
      <c r="L469" s="1"/>
      <c r="M469" s="1"/>
      <c r="N469" s="1"/>
      <c r="O469" s="1"/>
      <c r="P469" s="1"/>
      <c r="Q469" s="1"/>
      <c r="R469" s="1"/>
      <c r="S469" s="1"/>
      <c r="T469" s="1"/>
      <c r="U469" s="2"/>
      <c r="V469" s="1"/>
      <c r="W469" s="1"/>
      <c r="X469" s="1"/>
      <c r="Y469" s="1"/>
      <c r="Z469" s="1"/>
    </row>
    <row r="470" spans="1:26" ht="24.75" customHeight="1">
      <c r="A470" s="1"/>
      <c r="B470" s="1"/>
      <c r="C470" s="1"/>
      <c r="D470" s="1"/>
      <c r="E470" s="1"/>
      <c r="F470" s="1"/>
      <c r="G470" s="1"/>
      <c r="H470" s="1"/>
      <c r="I470" s="1"/>
      <c r="J470" s="1"/>
      <c r="K470" s="1"/>
      <c r="L470" s="1"/>
      <c r="M470" s="1"/>
      <c r="N470" s="1"/>
      <c r="O470" s="1"/>
      <c r="P470" s="1"/>
      <c r="Q470" s="1"/>
      <c r="R470" s="1"/>
      <c r="S470" s="1"/>
      <c r="T470" s="1"/>
      <c r="U470" s="2"/>
      <c r="V470" s="1"/>
      <c r="W470" s="1"/>
      <c r="X470" s="1"/>
      <c r="Y470" s="1"/>
      <c r="Z470" s="1"/>
    </row>
    <row r="471" spans="1:26" ht="24.75" customHeight="1">
      <c r="A471" s="1"/>
      <c r="B471" s="1"/>
      <c r="C471" s="1"/>
      <c r="D471" s="1"/>
      <c r="E471" s="1"/>
      <c r="F471" s="1"/>
      <c r="G471" s="1"/>
      <c r="H471" s="1"/>
      <c r="I471" s="1"/>
      <c r="J471" s="1"/>
      <c r="K471" s="1"/>
      <c r="L471" s="1"/>
      <c r="M471" s="1"/>
      <c r="N471" s="1"/>
      <c r="O471" s="1"/>
      <c r="P471" s="1"/>
      <c r="Q471" s="1"/>
      <c r="R471" s="1"/>
      <c r="S471" s="1"/>
      <c r="T471" s="1"/>
      <c r="U471" s="2"/>
      <c r="V471" s="1"/>
      <c r="W471" s="1"/>
      <c r="X471" s="1"/>
      <c r="Y471" s="1"/>
      <c r="Z471" s="1"/>
    </row>
    <row r="472" spans="1:26" ht="24.75" customHeight="1">
      <c r="A472" s="1"/>
      <c r="B472" s="1"/>
      <c r="C472" s="1"/>
      <c r="D472" s="1"/>
      <c r="E472" s="1"/>
      <c r="F472" s="1"/>
      <c r="G472" s="1"/>
      <c r="H472" s="1"/>
      <c r="I472" s="1"/>
      <c r="J472" s="1"/>
      <c r="K472" s="1"/>
      <c r="L472" s="1"/>
      <c r="M472" s="1"/>
      <c r="N472" s="1"/>
      <c r="O472" s="1"/>
      <c r="P472" s="1"/>
      <c r="Q472" s="1"/>
      <c r="R472" s="1"/>
      <c r="S472" s="1"/>
      <c r="T472" s="1"/>
      <c r="U472" s="2"/>
      <c r="V472" s="1"/>
      <c r="W472" s="1"/>
      <c r="X472" s="1"/>
      <c r="Y472" s="1"/>
      <c r="Z472" s="1"/>
    </row>
    <row r="473" spans="1:26" ht="24.75" customHeight="1">
      <c r="A473" s="1"/>
      <c r="B473" s="1"/>
      <c r="C473" s="1"/>
      <c r="D473" s="1"/>
      <c r="E473" s="1"/>
      <c r="F473" s="1"/>
      <c r="G473" s="1"/>
      <c r="H473" s="1"/>
      <c r="I473" s="1"/>
      <c r="J473" s="1"/>
      <c r="K473" s="1"/>
      <c r="L473" s="1"/>
      <c r="M473" s="1"/>
      <c r="N473" s="1"/>
      <c r="O473" s="1"/>
      <c r="P473" s="1"/>
      <c r="Q473" s="1"/>
      <c r="R473" s="1"/>
      <c r="S473" s="1"/>
      <c r="T473" s="1"/>
      <c r="U473" s="2"/>
      <c r="V473" s="1"/>
      <c r="W473" s="1"/>
      <c r="X473" s="1"/>
      <c r="Y473" s="1"/>
      <c r="Z473" s="1"/>
    </row>
    <row r="474" spans="1:26" ht="24.75" customHeight="1">
      <c r="A474" s="1"/>
      <c r="B474" s="1"/>
      <c r="C474" s="1"/>
      <c r="D474" s="1"/>
      <c r="E474" s="1"/>
      <c r="F474" s="1"/>
      <c r="G474" s="1"/>
      <c r="H474" s="1"/>
      <c r="I474" s="1"/>
      <c r="J474" s="1"/>
      <c r="K474" s="1"/>
      <c r="L474" s="1"/>
      <c r="M474" s="1"/>
      <c r="N474" s="1"/>
      <c r="O474" s="1"/>
      <c r="P474" s="1"/>
      <c r="Q474" s="1"/>
      <c r="R474" s="1"/>
      <c r="S474" s="1"/>
      <c r="T474" s="1"/>
      <c r="U474" s="2"/>
      <c r="V474" s="1"/>
      <c r="W474" s="1"/>
      <c r="X474" s="1"/>
      <c r="Y474" s="1"/>
      <c r="Z474" s="1"/>
    </row>
    <row r="475" spans="1:26" ht="24.75" customHeight="1">
      <c r="A475" s="1"/>
      <c r="B475" s="1"/>
      <c r="C475" s="1"/>
      <c r="D475" s="1"/>
      <c r="E475" s="1"/>
      <c r="F475" s="1"/>
      <c r="G475" s="1"/>
      <c r="H475" s="1"/>
      <c r="I475" s="1"/>
      <c r="J475" s="1"/>
      <c r="K475" s="1"/>
      <c r="L475" s="1"/>
      <c r="M475" s="1"/>
      <c r="N475" s="1"/>
      <c r="O475" s="1"/>
      <c r="P475" s="1"/>
      <c r="Q475" s="1"/>
      <c r="R475" s="1"/>
      <c r="S475" s="1"/>
      <c r="T475" s="1"/>
      <c r="U475" s="2"/>
      <c r="V475" s="1"/>
      <c r="W475" s="1"/>
      <c r="X475" s="1"/>
      <c r="Y475" s="1"/>
      <c r="Z475" s="1"/>
    </row>
    <row r="476" spans="1:26" ht="24.75" customHeight="1">
      <c r="A476" s="1"/>
      <c r="B476" s="1"/>
      <c r="C476" s="1"/>
      <c r="D476" s="1"/>
      <c r="E476" s="1"/>
      <c r="F476" s="1"/>
      <c r="G476" s="1"/>
      <c r="H476" s="1"/>
      <c r="I476" s="1"/>
      <c r="J476" s="1"/>
      <c r="K476" s="1"/>
      <c r="L476" s="1"/>
      <c r="M476" s="1"/>
      <c r="N476" s="1"/>
      <c r="O476" s="1"/>
      <c r="P476" s="1"/>
      <c r="Q476" s="1"/>
      <c r="R476" s="1"/>
      <c r="S476" s="1"/>
      <c r="T476" s="1"/>
      <c r="U476" s="2"/>
      <c r="V476" s="1"/>
      <c r="W476" s="1"/>
      <c r="X476" s="1"/>
      <c r="Y476" s="1"/>
      <c r="Z476" s="1"/>
    </row>
    <row r="477" spans="1:26" ht="24.75" customHeight="1">
      <c r="A477" s="1"/>
      <c r="B477" s="1"/>
      <c r="C477" s="1"/>
      <c r="D477" s="1"/>
      <c r="E477" s="1"/>
      <c r="F477" s="1"/>
      <c r="G477" s="1"/>
      <c r="H477" s="1"/>
      <c r="I477" s="1"/>
      <c r="J477" s="1"/>
      <c r="K477" s="1"/>
      <c r="L477" s="1"/>
      <c r="M477" s="1"/>
      <c r="N477" s="1"/>
      <c r="O477" s="1"/>
      <c r="P477" s="1"/>
      <c r="Q477" s="1"/>
      <c r="R477" s="1"/>
      <c r="S477" s="1"/>
      <c r="T477" s="1"/>
      <c r="U477" s="2"/>
      <c r="V477" s="1"/>
      <c r="W477" s="1"/>
      <c r="X477" s="1"/>
      <c r="Y477" s="1"/>
      <c r="Z477" s="1"/>
    </row>
    <row r="478" spans="1:26" ht="24.75" customHeight="1">
      <c r="A478" s="1"/>
      <c r="B478" s="1"/>
      <c r="C478" s="1"/>
      <c r="D478" s="1"/>
      <c r="E478" s="1"/>
      <c r="F478" s="1"/>
      <c r="G478" s="1"/>
      <c r="H478" s="1"/>
      <c r="I478" s="1"/>
      <c r="J478" s="1"/>
      <c r="K478" s="1"/>
      <c r="L478" s="1"/>
      <c r="M478" s="1"/>
      <c r="N478" s="1"/>
      <c r="O478" s="1"/>
      <c r="P478" s="1"/>
      <c r="Q478" s="1"/>
      <c r="R478" s="1"/>
      <c r="S478" s="1"/>
      <c r="T478" s="1"/>
      <c r="U478" s="2"/>
      <c r="V478" s="1"/>
      <c r="W478" s="1"/>
      <c r="X478" s="1"/>
      <c r="Y478" s="1"/>
      <c r="Z478" s="1"/>
    </row>
    <row r="479" spans="1:26" ht="24.75" customHeight="1">
      <c r="A479" s="1"/>
      <c r="B479" s="1"/>
      <c r="C479" s="1"/>
      <c r="D479" s="1"/>
      <c r="E479" s="1"/>
      <c r="F479" s="1"/>
      <c r="G479" s="1"/>
      <c r="H479" s="1"/>
      <c r="I479" s="1"/>
      <c r="J479" s="1"/>
      <c r="K479" s="1"/>
      <c r="L479" s="1"/>
      <c r="M479" s="1"/>
      <c r="N479" s="1"/>
      <c r="O479" s="1"/>
      <c r="P479" s="1"/>
      <c r="Q479" s="1"/>
      <c r="R479" s="1"/>
      <c r="S479" s="1"/>
      <c r="T479" s="1"/>
      <c r="U479" s="2"/>
      <c r="V479" s="1"/>
      <c r="W479" s="1"/>
      <c r="X479" s="1"/>
      <c r="Y479" s="1"/>
      <c r="Z479" s="1"/>
    </row>
    <row r="480" spans="1:26" ht="24.75" customHeight="1">
      <c r="A480" s="1"/>
      <c r="B480" s="1"/>
      <c r="C480" s="1"/>
      <c r="D480" s="1"/>
      <c r="E480" s="1"/>
      <c r="F480" s="1"/>
      <c r="G480" s="1"/>
      <c r="H480" s="1"/>
      <c r="I480" s="1"/>
      <c r="J480" s="1"/>
      <c r="K480" s="1"/>
      <c r="L480" s="1"/>
      <c r="M480" s="1"/>
      <c r="N480" s="1"/>
      <c r="O480" s="1"/>
      <c r="P480" s="1"/>
      <c r="Q480" s="1"/>
      <c r="R480" s="1"/>
      <c r="S480" s="1"/>
      <c r="T480" s="1"/>
      <c r="U480" s="2"/>
      <c r="V480" s="1"/>
      <c r="W480" s="1"/>
      <c r="X480" s="1"/>
      <c r="Y480" s="1"/>
      <c r="Z480" s="1"/>
    </row>
    <row r="481" spans="1:26" ht="24.75" customHeight="1">
      <c r="A481" s="1"/>
      <c r="B481" s="1"/>
      <c r="C481" s="1"/>
      <c r="D481" s="1"/>
      <c r="E481" s="1"/>
      <c r="F481" s="1"/>
      <c r="G481" s="1"/>
      <c r="H481" s="1"/>
      <c r="I481" s="1"/>
      <c r="J481" s="1"/>
      <c r="K481" s="1"/>
      <c r="L481" s="1"/>
      <c r="M481" s="1"/>
      <c r="N481" s="1"/>
      <c r="O481" s="1"/>
      <c r="P481" s="1"/>
      <c r="Q481" s="1"/>
      <c r="R481" s="1"/>
      <c r="S481" s="1"/>
      <c r="T481" s="1"/>
      <c r="U481" s="2"/>
      <c r="V481" s="1"/>
      <c r="W481" s="1"/>
      <c r="X481" s="1"/>
      <c r="Y481" s="1"/>
      <c r="Z481" s="1"/>
    </row>
    <row r="482" spans="1:26" ht="24.75" customHeight="1">
      <c r="A482" s="1"/>
      <c r="B482" s="1"/>
      <c r="C482" s="1"/>
      <c r="D482" s="1"/>
      <c r="E482" s="1"/>
      <c r="F482" s="1"/>
      <c r="G482" s="1"/>
      <c r="H482" s="1"/>
      <c r="I482" s="1"/>
      <c r="J482" s="1"/>
      <c r="K482" s="1"/>
      <c r="L482" s="1"/>
      <c r="M482" s="1"/>
      <c r="N482" s="1"/>
      <c r="O482" s="1"/>
      <c r="P482" s="1"/>
      <c r="Q482" s="1"/>
      <c r="R482" s="1"/>
      <c r="S482" s="1"/>
      <c r="T482" s="1"/>
      <c r="U482" s="2"/>
      <c r="V482" s="1"/>
      <c r="W482" s="1"/>
      <c r="X482" s="1"/>
      <c r="Y482" s="1"/>
      <c r="Z482" s="1"/>
    </row>
    <row r="483" spans="1:26" ht="24.75" customHeight="1">
      <c r="A483" s="1"/>
      <c r="B483" s="1"/>
      <c r="C483" s="1"/>
      <c r="D483" s="1"/>
      <c r="E483" s="1"/>
      <c r="F483" s="1"/>
      <c r="G483" s="1"/>
      <c r="H483" s="1"/>
      <c r="I483" s="1"/>
      <c r="J483" s="1"/>
      <c r="K483" s="1"/>
      <c r="L483" s="1"/>
      <c r="M483" s="1"/>
      <c r="N483" s="1"/>
      <c r="O483" s="1"/>
      <c r="P483" s="1"/>
      <c r="Q483" s="1"/>
      <c r="R483" s="1"/>
      <c r="S483" s="1"/>
      <c r="T483" s="1"/>
      <c r="U483" s="2"/>
      <c r="V483" s="1"/>
      <c r="W483" s="1"/>
      <c r="X483" s="1"/>
      <c r="Y483" s="1"/>
      <c r="Z483" s="1"/>
    </row>
    <row r="484" spans="1:26" ht="24.75" customHeight="1">
      <c r="A484" s="1"/>
      <c r="B484" s="1"/>
      <c r="C484" s="1"/>
      <c r="D484" s="1"/>
      <c r="E484" s="1"/>
      <c r="F484" s="1"/>
      <c r="G484" s="1"/>
      <c r="H484" s="1"/>
      <c r="I484" s="1"/>
      <c r="J484" s="1"/>
      <c r="K484" s="1"/>
      <c r="L484" s="1"/>
      <c r="M484" s="1"/>
      <c r="N484" s="1"/>
      <c r="O484" s="1"/>
      <c r="P484" s="1"/>
      <c r="Q484" s="1"/>
      <c r="R484" s="1"/>
      <c r="S484" s="1"/>
      <c r="T484" s="1"/>
      <c r="U484" s="2"/>
      <c r="V484" s="1"/>
      <c r="W484" s="1"/>
      <c r="X484" s="1"/>
      <c r="Y484" s="1"/>
      <c r="Z484" s="1"/>
    </row>
    <row r="485" spans="1:26" ht="24.75" customHeight="1">
      <c r="A485" s="1"/>
      <c r="B485" s="1"/>
      <c r="C485" s="1"/>
      <c r="D485" s="1"/>
      <c r="E485" s="1"/>
      <c r="F485" s="1"/>
      <c r="G485" s="1"/>
      <c r="H485" s="1"/>
      <c r="I485" s="1"/>
      <c r="J485" s="1"/>
      <c r="K485" s="1"/>
      <c r="L485" s="1"/>
      <c r="M485" s="1"/>
      <c r="N485" s="1"/>
      <c r="O485" s="1"/>
      <c r="P485" s="1"/>
      <c r="Q485" s="1"/>
      <c r="R485" s="1"/>
      <c r="S485" s="1"/>
      <c r="T485" s="1"/>
      <c r="U485" s="2"/>
      <c r="V485" s="1"/>
      <c r="W485" s="1"/>
      <c r="X485" s="1"/>
      <c r="Y485" s="1"/>
      <c r="Z485" s="1"/>
    </row>
    <row r="486" spans="1:26" ht="24.75" customHeight="1">
      <c r="A486" s="1"/>
      <c r="B486" s="1"/>
      <c r="C486" s="1"/>
      <c r="D486" s="1"/>
      <c r="E486" s="1"/>
      <c r="F486" s="1"/>
      <c r="G486" s="1"/>
      <c r="H486" s="1"/>
      <c r="I486" s="1"/>
      <c r="J486" s="1"/>
      <c r="K486" s="1"/>
      <c r="L486" s="1"/>
      <c r="M486" s="1"/>
      <c r="N486" s="1"/>
      <c r="O486" s="1"/>
      <c r="P486" s="1"/>
      <c r="Q486" s="1"/>
      <c r="R486" s="1"/>
      <c r="S486" s="1"/>
      <c r="T486" s="1"/>
      <c r="U486" s="2"/>
      <c r="V486" s="1"/>
      <c r="W486" s="1"/>
      <c r="X486" s="1"/>
      <c r="Y486" s="1"/>
      <c r="Z486" s="1"/>
    </row>
    <row r="487" spans="1:26" ht="24.75" customHeight="1">
      <c r="A487" s="1"/>
      <c r="B487" s="1"/>
      <c r="C487" s="1"/>
      <c r="D487" s="1"/>
      <c r="E487" s="1"/>
      <c r="F487" s="1"/>
      <c r="G487" s="1"/>
      <c r="H487" s="1"/>
      <c r="I487" s="1"/>
      <c r="J487" s="1"/>
      <c r="K487" s="1"/>
      <c r="L487" s="1"/>
      <c r="M487" s="1"/>
      <c r="N487" s="1"/>
      <c r="O487" s="1"/>
      <c r="P487" s="1"/>
      <c r="Q487" s="1"/>
      <c r="R487" s="1"/>
      <c r="S487" s="1"/>
      <c r="T487" s="1"/>
      <c r="U487" s="2"/>
      <c r="V487" s="1"/>
      <c r="W487" s="1"/>
      <c r="X487" s="1"/>
      <c r="Y487" s="1"/>
      <c r="Z487" s="1"/>
    </row>
    <row r="488" spans="1:26" ht="24.75" customHeight="1">
      <c r="A488" s="1"/>
      <c r="B488" s="1"/>
      <c r="C488" s="1"/>
      <c r="D488" s="1"/>
      <c r="E488" s="1"/>
      <c r="F488" s="1"/>
      <c r="G488" s="1"/>
      <c r="H488" s="1"/>
      <c r="I488" s="1"/>
      <c r="J488" s="1"/>
      <c r="K488" s="1"/>
      <c r="L488" s="1"/>
      <c r="M488" s="1"/>
      <c r="N488" s="1"/>
      <c r="O488" s="1"/>
      <c r="P488" s="1"/>
      <c r="Q488" s="1"/>
      <c r="R488" s="1"/>
      <c r="S488" s="1"/>
      <c r="T488" s="1"/>
      <c r="U488" s="2"/>
      <c r="V488" s="1"/>
      <c r="W488" s="1"/>
      <c r="X488" s="1"/>
      <c r="Y488" s="1"/>
      <c r="Z488" s="1"/>
    </row>
    <row r="489" spans="1:26" ht="24.75" customHeight="1">
      <c r="A489" s="1"/>
      <c r="B489" s="1"/>
      <c r="C489" s="1"/>
      <c r="D489" s="1"/>
      <c r="E489" s="1"/>
      <c r="F489" s="1"/>
      <c r="G489" s="1"/>
      <c r="H489" s="1"/>
      <c r="I489" s="1"/>
      <c r="J489" s="1"/>
      <c r="K489" s="1"/>
      <c r="L489" s="1"/>
      <c r="M489" s="1"/>
      <c r="N489" s="1"/>
      <c r="O489" s="1"/>
      <c r="P489" s="1"/>
      <c r="Q489" s="1"/>
      <c r="R489" s="1"/>
      <c r="S489" s="1"/>
      <c r="T489" s="1"/>
      <c r="U489" s="2"/>
      <c r="V489" s="1"/>
      <c r="W489" s="1"/>
      <c r="X489" s="1"/>
      <c r="Y489" s="1"/>
      <c r="Z489" s="1"/>
    </row>
    <row r="490" spans="1:26" ht="24.75" customHeight="1">
      <c r="A490" s="1"/>
      <c r="B490" s="1"/>
      <c r="C490" s="1"/>
      <c r="D490" s="1"/>
      <c r="E490" s="1"/>
      <c r="F490" s="1"/>
      <c r="G490" s="1"/>
      <c r="H490" s="1"/>
      <c r="I490" s="1"/>
      <c r="J490" s="1"/>
      <c r="K490" s="1"/>
      <c r="L490" s="1"/>
      <c r="M490" s="1"/>
      <c r="N490" s="1"/>
      <c r="O490" s="1"/>
      <c r="P490" s="1"/>
      <c r="Q490" s="1"/>
      <c r="R490" s="1"/>
      <c r="S490" s="1"/>
      <c r="T490" s="1"/>
      <c r="U490" s="2"/>
      <c r="V490" s="1"/>
      <c r="W490" s="1"/>
      <c r="X490" s="1"/>
      <c r="Y490" s="1"/>
      <c r="Z490" s="1"/>
    </row>
    <row r="491" spans="1:26" ht="24.75" customHeight="1">
      <c r="A491" s="1"/>
      <c r="B491" s="1"/>
      <c r="C491" s="1"/>
      <c r="D491" s="1"/>
      <c r="E491" s="1"/>
      <c r="F491" s="1"/>
      <c r="G491" s="1"/>
      <c r="H491" s="1"/>
      <c r="I491" s="1"/>
      <c r="J491" s="1"/>
      <c r="K491" s="1"/>
      <c r="L491" s="1"/>
      <c r="M491" s="1"/>
      <c r="N491" s="1"/>
      <c r="O491" s="1"/>
      <c r="P491" s="1"/>
      <c r="Q491" s="1"/>
      <c r="R491" s="1"/>
      <c r="S491" s="1"/>
      <c r="T491" s="1"/>
      <c r="U491" s="2"/>
      <c r="V491" s="1"/>
      <c r="W491" s="1"/>
      <c r="X491" s="1"/>
      <c r="Y491" s="1"/>
      <c r="Z491" s="1"/>
    </row>
    <row r="492" spans="1:26" ht="24.75" customHeight="1">
      <c r="A492" s="1"/>
      <c r="B492" s="1"/>
      <c r="C492" s="1"/>
      <c r="D492" s="1"/>
      <c r="E492" s="1"/>
      <c r="F492" s="1"/>
      <c r="G492" s="1"/>
      <c r="H492" s="1"/>
      <c r="I492" s="1"/>
      <c r="J492" s="1"/>
      <c r="K492" s="1"/>
      <c r="L492" s="1"/>
      <c r="M492" s="1"/>
      <c r="N492" s="1"/>
      <c r="O492" s="1"/>
      <c r="P492" s="1"/>
      <c r="Q492" s="1"/>
      <c r="R492" s="1"/>
      <c r="S492" s="1"/>
      <c r="T492" s="1"/>
      <c r="U492" s="2"/>
      <c r="V492" s="1"/>
      <c r="W492" s="1"/>
      <c r="X492" s="1"/>
      <c r="Y492" s="1"/>
      <c r="Z492" s="1"/>
    </row>
    <row r="493" spans="1:26" ht="24.75" customHeight="1">
      <c r="A493" s="1"/>
      <c r="B493" s="1"/>
      <c r="C493" s="1"/>
      <c r="D493" s="1"/>
      <c r="E493" s="1"/>
      <c r="F493" s="1"/>
      <c r="G493" s="1"/>
      <c r="H493" s="1"/>
      <c r="I493" s="1"/>
      <c r="J493" s="1"/>
      <c r="K493" s="1"/>
      <c r="L493" s="1"/>
      <c r="M493" s="1"/>
      <c r="N493" s="1"/>
      <c r="O493" s="1"/>
      <c r="P493" s="1"/>
      <c r="Q493" s="1"/>
      <c r="R493" s="1"/>
      <c r="S493" s="1"/>
      <c r="T493" s="1"/>
      <c r="U493" s="2"/>
      <c r="V493" s="1"/>
      <c r="W493" s="1"/>
      <c r="X493" s="1"/>
      <c r="Y493" s="1"/>
      <c r="Z493" s="1"/>
    </row>
    <row r="494" spans="1:26" ht="24.75" customHeight="1">
      <c r="A494" s="1"/>
      <c r="B494" s="1"/>
      <c r="C494" s="1"/>
      <c r="D494" s="1"/>
      <c r="E494" s="1"/>
      <c r="F494" s="1"/>
      <c r="G494" s="1"/>
      <c r="H494" s="1"/>
      <c r="I494" s="1"/>
      <c r="J494" s="1"/>
      <c r="K494" s="1"/>
      <c r="L494" s="1"/>
      <c r="M494" s="1"/>
      <c r="N494" s="1"/>
      <c r="O494" s="1"/>
      <c r="P494" s="1"/>
      <c r="Q494" s="1"/>
      <c r="R494" s="1"/>
      <c r="S494" s="1"/>
      <c r="T494" s="1"/>
      <c r="U494" s="2"/>
      <c r="V494" s="1"/>
      <c r="W494" s="1"/>
      <c r="X494" s="1"/>
      <c r="Y494" s="1"/>
      <c r="Z494" s="1"/>
    </row>
    <row r="495" spans="1:26" ht="24.75" customHeight="1">
      <c r="A495" s="1"/>
      <c r="B495" s="1"/>
      <c r="C495" s="1"/>
      <c r="D495" s="1"/>
      <c r="E495" s="1"/>
      <c r="F495" s="1"/>
      <c r="G495" s="1"/>
      <c r="H495" s="1"/>
      <c r="I495" s="1"/>
      <c r="J495" s="1"/>
      <c r="K495" s="1"/>
      <c r="L495" s="1"/>
      <c r="M495" s="1"/>
      <c r="N495" s="1"/>
      <c r="O495" s="1"/>
      <c r="P495" s="1"/>
      <c r="Q495" s="1"/>
      <c r="R495" s="1"/>
      <c r="S495" s="1"/>
      <c r="T495" s="1"/>
      <c r="U495" s="2"/>
      <c r="V495" s="1"/>
      <c r="W495" s="1"/>
      <c r="X495" s="1"/>
      <c r="Y495" s="1"/>
      <c r="Z495" s="1"/>
    </row>
    <row r="496" spans="1:26" ht="24.75" customHeight="1">
      <c r="A496" s="1"/>
      <c r="B496" s="1"/>
      <c r="C496" s="1"/>
      <c r="D496" s="1"/>
      <c r="E496" s="1"/>
      <c r="F496" s="1"/>
      <c r="G496" s="1"/>
      <c r="H496" s="1"/>
      <c r="I496" s="1"/>
      <c r="J496" s="1"/>
      <c r="K496" s="1"/>
      <c r="L496" s="1"/>
      <c r="M496" s="1"/>
      <c r="N496" s="1"/>
      <c r="O496" s="1"/>
      <c r="P496" s="1"/>
      <c r="Q496" s="1"/>
      <c r="R496" s="1"/>
      <c r="S496" s="1"/>
      <c r="T496" s="1"/>
      <c r="U496" s="2"/>
      <c r="V496" s="1"/>
      <c r="W496" s="1"/>
      <c r="X496" s="1"/>
      <c r="Y496" s="1"/>
      <c r="Z496" s="1"/>
    </row>
    <row r="497" spans="1:26" ht="24.75" customHeight="1">
      <c r="A497" s="1"/>
      <c r="B497" s="1"/>
      <c r="C497" s="1"/>
      <c r="D497" s="1"/>
      <c r="E497" s="1"/>
      <c r="F497" s="1"/>
      <c r="G497" s="1"/>
      <c r="H497" s="1"/>
      <c r="I497" s="1"/>
      <c r="J497" s="1"/>
      <c r="K497" s="1"/>
      <c r="L497" s="1"/>
      <c r="M497" s="1"/>
      <c r="N497" s="1"/>
      <c r="O497" s="1"/>
      <c r="P497" s="1"/>
      <c r="Q497" s="1"/>
      <c r="R497" s="1"/>
      <c r="S497" s="1"/>
      <c r="T497" s="1"/>
      <c r="U497" s="2"/>
      <c r="V497" s="1"/>
      <c r="W497" s="1"/>
      <c r="X497" s="1"/>
      <c r="Y497" s="1"/>
      <c r="Z497" s="1"/>
    </row>
    <row r="498" spans="1:26" ht="24.75" customHeight="1">
      <c r="A498" s="1"/>
      <c r="B498" s="1"/>
      <c r="C498" s="1"/>
      <c r="D498" s="1"/>
      <c r="E498" s="1"/>
      <c r="F498" s="1"/>
      <c r="G498" s="1"/>
      <c r="H498" s="1"/>
      <c r="I498" s="1"/>
      <c r="J498" s="1"/>
      <c r="K498" s="1"/>
      <c r="L498" s="1"/>
      <c r="M498" s="1"/>
      <c r="N498" s="1"/>
      <c r="O498" s="1"/>
      <c r="P498" s="1"/>
      <c r="Q498" s="1"/>
      <c r="R498" s="1"/>
      <c r="S498" s="1"/>
      <c r="T498" s="1"/>
      <c r="U498" s="2"/>
      <c r="V498" s="1"/>
      <c r="W498" s="1"/>
      <c r="X498" s="1"/>
      <c r="Y498" s="1"/>
      <c r="Z498" s="1"/>
    </row>
    <row r="499" spans="1:26" ht="24.75" customHeight="1">
      <c r="A499" s="1"/>
      <c r="B499" s="1"/>
      <c r="C499" s="1"/>
      <c r="D499" s="1"/>
      <c r="E499" s="1"/>
      <c r="F499" s="1"/>
      <c r="G499" s="1"/>
      <c r="H499" s="1"/>
      <c r="I499" s="1"/>
      <c r="J499" s="1"/>
      <c r="K499" s="1"/>
      <c r="L499" s="1"/>
      <c r="M499" s="1"/>
      <c r="N499" s="1"/>
      <c r="O499" s="1"/>
      <c r="P499" s="1"/>
      <c r="Q499" s="1"/>
      <c r="R499" s="1"/>
      <c r="S499" s="1"/>
      <c r="T499" s="1"/>
      <c r="U499" s="2"/>
      <c r="V499" s="1"/>
      <c r="W499" s="1"/>
      <c r="X499" s="1"/>
      <c r="Y499" s="1"/>
      <c r="Z499" s="1"/>
    </row>
    <row r="500" spans="1:26" ht="24.75" customHeight="1">
      <c r="A500" s="1"/>
      <c r="B500" s="1"/>
      <c r="C500" s="1"/>
      <c r="D500" s="1"/>
      <c r="E500" s="1"/>
      <c r="F500" s="1"/>
      <c r="G500" s="1"/>
      <c r="H500" s="1"/>
      <c r="I500" s="1"/>
      <c r="J500" s="1"/>
      <c r="K500" s="1"/>
      <c r="L500" s="1"/>
      <c r="M500" s="1"/>
      <c r="N500" s="1"/>
      <c r="O500" s="1"/>
      <c r="P500" s="1"/>
      <c r="Q500" s="1"/>
      <c r="R500" s="1"/>
      <c r="S500" s="1"/>
      <c r="T500" s="1"/>
      <c r="U500" s="2"/>
      <c r="V500" s="1"/>
      <c r="W500" s="1"/>
      <c r="X500" s="1"/>
      <c r="Y500" s="1"/>
      <c r="Z500" s="1"/>
    </row>
    <row r="501" spans="1:26" ht="24.75" customHeight="1">
      <c r="A501" s="1"/>
      <c r="B501" s="1"/>
      <c r="C501" s="1"/>
      <c r="D501" s="1"/>
      <c r="E501" s="1"/>
      <c r="F501" s="1"/>
      <c r="G501" s="1"/>
      <c r="H501" s="1"/>
      <c r="I501" s="1"/>
      <c r="J501" s="1"/>
      <c r="K501" s="1"/>
      <c r="L501" s="1"/>
      <c r="M501" s="1"/>
      <c r="N501" s="1"/>
      <c r="O501" s="1"/>
      <c r="P501" s="1"/>
      <c r="Q501" s="1"/>
      <c r="R501" s="1"/>
      <c r="S501" s="1"/>
      <c r="T501" s="1"/>
      <c r="U501" s="2"/>
      <c r="V501" s="1"/>
      <c r="W501" s="1"/>
      <c r="X501" s="1"/>
      <c r="Y501" s="1"/>
      <c r="Z501" s="1"/>
    </row>
    <row r="502" spans="1:26" ht="24.75" customHeight="1">
      <c r="A502" s="1"/>
      <c r="B502" s="1"/>
      <c r="C502" s="1"/>
      <c r="D502" s="1"/>
      <c r="E502" s="1"/>
      <c r="F502" s="1"/>
      <c r="G502" s="1"/>
      <c r="H502" s="1"/>
      <c r="I502" s="1"/>
      <c r="J502" s="1"/>
      <c r="K502" s="1"/>
      <c r="L502" s="1"/>
      <c r="M502" s="1"/>
      <c r="N502" s="1"/>
      <c r="O502" s="1"/>
      <c r="P502" s="1"/>
      <c r="Q502" s="1"/>
      <c r="R502" s="1"/>
      <c r="S502" s="1"/>
      <c r="T502" s="1"/>
      <c r="U502" s="2"/>
      <c r="V502" s="1"/>
      <c r="W502" s="1"/>
      <c r="X502" s="1"/>
      <c r="Y502" s="1"/>
      <c r="Z502" s="1"/>
    </row>
    <row r="503" spans="1:26" ht="24.75" customHeight="1">
      <c r="A503" s="1"/>
      <c r="B503" s="1"/>
      <c r="C503" s="1"/>
      <c r="D503" s="1"/>
      <c r="E503" s="1"/>
      <c r="F503" s="1"/>
      <c r="G503" s="1"/>
      <c r="H503" s="1"/>
      <c r="I503" s="1"/>
      <c r="J503" s="1"/>
      <c r="K503" s="1"/>
      <c r="L503" s="1"/>
      <c r="M503" s="1"/>
      <c r="N503" s="1"/>
      <c r="O503" s="1"/>
      <c r="P503" s="1"/>
      <c r="Q503" s="1"/>
      <c r="R503" s="1"/>
      <c r="S503" s="1"/>
      <c r="T503" s="1"/>
      <c r="U503" s="2"/>
      <c r="V503" s="1"/>
      <c r="W503" s="1"/>
      <c r="X503" s="1"/>
      <c r="Y503" s="1"/>
      <c r="Z503" s="1"/>
    </row>
    <row r="504" spans="1:26" ht="24.75" customHeight="1">
      <c r="A504" s="1"/>
      <c r="B504" s="1"/>
      <c r="C504" s="1"/>
      <c r="D504" s="1"/>
      <c r="E504" s="1"/>
      <c r="F504" s="1"/>
      <c r="G504" s="1"/>
      <c r="H504" s="1"/>
      <c r="I504" s="1"/>
      <c r="J504" s="1"/>
      <c r="K504" s="1"/>
      <c r="L504" s="1"/>
      <c r="M504" s="1"/>
      <c r="N504" s="1"/>
      <c r="O504" s="1"/>
      <c r="P504" s="1"/>
      <c r="Q504" s="1"/>
      <c r="R504" s="1"/>
      <c r="S504" s="1"/>
      <c r="T504" s="1"/>
      <c r="U504" s="2"/>
      <c r="V504" s="1"/>
      <c r="W504" s="1"/>
      <c r="X504" s="1"/>
      <c r="Y504" s="1"/>
      <c r="Z504" s="1"/>
    </row>
    <row r="505" spans="1:26" ht="24.75" customHeight="1">
      <c r="A505" s="1"/>
      <c r="B505" s="1"/>
      <c r="C505" s="1"/>
      <c r="D505" s="1"/>
      <c r="E505" s="1"/>
      <c r="F505" s="1"/>
      <c r="G505" s="1"/>
      <c r="H505" s="1"/>
      <c r="I505" s="1"/>
      <c r="J505" s="1"/>
      <c r="K505" s="1"/>
      <c r="L505" s="1"/>
      <c r="M505" s="1"/>
      <c r="N505" s="1"/>
      <c r="O505" s="1"/>
      <c r="P505" s="1"/>
      <c r="Q505" s="1"/>
      <c r="R505" s="1"/>
      <c r="S505" s="1"/>
      <c r="T505" s="1"/>
      <c r="U505" s="2"/>
      <c r="V505" s="1"/>
      <c r="W505" s="1"/>
      <c r="X505" s="1"/>
      <c r="Y505" s="1"/>
      <c r="Z505" s="1"/>
    </row>
    <row r="506" spans="1:26" ht="24.75" customHeight="1">
      <c r="A506" s="1"/>
      <c r="B506" s="1"/>
      <c r="C506" s="1"/>
      <c r="D506" s="1"/>
      <c r="E506" s="1"/>
      <c r="F506" s="1"/>
      <c r="G506" s="1"/>
      <c r="H506" s="1"/>
      <c r="I506" s="1"/>
      <c r="J506" s="1"/>
      <c r="K506" s="1"/>
      <c r="L506" s="1"/>
      <c r="M506" s="1"/>
      <c r="N506" s="1"/>
      <c r="O506" s="1"/>
      <c r="P506" s="1"/>
      <c r="Q506" s="1"/>
      <c r="R506" s="1"/>
      <c r="S506" s="1"/>
      <c r="T506" s="1"/>
      <c r="U506" s="2"/>
      <c r="V506" s="1"/>
      <c r="W506" s="1"/>
      <c r="X506" s="1"/>
      <c r="Y506" s="1"/>
      <c r="Z506" s="1"/>
    </row>
    <row r="507" spans="1:26" ht="24.75" customHeight="1">
      <c r="A507" s="1"/>
      <c r="B507" s="1"/>
      <c r="C507" s="1"/>
      <c r="D507" s="1"/>
      <c r="E507" s="1"/>
      <c r="F507" s="1"/>
      <c r="G507" s="1"/>
      <c r="H507" s="1"/>
      <c r="I507" s="1"/>
      <c r="J507" s="1"/>
      <c r="K507" s="1"/>
      <c r="L507" s="1"/>
      <c r="M507" s="1"/>
      <c r="N507" s="1"/>
      <c r="O507" s="1"/>
      <c r="P507" s="1"/>
      <c r="Q507" s="1"/>
      <c r="R507" s="1"/>
      <c r="S507" s="1"/>
      <c r="T507" s="1"/>
      <c r="U507" s="2"/>
      <c r="V507" s="1"/>
      <c r="W507" s="1"/>
      <c r="X507" s="1"/>
      <c r="Y507" s="1"/>
      <c r="Z507" s="1"/>
    </row>
    <row r="508" spans="1:26" ht="24.75" customHeight="1">
      <c r="A508" s="1"/>
      <c r="B508" s="1"/>
      <c r="C508" s="1"/>
      <c r="D508" s="1"/>
      <c r="E508" s="1"/>
      <c r="F508" s="1"/>
      <c r="G508" s="1"/>
      <c r="H508" s="1"/>
      <c r="I508" s="1"/>
      <c r="J508" s="1"/>
      <c r="K508" s="1"/>
      <c r="L508" s="1"/>
      <c r="M508" s="1"/>
      <c r="N508" s="1"/>
      <c r="O508" s="1"/>
      <c r="P508" s="1"/>
      <c r="Q508" s="1"/>
      <c r="R508" s="1"/>
      <c r="S508" s="1"/>
      <c r="T508" s="1"/>
      <c r="U508" s="2"/>
      <c r="V508" s="1"/>
      <c r="W508" s="1"/>
      <c r="X508" s="1"/>
      <c r="Y508" s="1"/>
      <c r="Z508" s="1"/>
    </row>
    <row r="509" spans="1:26" ht="24.75" customHeight="1">
      <c r="A509" s="1"/>
      <c r="B509" s="1"/>
      <c r="C509" s="1"/>
      <c r="D509" s="1"/>
      <c r="E509" s="1"/>
      <c r="F509" s="1"/>
      <c r="G509" s="1"/>
      <c r="H509" s="1"/>
      <c r="I509" s="1"/>
      <c r="J509" s="1"/>
      <c r="K509" s="1"/>
      <c r="L509" s="1"/>
      <c r="M509" s="1"/>
      <c r="N509" s="1"/>
      <c r="O509" s="1"/>
      <c r="P509" s="1"/>
      <c r="Q509" s="1"/>
      <c r="R509" s="1"/>
      <c r="S509" s="1"/>
      <c r="T509" s="1"/>
      <c r="U509" s="2"/>
      <c r="V509" s="1"/>
      <c r="W509" s="1"/>
      <c r="X509" s="1"/>
      <c r="Y509" s="1"/>
      <c r="Z509" s="1"/>
    </row>
    <row r="510" spans="1:26" ht="24.75" customHeight="1">
      <c r="A510" s="1"/>
      <c r="B510" s="1"/>
      <c r="C510" s="1"/>
      <c r="D510" s="1"/>
      <c r="E510" s="1"/>
      <c r="F510" s="1"/>
      <c r="G510" s="1"/>
      <c r="H510" s="1"/>
      <c r="I510" s="1"/>
      <c r="J510" s="1"/>
      <c r="K510" s="1"/>
      <c r="L510" s="1"/>
      <c r="M510" s="1"/>
      <c r="N510" s="1"/>
      <c r="O510" s="1"/>
      <c r="P510" s="1"/>
      <c r="Q510" s="1"/>
      <c r="R510" s="1"/>
      <c r="S510" s="1"/>
      <c r="T510" s="1"/>
      <c r="U510" s="2"/>
      <c r="V510" s="1"/>
      <c r="W510" s="1"/>
      <c r="X510" s="1"/>
      <c r="Y510" s="1"/>
      <c r="Z510" s="1"/>
    </row>
    <row r="511" spans="1:26" ht="24.75" customHeight="1">
      <c r="A511" s="1"/>
      <c r="B511" s="1"/>
      <c r="C511" s="1"/>
      <c r="D511" s="1"/>
      <c r="E511" s="1"/>
      <c r="F511" s="1"/>
      <c r="G511" s="1"/>
      <c r="H511" s="1"/>
      <c r="I511" s="1"/>
      <c r="J511" s="1"/>
      <c r="K511" s="1"/>
      <c r="L511" s="1"/>
      <c r="M511" s="1"/>
      <c r="N511" s="1"/>
      <c r="O511" s="1"/>
      <c r="P511" s="1"/>
      <c r="Q511" s="1"/>
      <c r="R511" s="1"/>
      <c r="S511" s="1"/>
      <c r="T511" s="1"/>
      <c r="U511" s="2"/>
      <c r="V511" s="1"/>
      <c r="W511" s="1"/>
      <c r="X511" s="1"/>
      <c r="Y511" s="1"/>
      <c r="Z511" s="1"/>
    </row>
    <row r="512" spans="1:26" ht="24.75" customHeight="1">
      <c r="A512" s="1"/>
      <c r="B512" s="1"/>
      <c r="C512" s="1"/>
      <c r="D512" s="1"/>
      <c r="E512" s="1"/>
      <c r="F512" s="1"/>
      <c r="G512" s="1"/>
      <c r="H512" s="1"/>
      <c r="I512" s="1"/>
      <c r="J512" s="1"/>
      <c r="K512" s="1"/>
      <c r="L512" s="1"/>
      <c r="M512" s="1"/>
      <c r="N512" s="1"/>
      <c r="O512" s="1"/>
      <c r="P512" s="1"/>
      <c r="Q512" s="1"/>
      <c r="R512" s="1"/>
      <c r="S512" s="1"/>
      <c r="T512" s="1"/>
      <c r="U512" s="2"/>
      <c r="V512" s="1"/>
      <c r="W512" s="1"/>
      <c r="X512" s="1"/>
      <c r="Y512" s="1"/>
      <c r="Z512" s="1"/>
    </row>
    <row r="513" spans="1:26" ht="24.75" customHeight="1">
      <c r="A513" s="1"/>
      <c r="B513" s="1"/>
      <c r="C513" s="1"/>
      <c r="D513" s="1"/>
      <c r="E513" s="1"/>
      <c r="F513" s="1"/>
      <c r="G513" s="1"/>
      <c r="H513" s="1"/>
      <c r="I513" s="1"/>
      <c r="J513" s="1"/>
      <c r="K513" s="1"/>
      <c r="L513" s="1"/>
      <c r="M513" s="1"/>
      <c r="N513" s="1"/>
      <c r="O513" s="1"/>
      <c r="P513" s="1"/>
      <c r="Q513" s="1"/>
      <c r="R513" s="1"/>
      <c r="S513" s="1"/>
      <c r="T513" s="1"/>
      <c r="U513" s="2"/>
      <c r="V513" s="1"/>
      <c r="W513" s="1"/>
      <c r="X513" s="1"/>
      <c r="Y513" s="1"/>
      <c r="Z513" s="1"/>
    </row>
    <row r="514" spans="1:26" ht="24.75" customHeight="1">
      <c r="A514" s="1"/>
      <c r="B514" s="1"/>
      <c r="C514" s="1"/>
      <c r="D514" s="1"/>
      <c r="E514" s="1"/>
      <c r="F514" s="1"/>
      <c r="G514" s="1"/>
      <c r="H514" s="1"/>
      <c r="I514" s="1"/>
      <c r="J514" s="1"/>
      <c r="K514" s="1"/>
      <c r="L514" s="1"/>
      <c r="M514" s="1"/>
      <c r="N514" s="1"/>
      <c r="O514" s="1"/>
      <c r="P514" s="1"/>
      <c r="Q514" s="1"/>
      <c r="R514" s="1"/>
      <c r="S514" s="1"/>
      <c r="T514" s="1"/>
      <c r="U514" s="2"/>
      <c r="V514" s="1"/>
      <c r="W514" s="1"/>
      <c r="X514" s="1"/>
      <c r="Y514" s="1"/>
      <c r="Z514" s="1"/>
    </row>
    <row r="515" spans="1:26" ht="24.75" customHeight="1">
      <c r="A515" s="1"/>
      <c r="B515" s="1"/>
      <c r="C515" s="1"/>
      <c r="D515" s="1"/>
      <c r="E515" s="1"/>
      <c r="F515" s="1"/>
      <c r="G515" s="1"/>
      <c r="H515" s="1"/>
      <c r="I515" s="1"/>
      <c r="J515" s="1"/>
      <c r="K515" s="1"/>
      <c r="L515" s="1"/>
      <c r="M515" s="1"/>
      <c r="N515" s="1"/>
      <c r="O515" s="1"/>
      <c r="P515" s="1"/>
      <c r="Q515" s="1"/>
      <c r="R515" s="1"/>
      <c r="S515" s="1"/>
      <c r="T515" s="1"/>
      <c r="U515" s="2"/>
      <c r="V515" s="1"/>
      <c r="W515" s="1"/>
      <c r="X515" s="1"/>
      <c r="Y515" s="1"/>
      <c r="Z515" s="1"/>
    </row>
    <row r="516" spans="1:26" ht="24.75" customHeight="1">
      <c r="A516" s="1"/>
      <c r="B516" s="1"/>
      <c r="C516" s="1"/>
      <c r="D516" s="1"/>
      <c r="E516" s="1"/>
      <c r="F516" s="1"/>
      <c r="G516" s="1"/>
      <c r="H516" s="1"/>
      <c r="I516" s="1"/>
      <c r="J516" s="1"/>
      <c r="K516" s="1"/>
      <c r="L516" s="1"/>
      <c r="M516" s="1"/>
      <c r="N516" s="1"/>
      <c r="O516" s="1"/>
      <c r="P516" s="1"/>
      <c r="Q516" s="1"/>
      <c r="R516" s="1"/>
      <c r="S516" s="1"/>
      <c r="T516" s="1"/>
      <c r="U516" s="2"/>
      <c r="V516" s="1"/>
      <c r="W516" s="1"/>
      <c r="X516" s="1"/>
      <c r="Y516" s="1"/>
      <c r="Z516" s="1"/>
    </row>
    <row r="517" spans="1:26" ht="24.75" customHeight="1">
      <c r="A517" s="1"/>
      <c r="B517" s="1"/>
      <c r="C517" s="1"/>
      <c r="D517" s="1"/>
      <c r="E517" s="1"/>
      <c r="F517" s="1"/>
      <c r="G517" s="1"/>
      <c r="H517" s="1"/>
      <c r="I517" s="1"/>
      <c r="J517" s="1"/>
      <c r="K517" s="1"/>
      <c r="L517" s="1"/>
      <c r="M517" s="1"/>
      <c r="N517" s="1"/>
      <c r="O517" s="1"/>
      <c r="P517" s="1"/>
      <c r="Q517" s="1"/>
      <c r="R517" s="1"/>
      <c r="S517" s="1"/>
      <c r="T517" s="1"/>
      <c r="U517" s="2"/>
      <c r="V517" s="1"/>
      <c r="W517" s="1"/>
      <c r="X517" s="1"/>
      <c r="Y517" s="1"/>
      <c r="Z517" s="1"/>
    </row>
    <row r="518" spans="1:26" ht="24.75" customHeight="1">
      <c r="A518" s="1"/>
      <c r="B518" s="1"/>
      <c r="C518" s="1"/>
      <c r="D518" s="1"/>
      <c r="E518" s="1"/>
      <c r="F518" s="1"/>
      <c r="G518" s="1"/>
      <c r="H518" s="1"/>
      <c r="I518" s="1"/>
      <c r="J518" s="1"/>
      <c r="K518" s="1"/>
      <c r="L518" s="1"/>
      <c r="M518" s="1"/>
      <c r="N518" s="1"/>
      <c r="O518" s="1"/>
      <c r="P518" s="1"/>
      <c r="Q518" s="1"/>
      <c r="R518" s="1"/>
      <c r="S518" s="1"/>
      <c r="T518" s="1"/>
      <c r="U518" s="2"/>
      <c r="V518" s="1"/>
      <c r="W518" s="1"/>
      <c r="X518" s="1"/>
      <c r="Y518" s="1"/>
      <c r="Z518" s="1"/>
    </row>
    <row r="519" spans="1:26" ht="24.75" customHeight="1">
      <c r="A519" s="1"/>
      <c r="B519" s="1"/>
      <c r="C519" s="1"/>
      <c r="D519" s="1"/>
      <c r="E519" s="1"/>
      <c r="F519" s="1"/>
      <c r="G519" s="1"/>
      <c r="H519" s="1"/>
      <c r="I519" s="1"/>
      <c r="J519" s="1"/>
      <c r="K519" s="1"/>
      <c r="L519" s="1"/>
      <c r="M519" s="1"/>
      <c r="N519" s="1"/>
      <c r="O519" s="1"/>
      <c r="P519" s="1"/>
      <c r="Q519" s="1"/>
      <c r="R519" s="1"/>
      <c r="S519" s="1"/>
      <c r="T519" s="1"/>
      <c r="U519" s="2"/>
      <c r="V519" s="1"/>
      <c r="W519" s="1"/>
      <c r="X519" s="1"/>
      <c r="Y519" s="1"/>
      <c r="Z519" s="1"/>
    </row>
    <row r="520" spans="1:26" ht="24.75" customHeight="1">
      <c r="A520" s="1"/>
      <c r="B520" s="1"/>
      <c r="C520" s="1"/>
      <c r="D520" s="1"/>
      <c r="E520" s="1"/>
      <c r="F520" s="1"/>
      <c r="G520" s="1"/>
      <c r="H520" s="1"/>
      <c r="I520" s="1"/>
      <c r="J520" s="1"/>
      <c r="K520" s="1"/>
      <c r="L520" s="1"/>
      <c r="M520" s="1"/>
      <c r="N520" s="1"/>
      <c r="O520" s="1"/>
      <c r="P520" s="1"/>
      <c r="Q520" s="1"/>
      <c r="R520" s="1"/>
      <c r="S520" s="1"/>
      <c r="T520" s="1"/>
      <c r="U520" s="2"/>
      <c r="V520" s="1"/>
      <c r="W520" s="1"/>
      <c r="X520" s="1"/>
      <c r="Y520" s="1"/>
      <c r="Z520" s="1"/>
    </row>
    <row r="521" spans="1:26" ht="24.75" customHeight="1">
      <c r="A521" s="1"/>
      <c r="B521" s="1"/>
      <c r="C521" s="1"/>
      <c r="D521" s="1"/>
      <c r="E521" s="1"/>
      <c r="F521" s="1"/>
      <c r="G521" s="1"/>
      <c r="H521" s="1"/>
      <c r="I521" s="1"/>
      <c r="J521" s="1"/>
      <c r="K521" s="1"/>
      <c r="L521" s="1"/>
      <c r="M521" s="1"/>
      <c r="N521" s="1"/>
      <c r="O521" s="1"/>
      <c r="P521" s="1"/>
      <c r="Q521" s="1"/>
      <c r="R521" s="1"/>
      <c r="S521" s="1"/>
      <c r="T521" s="1"/>
      <c r="U521" s="2"/>
      <c r="V521" s="1"/>
      <c r="W521" s="1"/>
      <c r="X521" s="1"/>
      <c r="Y521" s="1"/>
      <c r="Z521" s="1"/>
    </row>
    <row r="522" spans="1:26" ht="24.75" customHeight="1">
      <c r="A522" s="1"/>
      <c r="B522" s="1"/>
      <c r="C522" s="1"/>
      <c r="D522" s="1"/>
      <c r="E522" s="1"/>
      <c r="F522" s="1"/>
      <c r="G522" s="1"/>
      <c r="H522" s="1"/>
      <c r="I522" s="1"/>
      <c r="J522" s="1"/>
      <c r="K522" s="1"/>
      <c r="L522" s="1"/>
      <c r="M522" s="1"/>
      <c r="N522" s="1"/>
      <c r="O522" s="1"/>
      <c r="P522" s="1"/>
      <c r="Q522" s="1"/>
      <c r="R522" s="1"/>
      <c r="S522" s="1"/>
      <c r="T522" s="1"/>
      <c r="U522" s="2"/>
      <c r="V522" s="1"/>
      <c r="W522" s="1"/>
      <c r="X522" s="1"/>
      <c r="Y522" s="1"/>
      <c r="Z522" s="1"/>
    </row>
    <row r="523" spans="1:26" ht="24.75" customHeight="1">
      <c r="A523" s="1"/>
      <c r="B523" s="1"/>
      <c r="C523" s="1"/>
      <c r="D523" s="1"/>
      <c r="E523" s="1"/>
      <c r="F523" s="1"/>
      <c r="G523" s="1"/>
      <c r="H523" s="1"/>
      <c r="I523" s="1"/>
      <c r="J523" s="1"/>
      <c r="K523" s="1"/>
      <c r="L523" s="1"/>
      <c r="M523" s="1"/>
      <c r="N523" s="1"/>
      <c r="O523" s="1"/>
      <c r="P523" s="1"/>
      <c r="Q523" s="1"/>
      <c r="R523" s="1"/>
      <c r="S523" s="1"/>
      <c r="T523" s="1"/>
      <c r="U523" s="2"/>
      <c r="V523" s="1"/>
      <c r="W523" s="1"/>
      <c r="X523" s="1"/>
      <c r="Y523" s="1"/>
      <c r="Z523" s="1"/>
    </row>
    <row r="524" spans="1:26" ht="24.75" customHeight="1">
      <c r="A524" s="1"/>
      <c r="B524" s="1"/>
      <c r="C524" s="1"/>
      <c r="D524" s="1"/>
      <c r="E524" s="1"/>
      <c r="F524" s="1"/>
      <c r="G524" s="1"/>
      <c r="H524" s="1"/>
      <c r="I524" s="1"/>
      <c r="J524" s="1"/>
      <c r="K524" s="1"/>
      <c r="L524" s="1"/>
      <c r="M524" s="1"/>
      <c r="N524" s="1"/>
      <c r="O524" s="1"/>
      <c r="P524" s="1"/>
      <c r="Q524" s="1"/>
      <c r="R524" s="1"/>
      <c r="S524" s="1"/>
      <c r="T524" s="1"/>
      <c r="U524" s="2"/>
      <c r="V524" s="1"/>
      <c r="W524" s="1"/>
      <c r="X524" s="1"/>
      <c r="Y524" s="1"/>
      <c r="Z524" s="1"/>
    </row>
    <row r="525" spans="1:26" ht="24.75" customHeight="1">
      <c r="A525" s="1"/>
      <c r="B525" s="1"/>
      <c r="C525" s="1"/>
      <c r="D525" s="1"/>
      <c r="E525" s="1"/>
      <c r="F525" s="1"/>
      <c r="G525" s="1"/>
      <c r="H525" s="1"/>
      <c r="I525" s="1"/>
      <c r="J525" s="1"/>
      <c r="K525" s="1"/>
      <c r="L525" s="1"/>
      <c r="M525" s="1"/>
      <c r="N525" s="1"/>
      <c r="O525" s="1"/>
      <c r="P525" s="1"/>
      <c r="Q525" s="1"/>
      <c r="R525" s="1"/>
      <c r="S525" s="1"/>
      <c r="T525" s="1"/>
      <c r="U525" s="2"/>
      <c r="V525" s="1"/>
      <c r="W525" s="1"/>
      <c r="X525" s="1"/>
      <c r="Y525" s="1"/>
      <c r="Z525" s="1"/>
    </row>
    <row r="526" spans="1:26" ht="24.75" customHeight="1">
      <c r="A526" s="1"/>
      <c r="B526" s="1"/>
      <c r="C526" s="1"/>
      <c r="D526" s="1"/>
      <c r="E526" s="1"/>
      <c r="F526" s="1"/>
      <c r="G526" s="1"/>
      <c r="H526" s="1"/>
      <c r="I526" s="1"/>
      <c r="J526" s="1"/>
      <c r="K526" s="1"/>
      <c r="L526" s="1"/>
      <c r="M526" s="1"/>
      <c r="N526" s="1"/>
      <c r="O526" s="1"/>
      <c r="P526" s="1"/>
      <c r="Q526" s="1"/>
      <c r="R526" s="1"/>
      <c r="S526" s="1"/>
      <c r="T526" s="1"/>
      <c r="U526" s="2"/>
      <c r="V526" s="1"/>
      <c r="W526" s="1"/>
      <c r="X526" s="1"/>
      <c r="Y526" s="1"/>
      <c r="Z526" s="1"/>
    </row>
    <row r="527" spans="1:26" ht="24.75" customHeight="1">
      <c r="A527" s="1"/>
      <c r="B527" s="1"/>
      <c r="C527" s="1"/>
      <c r="D527" s="1"/>
      <c r="E527" s="1"/>
      <c r="F527" s="1"/>
      <c r="G527" s="1"/>
      <c r="H527" s="1"/>
      <c r="I527" s="1"/>
      <c r="J527" s="1"/>
      <c r="K527" s="1"/>
      <c r="L527" s="1"/>
      <c r="M527" s="1"/>
      <c r="N527" s="1"/>
      <c r="O527" s="1"/>
      <c r="P527" s="1"/>
      <c r="Q527" s="1"/>
      <c r="R527" s="1"/>
      <c r="S527" s="1"/>
      <c r="T527" s="1"/>
      <c r="U527" s="2"/>
      <c r="V527" s="1"/>
      <c r="W527" s="1"/>
      <c r="X527" s="1"/>
      <c r="Y527" s="1"/>
      <c r="Z527" s="1"/>
    </row>
    <row r="528" spans="1:26" ht="24.75" customHeight="1">
      <c r="A528" s="1"/>
      <c r="B528" s="1"/>
      <c r="C528" s="1"/>
      <c r="D528" s="1"/>
      <c r="E528" s="1"/>
      <c r="F528" s="1"/>
      <c r="G528" s="1"/>
      <c r="H528" s="1"/>
      <c r="I528" s="1"/>
      <c r="J528" s="1"/>
      <c r="K528" s="1"/>
      <c r="L528" s="1"/>
      <c r="M528" s="1"/>
      <c r="N528" s="1"/>
      <c r="O528" s="1"/>
      <c r="P528" s="1"/>
      <c r="Q528" s="1"/>
      <c r="R528" s="1"/>
      <c r="S528" s="1"/>
      <c r="T528" s="1"/>
      <c r="U528" s="2"/>
      <c r="V528" s="1"/>
      <c r="W528" s="1"/>
      <c r="X528" s="1"/>
      <c r="Y528" s="1"/>
      <c r="Z528" s="1"/>
    </row>
    <row r="529" spans="1:26" ht="24.75" customHeight="1">
      <c r="A529" s="1"/>
      <c r="B529" s="1"/>
      <c r="C529" s="1"/>
      <c r="D529" s="1"/>
      <c r="E529" s="1"/>
      <c r="F529" s="1"/>
      <c r="G529" s="1"/>
      <c r="H529" s="1"/>
      <c r="I529" s="1"/>
      <c r="J529" s="1"/>
      <c r="K529" s="1"/>
      <c r="L529" s="1"/>
      <c r="M529" s="1"/>
      <c r="N529" s="1"/>
      <c r="O529" s="1"/>
      <c r="P529" s="1"/>
      <c r="Q529" s="1"/>
      <c r="R529" s="1"/>
      <c r="S529" s="1"/>
      <c r="T529" s="1"/>
      <c r="U529" s="2"/>
      <c r="V529" s="1"/>
      <c r="W529" s="1"/>
      <c r="X529" s="1"/>
      <c r="Y529" s="1"/>
      <c r="Z529" s="1"/>
    </row>
    <row r="530" spans="1:26" ht="24.75" customHeight="1">
      <c r="A530" s="1"/>
      <c r="B530" s="1"/>
      <c r="C530" s="1"/>
      <c r="D530" s="1"/>
      <c r="E530" s="1"/>
      <c r="F530" s="1"/>
      <c r="G530" s="1"/>
      <c r="H530" s="1"/>
      <c r="I530" s="1"/>
      <c r="J530" s="1"/>
      <c r="K530" s="1"/>
      <c r="L530" s="1"/>
      <c r="M530" s="1"/>
      <c r="N530" s="1"/>
      <c r="O530" s="1"/>
      <c r="P530" s="1"/>
      <c r="Q530" s="1"/>
      <c r="R530" s="1"/>
      <c r="S530" s="1"/>
      <c r="T530" s="1"/>
      <c r="U530" s="2"/>
      <c r="V530" s="1"/>
      <c r="W530" s="1"/>
      <c r="X530" s="1"/>
      <c r="Y530" s="1"/>
      <c r="Z530" s="1"/>
    </row>
    <row r="531" spans="1:26" ht="24.75" customHeight="1">
      <c r="A531" s="1"/>
      <c r="B531" s="1"/>
      <c r="C531" s="1"/>
      <c r="D531" s="1"/>
      <c r="E531" s="1"/>
      <c r="F531" s="1"/>
      <c r="G531" s="1"/>
      <c r="H531" s="1"/>
      <c r="I531" s="1"/>
      <c r="J531" s="1"/>
      <c r="K531" s="1"/>
      <c r="L531" s="1"/>
      <c r="M531" s="1"/>
      <c r="N531" s="1"/>
      <c r="O531" s="1"/>
      <c r="P531" s="1"/>
      <c r="Q531" s="1"/>
      <c r="R531" s="1"/>
      <c r="S531" s="1"/>
      <c r="T531" s="1"/>
      <c r="U531" s="2"/>
      <c r="V531" s="1"/>
      <c r="W531" s="1"/>
      <c r="X531" s="1"/>
      <c r="Y531" s="1"/>
      <c r="Z531" s="1"/>
    </row>
    <row r="532" spans="1:26" ht="24.75" customHeight="1">
      <c r="A532" s="1"/>
      <c r="B532" s="1"/>
      <c r="C532" s="1"/>
      <c r="D532" s="1"/>
      <c r="E532" s="1"/>
      <c r="F532" s="1"/>
      <c r="G532" s="1"/>
      <c r="H532" s="1"/>
      <c r="I532" s="1"/>
      <c r="J532" s="1"/>
      <c r="K532" s="1"/>
      <c r="L532" s="1"/>
      <c r="M532" s="1"/>
      <c r="N532" s="1"/>
      <c r="O532" s="1"/>
      <c r="P532" s="1"/>
      <c r="Q532" s="1"/>
      <c r="R532" s="1"/>
      <c r="S532" s="1"/>
      <c r="T532" s="1"/>
      <c r="U532" s="2"/>
      <c r="V532" s="1"/>
      <c r="W532" s="1"/>
      <c r="X532" s="1"/>
      <c r="Y532" s="1"/>
      <c r="Z532" s="1"/>
    </row>
    <row r="533" spans="1:26" ht="24.75" customHeight="1">
      <c r="A533" s="1"/>
      <c r="B533" s="1"/>
      <c r="C533" s="1"/>
      <c r="D533" s="1"/>
      <c r="E533" s="1"/>
      <c r="F533" s="1"/>
      <c r="G533" s="1"/>
      <c r="H533" s="1"/>
      <c r="I533" s="1"/>
      <c r="J533" s="1"/>
      <c r="K533" s="1"/>
      <c r="L533" s="1"/>
      <c r="M533" s="1"/>
      <c r="N533" s="1"/>
      <c r="O533" s="1"/>
      <c r="P533" s="1"/>
      <c r="Q533" s="1"/>
      <c r="R533" s="1"/>
      <c r="S533" s="1"/>
      <c r="T533" s="1"/>
      <c r="U533" s="2"/>
      <c r="V533" s="1"/>
      <c r="W533" s="1"/>
      <c r="X533" s="1"/>
      <c r="Y533" s="1"/>
      <c r="Z533" s="1"/>
    </row>
    <row r="534" spans="1:26" ht="24.75" customHeight="1">
      <c r="A534" s="1"/>
      <c r="B534" s="1"/>
      <c r="C534" s="1"/>
      <c r="D534" s="1"/>
      <c r="E534" s="1"/>
      <c r="F534" s="1"/>
      <c r="G534" s="1"/>
      <c r="H534" s="1"/>
      <c r="I534" s="1"/>
      <c r="J534" s="1"/>
      <c r="K534" s="1"/>
      <c r="L534" s="1"/>
      <c r="M534" s="1"/>
      <c r="N534" s="1"/>
      <c r="O534" s="1"/>
      <c r="P534" s="1"/>
      <c r="Q534" s="1"/>
      <c r="R534" s="1"/>
      <c r="S534" s="1"/>
      <c r="T534" s="1"/>
      <c r="U534" s="2"/>
      <c r="V534" s="1"/>
      <c r="W534" s="1"/>
      <c r="X534" s="1"/>
      <c r="Y534" s="1"/>
      <c r="Z534" s="1"/>
    </row>
    <row r="535" spans="1:26" ht="24.75" customHeight="1">
      <c r="A535" s="1"/>
      <c r="B535" s="1"/>
      <c r="C535" s="1"/>
      <c r="D535" s="1"/>
      <c r="E535" s="1"/>
      <c r="F535" s="1"/>
      <c r="G535" s="1"/>
      <c r="H535" s="1"/>
      <c r="I535" s="1"/>
      <c r="J535" s="1"/>
      <c r="K535" s="1"/>
      <c r="L535" s="1"/>
      <c r="M535" s="1"/>
      <c r="N535" s="1"/>
      <c r="O535" s="1"/>
      <c r="P535" s="1"/>
      <c r="Q535" s="1"/>
      <c r="R535" s="1"/>
      <c r="S535" s="1"/>
      <c r="T535" s="1"/>
      <c r="U535" s="2"/>
      <c r="V535" s="1"/>
      <c r="W535" s="1"/>
      <c r="X535" s="1"/>
      <c r="Y535" s="1"/>
      <c r="Z535" s="1"/>
    </row>
    <row r="536" spans="1:26" ht="24.75" customHeight="1">
      <c r="A536" s="1"/>
      <c r="B536" s="1"/>
      <c r="C536" s="1"/>
      <c r="D536" s="1"/>
      <c r="E536" s="1"/>
      <c r="F536" s="1"/>
      <c r="G536" s="1"/>
      <c r="H536" s="1"/>
      <c r="I536" s="1"/>
      <c r="J536" s="1"/>
      <c r="K536" s="1"/>
      <c r="L536" s="1"/>
      <c r="M536" s="1"/>
      <c r="N536" s="1"/>
      <c r="O536" s="1"/>
      <c r="P536" s="1"/>
      <c r="Q536" s="1"/>
      <c r="R536" s="1"/>
      <c r="S536" s="1"/>
      <c r="T536" s="1"/>
      <c r="U536" s="2"/>
      <c r="V536" s="1"/>
      <c r="W536" s="1"/>
      <c r="X536" s="1"/>
      <c r="Y536" s="1"/>
      <c r="Z536" s="1"/>
    </row>
    <row r="537" spans="1:26" ht="24.75" customHeight="1">
      <c r="A537" s="1"/>
      <c r="B537" s="1"/>
      <c r="C537" s="1"/>
      <c r="D537" s="1"/>
      <c r="E537" s="1"/>
      <c r="F537" s="1"/>
      <c r="G537" s="1"/>
      <c r="H537" s="1"/>
      <c r="I537" s="1"/>
      <c r="J537" s="1"/>
      <c r="K537" s="1"/>
      <c r="L537" s="1"/>
      <c r="M537" s="1"/>
      <c r="N537" s="1"/>
      <c r="O537" s="1"/>
      <c r="P537" s="1"/>
      <c r="Q537" s="1"/>
      <c r="R537" s="1"/>
      <c r="S537" s="1"/>
      <c r="T537" s="1"/>
      <c r="U537" s="2"/>
      <c r="V537" s="1"/>
      <c r="W537" s="1"/>
      <c r="X537" s="1"/>
      <c r="Y537" s="1"/>
      <c r="Z537" s="1"/>
    </row>
    <row r="538" spans="1:26" ht="24.75" customHeight="1">
      <c r="A538" s="1"/>
      <c r="B538" s="1"/>
      <c r="C538" s="1"/>
      <c r="D538" s="1"/>
      <c r="E538" s="1"/>
      <c r="F538" s="1"/>
      <c r="G538" s="1"/>
      <c r="H538" s="1"/>
      <c r="I538" s="1"/>
      <c r="J538" s="1"/>
      <c r="K538" s="1"/>
      <c r="L538" s="1"/>
      <c r="M538" s="1"/>
      <c r="N538" s="1"/>
      <c r="O538" s="1"/>
      <c r="P538" s="1"/>
      <c r="Q538" s="1"/>
      <c r="R538" s="1"/>
      <c r="S538" s="1"/>
      <c r="T538" s="1"/>
      <c r="U538" s="2"/>
      <c r="V538" s="1"/>
      <c r="W538" s="1"/>
      <c r="X538" s="1"/>
      <c r="Y538" s="1"/>
      <c r="Z538" s="1"/>
    </row>
    <row r="539" spans="1:26" ht="24.75" customHeight="1">
      <c r="A539" s="1"/>
      <c r="B539" s="1"/>
      <c r="C539" s="1"/>
      <c r="D539" s="1"/>
      <c r="E539" s="1"/>
      <c r="F539" s="1"/>
      <c r="G539" s="1"/>
      <c r="H539" s="1"/>
      <c r="I539" s="1"/>
      <c r="J539" s="1"/>
      <c r="K539" s="1"/>
      <c r="L539" s="1"/>
      <c r="M539" s="1"/>
      <c r="N539" s="1"/>
      <c r="O539" s="1"/>
      <c r="P539" s="1"/>
      <c r="Q539" s="1"/>
      <c r="R539" s="1"/>
      <c r="S539" s="1"/>
      <c r="T539" s="1"/>
      <c r="U539" s="2"/>
      <c r="V539" s="1"/>
      <c r="W539" s="1"/>
      <c r="X539" s="1"/>
      <c r="Y539" s="1"/>
      <c r="Z539" s="1"/>
    </row>
    <row r="540" spans="1:26" ht="24.75" customHeight="1">
      <c r="A540" s="1"/>
      <c r="B540" s="1"/>
      <c r="C540" s="1"/>
      <c r="D540" s="1"/>
      <c r="E540" s="1"/>
      <c r="F540" s="1"/>
      <c r="G540" s="1"/>
      <c r="H540" s="1"/>
      <c r="I540" s="1"/>
      <c r="J540" s="1"/>
      <c r="K540" s="1"/>
      <c r="L540" s="1"/>
      <c r="M540" s="1"/>
      <c r="N540" s="1"/>
      <c r="O540" s="1"/>
      <c r="P540" s="1"/>
      <c r="Q540" s="1"/>
      <c r="R540" s="1"/>
      <c r="S540" s="1"/>
      <c r="T540" s="1"/>
      <c r="U540" s="2"/>
      <c r="V540" s="1"/>
      <c r="W540" s="1"/>
      <c r="X540" s="1"/>
      <c r="Y540" s="1"/>
      <c r="Z540" s="1"/>
    </row>
    <row r="541" spans="1:26" ht="24.75" customHeight="1">
      <c r="A541" s="1"/>
      <c r="B541" s="1"/>
      <c r="C541" s="1"/>
      <c r="D541" s="1"/>
      <c r="E541" s="1"/>
      <c r="F541" s="1"/>
      <c r="G541" s="1"/>
      <c r="H541" s="1"/>
      <c r="I541" s="1"/>
      <c r="J541" s="1"/>
      <c r="K541" s="1"/>
      <c r="L541" s="1"/>
      <c r="M541" s="1"/>
      <c r="N541" s="1"/>
      <c r="O541" s="1"/>
      <c r="P541" s="1"/>
      <c r="Q541" s="1"/>
      <c r="R541" s="1"/>
      <c r="S541" s="1"/>
      <c r="T541" s="1"/>
      <c r="U541" s="2"/>
      <c r="V541" s="1"/>
      <c r="W541" s="1"/>
      <c r="X541" s="1"/>
      <c r="Y541" s="1"/>
      <c r="Z541" s="1"/>
    </row>
    <row r="542" spans="1:26" ht="24.75" customHeight="1">
      <c r="A542" s="1"/>
      <c r="B542" s="1"/>
      <c r="C542" s="1"/>
      <c r="D542" s="1"/>
      <c r="E542" s="1"/>
      <c r="F542" s="1"/>
      <c r="G542" s="1"/>
      <c r="H542" s="1"/>
      <c r="I542" s="1"/>
      <c r="J542" s="1"/>
      <c r="K542" s="1"/>
      <c r="L542" s="1"/>
      <c r="M542" s="1"/>
      <c r="N542" s="1"/>
      <c r="O542" s="1"/>
      <c r="P542" s="1"/>
      <c r="Q542" s="1"/>
      <c r="R542" s="1"/>
      <c r="S542" s="1"/>
      <c r="T542" s="1"/>
      <c r="U542" s="2"/>
      <c r="V542" s="1"/>
      <c r="W542" s="1"/>
      <c r="X542" s="1"/>
      <c r="Y542" s="1"/>
      <c r="Z542" s="1"/>
    </row>
    <row r="543" spans="1:26" ht="24.75" customHeight="1">
      <c r="A543" s="1"/>
      <c r="B543" s="1"/>
      <c r="C543" s="1"/>
      <c r="D543" s="1"/>
      <c r="E543" s="1"/>
      <c r="F543" s="1"/>
      <c r="G543" s="1"/>
      <c r="H543" s="1"/>
      <c r="I543" s="1"/>
      <c r="J543" s="1"/>
      <c r="K543" s="1"/>
      <c r="L543" s="1"/>
      <c r="M543" s="1"/>
      <c r="N543" s="1"/>
      <c r="O543" s="1"/>
      <c r="P543" s="1"/>
      <c r="Q543" s="1"/>
      <c r="R543" s="1"/>
      <c r="S543" s="1"/>
      <c r="T543" s="1"/>
      <c r="U543" s="2"/>
      <c r="V543" s="1"/>
      <c r="W543" s="1"/>
      <c r="X543" s="1"/>
      <c r="Y543" s="1"/>
      <c r="Z543" s="1"/>
    </row>
    <row r="544" spans="1:26" ht="24.75" customHeight="1">
      <c r="A544" s="1"/>
      <c r="B544" s="1"/>
      <c r="C544" s="1"/>
      <c r="D544" s="1"/>
      <c r="E544" s="1"/>
      <c r="F544" s="1"/>
      <c r="G544" s="1"/>
      <c r="H544" s="1"/>
      <c r="I544" s="1"/>
      <c r="J544" s="1"/>
      <c r="K544" s="1"/>
      <c r="L544" s="1"/>
      <c r="M544" s="1"/>
      <c r="N544" s="1"/>
      <c r="O544" s="1"/>
      <c r="P544" s="1"/>
      <c r="Q544" s="1"/>
      <c r="R544" s="1"/>
      <c r="S544" s="1"/>
      <c r="T544" s="1"/>
      <c r="U544" s="2"/>
      <c r="V544" s="1"/>
      <c r="W544" s="1"/>
      <c r="X544" s="1"/>
      <c r="Y544" s="1"/>
      <c r="Z544" s="1"/>
    </row>
    <row r="545" spans="1:26" ht="24.75" customHeight="1">
      <c r="A545" s="1"/>
      <c r="B545" s="1"/>
      <c r="C545" s="1"/>
      <c r="D545" s="1"/>
      <c r="E545" s="1"/>
      <c r="F545" s="1"/>
      <c r="G545" s="1"/>
      <c r="H545" s="1"/>
      <c r="I545" s="1"/>
      <c r="J545" s="1"/>
      <c r="K545" s="1"/>
      <c r="L545" s="1"/>
      <c r="M545" s="1"/>
      <c r="N545" s="1"/>
      <c r="O545" s="1"/>
      <c r="P545" s="1"/>
      <c r="Q545" s="1"/>
      <c r="R545" s="1"/>
      <c r="S545" s="1"/>
      <c r="T545" s="1"/>
      <c r="U545" s="2"/>
      <c r="V545" s="1"/>
      <c r="W545" s="1"/>
      <c r="X545" s="1"/>
      <c r="Y545" s="1"/>
      <c r="Z545" s="1"/>
    </row>
    <row r="546" spans="1:26" ht="24.75" customHeight="1">
      <c r="A546" s="1"/>
      <c r="B546" s="1"/>
      <c r="C546" s="1"/>
      <c r="D546" s="1"/>
      <c r="E546" s="1"/>
      <c r="F546" s="1"/>
      <c r="G546" s="1"/>
      <c r="H546" s="1"/>
      <c r="I546" s="1"/>
      <c r="J546" s="1"/>
      <c r="K546" s="1"/>
      <c r="L546" s="1"/>
      <c r="M546" s="1"/>
      <c r="N546" s="1"/>
      <c r="O546" s="1"/>
      <c r="P546" s="1"/>
      <c r="Q546" s="1"/>
      <c r="R546" s="1"/>
      <c r="S546" s="1"/>
      <c r="T546" s="1"/>
      <c r="U546" s="2"/>
      <c r="V546" s="1"/>
      <c r="W546" s="1"/>
      <c r="X546" s="1"/>
      <c r="Y546" s="1"/>
      <c r="Z546" s="1"/>
    </row>
    <row r="547" spans="1:26" ht="24.75" customHeight="1">
      <c r="A547" s="1"/>
      <c r="B547" s="1"/>
      <c r="C547" s="1"/>
      <c r="D547" s="1"/>
      <c r="E547" s="1"/>
      <c r="F547" s="1"/>
      <c r="G547" s="1"/>
      <c r="H547" s="1"/>
      <c r="I547" s="1"/>
      <c r="J547" s="1"/>
      <c r="K547" s="1"/>
      <c r="L547" s="1"/>
      <c r="M547" s="1"/>
      <c r="N547" s="1"/>
      <c r="O547" s="1"/>
      <c r="P547" s="1"/>
      <c r="Q547" s="1"/>
      <c r="R547" s="1"/>
      <c r="S547" s="1"/>
      <c r="T547" s="1"/>
      <c r="U547" s="2"/>
      <c r="V547" s="1"/>
      <c r="W547" s="1"/>
      <c r="X547" s="1"/>
      <c r="Y547" s="1"/>
      <c r="Z547" s="1"/>
    </row>
    <row r="548" spans="1:26" ht="24.75" customHeight="1">
      <c r="A548" s="1"/>
      <c r="B548" s="1"/>
      <c r="C548" s="1"/>
      <c r="D548" s="1"/>
      <c r="E548" s="1"/>
      <c r="F548" s="1"/>
      <c r="G548" s="1"/>
      <c r="H548" s="1"/>
      <c r="I548" s="1"/>
      <c r="J548" s="1"/>
      <c r="K548" s="1"/>
      <c r="L548" s="1"/>
      <c r="M548" s="1"/>
      <c r="N548" s="1"/>
      <c r="O548" s="1"/>
      <c r="P548" s="1"/>
      <c r="Q548" s="1"/>
      <c r="R548" s="1"/>
      <c r="S548" s="1"/>
      <c r="T548" s="1"/>
      <c r="U548" s="2"/>
      <c r="V548" s="1"/>
      <c r="W548" s="1"/>
      <c r="X548" s="1"/>
      <c r="Y548" s="1"/>
      <c r="Z548" s="1"/>
    </row>
    <row r="549" spans="1:26" ht="24.75" customHeight="1">
      <c r="A549" s="1"/>
      <c r="B549" s="1"/>
      <c r="C549" s="1"/>
      <c r="D549" s="1"/>
      <c r="E549" s="1"/>
      <c r="F549" s="1"/>
      <c r="G549" s="1"/>
      <c r="H549" s="1"/>
      <c r="I549" s="1"/>
      <c r="J549" s="1"/>
      <c r="K549" s="1"/>
      <c r="L549" s="1"/>
      <c r="M549" s="1"/>
      <c r="N549" s="1"/>
      <c r="O549" s="1"/>
      <c r="P549" s="1"/>
      <c r="Q549" s="1"/>
      <c r="R549" s="1"/>
      <c r="S549" s="1"/>
      <c r="T549" s="1"/>
      <c r="U549" s="2"/>
      <c r="V549" s="1"/>
      <c r="W549" s="1"/>
      <c r="X549" s="1"/>
      <c r="Y549" s="1"/>
      <c r="Z549" s="1"/>
    </row>
    <row r="550" spans="1:26" ht="24.75" customHeight="1">
      <c r="A550" s="1"/>
      <c r="B550" s="1"/>
      <c r="C550" s="1"/>
      <c r="D550" s="1"/>
      <c r="E550" s="1"/>
      <c r="F550" s="1"/>
      <c r="G550" s="1"/>
      <c r="H550" s="1"/>
      <c r="I550" s="1"/>
      <c r="J550" s="1"/>
      <c r="K550" s="1"/>
      <c r="L550" s="1"/>
      <c r="M550" s="1"/>
      <c r="N550" s="1"/>
      <c r="O550" s="1"/>
      <c r="P550" s="1"/>
      <c r="Q550" s="1"/>
      <c r="R550" s="1"/>
      <c r="S550" s="1"/>
      <c r="T550" s="1"/>
      <c r="U550" s="2"/>
      <c r="V550" s="1"/>
      <c r="W550" s="1"/>
      <c r="X550" s="1"/>
      <c r="Y550" s="1"/>
      <c r="Z550" s="1"/>
    </row>
    <row r="551" spans="1:26" ht="24.75" customHeight="1">
      <c r="A551" s="1"/>
      <c r="B551" s="1"/>
      <c r="C551" s="1"/>
      <c r="D551" s="1"/>
      <c r="E551" s="1"/>
      <c r="F551" s="1"/>
      <c r="G551" s="1"/>
      <c r="H551" s="1"/>
      <c r="I551" s="1"/>
      <c r="J551" s="1"/>
      <c r="K551" s="1"/>
      <c r="L551" s="1"/>
      <c r="M551" s="1"/>
      <c r="N551" s="1"/>
      <c r="O551" s="1"/>
      <c r="P551" s="1"/>
      <c r="Q551" s="1"/>
      <c r="R551" s="1"/>
      <c r="S551" s="1"/>
      <c r="T551" s="1"/>
      <c r="U551" s="2"/>
      <c r="V551" s="1"/>
      <c r="W551" s="1"/>
      <c r="X551" s="1"/>
      <c r="Y551" s="1"/>
      <c r="Z551" s="1"/>
    </row>
    <row r="552" spans="1:26" ht="24.75" customHeight="1">
      <c r="A552" s="1"/>
      <c r="B552" s="1"/>
      <c r="C552" s="1"/>
      <c r="D552" s="1"/>
      <c r="E552" s="1"/>
      <c r="F552" s="1"/>
      <c r="G552" s="1"/>
      <c r="H552" s="1"/>
      <c r="I552" s="1"/>
      <c r="J552" s="1"/>
      <c r="K552" s="1"/>
      <c r="L552" s="1"/>
      <c r="M552" s="1"/>
      <c r="N552" s="1"/>
      <c r="O552" s="1"/>
      <c r="P552" s="1"/>
      <c r="Q552" s="1"/>
      <c r="R552" s="1"/>
      <c r="S552" s="1"/>
      <c r="T552" s="1"/>
      <c r="U552" s="2"/>
      <c r="V552" s="1"/>
      <c r="W552" s="1"/>
      <c r="X552" s="1"/>
      <c r="Y552" s="1"/>
      <c r="Z552" s="1"/>
    </row>
    <row r="553" spans="1:26" ht="24.75" customHeight="1">
      <c r="A553" s="1"/>
      <c r="B553" s="1"/>
      <c r="C553" s="1"/>
      <c r="D553" s="1"/>
      <c r="E553" s="1"/>
      <c r="F553" s="1"/>
      <c r="G553" s="1"/>
      <c r="H553" s="1"/>
      <c r="I553" s="1"/>
      <c r="J553" s="1"/>
      <c r="K553" s="1"/>
      <c r="L553" s="1"/>
      <c r="M553" s="1"/>
      <c r="N553" s="1"/>
      <c r="O553" s="1"/>
      <c r="P553" s="1"/>
      <c r="Q553" s="1"/>
      <c r="R553" s="1"/>
      <c r="S553" s="1"/>
      <c r="T553" s="1"/>
      <c r="U553" s="2"/>
      <c r="V553" s="1"/>
      <c r="W553" s="1"/>
      <c r="X553" s="1"/>
      <c r="Y553" s="1"/>
      <c r="Z553" s="1"/>
    </row>
    <row r="554" spans="1:26" ht="24.75" customHeight="1">
      <c r="A554" s="1"/>
      <c r="B554" s="1"/>
      <c r="C554" s="1"/>
      <c r="D554" s="1"/>
      <c r="E554" s="1"/>
      <c r="F554" s="1"/>
      <c r="G554" s="1"/>
      <c r="H554" s="1"/>
      <c r="I554" s="1"/>
      <c r="J554" s="1"/>
      <c r="K554" s="1"/>
      <c r="L554" s="1"/>
      <c r="M554" s="1"/>
      <c r="N554" s="1"/>
      <c r="O554" s="1"/>
      <c r="P554" s="1"/>
      <c r="Q554" s="1"/>
      <c r="R554" s="1"/>
      <c r="S554" s="1"/>
      <c r="T554" s="1"/>
      <c r="U554" s="2"/>
      <c r="V554" s="1"/>
      <c r="W554" s="1"/>
      <c r="X554" s="1"/>
      <c r="Y554" s="1"/>
      <c r="Z554" s="1"/>
    </row>
    <row r="555" spans="1:26" ht="24.75" customHeight="1">
      <c r="A555" s="1"/>
      <c r="B555" s="1"/>
      <c r="C555" s="1"/>
      <c r="D555" s="1"/>
      <c r="E555" s="1"/>
      <c r="F555" s="1"/>
      <c r="G555" s="1"/>
      <c r="H555" s="1"/>
      <c r="I555" s="1"/>
      <c r="J555" s="1"/>
      <c r="K555" s="1"/>
      <c r="L555" s="1"/>
      <c r="M555" s="1"/>
      <c r="N555" s="1"/>
      <c r="O555" s="1"/>
      <c r="P555" s="1"/>
      <c r="Q555" s="1"/>
      <c r="R555" s="1"/>
      <c r="S555" s="1"/>
      <c r="T555" s="1"/>
      <c r="U555" s="2"/>
      <c r="V555" s="1"/>
      <c r="W555" s="1"/>
      <c r="X555" s="1"/>
      <c r="Y555" s="1"/>
      <c r="Z555" s="1"/>
    </row>
    <row r="556" spans="1:26" ht="24.75" customHeight="1">
      <c r="A556" s="1"/>
      <c r="B556" s="1"/>
      <c r="C556" s="1"/>
      <c r="D556" s="1"/>
      <c r="E556" s="1"/>
      <c r="F556" s="1"/>
      <c r="G556" s="1"/>
      <c r="H556" s="1"/>
      <c r="I556" s="1"/>
      <c r="J556" s="1"/>
      <c r="K556" s="1"/>
      <c r="L556" s="1"/>
      <c r="M556" s="1"/>
      <c r="N556" s="1"/>
      <c r="O556" s="1"/>
      <c r="P556" s="1"/>
      <c r="Q556" s="1"/>
      <c r="R556" s="1"/>
      <c r="S556" s="1"/>
      <c r="T556" s="1"/>
      <c r="U556" s="2"/>
      <c r="V556" s="1"/>
      <c r="W556" s="1"/>
      <c r="X556" s="1"/>
      <c r="Y556" s="1"/>
      <c r="Z556" s="1"/>
    </row>
    <row r="557" spans="1:26" ht="24.75" customHeight="1">
      <c r="A557" s="1"/>
      <c r="B557" s="1"/>
      <c r="C557" s="1"/>
      <c r="D557" s="1"/>
      <c r="E557" s="1"/>
      <c r="F557" s="1"/>
      <c r="G557" s="1"/>
      <c r="H557" s="1"/>
      <c r="I557" s="1"/>
      <c r="J557" s="1"/>
      <c r="K557" s="1"/>
      <c r="L557" s="1"/>
      <c r="M557" s="1"/>
      <c r="N557" s="1"/>
      <c r="O557" s="1"/>
      <c r="P557" s="1"/>
      <c r="Q557" s="1"/>
      <c r="R557" s="1"/>
      <c r="S557" s="1"/>
      <c r="T557" s="1"/>
      <c r="U557" s="2"/>
      <c r="V557" s="1"/>
      <c r="W557" s="1"/>
      <c r="X557" s="1"/>
      <c r="Y557" s="1"/>
      <c r="Z557" s="1"/>
    </row>
    <row r="558" spans="1:26" ht="24.75" customHeight="1">
      <c r="A558" s="1"/>
      <c r="B558" s="1"/>
      <c r="C558" s="1"/>
      <c r="D558" s="1"/>
      <c r="E558" s="1"/>
      <c r="F558" s="1"/>
      <c r="G558" s="1"/>
      <c r="H558" s="1"/>
      <c r="I558" s="1"/>
      <c r="J558" s="1"/>
      <c r="K558" s="1"/>
      <c r="L558" s="1"/>
      <c r="M558" s="1"/>
      <c r="N558" s="1"/>
      <c r="O558" s="1"/>
      <c r="P558" s="1"/>
      <c r="Q558" s="1"/>
      <c r="R558" s="1"/>
      <c r="S558" s="1"/>
      <c r="T558" s="1"/>
      <c r="U558" s="2"/>
      <c r="V558" s="1"/>
      <c r="W558" s="1"/>
      <c r="X558" s="1"/>
      <c r="Y558" s="1"/>
      <c r="Z558" s="1"/>
    </row>
    <row r="559" spans="1:26" ht="24.75" customHeight="1">
      <c r="A559" s="1"/>
      <c r="B559" s="1"/>
      <c r="C559" s="1"/>
      <c r="D559" s="1"/>
      <c r="E559" s="1"/>
      <c r="F559" s="1"/>
      <c r="G559" s="1"/>
      <c r="H559" s="1"/>
      <c r="I559" s="1"/>
      <c r="J559" s="1"/>
      <c r="K559" s="1"/>
      <c r="L559" s="1"/>
      <c r="M559" s="1"/>
      <c r="N559" s="1"/>
      <c r="O559" s="1"/>
      <c r="P559" s="1"/>
      <c r="Q559" s="1"/>
      <c r="R559" s="1"/>
      <c r="S559" s="1"/>
      <c r="T559" s="1"/>
      <c r="U559" s="2"/>
      <c r="V559" s="1"/>
      <c r="W559" s="1"/>
      <c r="X559" s="1"/>
      <c r="Y559" s="1"/>
      <c r="Z559" s="1"/>
    </row>
    <row r="560" spans="1:26" ht="24.75" customHeight="1">
      <c r="A560" s="1"/>
      <c r="B560" s="1"/>
      <c r="C560" s="1"/>
      <c r="D560" s="1"/>
      <c r="E560" s="1"/>
      <c r="F560" s="1"/>
      <c r="G560" s="1"/>
      <c r="H560" s="1"/>
      <c r="I560" s="1"/>
      <c r="J560" s="1"/>
      <c r="K560" s="1"/>
      <c r="L560" s="1"/>
      <c r="M560" s="1"/>
      <c r="N560" s="1"/>
      <c r="O560" s="1"/>
      <c r="P560" s="1"/>
      <c r="Q560" s="1"/>
      <c r="R560" s="1"/>
      <c r="S560" s="1"/>
      <c r="T560" s="1"/>
      <c r="U560" s="2"/>
      <c r="V560" s="1"/>
      <c r="W560" s="1"/>
      <c r="X560" s="1"/>
      <c r="Y560" s="1"/>
      <c r="Z560" s="1"/>
    </row>
    <row r="561" spans="1:26" ht="24.75" customHeight="1">
      <c r="A561" s="1"/>
      <c r="B561" s="1"/>
      <c r="C561" s="1"/>
      <c r="D561" s="1"/>
      <c r="E561" s="1"/>
      <c r="F561" s="1"/>
      <c r="G561" s="1"/>
      <c r="H561" s="1"/>
      <c r="I561" s="1"/>
      <c r="J561" s="1"/>
      <c r="K561" s="1"/>
      <c r="L561" s="1"/>
      <c r="M561" s="1"/>
      <c r="N561" s="1"/>
      <c r="O561" s="1"/>
      <c r="P561" s="1"/>
      <c r="Q561" s="1"/>
      <c r="R561" s="1"/>
      <c r="S561" s="1"/>
      <c r="T561" s="1"/>
      <c r="U561" s="2"/>
      <c r="V561" s="1"/>
      <c r="W561" s="1"/>
      <c r="X561" s="1"/>
      <c r="Y561" s="1"/>
      <c r="Z561" s="1"/>
    </row>
    <row r="562" spans="1:26" ht="24.75" customHeight="1">
      <c r="A562" s="1"/>
      <c r="B562" s="1"/>
      <c r="C562" s="1"/>
      <c r="D562" s="1"/>
      <c r="E562" s="1"/>
      <c r="F562" s="1"/>
      <c r="G562" s="1"/>
      <c r="H562" s="1"/>
      <c r="I562" s="1"/>
      <c r="J562" s="1"/>
      <c r="K562" s="1"/>
      <c r="L562" s="1"/>
      <c r="M562" s="1"/>
      <c r="N562" s="1"/>
      <c r="O562" s="1"/>
      <c r="P562" s="1"/>
      <c r="Q562" s="1"/>
      <c r="R562" s="1"/>
      <c r="S562" s="1"/>
      <c r="T562" s="1"/>
      <c r="U562" s="2"/>
      <c r="V562" s="1"/>
      <c r="W562" s="1"/>
      <c r="X562" s="1"/>
      <c r="Y562" s="1"/>
      <c r="Z562" s="1"/>
    </row>
    <row r="563" spans="1:26" ht="24.75" customHeight="1">
      <c r="A563" s="1"/>
      <c r="B563" s="1"/>
      <c r="C563" s="1"/>
      <c r="D563" s="1"/>
      <c r="E563" s="1"/>
      <c r="F563" s="1"/>
      <c r="G563" s="1"/>
      <c r="H563" s="1"/>
      <c r="I563" s="1"/>
      <c r="J563" s="1"/>
      <c r="K563" s="1"/>
      <c r="L563" s="1"/>
      <c r="M563" s="1"/>
      <c r="N563" s="1"/>
      <c r="O563" s="1"/>
      <c r="P563" s="1"/>
      <c r="Q563" s="1"/>
      <c r="R563" s="1"/>
      <c r="S563" s="1"/>
      <c r="T563" s="1"/>
      <c r="U563" s="2"/>
      <c r="V563" s="1"/>
      <c r="W563" s="1"/>
      <c r="X563" s="1"/>
      <c r="Y563" s="1"/>
      <c r="Z563" s="1"/>
    </row>
    <row r="564" spans="1:26" ht="24.75" customHeight="1">
      <c r="A564" s="1"/>
      <c r="B564" s="1"/>
      <c r="C564" s="1"/>
      <c r="D564" s="1"/>
      <c r="E564" s="1"/>
      <c r="F564" s="1"/>
      <c r="G564" s="1"/>
      <c r="H564" s="1"/>
      <c r="I564" s="1"/>
      <c r="J564" s="1"/>
      <c r="K564" s="1"/>
      <c r="L564" s="1"/>
      <c r="M564" s="1"/>
      <c r="N564" s="1"/>
      <c r="O564" s="1"/>
      <c r="P564" s="1"/>
      <c r="Q564" s="1"/>
      <c r="R564" s="1"/>
      <c r="S564" s="1"/>
      <c r="T564" s="1"/>
      <c r="U564" s="2"/>
      <c r="V564" s="1"/>
      <c r="W564" s="1"/>
      <c r="X564" s="1"/>
      <c r="Y564" s="1"/>
      <c r="Z564" s="1"/>
    </row>
    <row r="565" spans="1:26" ht="24.75" customHeight="1">
      <c r="A565" s="1"/>
      <c r="B565" s="1"/>
      <c r="C565" s="1"/>
      <c r="D565" s="1"/>
      <c r="E565" s="1"/>
      <c r="F565" s="1"/>
      <c r="G565" s="1"/>
      <c r="H565" s="1"/>
      <c r="I565" s="1"/>
      <c r="J565" s="1"/>
      <c r="K565" s="1"/>
      <c r="L565" s="1"/>
      <c r="M565" s="1"/>
      <c r="N565" s="1"/>
      <c r="O565" s="1"/>
      <c r="P565" s="1"/>
      <c r="Q565" s="1"/>
      <c r="R565" s="1"/>
      <c r="S565" s="1"/>
      <c r="T565" s="1"/>
      <c r="U565" s="2"/>
      <c r="V565" s="1"/>
      <c r="W565" s="1"/>
      <c r="X565" s="1"/>
      <c r="Y565" s="1"/>
      <c r="Z565" s="1"/>
    </row>
    <row r="566" spans="1:26" ht="24.75" customHeight="1">
      <c r="A566" s="1"/>
      <c r="B566" s="1"/>
      <c r="C566" s="1"/>
      <c r="D566" s="1"/>
      <c r="E566" s="1"/>
      <c r="F566" s="1"/>
      <c r="G566" s="1"/>
      <c r="H566" s="1"/>
      <c r="I566" s="1"/>
      <c r="J566" s="1"/>
      <c r="K566" s="1"/>
      <c r="L566" s="1"/>
      <c r="M566" s="1"/>
      <c r="N566" s="1"/>
      <c r="O566" s="1"/>
      <c r="P566" s="1"/>
      <c r="Q566" s="1"/>
      <c r="R566" s="1"/>
      <c r="S566" s="1"/>
      <c r="T566" s="1"/>
      <c r="U566" s="2"/>
      <c r="V566" s="1"/>
      <c r="W566" s="1"/>
      <c r="X566" s="1"/>
      <c r="Y566" s="1"/>
      <c r="Z566" s="1"/>
    </row>
    <row r="567" spans="1:26" ht="24.75" customHeight="1">
      <c r="A567" s="1"/>
      <c r="B567" s="1"/>
      <c r="C567" s="1"/>
      <c r="D567" s="1"/>
      <c r="E567" s="1"/>
      <c r="F567" s="1"/>
      <c r="G567" s="1"/>
      <c r="H567" s="1"/>
      <c r="I567" s="1"/>
      <c r="J567" s="1"/>
      <c r="K567" s="1"/>
      <c r="L567" s="1"/>
      <c r="M567" s="1"/>
      <c r="N567" s="1"/>
      <c r="O567" s="1"/>
      <c r="P567" s="1"/>
      <c r="Q567" s="1"/>
      <c r="R567" s="1"/>
      <c r="S567" s="1"/>
      <c r="T567" s="1"/>
      <c r="U567" s="2"/>
      <c r="V567" s="1"/>
      <c r="W567" s="1"/>
      <c r="X567" s="1"/>
      <c r="Y567" s="1"/>
      <c r="Z567" s="1"/>
    </row>
    <row r="568" spans="1:26" ht="24.75" customHeight="1">
      <c r="A568" s="1"/>
      <c r="B568" s="1"/>
      <c r="C568" s="1"/>
      <c r="D568" s="1"/>
      <c r="E568" s="1"/>
      <c r="F568" s="1"/>
      <c r="G568" s="1"/>
      <c r="H568" s="1"/>
      <c r="I568" s="1"/>
      <c r="J568" s="1"/>
      <c r="K568" s="1"/>
      <c r="L568" s="1"/>
      <c r="M568" s="1"/>
      <c r="N568" s="1"/>
      <c r="O568" s="1"/>
      <c r="P568" s="1"/>
      <c r="Q568" s="1"/>
      <c r="R568" s="1"/>
      <c r="S568" s="1"/>
      <c r="T568" s="1"/>
      <c r="U568" s="2"/>
      <c r="V568" s="1"/>
      <c r="W568" s="1"/>
      <c r="X568" s="1"/>
      <c r="Y568" s="1"/>
      <c r="Z568" s="1"/>
    </row>
    <row r="569" spans="1:26" ht="24.75" customHeight="1">
      <c r="A569" s="1"/>
      <c r="B569" s="1"/>
      <c r="C569" s="1"/>
      <c r="D569" s="1"/>
      <c r="E569" s="1"/>
      <c r="F569" s="1"/>
      <c r="G569" s="1"/>
      <c r="H569" s="1"/>
      <c r="I569" s="1"/>
      <c r="J569" s="1"/>
      <c r="K569" s="1"/>
      <c r="L569" s="1"/>
      <c r="M569" s="1"/>
      <c r="N569" s="1"/>
      <c r="O569" s="1"/>
      <c r="P569" s="1"/>
      <c r="Q569" s="1"/>
      <c r="R569" s="1"/>
      <c r="S569" s="1"/>
      <c r="T569" s="1"/>
      <c r="U569" s="2"/>
      <c r="V569" s="1"/>
      <c r="W569" s="1"/>
      <c r="X569" s="1"/>
      <c r="Y569" s="1"/>
      <c r="Z569" s="1"/>
    </row>
    <row r="570" spans="1:26" ht="24.75" customHeight="1">
      <c r="A570" s="1"/>
      <c r="B570" s="1"/>
      <c r="C570" s="1"/>
      <c r="D570" s="1"/>
      <c r="E570" s="1"/>
      <c r="F570" s="1"/>
      <c r="G570" s="1"/>
      <c r="H570" s="1"/>
      <c r="I570" s="1"/>
      <c r="J570" s="1"/>
      <c r="K570" s="1"/>
      <c r="L570" s="1"/>
      <c r="M570" s="1"/>
      <c r="N570" s="1"/>
      <c r="O570" s="1"/>
      <c r="P570" s="1"/>
      <c r="Q570" s="1"/>
      <c r="R570" s="1"/>
      <c r="S570" s="1"/>
      <c r="T570" s="1"/>
      <c r="U570" s="2"/>
      <c r="V570" s="1"/>
      <c r="W570" s="1"/>
      <c r="X570" s="1"/>
      <c r="Y570" s="1"/>
      <c r="Z570" s="1"/>
    </row>
    <row r="571" spans="1:26" ht="24.75" customHeight="1">
      <c r="A571" s="1"/>
      <c r="B571" s="1"/>
      <c r="C571" s="1"/>
      <c r="D571" s="1"/>
      <c r="E571" s="1"/>
      <c r="F571" s="1"/>
      <c r="G571" s="1"/>
      <c r="H571" s="1"/>
      <c r="I571" s="1"/>
      <c r="J571" s="1"/>
      <c r="K571" s="1"/>
      <c r="L571" s="1"/>
      <c r="M571" s="1"/>
      <c r="N571" s="1"/>
      <c r="O571" s="1"/>
      <c r="P571" s="1"/>
      <c r="Q571" s="1"/>
      <c r="R571" s="1"/>
      <c r="S571" s="1"/>
      <c r="T571" s="1"/>
      <c r="U571" s="2"/>
      <c r="V571" s="1"/>
      <c r="W571" s="1"/>
      <c r="X571" s="1"/>
      <c r="Y571" s="1"/>
      <c r="Z571" s="1"/>
    </row>
    <row r="572" spans="1:26" ht="24.75" customHeight="1">
      <c r="A572" s="1"/>
      <c r="B572" s="1"/>
      <c r="C572" s="1"/>
      <c r="D572" s="1"/>
      <c r="E572" s="1"/>
      <c r="F572" s="1"/>
      <c r="G572" s="1"/>
      <c r="H572" s="1"/>
      <c r="I572" s="1"/>
      <c r="J572" s="1"/>
      <c r="K572" s="1"/>
      <c r="L572" s="1"/>
      <c r="M572" s="1"/>
      <c r="N572" s="1"/>
      <c r="O572" s="1"/>
      <c r="P572" s="1"/>
      <c r="Q572" s="1"/>
      <c r="R572" s="1"/>
      <c r="S572" s="1"/>
      <c r="T572" s="1"/>
      <c r="U572" s="2"/>
      <c r="V572" s="1"/>
      <c r="W572" s="1"/>
      <c r="X572" s="1"/>
      <c r="Y572" s="1"/>
      <c r="Z572" s="1"/>
    </row>
    <row r="573" spans="1:26" ht="24.75" customHeight="1">
      <c r="A573" s="1"/>
      <c r="B573" s="1"/>
      <c r="C573" s="1"/>
      <c r="D573" s="1"/>
      <c r="E573" s="1"/>
      <c r="F573" s="1"/>
      <c r="G573" s="1"/>
      <c r="H573" s="1"/>
      <c r="I573" s="1"/>
      <c r="J573" s="1"/>
      <c r="K573" s="1"/>
      <c r="L573" s="1"/>
      <c r="M573" s="1"/>
      <c r="N573" s="1"/>
      <c r="O573" s="1"/>
      <c r="P573" s="1"/>
      <c r="Q573" s="1"/>
      <c r="R573" s="1"/>
      <c r="S573" s="1"/>
      <c r="T573" s="1"/>
      <c r="U573" s="2"/>
      <c r="V573" s="1"/>
      <c r="W573" s="1"/>
      <c r="X573" s="1"/>
      <c r="Y573" s="1"/>
      <c r="Z573" s="1"/>
    </row>
    <row r="574" spans="1:26" ht="24.75" customHeight="1">
      <c r="A574" s="1"/>
      <c r="B574" s="1"/>
      <c r="C574" s="1"/>
      <c r="D574" s="1"/>
      <c r="E574" s="1"/>
      <c r="F574" s="1"/>
      <c r="G574" s="1"/>
      <c r="H574" s="1"/>
      <c r="I574" s="1"/>
      <c r="J574" s="1"/>
      <c r="K574" s="1"/>
      <c r="L574" s="1"/>
      <c r="M574" s="1"/>
      <c r="N574" s="1"/>
      <c r="O574" s="1"/>
      <c r="P574" s="1"/>
      <c r="Q574" s="1"/>
      <c r="R574" s="1"/>
      <c r="S574" s="1"/>
      <c r="T574" s="1"/>
      <c r="U574" s="2"/>
      <c r="V574" s="1"/>
      <c r="W574" s="1"/>
      <c r="X574" s="1"/>
      <c r="Y574" s="1"/>
      <c r="Z574" s="1"/>
    </row>
    <row r="575" spans="1:26" ht="24.75" customHeight="1">
      <c r="A575" s="1"/>
      <c r="B575" s="1"/>
      <c r="C575" s="1"/>
      <c r="D575" s="1"/>
      <c r="E575" s="1"/>
      <c r="F575" s="1"/>
      <c r="G575" s="1"/>
      <c r="H575" s="1"/>
      <c r="I575" s="1"/>
      <c r="J575" s="1"/>
      <c r="K575" s="1"/>
      <c r="L575" s="1"/>
      <c r="M575" s="1"/>
      <c r="N575" s="1"/>
      <c r="O575" s="1"/>
      <c r="P575" s="1"/>
      <c r="Q575" s="1"/>
      <c r="R575" s="1"/>
      <c r="S575" s="1"/>
      <c r="T575" s="1"/>
      <c r="U575" s="2"/>
      <c r="V575" s="1"/>
      <c r="W575" s="1"/>
      <c r="X575" s="1"/>
      <c r="Y575" s="1"/>
      <c r="Z575" s="1"/>
    </row>
    <row r="576" spans="1:26" ht="24.75" customHeight="1">
      <c r="A576" s="1"/>
      <c r="B576" s="1"/>
      <c r="C576" s="1"/>
      <c r="D576" s="1"/>
      <c r="E576" s="1"/>
      <c r="F576" s="1"/>
      <c r="G576" s="1"/>
      <c r="H576" s="1"/>
      <c r="I576" s="1"/>
      <c r="J576" s="1"/>
      <c r="K576" s="1"/>
      <c r="L576" s="1"/>
      <c r="M576" s="1"/>
      <c r="N576" s="1"/>
      <c r="O576" s="1"/>
      <c r="P576" s="1"/>
      <c r="Q576" s="1"/>
      <c r="R576" s="1"/>
      <c r="S576" s="1"/>
      <c r="T576" s="1"/>
      <c r="U576" s="2"/>
      <c r="V576" s="1"/>
      <c r="W576" s="1"/>
      <c r="X576" s="1"/>
      <c r="Y576" s="1"/>
      <c r="Z576" s="1"/>
    </row>
    <row r="577" spans="1:26" ht="24.75" customHeight="1">
      <c r="A577" s="1"/>
      <c r="B577" s="1"/>
      <c r="C577" s="1"/>
      <c r="D577" s="1"/>
      <c r="E577" s="1"/>
      <c r="F577" s="1"/>
      <c r="G577" s="1"/>
      <c r="H577" s="1"/>
      <c r="I577" s="1"/>
      <c r="J577" s="1"/>
      <c r="K577" s="1"/>
      <c r="L577" s="1"/>
      <c r="M577" s="1"/>
      <c r="N577" s="1"/>
      <c r="O577" s="1"/>
      <c r="P577" s="1"/>
      <c r="Q577" s="1"/>
      <c r="R577" s="1"/>
      <c r="S577" s="1"/>
      <c r="T577" s="1"/>
      <c r="U577" s="2"/>
      <c r="V577" s="1"/>
      <c r="W577" s="1"/>
      <c r="X577" s="1"/>
      <c r="Y577" s="1"/>
      <c r="Z577" s="1"/>
    </row>
    <row r="578" spans="1:26" ht="24.75" customHeight="1">
      <c r="A578" s="1"/>
      <c r="B578" s="1"/>
      <c r="C578" s="1"/>
      <c r="D578" s="1"/>
      <c r="E578" s="1"/>
      <c r="F578" s="1"/>
      <c r="G578" s="1"/>
      <c r="H578" s="1"/>
      <c r="I578" s="1"/>
      <c r="J578" s="1"/>
      <c r="K578" s="1"/>
      <c r="L578" s="1"/>
      <c r="M578" s="1"/>
      <c r="N578" s="1"/>
      <c r="O578" s="1"/>
      <c r="P578" s="1"/>
      <c r="Q578" s="1"/>
      <c r="R578" s="1"/>
      <c r="S578" s="1"/>
      <c r="T578" s="1"/>
      <c r="U578" s="2"/>
      <c r="V578" s="1"/>
      <c r="W578" s="1"/>
      <c r="X578" s="1"/>
      <c r="Y578" s="1"/>
      <c r="Z578" s="1"/>
    </row>
    <row r="579" spans="1:26" ht="24.75" customHeight="1">
      <c r="A579" s="1"/>
      <c r="B579" s="1"/>
      <c r="C579" s="1"/>
      <c r="D579" s="1"/>
      <c r="E579" s="1"/>
      <c r="F579" s="1"/>
      <c r="G579" s="1"/>
      <c r="H579" s="1"/>
      <c r="I579" s="1"/>
      <c r="J579" s="1"/>
      <c r="K579" s="1"/>
      <c r="L579" s="1"/>
      <c r="M579" s="1"/>
      <c r="N579" s="1"/>
      <c r="O579" s="1"/>
      <c r="P579" s="1"/>
      <c r="Q579" s="1"/>
      <c r="R579" s="1"/>
      <c r="S579" s="1"/>
      <c r="T579" s="1"/>
      <c r="U579" s="2"/>
      <c r="V579" s="1"/>
      <c r="W579" s="1"/>
      <c r="X579" s="1"/>
      <c r="Y579" s="1"/>
      <c r="Z579" s="1"/>
    </row>
    <row r="580" spans="1:26" ht="24.75" customHeight="1">
      <c r="A580" s="1"/>
      <c r="B580" s="1"/>
      <c r="C580" s="1"/>
      <c r="D580" s="1"/>
      <c r="E580" s="1"/>
      <c r="F580" s="1"/>
      <c r="G580" s="1"/>
      <c r="H580" s="1"/>
      <c r="I580" s="1"/>
      <c r="J580" s="1"/>
      <c r="K580" s="1"/>
      <c r="L580" s="1"/>
      <c r="M580" s="1"/>
      <c r="N580" s="1"/>
      <c r="O580" s="1"/>
      <c r="P580" s="1"/>
      <c r="Q580" s="1"/>
      <c r="R580" s="1"/>
      <c r="S580" s="1"/>
      <c r="T580" s="1"/>
      <c r="U580" s="2"/>
      <c r="V580" s="1"/>
      <c r="W580" s="1"/>
      <c r="X580" s="1"/>
      <c r="Y580" s="1"/>
      <c r="Z580" s="1"/>
    </row>
    <row r="581" spans="1:26" ht="24.75" customHeight="1">
      <c r="A581" s="1"/>
      <c r="B581" s="1"/>
      <c r="C581" s="1"/>
      <c r="D581" s="1"/>
      <c r="E581" s="1"/>
      <c r="F581" s="1"/>
      <c r="G581" s="1"/>
      <c r="H581" s="1"/>
      <c r="I581" s="1"/>
      <c r="J581" s="1"/>
      <c r="K581" s="1"/>
      <c r="L581" s="1"/>
      <c r="M581" s="1"/>
      <c r="N581" s="1"/>
      <c r="O581" s="1"/>
      <c r="P581" s="1"/>
      <c r="Q581" s="1"/>
      <c r="R581" s="1"/>
      <c r="S581" s="1"/>
      <c r="T581" s="1"/>
      <c r="U581" s="2"/>
      <c r="V581" s="1"/>
      <c r="W581" s="1"/>
      <c r="X581" s="1"/>
      <c r="Y581" s="1"/>
      <c r="Z581" s="1"/>
    </row>
    <row r="582" spans="1:26" ht="24.75" customHeight="1">
      <c r="A582" s="1"/>
      <c r="B582" s="1"/>
      <c r="C582" s="1"/>
      <c r="D582" s="1"/>
      <c r="E582" s="1"/>
      <c r="F582" s="1"/>
      <c r="G582" s="1"/>
      <c r="H582" s="1"/>
      <c r="I582" s="1"/>
      <c r="J582" s="1"/>
      <c r="K582" s="1"/>
      <c r="L582" s="1"/>
      <c r="M582" s="1"/>
      <c r="N582" s="1"/>
      <c r="O582" s="1"/>
      <c r="P582" s="1"/>
      <c r="Q582" s="1"/>
      <c r="R582" s="1"/>
      <c r="S582" s="1"/>
      <c r="T582" s="1"/>
      <c r="U582" s="2"/>
      <c r="V582" s="1"/>
      <c r="W582" s="1"/>
      <c r="X582" s="1"/>
      <c r="Y582" s="1"/>
      <c r="Z582" s="1"/>
    </row>
    <row r="583" spans="1:26" ht="24.75" customHeight="1">
      <c r="A583" s="1"/>
      <c r="B583" s="1"/>
      <c r="C583" s="1"/>
      <c r="D583" s="1"/>
      <c r="E583" s="1"/>
      <c r="F583" s="1"/>
      <c r="G583" s="1"/>
      <c r="H583" s="1"/>
      <c r="I583" s="1"/>
      <c r="J583" s="1"/>
      <c r="K583" s="1"/>
      <c r="L583" s="1"/>
      <c r="M583" s="1"/>
      <c r="N583" s="1"/>
      <c r="O583" s="1"/>
      <c r="P583" s="1"/>
      <c r="Q583" s="1"/>
      <c r="R583" s="1"/>
      <c r="S583" s="1"/>
      <c r="T583" s="1"/>
      <c r="U583" s="2"/>
      <c r="V583" s="1"/>
      <c r="W583" s="1"/>
      <c r="X583" s="1"/>
      <c r="Y583" s="1"/>
      <c r="Z583" s="1"/>
    </row>
    <row r="584" spans="1:26" ht="24.75" customHeight="1">
      <c r="A584" s="1"/>
      <c r="B584" s="1"/>
      <c r="C584" s="1"/>
      <c r="D584" s="1"/>
      <c r="E584" s="1"/>
      <c r="F584" s="1"/>
      <c r="G584" s="1"/>
      <c r="H584" s="1"/>
      <c r="I584" s="1"/>
      <c r="J584" s="1"/>
      <c r="K584" s="1"/>
      <c r="L584" s="1"/>
      <c r="M584" s="1"/>
      <c r="N584" s="1"/>
      <c r="O584" s="1"/>
      <c r="P584" s="1"/>
      <c r="Q584" s="1"/>
      <c r="R584" s="1"/>
      <c r="S584" s="1"/>
      <c r="T584" s="1"/>
      <c r="U584" s="2"/>
      <c r="V584" s="1"/>
      <c r="W584" s="1"/>
      <c r="X584" s="1"/>
      <c r="Y584" s="1"/>
      <c r="Z584" s="1"/>
    </row>
    <row r="585" spans="1:26" ht="24.75" customHeight="1">
      <c r="A585" s="1"/>
      <c r="B585" s="1"/>
      <c r="C585" s="1"/>
      <c r="D585" s="1"/>
      <c r="E585" s="1"/>
      <c r="F585" s="1"/>
      <c r="G585" s="1"/>
      <c r="H585" s="1"/>
      <c r="I585" s="1"/>
      <c r="J585" s="1"/>
      <c r="K585" s="1"/>
      <c r="L585" s="1"/>
      <c r="M585" s="1"/>
      <c r="N585" s="1"/>
      <c r="O585" s="1"/>
      <c r="P585" s="1"/>
      <c r="Q585" s="1"/>
      <c r="R585" s="1"/>
      <c r="S585" s="1"/>
      <c r="T585" s="1"/>
      <c r="U585" s="2"/>
      <c r="V585" s="1"/>
      <c r="W585" s="1"/>
      <c r="X585" s="1"/>
      <c r="Y585" s="1"/>
      <c r="Z585" s="1"/>
    </row>
    <row r="586" spans="1:26" ht="24.75" customHeight="1">
      <c r="A586" s="1"/>
      <c r="B586" s="1"/>
      <c r="C586" s="1"/>
      <c r="D586" s="1"/>
      <c r="E586" s="1"/>
      <c r="F586" s="1"/>
      <c r="G586" s="1"/>
      <c r="H586" s="1"/>
      <c r="I586" s="1"/>
      <c r="J586" s="1"/>
      <c r="K586" s="1"/>
      <c r="L586" s="1"/>
      <c r="M586" s="1"/>
      <c r="N586" s="1"/>
      <c r="O586" s="1"/>
      <c r="P586" s="1"/>
      <c r="Q586" s="1"/>
      <c r="R586" s="1"/>
      <c r="S586" s="1"/>
      <c r="T586" s="1"/>
      <c r="U586" s="2"/>
      <c r="V586" s="1"/>
      <c r="W586" s="1"/>
      <c r="X586" s="1"/>
      <c r="Y586" s="1"/>
      <c r="Z586" s="1"/>
    </row>
    <row r="587" spans="1:26" ht="24.75" customHeight="1">
      <c r="A587" s="1"/>
      <c r="B587" s="1"/>
      <c r="C587" s="1"/>
      <c r="D587" s="1"/>
      <c r="E587" s="1"/>
      <c r="F587" s="1"/>
      <c r="G587" s="1"/>
      <c r="H587" s="1"/>
      <c r="I587" s="1"/>
      <c r="J587" s="1"/>
      <c r="K587" s="1"/>
      <c r="L587" s="1"/>
      <c r="M587" s="1"/>
      <c r="N587" s="1"/>
      <c r="O587" s="1"/>
      <c r="P587" s="1"/>
      <c r="Q587" s="1"/>
      <c r="R587" s="1"/>
      <c r="S587" s="1"/>
      <c r="T587" s="1"/>
      <c r="U587" s="2"/>
      <c r="V587" s="1"/>
      <c r="W587" s="1"/>
      <c r="X587" s="1"/>
      <c r="Y587" s="1"/>
      <c r="Z587" s="1"/>
    </row>
    <row r="588" spans="1:26" ht="24.75" customHeight="1">
      <c r="A588" s="1"/>
      <c r="B588" s="1"/>
      <c r="C588" s="1"/>
      <c r="D588" s="1"/>
      <c r="E588" s="1"/>
      <c r="F588" s="1"/>
      <c r="G588" s="1"/>
      <c r="H588" s="1"/>
      <c r="I588" s="1"/>
      <c r="J588" s="1"/>
      <c r="K588" s="1"/>
      <c r="L588" s="1"/>
      <c r="M588" s="1"/>
      <c r="N588" s="1"/>
      <c r="O588" s="1"/>
      <c r="P588" s="1"/>
      <c r="Q588" s="1"/>
      <c r="R588" s="1"/>
      <c r="S588" s="1"/>
      <c r="T588" s="1"/>
      <c r="U588" s="2"/>
      <c r="V588" s="1"/>
      <c r="W588" s="1"/>
      <c r="X588" s="1"/>
      <c r="Y588" s="1"/>
      <c r="Z588" s="1"/>
    </row>
    <row r="589" spans="1:26" ht="24.75" customHeight="1">
      <c r="A589" s="1"/>
      <c r="B589" s="1"/>
      <c r="C589" s="1"/>
      <c r="D589" s="1"/>
      <c r="E589" s="1"/>
      <c r="F589" s="1"/>
      <c r="G589" s="1"/>
      <c r="H589" s="1"/>
      <c r="I589" s="1"/>
      <c r="J589" s="1"/>
      <c r="K589" s="1"/>
      <c r="L589" s="1"/>
      <c r="M589" s="1"/>
      <c r="N589" s="1"/>
      <c r="O589" s="1"/>
      <c r="P589" s="1"/>
      <c r="Q589" s="1"/>
      <c r="R589" s="1"/>
      <c r="S589" s="1"/>
      <c r="T589" s="1"/>
      <c r="U589" s="2"/>
      <c r="V589" s="1"/>
      <c r="W589" s="1"/>
      <c r="X589" s="1"/>
      <c r="Y589" s="1"/>
      <c r="Z589" s="1"/>
    </row>
    <row r="590" spans="1:26" ht="24.75" customHeight="1">
      <c r="A590" s="1"/>
      <c r="B590" s="1"/>
      <c r="C590" s="1"/>
      <c r="D590" s="1"/>
      <c r="E590" s="1"/>
      <c r="F590" s="1"/>
      <c r="G590" s="1"/>
      <c r="H590" s="1"/>
      <c r="I590" s="1"/>
      <c r="J590" s="1"/>
      <c r="K590" s="1"/>
      <c r="L590" s="1"/>
      <c r="M590" s="1"/>
      <c r="N590" s="1"/>
      <c r="O590" s="1"/>
      <c r="P590" s="1"/>
      <c r="Q590" s="1"/>
      <c r="R590" s="1"/>
      <c r="S590" s="1"/>
      <c r="T590" s="1"/>
      <c r="U590" s="2"/>
      <c r="V590" s="1"/>
      <c r="W590" s="1"/>
      <c r="X590" s="1"/>
      <c r="Y590" s="1"/>
      <c r="Z590" s="1"/>
    </row>
    <row r="591" spans="1:26" ht="24.75" customHeight="1">
      <c r="A591" s="1"/>
      <c r="B591" s="1"/>
      <c r="C591" s="1"/>
      <c r="D591" s="1"/>
      <c r="E591" s="1"/>
      <c r="F591" s="1"/>
      <c r="G591" s="1"/>
      <c r="H591" s="1"/>
      <c r="I591" s="1"/>
      <c r="J591" s="1"/>
      <c r="K591" s="1"/>
      <c r="L591" s="1"/>
      <c r="M591" s="1"/>
      <c r="N591" s="1"/>
      <c r="O591" s="1"/>
      <c r="P591" s="1"/>
      <c r="Q591" s="1"/>
      <c r="R591" s="1"/>
      <c r="S591" s="1"/>
      <c r="T591" s="1"/>
      <c r="U591" s="2"/>
      <c r="V591" s="1"/>
      <c r="W591" s="1"/>
      <c r="X591" s="1"/>
      <c r="Y591" s="1"/>
      <c r="Z591" s="1"/>
    </row>
    <row r="592" spans="1:26" ht="24.75" customHeight="1">
      <c r="A592" s="1"/>
      <c r="B592" s="1"/>
      <c r="C592" s="1"/>
      <c r="D592" s="1"/>
      <c r="E592" s="1"/>
      <c r="F592" s="1"/>
      <c r="G592" s="1"/>
      <c r="H592" s="1"/>
      <c r="I592" s="1"/>
      <c r="J592" s="1"/>
      <c r="K592" s="1"/>
      <c r="L592" s="1"/>
      <c r="M592" s="1"/>
      <c r="N592" s="1"/>
      <c r="O592" s="1"/>
      <c r="P592" s="1"/>
      <c r="Q592" s="1"/>
      <c r="R592" s="1"/>
      <c r="S592" s="1"/>
      <c r="T592" s="1"/>
      <c r="U592" s="2"/>
      <c r="V592" s="1"/>
      <c r="W592" s="1"/>
      <c r="X592" s="1"/>
      <c r="Y592" s="1"/>
      <c r="Z592" s="1"/>
    </row>
    <row r="593" spans="1:26" ht="24.75" customHeight="1">
      <c r="A593" s="1"/>
      <c r="B593" s="1"/>
      <c r="C593" s="1"/>
      <c r="D593" s="1"/>
      <c r="E593" s="1"/>
      <c r="F593" s="1"/>
      <c r="G593" s="1"/>
      <c r="H593" s="1"/>
      <c r="I593" s="1"/>
      <c r="J593" s="1"/>
      <c r="K593" s="1"/>
      <c r="L593" s="1"/>
      <c r="M593" s="1"/>
      <c r="N593" s="1"/>
      <c r="O593" s="1"/>
      <c r="P593" s="1"/>
      <c r="Q593" s="1"/>
      <c r="R593" s="1"/>
      <c r="S593" s="1"/>
      <c r="T593" s="1"/>
      <c r="U593" s="2"/>
      <c r="V593" s="1"/>
      <c r="W593" s="1"/>
      <c r="X593" s="1"/>
      <c r="Y593" s="1"/>
      <c r="Z593" s="1"/>
    </row>
    <row r="594" spans="1:26" ht="24.75" customHeight="1">
      <c r="A594" s="1"/>
      <c r="B594" s="1"/>
      <c r="C594" s="1"/>
      <c r="D594" s="1"/>
      <c r="E594" s="1"/>
      <c r="F594" s="1"/>
      <c r="G594" s="1"/>
      <c r="H594" s="1"/>
      <c r="I594" s="1"/>
      <c r="J594" s="1"/>
      <c r="K594" s="1"/>
      <c r="L594" s="1"/>
      <c r="M594" s="1"/>
      <c r="N594" s="1"/>
      <c r="O594" s="1"/>
      <c r="P594" s="1"/>
      <c r="Q594" s="1"/>
      <c r="R594" s="1"/>
      <c r="S594" s="1"/>
      <c r="T594" s="1"/>
      <c r="U594" s="2"/>
      <c r="V594" s="1"/>
      <c r="W594" s="1"/>
      <c r="X594" s="1"/>
      <c r="Y594" s="1"/>
      <c r="Z594" s="1"/>
    </row>
    <row r="595" spans="1:26" ht="24.75" customHeight="1">
      <c r="A595" s="1"/>
      <c r="B595" s="1"/>
      <c r="C595" s="1"/>
      <c r="D595" s="1"/>
      <c r="E595" s="1"/>
      <c r="F595" s="1"/>
      <c r="G595" s="1"/>
      <c r="H595" s="1"/>
      <c r="I595" s="1"/>
      <c r="J595" s="1"/>
      <c r="K595" s="1"/>
      <c r="L595" s="1"/>
      <c r="M595" s="1"/>
      <c r="N595" s="1"/>
      <c r="O595" s="1"/>
      <c r="P595" s="1"/>
      <c r="Q595" s="1"/>
      <c r="R595" s="1"/>
      <c r="S595" s="1"/>
      <c r="T595" s="1"/>
      <c r="U595" s="2"/>
      <c r="V595" s="1"/>
      <c r="W595" s="1"/>
      <c r="X595" s="1"/>
      <c r="Y595" s="1"/>
      <c r="Z595" s="1"/>
    </row>
    <row r="596" spans="1:26" ht="24.75" customHeight="1">
      <c r="A596" s="1"/>
      <c r="B596" s="1"/>
      <c r="C596" s="1"/>
      <c r="D596" s="1"/>
      <c r="E596" s="1"/>
      <c r="F596" s="1"/>
      <c r="G596" s="1"/>
      <c r="H596" s="1"/>
      <c r="I596" s="1"/>
      <c r="J596" s="1"/>
      <c r="K596" s="1"/>
      <c r="L596" s="1"/>
      <c r="M596" s="1"/>
      <c r="N596" s="1"/>
      <c r="O596" s="1"/>
      <c r="P596" s="1"/>
      <c r="Q596" s="1"/>
      <c r="R596" s="1"/>
      <c r="S596" s="1"/>
      <c r="T596" s="1"/>
      <c r="U596" s="2"/>
      <c r="V596" s="1"/>
      <c r="W596" s="1"/>
      <c r="X596" s="1"/>
      <c r="Y596" s="1"/>
      <c r="Z596" s="1"/>
    </row>
    <row r="597" spans="1:26" ht="24.75" customHeight="1">
      <c r="A597" s="1"/>
      <c r="B597" s="1"/>
      <c r="C597" s="1"/>
      <c r="D597" s="1"/>
      <c r="E597" s="1"/>
      <c r="F597" s="1"/>
      <c r="G597" s="1"/>
      <c r="H597" s="1"/>
      <c r="I597" s="1"/>
      <c r="J597" s="1"/>
      <c r="K597" s="1"/>
      <c r="L597" s="1"/>
      <c r="M597" s="1"/>
      <c r="N597" s="1"/>
      <c r="O597" s="1"/>
      <c r="P597" s="1"/>
      <c r="Q597" s="1"/>
      <c r="R597" s="1"/>
      <c r="S597" s="1"/>
      <c r="T597" s="1"/>
      <c r="U597" s="2"/>
      <c r="V597" s="1"/>
      <c r="W597" s="1"/>
      <c r="X597" s="1"/>
      <c r="Y597" s="1"/>
      <c r="Z597" s="1"/>
    </row>
    <row r="598" spans="1:26" ht="24.75" customHeight="1">
      <c r="A598" s="1"/>
      <c r="B598" s="1"/>
      <c r="C598" s="1"/>
      <c r="D598" s="1"/>
      <c r="E598" s="1"/>
      <c r="F598" s="1"/>
      <c r="G598" s="1"/>
      <c r="H598" s="1"/>
      <c r="I598" s="1"/>
      <c r="J598" s="1"/>
      <c r="K598" s="1"/>
      <c r="L598" s="1"/>
      <c r="M598" s="1"/>
      <c r="N598" s="1"/>
      <c r="O598" s="1"/>
      <c r="P598" s="1"/>
      <c r="Q598" s="1"/>
      <c r="R598" s="1"/>
      <c r="S598" s="1"/>
      <c r="T598" s="1"/>
      <c r="U598" s="2"/>
      <c r="V598" s="1"/>
      <c r="W598" s="1"/>
      <c r="X598" s="1"/>
      <c r="Y598" s="1"/>
      <c r="Z598" s="1"/>
    </row>
    <row r="599" spans="1:26" ht="24.75" customHeight="1">
      <c r="A599" s="1"/>
      <c r="B599" s="1"/>
      <c r="C599" s="1"/>
      <c r="D599" s="1"/>
      <c r="E599" s="1"/>
      <c r="F599" s="1"/>
      <c r="G599" s="1"/>
      <c r="H599" s="1"/>
      <c r="I599" s="1"/>
      <c r="J599" s="1"/>
      <c r="K599" s="1"/>
      <c r="L599" s="1"/>
      <c r="M599" s="1"/>
      <c r="N599" s="1"/>
      <c r="O599" s="1"/>
      <c r="P599" s="1"/>
      <c r="Q599" s="1"/>
      <c r="R599" s="1"/>
      <c r="S599" s="1"/>
      <c r="T599" s="1"/>
      <c r="U599" s="2"/>
      <c r="V599" s="1"/>
      <c r="W599" s="1"/>
      <c r="X599" s="1"/>
      <c r="Y599" s="1"/>
      <c r="Z599" s="1"/>
    </row>
    <row r="600" spans="1:26" ht="24.75" customHeight="1">
      <c r="A600" s="1"/>
      <c r="B600" s="1"/>
      <c r="C600" s="1"/>
      <c r="D600" s="1"/>
      <c r="E600" s="1"/>
      <c r="F600" s="1"/>
      <c r="G600" s="1"/>
      <c r="H600" s="1"/>
      <c r="I600" s="1"/>
      <c r="J600" s="1"/>
      <c r="K600" s="1"/>
      <c r="L600" s="1"/>
      <c r="M600" s="1"/>
      <c r="N600" s="1"/>
      <c r="O600" s="1"/>
      <c r="P600" s="1"/>
      <c r="Q600" s="1"/>
      <c r="R600" s="1"/>
      <c r="S600" s="1"/>
      <c r="T600" s="1"/>
      <c r="U600" s="2"/>
      <c r="V600" s="1"/>
      <c r="W600" s="1"/>
      <c r="X600" s="1"/>
      <c r="Y600" s="1"/>
      <c r="Z600" s="1"/>
    </row>
    <row r="601" spans="1:26" ht="24.75" customHeight="1">
      <c r="A601" s="1"/>
      <c r="B601" s="1"/>
      <c r="C601" s="1"/>
      <c r="D601" s="1"/>
      <c r="E601" s="1"/>
      <c r="F601" s="1"/>
      <c r="G601" s="1"/>
      <c r="H601" s="1"/>
      <c r="I601" s="1"/>
      <c r="J601" s="1"/>
      <c r="K601" s="1"/>
      <c r="L601" s="1"/>
      <c r="M601" s="1"/>
      <c r="N601" s="1"/>
      <c r="O601" s="1"/>
      <c r="P601" s="1"/>
      <c r="Q601" s="1"/>
      <c r="R601" s="1"/>
      <c r="S601" s="1"/>
      <c r="T601" s="1"/>
      <c r="U601" s="2"/>
      <c r="V601" s="1"/>
      <c r="W601" s="1"/>
      <c r="X601" s="1"/>
      <c r="Y601" s="1"/>
      <c r="Z601" s="1"/>
    </row>
    <row r="602" spans="1:26" ht="24.75" customHeight="1">
      <c r="A602" s="1"/>
      <c r="B602" s="1"/>
      <c r="C602" s="1"/>
      <c r="D602" s="1"/>
      <c r="E602" s="1"/>
      <c r="F602" s="1"/>
      <c r="G602" s="1"/>
      <c r="H602" s="1"/>
      <c r="I602" s="1"/>
      <c r="J602" s="1"/>
      <c r="K602" s="1"/>
      <c r="L602" s="1"/>
      <c r="M602" s="1"/>
      <c r="N602" s="1"/>
      <c r="O602" s="1"/>
      <c r="P602" s="1"/>
      <c r="Q602" s="1"/>
      <c r="R602" s="1"/>
      <c r="S602" s="1"/>
      <c r="T602" s="1"/>
      <c r="U602" s="2"/>
      <c r="V602" s="1"/>
      <c r="W602" s="1"/>
      <c r="X602" s="1"/>
      <c r="Y602" s="1"/>
      <c r="Z602" s="1"/>
    </row>
    <row r="603" spans="1:26" ht="24.75" customHeight="1">
      <c r="A603" s="1"/>
      <c r="B603" s="1"/>
      <c r="C603" s="1"/>
      <c r="D603" s="1"/>
      <c r="E603" s="1"/>
      <c r="F603" s="1"/>
      <c r="G603" s="1"/>
      <c r="H603" s="1"/>
      <c r="I603" s="1"/>
      <c r="J603" s="1"/>
      <c r="K603" s="1"/>
      <c r="L603" s="1"/>
      <c r="M603" s="1"/>
      <c r="N603" s="1"/>
      <c r="O603" s="1"/>
      <c r="P603" s="1"/>
      <c r="Q603" s="1"/>
      <c r="R603" s="1"/>
      <c r="S603" s="1"/>
      <c r="T603" s="1"/>
      <c r="U603" s="2"/>
      <c r="V603" s="1"/>
      <c r="W603" s="1"/>
      <c r="X603" s="1"/>
      <c r="Y603" s="1"/>
      <c r="Z603" s="1"/>
    </row>
    <row r="604" spans="1:26" ht="24.75" customHeight="1">
      <c r="A604" s="1"/>
      <c r="B604" s="1"/>
      <c r="C604" s="1"/>
      <c r="D604" s="1"/>
      <c r="E604" s="1"/>
      <c r="F604" s="1"/>
      <c r="G604" s="1"/>
      <c r="H604" s="1"/>
      <c r="I604" s="1"/>
      <c r="J604" s="1"/>
      <c r="K604" s="1"/>
      <c r="L604" s="1"/>
      <c r="M604" s="1"/>
      <c r="N604" s="1"/>
      <c r="O604" s="1"/>
      <c r="P604" s="1"/>
      <c r="Q604" s="1"/>
      <c r="R604" s="1"/>
      <c r="S604" s="1"/>
      <c r="T604" s="1"/>
      <c r="U604" s="2"/>
      <c r="V604" s="1"/>
      <c r="W604" s="1"/>
      <c r="X604" s="1"/>
      <c r="Y604" s="1"/>
      <c r="Z604" s="1"/>
    </row>
    <row r="605" spans="1:26" ht="24.75" customHeight="1">
      <c r="A605" s="1"/>
      <c r="B605" s="1"/>
      <c r="C605" s="1"/>
      <c r="D605" s="1"/>
      <c r="E605" s="1"/>
      <c r="F605" s="1"/>
      <c r="G605" s="1"/>
      <c r="H605" s="1"/>
      <c r="I605" s="1"/>
      <c r="J605" s="1"/>
      <c r="K605" s="1"/>
      <c r="L605" s="1"/>
      <c r="M605" s="1"/>
      <c r="N605" s="1"/>
      <c r="O605" s="1"/>
      <c r="P605" s="1"/>
      <c r="Q605" s="1"/>
      <c r="R605" s="1"/>
      <c r="S605" s="1"/>
      <c r="T605" s="1"/>
      <c r="U605" s="2"/>
      <c r="V605" s="1"/>
      <c r="W605" s="1"/>
      <c r="X605" s="1"/>
      <c r="Y605" s="1"/>
      <c r="Z605" s="1"/>
    </row>
    <row r="606" spans="1:26" ht="24.75" customHeight="1">
      <c r="A606" s="1"/>
      <c r="B606" s="1"/>
      <c r="C606" s="1"/>
      <c r="D606" s="1"/>
      <c r="E606" s="1"/>
      <c r="F606" s="1"/>
      <c r="G606" s="1"/>
      <c r="H606" s="1"/>
      <c r="I606" s="1"/>
      <c r="J606" s="1"/>
      <c r="K606" s="1"/>
      <c r="L606" s="1"/>
      <c r="M606" s="1"/>
      <c r="N606" s="1"/>
      <c r="O606" s="1"/>
      <c r="P606" s="1"/>
      <c r="Q606" s="1"/>
      <c r="R606" s="1"/>
      <c r="S606" s="1"/>
      <c r="T606" s="1"/>
      <c r="U606" s="2"/>
      <c r="V606" s="1"/>
      <c r="W606" s="1"/>
      <c r="X606" s="1"/>
      <c r="Y606" s="1"/>
      <c r="Z606" s="1"/>
    </row>
    <row r="607" spans="1:26" ht="24.75" customHeight="1">
      <c r="A607" s="1"/>
      <c r="B607" s="1"/>
      <c r="C607" s="1"/>
      <c r="D607" s="1"/>
      <c r="E607" s="1"/>
      <c r="F607" s="1"/>
      <c r="G607" s="1"/>
      <c r="H607" s="1"/>
      <c r="I607" s="1"/>
      <c r="J607" s="1"/>
      <c r="K607" s="1"/>
      <c r="L607" s="1"/>
      <c r="M607" s="1"/>
      <c r="N607" s="1"/>
      <c r="O607" s="1"/>
      <c r="P607" s="1"/>
      <c r="Q607" s="1"/>
      <c r="R607" s="1"/>
      <c r="S607" s="1"/>
      <c r="T607" s="1"/>
      <c r="U607" s="2"/>
      <c r="V607" s="1"/>
      <c r="W607" s="1"/>
      <c r="X607" s="1"/>
      <c r="Y607" s="1"/>
      <c r="Z607" s="1"/>
    </row>
    <row r="608" spans="1:26" ht="24.75" customHeight="1">
      <c r="A608" s="1"/>
      <c r="B608" s="1"/>
      <c r="C608" s="1"/>
      <c r="D608" s="1"/>
      <c r="E608" s="1"/>
      <c r="F608" s="1"/>
      <c r="G608" s="1"/>
      <c r="H608" s="1"/>
      <c r="I608" s="1"/>
      <c r="J608" s="1"/>
      <c r="K608" s="1"/>
      <c r="L608" s="1"/>
      <c r="M608" s="1"/>
      <c r="N608" s="1"/>
      <c r="O608" s="1"/>
      <c r="P608" s="1"/>
      <c r="Q608" s="1"/>
      <c r="R608" s="1"/>
      <c r="S608" s="1"/>
      <c r="T608" s="1"/>
      <c r="U608" s="2"/>
      <c r="V608" s="1"/>
      <c r="W608" s="1"/>
      <c r="X608" s="1"/>
      <c r="Y608" s="1"/>
      <c r="Z608" s="1"/>
    </row>
    <row r="609" spans="1:26" ht="24.75" customHeight="1">
      <c r="A609" s="1"/>
      <c r="B609" s="1"/>
      <c r="C609" s="1"/>
      <c r="D609" s="1"/>
      <c r="E609" s="1"/>
      <c r="F609" s="1"/>
      <c r="G609" s="1"/>
      <c r="H609" s="1"/>
      <c r="I609" s="1"/>
      <c r="J609" s="1"/>
      <c r="K609" s="1"/>
      <c r="L609" s="1"/>
      <c r="M609" s="1"/>
      <c r="N609" s="1"/>
      <c r="O609" s="1"/>
      <c r="P609" s="1"/>
      <c r="Q609" s="1"/>
      <c r="R609" s="1"/>
      <c r="S609" s="1"/>
      <c r="T609" s="1"/>
      <c r="U609" s="2"/>
      <c r="V609" s="1"/>
      <c r="W609" s="1"/>
      <c r="X609" s="1"/>
      <c r="Y609" s="1"/>
      <c r="Z609" s="1"/>
    </row>
    <row r="610" spans="1:26" ht="24.75" customHeight="1">
      <c r="A610" s="1"/>
      <c r="B610" s="1"/>
      <c r="C610" s="1"/>
      <c r="D610" s="1"/>
      <c r="E610" s="1"/>
      <c r="F610" s="1"/>
      <c r="G610" s="1"/>
      <c r="H610" s="1"/>
      <c r="I610" s="1"/>
      <c r="J610" s="1"/>
      <c r="K610" s="1"/>
      <c r="L610" s="1"/>
      <c r="M610" s="1"/>
      <c r="N610" s="1"/>
      <c r="O610" s="1"/>
      <c r="P610" s="1"/>
      <c r="Q610" s="1"/>
      <c r="R610" s="1"/>
      <c r="S610" s="1"/>
      <c r="T610" s="1"/>
      <c r="U610" s="2"/>
      <c r="V610" s="1"/>
      <c r="W610" s="1"/>
      <c r="X610" s="1"/>
      <c r="Y610" s="1"/>
      <c r="Z610" s="1"/>
    </row>
    <row r="611" spans="1:26" ht="24.75" customHeight="1">
      <c r="A611" s="1"/>
      <c r="B611" s="1"/>
      <c r="C611" s="1"/>
      <c r="D611" s="1"/>
      <c r="E611" s="1"/>
      <c r="F611" s="1"/>
      <c r="G611" s="1"/>
      <c r="H611" s="1"/>
      <c r="I611" s="1"/>
      <c r="J611" s="1"/>
      <c r="K611" s="1"/>
      <c r="L611" s="1"/>
      <c r="M611" s="1"/>
      <c r="N611" s="1"/>
      <c r="O611" s="1"/>
      <c r="P611" s="1"/>
      <c r="Q611" s="1"/>
      <c r="R611" s="1"/>
      <c r="S611" s="1"/>
      <c r="T611" s="1"/>
      <c r="U611" s="2"/>
      <c r="V611" s="1"/>
      <c r="W611" s="1"/>
      <c r="X611" s="1"/>
      <c r="Y611" s="1"/>
      <c r="Z611" s="1"/>
    </row>
    <row r="612" spans="1:26" ht="24.75" customHeight="1">
      <c r="A612" s="1"/>
      <c r="B612" s="1"/>
      <c r="C612" s="1"/>
      <c r="D612" s="1"/>
      <c r="E612" s="1"/>
      <c r="F612" s="1"/>
      <c r="G612" s="1"/>
      <c r="H612" s="1"/>
      <c r="I612" s="1"/>
      <c r="J612" s="1"/>
      <c r="K612" s="1"/>
      <c r="L612" s="1"/>
      <c r="M612" s="1"/>
      <c r="N612" s="1"/>
      <c r="O612" s="1"/>
      <c r="P612" s="1"/>
      <c r="Q612" s="1"/>
      <c r="R612" s="1"/>
      <c r="S612" s="1"/>
      <c r="T612" s="1"/>
      <c r="U612" s="2"/>
      <c r="V612" s="1"/>
      <c r="W612" s="1"/>
      <c r="X612" s="1"/>
      <c r="Y612" s="1"/>
      <c r="Z612" s="1"/>
    </row>
    <row r="613" spans="1:26" ht="24.75" customHeight="1">
      <c r="A613" s="1"/>
      <c r="B613" s="1"/>
      <c r="C613" s="1"/>
      <c r="D613" s="1"/>
      <c r="E613" s="1"/>
      <c r="F613" s="1"/>
      <c r="G613" s="1"/>
      <c r="H613" s="1"/>
      <c r="I613" s="1"/>
      <c r="J613" s="1"/>
      <c r="K613" s="1"/>
      <c r="L613" s="1"/>
      <c r="M613" s="1"/>
      <c r="N613" s="1"/>
      <c r="O613" s="1"/>
      <c r="P613" s="1"/>
      <c r="Q613" s="1"/>
      <c r="R613" s="1"/>
      <c r="S613" s="1"/>
      <c r="T613" s="1"/>
      <c r="U613" s="2"/>
      <c r="V613" s="1"/>
      <c r="W613" s="1"/>
      <c r="X613" s="1"/>
      <c r="Y613" s="1"/>
      <c r="Z613" s="1"/>
    </row>
    <row r="614" spans="1:26" ht="24.75" customHeight="1">
      <c r="A614" s="1"/>
      <c r="B614" s="1"/>
      <c r="C614" s="1"/>
      <c r="D614" s="1"/>
      <c r="E614" s="1"/>
      <c r="F614" s="1"/>
      <c r="G614" s="1"/>
      <c r="H614" s="1"/>
      <c r="I614" s="1"/>
      <c r="J614" s="1"/>
      <c r="K614" s="1"/>
      <c r="L614" s="1"/>
      <c r="M614" s="1"/>
      <c r="N614" s="1"/>
      <c r="O614" s="1"/>
      <c r="P614" s="1"/>
      <c r="Q614" s="1"/>
      <c r="R614" s="1"/>
      <c r="S614" s="1"/>
      <c r="T614" s="1"/>
      <c r="U614" s="2"/>
      <c r="V614" s="1"/>
      <c r="W614" s="1"/>
      <c r="X614" s="1"/>
      <c r="Y614" s="1"/>
      <c r="Z614" s="1"/>
    </row>
    <row r="615" spans="1:26" ht="24.75" customHeight="1">
      <c r="A615" s="1"/>
      <c r="B615" s="1"/>
      <c r="C615" s="1"/>
      <c r="D615" s="1"/>
      <c r="E615" s="1"/>
      <c r="F615" s="1"/>
      <c r="G615" s="1"/>
      <c r="H615" s="1"/>
      <c r="I615" s="1"/>
      <c r="J615" s="1"/>
      <c r="K615" s="1"/>
      <c r="L615" s="1"/>
      <c r="M615" s="1"/>
      <c r="N615" s="1"/>
      <c r="O615" s="1"/>
      <c r="P615" s="1"/>
      <c r="Q615" s="1"/>
      <c r="R615" s="1"/>
      <c r="S615" s="1"/>
      <c r="T615" s="1"/>
      <c r="U615" s="2"/>
      <c r="V615" s="1"/>
      <c r="W615" s="1"/>
      <c r="X615" s="1"/>
      <c r="Y615" s="1"/>
      <c r="Z615" s="1"/>
    </row>
    <row r="616" spans="1:26" ht="24.75" customHeight="1">
      <c r="A616" s="1"/>
      <c r="B616" s="1"/>
      <c r="C616" s="1"/>
      <c r="D616" s="1"/>
      <c r="E616" s="1"/>
      <c r="F616" s="1"/>
      <c r="G616" s="1"/>
      <c r="H616" s="1"/>
      <c r="I616" s="1"/>
      <c r="J616" s="1"/>
      <c r="K616" s="1"/>
      <c r="L616" s="1"/>
      <c r="M616" s="1"/>
      <c r="N616" s="1"/>
      <c r="O616" s="1"/>
      <c r="P616" s="1"/>
      <c r="Q616" s="1"/>
      <c r="R616" s="1"/>
      <c r="S616" s="1"/>
      <c r="T616" s="1"/>
      <c r="U616" s="2"/>
      <c r="V616" s="1"/>
      <c r="W616" s="1"/>
      <c r="X616" s="1"/>
      <c r="Y616" s="1"/>
      <c r="Z616" s="1"/>
    </row>
    <row r="617" spans="1:26" ht="24.75" customHeight="1">
      <c r="A617" s="1"/>
      <c r="B617" s="1"/>
      <c r="C617" s="1"/>
      <c r="D617" s="1"/>
      <c r="E617" s="1"/>
      <c r="F617" s="1"/>
      <c r="G617" s="1"/>
      <c r="H617" s="1"/>
      <c r="I617" s="1"/>
      <c r="J617" s="1"/>
      <c r="K617" s="1"/>
      <c r="L617" s="1"/>
      <c r="M617" s="1"/>
      <c r="N617" s="1"/>
      <c r="O617" s="1"/>
      <c r="P617" s="1"/>
      <c r="Q617" s="1"/>
      <c r="R617" s="1"/>
      <c r="S617" s="1"/>
      <c r="T617" s="1"/>
      <c r="U617" s="2"/>
      <c r="V617" s="1"/>
      <c r="W617" s="1"/>
      <c r="X617" s="1"/>
      <c r="Y617" s="1"/>
      <c r="Z617" s="1"/>
    </row>
    <row r="618" spans="1:26" ht="24.75" customHeight="1">
      <c r="A618" s="1"/>
      <c r="B618" s="1"/>
      <c r="C618" s="1"/>
      <c r="D618" s="1"/>
      <c r="E618" s="1"/>
      <c r="F618" s="1"/>
      <c r="G618" s="1"/>
      <c r="H618" s="1"/>
      <c r="I618" s="1"/>
      <c r="J618" s="1"/>
      <c r="K618" s="1"/>
      <c r="L618" s="1"/>
      <c r="M618" s="1"/>
      <c r="N618" s="1"/>
      <c r="O618" s="1"/>
      <c r="P618" s="1"/>
      <c r="Q618" s="1"/>
      <c r="R618" s="1"/>
      <c r="S618" s="1"/>
      <c r="T618" s="1"/>
      <c r="U618" s="2"/>
      <c r="V618" s="1"/>
      <c r="W618" s="1"/>
      <c r="X618" s="1"/>
      <c r="Y618" s="1"/>
      <c r="Z618" s="1"/>
    </row>
    <row r="619" spans="1:26" ht="24.75" customHeight="1">
      <c r="A619" s="1"/>
      <c r="B619" s="1"/>
      <c r="C619" s="1"/>
      <c r="D619" s="1"/>
      <c r="E619" s="1"/>
      <c r="F619" s="1"/>
      <c r="G619" s="1"/>
      <c r="H619" s="1"/>
      <c r="I619" s="1"/>
      <c r="J619" s="1"/>
      <c r="K619" s="1"/>
      <c r="L619" s="1"/>
      <c r="M619" s="1"/>
      <c r="N619" s="1"/>
      <c r="O619" s="1"/>
      <c r="P619" s="1"/>
      <c r="Q619" s="1"/>
      <c r="R619" s="1"/>
      <c r="S619" s="1"/>
      <c r="T619" s="1"/>
      <c r="U619" s="2"/>
      <c r="V619" s="1"/>
      <c r="W619" s="1"/>
      <c r="X619" s="1"/>
      <c r="Y619" s="1"/>
      <c r="Z619" s="1"/>
    </row>
    <row r="620" spans="1:26" ht="24.75" customHeight="1">
      <c r="A620" s="1"/>
      <c r="B620" s="1"/>
      <c r="C620" s="1"/>
      <c r="D620" s="1"/>
      <c r="E620" s="1"/>
      <c r="F620" s="1"/>
      <c r="G620" s="1"/>
      <c r="H620" s="1"/>
      <c r="I620" s="1"/>
      <c r="J620" s="1"/>
      <c r="K620" s="1"/>
      <c r="L620" s="1"/>
      <c r="M620" s="1"/>
      <c r="N620" s="1"/>
      <c r="O620" s="1"/>
      <c r="P620" s="1"/>
      <c r="Q620" s="1"/>
      <c r="R620" s="1"/>
      <c r="S620" s="1"/>
      <c r="T620" s="1"/>
      <c r="U620" s="2"/>
      <c r="V620" s="1"/>
      <c r="W620" s="1"/>
      <c r="X620" s="1"/>
      <c r="Y620" s="1"/>
      <c r="Z620" s="1"/>
    </row>
    <row r="621" spans="1:26" ht="24.75" customHeight="1">
      <c r="A621" s="1"/>
      <c r="B621" s="1"/>
      <c r="C621" s="1"/>
      <c r="D621" s="1"/>
      <c r="E621" s="1"/>
      <c r="F621" s="1"/>
      <c r="G621" s="1"/>
      <c r="H621" s="1"/>
      <c r="I621" s="1"/>
      <c r="J621" s="1"/>
      <c r="K621" s="1"/>
      <c r="L621" s="1"/>
      <c r="M621" s="1"/>
      <c r="N621" s="1"/>
      <c r="O621" s="1"/>
      <c r="P621" s="1"/>
      <c r="Q621" s="1"/>
      <c r="R621" s="1"/>
      <c r="S621" s="1"/>
      <c r="T621" s="1"/>
      <c r="U621" s="2"/>
      <c r="V621" s="1"/>
      <c r="W621" s="1"/>
      <c r="X621" s="1"/>
      <c r="Y621" s="1"/>
      <c r="Z621" s="1"/>
    </row>
    <row r="622" spans="1:26" ht="24.75" customHeight="1">
      <c r="A622" s="1"/>
      <c r="B622" s="1"/>
      <c r="C622" s="1"/>
      <c r="D622" s="1"/>
      <c r="E622" s="1"/>
      <c r="F622" s="1"/>
      <c r="G622" s="1"/>
      <c r="H622" s="1"/>
      <c r="I622" s="1"/>
      <c r="J622" s="1"/>
      <c r="K622" s="1"/>
      <c r="L622" s="1"/>
      <c r="M622" s="1"/>
      <c r="N622" s="1"/>
      <c r="O622" s="1"/>
      <c r="P622" s="1"/>
      <c r="Q622" s="1"/>
      <c r="R622" s="1"/>
      <c r="S622" s="1"/>
      <c r="T622" s="1"/>
      <c r="U622" s="2"/>
      <c r="V622" s="1"/>
      <c r="W622" s="1"/>
      <c r="X622" s="1"/>
      <c r="Y622" s="1"/>
      <c r="Z622" s="1"/>
    </row>
    <row r="623" spans="1:26" ht="24.75" customHeight="1">
      <c r="A623" s="1"/>
      <c r="B623" s="1"/>
      <c r="C623" s="1"/>
      <c r="D623" s="1"/>
      <c r="E623" s="1"/>
      <c r="F623" s="1"/>
      <c r="G623" s="1"/>
      <c r="H623" s="1"/>
      <c r="I623" s="1"/>
      <c r="J623" s="1"/>
      <c r="K623" s="1"/>
      <c r="L623" s="1"/>
      <c r="M623" s="1"/>
      <c r="N623" s="1"/>
      <c r="O623" s="1"/>
      <c r="P623" s="1"/>
      <c r="Q623" s="1"/>
      <c r="R623" s="1"/>
      <c r="S623" s="1"/>
      <c r="T623" s="1"/>
      <c r="U623" s="2"/>
      <c r="V623" s="1"/>
      <c r="W623" s="1"/>
      <c r="X623" s="1"/>
      <c r="Y623" s="1"/>
      <c r="Z623" s="1"/>
    </row>
    <row r="624" spans="1:26" ht="24.75" customHeight="1">
      <c r="A624" s="1"/>
      <c r="B624" s="1"/>
      <c r="C624" s="1"/>
      <c r="D624" s="1"/>
      <c r="E624" s="1"/>
      <c r="F624" s="1"/>
      <c r="G624" s="1"/>
      <c r="H624" s="1"/>
      <c r="I624" s="1"/>
      <c r="J624" s="1"/>
      <c r="K624" s="1"/>
      <c r="L624" s="1"/>
      <c r="M624" s="1"/>
      <c r="N624" s="1"/>
      <c r="O624" s="1"/>
      <c r="P624" s="1"/>
      <c r="Q624" s="1"/>
      <c r="R624" s="1"/>
      <c r="S624" s="1"/>
      <c r="T624" s="1"/>
      <c r="U624" s="2"/>
      <c r="V624" s="1"/>
      <c r="W624" s="1"/>
      <c r="X624" s="1"/>
      <c r="Y624" s="1"/>
      <c r="Z624" s="1"/>
    </row>
    <row r="625" spans="1:26" ht="24.75" customHeight="1">
      <c r="A625" s="1"/>
      <c r="B625" s="1"/>
      <c r="C625" s="1"/>
      <c r="D625" s="1"/>
      <c r="E625" s="1"/>
      <c r="F625" s="1"/>
      <c r="G625" s="1"/>
      <c r="H625" s="1"/>
      <c r="I625" s="1"/>
      <c r="J625" s="1"/>
      <c r="K625" s="1"/>
      <c r="L625" s="1"/>
      <c r="M625" s="1"/>
      <c r="N625" s="1"/>
      <c r="O625" s="1"/>
      <c r="P625" s="1"/>
      <c r="Q625" s="1"/>
      <c r="R625" s="1"/>
      <c r="S625" s="1"/>
      <c r="T625" s="1"/>
      <c r="U625" s="2"/>
      <c r="V625" s="1"/>
      <c r="W625" s="1"/>
      <c r="X625" s="1"/>
      <c r="Y625" s="1"/>
      <c r="Z625" s="1"/>
    </row>
    <row r="626" spans="1:26" ht="24.75" customHeight="1">
      <c r="A626" s="1"/>
      <c r="B626" s="1"/>
      <c r="C626" s="1"/>
      <c r="D626" s="1"/>
      <c r="E626" s="1"/>
      <c r="F626" s="1"/>
      <c r="G626" s="1"/>
      <c r="H626" s="1"/>
      <c r="I626" s="1"/>
      <c r="J626" s="1"/>
      <c r="K626" s="1"/>
      <c r="L626" s="1"/>
      <c r="M626" s="1"/>
      <c r="N626" s="1"/>
      <c r="O626" s="1"/>
      <c r="P626" s="1"/>
      <c r="Q626" s="1"/>
      <c r="R626" s="1"/>
      <c r="S626" s="1"/>
      <c r="T626" s="1"/>
      <c r="U626" s="2"/>
      <c r="V626" s="1"/>
      <c r="W626" s="1"/>
      <c r="X626" s="1"/>
      <c r="Y626" s="1"/>
      <c r="Z626" s="1"/>
    </row>
    <row r="627" spans="1:26" ht="24.75" customHeight="1">
      <c r="A627" s="1"/>
      <c r="B627" s="1"/>
      <c r="C627" s="1"/>
      <c r="D627" s="1"/>
      <c r="E627" s="1"/>
      <c r="F627" s="1"/>
      <c r="G627" s="1"/>
      <c r="H627" s="1"/>
      <c r="I627" s="1"/>
      <c r="J627" s="1"/>
      <c r="K627" s="1"/>
      <c r="L627" s="1"/>
      <c r="M627" s="1"/>
      <c r="N627" s="1"/>
      <c r="O627" s="1"/>
      <c r="P627" s="1"/>
      <c r="Q627" s="1"/>
      <c r="R627" s="1"/>
      <c r="S627" s="1"/>
      <c r="T627" s="1"/>
      <c r="U627" s="2"/>
      <c r="V627" s="1"/>
      <c r="W627" s="1"/>
      <c r="X627" s="1"/>
      <c r="Y627" s="1"/>
      <c r="Z627" s="1"/>
    </row>
    <row r="628" spans="1:26" ht="24.75" customHeight="1">
      <c r="A628" s="1"/>
      <c r="B628" s="1"/>
      <c r="C628" s="1"/>
      <c r="D628" s="1"/>
      <c r="E628" s="1"/>
      <c r="F628" s="1"/>
      <c r="G628" s="1"/>
      <c r="H628" s="1"/>
      <c r="I628" s="1"/>
      <c r="J628" s="1"/>
      <c r="K628" s="1"/>
      <c r="L628" s="1"/>
      <c r="M628" s="1"/>
      <c r="N628" s="1"/>
      <c r="O628" s="1"/>
      <c r="P628" s="1"/>
      <c r="Q628" s="1"/>
      <c r="R628" s="1"/>
      <c r="S628" s="1"/>
      <c r="T628" s="1"/>
      <c r="U628" s="2"/>
      <c r="V628" s="1"/>
      <c r="W628" s="1"/>
      <c r="X628" s="1"/>
      <c r="Y628" s="1"/>
      <c r="Z628" s="1"/>
    </row>
    <row r="629" spans="1:26" ht="24.75" customHeight="1">
      <c r="A629" s="1"/>
      <c r="B629" s="1"/>
      <c r="C629" s="1"/>
      <c r="D629" s="1"/>
      <c r="E629" s="1"/>
      <c r="F629" s="1"/>
      <c r="G629" s="1"/>
      <c r="H629" s="1"/>
      <c r="I629" s="1"/>
      <c r="J629" s="1"/>
      <c r="K629" s="1"/>
      <c r="L629" s="1"/>
      <c r="M629" s="1"/>
      <c r="N629" s="1"/>
      <c r="O629" s="1"/>
      <c r="P629" s="1"/>
      <c r="Q629" s="1"/>
      <c r="R629" s="1"/>
      <c r="S629" s="1"/>
      <c r="T629" s="1"/>
      <c r="U629" s="2"/>
      <c r="V629" s="1"/>
      <c r="W629" s="1"/>
      <c r="X629" s="1"/>
      <c r="Y629" s="1"/>
      <c r="Z629" s="1"/>
    </row>
    <row r="630" spans="1:26" ht="24.75" customHeight="1">
      <c r="A630" s="1"/>
      <c r="B630" s="1"/>
      <c r="C630" s="1"/>
      <c r="D630" s="1"/>
      <c r="E630" s="1"/>
      <c r="F630" s="1"/>
      <c r="G630" s="1"/>
      <c r="H630" s="1"/>
      <c r="I630" s="1"/>
      <c r="J630" s="1"/>
      <c r="K630" s="1"/>
      <c r="L630" s="1"/>
      <c r="M630" s="1"/>
      <c r="N630" s="1"/>
      <c r="O630" s="1"/>
      <c r="P630" s="1"/>
      <c r="Q630" s="1"/>
      <c r="R630" s="1"/>
      <c r="S630" s="1"/>
      <c r="T630" s="1"/>
      <c r="U630" s="2"/>
      <c r="V630" s="1"/>
      <c r="W630" s="1"/>
      <c r="X630" s="1"/>
      <c r="Y630" s="1"/>
      <c r="Z630" s="1"/>
    </row>
    <row r="631" spans="1:26" ht="24.75" customHeight="1">
      <c r="A631" s="1"/>
      <c r="B631" s="1"/>
      <c r="C631" s="1"/>
      <c r="D631" s="1"/>
      <c r="E631" s="1"/>
      <c r="F631" s="1"/>
      <c r="G631" s="1"/>
      <c r="H631" s="1"/>
      <c r="I631" s="1"/>
      <c r="J631" s="1"/>
      <c r="K631" s="1"/>
      <c r="L631" s="1"/>
      <c r="M631" s="1"/>
      <c r="N631" s="1"/>
      <c r="O631" s="1"/>
      <c r="P631" s="1"/>
      <c r="Q631" s="1"/>
      <c r="R631" s="1"/>
      <c r="S631" s="1"/>
      <c r="T631" s="1"/>
      <c r="U631" s="2"/>
      <c r="V631" s="1"/>
      <c r="W631" s="1"/>
      <c r="X631" s="1"/>
      <c r="Y631" s="1"/>
      <c r="Z631" s="1"/>
    </row>
    <row r="632" spans="1:26" ht="24.75" customHeight="1">
      <c r="A632" s="1"/>
      <c r="B632" s="1"/>
      <c r="C632" s="1"/>
      <c r="D632" s="1"/>
      <c r="E632" s="1"/>
      <c r="F632" s="1"/>
      <c r="G632" s="1"/>
      <c r="H632" s="1"/>
      <c r="I632" s="1"/>
      <c r="J632" s="1"/>
      <c r="K632" s="1"/>
      <c r="L632" s="1"/>
      <c r="M632" s="1"/>
      <c r="N632" s="1"/>
      <c r="O632" s="1"/>
      <c r="P632" s="1"/>
      <c r="Q632" s="1"/>
      <c r="R632" s="1"/>
      <c r="S632" s="1"/>
      <c r="T632" s="1"/>
      <c r="U632" s="2"/>
      <c r="V632" s="1"/>
      <c r="W632" s="1"/>
      <c r="X632" s="1"/>
      <c r="Y632" s="1"/>
      <c r="Z632" s="1"/>
    </row>
    <row r="633" spans="1:26" ht="24.75" customHeight="1">
      <c r="A633" s="1"/>
      <c r="B633" s="1"/>
      <c r="C633" s="1"/>
      <c r="D633" s="1"/>
      <c r="E633" s="1"/>
      <c r="F633" s="1"/>
      <c r="G633" s="1"/>
      <c r="H633" s="1"/>
      <c r="I633" s="1"/>
      <c r="J633" s="1"/>
      <c r="K633" s="1"/>
      <c r="L633" s="1"/>
      <c r="M633" s="1"/>
      <c r="N633" s="1"/>
      <c r="O633" s="1"/>
      <c r="P633" s="1"/>
      <c r="Q633" s="1"/>
      <c r="R633" s="1"/>
      <c r="S633" s="1"/>
      <c r="T633" s="1"/>
      <c r="U633" s="2"/>
      <c r="V633" s="1"/>
      <c r="W633" s="1"/>
      <c r="X633" s="1"/>
      <c r="Y633" s="1"/>
      <c r="Z633" s="1"/>
    </row>
    <row r="634" spans="1:26" ht="24.75" customHeight="1">
      <c r="A634" s="1"/>
      <c r="B634" s="1"/>
      <c r="C634" s="1"/>
      <c r="D634" s="1"/>
      <c r="E634" s="1"/>
      <c r="F634" s="1"/>
      <c r="G634" s="1"/>
      <c r="H634" s="1"/>
      <c r="I634" s="1"/>
      <c r="J634" s="1"/>
      <c r="K634" s="1"/>
      <c r="L634" s="1"/>
      <c r="M634" s="1"/>
      <c r="N634" s="1"/>
      <c r="O634" s="1"/>
      <c r="P634" s="1"/>
      <c r="Q634" s="1"/>
      <c r="R634" s="1"/>
      <c r="S634" s="1"/>
      <c r="T634" s="1"/>
      <c r="U634" s="2"/>
      <c r="V634" s="1"/>
      <c r="W634" s="1"/>
      <c r="X634" s="1"/>
      <c r="Y634" s="1"/>
      <c r="Z634" s="1"/>
    </row>
    <row r="635" spans="1:26" ht="24.75" customHeight="1">
      <c r="A635" s="1"/>
      <c r="B635" s="1"/>
      <c r="C635" s="1"/>
      <c r="D635" s="1"/>
      <c r="E635" s="1"/>
      <c r="F635" s="1"/>
      <c r="G635" s="1"/>
      <c r="H635" s="1"/>
      <c r="I635" s="1"/>
      <c r="J635" s="1"/>
      <c r="K635" s="1"/>
      <c r="L635" s="1"/>
      <c r="M635" s="1"/>
      <c r="N635" s="1"/>
      <c r="O635" s="1"/>
      <c r="P635" s="1"/>
      <c r="Q635" s="1"/>
      <c r="R635" s="1"/>
      <c r="S635" s="1"/>
      <c r="T635" s="1"/>
      <c r="U635" s="2"/>
      <c r="V635" s="1"/>
      <c r="W635" s="1"/>
      <c r="X635" s="1"/>
      <c r="Y635" s="1"/>
      <c r="Z635" s="1"/>
    </row>
    <row r="636" spans="1:26" ht="24.75" customHeight="1">
      <c r="A636" s="1"/>
      <c r="B636" s="1"/>
      <c r="C636" s="1"/>
      <c r="D636" s="1"/>
      <c r="E636" s="1"/>
      <c r="F636" s="1"/>
      <c r="G636" s="1"/>
      <c r="H636" s="1"/>
      <c r="I636" s="1"/>
      <c r="J636" s="1"/>
      <c r="K636" s="1"/>
      <c r="L636" s="1"/>
      <c r="M636" s="1"/>
      <c r="N636" s="1"/>
      <c r="O636" s="1"/>
      <c r="P636" s="1"/>
      <c r="Q636" s="1"/>
      <c r="R636" s="1"/>
      <c r="S636" s="1"/>
      <c r="T636" s="1"/>
      <c r="U636" s="2"/>
      <c r="V636" s="1"/>
      <c r="W636" s="1"/>
      <c r="X636" s="1"/>
      <c r="Y636" s="1"/>
      <c r="Z636" s="1"/>
    </row>
    <row r="637" spans="1:26" ht="24.75" customHeight="1">
      <c r="A637" s="1"/>
      <c r="B637" s="1"/>
      <c r="C637" s="1"/>
      <c r="D637" s="1"/>
      <c r="E637" s="1"/>
      <c r="F637" s="1"/>
      <c r="G637" s="1"/>
      <c r="H637" s="1"/>
      <c r="I637" s="1"/>
      <c r="J637" s="1"/>
      <c r="K637" s="1"/>
      <c r="L637" s="1"/>
      <c r="M637" s="1"/>
      <c r="N637" s="1"/>
      <c r="O637" s="1"/>
      <c r="P637" s="1"/>
      <c r="Q637" s="1"/>
      <c r="R637" s="1"/>
      <c r="S637" s="1"/>
      <c r="T637" s="1"/>
      <c r="U637" s="2"/>
      <c r="V637" s="1"/>
      <c r="W637" s="1"/>
      <c r="X637" s="1"/>
      <c r="Y637" s="1"/>
      <c r="Z637" s="1"/>
    </row>
    <row r="638" spans="1:26" ht="24.75" customHeight="1">
      <c r="A638" s="1"/>
      <c r="B638" s="1"/>
      <c r="C638" s="1"/>
      <c r="D638" s="1"/>
      <c r="E638" s="1"/>
      <c r="F638" s="1"/>
      <c r="G638" s="1"/>
      <c r="H638" s="1"/>
      <c r="I638" s="1"/>
      <c r="J638" s="1"/>
      <c r="K638" s="1"/>
      <c r="L638" s="1"/>
      <c r="M638" s="1"/>
      <c r="N638" s="1"/>
      <c r="O638" s="1"/>
      <c r="P638" s="1"/>
      <c r="Q638" s="1"/>
      <c r="R638" s="1"/>
      <c r="S638" s="1"/>
      <c r="T638" s="1"/>
      <c r="U638" s="2"/>
      <c r="V638" s="1"/>
      <c r="W638" s="1"/>
      <c r="X638" s="1"/>
      <c r="Y638" s="1"/>
      <c r="Z638" s="1"/>
    </row>
    <row r="639" spans="1:26" ht="24.75" customHeight="1">
      <c r="A639" s="1"/>
      <c r="B639" s="1"/>
      <c r="C639" s="1"/>
      <c r="D639" s="1"/>
      <c r="E639" s="1"/>
      <c r="F639" s="1"/>
      <c r="G639" s="1"/>
      <c r="H639" s="1"/>
      <c r="I639" s="1"/>
      <c r="J639" s="1"/>
      <c r="K639" s="1"/>
      <c r="L639" s="1"/>
      <c r="M639" s="1"/>
      <c r="N639" s="1"/>
      <c r="O639" s="1"/>
      <c r="P639" s="1"/>
      <c r="Q639" s="1"/>
      <c r="R639" s="1"/>
      <c r="S639" s="1"/>
      <c r="T639" s="1"/>
      <c r="U639" s="2"/>
      <c r="V639" s="1"/>
      <c r="W639" s="1"/>
      <c r="X639" s="1"/>
      <c r="Y639" s="1"/>
      <c r="Z639" s="1"/>
    </row>
    <row r="640" spans="1:26" ht="24.75" customHeight="1">
      <c r="A640" s="1"/>
      <c r="B640" s="1"/>
      <c r="C640" s="1"/>
      <c r="D640" s="1"/>
      <c r="E640" s="1"/>
      <c r="F640" s="1"/>
      <c r="G640" s="1"/>
      <c r="H640" s="1"/>
      <c r="I640" s="1"/>
      <c r="J640" s="1"/>
      <c r="K640" s="1"/>
      <c r="L640" s="1"/>
      <c r="M640" s="1"/>
      <c r="N640" s="1"/>
      <c r="O640" s="1"/>
      <c r="P640" s="1"/>
      <c r="Q640" s="1"/>
      <c r="R640" s="1"/>
      <c r="S640" s="1"/>
      <c r="T640" s="1"/>
      <c r="U640" s="2"/>
      <c r="V640" s="1"/>
      <c r="W640" s="1"/>
      <c r="X640" s="1"/>
      <c r="Y640" s="1"/>
      <c r="Z640" s="1"/>
    </row>
    <row r="641" spans="1:26" ht="24.75" customHeight="1">
      <c r="A641" s="1"/>
      <c r="B641" s="1"/>
      <c r="C641" s="1"/>
      <c r="D641" s="1"/>
      <c r="E641" s="1"/>
      <c r="F641" s="1"/>
      <c r="G641" s="1"/>
      <c r="H641" s="1"/>
      <c r="I641" s="1"/>
      <c r="J641" s="1"/>
      <c r="K641" s="1"/>
      <c r="L641" s="1"/>
      <c r="M641" s="1"/>
      <c r="N641" s="1"/>
      <c r="O641" s="1"/>
      <c r="P641" s="1"/>
      <c r="Q641" s="1"/>
      <c r="R641" s="1"/>
      <c r="S641" s="1"/>
      <c r="T641" s="1"/>
      <c r="U641" s="2"/>
      <c r="V641" s="1"/>
      <c r="W641" s="1"/>
      <c r="X641" s="1"/>
      <c r="Y641" s="1"/>
      <c r="Z641" s="1"/>
    </row>
    <row r="642" spans="1:26" ht="24.75" customHeight="1">
      <c r="A642" s="1"/>
      <c r="B642" s="1"/>
      <c r="C642" s="1"/>
      <c r="D642" s="1"/>
      <c r="E642" s="1"/>
      <c r="F642" s="1"/>
      <c r="G642" s="1"/>
      <c r="H642" s="1"/>
      <c r="I642" s="1"/>
      <c r="J642" s="1"/>
      <c r="K642" s="1"/>
      <c r="L642" s="1"/>
      <c r="M642" s="1"/>
      <c r="N642" s="1"/>
      <c r="O642" s="1"/>
      <c r="P642" s="1"/>
      <c r="Q642" s="1"/>
      <c r="R642" s="1"/>
      <c r="S642" s="1"/>
      <c r="T642" s="1"/>
      <c r="U642" s="2"/>
      <c r="V642" s="1"/>
      <c r="W642" s="1"/>
      <c r="X642" s="1"/>
      <c r="Y642" s="1"/>
      <c r="Z642" s="1"/>
    </row>
    <row r="643" spans="1:26" ht="24.75" customHeight="1">
      <c r="A643" s="1"/>
      <c r="B643" s="1"/>
      <c r="C643" s="1"/>
      <c r="D643" s="1"/>
      <c r="E643" s="1"/>
      <c r="F643" s="1"/>
      <c r="G643" s="1"/>
      <c r="H643" s="1"/>
      <c r="I643" s="1"/>
      <c r="J643" s="1"/>
      <c r="K643" s="1"/>
      <c r="L643" s="1"/>
      <c r="M643" s="1"/>
      <c r="N643" s="1"/>
      <c r="O643" s="1"/>
      <c r="P643" s="1"/>
      <c r="Q643" s="1"/>
      <c r="R643" s="1"/>
      <c r="S643" s="1"/>
      <c r="T643" s="1"/>
      <c r="U643" s="2"/>
      <c r="V643" s="1"/>
      <c r="W643" s="1"/>
      <c r="X643" s="1"/>
      <c r="Y643" s="1"/>
      <c r="Z643" s="1"/>
    </row>
    <row r="644" spans="1:26" ht="24.75" customHeight="1">
      <c r="A644" s="1"/>
      <c r="B644" s="1"/>
      <c r="C644" s="1"/>
      <c r="D644" s="1"/>
      <c r="E644" s="1"/>
      <c r="F644" s="1"/>
      <c r="G644" s="1"/>
      <c r="H644" s="1"/>
      <c r="I644" s="1"/>
      <c r="J644" s="1"/>
      <c r="K644" s="1"/>
      <c r="L644" s="1"/>
      <c r="M644" s="1"/>
      <c r="N644" s="1"/>
      <c r="O644" s="1"/>
      <c r="P644" s="1"/>
      <c r="Q644" s="1"/>
      <c r="R644" s="1"/>
      <c r="S644" s="1"/>
      <c r="T644" s="1"/>
      <c r="U644" s="2"/>
      <c r="V644" s="1"/>
      <c r="W644" s="1"/>
      <c r="X644" s="1"/>
      <c r="Y644" s="1"/>
      <c r="Z644" s="1"/>
    </row>
    <row r="645" spans="1:26" ht="24.75" customHeight="1">
      <c r="A645" s="1"/>
      <c r="B645" s="1"/>
      <c r="C645" s="1"/>
      <c r="D645" s="1"/>
      <c r="E645" s="1"/>
      <c r="F645" s="1"/>
      <c r="G645" s="1"/>
      <c r="H645" s="1"/>
      <c r="I645" s="1"/>
      <c r="J645" s="1"/>
      <c r="K645" s="1"/>
      <c r="L645" s="1"/>
      <c r="M645" s="1"/>
      <c r="N645" s="1"/>
      <c r="O645" s="1"/>
      <c r="P645" s="1"/>
      <c r="Q645" s="1"/>
      <c r="R645" s="1"/>
      <c r="S645" s="1"/>
      <c r="T645" s="1"/>
      <c r="U645" s="2"/>
      <c r="V645" s="1"/>
      <c r="W645" s="1"/>
      <c r="X645" s="1"/>
      <c r="Y645" s="1"/>
      <c r="Z645" s="1"/>
    </row>
    <row r="646" spans="1:26" ht="24.75" customHeight="1">
      <c r="A646" s="1"/>
      <c r="B646" s="1"/>
      <c r="C646" s="1"/>
      <c r="D646" s="1"/>
      <c r="E646" s="1"/>
      <c r="F646" s="1"/>
      <c r="G646" s="1"/>
      <c r="H646" s="1"/>
      <c r="I646" s="1"/>
      <c r="J646" s="1"/>
      <c r="K646" s="1"/>
      <c r="L646" s="1"/>
      <c r="M646" s="1"/>
      <c r="N646" s="1"/>
      <c r="O646" s="1"/>
      <c r="P646" s="1"/>
      <c r="Q646" s="1"/>
      <c r="R646" s="1"/>
      <c r="S646" s="1"/>
      <c r="T646" s="1"/>
      <c r="U646" s="2"/>
      <c r="V646" s="1"/>
      <c r="W646" s="1"/>
      <c r="X646" s="1"/>
      <c r="Y646" s="1"/>
      <c r="Z646" s="1"/>
    </row>
    <row r="647" spans="1:26" ht="24.75" customHeight="1">
      <c r="A647" s="1"/>
      <c r="B647" s="1"/>
      <c r="C647" s="1"/>
      <c r="D647" s="1"/>
      <c r="E647" s="1"/>
      <c r="F647" s="1"/>
      <c r="G647" s="1"/>
      <c r="H647" s="1"/>
      <c r="I647" s="1"/>
      <c r="J647" s="1"/>
      <c r="K647" s="1"/>
      <c r="L647" s="1"/>
      <c r="M647" s="1"/>
      <c r="N647" s="1"/>
      <c r="O647" s="1"/>
      <c r="P647" s="1"/>
      <c r="Q647" s="1"/>
      <c r="R647" s="1"/>
      <c r="S647" s="1"/>
      <c r="T647" s="1"/>
      <c r="U647" s="2"/>
      <c r="V647" s="1"/>
      <c r="W647" s="1"/>
      <c r="X647" s="1"/>
      <c r="Y647" s="1"/>
      <c r="Z647" s="1"/>
    </row>
    <row r="648" spans="1:26" ht="24.75" customHeight="1">
      <c r="A648" s="1"/>
      <c r="B648" s="1"/>
      <c r="C648" s="1"/>
      <c r="D648" s="1"/>
      <c r="E648" s="1"/>
      <c r="F648" s="1"/>
      <c r="G648" s="1"/>
      <c r="H648" s="1"/>
      <c r="I648" s="1"/>
      <c r="J648" s="1"/>
      <c r="K648" s="1"/>
      <c r="L648" s="1"/>
      <c r="M648" s="1"/>
      <c r="N648" s="1"/>
      <c r="O648" s="1"/>
      <c r="P648" s="1"/>
      <c r="Q648" s="1"/>
      <c r="R648" s="1"/>
      <c r="S648" s="1"/>
      <c r="T648" s="1"/>
      <c r="U648" s="2"/>
      <c r="V648" s="1"/>
      <c r="W648" s="1"/>
      <c r="X648" s="1"/>
      <c r="Y648" s="1"/>
      <c r="Z648" s="1"/>
    </row>
    <row r="649" spans="1:26" ht="24.75" customHeight="1">
      <c r="A649" s="1"/>
      <c r="B649" s="1"/>
      <c r="C649" s="1"/>
      <c r="D649" s="1"/>
      <c r="E649" s="1"/>
      <c r="F649" s="1"/>
      <c r="G649" s="1"/>
      <c r="H649" s="1"/>
      <c r="I649" s="1"/>
      <c r="J649" s="1"/>
      <c r="K649" s="1"/>
      <c r="L649" s="1"/>
      <c r="M649" s="1"/>
      <c r="N649" s="1"/>
      <c r="O649" s="1"/>
      <c r="P649" s="1"/>
      <c r="Q649" s="1"/>
      <c r="R649" s="1"/>
      <c r="S649" s="1"/>
      <c r="T649" s="1"/>
      <c r="U649" s="2"/>
      <c r="V649" s="1"/>
      <c r="W649" s="1"/>
      <c r="X649" s="1"/>
      <c r="Y649" s="1"/>
      <c r="Z649" s="1"/>
    </row>
    <row r="650" spans="1:26" ht="24.75" customHeight="1">
      <c r="A650" s="1"/>
      <c r="B650" s="1"/>
      <c r="C650" s="1"/>
      <c r="D650" s="1"/>
      <c r="E650" s="1"/>
      <c r="F650" s="1"/>
      <c r="G650" s="1"/>
      <c r="H650" s="1"/>
      <c r="I650" s="1"/>
      <c r="J650" s="1"/>
      <c r="K650" s="1"/>
      <c r="L650" s="1"/>
      <c r="M650" s="1"/>
      <c r="N650" s="1"/>
      <c r="O650" s="1"/>
      <c r="P650" s="1"/>
      <c r="Q650" s="1"/>
      <c r="R650" s="1"/>
      <c r="S650" s="1"/>
      <c r="T650" s="1"/>
      <c r="U650" s="2"/>
      <c r="V650" s="1"/>
      <c r="W650" s="1"/>
      <c r="X650" s="1"/>
      <c r="Y650" s="1"/>
      <c r="Z650" s="1"/>
    </row>
    <row r="651" spans="1:26" ht="24.75" customHeight="1">
      <c r="A651" s="1"/>
      <c r="B651" s="1"/>
      <c r="C651" s="1"/>
      <c r="D651" s="1"/>
      <c r="E651" s="1"/>
      <c r="F651" s="1"/>
      <c r="G651" s="1"/>
      <c r="H651" s="1"/>
      <c r="I651" s="1"/>
      <c r="J651" s="1"/>
      <c r="K651" s="1"/>
      <c r="L651" s="1"/>
      <c r="M651" s="1"/>
      <c r="N651" s="1"/>
      <c r="O651" s="1"/>
      <c r="P651" s="1"/>
      <c r="Q651" s="1"/>
      <c r="R651" s="1"/>
      <c r="S651" s="1"/>
      <c r="T651" s="1"/>
      <c r="U651" s="2"/>
      <c r="V651" s="1"/>
      <c r="W651" s="1"/>
      <c r="X651" s="1"/>
      <c r="Y651" s="1"/>
      <c r="Z651" s="1"/>
    </row>
    <row r="652" spans="1:26" ht="24.75" customHeight="1">
      <c r="A652" s="1"/>
      <c r="B652" s="1"/>
      <c r="C652" s="1"/>
      <c r="D652" s="1"/>
      <c r="E652" s="1"/>
      <c r="F652" s="1"/>
      <c r="G652" s="1"/>
      <c r="H652" s="1"/>
      <c r="I652" s="1"/>
      <c r="J652" s="1"/>
      <c r="K652" s="1"/>
      <c r="L652" s="1"/>
      <c r="M652" s="1"/>
      <c r="N652" s="1"/>
      <c r="O652" s="1"/>
      <c r="P652" s="1"/>
      <c r="Q652" s="1"/>
      <c r="R652" s="1"/>
      <c r="S652" s="1"/>
      <c r="T652" s="1"/>
      <c r="U652" s="2"/>
      <c r="V652" s="1"/>
      <c r="W652" s="1"/>
      <c r="X652" s="1"/>
      <c r="Y652" s="1"/>
      <c r="Z652" s="1"/>
    </row>
    <row r="653" spans="1:26" ht="24.75" customHeight="1">
      <c r="A653" s="1"/>
      <c r="B653" s="1"/>
      <c r="C653" s="1"/>
      <c r="D653" s="1"/>
      <c r="E653" s="1"/>
      <c r="F653" s="1"/>
      <c r="G653" s="1"/>
      <c r="H653" s="1"/>
      <c r="I653" s="1"/>
      <c r="J653" s="1"/>
      <c r="K653" s="1"/>
      <c r="L653" s="1"/>
      <c r="M653" s="1"/>
      <c r="N653" s="1"/>
      <c r="O653" s="1"/>
      <c r="P653" s="1"/>
      <c r="Q653" s="1"/>
      <c r="R653" s="1"/>
      <c r="S653" s="1"/>
      <c r="T653" s="1"/>
      <c r="U653" s="2"/>
      <c r="V653" s="1"/>
      <c r="W653" s="1"/>
      <c r="X653" s="1"/>
      <c r="Y653" s="1"/>
      <c r="Z653" s="1"/>
    </row>
    <row r="654" spans="1:26" ht="24.75" customHeight="1">
      <c r="A654" s="1"/>
      <c r="B654" s="1"/>
      <c r="C654" s="1"/>
      <c r="D654" s="1"/>
      <c r="E654" s="1"/>
      <c r="F654" s="1"/>
      <c r="G654" s="1"/>
      <c r="H654" s="1"/>
      <c r="I654" s="1"/>
      <c r="J654" s="1"/>
      <c r="K654" s="1"/>
      <c r="L654" s="1"/>
      <c r="M654" s="1"/>
      <c r="N654" s="1"/>
      <c r="O654" s="1"/>
      <c r="P654" s="1"/>
      <c r="Q654" s="1"/>
      <c r="R654" s="1"/>
      <c r="S654" s="1"/>
      <c r="T654" s="1"/>
      <c r="U654" s="2"/>
      <c r="V654" s="1"/>
      <c r="W654" s="1"/>
      <c r="X654" s="1"/>
      <c r="Y654" s="1"/>
      <c r="Z654" s="1"/>
    </row>
    <row r="655" spans="1:26" ht="24.75" customHeight="1">
      <c r="A655" s="1"/>
      <c r="B655" s="1"/>
      <c r="C655" s="1"/>
      <c r="D655" s="1"/>
      <c r="E655" s="1"/>
      <c r="F655" s="1"/>
      <c r="G655" s="1"/>
      <c r="H655" s="1"/>
      <c r="I655" s="1"/>
      <c r="J655" s="1"/>
      <c r="K655" s="1"/>
      <c r="L655" s="1"/>
      <c r="M655" s="1"/>
      <c r="N655" s="1"/>
      <c r="O655" s="1"/>
      <c r="P655" s="1"/>
      <c r="Q655" s="1"/>
      <c r="R655" s="1"/>
      <c r="S655" s="1"/>
      <c r="T655" s="1"/>
      <c r="U655" s="2"/>
      <c r="V655" s="1"/>
      <c r="W655" s="1"/>
      <c r="X655" s="1"/>
      <c r="Y655" s="1"/>
      <c r="Z655" s="1"/>
    </row>
    <row r="656" spans="1:26" ht="24.75" customHeight="1">
      <c r="A656" s="1"/>
      <c r="B656" s="1"/>
      <c r="C656" s="1"/>
      <c r="D656" s="1"/>
      <c r="E656" s="1"/>
      <c r="F656" s="1"/>
      <c r="G656" s="1"/>
      <c r="H656" s="1"/>
      <c r="I656" s="1"/>
      <c r="J656" s="1"/>
      <c r="K656" s="1"/>
      <c r="L656" s="1"/>
      <c r="M656" s="1"/>
      <c r="N656" s="1"/>
      <c r="O656" s="1"/>
      <c r="P656" s="1"/>
      <c r="Q656" s="1"/>
      <c r="R656" s="1"/>
      <c r="S656" s="1"/>
      <c r="T656" s="1"/>
      <c r="U656" s="2"/>
      <c r="V656" s="1"/>
      <c r="W656" s="1"/>
      <c r="X656" s="1"/>
      <c r="Y656" s="1"/>
      <c r="Z656" s="1"/>
    </row>
    <row r="657" spans="1:26" ht="24.75" customHeight="1">
      <c r="A657" s="1"/>
      <c r="B657" s="1"/>
      <c r="C657" s="1"/>
      <c r="D657" s="1"/>
      <c r="E657" s="1"/>
      <c r="F657" s="1"/>
      <c r="G657" s="1"/>
      <c r="H657" s="1"/>
      <c r="I657" s="1"/>
      <c r="J657" s="1"/>
      <c r="K657" s="1"/>
      <c r="L657" s="1"/>
      <c r="M657" s="1"/>
      <c r="N657" s="1"/>
      <c r="O657" s="1"/>
      <c r="P657" s="1"/>
      <c r="Q657" s="1"/>
      <c r="R657" s="1"/>
      <c r="S657" s="1"/>
      <c r="T657" s="1"/>
      <c r="U657" s="2"/>
      <c r="V657" s="1"/>
      <c r="W657" s="1"/>
      <c r="X657" s="1"/>
      <c r="Y657" s="1"/>
      <c r="Z657" s="1"/>
    </row>
    <row r="658" spans="1:26" ht="24.75" customHeight="1">
      <c r="A658" s="1"/>
      <c r="B658" s="1"/>
      <c r="C658" s="1"/>
      <c r="D658" s="1"/>
      <c r="E658" s="1"/>
      <c r="F658" s="1"/>
      <c r="G658" s="1"/>
      <c r="H658" s="1"/>
      <c r="I658" s="1"/>
      <c r="J658" s="1"/>
      <c r="K658" s="1"/>
      <c r="L658" s="1"/>
      <c r="M658" s="1"/>
      <c r="N658" s="1"/>
      <c r="O658" s="1"/>
      <c r="P658" s="1"/>
      <c r="Q658" s="1"/>
      <c r="R658" s="1"/>
      <c r="S658" s="1"/>
      <c r="T658" s="1"/>
      <c r="U658" s="2"/>
      <c r="V658" s="1"/>
      <c r="W658" s="1"/>
      <c r="X658" s="1"/>
      <c r="Y658" s="1"/>
      <c r="Z658" s="1"/>
    </row>
    <row r="659" spans="1:26" ht="24.75" customHeight="1">
      <c r="A659" s="1"/>
      <c r="B659" s="1"/>
      <c r="C659" s="1"/>
      <c r="D659" s="1"/>
      <c r="E659" s="1"/>
      <c r="F659" s="1"/>
      <c r="G659" s="1"/>
      <c r="H659" s="1"/>
      <c r="I659" s="1"/>
      <c r="J659" s="1"/>
      <c r="K659" s="1"/>
      <c r="L659" s="1"/>
      <c r="M659" s="1"/>
      <c r="N659" s="1"/>
      <c r="O659" s="1"/>
      <c r="P659" s="1"/>
      <c r="Q659" s="1"/>
      <c r="R659" s="1"/>
      <c r="S659" s="1"/>
      <c r="T659" s="1"/>
      <c r="U659" s="2"/>
      <c r="V659" s="1"/>
      <c r="W659" s="1"/>
      <c r="X659" s="1"/>
      <c r="Y659" s="1"/>
      <c r="Z659" s="1"/>
    </row>
    <row r="660" spans="1:26" ht="24.75" customHeight="1">
      <c r="A660" s="1"/>
      <c r="B660" s="1"/>
      <c r="C660" s="1"/>
      <c r="D660" s="1"/>
      <c r="E660" s="1"/>
      <c r="F660" s="1"/>
      <c r="G660" s="1"/>
      <c r="H660" s="1"/>
      <c r="I660" s="1"/>
      <c r="J660" s="1"/>
      <c r="K660" s="1"/>
      <c r="L660" s="1"/>
      <c r="M660" s="1"/>
      <c r="N660" s="1"/>
      <c r="O660" s="1"/>
      <c r="P660" s="1"/>
      <c r="Q660" s="1"/>
      <c r="R660" s="1"/>
      <c r="S660" s="1"/>
      <c r="T660" s="1"/>
      <c r="U660" s="2"/>
      <c r="V660" s="1"/>
      <c r="W660" s="1"/>
      <c r="X660" s="1"/>
      <c r="Y660" s="1"/>
      <c r="Z660" s="1"/>
    </row>
    <row r="661" spans="1:26" ht="24.75" customHeight="1">
      <c r="A661" s="1"/>
      <c r="B661" s="1"/>
      <c r="C661" s="1"/>
      <c r="D661" s="1"/>
      <c r="E661" s="1"/>
      <c r="F661" s="1"/>
      <c r="G661" s="1"/>
      <c r="H661" s="1"/>
      <c r="I661" s="1"/>
      <c r="J661" s="1"/>
      <c r="K661" s="1"/>
      <c r="L661" s="1"/>
      <c r="M661" s="1"/>
      <c r="N661" s="1"/>
      <c r="O661" s="1"/>
      <c r="P661" s="1"/>
      <c r="Q661" s="1"/>
      <c r="R661" s="1"/>
      <c r="S661" s="1"/>
      <c r="T661" s="1"/>
      <c r="U661" s="2"/>
      <c r="V661" s="1"/>
      <c r="W661" s="1"/>
      <c r="X661" s="1"/>
      <c r="Y661" s="1"/>
      <c r="Z661" s="1"/>
    </row>
    <row r="662" spans="1:26" ht="24.75" customHeight="1">
      <c r="A662" s="1"/>
      <c r="B662" s="1"/>
      <c r="C662" s="1"/>
      <c r="D662" s="1"/>
      <c r="E662" s="1"/>
      <c r="F662" s="1"/>
      <c r="G662" s="1"/>
      <c r="H662" s="1"/>
      <c r="I662" s="1"/>
      <c r="J662" s="1"/>
      <c r="K662" s="1"/>
      <c r="L662" s="1"/>
      <c r="M662" s="1"/>
      <c r="N662" s="1"/>
      <c r="O662" s="1"/>
      <c r="P662" s="1"/>
      <c r="Q662" s="1"/>
      <c r="R662" s="1"/>
      <c r="S662" s="1"/>
      <c r="T662" s="1"/>
      <c r="U662" s="2"/>
      <c r="V662" s="1"/>
      <c r="W662" s="1"/>
      <c r="X662" s="1"/>
      <c r="Y662" s="1"/>
      <c r="Z662" s="1"/>
    </row>
    <row r="663" spans="1:26" ht="24.75" customHeight="1">
      <c r="A663" s="1"/>
      <c r="B663" s="1"/>
      <c r="C663" s="1"/>
      <c r="D663" s="1"/>
      <c r="E663" s="1"/>
      <c r="F663" s="1"/>
      <c r="G663" s="1"/>
      <c r="H663" s="1"/>
      <c r="I663" s="1"/>
      <c r="J663" s="1"/>
      <c r="K663" s="1"/>
      <c r="L663" s="1"/>
      <c r="M663" s="1"/>
      <c r="N663" s="1"/>
      <c r="O663" s="1"/>
      <c r="P663" s="1"/>
      <c r="Q663" s="1"/>
      <c r="R663" s="1"/>
      <c r="S663" s="1"/>
      <c r="T663" s="1"/>
      <c r="U663" s="2"/>
      <c r="V663" s="1"/>
      <c r="W663" s="1"/>
      <c r="X663" s="1"/>
      <c r="Y663" s="1"/>
      <c r="Z663" s="1"/>
    </row>
    <row r="664" spans="1:26" ht="24.75" customHeight="1">
      <c r="A664" s="1"/>
      <c r="B664" s="1"/>
      <c r="C664" s="1"/>
      <c r="D664" s="1"/>
      <c r="E664" s="1"/>
      <c r="F664" s="1"/>
      <c r="G664" s="1"/>
      <c r="H664" s="1"/>
      <c r="I664" s="1"/>
      <c r="J664" s="1"/>
      <c r="K664" s="1"/>
      <c r="L664" s="1"/>
      <c r="M664" s="1"/>
      <c r="N664" s="1"/>
      <c r="O664" s="1"/>
      <c r="P664" s="1"/>
      <c r="Q664" s="1"/>
      <c r="R664" s="1"/>
      <c r="S664" s="1"/>
      <c r="T664" s="1"/>
      <c r="U664" s="2"/>
      <c r="V664" s="1"/>
      <c r="W664" s="1"/>
      <c r="X664" s="1"/>
      <c r="Y664" s="1"/>
      <c r="Z664" s="1"/>
    </row>
    <row r="665" spans="1:26" ht="24.75" customHeight="1">
      <c r="A665" s="1"/>
      <c r="B665" s="1"/>
      <c r="C665" s="1"/>
      <c r="D665" s="1"/>
      <c r="E665" s="1"/>
      <c r="F665" s="1"/>
      <c r="G665" s="1"/>
      <c r="H665" s="1"/>
      <c r="I665" s="1"/>
      <c r="J665" s="1"/>
      <c r="K665" s="1"/>
      <c r="L665" s="1"/>
      <c r="M665" s="1"/>
      <c r="N665" s="1"/>
      <c r="O665" s="1"/>
      <c r="P665" s="1"/>
      <c r="Q665" s="1"/>
      <c r="R665" s="1"/>
      <c r="S665" s="1"/>
      <c r="T665" s="1"/>
      <c r="U665" s="2"/>
      <c r="V665" s="1"/>
      <c r="W665" s="1"/>
      <c r="X665" s="1"/>
      <c r="Y665" s="1"/>
      <c r="Z665" s="1"/>
    </row>
    <row r="666" spans="1:26" ht="24.75" customHeight="1">
      <c r="A666" s="1"/>
      <c r="B666" s="1"/>
      <c r="C666" s="1"/>
      <c r="D666" s="1"/>
      <c r="E666" s="1"/>
      <c r="F666" s="1"/>
      <c r="G666" s="1"/>
      <c r="H666" s="1"/>
      <c r="I666" s="1"/>
      <c r="J666" s="1"/>
      <c r="K666" s="1"/>
      <c r="L666" s="1"/>
      <c r="M666" s="1"/>
      <c r="N666" s="1"/>
      <c r="O666" s="1"/>
      <c r="P666" s="1"/>
      <c r="Q666" s="1"/>
      <c r="R666" s="1"/>
      <c r="S666" s="1"/>
      <c r="T666" s="1"/>
      <c r="U666" s="2"/>
      <c r="V666" s="1"/>
      <c r="W666" s="1"/>
      <c r="X666" s="1"/>
      <c r="Y666" s="1"/>
      <c r="Z666" s="1"/>
    </row>
    <row r="667" spans="1:26" ht="24.75" customHeight="1">
      <c r="A667" s="1"/>
      <c r="B667" s="1"/>
      <c r="C667" s="1"/>
      <c r="D667" s="1"/>
      <c r="E667" s="1"/>
      <c r="F667" s="1"/>
      <c r="G667" s="1"/>
      <c r="H667" s="1"/>
      <c r="I667" s="1"/>
      <c r="J667" s="1"/>
      <c r="K667" s="1"/>
      <c r="L667" s="1"/>
      <c r="M667" s="1"/>
      <c r="N667" s="1"/>
      <c r="O667" s="1"/>
      <c r="P667" s="1"/>
      <c r="Q667" s="1"/>
      <c r="R667" s="1"/>
      <c r="S667" s="1"/>
      <c r="T667" s="1"/>
      <c r="U667" s="2"/>
      <c r="V667" s="1"/>
      <c r="W667" s="1"/>
      <c r="X667" s="1"/>
      <c r="Y667" s="1"/>
      <c r="Z667" s="1"/>
    </row>
    <row r="668" spans="1:26" ht="24.75" customHeight="1">
      <c r="A668" s="1"/>
      <c r="B668" s="1"/>
      <c r="C668" s="1"/>
      <c r="D668" s="1"/>
      <c r="E668" s="1"/>
      <c r="F668" s="1"/>
      <c r="G668" s="1"/>
      <c r="H668" s="1"/>
      <c r="I668" s="1"/>
      <c r="J668" s="1"/>
      <c r="K668" s="1"/>
      <c r="L668" s="1"/>
      <c r="M668" s="1"/>
      <c r="N668" s="1"/>
      <c r="O668" s="1"/>
      <c r="P668" s="1"/>
      <c r="Q668" s="1"/>
      <c r="R668" s="1"/>
      <c r="S668" s="1"/>
      <c r="T668" s="1"/>
      <c r="U668" s="2"/>
      <c r="V668" s="1"/>
      <c r="W668" s="1"/>
      <c r="X668" s="1"/>
      <c r="Y668" s="1"/>
      <c r="Z668" s="1"/>
    </row>
    <row r="669" spans="1:26" ht="24.75" customHeight="1">
      <c r="A669" s="1"/>
      <c r="B669" s="1"/>
      <c r="C669" s="1"/>
      <c r="D669" s="1"/>
      <c r="E669" s="1"/>
      <c r="F669" s="1"/>
      <c r="G669" s="1"/>
      <c r="H669" s="1"/>
      <c r="I669" s="1"/>
      <c r="J669" s="1"/>
      <c r="K669" s="1"/>
      <c r="L669" s="1"/>
      <c r="M669" s="1"/>
      <c r="N669" s="1"/>
      <c r="O669" s="1"/>
      <c r="P669" s="1"/>
      <c r="Q669" s="1"/>
      <c r="R669" s="1"/>
      <c r="S669" s="1"/>
      <c r="T669" s="1"/>
      <c r="U669" s="2"/>
      <c r="V669" s="1"/>
      <c r="W669" s="1"/>
      <c r="X669" s="1"/>
      <c r="Y669" s="1"/>
      <c r="Z669" s="1"/>
    </row>
    <row r="670" spans="1:26" ht="24.75" customHeight="1">
      <c r="A670" s="1"/>
      <c r="B670" s="1"/>
      <c r="C670" s="1"/>
      <c r="D670" s="1"/>
      <c r="E670" s="1"/>
      <c r="F670" s="1"/>
      <c r="G670" s="1"/>
      <c r="H670" s="1"/>
      <c r="I670" s="1"/>
      <c r="J670" s="1"/>
      <c r="K670" s="1"/>
      <c r="L670" s="1"/>
      <c r="M670" s="1"/>
      <c r="N670" s="1"/>
      <c r="O670" s="1"/>
      <c r="P670" s="1"/>
      <c r="Q670" s="1"/>
      <c r="R670" s="1"/>
      <c r="S670" s="1"/>
      <c r="T670" s="1"/>
      <c r="U670" s="2"/>
      <c r="V670" s="1"/>
      <c r="W670" s="1"/>
      <c r="X670" s="1"/>
      <c r="Y670" s="1"/>
      <c r="Z670" s="1"/>
    </row>
    <row r="671" spans="1:26" ht="24.75" customHeight="1">
      <c r="A671" s="1"/>
      <c r="B671" s="1"/>
      <c r="C671" s="1"/>
      <c r="D671" s="1"/>
      <c r="E671" s="1"/>
      <c r="F671" s="1"/>
      <c r="G671" s="1"/>
      <c r="H671" s="1"/>
      <c r="I671" s="1"/>
      <c r="J671" s="1"/>
      <c r="K671" s="1"/>
      <c r="L671" s="1"/>
      <c r="M671" s="1"/>
      <c r="N671" s="1"/>
      <c r="O671" s="1"/>
      <c r="P671" s="1"/>
      <c r="Q671" s="1"/>
      <c r="R671" s="1"/>
      <c r="S671" s="1"/>
      <c r="T671" s="1"/>
      <c r="U671" s="2"/>
      <c r="V671" s="1"/>
      <c r="W671" s="1"/>
      <c r="X671" s="1"/>
      <c r="Y671" s="1"/>
      <c r="Z671" s="1"/>
    </row>
    <row r="672" spans="1:26" ht="24.75" customHeight="1">
      <c r="A672" s="1"/>
      <c r="B672" s="1"/>
      <c r="C672" s="1"/>
      <c r="D672" s="1"/>
      <c r="E672" s="1"/>
      <c r="F672" s="1"/>
      <c r="G672" s="1"/>
      <c r="H672" s="1"/>
      <c r="I672" s="1"/>
      <c r="J672" s="1"/>
      <c r="K672" s="1"/>
      <c r="L672" s="1"/>
      <c r="M672" s="1"/>
      <c r="N672" s="1"/>
      <c r="O672" s="1"/>
      <c r="P672" s="1"/>
      <c r="Q672" s="1"/>
      <c r="R672" s="1"/>
      <c r="S672" s="1"/>
      <c r="T672" s="1"/>
      <c r="U672" s="2"/>
      <c r="V672" s="1"/>
      <c r="W672" s="1"/>
      <c r="X672" s="1"/>
      <c r="Y672" s="1"/>
      <c r="Z672" s="1"/>
    </row>
    <row r="673" spans="1:26" ht="24.75" customHeight="1">
      <c r="A673" s="1"/>
      <c r="B673" s="1"/>
      <c r="C673" s="1"/>
      <c r="D673" s="1"/>
      <c r="E673" s="1"/>
      <c r="F673" s="1"/>
      <c r="G673" s="1"/>
      <c r="H673" s="1"/>
      <c r="I673" s="1"/>
      <c r="J673" s="1"/>
      <c r="K673" s="1"/>
      <c r="L673" s="1"/>
      <c r="M673" s="1"/>
      <c r="N673" s="1"/>
      <c r="O673" s="1"/>
      <c r="P673" s="1"/>
      <c r="Q673" s="1"/>
      <c r="R673" s="1"/>
      <c r="S673" s="1"/>
      <c r="T673" s="1"/>
      <c r="U673" s="2"/>
      <c r="V673" s="1"/>
      <c r="W673" s="1"/>
      <c r="X673" s="1"/>
      <c r="Y673" s="1"/>
      <c r="Z673" s="1"/>
    </row>
    <row r="674" spans="1:26" ht="24.75" customHeight="1">
      <c r="A674" s="1"/>
      <c r="B674" s="1"/>
      <c r="C674" s="1"/>
      <c r="D674" s="1"/>
      <c r="E674" s="1"/>
      <c r="F674" s="1"/>
      <c r="G674" s="1"/>
      <c r="H674" s="1"/>
      <c r="I674" s="1"/>
      <c r="J674" s="1"/>
      <c r="K674" s="1"/>
      <c r="L674" s="1"/>
      <c r="M674" s="1"/>
      <c r="N674" s="1"/>
      <c r="O674" s="1"/>
      <c r="P674" s="1"/>
      <c r="Q674" s="1"/>
      <c r="R674" s="1"/>
      <c r="S674" s="1"/>
      <c r="T674" s="1"/>
      <c r="U674" s="2"/>
      <c r="V674" s="1"/>
      <c r="W674" s="1"/>
      <c r="X674" s="1"/>
      <c r="Y674" s="1"/>
      <c r="Z674" s="1"/>
    </row>
    <row r="675" spans="1:26" ht="24.75" customHeight="1">
      <c r="A675" s="1"/>
      <c r="B675" s="1"/>
      <c r="C675" s="1"/>
      <c r="D675" s="1"/>
      <c r="E675" s="1"/>
      <c r="F675" s="1"/>
      <c r="G675" s="1"/>
      <c r="H675" s="1"/>
      <c r="I675" s="1"/>
      <c r="J675" s="1"/>
      <c r="K675" s="1"/>
      <c r="L675" s="1"/>
      <c r="M675" s="1"/>
      <c r="N675" s="1"/>
      <c r="O675" s="1"/>
      <c r="P675" s="1"/>
      <c r="Q675" s="1"/>
      <c r="R675" s="1"/>
      <c r="S675" s="1"/>
      <c r="T675" s="1"/>
      <c r="U675" s="2"/>
      <c r="V675" s="1"/>
      <c r="W675" s="1"/>
      <c r="X675" s="1"/>
      <c r="Y675" s="1"/>
      <c r="Z675" s="1"/>
    </row>
    <row r="676" spans="1:26" ht="24.75" customHeight="1">
      <c r="A676" s="1"/>
      <c r="B676" s="1"/>
      <c r="C676" s="1"/>
      <c r="D676" s="1"/>
      <c r="E676" s="1"/>
      <c r="F676" s="1"/>
      <c r="G676" s="1"/>
      <c r="H676" s="1"/>
      <c r="I676" s="1"/>
      <c r="J676" s="1"/>
      <c r="K676" s="1"/>
      <c r="L676" s="1"/>
      <c r="M676" s="1"/>
      <c r="N676" s="1"/>
      <c r="O676" s="1"/>
      <c r="P676" s="1"/>
      <c r="Q676" s="1"/>
      <c r="R676" s="1"/>
      <c r="S676" s="1"/>
      <c r="T676" s="1"/>
      <c r="U676" s="2"/>
      <c r="V676" s="1"/>
      <c r="W676" s="1"/>
      <c r="X676" s="1"/>
      <c r="Y676" s="1"/>
      <c r="Z676" s="1"/>
    </row>
    <row r="677" spans="1:26" ht="24.75" customHeight="1">
      <c r="A677" s="1"/>
      <c r="B677" s="1"/>
      <c r="C677" s="1"/>
      <c r="D677" s="1"/>
      <c r="E677" s="1"/>
      <c r="F677" s="1"/>
      <c r="G677" s="1"/>
      <c r="H677" s="1"/>
      <c r="I677" s="1"/>
      <c r="J677" s="1"/>
      <c r="K677" s="1"/>
      <c r="L677" s="1"/>
      <c r="M677" s="1"/>
      <c r="N677" s="1"/>
      <c r="O677" s="1"/>
      <c r="P677" s="1"/>
      <c r="Q677" s="1"/>
      <c r="R677" s="1"/>
      <c r="S677" s="1"/>
      <c r="T677" s="1"/>
      <c r="U677" s="2"/>
      <c r="V677" s="1"/>
      <c r="W677" s="1"/>
      <c r="X677" s="1"/>
      <c r="Y677" s="1"/>
      <c r="Z677" s="1"/>
    </row>
    <row r="678" spans="1:26" ht="24.75" customHeight="1">
      <c r="A678" s="1"/>
      <c r="B678" s="1"/>
      <c r="C678" s="1"/>
      <c r="D678" s="1"/>
      <c r="E678" s="1"/>
      <c r="F678" s="1"/>
      <c r="G678" s="1"/>
      <c r="H678" s="1"/>
      <c r="I678" s="1"/>
      <c r="J678" s="1"/>
      <c r="K678" s="1"/>
      <c r="L678" s="1"/>
      <c r="M678" s="1"/>
      <c r="N678" s="1"/>
      <c r="O678" s="1"/>
      <c r="P678" s="1"/>
      <c r="Q678" s="1"/>
      <c r="R678" s="1"/>
      <c r="S678" s="1"/>
      <c r="T678" s="1"/>
      <c r="U678" s="2"/>
      <c r="V678" s="1"/>
      <c r="W678" s="1"/>
      <c r="X678" s="1"/>
      <c r="Y678" s="1"/>
      <c r="Z678" s="1"/>
    </row>
    <row r="679" spans="1:26" ht="24.75" customHeight="1">
      <c r="A679" s="1"/>
      <c r="B679" s="1"/>
      <c r="C679" s="1"/>
      <c r="D679" s="1"/>
      <c r="E679" s="1"/>
      <c r="F679" s="1"/>
      <c r="G679" s="1"/>
      <c r="H679" s="1"/>
      <c r="I679" s="1"/>
      <c r="J679" s="1"/>
      <c r="K679" s="1"/>
      <c r="L679" s="1"/>
      <c r="M679" s="1"/>
      <c r="N679" s="1"/>
      <c r="O679" s="1"/>
      <c r="P679" s="1"/>
      <c r="Q679" s="1"/>
      <c r="R679" s="1"/>
      <c r="S679" s="1"/>
      <c r="T679" s="1"/>
      <c r="U679" s="2"/>
      <c r="V679" s="1"/>
      <c r="W679" s="1"/>
      <c r="X679" s="1"/>
      <c r="Y679" s="1"/>
      <c r="Z679" s="1"/>
    </row>
    <row r="680" spans="1:26" ht="24.75" customHeight="1">
      <c r="A680" s="1"/>
      <c r="B680" s="1"/>
      <c r="C680" s="1"/>
      <c r="D680" s="1"/>
      <c r="E680" s="1"/>
      <c r="F680" s="1"/>
      <c r="G680" s="1"/>
      <c r="H680" s="1"/>
      <c r="I680" s="1"/>
      <c r="J680" s="1"/>
      <c r="K680" s="1"/>
      <c r="L680" s="1"/>
      <c r="M680" s="1"/>
      <c r="N680" s="1"/>
      <c r="O680" s="1"/>
      <c r="P680" s="1"/>
      <c r="Q680" s="1"/>
      <c r="R680" s="1"/>
      <c r="S680" s="1"/>
      <c r="T680" s="1"/>
      <c r="U680" s="2"/>
      <c r="V680" s="1"/>
      <c r="W680" s="1"/>
      <c r="X680" s="1"/>
      <c r="Y680" s="1"/>
      <c r="Z680" s="1"/>
    </row>
    <row r="681" spans="1:26" ht="24.75" customHeight="1">
      <c r="A681" s="1"/>
      <c r="B681" s="1"/>
      <c r="C681" s="1"/>
      <c r="D681" s="1"/>
      <c r="E681" s="1"/>
      <c r="F681" s="1"/>
      <c r="G681" s="1"/>
      <c r="H681" s="1"/>
      <c r="I681" s="1"/>
      <c r="J681" s="1"/>
      <c r="K681" s="1"/>
      <c r="L681" s="1"/>
      <c r="M681" s="1"/>
      <c r="N681" s="1"/>
      <c r="O681" s="1"/>
      <c r="P681" s="1"/>
      <c r="Q681" s="1"/>
      <c r="R681" s="1"/>
      <c r="S681" s="1"/>
      <c r="T681" s="1"/>
      <c r="U681" s="2"/>
      <c r="V681" s="1"/>
      <c r="W681" s="1"/>
      <c r="X681" s="1"/>
      <c r="Y681" s="1"/>
      <c r="Z681" s="1"/>
    </row>
    <row r="682" spans="1:26" ht="24.75" customHeight="1">
      <c r="A682" s="1"/>
      <c r="B682" s="1"/>
      <c r="C682" s="1"/>
      <c r="D682" s="1"/>
      <c r="E682" s="1"/>
      <c r="F682" s="1"/>
      <c r="G682" s="1"/>
      <c r="H682" s="1"/>
      <c r="I682" s="1"/>
      <c r="J682" s="1"/>
      <c r="K682" s="1"/>
      <c r="L682" s="1"/>
      <c r="M682" s="1"/>
      <c r="N682" s="1"/>
      <c r="O682" s="1"/>
      <c r="P682" s="1"/>
      <c r="Q682" s="1"/>
      <c r="R682" s="1"/>
      <c r="S682" s="1"/>
      <c r="T682" s="1"/>
      <c r="U682" s="2"/>
      <c r="V682" s="1"/>
      <c r="W682" s="1"/>
      <c r="X682" s="1"/>
      <c r="Y682" s="1"/>
      <c r="Z682" s="1"/>
    </row>
    <row r="683" spans="1:26" ht="24.75" customHeight="1">
      <c r="A683" s="1"/>
      <c r="B683" s="1"/>
      <c r="C683" s="1"/>
      <c r="D683" s="1"/>
      <c r="E683" s="1"/>
      <c r="F683" s="1"/>
      <c r="G683" s="1"/>
      <c r="H683" s="1"/>
      <c r="I683" s="1"/>
      <c r="J683" s="1"/>
      <c r="K683" s="1"/>
      <c r="L683" s="1"/>
      <c r="M683" s="1"/>
      <c r="N683" s="1"/>
      <c r="O683" s="1"/>
      <c r="P683" s="1"/>
      <c r="Q683" s="1"/>
      <c r="R683" s="1"/>
      <c r="S683" s="1"/>
      <c r="T683" s="1"/>
      <c r="U683" s="2"/>
      <c r="V683" s="1"/>
      <c r="W683" s="1"/>
      <c r="X683" s="1"/>
      <c r="Y683" s="1"/>
      <c r="Z683" s="1"/>
    </row>
    <row r="684" spans="1:26" ht="24.75" customHeight="1">
      <c r="A684" s="1"/>
      <c r="B684" s="1"/>
      <c r="C684" s="1"/>
      <c r="D684" s="1"/>
      <c r="E684" s="1"/>
      <c r="F684" s="1"/>
      <c r="G684" s="1"/>
      <c r="H684" s="1"/>
      <c r="I684" s="1"/>
      <c r="J684" s="1"/>
      <c r="K684" s="1"/>
      <c r="L684" s="1"/>
      <c r="M684" s="1"/>
      <c r="N684" s="1"/>
      <c r="O684" s="1"/>
      <c r="P684" s="1"/>
      <c r="Q684" s="1"/>
      <c r="R684" s="1"/>
      <c r="S684" s="1"/>
      <c r="T684" s="1"/>
      <c r="U684" s="2"/>
      <c r="V684" s="1"/>
      <c r="W684" s="1"/>
      <c r="X684" s="1"/>
      <c r="Y684" s="1"/>
      <c r="Z684" s="1"/>
    </row>
    <row r="685" spans="1:26" ht="24.75" customHeight="1">
      <c r="A685" s="1"/>
      <c r="B685" s="1"/>
      <c r="C685" s="1"/>
      <c r="D685" s="1"/>
      <c r="E685" s="1"/>
      <c r="F685" s="1"/>
      <c r="G685" s="1"/>
      <c r="H685" s="1"/>
      <c r="I685" s="1"/>
      <c r="J685" s="1"/>
      <c r="K685" s="1"/>
      <c r="L685" s="1"/>
      <c r="M685" s="1"/>
      <c r="N685" s="1"/>
      <c r="O685" s="1"/>
      <c r="P685" s="1"/>
      <c r="Q685" s="1"/>
      <c r="R685" s="1"/>
      <c r="S685" s="1"/>
      <c r="T685" s="1"/>
      <c r="U685" s="2"/>
      <c r="V685" s="1"/>
      <c r="W685" s="1"/>
      <c r="X685" s="1"/>
      <c r="Y685" s="1"/>
      <c r="Z685" s="1"/>
    </row>
    <row r="686" spans="1:26" ht="24.75" customHeight="1">
      <c r="A686" s="1"/>
      <c r="B686" s="1"/>
      <c r="C686" s="1"/>
      <c r="D686" s="1"/>
      <c r="E686" s="1"/>
      <c r="F686" s="1"/>
      <c r="G686" s="1"/>
      <c r="H686" s="1"/>
      <c r="I686" s="1"/>
      <c r="J686" s="1"/>
      <c r="K686" s="1"/>
      <c r="L686" s="1"/>
      <c r="M686" s="1"/>
      <c r="N686" s="1"/>
      <c r="O686" s="1"/>
      <c r="P686" s="1"/>
      <c r="Q686" s="1"/>
      <c r="R686" s="1"/>
      <c r="S686" s="1"/>
      <c r="T686" s="1"/>
      <c r="U686" s="2"/>
      <c r="V686" s="1"/>
      <c r="W686" s="1"/>
      <c r="X686" s="1"/>
      <c r="Y686" s="1"/>
      <c r="Z686" s="1"/>
    </row>
    <row r="687" spans="1:26" ht="24.75" customHeight="1">
      <c r="A687" s="1"/>
      <c r="B687" s="1"/>
      <c r="C687" s="1"/>
      <c r="D687" s="1"/>
      <c r="E687" s="1"/>
      <c r="F687" s="1"/>
      <c r="G687" s="1"/>
      <c r="H687" s="1"/>
      <c r="I687" s="1"/>
      <c r="J687" s="1"/>
      <c r="K687" s="1"/>
      <c r="L687" s="1"/>
      <c r="M687" s="1"/>
      <c r="N687" s="1"/>
      <c r="O687" s="1"/>
      <c r="P687" s="1"/>
      <c r="Q687" s="1"/>
      <c r="R687" s="1"/>
      <c r="S687" s="1"/>
      <c r="T687" s="1"/>
      <c r="U687" s="2"/>
      <c r="V687" s="1"/>
      <c r="W687" s="1"/>
      <c r="X687" s="1"/>
      <c r="Y687" s="1"/>
      <c r="Z687" s="1"/>
    </row>
    <row r="688" spans="1:26" ht="24.75" customHeight="1">
      <c r="A688" s="1"/>
      <c r="B688" s="1"/>
      <c r="C688" s="1"/>
      <c r="D688" s="1"/>
      <c r="E688" s="1"/>
      <c r="F688" s="1"/>
      <c r="G688" s="1"/>
      <c r="H688" s="1"/>
      <c r="I688" s="1"/>
      <c r="J688" s="1"/>
      <c r="K688" s="1"/>
      <c r="L688" s="1"/>
      <c r="M688" s="1"/>
      <c r="N688" s="1"/>
      <c r="O688" s="1"/>
      <c r="P688" s="1"/>
      <c r="Q688" s="1"/>
      <c r="R688" s="1"/>
      <c r="S688" s="1"/>
      <c r="T688" s="1"/>
      <c r="U688" s="2"/>
      <c r="V688" s="1"/>
      <c r="W688" s="1"/>
      <c r="X688" s="1"/>
      <c r="Y688" s="1"/>
      <c r="Z688" s="1"/>
    </row>
    <row r="689" spans="1:26" ht="24.75" customHeight="1">
      <c r="A689" s="1"/>
      <c r="B689" s="1"/>
      <c r="C689" s="1"/>
      <c r="D689" s="1"/>
      <c r="E689" s="1"/>
      <c r="F689" s="1"/>
      <c r="G689" s="1"/>
      <c r="H689" s="1"/>
      <c r="I689" s="1"/>
      <c r="J689" s="1"/>
      <c r="K689" s="1"/>
      <c r="L689" s="1"/>
      <c r="M689" s="1"/>
      <c r="N689" s="1"/>
      <c r="O689" s="1"/>
      <c r="P689" s="1"/>
      <c r="Q689" s="1"/>
      <c r="R689" s="1"/>
      <c r="S689" s="1"/>
      <c r="T689" s="1"/>
      <c r="U689" s="2"/>
      <c r="V689" s="1"/>
      <c r="W689" s="1"/>
      <c r="X689" s="1"/>
      <c r="Y689" s="1"/>
      <c r="Z689" s="1"/>
    </row>
    <row r="690" spans="1:26" ht="24.75" customHeight="1">
      <c r="A690" s="1"/>
      <c r="B690" s="1"/>
      <c r="C690" s="1"/>
      <c r="D690" s="1"/>
      <c r="E690" s="1"/>
      <c r="F690" s="1"/>
      <c r="G690" s="1"/>
      <c r="H690" s="1"/>
      <c r="I690" s="1"/>
      <c r="J690" s="1"/>
      <c r="K690" s="1"/>
      <c r="L690" s="1"/>
      <c r="M690" s="1"/>
      <c r="N690" s="1"/>
      <c r="O690" s="1"/>
      <c r="P690" s="1"/>
      <c r="Q690" s="1"/>
      <c r="R690" s="1"/>
      <c r="S690" s="1"/>
      <c r="T690" s="1"/>
      <c r="U690" s="2"/>
      <c r="V690" s="1"/>
      <c r="W690" s="1"/>
      <c r="X690" s="1"/>
      <c r="Y690" s="1"/>
      <c r="Z690" s="1"/>
    </row>
    <row r="691" spans="1:26" ht="24.75" customHeight="1">
      <c r="A691" s="1"/>
      <c r="B691" s="1"/>
      <c r="C691" s="1"/>
      <c r="D691" s="1"/>
      <c r="E691" s="1"/>
      <c r="F691" s="1"/>
      <c r="G691" s="1"/>
      <c r="H691" s="1"/>
      <c r="I691" s="1"/>
      <c r="J691" s="1"/>
      <c r="K691" s="1"/>
      <c r="L691" s="1"/>
      <c r="M691" s="1"/>
      <c r="N691" s="1"/>
      <c r="O691" s="1"/>
      <c r="P691" s="1"/>
      <c r="Q691" s="1"/>
      <c r="R691" s="1"/>
      <c r="S691" s="1"/>
      <c r="T691" s="1"/>
      <c r="U691" s="2"/>
      <c r="V691" s="1"/>
      <c r="W691" s="1"/>
      <c r="X691" s="1"/>
      <c r="Y691" s="1"/>
      <c r="Z691" s="1"/>
    </row>
    <row r="692" spans="1:26" ht="24.75" customHeight="1">
      <c r="A692" s="1"/>
      <c r="B692" s="1"/>
      <c r="C692" s="1"/>
      <c r="D692" s="1"/>
      <c r="E692" s="1"/>
      <c r="F692" s="1"/>
      <c r="G692" s="1"/>
      <c r="H692" s="1"/>
      <c r="I692" s="1"/>
      <c r="J692" s="1"/>
      <c r="K692" s="1"/>
      <c r="L692" s="1"/>
      <c r="M692" s="1"/>
      <c r="N692" s="1"/>
      <c r="O692" s="1"/>
      <c r="P692" s="1"/>
      <c r="Q692" s="1"/>
      <c r="R692" s="1"/>
      <c r="S692" s="1"/>
      <c r="T692" s="1"/>
      <c r="U692" s="2"/>
      <c r="V692" s="1"/>
      <c r="W692" s="1"/>
      <c r="X692" s="1"/>
      <c r="Y692" s="1"/>
      <c r="Z692" s="1"/>
    </row>
    <row r="693" spans="1:26" ht="24.75" customHeight="1">
      <c r="A693" s="1"/>
      <c r="B693" s="1"/>
      <c r="C693" s="1"/>
      <c r="D693" s="1"/>
      <c r="E693" s="1"/>
      <c r="F693" s="1"/>
      <c r="G693" s="1"/>
      <c r="H693" s="1"/>
      <c r="I693" s="1"/>
      <c r="J693" s="1"/>
      <c r="K693" s="1"/>
      <c r="L693" s="1"/>
      <c r="M693" s="1"/>
      <c r="N693" s="1"/>
      <c r="O693" s="1"/>
      <c r="P693" s="1"/>
      <c r="Q693" s="1"/>
      <c r="R693" s="1"/>
      <c r="S693" s="1"/>
      <c r="T693" s="1"/>
      <c r="U693" s="2"/>
      <c r="V693" s="1"/>
      <c r="W693" s="1"/>
      <c r="X693" s="1"/>
      <c r="Y693" s="1"/>
      <c r="Z693" s="1"/>
    </row>
    <row r="694" spans="1:26" ht="24.75" customHeight="1">
      <c r="A694" s="1"/>
      <c r="B694" s="1"/>
      <c r="C694" s="1"/>
      <c r="D694" s="1"/>
      <c r="E694" s="1"/>
      <c r="F694" s="1"/>
      <c r="G694" s="1"/>
      <c r="H694" s="1"/>
      <c r="I694" s="1"/>
      <c r="J694" s="1"/>
      <c r="K694" s="1"/>
      <c r="L694" s="1"/>
      <c r="M694" s="1"/>
      <c r="N694" s="1"/>
      <c r="O694" s="1"/>
      <c r="P694" s="1"/>
      <c r="Q694" s="1"/>
      <c r="R694" s="1"/>
      <c r="S694" s="1"/>
      <c r="T694" s="1"/>
      <c r="U694" s="2"/>
      <c r="V694" s="1"/>
      <c r="W694" s="1"/>
      <c r="X694" s="1"/>
      <c r="Y694" s="1"/>
      <c r="Z694" s="1"/>
    </row>
    <row r="695" spans="1:26" ht="24.75" customHeight="1">
      <c r="A695" s="1"/>
      <c r="B695" s="1"/>
      <c r="C695" s="1"/>
      <c r="D695" s="1"/>
      <c r="E695" s="1"/>
      <c r="F695" s="1"/>
      <c r="G695" s="1"/>
      <c r="H695" s="1"/>
      <c r="I695" s="1"/>
      <c r="J695" s="1"/>
      <c r="K695" s="1"/>
      <c r="L695" s="1"/>
      <c r="M695" s="1"/>
      <c r="N695" s="1"/>
      <c r="O695" s="1"/>
      <c r="P695" s="1"/>
      <c r="Q695" s="1"/>
      <c r="R695" s="1"/>
      <c r="S695" s="1"/>
      <c r="T695" s="1"/>
      <c r="U695" s="2"/>
      <c r="V695" s="1"/>
      <c r="W695" s="1"/>
      <c r="X695" s="1"/>
      <c r="Y695" s="1"/>
      <c r="Z695" s="1"/>
    </row>
    <row r="696" spans="1:26" ht="24.75" customHeight="1">
      <c r="A696" s="1"/>
      <c r="B696" s="1"/>
      <c r="C696" s="1"/>
      <c r="D696" s="1"/>
      <c r="E696" s="1"/>
      <c r="F696" s="1"/>
      <c r="G696" s="1"/>
      <c r="H696" s="1"/>
      <c r="I696" s="1"/>
      <c r="J696" s="1"/>
      <c r="K696" s="1"/>
      <c r="L696" s="1"/>
      <c r="M696" s="1"/>
      <c r="N696" s="1"/>
      <c r="O696" s="1"/>
      <c r="P696" s="1"/>
      <c r="Q696" s="1"/>
      <c r="R696" s="1"/>
      <c r="S696" s="1"/>
      <c r="T696" s="1"/>
      <c r="U696" s="2"/>
      <c r="V696" s="1"/>
      <c r="W696" s="1"/>
      <c r="X696" s="1"/>
      <c r="Y696" s="1"/>
      <c r="Z696" s="1"/>
    </row>
    <row r="697" spans="1:26" ht="24.75" customHeight="1">
      <c r="A697" s="1"/>
      <c r="B697" s="1"/>
      <c r="C697" s="1"/>
      <c r="D697" s="1"/>
      <c r="E697" s="1"/>
      <c r="F697" s="1"/>
      <c r="G697" s="1"/>
      <c r="H697" s="1"/>
      <c r="I697" s="1"/>
      <c r="J697" s="1"/>
      <c r="K697" s="1"/>
      <c r="L697" s="1"/>
      <c r="M697" s="1"/>
      <c r="N697" s="1"/>
      <c r="O697" s="1"/>
      <c r="P697" s="1"/>
      <c r="Q697" s="1"/>
      <c r="R697" s="1"/>
      <c r="S697" s="1"/>
      <c r="T697" s="1"/>
      <c r="U697" s="2"/>
      <c r="V697" s="1"/>
      <c r="W697" s="1"/>
      <c r="X697" s="1"/>
      <c r="Y697" s="1"/>
      <c r="Z697" s="1"/>
    </row>
    <row r="698" spans="1:26" ht="24.75" customHeight="1">
      <c r="A698" s="1"/>
      <c r="B698" s="1"/>
      <c r="C698" s="1"/>
      <c r="D698" s="1"/>
      <c r="E698" s="1"/>
      <c r="F698" s="1"/>
      <c r="G698" s="1"/>
      <c r="H698" s="1"/>
      <c r="I698" s="1"/>
      <c r="J698" s="1"/>
      <c r="K698" s="1"/>
      <c r="L698" s="1"/>
      <c r="M698" s="1"/>
      <c r="N698" s="1"/>
      <c r="O698" s="1"/>
      <c r="P698" s="1"/>
      <c r="Q698" s="1"/>
      <c r="R698" s="1"/>
      <c r="S698" s="1"/>
      <c r="T698" s="1"/>
      <c r="U698" s="2"/>
      <c r="V698" s="1"/>
      <c r="W698" s="1"/>
      <c r="X698" s="1"/>
      <c r="Y698" s="1"/>
      <c r="Z698" s="1"/>
    </row>
    <row r="699" spans="1:26" ht="24.75" customHeight="1">
      <c r="A699" s="1"/>
      <c r="B699" s="1"/>
      <c r="C699" s="1"/>
      <c r="D699" s="1"/>
      <c r="E699" s="1"/>
      <c r="F699" s="1"/>
      <c r="G699" s="1"/>
      <c r="H699" s="1"/>
      <c r="I699" s="1"/>
      <c r="J699" s="1"/>
      <c r="K699" s="1"/>
      <c r="L699" s="1"/>
      <c r="M699" s="1"/>
      <c r="N699" s="1"/>
      <c r="O699" s="1"/>
      <c r="P699" s="1"/>
      <c r="Q699" s="1"/>
      <c r="R699" s="1"/>
      <c r="S699" s="1"/>
      <c r="T699" s="1"/>
      <c r="U699" s="2"/>
      <c r="V699" s="1"/>
      <c r="W699" s="1"/>
      <c r="X699" s="1"/>
      <c r="Y699" s="1"/>
      <c r="Z699" s="1"/>
    </row>
    <row r="700" spans="1:26" ht="24.75" customHeight="1">
      <c r="A700" s="1"/>
      <c r="B700" s="1"/>
      <c r="C700" s="1"/>
      <c r="D700" s="1"/>
      <c r="E700" s="1"/>
      <c r="F700" s="1"/>
      <c r="G700" s="1"/>
      <c r="H700" s="1"/>
      <c r="I700" s="1"/>
      <c r="J700" s="1"/>
      <c r="K700" s="1"/>
      <c r="L700" s="1"/>
      <c r="M700" s="1"/>
      <c r="N700" s="1"/>
      <c r="O700" s="1"/>
      <c r="P700" s="1"/>
      <c r="Q700" s="1"/>
      <c r="R700" s="1"/>
      <c r="S700" s="1"/>
      <c r="T700" s="1"/>
      <c r="U700" s="2"/>
      <c r="V700" s="1"/>
      <c r="W700" s="1"/>
      <c r="X700" s="1"/>
      <c r="Y700" s="1"/>
      <c r="Z700" s="1"/>
    </row>
    <row r="701" spans="1:26" ht="24.75" customHeight="1">
      <c r="A701" s="1"/>
      <c r="B701" s="1"/>
      <c r="C701" s="1"/>
      <c r="D701" s="1"/>
      <c r="E701" s="1"/>
      <c r="F701" s="1"/>
      <c r="G701" s="1"/>
      <c r="H701" s="1"/>
      <c r="I701" s="1"/>
      <c r="J701" s="1"/>
      <c r="K701" s="1"/>
      <c r="L701" s="1"/>
      <c r="M701" s="1"/>
      <c r="N701" s="1"/>
      <c r="O701" s="1"/>
      <c r="P701" s="1"/>
      <c r="Q701" s="1"/>
      <c r="R701" s="1"/>
      <c r="S701" s="1"/>
      <c r="T701" s="1"/>
      <c r="U701" s="2"/>
      <c r="V701" s="1"/>
      <c r="W701" s="1"/>
      <c r="X701" s="1"/>
      <c r="Y701" s="1"/>
      <c r="Z701" s="1"/>
    </row>
    <row r="702" spans="1:26" ht="24.75" customHeight="1">
      <c r="A702" s="1"/>
      <c r="B702" s="1"/>
      <c r="C702" s="1"/>
      <c r="D702" s="1"/>
      <c r="E702" s="1"/>
      <c r="F702" s="1"/>
      <c r="G702" s="1"/>
      <c r="H702" s="1"/>
      <c r="I702" s="1"/>
      <c r="J702" s="1"/>
      <c r="K702" s="1"/>
      <c r="L702" s="1"/>
      <c r="M702" s="1"/>
      <c r="N702" s="1"/>
      <c r="O702" s="1"/>
      <c r="P702" s="1"/>
      <c r="Q702" s="1"/>
      <c r="R702" s="1"/>
      <c r="S702" s="1"/>
      <c r="T702" s="1"/>
      <c r="U702" s="2"/>
      <c r="V702" s="1"/>
      <c r="W702" s="1"/>
      <c r="X702" s="1"/>
      <c r="Y702" s="1"/>
      <c r="Z702" s="1"/>
    </row>
    <row r="703" spans="1:26" ht="24.75" customHeight="1">
      <c r="A703" s="1"/>
      <c r="B703" s="1"/>
      <c r="C703" s="1"/>
      <c r="D703" s="1"/>
      <c r="E703" s="1"/>
      <c r="F703" s="1"/>
      <c r="G703" s="1"/>
      <c r="H703" s="1"/>
      <c r="I703" s="1"/>
      <c r="J703" s="1"/>
      <c r="K703" s="1"/>
      <c r="L703" s="1"/>
      <c r="M703" s="1"/>
      <c r="N703" s="1"/>
      <c r="O703" s="1"/>
      <c r="P703" s="1"/>
      <c r="Q703" s="1"/>
      <c r="R703" s="1"/>
      <c r="S703" s="1"/>
      <c r="T703" s="1"/>
      <c r="U703" s="2"/>
      <c r="V703" s="1"/>
      <c r="W703" s="1"/>
      <c r="X703" s="1"/>
      <c r="Y703" s="1"/>
      <c r="Z703" s="1"/>
    </row>
    <row r="704" spans="1:26" ht="24.75" customHeight="1">
      <c r="A704" s="1"/>
      <c r="B704" s="1"/>
      <c r="C704" s="1"/>
      <c r="D704" s="1"/>
      <c r="E704" s="1"/>
      <c r="F704" s="1"/>
      <c r="G704" s="1"/>
      <c r="H704" s="1"/>
      <c r="I704" s="1"/>
      <c r="J704" s="1"/>
      <c r="K704" s="1"/>
      <c r="L704" s="1"/>
      <c r="M704" s="1"/>
      <c r="N704" s="1"/>
      <c r="O704" s="1"/>
      <c r="P704" s="1"/>
      <c r="Q704" s="1"/>
      <c r="R704" s="1"/>
      <c r="S704" s="1"/>
      <c r="T704" s="1"/>
      <c r="U704" s="2"/>
      <c r="V704" s="1"/>
      <c r="W704" s="1"/>
      <c r="X704" s="1"/>
      <c r="Y704" s="1"/>
      <c r="Z704" s="1"/>
    </row>
    <row r="705" spans="1:26" ht="24.75" customHeight="1">
      <c r="A705" s="1"/>
      <c r="B705" s="1"/>
      <c r="C705" s="1"/>
      <c r="D705" s="1"/>
      <c r="E705" s="1"/>
      <c r="F705" s="1"/>
      <c r="G705" s="1"/>
      <c r="H705" s="1"/>
      <c r="I705" s="1"/>
      <c r="J705" s="1"/>
      <c r="K705" s="1"/>
      <c r="L705" s="1"/>
      <c r="M705" s="1"/>
      <c r="N705" s="1"/>
      <c r="O705" s="1"/>
      <c r="P705" s="1"/>
      <c r="Q705" s="1"/>
      <c r="R705" s="1"/>
      <c r="S705" s="1"/>
      <c r="T705" s="1"/>
      <c r="U705" s="2"/>
      <c r="V705" s="1"/>
      <c r="W705" s="1"/>
      <c r="X705" s="1"/>
      <c r="Y705" s="1"/>
      <c r="Z705" s="1"/>
    </row>
    <row r="706" spans="1:26" ht="24.75" customHeight="1">
      <c r="A706" s="1"/>
      <c r="B706" s="1"/>
      <c r="C706" s="1"/>
      <c r="D706" s="1"/>
      <c r="E706" s="1"/>
      <c r="F706" s="1"/>
      <c r="G706" s="1"/>
      <c r="H706" s="1"/>
      <c r="I706" s="1"/>
      <c r="J706" s="1"/>
      <c r="K706" s="1"/>
      <c r="L706" s="1"/>
      <c r="M706" s="1"/>
      <c r="N706" s="1"/>
      <c r="O706" s="1"/>
      <c r="P706" s="1"/>
      <c r="Q706" s="1"/>
      <c r="R706" s="1"/>
      <c r="S706" s="1"/>
      <c r="T706" s="1"/>
      <c r="U706" s="2"/>
      <c r="V706" s="1"/>
      <c r="W706" s="1"/>
      <c r="X706" s="1"/>
      <c r="Y706" s="1"/>
      <c r="Z706" s="1"/>
    </row>
    <row r="707" spans="1:26" ht="24.75" customHeight="1">
      <c r="A707" s="1"/>
      <c r="B707" s="1"/>
      <c r="C707" s="1"/>
      <c r="D707" s="1"/>
      <c r="E707" s="1"/>
      <c r="F707" s="1"/>
      <c r="G707" s="1"/>
      <c r="H707" s="1"/>
      <c r="I707" s="1"/>
      <c r="J707" s="1"/>
      <c r="K707" s="1"/>
      <c r="L707" s="1"/>
      <c r="M707" s="1"/>
      <c r="N707" s="1"/>
      <c r="O707" s="1"/>
      <c r="P707" s="1"/>
      <c r="Q707" s="1"/>
      <c r="R707" s="1"/>
      <c r="S707" s="1"/>
      <c r="T707" s="1"/>
      <c r="U707" s="2"/>
      <c r="V707" s="1"/>
      <c r="W707" s="1"/>
      <c r="X707" s="1"/>
      <c r="Y707" s="1"/>
      <c r="Z707" s="1"/>
    </row>
    <row r="708" spans="1:26" ht="24.75" customHeight="1">
      <c r="A708" s="1"/>
      <c r="B708" s="1"/>
      <c r="C708" s="1"/>
      <c r="D708" s="1"/>
      <c r="E708" s="1"/>
      <c r="F708" s="1"/>
      <c r="G708" s="1"/>
      <c r="H708" s="1"/>
      <c r="I708" s="1"/>
      <c r="J708" s="1"/>
      <c r="K708" s="1"/>
      <c r="L708" s="1"/>
      <c r="M708" s="1"/>
      <c r="N708" s="1"/>
      <c r="O708" s="1"/>
      <c r="P708" s="1"/>
      <c r="Q708" s="1"/>
      <c r="R708" s="1"/>
      <c r="S708" s="1"/>
      <c r="T708" s="1"/>
      <c r="U708" s="2"/>
      <c r="V708" s="1"/>
      <c r="W708" s="1"/>
      <c r="X708" s="1"/>
      <c r="Y708" s="1"/>
      <c r="Z708" s="1"/>
    </row>
    <row r="709" spans="1:26" ht="24.75" customHeight="1">
      <c r="A709" s="1"/>
      <c r="B709" s="1"/>
      <c r="C709" s="1"/>
      <c r="D709" s="1"/>
      <c r="E709" s="1"/>
      <c r="F709" s="1"/>
      <c r="G709" s="1"/>
      <c r="H709" s="1"/>
      <c r="I709" s="1"/>
      <c r="J709" s="1"/>
      <c r="K709" s="1"/>
      <c r="L709" s="1"/>
      <c r="M709" s="1"/>
      <c r="N709" s="1"/>
      <c r="O709" s="1"/>
      <c r="P709" s="1"/>
      <c r="Q709" s="1"/>
      <c r="R709" s="1"/>
      <c r="S709" s="1"/>
      <c r="T709" s="1"/>
      <c r="U709" s="2"/>
      <c r="V709" s="1"/>
      <c r="W709" s="1"/>
      <c r="X709" s="1"/>
      <c r="Y709" s="1"/>
      <c r="Z709" s="1"/>
    </row>
    <row r="710" spans="1:26" ht="24.75" customHeight="1">
      <c r="A710" s="1"/>
      <c r="B710" s="1"/>
      <c r="C710" s="1"/>
      <c r="D710" s="1"/>
      <c r="E710" s="1"/>
      <c r="F710" s="1"/>
      <c r="G710" s="1"/>
      <c r="H710" s="1"/>
      <c r="I710" s="1"/>
      <c r="J710" s="1"/>
      <c r="K710" s="1"/>
      <c r="L710" s="1"/>
      <c r="M710" s="1"/>
      <c r="N710" s="1"/>
      <c r="O710" s="1"/>
      <c r="P710" s="1"/>
      <c r="Q710" s="1"/>
      <c r="R710" s="1"/>
      <c r="S710" s="1"/>
      <c r="T710" s="1"/>
      <c r="U710" s="2"/>
      <c r="V710" s="1"/>
      <c r="W710" s="1"/>
      <c r="X710" s="1"/>
      <c r="Y710" s="1"/>
      <c r="Z710" s="1"/>
    </row>
    <row r="711" spans="1:26" ht="24.75" customHeight="1">
      <c r="A711" s="1"/>
      <c r="B711" s="1"/>
      <c r="C711" s="1"/>
      <c r="D711" s="1"/>
      <c r="E711" s="1"/>
      <c r="F711" s="1"/>
      <c r="G711" s="1"/>
      <c r="H711" s="1"/>
      <c r="I711" s="1"/>
      <c r="J711" s="1"/>
      <c r="K711" s="1"/>
      <c r="L711" s="1"/>
      <c r="M711" s="1"/>
      <c r="N711" s="1"/>
      <c r="O711" s="1"/>
      <c r="P711" s="1"/>
      <c r="Q711" s="1"/>
      <c r="R711" s="1"/>
      <c r="S711" s="1"/>
      <c r="T711" s="1"/>
      <c r="U711" s="2"/>
      <c r="V711" s="1"/>
      <c r="W711" s="1"/>
      <c r="X711" s="1"/>
      <c r="Y711" s="1"/>
      <c r="Z711" s="1"/>
    </row>
    <row r="712" spans="1:26" ht="24.75" customHeight="1">
      <c r="A712" s="1"/>
      <c r="B712" s="1"/>
      <c r="C712" s="1"/>
      <c r="D712" s="1"/>
      <c r="E712" s="1"/>
      <c r="F712" s="1"/>
      <c r="G712" s="1"/>
      <c r="H712" s="1"/>
      <c r="I712" s="1"/>
      <c r="J712" s="1"/>
      <c r="K712" s="1"/>
      <c r="L712" s="1"/>
      <c r="M712" s="1"/>
      <c r="N712" s="1"/>
      <c r="O712" s="1"/>
      <c r="P712" s="1"/>
      <c r="Q712" s="1"/>
      <c r="R712" s="1"/>
      <c r="S712" s="1"/>
      <c r="T712" s="1"/>
      <c r="U712" s="2"/>
      <c r="V712" s="1"/>
      <c r="W712" s="1"/>
      <c r="X712" s="1"/>
      <c r="Y712" s="1"/>
      <c r="Z712" s="1"/>
    </row>
    <row r="713" spans="1:26" ht="24.75" customHeight="1">
      <c r="A713" s="1"/>
      <c r="B713" s="1"/>
      <c r="C713" s="1"/>
      <c r="D713" s="1"/>
      <c r="E713" s="1"/>
      <c r="F713" s="1"/>
      <c r="G713" s="1"/>
      <c r="H713" s="1"/>
      <c r="I713" s="1"/>
      <c r="J713" s="1"/>
      <c r="K713" s="1"/>
      <c r="L713" s="1"/>
      <c r="M713" s="1"/>
      <c r="N713" s="1"/>
      <c r="O713" s="1"/>
      <c r="P713" s="1"/>
      <c r="Q713" s="1"/>
      <c r="R713" s="1"/>
      <c r="S713" s="1"/>
      <c r="T713" s="1"/>
      <c r="U713" s="2"/>
      <c r="V713" s="1"/>
      <c r="W713" s="1"/>
      <c r="X713" s="1"/>
      <c r="Y713" s="1"/>
      <c r="Z713" s="1"/>
    </row>
    <row r="714" spans="1:26" ht="24.75" customHeight="1">
      <c r="A714" s="1"/>
      <c r="B714" s="1"/>
      <c r="C714" s="1"/>
      <c r="D714" s="1"/>
      <c r="E714" s="1"/>
      <c r="F714" s="1"/>
      <c r="G714" s="1"/>
      <c r="H714" s="1"/>
      <c r="I714" s="1"/>
      <c r="J714" s="1"/>
      <c r="K714" s="1"/>
      <c r="L714" s="1"/>
      <c r="M714" s="1"/>
      <c r="N714" s="1"/>
      <c r="O714" s="1"/>
      <c r="P714" s="1"/>
      <c r="Q714" s="1"/>
      <c r="R714" s="1"/>
      <c r="S714" s="1"/>
      <c r="T714" s="1"/>
      <c r="U714" s="2"/>
      <c r="V714" s="1"/>
      <c r="W714" s="1"/>
      <c r="X714" s="1"/>
      <c r="Y714" s="1"/>
      <c r="Z714" s="1"/>
    </row>
    <row r="715" spans="1:26" ht="24.75" customHeight="1">
      <c r="A715" s="1"/>
      <c r="B715" s="1"/>
      <c r="C715" s="1"/>
      <c r="D715" s="1"/>
      <c r="E715" s="1"/>
      <c r="F715" s="1"/>
      <c r="G715" s="1"/>
      <c r="H715" s="1"/>
      <c r="I715" s="1"/>
      <c r="J715" s="1"/>
      <c r="K715" s="1"/>
      <c r="L715" s="1"/>
      <c r="M715" s="1"/>
      <c r="N715" s="1"/>
      <c r="O715" s="1"/>
      <c r="P715" s="1"/>
      <c r="Q715" s="1"/>
      <c r="R715" s="1"/>
      <c r="S715" s="1"/>
      <c r="T715" s="1"/>
      <c r="U715" s="2"/>
      <c r="V715" s="1"/>
      <c r="W715" s="1"/>
      <c r="X715" s="1"/>
      <c r="Y715" s="1"/>
      <c r="Z715" s="1"/>
    </row>
    <row r="716" spans="1:26" ht="24.75" customHeight="1">
      <c r="A716" s="1"/>
      <c r="B716" s="1"/>
      <c r="C716" s="1"/>
      <c r="D716" s="1"/>
      <c r="E716" s="1"/>
      <c r="F716" s="1"/>
      <c r="G716" s="1"/>
      <c r="H716" s="1"/>
      <c r="I716" s="1"/>
      <c r="J716" s="1"/>
      <c r="K716" s="1"/>
      <c r="L716" s="1"/>
      <c r="M716" s="1"/>
      <c r="N716" s="1"/>
      <c r="O716" s="1"/>
      <c r="P716" s="1"/>
      <c r="Q716" s="1"/>
      <c r="R716" s="1"/>
      <c r="S716" s="1"/>
      <c r="T716" s="1"/>
      <c r="U716" s="2"/>
      <c r="V716" s="1"/>
      <c r="W716" s="1"/>
      <c r="X716" s="1"/>
      <c r="Y716" s="1"/>
      <c r="Z716" s="1"/>
    </row>
    <row r="717" spans="1:26" ht="24.75" customHeight="1">
      <c r="A717" s="1"/>
      <c r="B717" s="1"/>
      <c r="C717" s="1"/>
      <c r="D717" s="1"/>
      <c r="E717" s="1"/>
      <c r="F717" s="1"/>
      <c r="G717" s="1"/>
      <c r="H717" s="1"/>
      <c r="I717" s="1"/>
      <c r="J717" s="1"/>
      <c r="K717" s="1"/>
      <c r="L717" s="1"/>
      <c r="M717" s="1"/>
      <c r="N717" s="1"/>
      <c r="O717" s="1"/>
      <c r="P717" s="1"/>
      <c r="Q717" s="1"/>
      <c r="R717" s="1"/>
      <c r="S717" s="1"/>
      <c r="T717" s="1"/>
      <c r="U717" s="2"/>
      <c r="V717" s="1"/>
      <c r="W717" s="1"/>
      <c r="X717" s="1"/>
      <c r="Y717" s="1"/>
      <c r="Z717" s="1"/>
    </row>
    <row r="718" spans="1:26" ht="24.75" customHeight="1">
      <c r="A718" s="1"/>
      <c r="B718" s="1"/>
      <c r="C718" s="1"/>
      <c r="D718" s="1"/>
      <c r="E718" s="1"/>
      <c r="F718" s="1"/>
      <c r="G718" s="1"/>
      <c r="H718" s="1"/>
      <c r="I718" s="1"/>
      <c r="J718" s="1"/>
      <c r="K718" s="1"/>
      <c r="L718" s="1"/>
      <c r="M718" s="1"/>
      <c r="N718" s="1"/>
      <c r="O718" s="1"/>
      <c r="P718" s="1"/>
      <c r="Q718" s="1"/>
      <c r="R718" s="1"/>
      <c r="S718" s="1"/>
      <c r="T718" s="1"/>
      <c r="U718" s="2"/>
      <c r="V718" s="1"/>
      <c r="W718" s="1"/>
      <c r="X718" s="1"/>
      <c r="Y718" s="1"/>
      <c r="Z718" s="1"/>
    </row>
    <row r="719" spans="1:26" ht="24.75" customHeight="1">
      <c r="A719" s="1"/>
      <c r="B719" s="1"/>
      <c r="C719" s="1"/>
      <c r="D719" s="1"/>
      <c r="E719" s="1"/>
      <c r="F719" s="1"/>
      <c r="G719" s="1"/>
      <c r="H719" s="1"/>
      <c r="I719" s="1"/>
      <c r="J719" s="1"/>
      <c r="K719" s="1"/>
      <c r="L719" s="1"/>
      <c r="M719" s="1"/>
      <c r="N719" s="1"/>
      <c r="O719" s="1"/>
      <c r="P719" s="1"/>
      <c r="Q719" s="1"/>
      <c r="R719" s="1"/>
      <c r="S719" s="1"/>
      <c r="T719" s="1"/>
      <c r="U719" s="2"/>
      <c r="V719" s="1"/>
      <c r="W719" s="1"/>
      <c r="X719" s="1"/>
      <c r="Y719" s="1"/>
      <c r="Z719" s="1"/>
    </row>
    <row r="720" spans="1:26" ht="24.75" customHeight="1">
      <c r="A720" s="1"/>
      <c r="B720" s="1"/>
      <c r="C720" s="1"/>
      <c r="D720" s="1"/>
      <c r="E720" s="1"/>
      <c r="F720" s="1"/>
      <c r="G720" s="1"/>
      <c r="H720" s="1"/>
      <c r="I720" s="1"/>
      <c r="J720" s="1"/>
      <c r="K720" s="1"/>
      <c r="L720" s="1"/>
      <c r="M720" s="1"/>
      <c r="N720" s="1"/>
      <c r="O720" s="1"/>
      <c r="P720" s="1"/>
      <c r="Q720" s="1"/>
      <c r="R720" s="1"/>
      <c r="S720" s="1"/>
      <c r="T720" s="1"/>
      <c r="U720" s="2"/>
      <c r="V720" s="1"/>
      <c r="W720" s="1"/>
      <c r="X720" s="1"/>
      <c r="Y720" s="1"/>
      <c r="Z720" s="1"/>
    </row>
    <row r="721" spans="1:26" ht="24.75" customHeight="1">
      <c r="A721" s="1"/>
      <c r="B721" s="1"/>
      <c r="C721" s="1"/>
      <c r="D721" s="1"/>
      <c r="E721" s="1"/>
      <c r="F721" s="1"/>
      <c r="G721" s="1"/>
      <c r="H721" s="1"/>
      <c r="I721" s="1"/>
      <c r="J721" s="1"/>
      <c r="K721" s="1"/>
      <c r="L721" s="1"/>
      <c r="M721" s="1"/>
      <c r="N721" s="1"/>
      <c r="O721" s="1"/>
      <c r="P721" s="1"/>
      <c r="Q721" s="1"/>
      <c r="R721" s="1"/>
      <c r="S721" s="1"/>
      <c r="T721" s="1"/>
      <c r="U721" s="2"/>
      <c r="V721" s="1"/>
      <c r="W721" s="1"/>
      <c r="X721" s="1"/>
      <c r="Y721" s="1"/>
      <c r="Z721" s="1"/>
    </row>
    <row r="722" spans="1:26" ht="24.75" customHeight="1">
      <c r="A722" s="1"/>
      <c r="B722" s="1"/>
      <c r="C722" s="1"/>
      <c r="D722" s="1"/>
      <c r="E722" s="1"/>
      <c r="F722" s="1"/>
      <c r="G722" s="1"/>
      <c r="H722" s="1"/>
      <c r="I722" s="1"/>
      <c r="J722" s="1"/>
      <c r="K722" s="1"/>
      <c r="L722" s="1"/>
      <c r="M722" s="1"/>
      <c r="N722" s="1"/>
      <c r="O722" s="1"/>
      <c r="P722" s="1"/>
      <c r="Q722" s="1"/>
      <c r="R722" s="1"/>
      <c r="S722" s="1"/>
      <c r="T722" s="1"/>
      <c r="U722" s="2"/>
      <c r="V722" s="1"/>
      <c r="W722" s="1"/>
      <c r="X722" s="1"/>
      <c r="Y722" s="1"/>
      <c r="Z722" s="1"/>
    </row>
    <row r="723" spans="1:26" ht="24.75" customHeight="1">
      <c r="A723" s="1"/>
      <c r="B723" s="1"/>
      <c r="C723" s="1"/>
      <c r="D723" s="1"/>
      <c r="E723" s="1"/>
      <c r="F723" s="1"/>
      <c r="G723" s="1"/>
      <c r="H723" s="1"/>
      <c r="I723" s="1"/>
      <c r="J723" s="1"/>
      <c r="K723" s="1"/>
      <c r="L723" s="1"/>
      <c r="M723" s="1"/>
      <c r="N723" s="1"/>
      <c r="O723" s="1"/>
      <c r="P723" s="1"/>
      <c r="Q723" s="1"/>
      <c r="R723" s="1"/>
      <c r="S723" s="1"/>
      <c r="T723" s="1"/>
      <c r="U723" s="2"/>
      <c r="V723" s="1"/>
      <c r="W723" s="1"/>
      <c r="X723" s="1"/>
      <c r="Y723" s="1"/>
      <c r="Z723" s="1"/>
    </row>
    <row r="724" spans="1:26" ht="24.75" customHeight="1">
      <c r="A724" s="1"/>
      <c r="B724" s="1"/>
      <c r="C724" s="1"/>
      <c r="D724" s="1"/>
      <c r="E724" s="1"/>
      <c r="F724" s="1"/>
      <c r="G724" s="1"/>
      <c r="H724" s="1"/>
      <c r="I724" s="1"/>
      <c r="J724" s="1"/>
      <c r="K724" s="1"/>
      <c r="L724" s="1"/>
      <c r="M724" s="1"/>
      <c r="N724" s="1"/>
      <c r="O724" s="1"/>
      <c r="P724" s="1"/>
      <c r="Q724" s="1"/>
      <c r="R724" s="1"/>
      <c r="S724" s="1"/>
      <c r="T724" s="1"/>
      <c r="U724" s="2"/>
      <c r="V724" s="1"/>
      <c r="W724" s="1"/>
      <c r="X724" s="1"/>
      <c r="Y724" s="1"/>
      <c r="Z724" s="1"/>
    </row>
    <row r="725" spans="1:26" ht="24.75" customHeight="1">
      <c r="A725" s="1"/>
      <c r="B725" s="1"/>
      <c r="C725" s="1"/>
      <c r="D725" s="1"/>
      <c r="E725" s="1"/>
      <c r="F725" s="1"/>
      <c r="G725" s="1"/>
      <c r="H725" s="1"/>
      <c r="I725" s="1"/>
      <c r="J725" s="1"/>
      <c r="K725" s="1"/>
      <c r="L725" s="1"/>
      <c r="M725" s="1"/>
      <c r="N725" s="1"/>
      <c r="O725" s="1"/>
      <c r="P725" s="1"/>
      <c r="Q725" s="1"/>
      <c r="R725" s="1"/>
      <c r="S725" s="1"/>
      <c r="T725" s="1"/>
      <c r="U725" s="2"/>
      <c r="V725" s="1"/>
      <c r="W725" s="1"/>
      <c r="X725" s="1"/>
      <c r="Y725" s="1"/>
      <c r="Z725" s="1"/>
    </row>
    <row r="726" spans="1:26" ht="24.75" customHeight="1">
      <c r="A726" s="1"/>
      <c r="B726" s="1"/>
      <c r="C726" s="1"/>
      <c r="D726" s="1"/>
      <c r="E726" s="1"/>
      <c r="F726" s="1"/>
      <c r="G726" s="1"/>
      <c r="H726" s="1"/>
      <c r="I726" s="1"/>
      <c r="J726" s="1"/>
      <c r="K726" s="1"/>
      <c r="L726" s="1"/>
      <c r="M726" s="1"/>
      <c r="N726" s="1"/>
      <c r="O726" s="1"/>
      <c r="P726" s="1"/>
      <c r="Q726" s="1"/>
      <c r="R726" s="1"/>
      <c r="S726" s="1"/>
      <c r="T726" s="1"/>
      <c r="U726" s="2"/>
      <c r="V726" s="1"/>
      <c r="W726" s="1"/>
      <c r="X726" s="1"/>
      <c r="Y726" s="1"/>
      <c r="Z726" s="1"/>
    </row>
    <row r="727" spans="1:26" ht="24.75" customHeight="1">
      <c r="A727" s="1"/>
      <c r="B727" s="1"/>
      <c r="C727" s="1"/>
      <c r="D727" s="1"/>
      <c r="E727" s="1"/>
      <c r="F727" s="1"/>
      <c r="G727" s="1"/>
      <c r="H727" s="1"/>
      <c r="I727" s="1"/>
      <c r="J727" s="1"/>
      <c r="K727" s="1"/>
      <c r="L727" s="1"/>
      <c r="M727" s="1"/>
      <c r="N727" s="1"/>
      <c r="O727" s="1"/>
      <c r="P727" s="1"/>
      <c r="Q727" s="1"/>
      <c r="R727" s="1"/>
      <c r="S727" s="1"/>
      <c r="T727" s="1"/>
      <c r="U727" s="2"/>
      <c r="V727" s="1"/>
      <c r="W727" s="1"/>
      <c r="X727" s="1"/>
      <c r="Y727" s="1"/>
      <c r="Z727" s="1"/>
    </row>
    <row r="728" spans="1:26" ht="24.75" customHeight="1">
      <c r="A728" s="1"/>
      <c r="B728" s="1"/>
      <c r="C728" s="1"/>
      <c r="D728" s="1"/>
      <c r="E728" s="1"/>
      <c r="F728" s="1"/>
      <c r="G728" s="1"/>
      <c r="H728" s="1"/>
      <c r="I728" s="1"/>
      <c r="J728" s="1"/>
      <c r="K728" s="1"/>
      <c r="L728" s="1"/>
      <c r="M728" s="1"/>
      <c r="N728" s="1"/>
      <c r="O728" s="1"/>
      <c r="P728" s="1"/>
      <c r="Q728" s="1"/>
      <c r="R728" s="1"/>
      <c r="S728" s="1"/>
      <c r="T728" s="1"/>
      <c r="U728" s="2"/>
      <c r="V728" s="1"/>
      <c r="W728" s="1"/>
      <c r="X728" s="1"/>
      <c r="Y728" s="1"/>
      <c r="Z728" s="1"/>
    </row>
    <row r="729" spans="1:26" ht="24.75" customHeight="1">
      <c r="A729" s="1"/>
      <c r="B729" s="1"/>
      <c r="C729" s="1"/>
      <c r="D729" s="1"/>
      <c r="E729" s="1"/>
      <c r="F729" s="1"/>
      <c r="G729" s="1"/>
      <c r="H729" s="1"/>
      <c r="I729" s="1"/>
      <c r="J729" s="1"/>
      <c r="K729" s="1"/>
      <c r="L729" s="1"/>
      <c r="M729" s="1"/>
      <c r="N729" s="1"/>
      <c r="O729" s="1"/>
      <c r="P729" s="1"/>
      <c r="Q729" s="1"/>
      <c r="R729" s="1"/>
      <c r="S729" s="1"/>
      <c r="T729" s="1"/>
      <c r="U729" s="2"/>
      <c r="V729" s="1"/>
      <c r="W729" s="1"/>
      <c r="X729" s="1"/>
      <c r="Y729" s="1"/>
      <c r="Z729" s="1"/>
    </row>
    <row r="730" spans="1:26" ht="24.75" customHeight="1">
      <c r="A730" s="1"/>
      <c r="B730" s="1"/>
      <c r="C730" s="1"/>
      <c r="D730" s="1"/>
      <c r="E730" s="1"/>
      <c r="F730" s="1"/>
      <c r="G730" s="1"/>
      <c r="H730" s="1"/>
      <c r="I730" s="1"/>
      <c r="J730" s="1"/>
      <c r="K730" s="1"/>
      <c r="L730" s="1"/>
      <c r="M730" s="1"/>
      <c r="N730" s="1"/>
      <c r="O730" s="1"/>
      <c r="P730" s="1"/>
      <c r="Q730" s="1"/>
      <c r="R730" s="1"/>
      <c r="S730" s="1"/>
      <c r="T730" s="1"/>
      <c r="U730" s="2"/>
      <c r="V730" s="1"/>
      <c r="W730" s="1"/>
      <c r="X730" s="1"/>
      <c r="Y730" s="1"/>
      <c r="Z730" s="1"/>
    </row>
    <row r="731" spans="1:26" ht="24.75" customHeight="1">
      <c r="A731" s="1"/>
      <c r="B731" s="1"/>
      <c r="C731" s="1"/>
      <c r="D731" s="1"/>
      <c r="E731" s="1"/>
      <c r="F731" s="1"/>
      <c r="G731" s="1"/>
      <c r="H731" s="1"/>
      <c r="I731" s="1"/>
      <c r="J731" s="1"/>
      <c r="K731" s="1"/>
      <c r="L731" s="1"/>
      <c r="M731" s="1"/>
      <c r="N731" s="1"/>
      <c r="O731" s="1"/>
      <c r="P731" s="1"/>
      <c r="Q731" s="1"/>
      <c r="R731" s="1"/>
      <c r="S731" s="1"/>
      <c r="T731" s="1"/>
      <c r="U731" s="2"/>
      <c r="V731" s="1"/>
      <c r="W731" s="1"/>
      <c r="X731" s="1"/>
      <c r="Y731" s="1"/>
      <c r="Z731" s="1"/>
    </row>
    <row r="732" spans="1:26" ht="24.75" customHeight="1">
      <c r="A732" s="1"/>
      <c r="B732" s="1"/>
      <c r="C732" s="1"/>
      <c r="D732" s="1"/>
      <c r="E732" s="1"/>
      <c r="F732" s="1"/>
      <c r="G732" s="1"/>
      <c r="H732" s="1"/>
      <c r="I732" s="1"/>
      <c r="J732" s="1"/>
      <c r="K732" s="1"/>
      <c r="L732" s="1"/>
      <c r="M732" s="1"/>
      <c r="N732" s="1"/>
      <c r="O732" s="1"/>
      <c r="P732" s="1"/>
      <c r="Q732" s="1"/>
      <c r="R732" s="1"/>
      <c r="S732" s="1"/>
      <c r="T732" s="1"/>
      <c r="U732" s="2"/>
      <c r="V732" s="1"/>
      <c r="W732" s="1"/>
      <c r="X732" s="1"/>
      <c r="Y732" s="1"/>
      <c r="Z732" s="1"/>
    </row>
    <row r="733" spans="1:26" ht="24.75" customHeight="1">
      <c r="A733" s="1"/>
      <c r="B733" s="1"/>
      <c r="C733" s="1"/>
      <c r="D733" s="1"/>
      <c r="E733" s="1"/>
      <c r="F733" s="1"/>
      <c r="G733" s="1"/>
      <c r="H733" s="1"/>
      <c r="I733" s="1"/>
      <c r="J733" s="1"/>
      <c r="K733" s="1"/>
      <c r="L733" s="1"/>
      <c r="M733" s="1"/>
      <c r="N733" s="1"/>
      <c r="O733" s="1"/>
      <c r="P733" s="1"/>
      <c r="Q733" s="1"/>
      <c r="R733" s="1"/>
      <c r="S733" s="1"/>
      <c r="T733" s="1"/>
      <c r="U733" s="2"/>
      <c r="V733" s="1"/>
      <c r="W733" s="1"/>
      <c r="X733" s="1"/>
      <c r="Y733" s="1"/>
      <c r="Z733" s="1"/>
    </row>
    <row r="734" spans="1:26" ht="24.75" customHeight="1">
      <c r="A734" s="1"/>
      <c r="B734" s="1"/>
      <c r="C734" s="1"/>
      <c r="D734" s="1"/>
      <c r="E734" s="1"/>
      <c r="F734" s="1"/>
      <c r="G734" s="1"/>
      <c r="H734" s="1"/>
      <c r="I734" s="1"/>
      <c r="J734" s="1"/>
      <c r="K734" s="1"/>
      <c r="L734" s="1"/>
      <c r="M734" s="1"/>
      <c r="N734" s="1"/>
      <c r="O734" s="1"/>
      <c r="P734" s="1"/>
      <c r="Q734" s="1"/>
      <c r="R734" s="1"/>
      <c r="S734" s="1"/>
      <c r="T734" s="1"/>
      <c r="U734" s="2"/>
      <c r="V734" s="1"/>
      <c r="W734" s="1"/>
      <c r="X734" s="1"/>
      <c r="Y734" s="1"/>
      <c r="Z734" s="1"/>
    </row>
    <row r="735" spans="1:26" ht="24.75" customHeight="1">
      <c r="A735" s="1"/>
      <c r="B735" s="1"/>
      <c r="C735" s="1"/>
      <c r="D735" s="1"/>
      <c r="E735" s="1"/>
      <c r="F735" s="1"/>
      <c r="G735" s="1"/>
      <c r="H735" s="1"/>
      <c r="I735" s="1"/>
      <c r="J735" s="1"/>
      <c r="K735" s="1"/>
      <c r="L735" s="1"/>
      <c r="M735" s="1"/>
      <c r="N735" s="1"/>
      <c r="O735" s="1"/>
      <c r="P735" s="1"/>
      <c r="Q735" s="1"/>
      <c r="R735" s="1"/>
      <c r="S735" s="1"/>
      <c r="T735" s="1"/>
      <c r="U735" s="2"/>
      <c r="V735" s="1"/>
      <c r="W735" s="1"/>
      <c r="X735" s="1"/>
      <c r="Y735" s="1"/>
      <c r="Z735" s="1"/>
    </row>
    <row r="736" spans="1:26" ht="24.75" customHeight="1">
      <c r="A736" s="1"/>
      <c r="B736" s="1"/>
      <c r="C736" s="1"/>
      <c r="D736" s="1"/>
      <c r="E736" s="1"/>
      <c r="F736" s="1"/>
      <c r="G736" s="1"/>
      <c r="H736" s="1"/>
      <c r="I736" s="1"/>
      <c r="J736" s="1"/>
      <c r="K736" s="1"/>
      <c r="L736" s="1"/>
      <c r="M736" s="1"/>
      <c r="N736" s="1"/>
      <c r="O736" s="1"/>
      <c r="P736" s="1"/>
      <c r="Q736" s="1"/>
      <c r="R736" s="1"/>
      <c r="S736" s="1"/>
      <c r="T736" s="1"/>
      <c r="U736" s="2"/>
      <c r="V736" s="1"/>
      <c r="W736" s="1"/>
      <c r="X736" s="1"/>
      <c r="Y736" s="1"/>
      <c r="Z736" s="1"/>
    </row>
    <row r="737" spans="1:26" ht="24.75" customHeight="1">
      <c r="A737" s="1"/>
      <c r="B737" s="1"/>
      <c r="C737" s="1"/>
      <c r="D737" s="1"/>
      <c r="E737" s="1"/>
      <c r="F737" s="1"/>
      <c r="G737" s="1"/>
      <c r="H737" s="1"/>
      <c r="I737" s="1"/>
      <c r="J737" s="1"/>
      <c r="K737" s="1"/>
      <c r="L737" s="1"/>
      <c r="M737" s="1"/>
      <c r="N737" s="1"/>
      <c r="O737" s="1"/>
      <c r="P737" s="1"/>
      <c r="Q737" s="1"/>
      <c r="R737" s="1"/>
      <c r="S737" s="1"/>
      <c r="T737" s="1"/>
      <c r="U737" s="2"/>
      <c r="V737" s="1"/>
      <c r="W737" s="1"/>
      <c r="X737" s="1"/>
      <c r="Y737" s="1"/>
      <c r="Z737" s="1"/>
    </row>
    <row r="738" spans="1:26" ht="24.75" customHeight="1">
      <c r="A738" s="1"/>
      <c r="B738" s="1"/>
      <c r="C738" s="1"/>
      <c r="D738" s="1"/>
      <c r="E738" s="1"/>
      <c r="F738" s="1"/>
      <c r="G738" s="1"/>
      <c r="H738" s="1"/>
      <c r="I738" s="1"/>
      <c r="J738" s="1"/>
      <c r="K738" s="1"/>
      <c r="L738" s="1"/>
      <c r="M738" s="1"/>
      <c r="N738" s="1"/>
      <c r="O738" s="1"/>
      <c r="P738" s="1"/>
      <c r="Q738" s="1"/>
      <c r="R738" s="1"/>
      <c r="S738" s="1"/>
      <c r="T738" s="1"/>
      <c r="U738" s="2"/>
      <c r="V738" s="1"/>
      <c r="W738" s="1"/>
      <c r="X738" s="1"/>
      <c r="Y738" s="1"/>
      <c r="Z738" s="1"/>
    </row>
    <row r="739" spans="1:26" ht="24.75" customHeight="1">
      <c r="A739" s="1"/>
      <c r="B739" s="1"/>
      <c r="C739" s="1"/>
      <c r="D739" s="1"/>
      <c r="E739" s="1"/>
      <c r="F739" s="1"/>
      <c r="G739" s="1"/>
      <c r="H739" s="1"/>
      <c r="I739" s="1"/>
      <c r="J739" s="1"/>
      <c r="K739" s="1"/>
      <c r="L739" s="1"/>
      <c r="M739" s="1"/>
      <c r="N739" s="1"/>
      <c r="O739" s="1"/>
      <c r="P739" s="1"/>
      <c r="Q739" s="1"/>
      <c r="R739" s="1"/>
      <c r="S739" s="1"/>
      <c r="T739" s="1"/>
      <c r="U739" s="2"/>
      <c r="V739" s="1"/>
      <c r="W739" s="1"/>
      <c r="X739" s="1"/>
      <c r="Y739" s="1"/>
      <c r="Z739" s="1"/>
    </row>
    <row r="740" spans="1:26" ht="24.75" customHeight="1">
      <c r="A740" s="1"/>
      <c r="B740" s="1"/>
      <c r="C740" s="1"/>
      <c r="D740" s="1"/>
      <c r="E740" s="1"/>
      <c r="F740" s="1"/>
      <c r="G740" s="1"/>
      <c r="H740" s="1"/>
      <c r="I740" s="1"/>
      <c r="J740" s="1"/>
      <c r="K740" s="1"/>
      <c r="L740" s="1"/>
      <c r="M740" s="1"/>
      <c r="N740" s="1"/>
      <c r="O740" s="1"/>
      <c r="P740" s="1"/>
      <c r="Q740" s="1"/>
      <c r="R740" s="1"/>
      <c r="S740" s="1"/>
      <c r="T740" s="1"/>
      <c r="U740" s="2"/>
      <c r="V740" s="1"/>
      <c r="W740" s="1"/>
      <c r="X740" s="1"/>
      <c r="Y740" s="1"/>
      <c r="Z740" s="1"/>
    </row>
    <row r="741" spans="1:26" ht="24.75" customHeight="1">
      <c r="A741" s="1"/>
      <c r="B741" s="1"/>
      <c r="C741" s="1"/>
      <c r="D741" s="1"/>
      <c r="E741" s="1"/>
      <c r="F741" s="1"/>
      <c r="G741" s="1"/>
      <c r="H741" s="1"/>
      <c r="I741" s="1"/>
      <c r="J741" s="1"/>
      <c r="K741" s="1"/>
      <c r="L741" s="1"/>
      <c r="M741" s="1"/>
      <c r="N741" s="1"/>
      <c r="O741" s="1"/>
      <c r="P741" s="1"/>
      <c r="Q741" s="1"/>
      <c r="R741" s="1"/>
      <c r="S741" s="1"/>
      <c r="T741" s="1"/>
      <c r="U741" s="2"/>
      <c r="V741" s="1"/>
      <c r="W741" s="1"/>
      <c r="X741" s="1"/>
      <c r="Y741" s="1"/>
      <c r="Z741" s="1"/>
    </row>
    <row r="742" spans="1:26" ht="24.75" customHeight="1">
      <c r="A742" s="1"/>
      <c r="B742" s="1"/>
      <c r="C742" s="1"/>
      <c r="D742" s="1"/>
      <c r="E742" s="1"/>
      <c r="F742" s="1"/>
      <c r="G742" s="1"/>
      <c r="H742" s="1"/>
      <c r="I742" s="1"/>
      <c r="J742" s="1"/>
      <c r="K742" s="1"/>
      <c r="L742" s="1"/>
      <c r="M742" s="1"/>
      <c r="N742" s="1"/>
      <c r="O742" s="1"/>
      <c r="P742" s="1"/>
      <c r="Q742" s="1"/>
      <c r="R742" s="1"/>
      <c r="S742" s="1"/>
      <c r="T742" s="1"/>
      <c r="U742" s="2"/>
      <c r="V742" s="1"/>
      <c r="W742" s="1"/>
      <c r="X742" s="1"/>
      <c r="Y742" s="1"/>
      <c r="Z742" s="1"/>
    </row>
    <row r="743" spans="1:26" ht="24.75" customHeight="1">
      <c r="A743" s="1"/>
      <c r="B743" s="1"/>
      <c r="C743" s="1"/>
      <c r="D743" s="1"/>
      <c r="E743" s="1"/>
      <c r="F743" s="1"/>
      <c r="G743" s="1"/>
      <c r="H743" s="1"/>
      <c r="I743" s="1"/>
      <c r="J743" s="1"/>
      <c r="K743" s="1"/>
      <c r="L743" s="1"/>
      <c r="M743" s="1"/>
      <c r="N743" s="1"/>
      <c r="O743" s="1"/>
      <c r="P743" s="1"/>
      <c r="Q743" s="1"/>
      <c r="R743" s="1"/>
      <c r="S743" s="1"/>
      <c r="T743" s="1"/>
      <c r="U743" s="2"/>
      <c r="V743" s="1"/>
      <c r="W743" s="1"/>
      <c r="X743" s="1"/>
      <c r="Y743" s="1"/>
      <c r="Z743" s="1"/>
    </row>
    <row r="744" spans="1:26" ht="24.75" customHeight="1">
      <c r="A744" s="1"/>
      <c r="B744" s="1"/>
      <c r="C744" s="1"/>
      <c r="D744" s="1"/>
      <c r="E744" s="1"/>
      <c r="F744" s="1"/>
      <c r="G744" s="1"/>
      <c r="H744" s="1"/>
      <c r="I744" s="1"/>
      <c r="J744" s="1"/>
      <c r="K744" s="1"/>
      <c r="L744" s="1"/>
      <c r="M744" s="1"/>
      <c r="N744" s="1"/>
      <c r="O744" s="1"/>
      <c r="P744" s="1"/>
      <c r="Q744" s="1"/>
      <c r="R744" s="1"/>
      <c r="S744" s="1"/>
      <c r="T744" s="1"/>
      <c r="U744" s="2"/>
      <c r="V744" s="1"/>
      <c r="W744" s="1"/>
      <c r="X744" s="1"/>
      <c r="Y744" s="1"/>
      <c r="Z744" s="1"/>
    </row>
    <row r="745" spans="1:26" ht="24.75" customHeight="1">
      <c r="A745" s="1"/>
      <c r="B745" s="1"/>
      <c r="C745" s="1"/>
      <c r="D745" s="1"/>
      <c r="E745" s="1"/>
      <c r="F745" s="1"/>
      <c r="G745" s="1"/>
      <c r="H745" s="1"/>
      <c r="I745" s="1"/>
      <c r="J745" s="1"/>
      <c r="K745" s="1"/>
      <c r="L745" s="1"/>
      <c r="M745" s="1"/>
      <c r="N745" s="1"/>
      <c r="O745" s="1"/>
      <c r="P745" s="1"/>
      <c r="Q745" s="1"/>
      <c r="R745" s="1"/>
      <c r="S745" s="1"/>
      <c r="T745" s="1"/>
      <c r="U745" s="2"/>
      <c r="V745" s="1"/>
      <c r="W745" s="1"/>
      <c r="X745" s="1"/>
      <c r="Y745" s="1"/>
      <c r="Z745" s="1"/>
    </row>
    <row r="746" spans="1:26" ht="24.75" customHeight="1">
      <c r="A746" s="1"/>
      <c r="B746" s="1"/>
      <c r="C746" s="1"/>
      <c r="D746" s="1"/>
      <c r="E746" s="1"/>
      <c r="F746" s="1"/>
      <c r="G746" s="1"/>
      <c r="H746" s="1"/>
      <c r="I746" s="1"/>
      <c r="J746" s="1"/>
      <c r="K746" s="1"/>
      <c r="L746" s="1"/>
      <c r="M746" s="1"/>
      <c r="N746" s="1"/>
      <c r="O746" s="1"/>
      <c r="P746" s="1"/>
      <c r="Q746" s="1"/>
      <c r="R746" s="1"/>
      <c r="S746" s="1"/>
      <c r="T746" s="1"/>
      <c r="U746" s="2"/>
      <c r="V746" s="1"/>
      <c r="W746" s="1"/>
      <c r="X746" s="1"/>
      <c r="Y746" s="1"/>
      <c r="Z746" s="1"/>
    </row>
    <row r="747" spans="1:26" ht="24.75" customHeight="1">
      <c r="A747" s="1"/>
      <c r="B747" s="1"/>
      <c r="C747" s="1"/>
      <c r="D747" s="1"/>
      <c r="E747" s="1"/>
      <c r="F747" s="1"/>
      <c r="G747" s="1"/>
      <c r="H747" s="1"/>
      <c r="I747" s="1"/>
      <c r="J747" s="1"/>
      <c r="K747" s="1"/>
      <c r="L747" s="1"/>
      <c r="M747" s="1"/>
      <c r="N747" s="1"/>
      <c r="O747" s="1"/>
      <c r="P747" s="1"/>
      <c r="Q747" s="1"/>
      <c r="R747" s="1"/>
      <c r="S747" s="1"/>
      <c r="T747" s="1"/>
      <c r="U747" s="2"/>
      <c r="V747" s="1"/>
      <c r="W747" s="1"/>
      <c r="X747" s="1"/>
      <c r="Y747" s="1"/>
      <c r="Z747" s="1"/>
    </row>
    <row r="748" spans="1:26" ht="24.75" customHeight="1">
      <c r="A748" s="1"/>
      <c r="B748" s="1"/>
      <c r="C748" s="1"/>
      <c r="D748" s="1"/>
      <c r="E748" s="1"/>
      <c r="F748" s="1"/>
      <c r="G748" s="1"/>
      <c r="H748" s="1"/>
      <c r="I748" s="1"/>
      <c r="J748" s="1"/>
      <c r="K748" s="1"/>
      <c r="L748" s="1"/>
      <c r="M748" s="1"/>
      <c r="N748" s="1"/>
      <c r="O748" s="1"/>
      <c r="P748" s="1"/>
      <c r="Q748" s="1"/>
      <c r="R748" s="1"/>
      <c r="S748" s="1"/>
      <c r="T748" s="1"/>
      <c r="U748" s="2"/>
      <c r="V748" s="1"/>
      <c r="W748" s="1"/>
      <c r="X748" s="1"/>
      <c r="Y748" s="1"/>
      <c r="Z748" s="1"/>
    </row>
    <row r="749" spans="1:26" ht="24.75" customHeight="1">
      <c r="A749" s="1"/>
      <c r="B749" s="1"/>
      <c r="C749" s="1"/>
      <c r="D749" s="1"/>
      <c r="E749" s="1"/>
      <c r="F749" s="1"/>
      <c r="G749" s="1"/>
      <c r="H749" s="1"/>
      <c r="I749" s="1"/>
      <c r="J749" s="1"/>
      <c r="K749" s="1"/>
      <c r="L749" s="1"/>
      <c r="M749" s="1"/>
      <c r="N749" s="1"/>
      <c r="O749" s="1"/>
      <c r="P749" s="1"/>
      <c r="Q749" s="1"/>
      <c r="R749" s="1"/>
      <c r="S749" s="1"/>
      <c r="T749" s="1"/>
      <c r="U749" s="2"/>
      <c r="V749" s="1"/>
      <c r="W749" s="1"/>
      <c r="X749" s="1"/>
      <c r="Y749" s="1"/>
      <c r="Z749" s="1"/>
    </row>
    <row r="750" spans="1:26" ht="24.75" customHeight="1">
      <c r="A750" s="1"/>
      <c r="B750" s="1"/>
      <c r="C750" s="1"/>
      <c r="D750" s="1"/>
      <c r="E750" s="1"/>
      <c r="F750" s="1"/>
      <c r="G750" s="1"/>
      <c r="H750" s="1"/>
      <c r="I750" s="1"/>
      <c r="J750" s="1"/>
      <c r="K750" s="1"/>
      <c r="L750" s="1"/>
      <c r="M750" s="1"/>
      <c r="N750" s="1"/>
      <c r="O750" s="1"/>
      <c r="P750" s="1"/>
      <c r="Q750" s="1"/>
      <c r="R750" s="1"/>
      <c r="S750" s="1"/>
      <c r="T750" s="1"/>
      <c r="U750" s="2"/>
      <c r="V750" s="1"/>
      <c r="W750" s="1"/>
      <c r="X750" s="1"/>
      <c r="Y750" s="1"/>
      <c r="Z750" s="1"/>
    </row>
    <row r="751" spans="1:26" ht="24.75" customHeight="1">
      <c r="A751" s="1"/>
      <c r="B751" s="1"/>
      <c r="C751" s="1"/>
      <c r="D751" s="1"/>
      <c r="E751" s="1"/>
      <c r="F751" s="1"/>
      <c r="G751" s="1"/>
      <c r="H751" s="1"/>
      <c r="I751" s="1"/>
      <c r="J751" s="1"/>
      <c r="K751" s="1"/>
      <c r="L751" s="1"/>
      <c r="M751" s="1"/>
      <c r="N751" s="1"/>
      <c r="O751" s="1"/>
      <c r="P751" s="1"/>
      <c r="Q751" s="1"/>
      <c r="R751" s="1"/>
      <c r="S751" s="1"/>
      <c r="T751" s="1"/>
      <c r="U751" s="2"/>
      <c r="V751" s="1"/>
      <c r="W751" s="1"/>
      <c r="X751" s="1"/>
      <c r="Y751" s="1"/>
      <c r="Z751" s="1"/>
    </row>
    <row r="752" spans="1:26" ht="24.75" customHeight="1">
      <c r="A752" s="1"/>
      <c r="B752" s="1"/>
      <c r="C752" s="1"/>
      <c r="D752" s="1"/>
      <c r="E752" s="1"/>
      <c r="F752" s="1"/>
      <c r="G752" s="1"/>
      <c r="H752" s="1"/>
      <c r="I752" s="1"/>
      <c r="J752" s="1"/>
      <c r="K752" s="1"/>
      <c r="L752" s="1"/>
      <c r="M752" s="1"/>
      <c r="N752" s="1"/>
      <c r="O752" s="1"/>
      <c r="P752" s="1"/>
      <c r="Q752" s="1"/>
      <c r="R752" s="1"/>
      <c r="S752" s="1"/>
      <c r="T752" s="1"/>
      <c r="U752" s="2"/>
      <c r="V752" s="1"/>
      <c r="W752" s="1"/>
      <c r="X752" s="1"/>
      <c r="Y752" s="1"/>
      <c r="Z752" s="1"/>
    </row>
    <row r="753" spans="1:26" ht="24.75" customHeight="1">
      <c r="A753" s="1"/>
      <c r="B753" s="1"/>
      <c r="C753" s="1"/>
      <c r="D753" s="1"/>
      <c r="E753" s="1"/>
      <c r="F753" s="1"/>
      <c r="G753" s="1"/>
      <c r="H753" s="1"/>
      <c r="I753" s="1"/>
      <c r="J753" s="1"/>
      <c r="K753" s="1"/>
      <c r="L753" s="1"/>
      <c r="M753" s="1"/>
      <c r="N753" s="1"/>
      <c r="O753" s="1"/>
      <c r="P753" s="1"/>
      <c r="Q753" s="1"/>
      <c r="R753" s="1"/>
      <c r="S753" s="1"/>
      <c r="T753" s="1"/>
      <c r="U753" s="2"/>
      <c r="V753" s="1"/>
      <c r="W753" s="1"/>
      <c r="X753" s="1"/>
      <c r="Y753" s="1"/>
      <c r="Z753" s="1"/>
    </row>
    <row r="754" spans="1:26" ht="24.75" customHeight="1">
      <c r="A754" s="1"/>
      <c r="B754" s="1"/>
      <c r="C754" s="1"/>
      <c r="D754" s="1"/>
      <c r="E754" s="1"/>
      <c r="F754" s="1"/>
      <c r="G754" s="1"/>
      <c r="H754" s="1"/>
      <c r="I754" s="1"/>
      <c r="J754" s="1"/>
      <c r="K754" s="1"/>
      <c r="L754" s="1"/>
      <c r="M754" s="1"/>
      <c r="N754" s="1"/>
      <c r="O754" s="1"/>
      <c r="P754" s="1"/>
      <c r="Q754" s="1"/>
      <c r="R754" s="1"/>
      <c r="S754" s="1"/>
      <c r="T754" s="1"/>
      <c r="U754" s="2"/>
      <c r="V754" s="1"/>
      <c r="W754" s="1"/>
      <c r="X754" s="1"/>
      <c r="Y754" s="1"/>
      <c r="Z754" s="1"/>
    </row>
    <row r="755" spans="1:26" ht="24.75" customHeight="1">
      <c r="A755" s="1"/>
      <c r="B755" s="1"/>
      <c r="C755" s="1"/>
      <c r="D755" s="1"/>
      <c r="E755" s="1"/>
      <c r="F755" s="1"/>
      <c r="G755" s="1"/>
      <c r="H755" s="1"/>
      <c r="I755" s="1"/>
      <c r="J755" s="1"/>
      <c r="K755" s="1"/>
      <c r="L755" s="1"/>
      <c r="M755" s="1"/>
      <c r="N755" s="1"/>
      <c r="O755" s="1"/>
      <c r="P755" s="1"/>
      <c r="Q755" s="1"/>
      <c r="R755" s="1"/>
      <c r="S755" s="1"/>
      <c r="T755" s="1"/>
      <c r="U755" s="2"/>
      <c r="V755" s="1"/>
      <c r="W755" s="1"/>
      <c r="X755" s="1"/>
      <c r="Y755" s="1"/>
      <c r="Z755" s="1"/>
    </row>
    <row r="756" spans="1:26" ht="24.75" customHeight="1">
      <c r="A756" s="1"/>
      <c r="B756" s="1"/>
      <c r="C756" s="1"/>
      <c r="D756" s="1"/>
      <c r="E756" s="1"/>
      <c r="F756" s="1"/>
      <c r="G756" s="1"/>
      <c r="H756" s="1"/>
      <c r="I756" s="1"/>
      <c r="J756" s="1"/>
      <c r="K756" s="1"/>
      <c r="L756" s="1"/>
      <c r="M756" s="1"/>
      <c r="N756" s="1"/>
      <c r="O756" s="1"/>
      <c r="P756" s="1"/>
      <c r="Q756" s="1"/>
      <c r="R756" s="1"/>
      <c r="S756" s="1"/>
      <c r="T756" s="1"/>
      <c r="U756" s="2"/>
      <c r="V756" s="1"/>
      <c r="W756" s="1"/>
      <c r="X756" s="1"/>
      <c r="Y756" s="1"/>
      <c r="Z756" s="1"/>
    </row>
    <row r="757" spans="1:26" ht="24.75" customHeight="1">
      <c r="A757" s="1"/>
      <c r="B757" s="1"/>
      <c r="C757" s="1"/>
      <c r="D757" s="1"/>
      <c r="E757" s="1"/>
      <c r="F757" s="1"/>
      <c r="G757" s="1"/>
      <c r="H757" s="1"/>
      <c r="I757" s="1"/>
      <c r="J757" s="1"/>
      <c r="K757" s="1"/>
      <c r="L757" s="1"/>
      <c r="M757" s="1"/>
      <c r="N757" s="1"/>
      <c r="O757" s="1"/>
      <c r="P757" s="1"/>
      <c r="Q757" s="1"/>
      <c r="R757" s="1"/>
      <c r="S757" s="1"/>
      <c r="T757" s="1"/>
      <c r="U757" s="2"/>
      <c r="V757" s="1"/>
      <c r="W757" s="1"/>
      <c r="X757" s="1"/>
      <c r="Y757" s="1"/>
      <c r="Z757" s="1"/>
    </row>
    <row r="758" spans="1:26" ht="24.75" customHeight="1">
      <c r="A758" s="1"/>
      <c r="B758" s="1"/>
      <c r="C758" s="1"/>
      <c r="D758" s="1"/>
      <c r="E758" s="1"/>
      <c r="F758" s="1"/>
      <c r="G758" s="1"/>
      <c r="H758" s="1"/>
      <c r="I758" s="1"/>
      <c r="J758" s="1"/>
      <c r="K758" s="1"/>
      <c r="L758" s="1"/>
      <c r="M758" s="1"/>
      <c r="N758" s="1"/>
      <c r="O758" s="1"/>
      <c r="P758" s="1"/>
      <c r="Q758" s="1"/>
      <c r="R758" s="1"/>
      <c r="S758" s="1"/>
      <c r="T758" s="1"/>
      <c r="U758" s="2"/>
      <c r="V758" s="1"/>
      <c r="W758" s="1"/>
      <c r="X758" s="1"/>
      <c r="Y758" s="1"/>
      <c r="Z758" s="1"/>
    </row>
    <row r="759" spans="1:26" ht="24.75" customHeight="1">
      <c r="A759" s="1"/>
      <c r="B759" s="1"/>
      <c r="C759" s="1"/>
      <c r="D759" s="1"/>
      <c r="E759" s="1"/>
      <c r="F759" s="1"/>
      <c r="G759" s="1"/>
      <c r="H759" s="1"/>
      <c r="I759" s="1"/>
      <c r="J759" s="1"/>
      <c r="K759" s="1"/>
      <c r="L759" s="1"/>
      <c r="M759" s="1"/>
      <c r="N759" s="1"/>
      <c r="O759" s="1"/>
      <c r="P759" s="1"/>
      <c r="Q759" s="1"/>
      <c r="R759" s="1"/>
      <c r="S759" s="1"/>
      <c r="T759" s="1"/>
      <c r="U759" s="2"/>
      <c r="V759" s="1"/>
      <c r="W759" s="1"/>
      <c r="X759" s="1"/>
      <c r="Y759" s="1"/>
      <c r="Z759" s="1"/>
    </row>
    <row r="760" spans="1:26" ht="24.75" customHeight="1">
      <c r="A760" s="1"/>
      <c r="B760" s="1"/>
      <c r="C760" s="1"/>
      <c r="D760" s="1"/>
      <c r="E760" s="1"/>
      <c r="F760" s="1"/>
      <c r="G760" s="1"/>
      <c r="H760" s="1"/>
      <c r="I760" s="1"/>
      <c r="J760" s="1"/>
      <c r="K760" s="1"/>
      <c r="L760" s="1"/>
      <c r="M760" s="1"/>
      <c r="N760" s="1"/>
      <c r="O760" s="1"/>
      <c r="P760" s="1"/>
      <c r="Q760" s="1"/>
      <c r="R760" s="1"/>
      <c r="S760" s="1"/>
      <c r="T760" s="1"/>
      <c r="U760" s="2"/>
      <c r="V760" s="1"/>
      <c r="W760" s="1"/>
      <c r="X760" s="1"/>
      <c r="Y760" s="1"/>
      <c r="Z760" s="1"/>
    </row>
    <row r="761" spans="1:26" ht="24.75" customHeight="1">
      <c r="A761" s="1"/>
      <c r="B761" s="1"/>
      <c r="C761" s="1"/>
      <c r="D761" s="1"/>
      <c r="E761" s="1"/>
      <c r="F761" s="1"/>
      <c r="G761" s="1"/>
      <c r="H761" s="1"/>
      <c r="I761" s="1"/>
      <c r="J761" s="1"/>
      <c r="K761" s="1"/>
      <c r="L761" s="1"/>
      <c r="M761" s="1"/>
      <c r="N761" s="1"/>
      <c r="O761" s="1"/>
      <c r="P761" s="1"/>
      <c r="Q761" s="1"/>
      <c r="R761" s="1"/>
      <c r="S761" s="1"/>
      <c r="T761" s="1"/>
      <c r="U761" s="2"/>
      <c r="V761" s="1"/>
      <c r="W761" s="1"/>
      <c r="X761" s="1"/>
      <c r="Y761" s="1"/>
      <c r="Z761" s="1"/>
    </row>
    <row r="762" spans="1:26" ht="24.75" customHeight="1">
      <c r="A762" s="1"/>
      <c r="B762" s="1"/>
      <c r="C762" s="1"/>
      <c r="D762" s="1"/>
      <c r="E762" s="1"/>
      <c r="F762" s="1"/>
      <c r="G762" s="1"/>
      <c r="H762" s="1"/>
      <c r="I762" s="1"/>
      <c r="J762" s="1"/>
      <c r="K762" s="1"/>
      <c r="L762" s="1"/>
      <c r="M762" s="1"/>
      <c r="N762" s="1"/>
      <c r="O762" s="1"/>
      <c r="P762" s="1"/>
      <c r="Q762" s="1"/>
      <c r="R762" s="1"/>
      <c r="S762" s="1"/>
      <c r="T762" s="1"/>
      <c r="U762" s="2"/>
      <c r="V762" s="1"/>
      <c r="W762" s="1"/>
      <c r="X762" s="1"/>
      <c r="Y762" s="1"/>
      <c r="Z762" s="1"/>
    </row>
    <row r="763" spans="1:26" ht="24.75" customHeight="1">
      <c r="A763" s="1"/>
      <c r="B763" s="1"/>
      <c r="C763" s="1"/>
      <c r="D763" s="1"/>
      <c r="E763" s="1"/>
      <c r="F763" s="1"/>
      <c r="G763" s="1"/>
      <c r="H763" s="1"/>
      <c r="I763" s="1"/>
      <c r="J763" s="1"/>
      <c r="K763" s="1"/>
      <c r="L763" s="1"/>
      <c r="M763" s="1"/>
      <c r="N763" s="1"/>
      <c r="O763" s="1"/>
      <c r="P763" s="1"/>
      <c r="Q763" s="1"/>
      <c r="R763" s="1"/>
      <c r="S763" s="1"/>
      <c r="T763" s="1"/>
      <c r="U763" s="2"/>
      <c r="V763" s="1"/>
      <c r="W763" s="1"/>
      <c r="X763" s="1"/>
      <c r="Y763" s="1"/>
      <c r="Z763" s="1"/>
    </row>
    <row r="764" spans="1:26" ht="24.75" customHeight="1">
      <c r="A764" s="1"/>
      <c r="B764" s="1"/>
      <c r="C764" s="1"/>
      <c r="D764" s="1"/>
      <c r="E764" s="1"/>
      <c r="F764" s="1"/>
      <c r="G764" s="1"/>
      <c r="H764" s="1"/>
      <c r="I764" s="1"/>
      <c r="J764" s="1"/>
      <c r="K764" s="1"/>
      <c r="L764" s="1"/>
      <c r="M764" s="1"/>
      <c r="N764" s="1"/>
      <c r="O764" s="1"/>
      <c r="P764" s="1"/>
      <c r="Q764" s="1"/>
      <c r="R764" s="1"/>
      <c r="S764" s="1"/>
      <c r="T764" s="1"/>
      <c r="U764" s="2"/>
      <c r="V764" s="1"/>
      <c r="W764" s="1"/>
      <c r="X764" s="1"/>
      <c r="Y764" s="1"/>
      <c r="Z764" s="1"/>
    </row>
    <row r="765" spans="1:26" ht="24.75" customHeight="1">
      <c r="A765" s="1"/>
      <c r="B765" s="1"/>
      <c r="C765" s="1"/>
      <c r="D765" s="1"/>
      <c r="E765" s="1"/>
      <c r="F765" s="1"/>
      <c r="G765" s="1"/>
      <c r="H765" s="1"/>
      <c r="I765" s="1"/>
      <c r="J765" s="1"/>
      <c r="K765" s="1"/>
      <c r="L765" s="1"/>
      <c r="M765" s="1"/>
      <c r="N765" s="1"/>
      <c r="O765" s="1"/>
      <c r="P765" s="1"/>
      <c r="Q765" s="1"/>
      <c r="R765" s="1"/>
      <c r="S765" s="1"/>
      <c r="T765" s="1"/>
      <c r="U765" s="2"/>
      <c r="V765" s="1"/>
      <c r="W765" s="1"/>
      <c r="X765" s="1"/>
      <c r="Y765" s="1"/>
      <c r="Z765" s="1"/>
    </row>
    <row r="766" spans="1:26" ht="24.75" customHeight="1">
      <c r="A766" s="1"/>
      <c r="B766" s="1"/>
      <c r="C766" s="1"/>
      <c r="D766" s="1"/>
      <c r="E766" s="1"/>
      <c r="F766" s="1"/>
      <c r="G766" s="1"/>
      <c r="H766" s="1"/>
      <c r="I766" s="1"/>
      <c r="J766" s="1"/>
      <c r="K766" s="1"/>
      <c r="L766" s="1"/>
      <c r="M766" s="1"/>
      <c r="N766" s="1"/>
      <c r="O766" s="1"/>
      <c r="P766" s="1"/>
      <c r="Q766" s="1"/>
      <c r="R766" s="1"/>
      <c r="S766" s="1"/>
      <c r="T766" s="1"/>
      <c r="U766" s="2"/>
      <c r="V766" s="1"/>
      <c r="W766" s="1"/>
      <c r="X766" s="1"/>
      <c r="Y766" s="1"/>
      <c r="Z766" s="1"/>
    </row>
    <row r="767" spans="1:26" ht="24.75" customHeight="1">
      <c r="A767" s="1"/>
      <c r="B767" s="1"/>
      <c r="C767" s="1"/>
      <c r="D767" s="1"/>
      <c r="E767" s="1"/>
      <c r="F767" s="1"/>
      <c r="G767" s="1"/>
      <c r="H767" s="1"/>
      <c r="I767" s="1"/>
      <c r="J767" s="1"/>
      <c r="K767" s="1"/>
      <c r="L767" s="1"/>
      <c r="M767" s="1"/>
      <c r="N767" s="1"/>
      <c r="O767" s="1"/>
      <c r="P767" s="1"/>
      <c r="Q767" s="1"/>
      <c r="R767" s="1"/>
      <c r="S767" s="1"/>
      <c r="T767" s="1"/>
      <c r="U767" s="2"/>
      <c r="V767" s="1"/>
      <c r="W767" s="1"/>
      <c r="X767" s="1"/>
      <c r="Y767" s="1"/>
      <c r="Z767" s="1"/>
    </row>
    <row r="768" spans="1:26" ht="24.75" customHeight="1">
      <c r="A768" s="1"/>
      <c r="B768" s="1"/>
      <c r="C768" s="1"/>
      <c r="D768" s="1"/>
      <c r="E768" s="1"/>
      <c r="F768" s="1"/>
      <c r="G768" s="1"/>
      <c r="H768" s="1"/>
      <c r="I768" s="1"/>
      <c r="J768" s="1"/>
      <c r="K768" s="1"/>
      <c r="L768" s="1"/>
      <c r="M768" s="1"/>
      <c r="N768" s="1"/>
      <c r="O768" s="1"/>
      <c r="P768" s="1"/>
      <c r="Q768" s="1"/>
      <c r="R768" s="1"/>
      <c r="S768" s="1"/>
      <c r="T768" s="1"/>
      <c r="U768" s="2"/>
      <c r="V768" s="1"/>
      <c r="W768" s="1"/>
      <c r="X768" s="1"/>
      <c r="Y768" s="1"/>
      <c r="Z768" s="1"/>
    </row>
    <row r="769" spans="1:26" ht="24.75" customHeight="1">
      <c r="A769" s="1"/>
      <c r="B769" s="1"/>
      <c r="C769" s="1"/>
      <c r="D769" s="1"/>
      <c r="E769" s="1"/>
      <c r="F769" s="1"/>
      <c r="G769" s="1"/>
      <c r="H769" s="1"/>
      <c r="I769" s="1"/>
      <c r="J769" s="1"/>
      <c r="K769" s="1"/>
      <c r="L769" s="1"/>
      <c r="M769" s="1"/>
      <c r="N769" s="1"/>
      <c r="O769" s="1"/>
      <c r="P769" s="1"/>
      <c r="Q769" s="1"/>
      <c r="R769" s="1"/>
      <c r="S769" s="1"/>
      <c r="T769" s="1"/>
      <c r="U769" s="2"/>
      <c r="V769" s="1"/>
      <c r="W769" s="1"/>
      <c r="X769" s="1"/>
      <c r="Y769" s="1"/>
      <c r="Z769" s="1"/>
    </row>
    <row r="770" spans="1:26" ht="24.75" customHeight="1">
      <c r="A770" s="1"/>
      <c r="B770" s="1"/>
      <c r="C770" s="1"/>
      <c r="D770" s="1"/>
      <c r="E770" s="1"/>
      <c r="F770" s="1"/>
      <c r="G770" s="1"/>
      <c r="H770" s="1"/>
      <c r="I770" s="1"/>
      <c r="J770" s="1"/>
      <c r="K770" s="1"/>
      <c r="L770" s="1"/>
      <c r="M770" s="1"/>
      <c r="N770" s="1"/>
      <c r="O770" s="1"/>
      <c r="P770" s="1"/>
      <c r="Q770" s="1"/>
      <c r="R770" s="1"/>
      <c r="S770" s="1"/>
      <c r="T770" s="1"/>
      <c r="U770" s="2"/>
      <c r="V770" s="1"/>
      <c r="W770" s="1"/>
      <c r="X770" s="1"/>
      <c r="Y770" s="1"/>
      <c r="Z770" s="1"/>
    </row>
    <row r="771" spans="1:26" ht="24.75" customHeight="1">
      <c r="A771" s="1"/>
      <c r="B771" s="1"/>
      <c r="C771" s="1"/>
      <c r="D771" s="1"/>
      <c r="E771" s="1"/>
      <c r="F771" s="1"/>
      <c r="G771" s="1"/>
      <c r="H771" s="1"/>
      <c r="I771" s="1"/>
      <c r="J771" s="1"/>
      <c r="K771" s="1"/>
      <c r="L771" s="1"/>
      <c r="M771" s="1"/>
      <c r="N771" s="1"/>
      <c r="O771" s="1"/>
      <c r="P771" s="1"/>
      <c r="Q771" s="1"/>
      <c r="R771" s="1"/>
      <c r="S771" s="1"/>
      <c r="T771" s="1"/>
      <c r="U771" s="2"/>
      <c r="V771" s="1"/>
      <c r="W771" s="1"/>
      <c r="X771" s="1"/>
      <c r="Y771" s="1"/>
      <c r="Z771" s="1"/>
    </row>
    <row r="772" spans="1:26" ht="24.75" customHeight="1">
      <c r="A772" s="1"/>
      <c r="B772" s="1"/>
      <c r="C772" s="1"/>
      <c r="D772" s="1"/>
      <c r="E772" s="1"/>
      <c r="F772" s="1"/>
      <c r="G772" s="1"/>
      <c r="H772" s="1"/>
      <c r="I772" s="1"/>
      <c r="J772" s="1"/>
      <c r="K772" s="1"/>
      <c r="L772" s="1"/>
      <c r="M772" s="1"/>
      <c r="N772" s="1"/>
      <c r="O772" s="1"/>
      <c r="P772" s="1"/>
      <c r="Q772" s="1"/>
      <c r="R772" s="1"/>
      <c r="S772" s="1"/>
      <c r="T772" s="1"/>
      <c r="U772" s="2"/>
      <c r="V772" s="1"/>
      <c r="W772" s="1"/>
      <c r="X772" s="1"/>
      <c r="Y772" s="1"/>
      <c r="Z772" s="1"/>
    </row>
    <row r="773" spans="1:26" ht="24.75" customHeight="1">
      <c r="A773" s="1"/>
      <c r="B773" s="1"/>
      <c r="C773" s="1"/>
      <c r="D773" s="1"/>
      <c r="E773" s="1"/>
      <c r="F773" s="1"/>
      <c r="G773" s="1"/>
      <c r="H773" s="1"/>
      <c r="I773" s="1"/>
      <c r="J773" s="1"/>
      <c r="K773" s="1"/>
      <c r="L773" s="1"/>
      <c r="M773" s="1"/>
      <c r="N773" s="1"/>
      <c r="O773" s="1"/>
      <c r="P773" s="1"/>
      <c r="Q773" s="1"/>
      <c r="R773" s="1"/>
      <c r="S773" s="1"/>
      <c r="T773" s="1"/>
      <c r="U773" s="2"/>
      <c r="V773" s="1"/>
      <c r="W773" s="1"/>
      <c r="X773" s="1"/>
      <c r="Y773" s="1"/>
      <c r="Z773" s="1"/>
    </row>
    <row r="774" spans="1:26" ht="24.75" customHeight="1">
      <c r="A774" s="1"/>
      <c r="B774" s="1"/>
      <c r="C774" s="1"/>
      <c r="D774" s="1"/>
      <c r="E774" s="1"/>
      <c r="F774" s="1"/>
      <c r="G774" s="1"/>
      <c r="H774" s="1"/>
      <c r="I774" s="1"/>
      <c r="J774" s="1"/>
      <c r="K774" s="1"/>
      <c r="L774" s="1"/>
      <c r="M774" s="1"/>
      <c r="N774" s="1"/>
      <c r="O774" s="1"/>
      <c r="P774" s="1"/>
      <c r="Q774" s="1"/>
      <c r="R774" s="1"/>
      <c r="S774" s="1"/>
      <c r="T774" s="1"/>
      <c r="U774" s="2"/>
      <c r="V774" s="1"/>
      <c r="W774" s="1"/>
      <c r="X774" s="1"/>
      <c r="Y774" s="1"/>
      <c r="Z774" s="1"/>
    </row>
    <row r="775" spans="1:26" ht="24.75" customHeight="1">
      <c r="A775" s="1"/>
      <c r="B775" s="1"/>
      <c r="C775" s="1"/>
      <c r="D775" s="1"/>
      <c r="E775" s="1"/>
      <c r="F775" s="1"/>
      <c r="G775" s="1"/>
      <c r="H775" s="1"/>
      <c r="I775" s="1"/>
      <c r="J775" s="1"/>
      <c r="K775" s="1"/>
      <c r="L775" s="1"/>
      <c r="M775" s="1"/>
      <c r="N775" s="1"/>
      <c r="O775" s="1"/>
      <c r="P775" s="1"/>
      <c r="Q775" s="1"/>
      <c r="R775" s="1"/>
      <c r="S775" s="1"/>
      <c r="T775" s="1"/>
      <c r="U775" s="2"/>
      <c r="V775" s="1"/>
      <c r="W775" s="1"/>
      <c r="X775" s="1"/>
      <c r="Y775" s="1"/>
      <c r="Z775" s="1"/>
    </row>
    <row r="776" spans="1:26" ht="24.75" customHeight="1">
      <c r="A776" s="1"/>
      <c r="B776" s="1"/>
      <c r="C776" s="1"/>
      <c r="D776" s="1"/>
      <c r="E776" s="1"/>
      <c r="F776" s="1"/>
      <c r="G776" s="1"/>
      <c r="H776" s="1"/>
      <c r="I776" s="1"/>
      <c r="J776" s="1"/>
      <c r="K776" s="1"/>
      <c r="L776" s="1"/>
      <c r="M776" s="1"/>
      <c r="N776" s="1"/>
      <c r="O776" s="1"/>
      <c r="P776" s="1"/>
      <c r="Q776" s="1"/>
      <c r="R776" s="1"/>
      <c r="S776" s="1"/>
      <c r="T776" s="1"/>
      <c r="U776" s="2"/>
      <c r="V776" s="1"/>
      <c r="W776" s="1"/>
      <c r="X776" s="1"/>
      <c r="Y776" s="1"/>
      <c r="Z776" s="1"/>
    </row>
    <row r="777" spans="1:26" ht="24.75" customHeight="1">
      <c r="A777" s="1"/>
      <c r="B777" s="1"/>
      <c r="C777" s="1"/>
      <c r="D777" s="1"/>
      <c r="E777" s="1"/>
      <c r="F777" s="1"/>
      <c r="G777" s="1"/>
      <c r="H777" s="1"/>
      <c r="I777" s="1"/>
      <c r="J777" s="1"/>
      <c r="K777" s="1"/>
      <c r="L777" s="1"/>
      <c r="M777" s="1"/>
      <c r="N777" s="1"/>
      <c r="O777" s="1"/>
      <c r="P777" s="1"/>
      <c r="Q777" s="1"/>
      <c r="R777" s="1"/>
      <c r="S777" s="1"/>
      <c r="T777" s="1"/>
      <c r="U777" s="2"/>
      <c r="V777" s="1"/>
      <c r="W777" s="1"/>
      <c r="X777" s="1"/>
      <c r="Y777" s="1"/>
      <c r="Z777" s="1"/>
    </row>
    <row r="778" spans="1:26" ht="24.75" customHeight="1">
      <c r="A778" s="1"/>
      <c r="B778" s="1"/>
      <c r="C778" s="1"/>
      <c r="D778" s="1"/>
      <c r="E778" s="1"/>
      <c r="F778" s="1"/>
      <c r="G778" s="1"/>
      <c r="H778" s="1"/>
      <c r="I778" s="1"/>
      <c r="J778" s="1"/>
      <c r="K778" s="1"/>
      <c r="L778" s="1"/>
      <c r="M778" s="1"/>
      <c r="N778" s="1"/>
      <c r="O778" s="1"/>
      <c r="P778" s="1"/>
      <c r="Q778" s="1"/>
      <c r="R778" s="1"/>
      <c r="S778" s="1"/>
      <c r="T778" s="1"/>
      <c r="U778" s="2"/>
      <c r="V778" s="1"/>
      <c r="W778" s="1"/>
      <c r="X778" s="1"/>
      <c r="Y778" s="1"/>
      <c r="Z778" s="1"/>
    </row>
    <row r="779" spans="1:26" ht="24.75" customHeight="1">
      <c r="A779" s="1"/>
      <c r="B779" s="1"/>
      <c r="C779" s="1"/>
      <c r="D779" s="1"/>
      <c r="E779" s="1"/>
      <c r="F779" s="1"/>
      <c r="G779" s="1"/>
      <c r="H779" s="1"/>
      <c r="I779" s="1"/>
      <c r="J779" s="1"/>
      <c r="K779" s="1"/>
      <c r="L779" s="1"/>
      <c r="M779" s="1"/>
      <c r="N779" s="1"/>
      <c r="O779" s="1"/>
      <c r="P779" s="1"/>
      <c r="Q779" s="1"/>
      <c r="R779" s="1"/>
      <c r="S779" s="1"/>
      <c r="T779" s="1"/>
      <c r="U779" s="2"/>
      <c r="V779" s="1"/>
      <c r="W779" s="1"/>
      <c r="X779" s="1"/>
      <c r="Y779" s="1"/>
      <c r="Z779" s="1"/>
    </row>
    <row r="780" spans="1:26" ht="24.75" customHeight="1">
      <c r="A780" s="1"/>
      <c r="B780" s="1"/>
      <c r="C780" s="1"/>
      <c r="D780" s="1"/>
      <c r="E780" s="1"/>
      <c r="F780" s="1"/>
      <c r="G780" s="1"/>
      <c r="H780" s="1"/>
      <c r="I780" s="1"/>
      <c r="J780" s="1"/>
      <c r="K780" s="1"/>
      <c r="L780" s="1"/>
      <c r="M780" s="1"/>
      <c r="N780" s="1"/>
      <c r="O780" s="1"/>
      <c r="P780" s="1"/>
      <c r="Q780" s="1"/>
      <c r="R780" s="1"/>
      <c r="S780" s="1"/>
      <c r="T780" s="1"/>
      <c r="U780" s="2"/>
      <c r="V780" s="1"/>
      <c r="W780" s="1"/>
      <c r="X780" s="1"/>
      <c r="Y780" s="1"/>
      <c r="Z780" s="1"/>
    </row>
    <row r="781" spans="1:26" ht="24.75" customHeight="1">
      <c r="A781" s="1"/>
      <c r="B781" s="1"/>
      <c r="C781" s="1"/>
      <c r="D781" s="1"/>
      <c r="E781" s="1"/>
      <c r="F781" s="1"/>
      <c r="G781" s="1"/>
      <c r="H781" s="1"/>
      <c r="I781" s="1"/>
      <c r="J781" s="1"/>
      <c r="K781" s="1"/>
      <c r="L781" s="1"/>
      <c r="M781" s="1"/>
      <c r="N781" s="1"/>
      <c r="O781" s="1"/>
      <c r="P781" s="1"/>
      <c r="Q781" s="1"/>
      <c r="R781" s="1"/>
      <c r="S781" s="1"/>
      <c r="T781" s="1"/>
      <c r="U781" s="2"/>
      <c r="V781" s="1"/>
      <c r="W781" s="1"/>
      <c r="X781" s="1"/>
      <c r="Y781" s="1"/>
      <c r="Z781" s="1"/>
    </row>
    <row r="782" spans="1:26" ht="24.75" customHeight="1">
      <c r="A782" s="1"/>
      <c r="B782" s="1"/>
      <c r="C782" s="1"/>
      <c r="D782" s="1"/>
      <c r="E782" s="1"/>
      <c r="F782" s="1"/>
      <c r="G782" s="1"/>
      <c r="H782" s="1"/>
      <c r="I782" s="1"/>
      <c r="J782" s="1"/>
      <c r="K782" s="1"/>
      <c r="L782" s="1"/>
      <c r="M782" s="1"/>
      <c r="N782" s="1"/>
      <c r="O782" s="1"/>
      <c r="P782" s="1"/>
      <c r="Q782" s="1"/>
      <c r="R782" s="1"/>
      <c r="S782" s="1"/>
      <c r="T782" s="1"/>
      <c r="U782" s="2"/>
      <c r="V782" s="1"/>
      <c r="W782" s="1"/>
      <c r="X782" s="1"/>
      <c r="Y782" s="1"/>
      <c r="Z782" s="1"/>
    </row>
    <row r="783" spans="1:26" ht="24.75" customHeight="1">
      <c r="A783" s="1"/>
      <c r="B783" s="1"/>
      <c r="C783" s="1"/>
      <c r="D783" s="1"/>
      <c r="E783" s="1"/>
      <c r="F783" s="1"/>
      <c r="G783" s="1"/>
      <c r="H783" s="1"/>
      <c r="I783" s="1"/>
      <c r="J783" s="1"/>
      <c r="K783" s="1"/>
      <c r="L783" s="1"/>
      <c r="M783" s="1"/>
      <c r="N783" s="1"/>
      <c r="O783" s="1"/>
      <c r="P783" s="1"/>
      <c r="Q783" s="1"/>
      <c r="R783" s="1"/>
      <c r="S783" s="1"/>
      <c r="T783" s="1"/>
      <c r="U783" s="2"/>
      <c r="V783" s="1"/>
      <c r="W783" s="1"/>
      <c r="X783" s="1"/>
      <c r="Y783" s="1"/>
      <c r="Z783" s="1"/>
    </row>
    <row r="784" spans="1:26" ht="24.75" customHeight="1">
      <c r="A784" s="1"/>
      <c r="B784" s="1"/>
      <c r="C784" s="1"/>
      <c r="D784" s="1"/>
      <c r="E784" s="1"/>
      <c r="F784" s="1"/>
      <c r="G784" s="1"/>
      <c r="H784" s="1"/>
      <c r="I784" s="1"/>
      <c r="J784" s="1"/>
      <c r="K784" s="1"/>
      <c r="L784" s="1"/>
      <c r="M784" s="1"/>
      <c r="N784" s="1"/>
      <c r="O784" s="1"/>
      <c r="P784" s="1"/>
      <c r="Q784" s="1"/>
      <c r="R784" s="1"/>
      <c r="S784" s="1"/>
      <c r="T784" s="1"/>
      <c r="U784" s="2"/>
      <c r="V784" s="1"/>
      <c r="W784" s="1"/>
      <c r="X784" s="1"/>
      <c r="Y784" s="1"/>
      <c r="Z784" s="1"/>
    </row>
    <row r="785" spans="1:26" ht="24.75" customHeight="1">
      <c r="A785" s="1"/>
      <c r="B785" s="1"/>
      <c r="C785" s="1"/>
      <c r="D785" s="1"/>
      <c r="E785" s="1"/>
      <c r="F785" s="1"/>
      <c r="G785" s="1"/>
      <c r="H785" s="1"/>
      <c r="I785" s="1"/>
      <c r="J785" s="1"/>
      <c r="K785" s="1"/>
      <c r="L785" s="1"/>
      <c r="M785" s="1"/>
      <c r="N785" s="1"/>
      <c r="O785" s="1"/>
      <c r="P785" s="1"/>
      <c r="Q785" s="1"/>
      <c r="R785" s="1"/>
      <c r="S785" s="1"/>
      <c r="T785" s="1"/>
      <c r="U785" s="2"/>
      <c r="V785" s="1"/>
      <c r="W785" s="1"/>
      <c r="X785" s="1"/>
      <c r="Y785" s="1"/>
      <c r="Z785" s="1"/>
    </row>
    <row r="786" spans="1:26" ht="24.75" customHeight="1">
      <c r="A786" s="1"/>
      <c r="B786" s="1"/>
      <c r="C786" s="1"/>
      <c r="D786" s="1"/>
      <c r="E786" s="1"/>
      <c r="F786" s="1"/>
      <c r="G786" s="1"/>
      <c r="H786" s="1"/>
      <c r="I786" s="1"/>
      <c r="J786" s="1"/>
      <c r="K786" s="1"/>
      <c r="L786" s="1"/>
      <c r="M786" s="1"/>
      <c r="N786" s="1"/>
      <c r="O786" s="1"/>
      <c r="P786" s="1"/>
      <c r="Q786" s="1"/>
      <c r="R786" s="1"/>
      <c r="S786" s="1"/>
      <c r="T786" s="1"/>
      <c r="U786" s="2"/>
      <c r="V786" s="1"/>
      <c r="W786" s="1"/>
      <c r="X786" s="1"/>
      <c r="Y786" s="1"/>
      <c r="Z786" s="1"/>
    </row>
    <row r="787" spans="1:26" ht="24.75" customHeight="1">
      <c r="A787" s="1"/>
      <c r="B787" s="1"/>
      <c r="C787" s="1"/>
      <c r="D787" s="1"/>
      <c r="E787" s="1"/>
      <c r="F787" s="1"/>
      <c r="G787" s="1"/>
      <c r="H787" s="1"/>
      <c r="I787" s="1"/>
      <c r="J787" s="1"/>
      <c r="K787" s="1"/>
      <c r="L787" s="1"/>
      <c r="M787" s="1"/>
      <c r="N787" s="1"/>
      <c r="O787" s="1"/>
      <c r="P787" s="1"/>
      <c r="Q787" s="1"/>
      <c r="R787" s="1"/>
      <c r="S787" s="1"/>
      <c r="T787" s="1"/>
      <c r="U787" s="2"/>
      <c r="V787" s="1"/>
      <c r="W787" s="1"/>
      <c r="X787" s="1"/>
      <c r="Y787" s="1"/>
      <c r="Z787" s="1"/>
    </row>
    <row r="788" spans="1:26" ht="24.75" customHeight="1">
      <c r="A788" s="1"/>
      <c r="B788" s="1"/>
      <c r="C788" s="1"/>
      <c r="D788" s="1"/>
      <c r="E788" s="1"/>
      <c r="F788" s="1"/>
      <c r="G788" s="1"/>
      <c r="H788" s="1"/>
      <c r="I788" s="1"/>
      <c r="J788" s="1"/>
      <c r="K788" s="1"/>
      <c r="L788" s="1"/>
      <c r="M788" s="1"/>
      <c r="N788" s="1"/>
      <c r="O788" s="1"/>
      <c r="P788" s="1"/>
      <c r="Q788" s="1"/>
      <c r="R788" s="1"/>
      <c r="S788" s="1"/>
      <c r="T788" s="1"/>
      <c r="U788" s="2"/>
      <c r="V788" s="1"/>
      <c r="W788" s="1"/>
      <c r="X788" s="1"/>
      <c r="Y788" s="1"/>
      <c r="Z788" s="1"/>
    </row>
    <row r="789" spans="1:26" ht="24.75" customHeight="1">
      <c r="A789" s="1"/>
      <c r="B789" s="1"/>
      <c r="C789" s="1"/>
      <c r="D789" s="1"/>
      <c r="E789" s="1"/>
      <c r="F789" s="1"/>
      <c r="G789" s="1"/>
      <c r="H789" s="1"/>
      <c r="I789" s="1"/>
      <c r="J789" s="1"/>
      <c r="K789" s="1"/>
      <c r="L789" s="1"/>
      <c r="M789" s="1"/>
      <c r="N789" s="1"/>
      <c r="O789" s="1"/>
      <c r="P789" s="1"/>
      <c r="Q789" s="1"/>
      <c r="R789" s="1"/>
      <c r="S789" s="1"/>
      <c r="T789" s="1"/>
      <c r="U789" s="2"/>
      <c r="V789" s="1"/>
      <c r="W789" s="1"/>
      <c r="X789" s="1"/>
      <c r="Y789" s="1"/>
      <c r="Z789" s="1"/>
    </row>
    <row r="790" spans="1:26" ht="24.75" customHeight="1">
      <c r="A790" s="1"/>
      <c r="B790" s="1"/>
      <c r="C790" s="1"/>
      <c r="D790" s="1"/>
      <c r="E790" s="1"/>
      <c r="F790" s="1"/>
      <c r="G790" s="1"/>
      <c r="H790" s="1"/>
      <c r="I790" s="1"/>
      <c r="J790" s="1"/>
      <c r="K790" s="1"/>
      <c r="L790" s="1"/>
      <c r="M790" s="1"/>
      <c r="N790" s="1"/>
      <c r="O790" s="1"/>
      <c r="P790" s="1"/>
      <c r="Q790" s="1"/>
      <c r="R790" s="1"/>
      <c r="S790" s="1"/>
      <c r="T790" s="1"/>
      <c r="U790" s="2"/>
      <c r="V790" s="1"/>
      <c r="W790" s="1"/>
      <c r="X790" s="1"/>
      <c r="Y790" s="1"/>
      <c r="Z790" s="1"/>
    </row>
    <row r="791" spans="1:26" ht="24.75" customHeight="1">
      <c r="A791" s="1"/>
      <c r="B791" s="1"/>
      <c r="C791" s="1"/>
      <c r="D791" s="1"/>
      <c r="E791" s="1"/>
      <c r="F791" s="1"/>
      <c r="G791" s="1"/>
      <c r="H791" s="1"/>
      <c r="I791" s="1"/>
      <c r="J791" s="1"/>
      <c r="K791" s="1"/>
      <c r="L791" s="1"/>
      <c r="M791" s="1"/>
      <c r="N791" s="1"/>
      <c r="O791" s="1"/>
      <c r="P791" s="1"/>
      <c r="Q791" s="1"/>
      <c r="R791" s="1"/>
      <c r="S791" s="1"/>
      <c r="T791" s="1"/>
      <c r="U791" s="2"/>
      <c r="V791" s="1"/>
      <c r="W791" s="1"/>
      <c r="X791" s="1"/>
      <c r="Y791" s="1"/>
      <c r="Z791" s="1"/>
    </row>
    <row r="792" spans="1:26" ht="24.75" customHeight="1">
      <c r="A792" s="1"/>
      <c r="B792" s="1"/>
      <c r="C792" s="1"/>
      <c r="D792" s="1"/>
      <c r="E792" s="1"/>
      <c r="F792" s="1"/>
      <c r="G792" s="1"/>
      <c r="H792" s="1"/>
      <c r="I792" s="1"/>
      <c r="J792" s="1"/>
      <c r="K792" s="1"/>
      <c r="L792" s="1"/>
      <c r="M792" s="1"/>
      <c r="N792" s="1"/>
      <c r="O792" s="1"/>
      <c r="P792" s="1"/>
      <c r="Q792" s="1"/>
      <c r="R792" s="1"/>
      <c r="S792" s="1"/>
      <c r="T792" s="1"/>
      <c r="U792" s="2"/>
      <c r="V792" s="1"/>
      <c r="W792" s="1"/>
      <c r="X792" s="1"/>
      <c r="Y792" s="1"/>
      <c r="Z792" s="1"/>
    </row>
    <row r="793" spans="1:26" ht="24.75" customHeight="1">
      <c r="A793" s="1"/>
      <c r="B793" s="1"/>
      <c r="C793" s="1"/>
      <c r="D793" s="1"/>
      <c r="E793" s="1"/>
      <c r="F793" s="1"/>
      <c r="G793" s="1"/>
      <c r="H793" s="1"/>
      <c r="I793" s="1"/>
      <c r="J793" s="1"/>
      <c r="K793" s="1"/>
      <c r="L793" s="1"/>
      <c r="M793" s="1"/>
      <c r="N793" s="1"/>
      <c r="O793" s="1"/>
      <c r="P793" s="1"/>
      <c r="Q793" s="1"/>
      <c r="R793" s="1"/>
      <c r="S793" s="1"/>
      <c r="T793" s="1"/>
      <c r="U793" s="2"/>
      <c r="V793" s="1"/>
      <c r="W793" s="1"/>
      <c r="X793" s="1"/>
      <c r="Y793" s="1"/>
      <c r="Z793" s="1"/>
    </row>
    <row r="794" spans="1:26" ht="24.75" customHeight="1">
      <c r="A794" s="1"/>
      <c r="B794" s="1"/>
      <c r="C794" s="1"/>
      <c r="D794" s="1"/>
      <c r="E794" s="1"/>
      <c r="F794" s="1"/>
      <c r="G794" s="1"/>
      <c r="H794" s="1"/>
      <c r="I794" s="1"/>
      <c r="J794" s="1"/>
      <c r="K794" s="1"/>
      <c r="L794" s="1"/>
      <c r="M794" s="1"/>
      <c r="N794" s="1"/>
      <c r="O794" s="1"/>
      <c r="P794" s="1"/>
      <c r="Q794" s="1"/>
      <c r="R794" s="1"/>
      <c r="S794" s="1"/>
      <c r="T794" s="1"/>
      <c r="U794" s="2"/>
      <c r="V794" s="1"/>
      <c r="W794" s="1"/>
      <c r="X794" s="1"/>
      <c r="Y794" s="1"/>
      <c r="Z794" s="1"/>
    </row>
    <row r="795" spans="1:26" ht="24.75" customHeight="1">
      <c r="A795" s="1"/>
      <c r="B795" s="1"/>
      <c r="C795" s="1"/>
      <c r="D795" s="1"/>
      <c r="E795" s="1"/>
      <c r="F795" s="1"/>
      <c r="G795" s="1"/>
      <c r="H795" s="1"/>
      <c r="I795" s="1"/>
      <c r="J795" s="1"/>
      <c r="K795" s="1"/>
      <c r="L795" s="1"/>
      <c r="M795" s="1"/>
      <c r="N795" s="1"/>
      <c r="O795" s="1"/>
      <c r="P795" s="1"/>
      <c r="Q795" s="1"/>
      <c r="R795" s="1"/>
      <c r="S795" s="1"/>
      <c r="T795" s="1"/>
      <c r="U795" s="2"/>
      <c r="V795" s="1"/>
      <c r="W795" s="1"/>
      <c r="X795" s="1"/>
      <c r="Y795" s="1"/>
      <c r="Z795" s="1"/>
    </row>
    <row r="796" spans="1:26" ht="24.75" customHeight="1">
      <c r="A796" s="1"/>
      <c r="B796" s="1"/>
      <c r="C796" s="1"/>
      <c r="D796" s="1"/>
      <c r="E796" s="1"/>
      <c r="F796" s="1"/>
      <c r="G796" s="1"/>
      <c r="H796" s="1"/>
      <c r="I796" s="1"/>
      <c r="J796" s="1"/>
      <c r="K796" s="1"/>
      <c r="L796" s="1"/>
      <c r="M796" s="1"/>
      <c r="N796" s="1"/>
      <c r="O796" s="1"/>
      <c r="P796" s="1"/>
      <c r="Q796" s="1"/>
      <c r="R796" s="1"/>
      <c r="S796" s="1"/>
      <c r="T796" s="1"/>
      <c r="U796" s="2"/>
      <c r="V796" s="1"/>
      <c r="W796" s="1"/>
      <c r="X796" s="1"/>
      <c r="Y796" s="1"/>
      <c r="Z796" s="1"/>
    </row>
    <row r="797" spans="1:26" ht="24.75" customHeight="1">
      <c r="A797" s="1"/>
      <c r="B797" s="1"/>
      <c r="C797" s="1"/>
      <c r="D797" s="1"/>
      <c r="E797" s="1"/>
      <c r="F797" s="1"/>
      <c r="G797" s="1"/>
      <c r="H797" s="1"/>
      <c r="I797" s="1"/>
      <c r="J797" s="1"/>
      <c r="K797" s="1"/>
      <c r="L797" s="1"/>
      <c r="M797" s="1"/>
      <c r="N797" s="1"/>
      <c r="O797" s="1"/>
      <c r="P797" s="1"/>
      <c r="Q797" s="1"/>
      <c r="R797" s="1"/>
      <c r="S797" s="1"/>
      <c r="T797" s="1"/>
      <c r="U797" s="2"/>
      <c r="V797" s="1"/>
      <c r="W797" s="1"/>
      <c r="X797" s="1"/>
      <c r="Y797" s="1"/>
      <c r="Z797" s="1"/>
    </row>
    <row r="798" spans="1:26" ht="24.75" customHeight="1">
      <c r="A798" s="1"/>
      <c r="B798" s="1"/>
      <c r="C798" s="1"/>
      <c r="D798" s="1"/>
      <c r="E798" s="1"/>
      <c r="F798" s="1"/>
      <c r="G798" s="1"/>
      <c r="H798" s="1"/>
      <c r="I798" s="1"/>
      <c r="J798" s="1"/>
      <c r="K798" s="1"/>
      <c r="L798" s="1"/>
      <c r="M798" s="1"/>
      <c r="N798" s="1"/>
      <c r="O798" s="1"/>
      <c r="P798" s="1"/>
      <c r="Q798" s="1"/>
      <c r="R798" s="1"/>
      <c r="S798" s="1"/>
      <c r="T798" s="1"/>
      <c r="U798" s="2"/>
      <c r="V798" s="1"/>
      <c r="W798" s="1"/>
      <c r="X798" s="1"/>
      <c r="Y798" s="1"/>
      <c r="Z798" s="1"/>
    </row>
    <row r="799" spans="1:26" ht="24.75" customHeight="1">
      <c r="A799" s="1"/>
      <c r="B799" s="1"/>
      <c r="C799" s="1"/>
      <c r="D799" s="1"/>
      <c r="E799" s="1"/>
      <c r="F799" s="1"/>
      <c r="G799" s="1"/>
      <c r="H799" s="1"/>
      <c r="I799" s="1"/>
      <c r="J799" s="1"/>
      <c r="K799" s="1"/>
      <c r="L799" s="1"/>
      <c r="M799" s="1"/>
      <c r="N799" s="1"/>
      <c r="O799" s="1"/>
      <c r="P799" s="1"/>
      <c r="Q799" s="1"/>
      <c r="R799" s="1"/>
      <c r="S799" s="1"/>
      <c r="T799" s="1"/>
      <c r="U799" s="2"/>
      <c r="V799" s="1"/>
      <c r="W799" s="1"/>
      <c r="X799" s="1"/>
      <c r="Y799" s="1"/>
      <c r="Z799" s="1"/>
    </row>
    <row r="800" spans="1:26" ht="24.75" customHeight="1">
      <c r="A800" s="1"/>
      <c r="B800" s="1"/>
      <c r="C800" s="1"/>
      <c r="D800" s="1"/>
      <c r="E800" s="1"/>
      <c r="F800" s="1"/>
      <c r="G800" s="1"/>
      <c r="H800" s="1"/>
      <c r="I800" s="1"/>
      <c r="J800" s="1"/>
      <c r="K800" s="1"/>
      <c r="L800" s="1"/>
      <c r="M800" s="1"/>
      <c r="N800" s="1"/>
      <c r="O800" s="1"/>
      <c r="P800" s="1"/>
      <c r="Q800" s="1"/>
      <c r="R800" s="1"/>
      <c r="S800" s="1"/>
      <c r="T800" s="1"/>
      <c r="U800" s="2"/>
      <c r="V800" s="1"/>
      <c r="W800" s="1"/>
      <c r="X800" s="1"/>
      <c r="Y800" s="1"/>
      <c r="Z800" s="1"/>
    </row>
    <row r="801" spans="1:26" ht="24.75" customHeight="1">
      <c r="A801" s="1"/>
      <c r="B801" s="1"/>
      <c r="C801" s="1"/>
      <c r="D801" s="1"/>
      <c r="E801" s="1"/>
      <c r="F801" s="1"/>
      <c r="G801" s="1"/>
      <c r="H801" s="1"/>
      <c r="I801" s="1"/>
      <c r="J801" s="1"/>
      <c r="K801" s="1"/>
      <c r="L801" s="1"/>
      <c r="M801" s="1"/>
      <c r="N801" s="1"/>
      <c r="O801" s="1"/>
      <c r="P801" s="1"/>
      <c r="Q801" s="1"/>
      <c r="R801" s="1"/>
      <c r="S801" s="1"/>
      <c r="T801" s="1"/>
      <c r="U801" s="2"/>
      <c r="V801" s="1"/>
      <c r="W801" s="1"/>
      <c r="X801" s="1"/>
      <c r="Y801" s="1"/>
      <c r="Z801" s="1"/>
    </row>
    <row r="802" spans="1:26" ht="24.75" customHeight="1">
      <c r="A802" s="1"/>
      <c r="B802" s="1"/>
      <c r="C802" s="1"/>
      <c r="D802" s="1"/>
      <c r="E802" s="1"/>
      <c r="F802" s="1"/>
      <c r="G802" s="1"/>
      <c r="H802" s="1"/>
      <c r="I802" s="1"/>
      <c r="J802" s="1"/>
      <c r="K802" s="1"/>
      <c r="L802" s="1"/>
      <c r="M802" s="1"/>
      <c r="N802" s="1"/>
      <c r="O802" s="1"/>
      <c r="P802" s="1"/>
      <c r="Q802" s="1"/>
      <c r="R802" s="1"/>
      <c r="S802" s="1"/>
      <c r="T802" s="1"/>
      <c r="U802" s="2"/>
      <c r="V802" s="1"/>
      <c r="W802" s="1"/>
      <c r="X802" s="1"/>
      <c r="Y802" s="1"/>
      <c r="Z802" s="1"/>
    </row>
    <row r="803" spans="1:26" ht="24.75" customHeight="1">
      <c r="A803" s="1"/>
      <c r="B803" s="1"/>
      <c r="C803" s="1"/>
      <c r="D803" s="1"/>
      <c r="E803" s="1"/>
      <c r="F803" s="1"/>
      <c r="G803" s="1"/>
      <c r="H803" s="1"/>
      <c r="I803" s="1"/>
      <c r="J803" s="1"/>
      <c r="K803" s="1"/>
      <c r="L803" s="1"/>
      <c r="M803" s="1"/>
      <c r="N803" s="1"/>
      <c r="O803" s="1"/>
      <c r="P803" s="1"/>
      <c r="Q803" s="1"/>
      <c r="R803" s="1"/>
      <c r="S803" s="1"/>
      <c r="T803" s="1"/>
      <c r="U803" s="2"/>
      <c r="V803" s="1"/>
      <c r="W803" s="1"/>
      <c r="X803" s="1"/>
      <c r="Y803" s="1"/>
      <c r="Z803" s="1"/>
    </row>
    <row r="804" spans="1:26" ht="24.75" customHeight="1">
      <c r="A804" s="1"/>
      <c r="B804" s="1"/>
      <c r="C804" s="1"/>
      <c r="D804" s="1"/>
      <c r="E804" s="1"/>
      <c r="F804" s="1"/>
      <c r="G804" s="1"/>
      <c r="H804" s="1"/>
      <c r="I804" s="1"/>
      <c r="J804" s="1"/>
      <c r="K804" s="1"/>
      <c r="L804" s="1"/>
      <c r="M804" s="1"/>
      <c r="N804" s="1"/>
      <c r="O804" s="1"/>
      <c r="P804" s="1"/>
      <c r="Q804" s="1"/>
      <c r="R804" s="1"/>
      <c r="S804" s="1"/>
      <c r="T804" s="1"/>
      <c r="U804" s="2"/>
      <c r="V804" s="1"/>
      <c r="W804" s="1"/>
      <c r="X804" s="1"/>
      <c r="Y804" s="1"/>
      <c r="Z804" s="1"/>
    </row>
    <row r="805" spans="1:26" ht="24.75" customHeight="1">
      <c r="A805" s="1"/>
      <c r="B805" s="1"/>
      <c r="C805" s="1"/>
      <c r="D805" s="1"/>
      <c r="E805" s="1"/>
      <c r="F805" s="1"/>
      <c r="G805" s="1"/>
      <c r="H805" s="1"/>
      <c r="I805" s="1"/>
      <c r="J805" s="1"/>
      <c r="K805" s="1"/>
      <c r="L805" s="1"/>
      <c r="M805" s="1"/>
      <c r="N805" s="1"/>
      <c r="O805" s="1"/>
      <c r="P805" s="1"/>
      <c r="Q805" s="1"/>
      <c r="R805" s="1"/>
      <c r="S805" s="1"/>
      <c r="T805" s="1"/>
      <c r="U805" s="2"/>
      <c r="V805" s="1"/>
      <c r="W805" s="1"/>
      <c r="X805" s="1"/>
      <c r="Y805" s="1"/>
      <c r="Z805" s="1"/>
    </row>
    <row r="806" spans="1:26" ht="24.75" customHeight="1">
      <c r="A806" s="1"/>
      <c r="B806" s="1"/>
      <c r="C806" s="1"/>
      <c r="D806" s="1"/>
      <c r="E806" s="1"/>
      <c r="F806" s="1"/>
      <c r="G806" s="1"/>
      <c r="H806" s="1"/>
      <c r="I806" s="1"/>
      <c r="J806" s="1"/>
      <c r="K806" s="1"/>
      <c r="L806" s="1"/>
      <c r="M806" s="1"/>
      <c r="N806" s="1"/>
      <c r="O806" s="1"/>
      <c r="P806" s="1"/>
      <c r="Q806" s="1"/>
      <c r="R806" s="1"/>
      <c r="S806" s="1"/>
      <c r="T806" s="1"/>
      <c r="U806" s="2"/>
      <c r="V806" s="1"/>
      <c r="W806" s="1"/>
      <c r="X806" s="1"/>
      <c r="Y806" s="1"/>
      <c r="Z806" s="1"/>
    </row>
    <row r="807" spans="1:26" ht="24.75" customHeight="1">
      <c r="A807" s="1"/>
      <c r="B807" s="1"/>
      <c r="C807" s="1"/>
      <c r="D807" s="1"/>
      <c r="E807" s="1"/>
      <c r="F807" s="1"/>
      <c r="G807" s="1"/>
      <c r="H807" s="1"/>
      <c r="I807" s="1"/>
      <c r="J807" s="1"/>
      <c r="K807" s="1"/>
      <c r="L807" s="1"/>
      <c r="M807" s="1"/>
      <c r="N807" s="1"/>
      <c r="O807" s="1"/>
      <c r="P807" s="1"/>
      <c r="Q807" s="1"/>
      <c r="R807" s="1"/>
      <c r="S807" s="1"/>
      <c r="T807" s="1"/>
      <c r="U807" s="2"/>
      <c r="V807" s="1"/>
      <c r="W807" s="1"/>
      <c r="X807" s="1"/>
      <c r="Y807" s="1"/>
      <c r="Z807" s="1"/>
    </row>
    <row r="808" spans="1:26" ht="24.75" customHeight="1">
      <c r="A808" s="1"/>
      <c r="B808" s="1"/>
      <c r="C808" s="1"/>
      <c r="D808" s="1"/>
      <c r="E808" s="1"/>
      <c r="F808" s="1"/>
      <c r="G808" s="1"/>
      <c r="H808" s="1"/>
      <c r="I808" s="1"/>
      <c r="J808" s="1"/>
      <c r="K808" s="1"/>
      <c r="L808" s="1"/>
      <c r="M808" s="1"/>
      <c r="N808" s="1"/>
      <c r="O808" s="1"/>
      <c r="P808" s="1"/>
      <c r="Q808" s="1"/>
      <c r="R808" s="1"/>
      <c r="S808" s="1"/>
      <c r="T808" s="1"/>
      <c r="U808" s="2"/>
      <c r="V808" s="1"/>
      <c r="W808" s="1"/>
      <c r="X808" s="1"/>
      <c r="Y808" s="1"/>
      <c r="Z808" s="1"/>
    </row>
    <row r="809" spans="1:26" ht="24.75" customHeight="1">
      <c r="A809" s="1"/>
      <c r="B809" s="1"/>
      <c r="C809" s="1"/>
      <c r="D809" s="1"/>
      <c r="E809" s="1"/>
      <c r="F809" s="1"/>
      <c r="G809" s="1"/>
      <c r="H809" s="1"/>
      <c r="I809" s="1"/>
      <c r="J809" s="1"/>
      <c r="K809" s="1"/>
      <c r="L809" s="1"/>
      <c r="M809" s="1"/>
      <c r="N809" s="1"/>
      <c r="O809" s="1"/>
      <c r="P809" s="1"/>
      <c r="Q809" s="1"/>
      <c r="R809" s="1"/>
      <c r="S809" s="1"/>
      <c r="T809" s="1"/>
      <c r="U809" s="2"/>
      <c r="V809" s="1"/>
      <c r="W809" s="1"/>
      <c r="X809" s="1"/>
      <c r="Y809" s="1"/>
      <c r="Z809" s="1"/>
    </row>
    <row r="810" spans="1:26" ht="24.75" customHeight="1">
      <c r="A810" s="1"/>
      <c r="B810" s="1"/>
      <c r="C810" s="1"/>
      <c r="D810" s="1"/>
      <c r="E810" s="1"/>
      <c r="F810" s="1"/>
      <c r="G810" s="1"/>
      <c r="H810" s="1"/>
      <c r="I810" s="1"/>
      <c r="J810" s="1"/>
      <c r="K810" s="1"/>
      <c r="L810" s="1"/>
      <c r="M810" s="1"/>
      <c r="N810" s="1"/>
      <c r="O810" s="1"/>
      <c r="P810" s="1"/>
      <c r="Q810" s="1"/>
      <c r="R810" s="1"/>
      <c r="S810" s="1"/>
      <c r="T810" s="1"/>
      <c r="U810" s="2"/>
      <c r="V810" s="1"/>
      <c r="W810" s="1"/>
      <c r="X810" s="1"/>
      <c r="Y810" s="1"/>
      <c r="Z810" s="1"/>
    </row>
    <row r="811" spans="1:26" ht="24.75" customHeight="1">
      <c r="A811" s="1"/>
      <c r="B811" s="1"/>
      <c r="C811" s="1"/>
      <c r="D811" s="1"/>
      <c r="E811" s="1"/>
      <c r="F811" s="1"/>
      <c r="G811" s="1"/>
      <c r="H811" s="1"/>
      <c r="I811" s="1"/>
      <c r="J811" s="1"/>
      <c r="K811" s="1"/>
      <c r="L811" s="1"/>
      <c r="M811" s="1"/>
      <c r="N811" s="1"/>
      <c r="O811" s="1"/>
      <c r="P811" s="1"/>
      <c r="Q811" s="1"/>
      <c r="R811" s="1"/>
      <c r="S811" s="1"/>
      <c r="T811" s="1"/>
      <c r="U811" s="2"/>
      <c r="V811" s="1"/>
      <c r="W811" s="1"/>
      <c r="X811" s="1"/>
      <c r="Y811" s="1"/>
      <c r="Z811" s="1"/>
    </row>
    <row r="812" spans="1:26" ht="24.75" customHeight="1">
      <c r="A812" s="1"/>
      <c r="B812" s="1"/>
      <c r="C812" s="1"/>
      <c r="D812" s="1"/>
      <c r="E812" s="1"/>
      <c r="F812" s="1"/>
      <c r="G812" s="1"/>
      <c r="H812" s="1"/>
      <c r="I812" s="1"/>
      <c r="J812" s="1"/>
      <c r="K812" s="1"/>
      <c r="L812" s="1"/>
      <c r="M812" s="1"/>
      <c r="N812" s="1"/>
      <c r="O812" s="1"/>
      <c r="P812" s="1"/>
      <c r="Q812" s="1"/>
      <c r="R812" s="1"/>
      <c r="S812" s="1"/>
      <c r="T812" s="1"/>
      <c r="U812" s="2"/>
      <c r="V812" s="1"/>
      <c r="W812" s="1"/>
      <c r="X812" s="1"/>
      <c r="Y812" s="1"/>
      <c r="Z812" s="1"/>
    </row>
    <row r="813" spans="1:26" ht="24.75" customHeight="1">
      <c r="A813" s="1"/>
      <c r="B813" s="1"/>
      <c r="C813" s="1"/>
      <c r="D813" s="1"/>
      <c r="E813" s="1"/>
      <c r="F813" s="1"/>
      <c r="G813" s="1"/>
      <c r="H813" s="1"/>
      <c r="I813" s="1"/>
      <c r="J813" s="1"/>
      <c r="K813" s="1"/>
      <c r="L813" s="1"/>
      <c r="M813" s="1"/>
      <c r="N813" s="1"/>
      <c r="O813" s="1"/>
      <c r="P813" s="1"/>
      <c r="Q813" s="1"/>
      <c r="R813" s="1"/>
      <c r="S813" s="1"/>
      <c r="T813" s="1"/>
      <c r="U813" s="2"/>
      <c r="V813" s="1"/>
      <c r="W813" s="1"/>
      <c r="X813" s="1"/>
      <c r="Y813" s="1"/>
      <c r="Z813" s="1"/>
    </row>
    <row r="814" spans="1:26" ht="24.75" customHeight="1">
      <c r="A814" s="1"/>
      <c r="B814" s="1"/>
      <c r="C814" s="1"/>
      <c r="D814" s="1"/>
      <c r="E814" s="1"/>
      <c r="F814" s="1"/>
      <c r="G814" s="1"/>
      <c r="H814" s="1"/>
      <c r="I814" s="1"/>
      <c r="J814" s="1"/>
      <c r="K814" s="1"/>
      <c r="L814" s="1"/>
      <c r="M814" s="1"/>
      <c r="N814" s="1"/>
      <c r="O814" s="1"/>
      <c r="P814" s="1"/>
      <c r="Q814" s="1"/>
      <c r="R814" s="1"/>
      <c r="S814" s="1"/>
      <c r="T814" s="1"/>
      <c r="U814" s="2"/>
      <c r="V814" s="1"/>
      <c r="W814" s="1"/>
      <c r="X814" s="1"/>
      <c r="Y814" s="1"/>
      <c r="Z814" s="1"/>
    </row>
    <row r="815" spans="1:26" ht="24.75" customHeight="1">
      <c r="A815" s="1"/>
      <c r="B815" s="1"/>
      <c r="C815" s="1"/>
      <c r="D815" s="1"/>
      <c r="E815" s="1"/>
      <c r="F815" s="1"/>
      <c r="G815" s="1"/>
      <c r="H815" s="1"/>
      <c r="I815" s="1"/>
      <c r="J815" s="1"/>
      <c r="K815" s="1"/>
      <c r="L815" s="1"/>
      <c r="M815" s="1"/>
      <c r="N815" s="1"/>
      <c r="O815" s="1"/>
      <c r="P815" s="1"/>
      <c r="Q815" s="1"/>
      <c r="R815" s="1"/>
      <c r="S815" s="1"/>
      <c r="T815" s="1"/>
      <c r="U815" s="2"/>
      <c r="V815" s="1"/>
      <c r="W815" s="1"/>
      <c r="X815" s="1"/>
      <c r="Y815" s="1"/>
      <c r="Z815" s="1"/>
    </row>
    <row r="816" spans="1:26" ht="24.75" customHeight="1">
      <c r="A816" s="1"/>
      <c r="B816" s="1"/>
      <c r="C816" s="1"/>
      <c r="D816" s="1"/>
      <c r="E816" s="1"/>
      <c r="F816" s="1"/>
      <c r="G816" s="1"/>
      <c r="H816" s="1"/>
      <c r="I816" s="1"/>
      <c r="J816" s="1"/>
      <c r="K816" s="1"/>
      <c r="L816" s="1"/>
      <c r="M816" s="1"/>
      <c r="N816" s="1"/>
      <c r="O816" s="1"/>
      <c r="P816" s="1"/>
      <c r="Q816" s="1"/>
      <c r="R816" s="1"/>
      <c r="S816" s="1"/>
      <c r="T816" s="1"/>
      <c r="U816" s="2"/>
      <c r="V816" s="1"/>
      <c r="W816" s="1"/>
      <c r="X816" s="1"/>
      <c r="Y816" s="1"/>
      <c r="Z816" s="1"/>
    </row>
    <row r="817" spans="1:26" ht="24.75" customHeight="1">
      <c r="A817" s="1"/>
      <c r="B817" s="1"/>
      <c r="C817" s="1"/>
      <c r="D817" s="1"/>
      <c r="E817" s="1"/>
      <c r="F817" s="1"/>
      <c r="G817" s="1"/>
      <c r="H817" s="1"/>
      <c r="I817" s="1"/>
      <c r="J817" s="1"/>
      <c r="K817" s="1"/>
      <c r="L817" s="1"/>
      <c r="M817" s="1"/>
      <c r="N817" s="1"/>
      <c r="O817" s="1"/>
      <c r="P817" s="1"/>
      <c r="Q817" s="1"/>
      <c r="R817" s="1"/>
      <c r="S817" s="1"/>
      <c r="T817" s="1"/>
      <c r="U817" s="2"/>
      <c r="V817" s="1"/>
      <c r="W817" s="1"/>
      <c r="X817" s="1"/>
      <c r="Y817" s="1"/>
      <c r="Z817" s="1"/>
    </row>
    <row r="818" spans="1:26" ht="24.75" customHeight="1">
      <c r="A818" s="1"/>
      <c r="B818" s="1"/>
      <c r="C818" s="1"/>
      <c r="D818" s="1"/>
      <c r="E818" s="1"/>
      <c r="F818" s="1"/>
      <c r="G818" s="1"/>
      <c r="H818" s="1"/>
      <c r="I818" s="1"/>
      <c r="J818" s="1"/>
      <c r="K818" s="1"/>
      <c r="L818" s="1"/>
      <c r="M818" s="1"/>
      <c r="N818" s="1"/>
      <c r="O818" s="1"/>
      <c r="P818" s="1"/>
      <c r="Q818" s="1"/>
      <c r="R818" s="1"/>
      <c r="S818" s="1"/>
      <c r="T818" s="1"/>
      <c r="U818" s="2"/>
      <c r="V818" s="1"/>
      <c r="W818" s="1"/>
      <c r="X818" s="1"/>
      <c r="Y818" s="1"/>
      <c r="Z818" s="1"/>
    </row>
    <row r="819" spans="1:26" ht="24.75" customHeight="1">
      <c r="A819" s="1"/>
      <c r="B819" s="1"/>
      <c r="C819" s="1"/>
      <c r="D819" s="1"/>
      <c r="E819" s="1"/>
      <c r="F819" s="1"/>
      <c r="G819" s="1"/>
      <c r="H819" s="1"/>
      <c r="I819" s="1"/>
      <c r="J819" s="1"/>
      <c r="K819" s="1"/>
      <c r="L819" s="1"/>
      <c r="M819" s="1"/>
      <c r="N819" s="1"/>
      <c r="O819" s="1"/>
      <c r="P819" s="1"/>
      <c r="Q819" s="1"/>
      <c r="R819" s="1"/>
      <c r="S819" s="1"/>
      <c r="T819" s="1"/>
      <c r="U819" s="2"/>
      <c r="V819" s="1"/>
      <c r="W819" s="1"/>
      <c r="X819" s="1"/>
      <c r="Y819" s="1"/>
      <c r="Z819" s="1"/>
    </row>
    <row r="820" spans="1:26" ht="24.75" customHeight="1">
      <c r="A820" s="1"/>
      <c r="B820" s="1"/>
      <c r="C820" s="1"/>
      <c r="D820" s="1"/>
      <c r="E820" s="1"/>
      <c r="F820" s="1"/>
      <c r="G820" s="1"/>
      <c r="H820" s="1"/>
      <c r="I820" s="1"/>
      <c r="J820" s="1"/>
      <c r="K820" s="1"/>
      <c r="L820" s="1"/>
      <c r="M820" s="1"/>
      <c r="N820" s="1"/>
      <c r="O820" s="1"/>
      <c r="P820" s="1"/>
      <c r="Q820" s="1"/>
      <c r="R820" s="1"/>
      <c r="S820" s="1"/>
      <c r="T820" s="1"/>
      <c r="U820" s="2"/>
      <c r="V820" s="1"/>
      <c r="W820" s="1"/>
      <c r="X820" s="1"/>
      <c r="Y820" s="1"/>
      <c r="Z820" s="1"/>
    </row>
    <row r="821" spans="1:26" ht="24.75" customHeight="1">
      <c r="A821" s="1"/>
      <c r="B821" s="1"/>
      <c r="C821" s="1"/>
      <c r="D821" s="1"/>
      <c r="E821" s="1"/>
      <c r="F821" s="1"/>
      <c r="G821" s="1"/>
      <c r="H821" s="1"/>
      <c r="I821" s="1"/>
      <c r="J821" s="1"/>
      <c r="K821" s="1"/>
      <c r="L821" s="1"/>
      <c r="M821" s="1"/>
      <c r="N821" s="1"/>
      <c r="O821" s="1"/>
      <c r="P821" s="1"/>
      <c r="Q821" s="1"/>
      <c r="R821" s="1"/>
      <c r="S821" s="1"/>
      <c r="T821" s="1"/>
      <c r="U821" s="2"/>
      <c r="V821" s="1"/>
      <c r="W821" s="1"/>
      <c r="X821" s="1"/>
      <c r="Y821" s="1"/>
      <c r="Z821" s="1"/>
    </row>
    <row r="822" spans="1:26" ht="24.75" customHeight="1">
      <c r="A822" s="1"/>
      <c r="B822" s="1"/>
      <c r="C822" s="1"/>
      <c r="D822" s="1"/>
      <c r="E822" s="1"/>
      <c r="F822" s="1"/>
      <c r="G822" s="1"/>
      <c r="H822" s="1"/>
      <c r="I822" s="1"/>
      <c r="J822" s="1"/>
      <c r="K822" s="1"/>
      <c r="L822" s="1"/>
      <c r="M822" s="1"/>
      <c r="N822" s="1"/>
      <c r="O822" s="1"/>
      <c r="P822" s="1"/>
      <c r="Q822" s="1"/>
      <c r="R822" s="1"/>
      <c r="S822" s="1"/>
      <c r="T822" s="1"/>
      <c r="U822" s="2"/>
      <c r="V822" s="1"/>
      <c r="W822" s="1"/>
      <c r="X822" s="1"/>
      <c r="Y822" s="1"/>
      <c r="Z822" s="1"/>
    </row>
    <row r="823" spans="1:26" ht="24.75" customHeight="1">
      <c r="A823" s="1"/>
      <c r="B823" s="1"/>
      <c r="C823" s="1"/>
      <c r="D823" s="1"/>
      <c r="E823" s="1"/>
      <c r="F823" s="1"/>
      <c r="G823" s="1"/>
      <c r="H823" s="1"/>
      <c r="I823" s="1"/>
      <c r="J823" s="1"/>
      <c r="K823" s="1"/>
      <c r="L823" s="1"/>
      <c r="M823" s="1"/>
      <c r="N823" s="1"/>
      <c r="O823" s="1"/>
      <c r="P823" s="1"/>
      <c r="Q823" s="1"/>
      <c r="R823" s="1"/>
      <c r="S823" s="1"/>
      <c r="T823" s="1"/>
      <c r="U823" s="2"/>
      <c r="V823" s="1"/>
      <c r="W823" s="1"/>
      <c r="X823" s="1"/>
      <c r="Y823" s="1"/>
      <c r="Z823" s="1"/>
    </row>
    <row r="824" spans="1:26" ht="24.75" customHeight="1">
      <c r="A824" s="1"/>
      <c r="B824" s="1"/>
      <c r="C824" s="1"/>
      <c r="D824" s="1"/>
      <c r="E824" s="1"/>
      <c r="F824" s="1"/>
      <c r="G824" s="1"/>
      <c r="H824" s="1"/>
      <c r="I824" s="1"/>
      <c r="J824" s="1"/>
      <c r="K824" s="1"/>
      <c r="L824" s="1"/>
      <c r="M824" s="1"/>
      <c r="N824" s="1"/>
      <c r="O824" s="1"/>
      <c r="P824" s="1"/>
      <c r="Q824" s="1"/>
      <c r="R824" s="1"/>
      <c r="S824" s="1"/>
      <c r="T824" s="1"/>
      <c r="U824" s="2"/>
      <c r="V824" s="1"/>
      <c r="W824" s="1"/>
      <c r="X824" s="1"/>
      <c r="Y824" s="1"/>
      <c r="Z824" s="1"/>
    </row>
    <row r="825" spans="1:26" ht="24.75" customHeight="1">
      <c r="A825" s="1"/>
      <c r="B825" s="1"/>
      <c r="C825" s="1"/>
      <c r="D825" s="1"/>
      <c r="E825" s="1"/>
      <c r="F825" s="1"/>
      <c r="G825" s="1"/>
      <c r="H825" s="1"/>
      <c r="I825" s="1"/>
      <c r="J825" s="1"/>
      <c r="K825" s="1"/>
      <c r="L825" s="1"/>
      <c r="M825" s="1"/>
      <c r="N825" s="1"/>
      <c r="O825" s="1"/>
      <c r="P825" s="1"/>
      <c r="Q825" s="1"/>
      <c r="R825" s="1"/>
      <c r="S825" s="1"/>
      <c r="T825" s="1"/>
      <c r="U825" s="2"/>
      <c r="V825" s="1"/>
      <c r="W825" s="1"/>
      <c r="X825" s="1"/>
      <c r="Y825" s="1"/>
      <c r="Z825" s="1"/>
    </row>
    <row r="826" spans="1:26" ht="24.75" customHeight="1">
      <c r="A826" s="1"/>
      <c r="B826" s="1"/>
      <c r="C826" s="1"/>
      <c r="D826" s="1"/>
      <c r="E826" s="1"/>
      <c r="F826" s="1"/>
      <c r="G826" s="1"/>
      <c r="H826" s="1"/>
      <c r="I826" s="1"/>
      <c r="J826" s="1"/>
      <c r="K826" s="1"/>
      <c r="L826" s="1"/>
      <c r="M826" s="1"/>
      <c r="N826" s="1"/>
      <c r="O826" s="1"/>
      <c r="P826" s="1"/>
      <c r="Q826" s="1"/>
      <c r="R826" s="1"/>
      <c r="S826" s="1"/>
      <c r="T826" s="1"/>
      <c r="U826" s="2"/>
      <c r="V826" s="1"/>
      <c r="W826" s="1"/>
      <c r="X826" s="1"/>
      <c r="Y826" s="1"/>
      <c r="Z826" s="1"/>
    </row>
    <row r="827" spans="1:26" ht="24.75" customHeight="1">
      <c r="A827" s="1"/>
      <c r="B827" s="1"/>
      <c r="C827" s="1"/>
      <c r="D827" s="1"/>
      <c r="E827" s="1"/>
      <c r="F827" s="1"/>
      <c r="G827" s="1"/>
      <c r="H827" s="1"/>
      <c r="I827" s="1"/>
      <c r="J827" s="1"/>
      <c r="K827" s="1"/>
      <c r="L827" s="1"/>
      <c r="M827" s="1"/>
      <c r="N827" s="1"/>
      <c r="O827" s="1"/>
      <c r="P827" s="1"/>
      <c r="Q827" s="1"/>
      <c r="R827" s="1"/>
      <c r="S827" s="1"/>
      <c r="T827" s="1"/>
      <c r="U827" s="2"/>
      <c r="V827" s="1"/>
      <c r="W827" s="1"/>
      <c r="X827" s="1"/>
      <c r="Y827" s="1"/>
      <c r="Z827" s="1"/>
    </row>
    <row r="828" spans="1:26" ht="24.75" customHeight="1">
      <c r="A828" s="1"/>
      <c r="B828" s="1"/>
      <c r="C828" s="1"/>
      <c r="D828" s="1"/>
      <c r="E828" s="1"/>
      <c r="F828" s="1"/>
      <c r="G828" s="1"/>
      <c r="H828" s="1"/>
      <c r="I828" s="1"/>
      <c r="J828" s="1"/>
      <c r="K828" s="1"/>
      <c r="L828" s="1"/>
      <c r="M828" s="1"/>
      <c r="N828" s="1"/>
      <c r="O828" s="1"/>
      <c r="P828" s="1"/>
      <c r="Q828" s="1"/>
      <c r="R828" s="1"/>
      <c r="S828" s="1"/>
      <c r="T828" s="1"/>
      <c r="U828" s="2"/>
      <c r="V828" s="1"/>
      <c r="W828" s="1"/>
      <c r="X828" s="1"/>
      <c r="Y828" s="1"/>
      <c r="Z828" s="1"/>
    </row>
    <row r="829" spans="1:26" ht="24.75" customHeight="1">
      <c r="A829" s="1"/>
      <c r="B829" s="1"/>
      <c r="C829" s="1"/>
      <c r="D829" s="1"/>
      <c r="E829" s="1"/>
      <c r="F829" s="1"/>
      <c r="G829" s="1"/>
      <c r="H829" s="1"/>
      <c r="I829" s="1"/>
      <c r="J829" s="1"/>
      <c r="K829" s="1"/>
      <c r="L829" s="1"/>
      <c r="M829" s="1"/>
      <c r="N829" s="1"/>
      <c r="O829" s="1"/>
      <c r="P829" s="1"/>
      <c r="Q829" s="1"/>
      <c r="R829" s="1"/>
      <c r="S829" s="1"/>
      <c r="T829" s="1"/>
      <c r="U829" s="2"/>
      <c r="V829" s="1"/>
      <c r="W829" s="1"/>
      <c r="X829" s="1"/>
      <c r="Y829" s="1"/>
      <c r="Z829" s="1"/>
    </row>
    <row r="830" spans="1:26" ht="24.75" customHeight="1">
      <c r="A830" s="1"/>
      <c r="B830" s="1"/>
      <c r="C830" s="1"/>
      <c r="D830" s="1"/>
      <c r="E830" s="1"/>
      <c r="F830" s="1"/>
      <c r="G830" s="1"/>
      <c r="H830" s="1"/>
      <c r="I830" s="1"/>
      <c r="J830" s="1"/>
      <c r="K830" s="1"/>
      <c r="L830" s="1"/>
      <c r="M830" s="1"/>
      <c r="N830" s="1"/>
      <c r="O830" s="1"/>
      <c r="P830" s="1"/>
      <c r="Q830" s="1"/>
      <c r="R830" s="1"/>
      <c r="S830" s="1"/>
      <c r="T830" s="1"/>
      <c r="U830" s="2"/>
      <c r="V830" s="1"/>
      <c r="W830" s="1"/>
      <c r="X830" s="1"/>
      <c r="Y830" s="1"/>
      <c r="Z830" s="1"/>
    </row>
    <row r="831" spans="1:26" ht="24.75" customHeight="1">
      <c r="A831" s="1"/>
      <c r="B831" s="1"/>
      <c r="C831" s="1"/>
      <c r="D831" s="1"/>
      <c r="E831" s="1"/>
      <c r="F831" s="1"/>
      <c r="G831" s="1"/>
      <c r="H831" s="1"/>
      <c r="I831" s="1"/>
      <c r="J831" s="1"/>
      <c r="K831" s="1"/>
      <c r="L831" s="1"/>
      <c r="M831" s="1"/>
      <c r="N831" s="1"/>
      <c r="O831" s="1"/>
      <c r="P831" s="1"/>
      <c r="Q831" s="1"/>
      <c r="R831" s="1"/>
      <c r="S831" s="1"/>
      <c r="T831" s="1"/>
      <c r="U831" s="2"/>
      <c r="V831" s="1"/>
      <c r="W831" s="1"/>
      <c r="X831" s="1"/>
      <c r="Y831" s="1"/>
      <c r="Z831" s="1"/>
    </row>
    <row r="832" spans="1:26" ht="24.75" customHeight="1">
      <c r="A832" s="1"/>
      <c r="B832" s="1"/>
      <c r="C832" s="1"/>
      <c r="D832" s="1"/>
      <c r="E832" s="1"/>
      <c r="F832" s="1"/>
      <c r="G832" s="1"/>
      <c r="H832" s="1"/>
      <c r="I832" s="1"/>
      <c r="J832" s="1"/>
      <c r="K832" s="1"/>
      <c r="L832" s="1"/>
      <c r="M832" s="1"/>
      <c r="N832" s="1"/>
      <c r="O832" s="1"/>
      <c r="P832" s="1"/>
      <c r="Q832" s="1"/>
      <c r="R832" s="1"/>
      <c r="S832" s="1"/>
      <c r="T832" s="1"/>
      <c r="U832" s="2"/>
      <c r="V832" s="1"/>
      <c r="W832" s="1"/>
      <c r="X832" s="1"/>
      <c r="Y832" s="1"/>
      <c r="Z832" s="1"/>
    </row>
    <row r="833" spans="1:26" ht="24.75" customHeight="1">
      <c r="A833" s="1"/>
      <c r="B833" s="1"/>
      <c r="C833" s="1"/>
      <c r="D833" s="1"/>
      <c r="E833" s="1"/>
      <c r="F833" s="1"/>
      <c r="G833" s="1"/>
      <c r="H833" s="1"/>
      <c r="I833" s="1"/>
      <c r="J833" s="1"/>
      <c r="K833" s="1"/>
      <c r="L833" s="1"/>
      <c r="M833" s="1"/>
      <c r="N833" s="1"/>
      <c r="O833" s="1"/>
      <c r="P833" s="1"/>
      <c r="Q833" s="1"/>
      <c r="R833" s="1"/>
      <c r="S833" s="1"/>
      <c r="T833" s="1"/>
      <c r="U833" s="2"/>
      <c r="V833" s="1"/>
      <c r="W833" s="1"/>
      <c r="X833" s="1"/>
      <c r="Y833" s="1"/>
      <c r="Z833" s="1"/>
    </row>
    <row r="834" spans="1:26" ht="24.75" customHeight="1">
      <c r="A834" s="1"/>
      <c r="B834" s="1"/>
      <c r="C834" s="1"/>
      <c r="D834" s="1"/>
      <c r="E834" s="1"/>
      <c r="F834" s="1"/>
      <c r="G834" s="1"/>
      <c r="H834" s="1"/>
      <c r="I834" s="1"/>
      <c r="J834" s="1"/>
      <c r="K834" s="1"/>
      <c r="L834" s="1"/>
      <c r="M834" s="1"/>
      <c r="N834" s="1"/>
      <c r="O834" s="1"/>
      <c r="P834" s="1"/>
      <c r="Q834" s="1"/>
      <c r="R834" s="1"/>
      <c r="S834" s="1"/>
      <c r="T834" s="1"/>
      <c r="U834" s="2"/>
      <c r="V834" s="1"/>
      <c r="W834" s="1"/>
      <c r="X834" s="1"/>
      <c r="Y834" s="1"/>
      <c r="Z834" s="1"/>
    </row>
    <row r="835" spans="1:26" ht="24.75" customHeight="1">
      <c r="A835" s="1"/>
      <c r="B835" s="1"/>
      <c r="C835" s="1"/>
      <c r="D835" s="1"/>
      <c r="E835" s="1"/>
      <c r="F835" s="1"/>
      <c r="G835" s="1"/>
      <c r="H835" s="1"/>
      <c r="I835" s="1"/>
      <c r="J835" s="1"/>
      <c r="K835" s="1"/>
      <c r="L835" s="1"/>
      <c r="M835" s="1"/>
      <c r="N835" s="1"/>
      <c r="O835" s="1"/>
      <c r="P835" s="1"/>
      <c r="Q835" s="1"/>
      <c r="R835" s="1"/>
      <c r="S835" s="1"/>
      <c r="T835" s="1"/>
      <c r="U835" s="2"/>
      <c r="V835" s="1"/>
      <c r="W835" s="1"/>
      <c r="X835" s="1"/>
      <c r="Y835" s="1"/>
      <c r="Z835" s="1"/>
    </row>
    <row r="836" spans="1:26" ht="24.75" customHeight="1">
      <c r="A836" s="1"/>
      <c r="B836" s="1"/>
      <c r="C836" s="1"/>
      <c r="D836" s="1"/>
      <c r="E836" s="1"/>
      <c r="F836" s="1"/>
      <c r="G836" s="1"/>
      <c r="H836" s="1"/>
      <c r="I836" s="1"/>
      <c r="J836" s="1"/>
      <c r="K836" s="1"/>
      <c r="L836" s="1"/>
      <c r="M836" s="1"/>
      <c r="N836" s="1"/>
      <c r="O836" s="1"/>
      <c r="P836" s="1"/>
      <c r="Q836" s="1"/>
      <c r="R836" s="1"/>
      <c r="S836" s="1"/>
      <c r="T836" s="1"/>
      <c r="U836" s="2"/>
      <c r="V836" s="1"/>
      <c r="W836" s="1"/>
      <c r="X836" s="1"/>
      <c r="Y836" s="1"/>
      <c r="Z836" s="1"/>
    </row>
    <row r="837" spans="1:26" ht="24.75" customHeight="1">
      <c r="A837" s="1"/>
      <c r="B837" s="1"/>
      <c r="C837" s="1"/>
      <c r="D837" s="1"/>
      <c r="E837" s="1"/>
      <c r="F837" s="1"/>
      <c r="G837" s="1"/>
      <c r="H837" s="1"/>
      <c r="I837" s="1"/>
      <c r="J837" s="1"/>
      <c r="K837" s="1"/>
      <c r="L837" s="1"/>
      <c r="M837" s="1"/>
      <c r="N837" s="1"/>
      <c r="O837" s="1"/>
      <c r="P837" s="1"/>
      <c r="Q837" s="1"/>
      <c r="R837" s="1"/>
      <c r="S837" s="1"/>
      <c r="T837" s="1"/>
      <c r="U837" s="2"/>
      <c r="V837" s="1"/>
      <c r="W837" s="1"/>
      <c r="X837" s="1"/>
      <c r="Y837" s="1"/>
      <c r="Z837" s="1"/>
    </row>
    <row r="838" spans="1:26" ht="24.75" customHeight="1">
      <c r="A838" s="1"/>
      <c r="B838" s="1"/>
      <c r="C838" s="1"/>
      <c r="D838" s="1"/>
      <c r="E838" s="1"/>
      <c r="F838" s="1"/>
      <c r="G838" s="1"/>
      <c r="H838" s="1"/>
      <c r="I838" s="1"/>
      <c r="J838" s="1"/>
      <c r="K838" s="1"/>
      <c r="L838" s="1"/>
      <c r="M838" s="1"/>
      <c r="N838" s="1"/>
      <c r="O838" s="1"/>
      <c r="P838" s="1"/>
      <c r="Q838" s="1"/>
      <c r="R838" s="1"/>
      <c r="S838" s="1"/>
      <c r="T838" s="1"/>
      <c r="U838" s="2"/>
      <c r="V838" s="1"/>
      <c r="W838" s="1"/>
      <c r="X838" s="1"/>
      <c r="Y838" s="1"/>
      <c r="Z838" s="1"/>
    </row>
    <row r="839" spans="1:26" ht="24.75" customHeight="1">
      <c r="A839" s="1"/>
      <c r="B839" s="1"/>
      <c r="C839" s="1"/>
      <c r="D839" s="1"/>
      <c r="E839" s="1"/>
      <c r="F839" s="1"/>
      <c r="G839" s="1"/>
      <c r="H839" s="1"/>
      <c r="I839" s="1"/>
      <c r="J839" s="1"/>
      <c r="K839" s="1"/>
      <c r="L839" s="1"/>
      <c r="M839" s="1"/>
      <c r="N839" s="1"/>
      <c r="O839" s="1"/>
      <c r="P839" s="1"/>
      <c r="Q839" s="1"/>
      <c r="R839" s="1"/>
      <c r="S839" s="1"/>
      <c r="T839" s="1"/>
      <c r="U839" s="2"/>
      <c r="V839" s="1"/>
      <c r="W839" s="1"/>
      <c r="X839" s="1"/>
      <c r="Y839" s="1"/>
      <c r="Z839" s="1"/>
    </row>
    <row r="840" spans="1:26" ht="24.75" customHeight="1">
      <c r="A840" s="1"/>
      <c r="B840" s="1"/>
      <c r="C840" s="1"/>
      <c r="D840" s="1"/>
      <c r="E840" s="1"/>
      <c r="F840" s="1"/>
      <c r="G840" s="1"/>
      <c r="H840" s="1"/>
      <c r="I840" s="1"/>
      <c r="J840" s="1"/>
      <c r="K840" s="1"/>
      <c r="L840" s="1"/>
      <c r="M840" s="1"/>
      <c r="N840" s="1"/>
      <c r="O840" s="1"/>
      <c r="P840" s="1"/>
      <c r="Q840" s="1"/>
      <c r="R840" s="1"/>
      <c r="S840" s="1"/>
      <c r="T840" s="1"/>
      <c r="U840" s="2"/>
      <c r="V840" s="1"/>
      <c r="W840" s="1"/>
      <c r="X840" s="1"/>
      <c r="Y840" s="1"/>
      <c r="Z840" s="1"/>
    </row>
    <row r="841" spans="1:26" ht="24.75" customHeight="1">
      <c r="A841" s="1"/>
      <c r="B841" s="1"/>
      <c r="C841" s="1"/>
      <c r="D841" s="1"/>
      <c r="E841" s="1"/>
      <c r="F841" s="1"/>
      <c r="G841" s="1"/>
      <c r="H841" s="1"/>
      <c r="I841" s="1"/>
      <c r="J841" s="1"/>
      <c r="K841" s="1"/>
      <c r="L841" s="1"/>
      <c r="M841" s="1"/>
      <c r="N841" s="1"/>
      <c r="O841" s="1"/>
      <c r="P841" s="1"/>
      <c r="Q841" s="1"/>
      <c r="R841" s="1"/>
      <c r="S841" s="1"/>
      <c r="T841" s="1"/>
      <c r="U841" s="2"/>
      <c r="V841" s="1"/>
      <c r="W841" s="1"/>
      <c r="X841" s="1"/>
      <c r="Y841" s="1"/>
      <c r="Z841" s="1"/>
    </row>
    <row r="842" spans="1:26" ht="24.75" customHeight="1">
      <c r="A842" s="1"/>
      <c r="B842" s="1"/>
      <c r="C842" s="1"/>
      <c r="D842" s="1"/>
      <c r="E842" s="1"/>
      <c r="F842" s="1"/>
      <c r="G842" s="1"/>
      <c r="H842" s="1"/>
      <c r="I842" s="1"/>
      <c r="J842" s="1"/>
      <c r="K842" s="1"/>
      <c r="L842" s="1"/>
      <c r="M842" s="1"/>
      <c r="N842" s="1"/>
      <c r="O842" s="1"/>
      <c r="P842" s="1"/>
      <c r="Q842" s="1"/>
      <c r="R842" s="1"/>
      <c r="S842" s="1"/>
      <c r="T842" s="1"/>
      <c r="U842" s="2"/>
      <c r="V842" s="1"/>
      <c r="W842" s="1"/>
      <c r="X842" s="1"/>
      <c r="Y842" s="1"/>
      <c r="Z842" s="1"/>
    </row>
    <row r="843" spans="1:26" ht="24.75" customHeight="1">
      <c r="A843" s="1"/>
      <c r="B843" s="1"/>
      <c r="C843" s="1"/>
      <c r="D843" s="1"/>
      <c r="E843" s="1"/>
      <c r="F843" s="1"/>
      <c r="G843" s="1"/>
      <c r="H843" s="1"/>
      <c r="I843" s="1"/>
      <c r="J843" s="1"/>
      <c r="K843" s="1"/>
      <c r="L843" s="1"/>
      <c r="M843" s="1"/>
      <c r="N843" s="1"/>
      <c r="O843" s="1"/>
      <c r="P843" s="1"/>
      <c r="Q843" s="1"/>
      <c r="R843" s="1"/>
      <c r="S843" s="1"/>
      <c r="T843" s="1"/>
      <c r="U843" s="2"/>
      <c r="V843" s="1"/>
      <c r="W843" s="1"/>
      <c r="X843" s="1"/>
      <c r="Y843" s="1"/>
      <c r="Z843" s="1"/>
    </row>
    <row r="844" spans="1:26" ht="24.75" customHeight="1">
      <c r="A844" s="1"/>
      <c r="B844" s="1"/>
      <c r="C844" s="1"/>
      <c r="D844" s="1"/>
      <c r="E844" s="1"/>
      <c r="F844" s="1"/>
      <c r="G844" s="1"/>
      <c r="H844" s="1"/>
      <c r="I844" s="1"/>
      <c r="J844" s="1"/>
      <c r="K844" s="1"/>
      <c r="L844" s="1"/>
      <c r="M844" s="1"/>
      <c r="N844" s="1"/>
      <c r="O844" s="1"/>
      <c r="P844" s="1"/>
      <c r="Q844" s="1"/>
      <c r="R844" s="1"/>
      <c r="S844" s="1"/>
      <c r="T844" s="1"/>
      <c r="U844" s="2"/>
      <c r="V844" s="1"/>
      <c r="W844" s="1"/>
      <c r="X844" s="1"/>
      <c r="Y844" s="1"/>
      <c r="Z844" s="1"/>
    </row>
    <row r="845" spans="1:26" ht="24.75" customHeight="1">
      <c r="A845" s="1"/>
      <c r="B845" s="1"/>
      <c r="C845" s="1"/>
      <c r="D845" s="1"/>
      <c r="E845" s="1"/>
      <c r="F845" s="1"/>
      <c r="G845" s="1"/>
      <c r="H845" s="1"/>
      <c r="I845" s="1"/>
      <c r="J845" s="1"/>
      <c r="K845" s="1"/>
      <c r="L845" s="1"/>
      <c r="M845" s="1"/>
      <c r="N845" s="1"/>
      <c r="O845" s="1"/>
      <c r="P845" s="1"/>
      <c r="Q845" s="1"/>
      <c r="R845" s="1"/>
      <c r="S845" s="1"/>
      <c r="T845" s="1"/>
      <c r="U845" s="2"/>
      <c r="V845" s="1"/>
      <c r="W845" s="1"/>
      <c r="X845" s="1"/>
      <c r="Y845" s="1"/>
      <c r="Z845" s="1"/>
    </row>
    <row r="846" spans="1:26" ht="24.75" customHeight="1">
      <c r="A846" s="1"/>
      <c r="B846" s="1"/>
      <c r="C846" s="1"/>
      <c r="D846" s="1"/>
      <c r="E846" s="1"/>
      <c r="F846" s="1"/>
      <c r="G846" s="1"/>
      <c r="H846" s="1"/>
      <c r="I846" s="1"/>
      <c r="J846" s="1"/>
      <c r="K846" s="1"/>
      <c r="L846" s="1"/>
      <c r="M846" s="1"/>
      <c r="N846" s="1"/>
      <c r="O846" s="1"/>
      <c r="P846" s="1"/>
      <c r="Q846" s="1"/>
      <c r="R846" s="1"/>
      <c r="S846" s="1"/>
      <c r="T846" s="1"/>
      <c r="U846" s="2"/>
      <c r="V846" s="1"/>
      <c r="W846" s="1"/>
      <c r="X846" s="1"/>
      <c r="Y846" s="1"/>
      <c r="Z846" s="1"/>
    </row>
    <row r="847" spans="1:26" ht="24.75" customHeight="1">
      <c r="A847" s="1"/>
      <c r="B847" s="1"/>
      <c r="C847" s="1"/>
      <c r="D847" s="1"/>
      <c r="E847" s="1"/>
      <c r="F847" s="1"/>
      <c r="G847" s="1"/>
      <c r="H847" s="1"/>
      <c r="I847" s="1"/>
      <c r="J847" s="1"/>
      <c r="K847" s="1"/>
      <c r="L847" s="1"/>
      <c r="M847" s="1"/>
      <c r="N847" s="1"/>
      <c r="O847" s="1"/>
      <c r="P847" s="1"/>
      <c r="Q847" s="1"/>
      <c r="R847" s="1"/>
      <c r="S847" s="1"/>
      <c r="T847" s="1"/>
      <c r="U847" s="2"/>
      <c r="V847" s="1"/>
      <c r="W847" s="1"/>
      <c r="X847" s="1"/>
      <c r="Y847" s="1"/>
      <c r="Z847" s="1"/>
    </row>
    <row r="848" spans="1:26" ht="24.75" customHeight="1">
      <c r="A848" s="1"/>
      <c r="B848" s="1"/>
      <c r="C848" s="1"/>
      <c r="D848" s="1"/>
      <c r="E848" s="1"/>
      <c r="F848" s="1"/>
      <c r="G848" s="1"/>
      <c r="H848" s="1"/>
      <c r="I848" s="1"/>
      <c r="J848" s="1"/>
      <c r="K848" s="1"/>
      <c r="L848" s="1"/>
      <c r="M848" s="1"/>
      <c r="N848" s="1"/>
      <c r="O848" s="1"/>
      <c r="P848" s="1"/>
      <c r="Q848" s="1"/>
      <c r="R848" s="1"/>
      <c r="S848" s="1"/>
      <c r="T848" s="1"/>
      <c r="U848" s="2"/>
      <c r="V848" s="1"/>
      <c r="W848" s="1"/>
      <c r="X848" s="1"/>
      <c r="Y848" s="1"/>
      <c r="Z848" s="1"/>
    </row>
    <row r="849" spans="1:26" ht="24.75" customHeight="1">
      <c r="A849" s="1"/>
      <c r="B849" s="1"/>
      <c r="C849" s="1"/>
      <c r="D849" s="1"/>
      <c r="E849" s="1"/>
      <c r="F849" s="1"/>
      <c r="G849" s="1"/>
      <c r="H849" s="1"/>
      <c r="I849" s="1"/>
      <c r="J849" s="1"/>
      <c r="K849" s="1"/>
      <c r="L849" s="1"/>
      <c r="M849" s="1"/>
      <c r="N849" s="1"/>
      <c r="O849" s="1"/>
      <c r="P849" s="1"/>
      <c r="Q849" s="1"/>
      <c r="R849" s="1"/>
      <c r="S849" s="1"/>
      <c r="T849" s="1"/>
      <c r="U849" s="2"/>
      <c r="V849" s="1"/>
      <c r="W849" s="1"/>
      <c r="X849" s="1"/>
      <c r="Y849" s="1"/>
      <c r="Z849" s="1"/>
    </row>
    <row r="850" spans="1:26" ht="24.75" customHeight="1">
      <c r="A850" s="1"/>
      <c r="B850" s="1"/>
      <c r="C850" s="1"/>
      <c r="D850" s="1"/>
      <c r="E850" s="1"/>
      <c r="F850" s="1"/>
      <c r="G850" s="1"/>
      <c r="H850" s="1"/>
      <c r="I850" s="1"/>
      <c r="J850" s="1"/>
      <c r="K850" s="1"/>
      <c r="L850" s="1"/>
      <c r="M850" s="1"/>
      <c r="N850" s="1"/>
      <c r="O850" s="1"/>
      <c r="P850" s="1"/>
      <c r="Q850" s="1"/>
      <c r="R850" s="1"/>
      <c r="S850" s="1"/>
      <c r="T850" s="1"/>
      <c r="U850" s="2"/>
      <c r="V850" s="1"/>
      <c r="W850" s="1"/>
      <c r="X850" s="1"/>
      <c r="Y850" s="1"/>
      <c r="Z850" s="1"/>
    </row>
    <row r="851" spans="1:26" ht="24.75" customHeight="1">
      <c r="A851" s="1"/>
      <c r="B851" s="1"/>
      <c r="C851" s="1"/>
      <c r="D851" s="1"/>
      <c r="E851" s="1"/>
      <c r="F851" s="1"/>
      <c r="G851" s="1"/>
      <c r="H851" s="1"/>
      <c r="I851" s="1"/>
      <c r="J851" s="1"/>
      <c r="K851" s="1"/>
      <c r="L851" s="1"/>
      <c r="M851" s="1"/>
      <c r="N851" s="1"/>
      <c r="O851" s="1"/>
      <c r="P851" s="1"/>
      <c r="Q851" s="1"/>
      <c r="R851" s="1"/>
      <c r="S851" s="1"/>
      <c r="T851" s="1"/>
      <c r="U851" s="2"/>
      <c r="V851" s="1"/>
      <c r="W851" s="1"/>
      <c r="X851" s="1"/>
      <c r="Y851" s="1"/>
      <c r="Z851" s="1"/>
    </row>
    <row r="852" spans="1:26" ht="24.75" customHeight="1">
      <c r="A852" s="1"/>
      <c r="B852" s="1"/>
      <c r="C852" s="1"/>
      <c r="D852" s="1"/>
      <c r="E852" s="1"/>
      <c r="F852" s="1"/>
      <c r="G852" s="1"/>
      <c r="H852" s="1"/>
      <c r="I852" s="1"/>
      <c r="J852" s="1"/>
      <c r="K852" s="1"/>
      <c r="L852" s="1"/>
      <c r="M852" s="1"/>
      <c r="N852" s="1"/>
      <c r="O852" s="1"/>
      <c r="P852" s="1"/>
      <c r="Q852" s="1"/>
      <c r="R852" s="1"/>
      <c r="S852" s="1"/>
      <c r="T852" s="1"/>
      <c r="U852" s="2"/>
      <c r="V852" s="1"/>
      <c r="W852" s="1"/>
      <c r="X852" s="1"/>
      <c r="Y852" s="1"/>
      <c r="Z852" s="1"/>
    </row>
    <row r="853" spans="1:26" ht="24.75" customHeight="1">
      <c r="A853" s="1"/>
      <c r="B853" s="1"/>
      <c r="C853" s="1"/>
      <c r="D853" s="1"/>
      <c r="E853" s="1"/>
      <c r="F853" s="1"/>
      <c r="G853" s="1"/>
      <c r="H853" s="1"/>
      <c r="I853" s="1"/>
      <c r="J853" s="1"/>
      <c r="K853" s="1"/>
      <c r="L853" s="1"/>
      <c r="M853" s="1"/>
      <c r="N853" s="1"/>
      <c r="O853" s="1"/>
      <c r="P853" s="1"/>
      <c r="Q853" s="1"/>
      <c r="R853" s="1"/>
      <c r="S853" s="1"/>
      <c r="T853" s="1"/>
      <c r="U853" s="2"/>
      <c r="V853" s="1"/>
      <c r="W853" s="1"/>
      <c r="X853" s="1"/>
      <c r="Y853" s="1"/>
      <c r="Z853" s="1"/>
    </row>
    <row r="854" spans="1:26" ht="24.75" customHeight="1">
      <c r="A854" s="1"/>
      <c r="B854" s="1"/>
      <c r="C854" s="1"/>
      <c r="D854" s="1"/>
      <c r="E854" s="1"/>
      <c r="F854" s="1"/>
      <c r="G854" s="1"/>
      <c r="H854" s="1"/>
      <c r="I854" s="1"/>
      <c r="J854" s="1"/>
      <c r="K854" s="1"/>
      <c r="L854" s="1"/>
      <c r="M854" s="1"/>
      <c r="N854" s="1"/>
      <c r="O854" s="1"/>
      <c r="P854" s="1"/>
      <c r="Q854" s="1"/>
      <c r="R854" s="1"/>
      <c r="S854" s="1"/>
      <c r="T854" s="1"/>
      <c r="U854" s="2"/>
      <c r="V854" s="1"/>
      <c r="W854" s="1"/>
      <c r="X854" s="1"/>
      <c r="Y854" s="1"/>
      <c r="Z854" s="1"/>
    </row>
    <row r="855" spans="1:26" ht="24.75" customHeight="1">
      <c r="A855" s="1"/>
      <c r="B855" s="1"/>
      <c r="C855" s="1"/>
      <c r="D855" s="1"/>
      <c r="E855" s="1"/>
      <c r="F855" s="1"/>
      <c r="G855" s="1"/>
      <c r="H855" s="1"/>
      <c r="I855" s="1"/>
      <c r="J855" s="1"/>
      <c r="K855" s="1"/>
      <c r="L855" s="1"/>
      <c r="M855" s="1"/>
      <c r="N855" s="1"/>
      <c r="O855" s="1"/>
      <c r="P855" s="1"/>
      <c r="Q855" s="1"/>
      <c r="R855" s="1"/>
      <c r="S855" s="1"/>
      <c r="T855" s="1"/>
      <c r="U855" s="2"/>
      <c r="V855" s="1"/>
      <c r="W855" s="1"/>
      <c r="X855" s="1"/>
      <c r="Y855" s="1"/>
      <c r="Z855" s="1"/>
    </row>
    <row r="856" spans="1:26" ht="24.75" customHeight="1">
      <c r="A856" s="1"/>
      <c r="B856" s="1"/>
      <c r="C856" s="1"/>
      <c r="D856" s="1"/>
      <c r="E856" s="1"/>
      <c r="F856" s="1"/>
      <c r="G856" s="1"/>
      <c r="H856" s="1"/>
      <c r="I856" s="1"/>
      <c r="J856" s="1"/>
      <c r="K856" s="1"/>
      <c r="L856" s="1"/>
      <c r="M856" s="1"/>
      <c r="N856" s="1"/>
      <c r="O856" s="1"/>
      <c r="P856" s="1"/>
      <c r="Q856" s="1"/>
      <c r="R856" s="1"/>
      <c r="S856" s="1"/>
      <c r="T856" s="1"/>
      <c r="U856" s="2"/>
      <c r="V856" s="1"/>
      <c r="W856" s="1"/>
      <c r="X856" s="1"/>
      <c r="Y856" s="1"/>
      <c r="Z856" s="1"/>
    </row>
    <row r="857" spans="1:26" ht="24.75" customHeight="1">
      <c r="A857" s="1"/>
      <c r="B857" s="1"/>
      <c r="C857" s="1"/>
      <c r="D857" s="1"/>
      <c r="E857" s="1"/>
      <c r="F857" s="1"/>
      <c r="G857" s="1"/>
      <c r="H857" s="1"/>
      <c r="I857" s="1"/>
      <c r="J857" s="1"/>
      <c r="K857" s="1"/>
      <c r="L857" s="1"/>
      <c r="M857" s="1"/>
      <c r="N857" s="1"/>
      <c r="O857" s="1"/>
      <c r="P857" s="1"/>
      <c r="Q857" s="1"/>
      <c r="R857" s="1"/>
      <c r="S857" s="1"/>
      <c r="T857" s="1"/>
      <c r="U857" s="2"/>
      <c r="V857" s="1"/>
      <c r="W857" s="1"/>
      <c r="X857" s="1"/>
      <c r="Y857" s="1"/>
      <c r="Z857" s="1"/>
    </row>
    <row r="858" spans="1:26" ht="24.75" customHeight="1">
      <c r="A858" s="1"/>
      <c r="B858" s="1"/>
      <c r="C858" s="1"/>
      <c r="D858" s="1"/>
      <c r="E858" s="1"/>
      <c r="F858" s="1"/>
      <c r="G858" s="1"/>
      <c r="H858" s="1"/>
      <c r="I858" s="1"/>
      <c r="J858" s="1"/>
      <c r="K858" s="1"/>
      <c r="L858" s="1"/>
      <c r="M858" s="1"/>
      <c r="N858" s="1"/>
      <c r="O858" s="1"/>
      <c r="P858" s="1"/>
      <c r="Q858" s="1"/>
      <c r="R858" s="1"/>
      <c r="S858" s="1"/>
      <c r="T858" s="1"/>
      <c r="U858" s="2"/>
      <c r="V858" s="1"/>
      <c r="W858" s="1"/>
      <c r="X858" s="1"/>
      <c r="Y858" s="1"/>
      <c r="Z858" s="1"/>
    </row>
    <row r="859" spans="1:26" ht="24.75" customHeight="1">
      <c r="A859" s="1"/>
      <c r="B859" s="1"/>
      <c r="C859" s="1"/>
      <c r="D859" s="1"/>
      <c r="E859" s="1"/>
      <c r="F859" s="1"/>
      <c r="G859" s="1"/>
      <c r="H859" s="1"/>
      <c r="I859" s="1"/>
      <c r="J859" s="1"/>
      <c r="K859" s="1"/>
      <c r="L859" s="1"/>
      <c r="M859" s="1"/>
      <c r="N859" s="1"/>
      <c r="O859" s="1"/>
      <c r="P859" s="1"/>
      <c r="Q859" s="1"/>
      <c r="R859" s="1"/>
      <c r="S859" s="1"/>
      <c r="T859" s="1"/>
      <c r="U859" s="2"/>
      <c r="V859" s="1"/>
      <c r="W859" s="1"/>
      <c r="X859" s="1"/>
      <c r="Y859" s="1"/>
      <c r="Z859" s="1"/>
    </row>
    <row r="860" spans="1:26" ht="24.75" customHeight="1">
      <c r="A860" s="1"/>
      <c r="B860" s="1"/>
      <c r="C860" s="1"/>
      <c r="D860" s="1"/>
      <c r="E860" s="1"/>
      <c r="F860" s="1"/>
      <c r="G860" s="1"/>
      <c r="H860" s="1"/>
      <c r="I860" s="1"/>
      <c r="J860" s="1"/>
      <c r="K860" s="1"/>
      <c r="L860" s="1"/>
      <c r="M860" s="1"/>
      <c r="N860" s="1"/>
      <c r="O860" s="1"/>
      <c r="P860" s="1"/>
      <c r="Q860" s="1"/>
      <c r="R860" s="1"/>
      <c r="S860" s="1"/>
      <c r="T860" s="1"/>
      <c r="U860" s="2"/>
      <c r="V860" s="1"/>
      <c r="W860" s="1"/>
      <c r="X860" s="1"/>
      <c r="Y860" s="1"/>
      <c r="Z860" s="1"/>
    </row>
    <row r="861" spans="1:26" ht="24.75" customHeight="1">
      <c r="A861" s="1"/>
      <c r="B861" s="1"/>
      <c r="C861" s="1"/>
      <c r="D861" s="1"/>
      <c r="E861" s="1"/>
      <c r="F861" s="1"/>
      <c r="G861" s="1"/>
      <c r="H861" s="1"/>
      <c r="I861" s="1"/>
      <c r="J861" s="1"/>
      <c r="K861" s="1"/>
      <c r="L861" s="1"/>
      <c r="M861" s="1"/>
      <c r="N861" s="1"/>
      <c r="O861" s="1"/>
      <c r="P861" s="1"/>
      <c r="Q861" s="1"/>
      <c r="R861" s="1"/>
      <c r="S861" s="1"/>
      <c r="T861" s="1"/>
      <c r="U861" s="2"/>
      <c r="V861" s="1"/>
      <c r="W861" s="1"/>
      <c r="X861" s="1"/>
      <c r="Y861" s="1"/>
      <c r="Z861" s="1"/>
    </row>
    <row r="862" spans="1:26" ht="24.75" customHeight="1">
      <c r="A862" s="1"/>
      <c r="B862" s="1"/>
      <c r="C862" s="1"/>
      <c r="D862" s="1"/>
      <c r="E862" s="1"/>
      <c r="F862" s="1"/>
      <c r="G862" s="1"/>
      <c r="H862" s="1"/>
      <c r="I862" s="1"/>
      <c r="J862" s="1"/>
      <c r="K862" s="1"/>
      <c r="L862" s="1"/>
      <c r="M862" s="1"/>
      <c r="N862" s="1"/>
      <c r="O862" s="1"/>
      <c r="P862" s="1"/>
      <c r="Q862" s="1"/>
      <c r="R862" s="1"/>
      <c r="S862" s="1"/>
      <c r="T862" s="1"/>
      <c r="U862" s="2"/>
      <c r="V862" s="1"/>
      <c r="W862" s="1"/>
      <c r="X862" s="1"/>
      <c r="Y862" s="1"/>
      <c r="Z862" s="1"/>
    </row>
    <row r="863" spans="1:26" ht="24.75" customHeight="1">
      <c r="A863" s="1"/>
      <c r="B863" s="1"/>
      <c r="C863" s="1"/>
      <c r="D863" s="1"/>
      <c r="E863" s="1"/>
      <c r="F863" s="1"/>
      <c r="G863" s="1"/>
      <c r="H863" s="1"/>
      <c r="I863" s="1"/>
      <c r="J863" s="1"/>
      <c r="K863" s="1"/>
      <c r="L863" s="1"/>
      <c r="M863" s="1"/>
      <c r="N863" s="1"/>
      <c r="O863" s="1"/>
      <c r="P863" s="1"/>
      <c r="Q863" s="1"/>
      <c r="R863" s="1"/>
      <c r="S863" s="1"/>
      <c r="T863" s="1"/>
      <c r="U863" s="2"/>
      <c r="V863" s="1"/>
      <c r="W863" s="1"/>
      <c r="X863" s="1"/>
      <c r="Y863" s="1"/>
      <c r="Z863" s="1"/>
    </row>
    <row r="864" spans="1:26" ht="24.75" customHeight="1">
      <c r="A864" s="1"/>
      <c r="B864" s="1"/>
      <c r="C864" s="1"/>
      <c r="D864" s="1"/>
      <c r="E864" s="1"/>
      <c r="F864" s="1"/>
      <c r="G864" s="1"/>
      <c r="H864" s="1"/>
      <c r="I864" s="1"/>
      <c r="J864" s="1"/>
      <c r="K864" s="1"/>
      <c r="L864" s="1"/>
      <c r="M864" s="1"/>
      <c r="N864" s="1"/>
      <c r="O864" s="1"/>
      <c r="P864" s="1"/>
      <c r="Q864" s="1"/>
      <c r="R864" s="1"/>
      <c r="S864" s="1"/>
      <c r="T864" s="1"/>
      <c r="U864" s="2"/>
      <c r="V864" s="1"/>
      <c r="W864" s="1"/>
      <c r="X864" s="1"/>
      <c r="Y864" s="1"/>
      <c r="Z864" s="1"/>
    </row>
    <row r="865" spans="1:26" ht="24.75" customHeight="1">
      <c r="A865" s="1"/>
      <c r="B865" s="1"/>
      <c r="C865" s="1"/>
      <c r="D865" s="1"/>
      <c r="E865" s="1"/>
      <c r="F865" s="1"/>
      <c r="G865" s="1"/>
      <c r="H865" s="1"/>
      <c r="I865" s="1"/>
      <c r="J865" s="1"/>
      <c r="K865" s="1"/>
      <c r="L865" s="1"/>
      <c r="M865" s="1"/>
      <c r="N865" s="1"/>
      <c r="O865" s="1"/>
      <c r="P865" s="1"/>
      <c r="Q865" s="1"/>
      <c r="R865" s="1"/>
      <c r="S865" s="1"/>
      <c r="T865" s="1"/>
      <c r="U865" s="2"/>
      <c r="V865" s="1"/>
      <c r="W865" s="1"/>
      <c r="X865" s="1"/>
      <c r="Y865" s="1"/>
      <c r="Z865" s="1"/>
    </row>
    <row r="866" spans="1:26" ht="24.75" customHeight="1">
      <c r="A866" s="1"/>
      <c r="B866" s="1"/>
      <c r="C866" s="1"/>
      <c r="D866" s="1"/>
      <c r="E866" s="1"/>
      <c r="F866" s="1"/>
      <c r="G866" s="1"/>
      <c r="H866" s="1"/>
      <c r="I866" s="1"/>
      <c r="J866" s="1"/>
      <c r="K866" s="1"/>
      <c r="L866" s="1"/>
      <c r="M866" s="1"/>
      <c r="N866" s="1"/>
      <c r="O866" s="1"/>
      <c r="P866" s="1"/>
      <c r="Q866" s="1"/>
      <c r="R866" s="1"/>
      <c r="S866" s="1"/>
      <c r="T866" s="1"/>
      <c r="U866" s="2"/>
      <c r="V866" s="1"/>
      <c r="W866" s="1"/>
      <c r="X866" s="1"/>
      <c r="Y866" s="1"/>
      <c r="Z866" s="1"/>
    </row>
    <row r="867" spans="1:26" ht="24.75" customHeight="1">
      <c r="A867" s="1"/>
      <c r="B867" s="1"/>
      <c r="C867" s="1"/>
      <c r="D867" s="1"/>
      <c r="E867" s="1"/>
      <c r="F867" s="1"/>
      <c r="G867" s="1"/>
      <c r="H867" s="1"/>
      <c r="I867" s="1"/>
      <c r="J867" s="1"/>
      <c r="K867" s="1"/>
      <c r="L867" s="1"/>
      <c r="M867" s="1"/>
      <c r="N867" s="1"/>
      <c r="O867" s="1"/>
      <c r="P867" s="1"/>
      <c r="Q867" s="1"/>
      <c r="R867" s="1"/>
      <c r="S867" s="1"/>
      <c r="T867" s="1"/>
      <c r="U867" s="2"/>
      <c r="V867" s="1"/>
      <c r="W867" s="1"/>
      <c r="X867" s="1"/>
      <c r="Y867" s="1"/>
      <c r="Z867" s="1"/>
    </row>
    <row r="868" spans="1:26" ht="24.75" customHeight="1">
      <c r="A868" s="1"/>
      <c r="B868" s="1"/>
      <c r="C868" s="1"/>
      <c r="D868" s="1"/>
      <c r="E868" s="1"/>
      <c r="F868" s="1"/>
      <c r="G868" s="1"/>
      <c r="H868" s="1"/>
      <c r="I868" s="1"/>
      <c r="J868" s="1"/>
      <c r="K868" s="1"/>
      <c r="L868" s="1"/>
      <c r="M868" s="1"/>
      <c r="N868" s="1"/>
      <c r="O868" s="1"/>
      <c r="P868" s="1"/>
      <c r="Q868" s="1"/>
      <c r="R868" s="1"/>
      <c r="S868" s="1"/>
      <c r="T868" s="1"/>
      <c r="U868" s="2"/>
      <c r="V868" s="1"/>
      <c r="W868" s="1"/>
      <c r="X868" s="1"/>
      <c r="Y868" s="1"/>
      <c r="Z868" s="1"/>
    </row>
    <row r="869" spans="1:26" ht="24.75" customHeight="1">
      <c r="A869" s="1"/>
      <c r="B869" s="1"/>
      <c r="C869" s="1"/>
      <c r="D869" s="1"/>
      <c r="E869" s="1"/>
      <c r="F869" s="1"/>
      <c r="G869" s="1"/>
      <c r="H869" s="1"/>
      <c r="I869" s="1"/>
      <c r="J869" s="1"/>
      <c r="K869" s="1"/>
      <c r="L869" s="1"/>
      <c r="M869" s="1"/>
      <c r="N869" s="1"/>
      <c r="O869" s="1"/>
      <c r="P869" s="1"/>
      <c r="Q869" s="1"/>
      <c r="R869" s="1"/>
      <c r="S869" s="1"/>
      <c r="T869" s="1"/>
      <c r="U869" s="2"/>
      <c r="V869" s="1"/>
      <c r="W869" s="1"/>
      <c r="X869" s="1"/>
      <c r="Y869" s="1"/>
      <c r="Z869" s="1"/>
    </row>
    <row r="870" spans="1:26" ht="24.75" customHeight="1">
      <c r="A870" s="1"/>
      <c r="B870" s="1"/>
      <c r="C870" s="1"/>
      <c r="D870" s="1"/>
      <c r="E870" s="1"/>
      <c r="F870" s="1"/>
      <c r="G870" s="1"/>
      <c r="H870" s="1"/>
      <c r="I870" s="1"/>
      <c r="J870" s="1"/>
      <c r="K870" s="1"/>
      <c r="L870" s="1"/>
      <c r="M870" s="1"/>
      <c r="N870" s="1"/>
      <c r="O870" s="1"/>
      <c r="P870" s="1"/>
      <c r="Q870" s="1"/>
      <c r="R870" s="1"/>
      <c r="S870" s="1"/>
      <c r="T870" s="1"/>
      <c r="U870" s="2"/>
      <c r="V870" s="1"/>
      <c r="W870" s="1"/>
      <c r="X870" s="1"/>
      <c r="Y870" s="1"/>
      <c r="Z870" s="1"/>
    </row>
    <row r="871" spans="1:26" ht="24.75" customHeight="1">
      <c r="A871" s="1"/>
      <c r="B871" s="1"/>
      <c r="C871" s="1"/>
      <c r="D871" s="1"/>
      <c r="E871" s="1"/>
      <c r="F871" s="1"/>
      <c r="G871" s="1"/>
      <c r="H871" s="1"/>
      <c r="I871" s="1"/>
      <c r="J871" s="1"/>
      <c r="K871" s="1"/>
      <c r="L871" s="1"/>
      <c r="M871" s="1"/>
      <c r="N871" s="1"/>
      <c r="O871" s="1"/>
      <c r="P871" s="1"/>
      <c r="Q871" s="1"/>
      <c r="R871" s="1"/>
      <c r="S871" s="1"/>
      <c r="T871" s="1"/>
      <c r="U871" s="2"/>
      <c r="V871" s="1"/>
      <c r="W871" s="1"/>
      <c r="X871" s="1"/>
      <c r="Y871" s="1"/>
      <c r="Z871" s="1"/>
    </row>
    <row r="872" spans="1:26" ht="24.75" customHeight="1">
      <c r="A872" s="1"/>
      <c r="B872" s="1"/>
      <c r="C872" s="1"/>
      <c r="D872" s="1"/>
      <c r="E872" s="1"/>
      <c r="F872" s="1"/>
      <c r="G872" s="1"/>
      <c r="H872" s="1"/>
      <c r="I872" s="1"/>
      <c r="J872" s="1"/>
      <c r="K872" s="1"/>
      <c r="L872" s="1"/>
      <c r="M872" s="1"/>
      <c r="N872" s="1"/>
      <c r="O872" s="1"/>
      <c r="P872" s="1"/>
      <c r="Q872" s="1"/>
      <c r="R872" s="1"/>
      <c r="S872" s="1"/>
      <c r="T872" s="1"/>
      <c r="U872" s="2"/>
      <c r="V872" s="1"/>
      <c r="W872" s="1"/>
      <c r="X872" s="1"/>
      <c r="Y872" s="1"/>
      <c r="Z872" s="1"/>
    </row>
    <row r="873" spans="1:26" ht="24.75" customHeight="1">
      <c r="A873" s="1"/>
      <c r="B873" s="1"/>
      <c r="C873" s="1"/>
      <c r="D873" s="1"/>
      <c r="E873" s="1"/>
      <c r="F873" s="1"/>
      <c r="G873" s="1"/>
      <c r="H873" s="1"/>
      <c r="I873" s="1"/>
      <c r="J873" s="1"/>
      <c r="K873" s="1"/>
      <c r="L873" s="1"/>
      <c r="M873" s="1"/>
      <c r="N873" s="1"/>
      <c r="O873" s="1"/>
      <c r="P873" s="1"/>
      <c r="Q873" s="1"/>
      <c r="R873" s="1"/>
      <c r="S873" s="1"/>
      <c r="T873" s="1"/>
      <c r="U873" s="2"/>
      <c r="V873" s="1"/>
      <c r="W873" s="1"/>
      <c r="X873" s="1"/>
      <c r="Y873" s="1"/>
      <c r="Z873" s="1"/>
    </row>
    <row r="874" spans="1:26" ht="24.75" customHeight="1">
      <c r="A874" s="1"/>
      <c r="B874" s="1"/>
      <c r="C874" s="1"/>
      <c r="D874" s="1"/>
      <c r="E874" s="1"/>
      <c r="F874" s="1"/>
      <c r="G874" s="1"/>
      <c r="H874" s="1"/>
      <c r="I874" s="1"/>
      <c r="J874" s="1"/>
      <c r="K874" s="1"/>
      <c r="L874" s="1"/>
      <c r="M874" s="1"/>
      <c r="N874" s="1"/>
      <c r="O874" s="1"/>
      <c r="P874" s="1"/>
      <c r="Q874" s="1"/>
      <c r="R874" s="1"/>
      <c r="S874" s="1"/>
      <c r="T874" s="1"/>
      <c r="U874" s="2"/>
      <c r="V874" s="1"/>
      <c r="W874" s="1"/>
      <c r="X874" s="1"/>
      <c r="Y874" s="1"/>
      <c r="Z874" s="1"/>
    </row>
    <row r="875" spans="1:26" ht="24.75" customHeight="1">
      <c r="A875" s="1"/>
      <c r="B875" s="1"/>
      <c r="C875" s="1"/>
      <c r="D875" s="1"/>
      <c r="E875" s="1"/>
      <c r="F875" s="1"/>
      <c r="G875" s="1"/>
      <c r="H875" s="1"/>
      <c r="I875" s="1"/>
      <c r="J875" s="1"/>
      <c r="K875" s="1"/>
      <c r="L875" s="1"/>
      <c r="M875" s="1"/>
      <c r="N875" s="1"/>
      <c r="O875" s="1"/>
      <c r="P875" s="1"/>
      <c r="Q875" s="1"/>
      <c r="R875" s="1"/>
      <c r="S875" s="1"/>
      <c r="T875" s="1"/>
      <c r="U875" s="2"/>
      <c r="V875" s="1"/>
      <c r="W875" s="1"/>
      <c r="X875" s="1"/>
      <c r="Y875" s="1"/>
      <c r="Z875" s="1"/>
    </row>
    <row r="876" spans="1:26" ht="24.75" customHeight="1">
      <c r="A876" s="1"/>
      <c r="B876" s="1"/>
      <c r="C876" s="1"/>
      <c r="D876" s="1"/>
      <c r="E876" s="1"/>
      <c r="F876" s="1"/>
      <c r="G876" s="1"/>
      <c r="H876" s="1"/>
      <c r="I876" s="1"/>
      <c r="J876" s="1"/>
      <c r="K876" s="1"/>
      <c r="L876" s="1"/>
      <c r="M876" s="1"/>
      <c r="N876" s="1"/>
      <c r="O876" s="1"/>
      <c r="P876" s="1"/>
      <c r="Q876" s="1"/>
      <c r="R876" s="1"/>
      <c r="S876" s="1"/>
      <c r="T876" s="1"/>
      <c r="U876" s="2"/>
      <c r="V876" s="1"/>
      <c r="W876" s="1"/>
      <c r="X876" s="1"/>
      <c r="Y876" s="1"/>
      <c r="Z876" s="1"/>
    </row>
    <row r="877" spans="1:26" ht="24.75" customHeight="1">
      <c r="A877" s="1"/>
      <c r="B877" s="1"/>
      <c r="C877" s="1"/>
      <c r="D877" s="1"/>
      <c r="E877" s="1"/>
      <c r="F877" s="1"/>
      <c r="G877" s="1"/>
      <c r="H877" s="1"/>
      <c r="I877" s="1"/>
      <c r="J877" s="1"/>
      <c r="K877" s="1"/>
      <c r="L877" s="1"/>
      <c r="M877" s="1"/>
      <c r="N877" s="1"/>
      <c r="O877" s="1"/>
      <c r="P877" s="1"/>
      <c r="Q877" s="1"/>
      <c r="R877" s="1"/>
      <c r="S877" s="1"/>
      <c r="T877" s="1"/>
      <c r="U877" s="2"/>
      <c r="V877" s="1"/>
      <c r="W877" s="1"/>
      <c r="X877" s="1"/>
      <c r="Y877" s="1"/>
      <c r="Z877" s="1"/>
    </row>
    <row r="878" spans="1:26" ht="24.75" customHeight="1">
      <c r="A878" s="1"/>
      <c r="B878" s="1"/>
      <c r="C878" s="1"/>
      <c r="D878" s="1"/>
      <c r="E878" s="1"/>
      <c r="F878" s="1"/>
      <c r="G878" s="1"/>
      <c r="H878" s="1"/>
      <c r="I878" s="1"/>
      <c r="J878" s="1"/>
      <c r="K878" s="1"/>
      <c r="L878" s="1"/>
      <c r="M878" s="1"/>
      <c r="N878" s="1"/>
      <c r="O878" s="1"/>
      <c r="P878" s="1"/>
      <c r="Q878" s="1"/>
      <c r="R878" s="1"/>
      <c r="S878" s="1"/>
      <c r="T878" s="1"/>
      <c r="U878" s="2"/>
      <c r="V878" s="1"/>
      <c r="W878" s="1"/>
      <c r="X878" s="1"/>
      <c r="Y878" s="1"/>
      <c r="Z878" s="1"/>
    </row>
    <row r="879" spans="1:26" ht="24.75" customHeight="1">
      <c r="A879" s="1"/>
      <c r="B879" s="1"/>
      <c r="C879" s="1"/>
      <c r="D879" s="1"/>
      <c r="E879" s="1"/>
      <c r="F879" s="1"/>
      <c r="G879" s="1"/>
      <c r="H879" s="1"/>
      <c r="I879" s="1"/>
      <c r="J879" s="1"/>
      <c r="K879" s="1"/>
      <c r="L879" s="1"/>
      <c r="M879" s="1"/>
      <c r="N879" s="1"/>
      <c r="O879" s="1"/>
      <c r="P879" s="1"/>
      <c r="Q879" s="1"/>
      <c r="R879" s="1"/>
      <c r="S879" s="1"/>
      <c r="T879" s="1"/>
      <c r="U879" s="2"/>
      <c r="V879" s="1"/>
      <c r="W879" s="1"/>
      <c r="X879" s="1"/>
      <c r="Y879" s="1"/>
      <c r="Z879" s="1"/>
    </row>
    <row r="880" spans="1:26" ht="24.75" customHeight="1">
      <c r="A880" s="1"/>
      <c r="B880" s="1"/>
      <c r="C880" s="1"/>
      <c r="D880" s="1"/>
      <c r="E880" s="1"/>
      <c r="F880" s="1"/>
      <c r="G880" s="1"/>
      <c r="H880" s="1"/>
      <c r="I880" s="1"/>
      <c r="J880" s="1"/>
      <c r="K880" s="1"/>
      <c r="L880" s="1"/>
      <c r="M880" s="1"/>
      <c r="N880" s="1"/>
      <c r="O880" s="1"/>
      <c r="P880" s="1"/>
      <c r="Q880" s="1"/>
      <c r="R880" s="1"/>
      <c r="S880" s="1"/>
      <c r="T880" s="1"/>
      <c r="U880" s="2"/>
      <c r="V880" s="1"/>
      <c r="W880" s="1"/>
      <c r="X880" s="1"/>
      <c r="Y880" s="1"/>
      <c r="Z880" s="1"/>
    </row>
    <row r="881" spans="1:26" ht="24.75" customHeight="1">
      <c r="A881" s="1"/>
      <c r="B881" s="1"/>
      <c r="C881" s="1"/>
      <c r="D881" s="1"/>
      <c r="E881" s="1"/>
      <c r="F881" s="1"/>
      <c r="G881" s="1"/>
      <c r="H881" s="1"/>
      <c r="I881" s="1"/>
      <c r="J881" s="1"/>
      <c r="K881" s="1"/>
      <c r="L881" s="1"/>
      <c r="M881" s="1"/>
      <c r="N881" s="1"/>
      <c r="O881" s="1"/>
      <c r="P881" s="1"/>
      <c r="Q881" s="1"/>
      <c r="R881" s="1"/>
      <c r="S881" s="1"/>
      <c r="T881" s="1"/>
      <c r="U881" s="2"/>
      <c r="V881" s="1"/>
      <c r="W881" s="1"/>
      <c r="X881" s="1"/>
      <c r="Y881" s="1"/>
      <c r="Z881" s="1"/>
    </row>
    <row r="882" spans="1:26" ht="24.75" customHeight="1">
      <c r="A882" s="1"/>
      <c r="B882" s="1"/>
      <c r="C882" s="1"/>
      <c r="D882" s="1"/>
      <c r="E882" s="1"/>
      <c r="F882" s="1"/>
      <c r="G882" s="1"/>
      <c r="H882" s="1"/>
      <c r="I882" s="1"/>
      <c r="J882" s="1"/>
      <c r="K882" s="1"/>
      <c r="L882" s="1"/>
      <c r="M882" s="1"/>
      <c r="N882" s="1"/>
      <c r="O882" s="1"/>
      <c r="P882" s="1"/>
      <c r="Q882" s="1"/>
      <c r="R882" s="1"/>
      <c r="S882" s="1"/>
      <c r="T882" s="1"/>
      <c r="U882" s="2"/>
      <c r="V882" s="1"/>
      <c r="W882" s="1"/>
      <c r="X882" s="1"/>
      <c r="Y882" s="1"/>
      <c r="Z882" s="1"/>
    </row>
    <row r="883" spans="1:26" ht="24.75" customHeight="1">
      <c r="A883" s="1"/>
      <c r="B883" s="1"/>
      <c r="C883" s="1"/>
      <c r="D883" s="1"/>
      <c r="E883" s="1"/>
      <c r="F883" s="1"/>
      <c r="G883" s="1"/>
      <c r="H883" s="1"/>
      <c r="I883" s="1"/>
      <c r="J883" s="1"/>
      <c r="K883" s="1"/>
      <c r="L883" s="1"/>
      <c r="M883" s="1"/>
      <c r="N883" s="1"/>
      <c r="O883" s="1"/>
      <c r="P883" s="1"/>
      <c r="Q883" s="1"/>
      <c r="R883" s="1"/>
      <c r="S883" s="1"/>
      <c r="T883" s="1"/>
      <c r="U883" s="2"/>
      <c r="V883" s="1"/>
      <c r="W883" s="1"/>
      <c r="X883" s="1"/>
      <c r="Y883" s="1"/>
      <c r="Z883" s="1"/>
    </row>
    <row r="884" spans="1:26" ht="24.75" customHeight="1">
      <c r="A884" s="1"/>
      <c r="B884" s="1"/>
      <c r="C884" s="1"/>
      <c r="D884" s="1"/>
      <c r="E884" s="1"/>
      <c r="F884" s="1"/>
      <c r="G884" s="1"/>
      <c r="H884" s="1"/>
      <c r="I884" s="1"/>
      <c r="J884" s="1"/>
      <c r="K884" s="1"/>
      <c r="L884" s="1"/>
      <c r="M884" s="1"/>
      <c r="N884" s="1"/>
      <c r="O884" s="1"/>
      <c r="P884" s="1"/>
      <c r="Q884" s="1"/>
      <c r="R884" s="1"/>
      <c r="S884" s="1"/>
      <c r="T884" s="1"/>
      <c r="U884" s="2"/>
      <c r="V884" s="1"/>
      <c r="W884" s="1"/>
      <c r="X884" s="1"/>
      <c r="Y884" s="1"/>
      <c r="Z884" s="1"/>
    </row>
    <row r="885" spans="1:26" ht="24.75" customHeight="1">
      <c r="A885" s="1"/>
      <c r="B885" s="1"/>
      <c r="C885" s="1"/>
      <c r="D885" s="1"/>
      <c r="E885" s="1"/>
      <c r="F885" s="1"/>
      <c r="G885" s="1"/>
      <c r="H885" s="1"/>
      <c r="I885" s="1"/>
      <c r="J885" s="1"/>
      <c r="K885" s="1"/>
      <c r="L885" s="1"/>
      <c r="M885" s="1"/>
      <c r="N885" s="1"/>
      <c r="O885" s="1"/>
      <c r="P885" s="1"/>
      <c r="Q885" s="1"/>
      <c r="R885" s="1"/>
      <c r="S885" s="1"/>
      <c r="T885" s="1"/>
      <c r="U885" s="2"/>
      <c r="V885" s="1"/>
      <c r="W885" s="1"/>
      <c r="X885" s="1"/>
      <c r="Y885" s="1"/>
      <c r="Z885" s="1"/>
    </row>
    <row r="886" spans="1:26" ht="24.75" customHeight="1">
      <c r="A886" s="1"/>
      <c r="B886" s="1"/>
      <c r="C886" s="1"/>
      <c r="D886" s="1"/>
      <c r="E886" s="1"/>
      <c r="F886" s="1"/>
      <c r="G886" s="1"/>
      <c r="H886" s="1"/>
      <c r="I886" s="1"/>
      <c r="J886" s="1"/>
      <c r="K886" s="1"/>
      <c r="L886" s="1"/>
      <c r="M886" s="1"/>
      <c r="N886" s="1"/>
      <c r="O886" s="1"/>
      <c r="P886" s="1"/>
      <c r="Q886" s="1"/>
      <c r="R886" s="1"/>
      <c r="S886" s="1"/>
      <c r="T886" s="1"/>
      <c r="U886" s="2"/>
      <c r="V886" s="1"/>
      <c r="W886" s="1"/>
      <c r="X886" s="1"/>
      <c r="Y886" s="1"/>
      <c r="Z886" s="1"/>
    </row>
    <row r="887" spans="1:26" ht="24.75" customHeight="1">
      <c r="A887" s="1"/>
      <c r="B887" s="1"/>
      <c r="C887" s="1"/>
      <c r="D887" s="1"/>
      <c r="E887" s="1"/>
      <c r="F887" s="1"/>
      <c r="G887" s="1"/>
      <c r="H887" s="1"/>
      <c r="I887" s="1"/>
      <c r="J887" s="1"/>
      <c r="K887" s="1"/>
      <c r="L887" s="1"/>
      <c r="M887" s="1"/>
      <c r="N887" s="1"/>
      <c r="O887" s="1"/>
      <c r="P887" s="1"/>
      <c r="Q887" s="1"/>
      <c r="R887" s="1"/>
      <c r="S887" s="1"/>
      <c r="T887" s="1"/>
      <c r="U887" s="2"/>
      <c r="V887" s="1"/>
      <c r="W887" s="1"/>
      <c r="X887" s="1"/>
      <c r="Y887" s="1"/>
      <c r="Z887" s="1"/>
    </row>
    <row r="888" spans="1:26" ht="24.75" customHeight="1">
      <c r="A888" s="1"/>
      <c r="B888" s="1"/>
      <c r="C888" s="1"/>
      <c r="D888" s="1"/>
      <c r="E888" s="1"/>
      <c r="F888" s="1"/>
      <c r="G888" s="1"/>
      <c r="H888" s="1"/>
      <c r="I888" s="1"/>
      <c r="J888" s="1"/>
      <c r="K888" s="1"/>
      <c r="L888" s="1"/>
      <c r="M888" s="1"/>
      <c r="N888" s="1"/>
      <c r="O888" s="1"/>
      <c r="P888" s="1"/>
      <c r="Q888" s="1"/>
      <c r="R888" s="1"/>
      <c r="S888" s="1"/>
      <c r="T888" s="1"/>
      <c r="U888" s="2"/>
      <c r="V888" s="1"/>
      <c r="W888" s="1"/>
      <c r="X888" s="1"/>
      <c r="Y888" s="1"/>
      <c r="Z888" s="1"/>
    </row>
    <row r="889" spans="1:26" ht="24.75" customHeight="1">
      <c r="A889" s="1"/>
      <c r="B889" s="1"/>
      <c r="C889" s="1"/>
      <c r="D889" s="1"/>
      <c r="E889" s="1"/>
      <c r="F889" s="1"/>
      <c r="G889" s="1"/>
      <c r="H889" s="1"/>
      <c r="I889" s="1"/>
      <c r="J889" s="1"/>
      <c r="K889" s="1"/>
      <c r="L889" s="1"/>
      <c r="M889" s="1"/>
      <c r="N889" s="1"/>
      <c r="O889" s="1"/>
      <c r="P889" s="1"/>
      <c r="Q889" s="1"/>
      <c r="R889" s="1"/>
      <c r="S889" s="1"/>
      <c r="T889" s="1"/>
      <c r="U889" s="2"/>
      <c r="V889" s="1"/>
      <c r="W889" s="1"/>
      <c r="X889" s="1"/>
      <c r="Y889" s="1"/>
      <c r="Z889" s="1"/>
    </row>
    <row r="890" spans="1:26" ht="24.75" customHeight="1">
      <c r="A890" s="1"/>
      <c r="B890" s="1"/>
      <c r="C890" s="1"/>
      <c r="D890" s="1"/>
      <c r="E890" s="1"/>
      <c r="F890" s="1"/>
      <c r="G890" s="1"/>
      <c r="H890" s="1"/>
      <c r="I890" s="1"/>
      <c r="J890" s="1"/>
      <c r="K890" s="1"/>
      <c r="L890" s="1"/>
      <c r="M890" s="1"/>
      <c r="N890" s="1"/>
      <c r="O890" s="1"/>
      <c r="P890" s="1"/>
      <c r="Q890" s="1"/>
      <c r="R890" s="1"/>
      <c r="S890" s="1"/>
      <c r="T890" s="1"/>
      <c r="U890" s="2"/>
      <c r="V890" s="1"/>
      <c r="W890" s="1"/>
      <c r="X890" s="1"/>
      <c r="Y890" s="1"/>
      <c r="Z890" s="1"/>
    </row>
    <row r="891" spans="1:26" ht="24.75" customHeight="1">
      <c r="A891" s="1"/>
      <c r="B891" s="1"/>
      <c r="C891" s="1"/>
      <c r="D891" s="1"/>
      <c r="E891" s="1"/>
      <c r="F891" s="1"/>
      <c r="G891" s="1"/>
      <c r="H891" s="1"/>
      <c r="I891" s="1"/>
      <c r="J891" s="1"/>
      <c r="K891" s="1"/>
      <c r="L891" s="1"/>
      <c r="M891" s="1"/>
      <c r="N891" s="1"/>
      <c r="O891" s="1"/>
      <c r="P891" s="1"/>
      <c r="Q891" s="1"/>
      <c r="R891" s="1"/>
      <c r="S891" s="1"/>
      <c r="T891" s="1"/>
      <c r="U891" s="2"/>
      <c r="V891" s="1"/>
      <c r="W891" s="1"/>
      <c r="X891" s="1"/>
      <c r="Y891" s="1"/>
      <c r="Z891" s="1"/>
    </row>
    <row r="892" spans="1:26" ht="24.75" customHeight="1">
      <c r="A892" s="1"/>
      <c r="B892" s="1"/>
      <c r="C892" s="1"/>
      <c r="D892" s="1"/>
      <c r="E892" s="1"/>
      <c r="F892" s="1"/>
      <c r="G892" s="1"/>
      <c r="H892" s="1"/>
      <c r="I892" s="1"/>
      <c r="J892" s="1"/>
      <c r="K892" s="1"/>
      <c r="L892" s="1"/>
      <c r="M892" s="1"/>
      <c r="N892" s="1"/>
      <c r="O892" s="1"/>
      <c r="P892" s="1"/>
      <c r="Q892" s="1"/>
      <c r="R892" s="1"/>
      <c r="S892" s="1"/>
      <c r="T892" s="1"/>
      <c r="U892" s="2"/>
      <c r="V892" s="1"/>
      <c r="W892" s="1"/>
      <c r="X892" s="1"/>
      <c r="Y892" s="1"/>
      <c r="Z892" s="1"/>
    </row>
    <row r="893" spans="1:26" ht="24.75" customHeight="1">
      <c r="A893" s="1"/>
      <c r="B893" s="1"/>
      <c r="C893" s="1"/>
      <c r="D893" s="1"/>
      <c r="E893" s="1"/>
      <c r="F893" s="1"/>
      <c r="G893" s="1"/>
      <c r="H893" s="1"/>
      <c r="I893" s="1"/>
      <c r="J893" s="1"/>
      <c r="K893" s="1"/>
      <c r="L893" s="1"/>
      <c r="M893" s="1"/>
      <c r="N893" s="1"/>
      <c r="O893" s="1"/>
      <c r="P893" s="1"/>
      <c r="Q893" s="1"/>
      <c r="R893" s="1"/>
      <c r="S893" s="1"/>
      <c r="T893" s="1"/>
      <c r="U893" s="2"/>
      <c r="V893" s="1"/>
      <c r="W893" s="1"/>
      <c r="X893" s="1"/>
      <c r="Y893" s="1"/>
      <c r="Z893" s="1"/>
    </row>
    <row r="894" spans="1:26" ht="24.75" customHeight="1">
      <c r="A894" s="1"/>
      <c r="B894" s="1"/>
      <c r="C894" s="1"/>
      <c r="D894" s="1"/>
      <c r="E894" s="1"/>
      <c r="F894" s="1"/>
      <c r="G894" s="1"/>
      <c r="H894" s="1"/>
      <c r="I894" s="1"/>
      <c r="J894" s="1"/>
      <c r="K894" s="1"/>
      <c r="L894" s="1"/>
      <c r="M894" s="1"/>
      <c r="N894" s="1"/>
      <c r="O894" s="1"/>
      <c r="P894" s="1"/>
      <c r="Q894" s="1"/>
      <c r="R894" s="1"/>
      <c r="S894" s="1"/>
      <c r="T894" s="1"/>
      <c r="U894" s="2"/>
      <c r="V894" s="1"/>
      <c r="W894" s="1"/>
      <c r="X894" s="1"/>
      <c r="Y894" s="1"/>
      <c r="Z894" s="1"/>
    </row>
    <row r="895" spans="1:26" ht="24.75" customHeight="1">
      <c r="A895" s="1"/>
      <c r="B895" s="1"/>
      <c r="C895" s="1"/>
      <c r="D895" s="1"/>
      <c r="E895" s="1"/>
      <c r="F895" s="1"/>
      <c r="G895" s="1"/>
      <c r="H895" s="1"/>
      <c r="I895" s="1"/>
      <c r="J895" s="1"/>
      <c r="K895" s="1"/>
      <c r="L895" s="1"/>
      <c r="M895" s="1"/>
      <c r="N895" s="1"/>
      <c r="O895" s="1"/>
      <c r="P895" s="1"/>
      <c r="Q895" s="1"/>
      <c r="R895" s="1"/>
      <c r="S895" s="1"/>
      <c r="T895" s="1"/>
      <c r="U895" s="2"/>
      <c r="V895" s="1"/>
      <c r="W895" s="1"/>
      <c r="X895" s="1"/>
      <c r="Y895" s="1"/>
      <c r="Z895" s="1"/>
    </row>
    <row r="896" spans="1:26" ht="24.75" customHeight="1">
      <c r="A896" s="1"/>
      <c r="B896" s="1"/>
      <c r="C896" s="1"/>
      <c r="D896" s="1"/>
      <c r="E896" s="1"/>
      <c r="F896" s="1"/>
      <c r="G896" s="1"/>
      <c r="H896" s="1"/>
      <c r="I896" s="1"/>
      <c r="J896" s="1"/>
      <c r="K896" s="1"/>
      <c r="L896" s="1"/>
      <c r="M896" s="1"/>
      <c r="N896" s="1"/>
      <c r="O896" s="1"/>
      <c r="P896" s="1"/>
      <c r="Q896" s="1"/>
      <c r="R896" s="1"/>
      <c r="S896" s="1"/>
      <c r="T896" s="1"/>
      <c r="U896" s="2"/>
      <c r="V896" s="1"/>
      <c r="W896" s="1"/>
      <c r="X896" s="1"/>
      <c r="Y896" s="1"/>
      <c r="Z896" s="1"/>
    </row>
    <row r="897" spans="1:26" ht="24.75" customHeight="1">
      <c r="A897" s="1"/>
      <c r="B897" s="1"/>
      <c r="C897" s="1"/>
      <c r="D897" s="1"/>
      <c r="E897" s="1"/>
      <c r="F897" s="1"/>
      <c r="G897" s="1"/>
      <c r="H897" s="1"/>
      <c r="I897" s="1"/>
      <c r="J897" s="1"/>
      <c r="K897" s="1"/>
      <c r="L897" s="1"/>
      <c r="M897" s="1"/>
      <c r="N897" s="1"/>
      <c r="O897" s="1"/>
      <c r="P897" s="1"/>
      <c r="Q897" s="1"/>
      <c r="R897" s="1"/>
      <c r="S897" s="1"/>
      <c r="T897" s="1"/>
      <c r="U897" s="2"/>
      <c r="V897" s="1"/>
      <c r="W897" s="1"/>
      <c r="X897" s="1"/>
      <c r="Y897" s="1"/>
      <c r="Z897" s="1"/>
    </row>
    <row r="898" spans="1:26" ht="24.75" customHeight="1">
      <c r="A898" s="1"/>
      <c r="B898" s="1"/>
      <c r="C898" s="1"/>
      <c r="D898" s="1"/>
      <c r="E898" s="1"/>
      <c r="F898" s="1"/>
      <c r="G898" s="1"/>
      <c r="H898" s="1"/>
      <c r="I898" s="1"/>
      <c r="J898" s="1"/>
      <c r="K898" s="1"/>
      <c r="L898" s="1"/>
      <c r="M898" s="1"/>
      <c r="N898" s="1"/>
      <c r="O898" s="1"/>
      <c r="P898" s="1"/>
      <c r="Q898" s="1"/>
      <c r="R898" s="1"/>
      <c r="S898" s="1"/>
      <c r="T898" s="1"/>
      <c r="U898" s="2"/>
      <c r="V898" s="1"/>
      <c r="W898" s="1"/>
      <c r="X898" s="1"/>
      <c r="Y898" s="1"/>
      <c r="Z898" s="1"/>
    </row>
    <row r="899" spans="1:26" ht="24.75" customHeight="1">
      <c r="A899" s="1"/>
      <c r="B899" s="1"/>
      <c r="C899" s="1"/>
      <c r="D899" s="1"/>
      <c r="E899" s="1"/>
      <c r="F899" s="1"/>
      <c r="G899" s="1"/>
      <c r="H899" s="1"/>
      <c r="I899" s="1"/>
      <c r="J899" s="1"/>
      <c r="K899" s="1"/>
      <c r="L899" s="1"/>
      <c r="M899" s="1"/>
      <c r="N899" s="1"/>
      <c r="O899" s="1"/>
      <c r="P899" s="1"/>
      <c r="Q899" s="1"/>
      <c r="R899" s="1"/>
      <c r="S899" s="1"/>
      <c r="T899" s="1"/>
      <c r="U899" s="2"/>
      <c r="V899" s="1"/>
      <c r="W899" s="1"/>
      <c r="X899" s="1"/>
      <c r="Y899" s="1"/>
      <c r="Z899" s="1"/>
    </row>
    <row r="900" spans="1:26" ht="24.75" customHeight="1">
      <c r="A900" s="1"/>
      <c r="B900" s="1"/>
      <c r="C900" s="1"/>
      <c r="D900" s="1"/>
      <c r="E900" s="1"/>
      <c r="F900" s="1"/>
      <c r="G900" s="1"/>
      <c r="H900" s="1"/>
      <c r="I900" s="1"/>
      <c r="J900" s="1"/>
      <c r="K900" s="1"/>
      <c r="L900" s="1"/>
      <c r="M900" s="1"/>
      <c r="N900" s="1"/>
      <c r="O900" s="1"/>
      <c r="P900" s="1"/>
      <c r="Q900" s="1"/>
      <c r="R900" s="1"/>
      <c r="S900" s="1"/>
      <c r="T900" s="1"/>
      <c r="U900" s="2"/>
      <c r="V900" s="1"/>
      <c r="W900" s="1"/>
      <c r="X900" s="1"/>
      <c r="Y900" s="1"/>
      <c r="Z900" s="1"/>
    </row>
    <row r="901" spans="1:26" ht="24.75" customHeight="1">
      <c r="A901" s="1"/>
      <c r="B901" s="1"/>
      <c r="C901" s="1"/>
      <c r="D901" s="1"/>
      <c r="E901" s="1"/>
      <c r="F901" s="1"/>
      <c r="G901" s="1"/>
      <c r="H901" s="1"/>
      <c r="I901" s="1"/>
      <c r="J901" s="1"/>
      <c r="K901" s="1"/>
      <c r="L901" s="1"/>
      <c r="M901" s="1"/>
      <c r="N901" s="1"/>
      <c r="O901" s="1"/>
      <c r="P901" s="1"/>
      <c r="Q901" s="1"/>
      <c r="R901" s="1"/>
      <c r="S901" s="1"/>
      <c r="T901" s="1"/>
      <c r="U901" s="2"/>
      <c r="V901" s="1"/>
      <c r="W901" s="1"/>
      <c r="X901" s="1"/>
      <c r="Y901" s="1"/>
      <c r="Z901" s="1"/>
    </row>
    <row r="902" spans="1:26" ht="24.75" customHeight="1">
      <c r="A902" s="1"/>
      <c r="B902" s="1"/>
      <c r="C902" s="1"/>
      <c r="D902" s="1"/>
      <c r="E902" s="1"/>
      <c r="F902" s="1"/>
      <c r="G902" s="1"/>
      <c r="H902" s="1"/>
      <c r="I902" s="1"/>
      <c r="J902" s="1"/>
      <c r="K902" s="1"/>
      <c r="L902" s="1"/>
      <c r="M902" s="1"/>
      <c r="N902" s="1"/>
      <c r="O902" s="1"/>
      <c r="P902" s="1"/>
      <c r="Q902" s="1"/>
      <c r="R902" s="1"/>
      <c r="S902" s="1"/>
      <c r="T902" s="1"/>
      <c r="U902" s="2"/>
      <c r="V902" s="1"/>
      <c r="W902" s="1"/>
      <c r="X902" s="1"/>
      <c r="Y902" s="1"/>
      <c r="Z902" s="1"/>
    </row>
    <row r="903" spans="1:26" ht="24.75" customHeight="1">
      <c r="A903" s="1"/>
      <c r="B903" s="1"/>
      <c r="C903" s="1"/>
      <c r="D903" s="1"/>
      <c r="E903" s="1"/>
      <c r="F903" s="1"/>
      <c r="G903" s="1"/>
      <c r="H903" s="1"/>
      <c r="I903" s="1"/>
      <c r="J903" s="1"/>
      <c r="K903" s="1"/>
      <c r="L903" s="1"/>
      <c r="M903" s="1"/>
      <c r="N903" s="1"/>
      <c r="O903" s="1"/>
      <c r="P903" s="1"/>
      <c r="Q903" s="1"/>
      <c r="R903" s="1"/>
      <c r="S903" s="1"/>
      <c r="T903" s="1"/>
      <c r="U903" s="2"/>
      <c r="V903" s="1"/>
      <c r="W903" s="1"/>
      <c r="X903" s="1"/>
      <c r="Y903" s="1"/>
      <c r="Z903" s="1"/>
    </row>
    <row r="904" spans="1:26" ht="24.75" customHeight="1">
      <c r="A904" s="1"/>
      <c r="B904" s="1"/>
      <c r="C904" s="1"/>
      <c r="D904" s="1"/>
      <c r="E904" s="1"/>
      <c r="F904" s="1"/>
      <c r="G904" s="1"/>
      <c r="H904" s="1"/>
      <c r="I904" s="1"/>
      <c r="J904" s="1"/>
      <c r="K904" s="1"/>
      <c r="L904" s="1"/>
      <c r="M904" s="1"/>
      <c r="N904" s="1"/>
      <c r="O904" s="1"/>
      <c r="P904" s="1"/>
      <c r="Q904" s="1"/>
      <c r="R904" s="1"/>
      <c r="S904" s="1"/>
      <c r="T904" s="1"/>
      <c r="U904" s="2"/>
      <c r="V904" s="1"/>
      <c r="W904" s="1"/>
      <c r="X904" s="1"/>
      <c r="Y904" s="1"/>
      <c r="Z904" s="1"/>
    </row>
    <row r="905" spans="1:26" ht="24.75" customHeight="1">
      <c r="A905" s="1"/>
      <c r="B905" s="1"/>
      <c r="C905" s="1"/>
      <c r="D905" s="1"/>
      <c r="E905" s="1"/>
      <c r="F905" s="1"/>
      <c r="G905" s="1"/>
      <c r="H905" s="1"/>
      <c r="I905" s="1"/>
      <c r="J905" s="1"/>
      <c r="K905" s="1"/>
      <c r="L905" s="1"/>
      <c r="M905" s="1"/>
      <c r="N905" s="1"/>
      <c r="O905" s="1"/>
      <c r="P905" s="1"/>
      <c r="Q905" s="1"/>
      <c r="R905" s="1"/>
      <c r="S905" s="1"/>
      <c r="T905" s="1"/>
      <c r="U905" s="2"/>
      <c r="V905" s="1"/>
      <c r="W905" s="1"/>
      <c r="X905" s="1"/>
      <c r="Y905" s="1"/>
      <c r="Z905" s="1"/>
    </row>
    <row r="906" spans="1:26" ht="24.75" customHeight="1">
      <c r="A906" s="1"/>
      <c r="B906" s="1"/>
      <c r="C906" s="1"/>
      <c r="D906" s="1"/>
      <c r="E906" s="1"/>
      <c r="F906" s="1"/>
      <c r="G906" s="1"/>
      <c r="H906" s="1"/>
      <c r="I906" s="1"/>
      <c r="J906" s="1"/>
      <c r="K906" s="1"/>
      <c r="L906" s="1"/>
      <c r="M906" s="1"/>
      <c r="N906" s="1"/>
      <c r="O906" s="1"/>
      <c r="P906" s="1"/>
      <c r="Q906" s="1"/>
      <c r="R906" s="1"/>
      <c r="S906" s="1"/>
      <c r="T906" s="1"/>
      <c r="U906" s="2"/>
      <c r="V906" s="1"/>
      <c r="W906" s="1"/>
      <c r="X906" s="1"/>
      <c r="Y906" s="1"/>
      <c r="Z906" s="1"/>
    </row>
    <row r="907" spans="1:26" ht="24.75" customHeight="1">
      <c r="A907" s="1"/>
      <c r="B907" s="1"/>
      <c r="C907" s="1"/>
      <c r="D907" s="1"/>
      <c r="E907" s="1"/>
      <c r="F907" s="1"/>
      <c r="G907" s="1"/>
      <c r="H907" s="1"/>
      <c r="I907" s="1"/>
      <c r="J907" s="1"/>
      <c r="K907" s="1"/>
      <c r="L907" s="1"/>
      <c r="M907" s="1"/>
      <c r="N907" s="1"/>
      <c r="O907" s="1"/>
      <c r="P907" s="1"/>
      <c r="Q907" s="1"/>
      <c r="R907" s="1"/>
      <c r="S907" s="1"/>
      <c r="T907" s="1"/>
      <c r="U907" s="2"/>
      <c r="V907" s="1"/>
      <c r="W907" s="1"/>
      <c r="X907" s="1"/>
      <c r="Y907" s="1"/>
      <c r="Z907" s="1"/>
    </row>
    <row r="908" spans="1:26" ht="24.75" customHeight="1">
      <c r="A908" s="1"/>
      <c r="B908" s="1"/>
      <c r="C908" s="1"/>
      <c r="D908" s="1"/>
      <c r="E908" s="1"/>
      <c r="F908" s="1"/>
      <c r="G908" s="1"/>
      <c r="H908" s="1"/>
      <c r="I908" s="1"/>
      <c r="J908" s="1"/>
      <c r="K908" s="1"/>
      <c r="L908" s="1"/>
      <c r="M908" s="1"/>
      <c r="N908" s="1"/>
      <c r="O908" s="1"/>
      <c r="P908" s="1"/>
      <c r="Q908" s="1"/>
      <c r="R908" s="1"/>
      <c r="S908" s="1"/>
      <c r="T908" s="1"/>
      <c r="U908" s="2"/>
      <c r="V908" s="1"/>
      <c r="W908" s="1"/>
      <c r="X908" s="1"/>
      <c r="Y908" s="1"/>
      <c r="Z908" s="1"/>
    </row>
    <row r="909" spans="1:26" ht="24.75" customHeight="1">
      <c r="A909" s="1"/>
      <c r="B909" s="1"/>
      <c r="C909" s="1"/>
      <c r="D909" s="1"/>
      <c r="E909" s="1"/>
      <c r="F909" s="1"/>
      <c r="G909" s="1"/>
      <c r="H909" s="1"/>
      <c r="I909" s="1"/>
      <c r="J909" s="1"/>
      <c r="K909" s="1"/>
      <c r="L909" s="1"/>
      <c r="M909" s="1"/>
      <c r="N909" s="1"/>
      <c r="O909" s="1"/>
      <c r="P909" s="1"/>
      <c r="Q909" s="1"/>
      <c r="R909" s="1"/>
      <c r="S909" s="1"/>
      <c r="T909" s="1"/>
      <c r="U909" s="2"/>
      <c r="V909" s="1"/>
      <c r="W909" s="1"/>
      <c r="X909" s="1"/>
      <c r="Y909" s="1"/>
      <c r="Z909" s="1"/>
    </row>
    <row r="910" spans="1:26" ht="24.75" customHeight="1">
      <c r="A910" s="1"/>
      <c r="B910" s="1"/>
      <c r="C910" s="1"/>
      <c r="D910" s="1"/>
      <c r="E910" s="1"/>
      <c r="F910" s="1"/>
      <c r="G910" s="1"/>
      <c r="H910" s="1"/>
      <c r="I910" s="1"/>
      <c r="J910" s="1"/>
      <c r="K910" s="1"/>
      <c r="L910" s="1"/>
      <c r="M910" s="1"/>
      <c r="N910" s="1"/>
      <c r="O910" s="1"/>
      <c r="P910" s="1"/>
      <c r="Q910" s="1"/>
      <c r="R910" s="1"/>
      <c r="S910" s="1"/>
      <c r="T910" s="1"/>
      <c r="U910" s="2"/>
      <c r="V910" s="1"/>
      <c r="W910" s="1"/>
      <c r="X910" s="1"/>
      <c r="Y910" s="1"/>
      <c r="Z910" s="1"/>
    </row>
    <row r="911" spans="1:26" ht="24.75" customHeight="1">
      <c r="A911" s="1"/>
      <c r="B911" s="1"/>
      <c r="C911" s="1"/>
      <c r="D911" s="1"/>
      <c r="E911" s="1"/>
      <c r="F911" s="1"/>
      <c r="G911" s="1"/>
      <c r="H911" s="1"/>
      <c r="I911" s="1"/>
      <c r="J911" s="1"/>
      <c r="K911" s="1"/>
      <c r="L911" s="1"/>
      <c r="M911" s="1"/>
      <c r="N911" s="1"/>
      <c r="O911" s="1"/>
      <c r="P911" s="1"/>
      <c r="Q911" s="1"/>
      <c r="R911" s="1"/>
      <c r="S911" s="1"/>
      <c r="T911" s="1"/>
      <c r="U911" s="2"/>
      <c r="V911" s="1"/>
      <c r="W911" s="1"/>
      <c r="X911" s="1"/>
      <c r="Y911" s="1"/>
      <c r="Z911" s="1"/>
    </row>
    <row r="912" spans="1:26" ht="24.75" customHeight="1">
      <c r="A912" s="1"/>
      <c r="B912" s="1"/>
      <c r="C912" s="1"/>
      <c r="D912" s="1"/>
      <c r="E912" s="1"/>
      <c r="F912" s="1"/>
      <c r="G912" s="1"/>
      <c r="H912" s="1"/>
      <c r="I912" s="1"/>
      <c r="J912" s="1"/>
      <c r="K912" s="1"/>
      <c r="L912" s="1"/>
      <c r="M912" s="1"/>
      <c r="N912" s="1"/>
      <c r="O912" s="1"/>
      <c r="P912" s="1"/>
      <c r="Q912" s="1"/>
      <c r="R912" s="1"/>
      <c r="S912" s="1"/>
      <c r="T912" s="1"/>
      <c r="U912" s="2"/>
      <c r="V912" s="1"/>
      <c r="W912" s="1"/>
      <c r="X912" s="1"/>
      <c r="Y912" s="1"/>
      <c r="Z912" s="1"/>
    </row>
    <row r="913" spans="1:26" ht="24.75" customHeight="1">
      <c r="A913" s="1"/>
      <c r="B913" s="1"/>
      <c r="C913" s="1"/>
      <c r="D913" s="1"/>
      <c r="E913" s="1"/>
      <c r="F913" s="1"/>
      <c r="G913" s="1"/>
      <c r="H913" s="1"/>
      <c r="I913" s="1"/>
      <c r="J913" s="1"/>
      <c r="K913" s="1"/>
      <c r="L913" s="1"/>
      <c r="M913" s="1"/>
      <c r="N913" s="1"/>
      <c r="O913" s="1"/>
      <c r="P913" s="1"/>
      <c r="Q913" s="1"/>
      <c r="R913" s="1"/>
      <c r="S913" s="1"/>
      <c r="T913" s="1"/>
      <c r="U913" s="2"/>
      <c r="V913" s="1"/>
      <c r="W913" s="1"/>
      <c r="X913" s="1"/>
      <c r="Y913" s="1"/>
      <c r="Z913" s="1"/>
    </row>
    <row r="914" spans="1:26" ht="24.75" customHeight="1">
      <c r="A914" s="1"/>
      <c r="B914" s="1"/>
      <c r="C914" s="1"/>
      <c r="D914" s="1"/>
      <c r="E914" s="1"/>
      <c r="F914" s="1"/>
      <c r="G914" s="1"/>
      <c r="H914" s="1"/>
      <c r="I914" s="1"/>
      <c r="J914" s="1"/>
      <c r="K914" s="1"/>
      <c r="L914" s="1"/>
      <c r="M914" s="1"/>
      <c r="N914" s="1"/>
      <c r="O914" s="1"/>
      <c r="P914" s="1"/>
      <c r="Q914" s="1"/>
      <c r="R914" s="1"/>
      <c r="S914" s="1"/>
      <c r="T914" s="1"/>
      <c r="U914" s="2"/>
      <c r="V914" s="1"/>
      <c r="W914" s="1"/>
      <c r="X914" s="1"/>
      <c r="Y914" s="1"/>
      <c r="Z914" s="1"/>
    </row>
    <row r="915" spans="1:26" ht="24.75" customHeight="1">
      <c r="A915" s="1"/>
      <c r="B915" s="1"/>
      <c r="C915" s="1"/>
      <c r="D915" s="1"/>
      <c r="E915" s="1"/>
      <c r="F915" s="1"/>
      <c r="G915" s="1"/>
      <c r="H915" s="1"/>
      <c r="I915" s="1"/>
      <c r="J915" s="1"/>
      <c r="K915" s="1"/>
      <c r="L915" s="1"/>
      <c r="M915" s="1"/>
      <c r="N915" s="1"/>
      <c r="O915" s="1"/>
      <c r="P915" s="1"/>
      <c r="Q915" s="1"/>
      <c r="R915" s="1"/>
      <c r="S915" s="1"/>
      <c r="T915" s="1"/>
      <c r="U915" s="2"/>
      <c r="V915" s="1"/>
      <c r="W915" s="1"/>
      <c r="X915" s="1"/>
      <c r="Y915" s="1"/>
      <c r="Z915" s="1"/>
    </row>
    <row r="916" spans="1:26" ht="24.75" customHeight="1">
      <c r="A916" s="1"/>
      <c r="B916" s="1"/>
      <c r="C916" s="1"/>
      <c r="D916" s="1"/>
      <c r="E916" s="1"/>
      <c r="F916" s="1"/>
      <c r="G916" s="1"/>
      <c r="H916" s="1"/>
      <c r="I916" s="1"/>
      <c r="J916" s="1"/>
      <c r="K916" s="1"/>
      <c r="L916" s="1"/>
      <c r="M916" s="1"/>
      <c r="N916" s="1"/>
      <c r="O916" s="1"/>
      <c r="P916" s="1"/>
      <c r="Q916" s="1"/>
      <c r="R916" s="1"/>
      <c r="S916" s="1"/>
      <c r="T916" s="1"/>
      <c r="U916" s="2"/>
      <c r="V916" s="1"/>
      <c r="W916" s="1"/>
      <c r="X916" s="1"/>
      <c r="Y916" s="1"/>
      <c r="Z916" s="1"/>
    </row>
    <row r="917" spans="1:26" ht="24.75" customHeight="1">
      <c r="A917" s="1"/>
      <c r="B917" s="1"/>
      <c r="C917" s="1"/>
      <c r="D917" s="1"/>
      <c r="E917" s="1"/>
      <c r="F917" s="1"/>
      <c r="G917" s="1"/>
      <c r="H917" s="1"/>
      <c r="I917" s="1"/>
      <c r="J917" s="1"/>
      <c r="K917" s="1"/>
      <c r="L917" s="1"/>
      <c r="M917" s="1"/>
      <c r="N917" s="1"/>
      <c r="O917" s="1"/>
      <c r="P917" s="1"/>
      <c r="Q917" s="1"/>
      <c r="R917" s="1"/>
      <c r="S917" s="1"/>
      <c r="T917" s="1"/>
      <c r="U917" s="2"/>
      <c r="V917" s="1"/>
      <c r="W917" s="1"/>
      <c r="X917" s="1"/>
      <c r="Y917" s="1"/>
      <c r="Z917" s="1"/>
    </row>
    <row r="918" spans="1:26" ht="24.75" customHeight="1">
      <c r="A918" s="1"/>
      <c r="B918" s="1"/>
      <c r="C918" s="1"/>
      <c r="D918" s="1"/>
      <c r="E918" s="1"/>
      <c r="F918" s="1"/>
      <c r="G918" s="1"/>
      <c r="H918" s="1"/>
      <c r="I918" s="1"/>
      <c r="J918" s="1"/>
      <c r="K918" s="1"/>
      <c r="L918" s="1"/>
      <c r="M918" s="1"/>
      <c r="N918" s="1"/>
      <c r="O918" s="1"/>
      <c r="P918" s="1"/>
      <c r="Q918" s="1"/>
      <c r="R918" s="1"/>
      <c r="S918" s="1"/>
      <c r="T918" s="1"/>
      <c r="U918" s="2"/>
      <c r="V918" s="1"/>
      <c r="W918" s="1"/>
      <c r="X918" s="1"/>
      <c r="Y918" s="1"/>
      <c r="Z918" s="1"/>
    </row>
    <row r="919" spans="1:26" ht="24.75" customHeight="1">
      <c r="A919" s="1"/>
      <c r="B919" s="1"/>
      <c r="C919" s="1"/>
      <c r="D919" s="1"/>
      <c r="E919" s="1"/>
      <c r="F919" s="1"/>
      <c r="G919" s="1"/>
      <c r="H919" s="1"/>
      <c r="I919" s="1"/>
      <c r="J919" s="1"/>
      <c r="K919" s="1"/>
      <c r="L919" s="1"/>
      <c r="M919" s="1"/>
      <c r="N919" s="1"/>
      <c r="O919" s="1"/>
      <c r="P919" s="1"/>
      <c r="Q919" s="1"/>
      <c r="R919" s="1"/>
      <c r="S919" s="1"/>
      <c r="T919" s="1"/>
      <c r="U919" s="2"/>
      <c r="V919" s="1"/>
      <c r="W919" s="1"/>
      <c r="X919" s="1"/>
      <c r="Y919" s="1"/>
      <c r="Z919" s="1"/>
    </row>
    <row r="920" spans="1:26" ht="24.75" customHeight="1">
      <c r="A920" s="1"/>
      <c r="B920" s="1"/>
      <c r="C920" s="1"/>
      <c r="D920" s="1"/>
      <c r="E920" s="1"/>
      <c r="F920" s="1"/>
      <c r="G920" s="1"/>
      <c r="H920" s="1"/>
      <c r="I920" s="1"/>
      <c r="J920" s="1"/>
      <c r="K920" s="1"/>
      <c r="L920" s="1"/>
      <c r="M920" s="1"/>
      <c r="N920" s="1"/>
      <c r="O920" s="1"/>
      <c r="P920" s="1"/>
      <c r="Q920" s="1"/>
      <c r="R920" s="1"/>
      <c r="S920" s="1"/>
      <c r="T920" s="1"/>
      <c r="U920" s="2"/>
      <c r="V920" s="1"/>
      <c r="W920" s="1"/>
      <c r="X920" s="1"/>
      <c r="Y920" s="1"/>
      <c r="Z920" s="1"/>
    </row>
    <row r="921" spans="1:26" ht="24.75" customHeight="1">
      <c r="A921" s="1"/>
      <c r="B921" s="1"/>
      <c r="C921" s="1"/>
      <c r="D921" s="1"/>
      <c r="E921" s="1"/>
      <c r="F921" s="1"/>
      <c r="G921" s="1"/>
      <c r="H921" s="1"/>
      <c r="I921" s="1"/>
      <c r="J921" s="1"/>
      <c r="K921" s="1"/>
      <c r="L921" s="1"/>
      <c r="M921" s="1"/>
      <c r="N921" s="1"/>
      <c r="O921" s="1"/>
      <c r="P921" s="1"/>
      <c r="Q921" s="1"/>
      <c r="R921" s="1"/>
      <c r="S921" s="1"/>
      <c r="T921" s="1"/>
      <c r="U921" s="2"/>
      <c r="V921" s="1"/>
      <c r="W921" s="1"/>
      <c r="X921" s="1"/>
      <c r="Y921" s="1"/>
      <c r="Z921" s="1"/>
    </row>
    <row r="922" spans="1:26" ht="24.75" customHeight="1">
      <c r="A922" s="1"/>
      <c r="B922" s="1"/>
      <c r="C922" s="1"/>
      <c r="D922" s="1"/>
      <c r="E922" s="1"/>
      <c r="F922" s="1"/>
      <c r="G922" s="1"/>
      <c r="H922" s="1"/>
      <c r="I922" s="1"/>
      <c r="J922" s="1"/>
      <c r="K922" s="1"/>
      <c r="L922" s="1"/>
      <c r="M922" s="1"/>
      <c r="N922" s="1"/>
      <c r="O922" s="1"/>
      <c r="P922" s="1"/>
      <c r="Q922" s="1"/>
      <c r="R922" s="1"/>
      <c r="S922" s="1"/>
      <c r="T922" s="1"/>
      <c r="U922" s="2"/>
      <c r="V922" s="1"/>
      <c r="W922" s="1"/>
      <c r="X922" s="1"/>
      <c r="Y922" s="1"/>
      <c r="Z922" s="1"/>
    </row>
    <row r="923" spans="1:26" ht="24.75" customHeight="1">
      <c r="A923" s="1"/>
      <c r="B923" s="1"/>
      <c r="C923" s="1"/>
      <c r="D923" s="1"/>
      <c r="E923" s="1"/>
      <c r="F923" s="1"/>
      <c r="G923" s="1"/>
      <c r="H923" s="1"/>
      <c r="I923" s="1"/>
      <c r="J923" s="1"/>
      <c r="K923" s="1"/>
      <c r="L923" s="1"/>
      <c r="M923" s="1"/>
      <c r="N923" s="1"/>
      <c r="O923" s="1"/>
      <c r="P923" s="1"/>
      <c r="Q923" s="1"/>
      <c r="R923" s="1"/>
      <c r="S923" s="1"/>
      <c r="T923" s="1"/>
      <c r="U923" s="2"/>
      <c r="V923" s="1"/>
      <c r="W923" s="1"/>
      <c r="X923" s="1"/>
      <c r="Y923" s="1"/>
      <c r="Z923" s="1"/>
    </row>
    <row r="924" spans="1:26" ht="24.75" customHeight="1">
      <c r="A924" s="1"/>
      <c r="B924" s="1"/>
      <c r="C924" s="1"/>
      <c r="D924" s="1"/>
      <c r="E924" s="1"/>
      <c r="F924" s="1"/>
      <c r="G924" s="1"/>
      <c r="H924" s="1"/>
      <c r="I924" s="1"/>
      <c r="J924" s="1"/>
      <c r="K924" s="1"/>
      <c r="L924" s="1"/>
      <c r="M924" s="1"/>
      <c r="N924" s="1"/>
      <c r="O924" s="1"/>
      <c r="P924" s="1"/>
      <c r="Q924" s="1"/>
      <c r="R924" s="1"/>
      <c r="S924" s="1"/>
      <c r="T924" s="1"/>
      <c r="U924" s="2"/>
      <c r="V924" s="1"/>
      <c r="W924" s="1"/>
      <c r="X924" s="1"/>
      <c r="Y924" s="1"/>
      <c r="Z924" s="1"/>
    </row>
    <row r="925" spans="1:26" ht="24.75" customHeight="1">
      <c r="A925" s="1"/>
      <c r="B925" s="1"/>
      <c r="C925" s="1"/>
      <c r="D925" s="1"/>
      <c r="E925" s="1"/>
      <c r="F925" s="1"/>
      <c r="G925" s="1"/>
      <c r="H925" s="1"/>
      <c r="I925" s="1"/>
      <c r="J925" s="1"/>
      <c r="K925" s="1"/>
      <c r="L925" s="1"/>
      <c r="M925" s="1"/>
      <c r="N925" s="1"/>
      <c r="O925" s="1"/>
      <c r="P925" s="1"/>
      <c r="Q925" s="1"/>
      <c r="R925" s="1"/>
      <c r="S925" s="1"/>
      <c r="T925" s="1"/>
      <c r="U925" s="2"/>
      <c r="V925" s="1"/>
      <c r="W925" s="1"/>
      <c r="X925" s="1"/>
      <c r="Y925" s="1"/>
      <c r="Z925" s="1"/>
    </row>
    <row r="926" spans="1:26" ht="24.75" customHeight="1">
      <c r="A926" s="1"/>
      <c r="B926" s="1"/>
      <c r="C926" s="1"/>
      <c r="D926" s="1"/>
      <c r="E926" s="1"/>
      <c r="F926" s="1"/>
      <c r="G926" s="1"/>
      <c r="H926" s="1"/>
      <c r="I926" s="1"/>
      <c r="J926" s="1"/>
      <c r="K926" s="1"/>
      <c r="L926" s="1"/>
      <c r="M926" s="1"/>
      <c r="N926" s="1"/>
      <c r="O926" s="1"/>
      <c r="P926" s="1"/>
      <c r="Q926" s="1"/>
      <c r="R926" s="1"/>
      <c r="S926" s="1"/>
      <c r="T926" s="1"/>
      <c r="U926" s="2"/>
      <c r="V926" s="1"/>
      <c r="W926" s="1"/>
      <c r="X926" s="1"/>
      <c r="Y926" s="1"/>
      <c r="Z926" s="1"/>
    </row>
    <row r="927" spans="1:26" ht="24.75" customHeight="1">
      <c r="A927" s="1"/>
      <c r="B927" s="1"/>
      <c r="C927" s="1"/>
      <c r="D927" s="1"/>
      <c r="E927" s="1"/>
      <c r="F927" s="1"/>
      <c r="G927" s="1"/>
      <c r="H927" s="1"/>
      <c r="I927" s="1"/>
      <c r="J927" s="1"/>
      <c r="K927" s="1"/>
      <c r="L927" s="1"/>
      <c r="M927" s="1"/>
      <c r="N927" s="1"/>
      <c r="O927" s="1"/>
      <c r="P927" s="1"/>
      <c r="Q927" s="1"/>
      <c r="R927" s="1"/>
      <c r="S927" s="1"/>
      <c r="T927" s="1"/>
      <c r="U927" s="2"/>
      <c r="V927" s="1"/>
      <c r="W927" s="1"/>
      <c r="X927" s="1"/>
      <c r="Y927" s="1"/>
      <c r="Z927" s="1"/>
    </row>
    <row r="928" spans="1:26" ht="24.75" customHeight="1">
      <c r="A928" s="1"/>
      <c r="B928" s="1"/>
      <c r="C928" s="1"/>
      <c r="D928" s="1"/>
      <c r="E928" s="1"/>
      <c r="F928" s="1"/>
      <c r="G928" s="1"/>
      <c r="H928" s="1"/>
      <c r="I928" s="1"/>
      <c r="J928" s="1"/>
      <c r="K928" s="1"/>
      <c r="L928" s="1"/>
      <c r="M928" s="1"/>
      <c r="N928" s="1"/>
      <c r="O928" s="1"/>
      <c r="P928" s="1"/>
      <c r="Q928" s="1"/>
      <c r="R928" s="1"/>
      <c r="S928" s="1"/>
      <c r="T928" s="1"/>
      <c r="U928" s="2"/>
      <c r="V928" s="1"/>
      <c r="W928" s="1"/>
      <c r="X928" s="1"/>
      <c r="Y928" s="1"/>
      <c r="Z928" s="1"/>
    </row>
    <row r="929" spans="1:26" ht="24.75" customHeight="1">
      <c r="A929" s="1"/>
      <c r="B929" s="1"/>
      <c r="C929" s="1"/>
      <c r="D929" s="1"/>
      <c r="E929" s="1"/>
      <c r="F929" s="1"/>
      <c r="G929" s="1"/>
      <c r="H929" s="1"/>
      <c r="I929" s="1"/>
      <c r="J929" s="1"/>
      <c r="K929" s="1"/>
      <c r="L929" s="1"/>
      <c r="M929" s="1"/>
      <c r="N929" s="1"/>
      <c r="O929" s="1"/>
      <c r="P929" s="1"/>
      <c r="Q929" s="1"/>
      <c r="R929" s="1"/>
      <c r="S929" s="1"/>
      <c r="T929" s="1"/>
      <c r="U929" s="2"/>
      <c r="V929" s="1"/>
      <c r="W929" s="1"/>
      <c r="X929" s="1"/>
      <c r="Y929" s="1"/>
      <c r="Z929" s="1"/>
    </row>
    <row r="930" spans="1:26" ht="24.75" customHeight="1">
      <c r="A930" s="1"/>
      <c r="B930" s="1"/>
      <c r="C930" s="1"/>
      <c r="D930" s="1"/>
      <c r="E930" s="1"/>
      <c r="F930" s="1"/>
      <c r="G930" s="1"/>
      <c r="H930" s="1"/>
      <c r="I930" s="1"/>
      <c r="J930" s="1"/>
      <c r="K930" s="1"/>
      <c r="L930" s="1"/>
      <c r="M930" s="1"/>
      <c r="N930" s="1"/>
      <c r="O930" s="1"/>
      <c r="P930" s="1"/>
      <c r="Q930" s="1"/>
      <c r="R930" s="1"/>
      <c r="S930" s="1"/>
      <c r="T930" s="1"/>
      <c r="U930" s="2"/>
      <c r="V930" s="1"/>
      <c r="W930" s="1"/>
      <c r="X930" s="1"/>
      <c r="Y930" s="1"/>
      <c r="Z930" s="1"/>
    </row>
    <row r="931" spans="1:26" ht="24.75" customHeight="1">
      <c r="A931" s="1"/>
      <c r="B931" s="1"/>
      <c r="C931" s="1"/>
      <c r="D931" s="1"/>
      <c r="E931" s="1"/>
      <c r="F931" s="1"/>
      <c r="G931" s="1"/>
      <c r="H931" s="1"/>
      <c r="I931" s="1"/>
      <c r="J931" s="1"/>
      <c r="K931" s="1"/>
      <c r="L931" s="1"/>
      <c r="M931" s="1"/>
      <c r="N931" s="1"/>
      <c r="O931" s="1"/>
      <c r="P931" s="1"/>
      <c r="Q931" s="1"/>
      <c r="R931" s="1"/>
      <c r="S931" s="1"/>
      <c r="T931" s="1"/>
      <c r="U931" s="2"/>
      <c r="V931" s="1"/>
      <c r="W931" s="1"/>
      <c r="X931" s="1"/>
      <c r="Y931" s="1"/>
      <c r="Z931" s="1"/>
    </row>
    <row r="932" spans="1:26" ht="24.75" customHeight="1">
      <c r="A932" s="1"/>
      <c r="B932" s="1"/>
      <c r="C932" s="1"/>
      <c r="D932" s="1"/>
      <c r="E932" s="1"/>
      <c r="F932" s="1"/>
      <c r="G932" s="1"/>
      <c r="H932" s="1"/>
      <c r="I932" s="1"/>
      <c r="J932" s="1"/>
      <c r="K932" s="1"/>
      <c r="L932" s="1"/>
      <c r="M932" s="1"/>
      <c r="N932" s="1"/>
      <c r="O932" s="1"/>
      <c r="P932" s="1"/>
      <c r="Q932" s="1"/>
      <c r="R932" s="1"/>
      <c r="S932" s="1"/>
      <c r="T932" s="1"/>
      <c r="U932" s="2"/>
      <c r="V932" s="1"/>
      <c r="W932" s="1"/>
      <c r="X932" s="1"/>
      <c r="Y932" s="1"/>
      <c r="Z932" s="1"/>
    </row>
    <row r="933" spans="1:26" ht="24.75" customHeight="1">
      <c r="A933" s="1"/>
      <c r="B933" s="1"/>
      <c r="C933" s="1"/>
      <c r="D933" s="1"/>
      <c r="E933" s="1"/>
      <c r="F933" s="1"/>
      <c r="G933" s="1"/>
      <c r="H933" s="1"/>
      <c r="I933" s="1"/>
      <c r="J933" s="1"/>
      <c r="K933" s="1"/>
      <c r="L933" s="1"/>
      <c r="M933" s="1"/>
      <c r="N933" s="1"/>
      <c r="O933" s="1"/>
      <c r="P933" s="1"/>
      <c r="Q933" s="1"/>
      <c r="R933" s="1"/>
      <c r="S933" s="1"/>
      <c r="T933" s="1"/>
      <c r="U933" s="2"/>
      <c r="V933" s="1"/>
      <c r="W933" s="1"/>
      <c r="X933" s="1"/>
      <c r="Y933" s="1"/>
      <c r="Z933" s="1"/>
    </row>
    <row r="934" spans="1:26" ht="24.75" customHeight="1">
      <c r="A934" s="1"/>
      <c r="B934" s="1"/>
      <c r="C934" s="1"/>
      <c r="D934" s="1"/>
      <c r="E934" s="1"/>
      <c r="F934" s="1"/>
      <c r="G934" s="1"/>
      <c r="H934" s="1"/>
      <c r="I934" s="1"/>
      <c r="J934" s="1"/>
      <c r="K934" s="1"/>
      <c r="L934" s="1"/>
      <c r="M934" s="1"/>
      <c r="N934" s="1"/>
      <c r="O934" s="1"/>
      <c r="P934" s="1"/>
      <c r="Q934" s="1"/>
      <c r="R934" s="1"/>
      <c r="S934" s="1"/>
      <c r="T934" s="1"/>
      <c r="U934" s="2"/>
      <c r="V934" s="1"/>
      <c r="W934" s="1"/>
      <c r="X934" s="1"/>
      <c r="Y934" s="1"/>
      <c r="Z934" s="1"/>
    </row>
    <row r="935" spans="1:26" ht="24.75" customHeight="1">
      <c r="A935" s="1"/>
      <c r="B935" s="1"/>
      <c r="C935" s="1"/>
      <c r="D935" s="1"/>
      <c r="E935" s="1"/>
      <c r="F935" s="1"/>
      <c r="G935" s="1"/>
      <c r="H935" s="1"/>
      <c r="I935" s="1"/>
      <c r="J935" s="1"/>
      <c r="K935" s="1"/>
      <c r="L935" s="1"/>
      <c r="M935" s="1"/>
      <c r="N935" s="1"/>
      <c r="O935" s="1"/>
      <c r="P935" s="1"/>
      <c r="Q935" s="1"/>
      <c r="R935" s="1"/>
      <c r="S935" s="1"/>
      <c r="T935" s="1"/>
      <c r="U935" s="2"/>
      <c r="V935" s="1"/>
      <c r="W935" s="1"/>
      <c r="X935" s="1"/>
      <c r="Y935" s="1"/>
      <c r="Z935" s="1"/>
    </row>
    <row r="936" spans="1:26" ht="24.75" customHeight="1">
      <c r="A936" s="1"/>
      <c r="B936" s="1"/>
      <c r="C936" s="1"/>
      <c r="D936" s="1"/>
      <c r="E936" s="1"/>
      <c r="F936" s="1"/>
      <c r="G936" s="1"/>
      <c r="H936" s="1"/>
      <c r="I936" s="1"/>
      <c r="J936" s="1"/>
      <c r="K936" s="1"/>
      <c r="L936" s="1"/>
      <c r="M936" s="1"/>
      <c r="N936" s="1"/>
      <c r="O936" s="1"/>
      <c r="P936" s="1"/>
      <c r="Q936" s="1"/>
      <c r="R936" s="1"/>
      <c r="S936" s="1"/>
      <c r="T936" s="1"/>
      <c r="U936" s="2"/>
      <c r="V936" s="1"/>
      <c r="W936" s="1"/>
      <c r="X936" s="1"/>
      <c r="Y936" s="1"/>
      <c r="Z936" s="1"/>
    </row>
    <row r="937" spans="1:26" ht="24.75" customHeight="1">
      <c r="A937" s="1"/>
      <c r="B937" s="1"/>
      <c r="C937" s="1"/>
      <c r="D937" s="1"/>
      <c r="E937" s="1"/>
      <c r="F937" s="1"/>
      <c r="G937" s="1"/>
      <c r="H937" s="1"/>
      <c r="I937" s="1"/>
      <c r="J937" s="1"/>
      <c r="K937" s="1"/>
      <c r="L937" s="1"/>
      <c r="M937" s="1"/>
      <c r="N937" s="1"/>
      <c r="O937" s="1"/>
      <c r="P937" s="1"/>
      <c r="Q937" s="1"/>
      <c r="R937" s="1"/>
      <c r="S937" s="1"/>
      <c r="T937" s="1"/>
      <c r="U937" s="2"/>
      <c r="V937" s="1"/>
      <c r="W937" s="1"/>
      <c r="X937" s="1"/>
      <c r="Y937" s="1"/>
      <c r="Z937" s="1"/>
    </row>
    <row r="938" spans="1:26" ht="24.75" customHeight="1">
      <c r="A938" s="1"/>
      <c r="B938" s="1"/>
      <c r="C938" s="1"/>
      <c r="D938" s="1"/>
      <c r="E938" s="1"/>
      <c r="F938" s="1"/>
      <c r="G938" s="1"/>
      <c r="H938" s="1"/>
      <c r="I938" s="1"/>
      <c r="J938" s="1"/>
      <c r="K938" s="1"/>
      <c r="L938" s="1"/>
      <c r="M938" s="1"/>
      <c r="N938" s="1"/>
      <c r="O938" s="1"/>
      <c r="P938" s="1"/>
      <c r="Q938" s="1"/>
      <c r="R938" s="1"/>
      <c r="S938" s="1"/>
      <c r="T938" s="1"/>
      <c r="U938" s="2"/>
      <c r="V938" s="1"/>
      <c r="W938" s="1"/>
      <c r="X938" s="1"/>
      <c r="Y938" s="1"/>
      <c r="Z938" s="1"/>
    </row>
    <row r="939" spans="1:26" ht="24.75" customHeight="1">
      <c r="A939" s="1"/>
      <c r="B939" s="1"/>
      <c r="C939" s="1"/>
      <c r="D939" s="1"/>
      <c r="E939" s="1"/>
      <c r="F939" s="1"/>
      <c r="G939" s="1"/>
      <c r="H939" s="1"/>
      <c r="I939" s="1"/>
      <c r="J939" s="1"/>
      <c r="K939" s="1"/>
      <c r="L939" s="1"/>
      <c r="M939" s="1"/>
      <c r="N939" s="1"/>
      <c r="O939" s="1"/>
      <c r="P939" s="1"/>
      <c r="Q939" s="1"/>
      <c r="R939" s="1"/>
      <c r="S939" s="1"/>
      <c r="T939" s="1"/>
      <c r="U939" s="2"/>
      <c r="V939" s="1"/>
      <c r="W939" s="1"/>
      <c r="X939" s="1"/>
      <c r="Y939" s="1"/>
      <c r="Z939" s="1"/>
    </row>
    <row r="940" spans="1:26" ht="24.75" customHeight="1">
      <c r="A940" s="1"/>
      <c r="B940" s="1"/>
      <c r="C940" s="1"/>
      <c r="D940" s="1"/>
      <c r="E940" s="1"/>
      <c r="F940" s="1"/>
      <c r="G940" s="1"/>
      <c r="H940" s="1"/>
      <c r="I940" s="1"/>
      <c r="J940" s="1"/>
      <c r="K940" s="1"/>
      <c r="L940" s="1"/>
      <c r="M940" s="1"/>
      <c r="N940" s="1"/>
      <c r="O940" s="1"/>
      <c r="P940" s="1"/>
      <c r="Q940" s="1"/>
      <c r="R940" s="1"/>
      <c r="S940" s="1"/>
      <c r="T940" s="1"/>
      <c r="U940" s="2"/>
      <c r="V940" s="1"/>
      <c r="W940" s="1"/>
      <c r="X940" s="1"/>
      <c r="Y940" s="1"/>
      <c r="Z940" s="1"/>
    </row>
    <row r="941" spans="1:26" ht="24.75" customHeight="1">
      <c r="A941" s="1"/>
      <c r="B941" s="1"/>
      <c r="C941" s="1"/>
      <c r="D941" s="1"/>
      <c r="E941" s="1"/>
      <c r="F941" s="1"/>
      <c r="G941" s="1"/>
      <c r="H941" s="1"/>
      <c r="I941" s="1"/>
      <c r="J941" s="1"/>
      <c r="K941" s="1"/>
      <c r="L941" s="1"/>
      <c r="M941" s="1"/>
      <c r="N941" s="1"/>
      <c r="O941" s="1"/>
      <c r="P941" s="1"/>
      <c r="Q941" s="1"/>
      <c r="R941" s="1"/>
      <c r="S941" s="1"/>
      <c r="T941" s="1"/>
      <c r="U941" s="2"/>
      <c r="V941" s="1"/>
      <c r="W941" s="1"/>
      <c r="X941" s="1"/>
      <c r="Y941" s="1"/>
      <c r="Z941" s="1"/>
    </row>
    <row r="942" spans="1:26" ht="24.75" customHeight="1">
      <c r="A942" s="1"/>
      <c r="B942" s="1"/>
      <c r="C942" s="1"/>
      <c r="D942" s="1"/>
      <c r="E942" s="1"/>
      <c r="F942" s="1"/>
      <c r="G942" s="1"/>
      <c r="H942" s="1"/>
      <c r="I942" s="1"/>
      <c r="J942" s="1"/>
      <c r="K942" s="1"/>
      <c r="L942" s="1"/>
      <c r="M942" s="1"/>
      <c r="N942" s="1"/>
      <c r="O942" s="1"/>
      <c r="P942" s="1"/>
      <c r="Q942" s="1"/>
      <c r="R942" s="1"/>
      <c r="S942" s="1"/>
      <c r="T942" s="1"/>
      <c r="U942" s="2"/>
      <c r="V942" s="1"/>
      <c r="W942" s="1"/>
      <c r="X942" s="1"/>
      <c r="Y942" s="1"/>
      <c r="Z942" s="1"/>
    </row>
    <row r="943" spans="1:26" ht="24.75" customHeight="1">
      <c r="A943" s="1"/>
      <c r="B943" s="1"/>
      <c r="C943" s="1"/>
      <c r="D943" s="1"/>
      <c r="E943" s="1"/>
      <c r="F943" s="1"/>
      <c r="G943" s="1"/>
      <c r="H943" s="1"/>
      <c r="I943" s="1"/>
      <c r="J943" s="1"/>
      <c r="K943" s="1"/>
      <c r="L943" s="1"/>
      <c r="M943" s="1"/>
      <c r="N943" s="1"/>
      <c r="O943" s="1"/>
      <c r="P943" s="1"/>
      <c r="Q943" s="1"/>
      <c r="R943" s="1"/>
      <c r="S943" s="1"/>
      <c r="T943" s="1"/>
      <c r="U943" s="2"/>
      <c r="V943" s="1"/>
      <c r="W943" s="1"/>
      <c r="X943" s="1"/>
      <c r="Y943" s="1"/>
      <c r="Z943" s="1"/>
    </row>
    <row r="944" spans="1:26" ht="24.75" customHeight="1">
      <c r="A944" s="1"/>
      <c r="B944" s="1"/>
      <c r="C944" s="1"/>
      <c r="D944" s="1"/>
      <c r="E944" s="1"/>
      <c r="F944" s="1"/>
      <c r="G944" s="1"/>
      <c r="H944" s="1"/>
      <c r="I944" s="1"/>
      <c r="J944" s="1"/>
      <c r="K944" s="1"/>
      <c r="L944" s="1"/>
      <c r="M944" s="1"/>
      <c r="N944" s="1"/>
      <c r="O944" s="1"/>
      <c r="P944" s="1"/>
      <c r="Q944" s="1"/>
      <c r="R944" s="1"/>
      <c r="S944" s="1"/>
      <c r="T944" s="1"/>
      <c r="U944" s="2"/>
      <c r="V944" s="1"/>
      <c r="W944" s="1"/>
      <c r="X944" s="1"/>
      <c r="Y944" s="1"/>
      <c r="Z944" s="1"/>
    </row>
    <row r="945" spans="1:26" ht="24.75" customHeight="1">
      <c r="A945" s="1"/>
      <c r="B945" s="1"/>
      <c r="C945" s="1"/>
      <c r="D945" s="1"/>
      <c r="E945" s="1"/>
      <c r="F945" s="1"/>
      <c r="G945" s="1"/>
      <c r="H945" s="1"/>
      <c r="I945" s="1"/>
      <c r="J945" s="1"/>
      <c r="K945" s="1"/>
      <c r="L945" s="1"/>
      <c r="M945" s="1"/>
      <c r="N945" s="1"/>
      <c r="O945" s="1"/>
      <c r="P945" s="1"/>
      <c r="Q945" s="1"/>
      <c r="R945" s="1"/>
      <c r="S945" s="1"/>
      <c r="T945" s="1"/>
      <c r="U945" s="2"/>
      <c r="V945" s="1"/>
      <c r="W945" s="1"/>
      <c r="X945" s="1"/>
      <c r="Y945" s="1"/>
      <c r="Z945" s="1"/>
    </row>
    <row r="946" spans="1:26" ht="24.75" customHeight="1">
      <c r="A946" s="1"/>
      <c r="B946" s="1"/>
      <c r="C946" s="1"/>
      <c r="D946" s="1"/>
      <c r="E946" s="1"/>
      <c r="F946" s="1"/>
      <c r="G946" s="1"/>
      <c r="H946" s="1"/>
      <c r="I946" s="1"/>
      <c r="J946" s="1"/>
      <c r="K946" s="1"/>
      <c r="L946" s="1"/>
      <c r="M946" s="1"/>
      <c r="N946" s="1"/>
      <c r="O946" s="1"/>
      <c r="P946" s="1"/>
      <c r="Q946" s="1"/>
      <c r="R946" s="1"/>
      <c r="S946" s="1"/>
      <c r="T946" s="1"/>
      <c r="U946" s="2"/>
      <c r="V946" s="1"/>
      <c r="W946" s="1"/>
      <c r="X946" s="1"/>
      <c r="Y946" s="1"/>
      <c r="Z946" s="1"/>
    </row>
    <row r="947" spans="1:26" ht="24.75" customHeight="1">
      <c r="A947" s="1"/>
      <c r="B947" s="1"/>
      <c r="C947" s="1"/>
      <c r="D947" s="1"/>
      <c r="E947" s="1"/>
      <c r="F947" s="1"/>
      <c r="G947" s="1"/>
      <c r="H947" s="1"/>
      <c r="I947" s="1"/>
      <c r="J947" s="1"/>
      <c r="K947" s="1"/>
      <c r="L947" s="1"/>
      <c r="M947" s="1"/>
      <c r="N947" s="1"/>
      <c r="O947" s="1"/>
      <c r="P947" s="1"/>
      <c r="Q947" s="1"/>
      <c r="R947" s="1"/>
      <c r="S947" s="1"/>
      <c r="T947" s="1"/>
      <c r="U947" s="2"/>
      <c r="V947" s="1"/>
      <c r="W947" s="1"/>
      <c r="X947" s="1"/>
      <c r="Y947" s="1"/>
      <c r="Z947" s="1"/>
    </row>
    <row r="948" spans="1:26" ht="24.75" customHeight="1">
      <c r="A948" s="1"/>
      <c r="B948" s="1"/>
      <c r="C948" s="1"/>
      <c r="D948" s="1"/>
      <c r="E948" s="1"/>
      <c r="F948" s="1"/>
      <c r="G948" s="1"/>
      <c r="H948" s="1"/>
      <c r="I948" s="1"/>
      <c r="J948" s="1"/>
      <c r="K948" s="1"/>
      <c r="L948" s="1"/>
      <c r="M948" s="1"/>
      <c r="N948" s="1"/>
      <c r="O948" s="1"/>
      <c r="P948" s="1"/>
      <c r="Q948" s="1"/>
      <c r="R948" s="1"/>
      <c r="S948" s="1"/>
      <c r="T948" s="1"/>
      <c r="U948" s="2"/>
      <c r="V948" s="1"/>
      <c r="W948" s="1"/>
      <c r="X948" s="1"/>
      <c r="Y948" s="1"/>
      <c r="Z948" s="1"/>
    </row>
    <row r="949" spans="1:26" ht="24.75" customHeight="1">
      <c r="A949" s="1"/>
      <c r="B949" s="1"/>
      <c r="C949" s="1"/>
      <c r="D949" s="1"/>
      <c r="E949" s="1"/>
      <c r="F949" s="1"/>
      <c r="G949" s="1"/>
      <c r="H949" s="1"/>
      <c r="I949" s="1"/>
      <c r="J949" s="1"/>
      <c r="K949" s="1"/>
      <c r="L949" s="1"/>
      <c r="M949" s="1"/>
      <c r="N949" s="1"/>
      <c r="O949" s="1"/>
      <c r="P949" s="1"/>
      <c r="Q949" s="1"/>
      <c r="R949" s="1"/>
      <c r="S949" s="1"/>
      <c r="T949" s="1"/>
      <c r="U949" s="2"/>
      <c r="V949" s="1"/>
      <c r="W949" s="1"/>
      <c r="X949" s="1"/>
      <c r="Y949" s="1"/>
      <c r="Z949" s="1"/>
    </row>
    <row r="950" spans="1:26" ht="24.75" customHeight="1">
      <c r="A950" s="1"/>
      <c r="B950" s="1"/>
      <c r="C950" s="1"/>
      <c r="D950" s="1"/>
      <c r="E950" s="1"/>
      <c r="F950" s="1"/>
      <c r="G950" s="1"/>
      <c r="H950" s="1"/>
      <c r="I950" s="1"/>
      <c r="J950" s="1"/>
      <c r="K950" s="1"/>
      <c r="L950" s="1"/>
      <c r="M950" s="1"/>
      <c r="N950" s="1"/>
      <c r="O950" s="1"/>
      <c r="P950" s="1"/>
      <c r="Q950" s="1"/>
      <c r="R950" s="1"/>
      <c r="S950" s="1"/>
      <c r="T950" s="1"/>
      <c r="U950" s="2"/>
      <c r="V950" s="1"/>
      <c r="W950" s="1"/>
      <c r="X950" s="1"/>
      <c r="Y950" s="1"/>
      <c r="Z950" s="1"/>
    </row>
    <row r="951" spans="1:26" ht="24.75" customHeight="1">
      <c r="A951" s="1"/>
      <c r="B951" s="1"/>
      <c r="C951" s="1"/>
      <c r="D951" s="1"/>
      <c r="E951" s="1"/>
      <c r="F951" s="1"/>
      <c r="G951" s="1"/>
      <c r="H951" s="1"/>
      <c r="I951" s="1"/>
      <c r="J951" s="1"/>
      <c r="K951" s="1"/>
      <c r="L951" s="1"/>
      <c r="M951" s="1"/>
      <c r="N951" s="1"/>
      <c r="O951" s="1"/>
      <c r="P951" s="1"/>
      <c r="Q951" s="1"/>
      <c r="R951" s="1"/>
      <c r="S951" s="1"/>
      <c r="T951" s="1"/>
      <c r="U951" s="2"/>
      <c r="V951" s="1"/>
      <c r="W951" s="1"/>
      <c r="X951" s="1"/>
      <c r="Y951" s="1"/>
      <c r="Z951" s="1"/>
    </row>
    <row r="952" spans="1:26" ht="24.75" customHeight="1">
      <c r="A952" s="1"/>
      <c r="B952" s="1"/>
      <c r="C952" s="1"/>
      <c r="D952" s="1"/>
      <c r="E952" s="1"/>
      <c r="F952" s="1"/>
      <c r="G952" s="1"/>
      <c r="H952" s="1"/>
      <c r="I952" s="1"/>
      <c r="J952" s="1"/>
      <c r="K952" s="1"/>
      <c r="L952" s="1"/>
      <c r="M952" s="1"/>
      <c r="N952" s="1"/>
      <c r="O952" s="1"/>
      <c r="P952" s="1"/>
      <c r="Q952" s="1"/>
      <c r="R952" s="1"/>
      <c r="S952" s="1"/>
      <c r="T952" s="1"/>
      <c r="U952" s="2"/>
      <c r="V952" s="1"/>
      <c r="W952" s="1"/>
      <c r="X952" s="1"/>
      <c r="Y952" s="1"/>
      <c r="Z952" s="1"/>
    </row>
    <row r="953" spans="1:26" ht="24.75" customHeight="1">
      <c r="A953" s="1"/>
      <c r="B953" s="1"/>
      <c r="C953" s="1"/>
      <c r="D953" s="1"/>
      <c r="E953" s="1"/>
      <c r="F953" s="1"/>
      <c r="G953" s="1"/>
      <c r="H953" s="1"/>
      <c r="I953" s="1"/>
      <c r="J953" s="1"/>
      <c r="K953" s="1"/>
      <c r="L953" s="1"/>
      <c r="M953" s="1"/>
      <c r="N953" s="1"/>
      <c r="O953" s="1"/>
      <c r="P953" s="1"/>
      <c r="Q953" s="1"/>
      <c r="R953" s="1"/>
      <c r="S953" s="1"/>
      <c r="T953" s="1"/>
      <c r="U953" s="2"/>
      <c r="V953" s="1"/>
      <c r="W953" s="1"/>
      <c r="X953" s="1"/>
      <c r="Y953" s="1"/>
      <c r="Z953" s="1"/>
    </row>
    <row r="954" spans="1:26" ht="24.75" customHeight="1">
      <c r="A954" s="1"/>
      <c r="B954" s="1"/>
      <c r="C954" s="1"/>
      <c r="D954" s="1"/>
      <c r="E954" s="1"/>
      <c r="F954" s="1"/>
      <c r="G954" s="1"/>
      <c r="H954" s="1"/>
      <c r="I954" s="1"/>
      <c r="J954" s="1"/>
      <c r="K954" s="1"/>
      <c r="L954" s="1"/>
      <c r="M954" s="1"/>
      <c r="N954" s="1"/>
      <c r="O954" s="1"/>
      <c r="P954" s="1"/>
      <c r="Q954" s="1"/>
      <c r="R954" s="1"/>
      <c r="S954" s="1"/>
      <c r="T954" s="1"/>
      <c r="U954" s="2"/>
      <c r="V954" s="1"/>
      <c r="W954" s="1"/>
      <c r="X954" s="1"/>
      <c r="Y954" s="1"/>
      <c r="Z954" s="1"/>
    </row>
    <row r="955" spans="1:26" ht="24.75" customHeight="1">
      <c r="A955" s="1"/>
      <c r="B955" s="1"/>
      <c r="C955" s="1"/>
      <c r="D955" s="1"/>
      <c r="E955" s="1"/>
      <c r="F955" s="1"/>
      <c r="G955" s="1"/>
      <c r="H955" s="1"/>
      <c r="I955" s="1"/>
      <c r="J955" s="1"/>
      <c r="K955" s="1"/>
      <c r="L955" s="1"/>
      <c r="M955" s="1"/>
      <c r="N955" s="1"/>
      <c r="O955" s="1"/>
      <c r="P955" s="1"/>
      <c r="Q955" s="1"/>
      <c r="R955" s="1"/>
      <c r="S955" s="1"/>
      <c r="T955" s="1"/>
      <c r="U955" s="2"/>
      <c r="V955" s="1"/>
      <c r="W955" s="1"/>
      <c r="X955" s="1"/>
      <c r="Y955" s="1"/>
      <c r="Z955" s="1"/>
    </row>
    <row r="956" spans="1:26" ht="24.75" customHeight="1">
      <c r="A956" s="1"/>
      <c r="B956" s="1"/>
      <c r="C956" s="1"/>
      <c r="D956" s="1"/>
      <c r="E956" s="1"/>
      <c r="F956" s="1"/>
      <c r="G956" s="1"/>
      <c r="H956" s="1"/>
      <c r="I956" s="1"/>
      <c r="J956" s="1"/>
      <c r="K956" s="1"/>
      <c r="L956" s="1"/>
      <c r="M956" s="1"/>
      <c r="N956" s="1"/>
      <c r="O956" s="1"/>
      <c r="P956" s="1"/>
      <c r="Q956" s="1"/>
      <c r="R956" s="1"/>
      <c r="S956" s="1"/>
      <c r="T956" s="1"/>
      <c r="U956" s="2"/>
      <c r="V956" s="1"/>
      <c r="W956" s="1"/>
      <c r="X956" s="1"/>
      <c r="Y956" s="1"/>
      <c r="Z956" s="1"/>
    </row>
    <row r="957" spans="1:26" ht="24.75" customHeight="1">
      <c r="A957" s="1"/>
      <c r="B957" s="1"/>
      <c r="C957" s="1"/>
      <c r="D957" s="1"/>
      <c r="E957" s="1"/>
      <c r="F957" s="1"/>
      <c r="G957" s="1"/>
      <c r="H957" s="1"/>
      <c r="I957" s="1"/>
      <c r="J957" s="1"/>
      <c r="K957" s="1"/>
      <c r="L957" s="1"/>
      <c r="M957" s="1"/>
      <c r="N957" s="1"/>
      <c r="O957" s="1"/>
      <c r="P957" s="1"/>
      <c r="Q957" s="1"/>
      <c r="R957" s="1"/>
      <c r="S957" s="1"/>
      <c r="T957" s="1"/>
      <c r="U957" s="2"/>
      <c r="V957" s="1"/>
      <c r="W957" s="1"/>
      <c r="X957" s="1"/>
      <c r="Y957" s="1"/>
      <c r="Z957" s="1"/>
    </row>
    <row r="958" spans="1:26" ht="24.75" customHeight="1">
      <c r="A958" s="1"/>
      <c r="B958" s="1"/>
      <c r="C958" s="1"/>
      <c r="D958" s="1"/>
      <c r="E958" s="1"/>
      <c r="F958" s="1"/>
      <c r="G958" s="1"/>
      <c r="H958" s="1"/>
      <c r="I958" s="1"/>
      <c r="J958" s="1"/>
      <c r="K958" s="1"/>
      <c r="L958" s="1"/>
      <c r="M958" s="1"/>
      <c r="N958" s="1"/>
      <c r="O958" s="1"/>
      <c r="P958" s="1"/>
      <c r="Q958" s="1"/>
      <c r="R958" s="1"/>
      <c r="S958" s="1"/>
      <c r="T958" s="1"/>
      <c r="U958" s="2"/>
      <c r="V958" s="1"/>
      <c r="W958" s="1"/>
      <c r="X958" s="1"/>
      <c r="Y958" s="1"/>
      <c r="Z958" s="1"/>
    </row>
    <row r="959" spans="1:26" ht="24.75" customHeight="1">
      <c r="A959" s="1"/>
      <c r="B959" s="1"/>
      <c r="C959" s="1"/>
      <c r="D959" s="1"/>
      <c r="E959" s="1"/>
      <c r="F959" s="1"/>
      <c r="G959" s="1"/>
      <c r="H959" s="1"/>
      <c r="I959" s="1"/>
      <c r="J959" s="1"/>
      <c r="K959" s="1"/>
      <c r="L959" s="1"/>
      <c r="M959" s="1"/>
      <c r="N959" s="1"/>
      <c r="O959" s="1"/>
      <c r="P959" s="1"/>
      <c r="Q959" s="1"/>
      <c r="R959" s="1"/>
      <c r="S959" s="1"/>
      <c r="T959" s="1"/>
      <c r="U959" s="2"/>
      <c r="V959" s="1"/>
      <c r="W959" s="1"/>
      <c r="X959" s="1"/>
      <c r="Y959" s="1"/>
      <c r="Z959" s="1"/>
    </row>
    <row r="960" spans="1:26" ht="24.75" customHeight="1">
      <c r="A960" s="1"/>
      <c r="B960" s="1"/>
      <c r="C960" s="1"/>
      <c r="D960" s="1"/>
      <c r="E960" s="1"/>
      <c r="F960" s="1"/>
      <c r="G960" s="1"/>
      <c r="H960" s="1"/>
      <c r="I960" s="1"/>
      <c r="J960" s="1"/>
      <c r="K960" s="1"/>
      <c r="L960" s="1"/>
      <c r="M960" s="1"/>
      <c r="N960" s="1"/>
      <c r="O960" s="1"/>
      <c r="P960" s="1"/>
      <c r="Q960" s="1"/>
      <c r="R960" s="1"/>
      <c r="S960" s="1"/>
      <c r="T960" s="1"/>
      <c r="U960" s="2"/>
      <c r="V960" s="1"/>
      <c r="W960" s="1"/>
      <c r="X960" s="1"/>
      <c r="Y960" s="1"/>
      <c r="Z960" s="1"/>
    </row>
    <row r="961" spans="1:26" ht="24.75" customHeight="1">
      <c r="A961" s="1"/>
      <c r="B961" s="1"/>
      <c r="C961" s="1"/>
      <c r="D961" s="1"/>
      <c r="E961" s="1"/>
      <c r="F961" s="1"/>
      <c r="G961" s="1"/>
      <c r="H961" s="1"/>
      <c r="I961" s="1"/>
      <c r="J961" s="1"/>
      <c r="K961" s="1"/>
      <c r="L961" s="1"/>
      <c r="M961" s="1"/>
      <c r="N961" s="1"/>
      <c r="O961" s="1"/>
      <c r="P961" s="1"/>
      <c r="Q961" s="1"/>
      <c r="R961" s="1"/>
      <c r="S961" s="1"/>
      <c r="T961" s="1"/>
      <c r="U961" s="2"/>
      <c r="V961" s="1"/>
      <c r="W961" s="1"/>
      <c r="X961" s="1"/>
      <c r="Y961" s="1"/>
      <c r="Z961" s="1"/>
    </row>
    <row r="962" spans="1:26" ht="24.75" customHeight="1">
      <c r="A962" s="1"/>
      <c r="B962" s="1"/>
      <c r="C962" s="1"/>
      <c r="D962" s="1"/>
      <c r="E962" s="1"/>
      <c r="F962" s="1"/>
      <c r="G962" s="1"/>
      <c r="H962" s="1"/>
      <c r="I962" s="1"/>
      <c r="J962" s="1"/>
      <c r="K962" s="1"/>
      <c r="L962" s="1"/>
      <c r="M962" s="1"/>
      <c r="N962" s="1"/>
      <c r="O962" s="1"/>
      <c r="P962" s="1"/>
      <c r="Q962" s="1"/>
      <c r="R962" s="1"/>
      <c r="S962" s="1"/>
      <c r="T962" s="1"/>
      <c r="U962" s="2"/>
      <c r="V962" s="1"/>
      <c r="W962" s="1"/>
      <c r="X962" s="1"/>
      <c r="Y962" s="1"/>
      <c r="Z962" s="1"/>
    </row>
    <row r="963" spans="1:26" ht="24.75" customHeight="1">
      <c r="A963" s="1"/>
      <c r="B963" s="1"/>
      <c r="C963" s="1"/>
      <c r="D963" s="1"/>
      <c r="E963" s="1"/>
      <c r="F963" s="1"/>
      <c r="G963" s="1"/>
      <c r="H963" s="1"/>
      <c r="I963" s="1"/>
      <c r="J963" s="1"/>
      <c r="K963" s="1"/>
      <c r="L963" s="1"/>
      <c r="M963" s="1"/>
      <c r="N963" s="1"/>
      <c r="O963" s="1"/>
      <c r="P963" s="1"/>
      <c r="Q963" s="1"/>
      <c r="R963" s="1"/>
      <c r="S963" s="1"/>
      <c r="T963" s="1"/>
      <c r="U963" s="2"/>
      <c r="V963" s="1"/>
      <c r="W963" s="1"/>
      <c r="X963" s="1"/>
      <c r="Y963" s="1"/>
      <c r="Z963" s="1"/>
    </row>
    <row r="964" spans="1:26" ht="24.75" customHeight="1">
      <c r="A964" s="1"/>
      <c r="B964" s="1"/>
      <c r="C964" s="1"/>
      <c r="D964" s="1"/>
      <c r="E964" s="1"/>
      <c r="F964" s="1"/>
      <c r="G964" s="1"/>
      <c r="H964" s="1"/>
      <c r="I964" s="1"/>
      <c r="J964" s="1"/>
      <c r="K964" s="1"/>
      <c r="L964" s="1"/>
      <c r="M964" s="1"/>
      <c r="N964" s="1"/>
      <c r="O964" s="1"/>
      <c r="P964" s="1"/>
      <c r="Q964" s="1"/>
      <c r="R964" s="1"/>
      <c r="S964" s="1"/>
      <c r="T964" s="1"/>
      <c r="U964" s="2"/>
      <c r="V964" s="1"/>
      <c r="W964" s="1"/>
      <c r="X964" s="1"/>
      <c r="Y964" s="1"/>
      <c r="Z964" s="1"/>
    </row>
    <row r="965" spans="1:26" ht="24.75" customHeight="1">
      <c r="A965" s="1"/>
      <c r="B965" s="1"/>
      <c r="C965" s="1"/>
      <c r="D965" s="1"/>
      <c r="E965" s="1"/>
      <c r="F965" s="1"/>
      <c r="G965" s="1"/>
      <c r="H965" s="1"/>
      <c r="I965" s="1"/>
      <c r="J965" s="1"/>
      <c r="K965" s="1"/>
      <c r="L965" s="1"/>
      <c r="M965" s="1"/>
      <c r="N965" s="1"/>
      <c r="O965" s="1"/>
      <c r="P965" s="1"/>
      <c r="Q965" s="1"/>
      <c r="R965" s="1"/>
      <c r="S965" s="1"/>
      <c r="T965" s="1"/>
      <c r="U965" s="2"/>
      <c r="V965" s="1"/>
      <c r="W965" s="1"/>
      <c r="X965" s="1"/>
      <c r="Y965" s="1"/>
      <c r="Z965" s="1"/>
    </row>
    <row r="966" spans="1:26" ht="24.75" customHeight="1">
      <c r="A966" s="1"/>
      <c r="B966" s="1"/>
      <c r="C966" s="1"/>
      <c r="D966" s="1"/>
      <c r="E966" s="1"/>
      <c r="F966" s="1"/>
      <c r="G966" s="1"/>
      <c r="H966" s="1"/>
      <c r="I966" s="1"/>
      <c r="J966" s="1"/>
      <c r="K966" s="1"/>
      <c r="L966" s="1"/>
      <c r="M966" s="1"/>
      <c r="N966" s="1"/>
      <c r="O966" s="1"/>
      <c r="P966" s="1"/>
      <c r="Q966" s="1"/>
      <c r="R966" s="1"/>
      <c r="S966" s="1"/>
      <c r="T966" s="1"/>
      <c r="U966" s="2"/>
      <c r="V966" s="1"/>
      <c r="W966" s="1"/>
      <c r="X966" s="1"/>
      <c r="Y966" s="1"/>
      <c r="Z966" s="1"/>
    </row>
    <row r="967" spans="1:26" ht="24.75" customHeight="1">
      <c r="A967" s="1"/>
      <c r="B967" s="1"/>
      <c r="C967" s="1"/>
      <c r="D967" s="1"/>
      <c r="E967" s="1"/>
      <c r="F967" s="1"/>
      <c r="G967" s="1"/>
      <c r="H967" s="1"/>
      <c r="I967" s="1"/>
      <c r="J967" s="1"/>
      <c r="K967" s="1"/>
      <c r="L967" s="1"/>
      <c r="M967" s="1"/>
      <c r="N967" s="1"/>
      <c r="O967" s="1"/>
      <c r="P967" s="1"/>
      <c r="Q967" s="1"/>
      <c r="R967" s="1"/>
      <c r="S967" s="1"/>
      <c r="T967" s="1"/>
      <c r="U967" s="2"/>
      <c r="V967" s="1"/>
      <c r="W967" s="1"/>
      <c r="X967" s="1"/>
      <c r="Y967" s="1"/>
      <c r="Z967" s="1"/>
    </row>
    <row r="968" spans="1:26" ht="24.75" customHeight="1">
      <c r="A968" s="1"/>
      <c r="B968" s="1"/>
      <c r="C968" s="1"/>
      <c r="D968" s="1"/>
      <c r="E968" s="1"/>
      <c r="F968" s="1"/>
      <c r="G968" s="1"/>
      <c r="H968" s="1"/>
      <c r="I968" s="1"/>
      <c r="J968" s="1"/>
      <c r="K968" s="1"/>
      <c r="L968" s="1"/>
      <c r="M968" s="1"/>
      <c r="N968" s="1"/>
      <c r="O968" s="1"/>
      <c r="P968" s="1"/>
      <c r="Q968" s="1"/>
      <c r="R968" s="1"/>
      <c r="S968" s="1"/>
      <c r="T968" s="1"/>
      <c r="U968" s="2"/>
      <c r="V968" s="1"/>
      <c r="W968" s="1"/>
      <c r="X968" s="1"/>
      <c r="Y968" s="1"/>
      <c r="Z968" s="1"/>
    </row>
    <row r="969" spans="1:26" ht="24.75" customHeight="1">
      <c r="A969" s="1"/>
      <c r="B969" s="1"/>
      <c r="C969" s="1"/>
      <c r="D969" s="1"/>
      <c r="E969" s="1"/>
      <c r="F969" s="1"/>
      <c r="G969" s="1"/>
      <c r="H969" s="1"/>
      <c r="I969" s="1"/>
      <c r="J969" s="1"/>
      <c r="K969" s="1"/>
      <c r="L969" s="1"/>
      <c r="M969" s="1"/>
      <c r="N969" s="1"/>
      <c r="O969" s="1"/>
      <c r="P969" s="1"/>
      <c r="Q969" s="1"/>
      <c r="R969" s="1"/>
      <c r="S969" s="1"/>
      <c r="T969" s="1"/>
      <c r="U969" s="2"/>
      <c r="V969" s="1"/>
      <c r="W969" s="1"/>
      <c r="X969" s="1"/>
      <c r="Y969" s="1"/>
      <c r="Z969" s="1"/>
    </row>
    <row r="970" spans="1:26" ht="24.75" customHeight="1">
      <c r="A970" s="1"/>
      <c r="B970" s="1"/>
      <c r="C970" s="1"/>
      <c r="D970" s="1"/>
      <c r="E970" s="1"/>
      <c r="F970" s="1"/>
      <c r="G970" s="1"/>
      <c r="H970" s="1"/>
      <c r="I970" s="1"/>
      <c r="J970" s="1"/>
      <c r="K970" s="1"/>
      <c r="L970" s="1"/>
      <c r="M970" s="1"/>
      <c r="N970" s="1"/>
      <c r="O970" s="1"/>
      <c r="P970" s="1"/>
      <c r="Q970" s="1"/>
      <c r="R970" s="1"/>
      <c r="S970" s="1"/>
      <c r="T970" s="1"/>
      <c r="U970" s="2"/>
      <c r="V970" s="1"/>
      <c r="W970" s="1"/>
      <c r="X970" s="1"/>
      <c r="Y970" s="1"/>
      <c r="Z970" s="1"/>
    </row>
    <row r="971" spans="1:26" ht="24.75" customHeight="1">
      <c r="A971" s="1"/>
      <c r="B971" s="1"/>
      <c r="C971" s="1"/>
      <c r="D971" s="1"/>
      <c r="E971" s="1"/>
      <c r="F971" s="1"/>
      <c r="G971" s="1"/>
      <c r="H971" s="1"/>
      <c r="I971" s="1"/>
      <c r="J971" s="1"/>
      <c r="K971" s="1"/>
      <c r="L971" s="1"/>
      <c r="M971" s="1"/>
      <c r="N971" s="1"/>
      <c r="O971" s="1"/>
      <c r="P971" s="1"/>
      <c r="Q971" s="1"/>
      <c r="R971" s="1"/>
      <c r="S971" s="1"/>
      <c r="T971" s="1"/>
      <c r="U971" s="2"/>
      <c r="V971" s="1"/>
      <c r="W971" s="1"/>
      <c r="X971" s="1"/>
      <c r="Y971" s="1"/>
      <c r="Z971" s="1"/>
    </row>
    <row r="972" spans="1:26" ht="24.75" customHeight="1">
      <c r="A972" s="1"/>
      <c r="B972" s="1"/>
      <c r="C972" s="1"/>
      <c r="D972" s="1"/>
      <c r="E972" s="1"/>
      <c r="F972" s="1"/>
      <c r="G972" s="1"/>
      <c r="H972" s="1"/>
      <c r="I972" s="1"/>
      <c r="J972" s="1"/>
      <c r="K972" s="1"/>
      <c r="L972" s="1"/>
      <c r="M972" s="1"/>
      <c r="N972" s="1"/>
      <c r="O972" s="1"/>
      <c r="P972" s="1"/>
      <c r="Q972" s="1"/>
      <c r="R972" s="1"/>
      <c r="S972" s="1"/>
      <c r="T972" s="1"/>
      <c r="U972" s="2"/>
      <c r="V972" s="1"/>
      <c r="W972" s="1"/>
      <c r="X972" s="1"/>
      <c r="Y972" s="1"/>
      <c r="Z972" s="1"/>
    </row>
    <row r="973" spans="1:26" ht="24.75" customHeight="1">
      <c r="A973" s="1"/>
      <c r="B973" s="1"/>
      <c r="C973" s="1"/>
      <c r="D973" s="1"/>
      <c r="E973" s="1"/>
      <c r="F973" s="1"/>
      <c r="G973" s="1"/>
      <c r="H973" s="1"/>
      <c r="I973" s="1"/>
      <c r="J973" s="1"/>
      <c r="K973" s="1"/>
      <c r="L973" s="1"/>
      <c r="M973" s="1"/>
      <c r="N973" s="1"/>
      <c r="O973" s="1"/>
      <c r="P973" s="1"/>
      <c r="Q973" s="1"/>
      <c r="R973" s="1"/>
      <c r="S973" s="1"/>
      <c r="T973" s="1"/>
      <c r="U973" s="2"/>
      <c r="V973" s="1"/>
      <c r="W973" s="1"/>
      <c r="X973" s="1"/>
      <c r="Y973" s="1"/>
      <c r="Z973" s="1"/>
    </row>
    <row r="974" spans="1:26" ht="24.75" customHeight="1">
      <c r="A974" s="1"/>
      <c r="B974" s="1"/>
      <c r="C974" s="1"/>
      <c r="D974" s="1"/>
      <c r="E974" s="1"/>
      <c r="F974" s="1"/>
      <c r="G974" s="1"/>
      <c r="H974" s="1"/>
      <c r="I974" s="1"/>
      <c r="J974" s="1"/>
      <c r="K974" s="1"/>
      <c r="L974" s="1"/>
      <c r="M974" s="1"/>
      <c r="N974" s="1"/>
      <c r="O974" s="1"/>
      <c r="P974" s="1"/>
      <c r="Q974" s="1"/>
      <c r="R974" s="1"/>
      <c r="S974" s="1"/>
      <c r="T974" s="1"/>
      <c r="U974" s="2"/>
      <c r="V974" s="1"/>
      <c r="W974" s="1"/>
      <c r="X974" s="1"/>
      <c r="Y974" s="1"/>
      <c r="Z974" s="1"/>
    </row>
    <row r="975" spans="1:26" ht="24.75" customHeight="1">
      <c r="A975" s="1"/>
      <c r="B975" s="1"/>
      <c r="C975" s="1"/>
      <c r="D975" s="1"/>
      <c r="E975" s="1"/>
      <c r="F975" s="1"/>
      <c r="G975" s="1"/>
      <c r="H975" s="1"/>
      <c r="I975" s="1"/>
      <c r="J975" s="1"/>
      <c r="K975" s="1"/>
      <c r="L975" s="1"/>
      <c r="M975" s="1"/>
      <c r="N975" s="1"/>
      <c r="O975" s="1"/>
      <c r="P975" s="1"/>
      <c r="Q975" s="1"/>
      <c r="R975" s="1"/>
      <c r="S975" s="1"/>
      <c r="T975" s="1"/>
      <c r="U975" s="2"/>
      <c r="V975" s="1"/>
      <c r="W975" s="1"/>
      <c r="X975" s="1"/>
      <c r="Y975" s="1"/>
      <c r="Z975" s="1"/>
    </row>
    <row r="976" spans="1:26" ht="24.75" customHeight="1">
      <c r="A976" s="1"/>
      <c r="B976" s="1"/>
      <c r="C976" s="1"/>
      <c r="D976" s="1"/>
      <c r="E976" s="1"/>
      <c r="F976" s="1"/>
      <c r="G976" s="1"/>
      <c r="H976" s="1"/>
      <c r="I976" s="1"/>
      <c r="J976" s="1"/>
      <c r="K976" s="1"/>
      <c r="L976" s="1"/>
      <c r="M976" s="1"/>
      <c r="N976" s="1"/>
      <c r="O976" s="1"/>
      <c r="P976" s="1"/>
      <c r="Q976" s="1"/>
      <c r="R976" s="1"/>
      <c r="S976" s="1"/>
      <c r="T976" s="1"/>
      <c r="U976" s="2"/>
      <c r="V976" s="1"/>
      <c r="W976" s="1"/>
      <c r="X976" s="1"/>
      <c r="Y976" s="1"/>
      <c r="Z976" s="1"/>
    </row>
    <row r="977" spans="1:26" ht="24.75" customHeight="1">
      <c r="A977" s="1"/>
      <c r="B977" s="1"/>
      <c r="C977" s="1"/>
      <c r="D977" s="1"/>
      <c r="E977" s="1"/>
      <c r="F977" s="1"/>
      <c r="G977" s="1"/>
      <c r="H977" s="1"/>
      <c r="I977" s="1"/>
      <c r="J977" s="1"/>
      <c r="K977" s="1"/>
      <c r="L977" s="1"/>
      <c r="M977" s="1"/>
      <c r="N977" s="1"/>
      <c r="O977" s="1"/>
      <c r="P977" s="1"/>
      <c r="Q977" s="1"/>
      <c r="R977" s="1"/>
      <c r="S977" s="1"/>
      <c r="T977" s="1"/>
      <c r="U977" s="2"/>
      <c r="V977" s="1"/>
      <c r="W977" s="1"/>
      <c r="X977" s="1"/>
      <c r="Y977" s="1"/>
      <c r="Z977" s="1"/>
    </row>
    <row r="978" spans="1:26" ht="24.75" customHeight="1">
      <c r="A978" s="1"/>
      <c r="B978" s="1"/>
      <c r="C978" s="1"/>
      <c r="D978" s="1"/>
      <c r="E978" s="1"/>
      <c r="F978" s="1"/>
      <c r="G978" s="1"/>
      <c r="H978" s="1"/>
      <c r="I978" s="1"/>
      <c r="J978" s="1"/>
      <c r="K978" s="1"/>
      <c r="L978" s="1"/>
      <c r="M978" s="1"/>
      <c r="N978" s="1"/>
      <c r="O978" s="1"/>
      <c r="P978" s="1"/>
      <c r="Q978" s="1"/>
      <c r="R978" s="1"/>
      <c r="S978" s="1"/>
      <c r="T978" s="1"/>
      <c r="U978" s="2"/>
      <c r="V978" s="1"/>
      <c r="W978" s="1"/>
      <c r="X978" s="1"/>
      <c r="Y978" s="1"/>
      <c r="Z978" s="1"/>
    </row>
    <row r="979" spans="1:26" ht="24.75" customHeight="1">
      <c r="A979" s="1"/>
      <c r="B979" s="1"/>
      <c r="C979" s="1"/>
      <c r="D979" s="1"/>
      <c r="E979" s="1"/>
      <c r="F979" s="1"/>
      <c r="G979" s="1"/>
      <c r="H979" s="1"/>
      <c r="I979" s="1"/>
      <c r="J979" s="1"/>
      <c r="K979" s="1"/>
      <c r="L979" s="1"/>
      <c r="M979" s="1"/>
      <c r="N979" s="1"/>
      <c r="O979" s="1"/>
      <c r="P979" s="1"/>
      <c r="Q979" s="1"/>
      <c r="R979" s="1"/>
      <c r="S979" s="1"/>
      <c r="T979" s="1"/>
      <c r="U979" s="2"/>
      <c r="V979" s="1"/>
      <c r="W979" s="1"/>
      <c r="X979" s="1"/>
      <c r="Y979" s="1"/>
      <c r="Z979" s="1"/>
    </row>
    <row r="980" spans="1:26" ht="24.75" customHeight="1">
      <c r="A980" s="1"/>
      <c r="B980" s="1"/>
      <c r="C980" s="1"/>
      <c r="D980" s="1"/>
      <c r="E980" s="1"/>
      <c r="F980" s="1"/>
      <c r="G980" s="1"/>
      <c r="H980" s="1"/>
      <c r="I980" s="1"/>
      <c r="J980" s="1"/>
      <c r="K980" s="1"/>
      <c r="L980" s="1"/>
      <c r="M980" s="1"/>
      <c r="N980" s="1"/>
      <c r="O980" s="1"/>
      <c r="P980" s="1"/>
      <c r="Q980" s="1"/>
      <c r="R980" s="1"/>
      <c r="S980" s="1"/>
      <c r="T980" s="1"/>
      <c r="U980" s="2"/>
      <c r="V980" s="1"/>
      <c r="W980" s="1"/>
      <c r="X980" s="1"/>
      <c r="Y980" s="1"/>
      <c r="Z980" s="1"/>
    </row>
    <row r="981" spans="1:26" ht="24.75" customHeight="1">
      <c r="A981" s="1"/>
      <c r="B981" s="1"/>
      <c r="C981" s="1"/>
      <c r="D981" s="1"/>
      <c r="E981" s="1"/>
      <c r="F981" s="1"/>
      <c r="G981" s="1"/>
      <c r="H981" s="1"/>
      <c r="I981" s="1"/>
      <c r="J981" s="1"/>
      <c r="K981" s="1"/>
      <c r="L981" s="1"/>
      <c r="M981" s="1"/>
      <c r="N981" s="1"/>
      <c r="O981" s="1"/>
      <c r="P981" s="1"/>
      <c r="Q981" s="1"/>
      <c r="R981" s="1"/>
      <c r="S981" s="1"/>
      <c r="T981" s="1"/>
      <c r="U981" s="2"/>
      <c r="V981" s="1"/>
      <c r="W981" s="1"/>
      <c r="X981" s="1"/>
      <c r="Y981" s="1"/>
      <c r="Z981" s="1"/>
    </row>
    <row r="982" spans="1:26" ht="24.75" customHeight="1">
      <c r="A982" s="1"/>
      <c r="B982" s="1"/>
      <c r="C982" s="1"/>
      <c r="D982" s="1"/>
      <c r="E982" s="1"/>
      <c r="F982" s="1"/>
      <c r="G982" s="1"/>
      <c r="H982" s="1"/>
      <c r="I982" s="1"/>
      <c r="J982" s="1"/>
      <c r="K982" s="1"/>
      <c r="L982" s="1"/>
      <c r="M982" s="1"/>
      <c r="N982" s="1"/>
      <c r="O982" s="1"/>
      <c r="P982" s="1"/>
      <c r="Q982" s="1"/>
      <c r="R982" s="1"/>
      <c r="S982" s="1"/>
      <c r="T982" s="1"/>
      <c r="U982" s="2"/>
      <c r="V982" s="1"/>
      <c r="W982" s="1"/>
      <c r="X982" s="1"/>
      <c r="Y982" s="1"/>
      <c r="Z982" s="1"/>
    </row>
    <row r="983" spans="1:26" ht="24.75" customHeight="1">
      <c r="A983" s="1"/>
      <c r="B983" s="1"/>
      <c r="C983" s="1"/>
      <c r="D983" s="1"/>
      <c r="E983" s="1"/>
      <c r="F983" s="1"/>
      <c r="G983" s="1"/>
      <c r="H983" s="1"/>
      <c r="I983" s="1"/>
      <c r="J983" s="1"/>
      <c r="K983" s="1"/>
      <c r="L983" s="1"/>
      <c r="M983" s="1"/>
      <c r="N983" s="1"/>
      <c r="O983" s="1"/>
      <c r="P983" s="1"/>
      <c r="Q983" s="1"/>
      <c r="R983" s="1"/>
      <c r="S983" s="1"/>
      <c r="T983" s="1"/>
      <c r="U983" s="2"/>
      <c r="V983" s="1"/>
      <c r="W983" s="1"/>
      <c r="X983" s="1"/>
      <c r="Y983" s="1"/>
      <c r="Z983" s="1"/>
    </row>
    <row r="984" spans="1:26" ht="24.75" customHeight="1">
      <c r="A984" s="1"/>
      <c r="B984" s="1"/>
      <c r="C984" s="1"/>
      <c r="D984" s="1"/>
      <c r="E984" s="1"/>
      <c r="F984" s="1"/>
      <c r="G984" s="1"/>
      <c r="H984" s="1"/>
      <c r="I984" s="1"/>
      <c r="J984" s="1"/>
      <c r="K984" s="1"/>
      <c r="L984" s="1"/>
      <c r="M984" s="1"/>
      <c r="N984" s="1"/>
      <c r="O984" s="1"/>
      <c r="P984" s="1"/>
      <c r="Q984" s="1"/>
      <c r="R984" s="1"/>
      <c r="S984" s="1"/>
      <c r="T984" s="1"/>
      <c r="U984" s="2"/>
      <c r="V984" s="1"/>
      <c r="W984" s="1"/>
      <c r="X984" s="1"/>
      <c r="Y984" s="1"/>
      <c r="Z984" s="1"/>
    </row>
    <row r="985" spans="1:26" ht="24.75" customHeight="1">
      <c r="A985" s="1"/>
      <c r="B985" s="1"/>
      <c r="C985" s="1"/>
      <c r="D985" s="1"/>
      <c r="E985" s="1"/>
      <c r="F985" s="1"/>
      <c r="G985" s="1"/>
      <c r="H985" s="1"/>
      <c r="I985" s="1"/>
      <c r="J985" s="1"/>
      <c r="K985" s="1"/>
      <c r="L985" s="1"/>
      <c r="M985" s="1"/>
      <c r="N985" s="1"/>
      <c r="O985" s="1"/>
      <c r="P985" s="1"/>
      <c r="Q985" s="1"/>
      <c r="R985" s="1"/>
      <c r="S985" s="1"/>
      <c r="T985" s="1"/>
      <c r="U985" s="2"/>
      <c r="V985" s="1"/>
      <c r="W985" s="1"/>
      <c r="X985" s="1"/>
      <c r="Y985" s="1"/>
      <c r="Z985" s="1"/>
    </row>
    <row r="986" spans="1:26" ht="24.75" customHeight="1">
      <c r="A986" s="1"/>
      <c r="B986" s="1"/>
      <c r="C986" s="1"/>
      <c r="D986" s="1"/>
      <c r="E986" s="1"/>
      <c r="F986" s="1"/>
      <c r="G986" s="1"/>
      <c r="H986" s="1"/>
      <c r="I986" s="1"/>
      <c r="J986" s="1"/>
      <c r="K986" s="1"/>
      <c r="L986" s="1"/>
      <c r="M986" s="1"/>
      <c r="N986" s="1"/>
      <c r="O986" s="1"/>
      <c r="P986" s="1"/>
      <c r="Q986" s="1"/>
      <c r="R986" s="1"/>
      <c r="S986" s="1"/>
      <c r="T986" s="1"/>
      <c r="U986" s="2"/>
      <c r="V986" s="1"/>
      <c r="W986" s="1"/>
      <c r="X986" s="1"/>
      <c r="Y986" s="1"/>
      <c r="Z986" s="1"/>
    </row>
    <row r="987" spans="1:26" ht="24.75" customHeight="1">
      <c r="A987" s="1"/>
      <c r="B987" s="1"/>
      <c r="C987" s="1"/>
      <c r="D987" s="1"/>
      <c r="E987" s="1"/>
      <c r="F987" s="1"/>
      <c r="G987" s="1"/>
      <c r="H987" s="1"/>
      <c r="I987" s="1"/>
      <c r="J987" s="1"/>
      <c r="K987" s="1"/>
      <c r="L987" s="1"/>
      <c r="M987" s="1"/>
      <c r="N987" s="1"/>
      <c r="O987" s="1"/>
      <c r="P987" s="1"/>
      <c r="Q987" s="1"/>
      <c r="R987" s="1"/>
      <c r="S987" s="1"/>
      <c r="T987" s="1"/>
      <c r="U987" s="2"/>
      <c r="V987" s="1"/>
      <c r="W987" s="1"/>
      <c r="X987" s="1"/>
      <c r="Y987" s="1"/>
      <c r="Z987" s="1"/>
    </row>
    <row r="988" spans="1:26" ht="24.75" customHeight="1">
      <c r="A988" s="1"/>
      <c r="B988" s="1"/>
      <c r="C988" s="1"/>
      <c r="D988" s="1"/>
      <c r="E988" s="1"/>
      <c r="F988" s="1"/>
      <c r="G988" s="1"/>
      <c r="H988" s="1"/>
      <c r="I988" s="1"/>
      <c r="J988" s="1"/>
      <c r="K988" s="1"/>
      <c r="L988" s="1"/>
      <c r="M988" s="1"/>
      <c r="N988" s="1"/>
      <c r="O988" s="1"/>
      <c r="P988" s="1"/>
      <c r="Q988" s="1"/>
      <c r="R988" s="1"/>
      <c r="S988" s="1"/>
      <c r="T988" s="1"/>
      <c r="U988" s="2"/>
      <c r="V988" s="1"/>
      <c r="W988" s="1"/>
      <c r="X988" s="1"/>
      <c r="Y988" s="1"/>
      <c r="Z988" s="1"/>
    </row>
    <row r="989" spans="1:26" ht="24.75" customHeight="1">
      <c r="A989" s="1"/>
      <c r="B989" s="1"/>
      <c r="C989" s="1"/>
      <c r="D989" s="1"/>
      <c r="E989" s="1"/>
      <c r="F989" s="1"/>
      <c r="G989" s="1"/>
      <c r="H989" s="1"/>
      <c r="I989" s="1"/>
      <c r="J989" s="1"/>
      <c r="K989" s="1"/>
      <c r="L989" s="1"/>
      <c r="M989" s="1"/>
      <c r="N989" s="1"/>
      <c r="O989" s="1"/>
      <c r="P989" s="1"/>
      <c r="Q989" s="1"/>
      <c r="R989" s="1"/>
      <c r="S989" s="1"/>
      <c r="T989" s="1"/>
      <c r="U989" s="2"/>
      <c r="V989" s="1"/>
      <c r="W989" s="1"/>
      <c r="X989" s="1"/>
      <c r="Y989" s="1"/>
      <c r="Z989" s="1"/>
    </row>
    <row r="990" spans="1:26" ht="24.75" customHeight="1">
      <c r="A990" s="1"/>
      <c r="B990" s="1"/>
      <c r="C990" s="1"/>
      <c r="D990" s="1"/>
      <c r="E990" s="1"/>
      <c r="F990" s="1"/>
      <c r="G990" s="1"/>
      <c r="H990" s="1"/>
      <c r="I990" s="1"/>
      <c r="J990" s="1"/>
      <c r="K990" s="1"/>
      <c r="L990" s="1"/>
      <c r="M990" s="1"/>
      <c r="N990" s="1"/>
      <c r="O990" s="1"/>
      <c r="P990" s="1"/>
      <c r="Q990" s="1"/>
      <c r="R990" s="1"/>
      <c r="S990" s="1"/>
      <c r="T990" s="1"/>
      <c r="U990" s="2"/>
      <c r="V990" s="1"/>
      <c r="W990" s="1"/>
      <c r="X990" s="1"/>
      <c r="Y990" s="1"/>
      <c r="Z990" s="1"/>
    </row>
    <row r="991" spans="1:26" ht="24.75" customHeight="1">
      <c r="A991" s="1"/>
      <c r="B991" s="1"/>
      <c r="C991" s="1"/>
      <c r="D991" s="1"/>
      <c r="E991" s="1"/>
      <c r="F991" s="1"/>
      <c r="G991" s="1"/>
      <c r="H991" s="1"/>
      <c r="I991" s="1"/>
      <c r="J991" s="1"/>
      <c r="K991" s="1"/>
      <c r="L991" s="1"/>
      <c r="M991" s="1"/>
      <c r="N991" s="1"/>
      <c r="O991" s="1"/>
      <c r="P991" s="1"/>
      <c r="Q991" s="1"/>
      <c r="R991" s="1"/>
      <c r="S991" s="1"/>
      <c r="T991" s="1"/>
      <c r="U991" s="2"/>
      <c r="V991" s="1"/>
      <c r="W991" s="1"/>
      <c r="X991" s="1"/>
      <c r="Y991" s="1"/>
      <c r="Z991" s="1"/>
    </row>
    <row r="992" spans="1:26" ht="24.75" customHeight="1">
      <c r="A992" s="1"/>
      <c r="B992" s="1"/>
      <c r="C992" s="1"/>
      <c r="D992" s="1"/>
      <c r="E992" s="1"/>
      <c r="F992" s="1"/>
      <c r="G992" s="1"/>
      <c r="H992" s="1"/>
      <c r="I992" s="1"/>
      <c r="J992" s="1"/>
      <c r="K992" s="1"/>
      <c r="L992" s="1"/>
      <c r="M992" s="1"/>
      <c r="N992" s="1"/>
      <c r="O992" s="1"/>
      <c r="P992" s="1"/>
      <c r="Q992" s="1"/>
      <c r="R992" s="1"/>
      <c r="S992" s="1"/>
      <c r="T992" s="1"/>
      <c r="U992" s="2"/>
      <c r="V992" s="1"/>
      <c r="W992" s="1"/>
      <c r="X992" s="1"/>
      <c r="Y992" s="1"/>
      <c r="Z992" s="1"/>
    </row>
    <row r="993" spans="1:26" ht="24.75" customHeight="1">
      <c r="A993" s="1"/>
      <c r="B993" s="1"/>
      <c r="C993" s="1"/>
      <c r="D993" s="1"/>
      <c r="E993" s="1"/>
      <c r="F993" s="1"/>
      <c r="G993" s="1"/>
      <c r="H993" s="1"/>
      <c r="I993" s="1"/>
      <c r="J993" s="1"/>
      <c r="K993" s="1"/>
      <c r="L993" s="1"/>
      <c r="M993" s="1"/>
      <c r="N993" s="1"/>
      <c r="O993" s="1"/>
      <c r="P993" s="1"/>
      <c r="Q993" s="1"/>
      <c r="R993" s="1"/>
      <c r="S993" s="1"/>
      <c r="T993" s="1"/>
      <c r="U993" s="2"/>
      <c r="V993" s="1"/>
      <c r="W993" s="1"/>
      <c r="X993" s="1"/>
      <c r="Y993" s="1"/>
      <c r="Z993" s="1"/>
    </row>
    <row r="994" spans="1:26" ht="24.75" customHeight="1">
      <c r="A994" s="1"/>
      <c r="B994" s="1"/>
      <c r="C994" s="1"/>
      <c r="D994" s="1"/>
      <c r="E994" s="1"/>
      <c r="F994" s="1"/>
      <c r="G994" s="1"/>
      <c r="H994" s="1"/>
      <c r="I994" s="1"/>
      <c r="J994" s="1"/>
      <c r="K994" s="1"/>
      <c r="L994" s="1"/>
      <c r="M994" s="1"/>
      <c r="N994" s="1"/>
      <c r="O994" s="1"/>
      <c r="P994" s="1"/>
      <c r="Q994" s="1"/>
      <c r="R994" s="1"/>
      <c r="S994" s="1"/>
      <c r="T994" s="1"/>
      <c r="U994" s="2"/>
      <c r="V994" s="1"/>
      <c r="W994" s="1"/>
      <c r="X994" s="1"/>
      <c r="Y994" s="1"/>
      <c r="Z994" s="1"/>
    </row>
    <row r="995" spans="1:26" ht="24.75" customHeight="1">
      <c r="A995" s="1"/>
      <c r="B995" s="1"/>
      <c r="C995" s="1"/>
      <c r="D995" s="1"/>
      <c r="E995" s="1"/>
      <c r="F995" s="1"/>
      <c r="G995" s="1"/>
      <c r="H995" s="1"/>
      <c r="I995" s="1"/>
      <c r="J995" s="1"/>
      <c r="K995" s="1"/>
      <c r="L995" s="1"/>
      <c r="M995" s="1"/>
      <c r="N995" s="1"/>
      <c r="O995" s="1"/>
      <c r="P995" s="1"/>
      <c r="Q995" s="1"/>
      <c r="R995" s="1"/>
      <c r="S995" s="1"/>
      <c r="T995" s="1"/>
      <c r="U995" s="2"/>
      <c r="V995" s="1"/>
      <c r="W995" s="1"/>
      <c r="X995" s="1"/>
      <c r="Y995" s="1"/>
      <c r="Z995" s="1"/>
    </row>
    <row r="996" spans="1:26" ht="24.75" customHeight="1">
      <c r="A996" s="1"/>
      <c r="B996" s="1"/>
      <c r="C996" s="1"/>
      <c r="D996" s="1"/>
      <c r="E996" s="1"/>
      <c r="F996" s="1"/>
      <c r="G996" s="1"/>
      <c r="H996" s="1"/>
      <c r="I996" s="1"/>
      <c r="J996" s="1"/>
      <c r="K996" s="1"/>
      <c r="L996" s="1"/>
      <c r="M996" s="1"/>
      <c r="N996" s="1"/>
      <c r="O996" s="1"/>
      <c r="P996" s="1"/>
      <c r="Q996" s="1"/>
      <c r="R996" s="1"/>
      <c r="S996" s="1"/>
      <c r="T996" s="1"/>
      <c r="U996" s="2"/>
      <c r="V996" s="1"/>
      <c r="W996" s="1"/>
      <c r="X996" s="1"/>
      <c r="Y996" s="1"/>
      <c r="Z996" s="1"/>
    </row>
    <row r="997" spans="1:26" ht="24.75" customHeight="1">
      <c r="A997" s="1"/>
      <c r="B997" s="1"/>
      <c r="C997" s="1"/>
      <c r="D997" s="1"/>
      <c r="E997" s="1"/>
      <c r="F997" s="1"/>
      <c r="G997" s="1"/>
      <c r="H997" s="1"/>
      <c r="I997" s="1"/>
      <c r="J997" s="1"/>
      <c r="K997" s="1"/>
      <c r="L997" s="1"/>
      <c r="M997" s="1"/>
      <c r="N997" s="1"/>
      <c r="O997" s="1"/>
      <c r="P997" s="1"/>
      <c r="Q997" s="1"/>
      <c r="R997" s="1"/>
      <c r="S997" s="1"/>
      <c r="T997" s="1"/>
      <c r="U997" s="2"/>
      <c r="V997" s="1"/>
      <c r="W997" s="1"/>
      <c r="X997" s="1"/>
      <c r="Y997" s="1"/>
      <c r="Z997" s="1"/>
    </row>
    <row r="998" spans="1:26" ht="24.75" customHeight="1">
      <c r="A998" s="1"/>
      <c r="B998" s="1"/>
      <c r="C998" s="1"/>
      <c r="D998" s="1"/>
      <c r="E998" s="1"/>
      <c r="F998" s="1"/>
      <c r="G998" s="1"/>
      <c r="H998" s="1"/>
      <c r="I998" s="1"/>
      <c r="J998" s="1"/>
      <c r="K998" s="1"/>
      <c r="L998" s="1"/>
      <c r="M998" s="1"/>
      <c r="N998" s="1"/>
      <c r="O998" s="1"/>
      <c r="P998" s="1"/>
      <c r="Q998" s="1"/>
      <c r="R998" s="1"/>
      <c r="S998" s="1"/>
      <c r="T998" s="1"/>
      <c r="U998" s="2"/>
      <c r="V998" s="1"/>
      <c r="W998" s="1"/>
      <c r="X998" s="1"/>
      <c r="Y998" s="1"/>
      <c r="Z998" s="1"/>
    </row>
    <row r="999" spans="1:26" ht="24.75" customHeight="1">
      <c r="A999" s="1"/>
      <c r="B999" s="1"/>
      <c r="C999" s="1"/>
      <c r="D999" s="1"/>
      <c r="E999" s="1"/>
      <c r="F999" s="1"/>
      <c r="G999" s="1"/>
      <c r="H999" s="1"/>
      <c r="I999" s="1"/>
      <c r="J999" s="1"/>
      <c r="K999" s="1"/>
      <c r="L999" s="1"/>
      <c r="M999" s="1"/>
      <c r="N999" s="1"/>
      <c r="O999" s="1"/>
      <c r="P999" s="1"/>
      <c r="Q999" s="1"/>
      <c r="R999" s="1"/>
      <c r="S999" s="1"/>
      <c r="T999" s="1"/>
      <c r="U999" s="2"/>
      <c r="V999" s="1"/>
      <c r="W999" s="1"/>
      <c r="X999" s="1"/>
      <c r="Y999" s="1"/>
      <c r="Z999" s="1"/>
    </row>
    <row r="1000" spans="1:26" ht="24.75" customHeight="1">
      <c r="A1000" s="1"/>
      <c r="B1000" s="1"/>
      <c r="C1000" s="1"/>
      <c r="D1000" s="1"/>
      <c r="E1000" s="1"/>
      <c r="F1000" s="1"/>
      <c r="G1000" s="1"/>
      <c r="H1000" s="1"/>
      <c r="I1000" s="1"/>
      <c r="J1000" s="1"/>
      <c r="K1000" s="1"/>
      <c r="L1000" s="1"/>
      <c r="M1000" s="1"/>
      <c r="N1000" s="1"/>
      <c r="O1000" s="1"/>
      <c r="P1000" s="1"/>
      <c r="Q1000" s="1"/>
      <c r="R1000" s="1"/>
      <c r="S1000" s="1"/>
      <c r="T1000" s="1"/>
      <c r="U1000" s="2"/>
      <c r="V1000" s="1"/>
      <c r="W1000" s="1"/>
      <c r="X1000" s="1"/>
      <c r="Y1000" s="1"/>
      <c r="Z1000" s="1"/>
    </row>
  </sheetData>
  <mergeCells count="101">
    <mergeCell ref="B204:B206"/>
    <mergeCell ref="C204:C206"/>
    <mergeCell ref="B209:D209"/>
    <mergeCell ref="A210:D210"/>
    <mergeCell ref="A135:A158"/>
    <mergeCell ref="B135:B136"/>
    <mergeCell ref="B138:B144"/>
    <mergeCell ref="B145:B146"/>
    <mergeCell ref="B147:B149"/>
    <mergeCell ref="B158:D158"/>
    <mergeCell ref="A159:A209"/>
    <mergeCell ref="C135:C136"/>
    <mergeCell ref="C138:C144"/>
    <mergeCell ref="C145:C146"/>
    <mergeCell ref="C147:C149"/>
    <mergeCell ref="C150:C153"/>
    <mergeCell ref="B173:B179"/>
    <mergeCell ref="C173:C179"/>
    <mergeCell ref="B180:B183"/>
    <mergeCell ref="C180:C183"/>
    <mergeCell ref="B184:B186"/>
    <mergeCell ref="C184:C186"/>
    <mergeCell ref="B187:B192"/>
    <mergeCell ref="C187:C192"/>
    <mergeCell ref="B150:B153"/>
    <mergeCell ref="B159:B162"/>
    <mergeCell ref="C159:C162"/>
    <mergeCell ref="B163:B167"/>
    <mergeCell ref="C163:C167"/>
    <mergeCell ref="B168:B172"/>
    <mergeCell ref="C168:C172"/>
    <mergeCell ref="B202:B203"/>
    <mergeCell ref="C202:C203"/>
    <mergeCell ref="B194:B199"/>
    <mergeCell ref="C194:C199"/>
    <mergeCell ref="B200:B201"/>
    <mergeCell ref="C200:C201"/>
    <mergeCell ref="C94:C103"/>
    <mergeCell ref="B104:B105"/>
    <mergeCell ref="C104:C105"/>
    <mergeCell ref="B106:B110"/>
    <mergeCell ref="C106:C110"/>
    <mergeCell ref="B111:B113"/>
    <mergeCell ref="C111:C113"/>
    <mergeCell ref="B94:B103"/>
    <mergeCell ref="A94:A134"/>
    <mergeCell ref="B114:B118"/>
    <mergeCell ref="C114:C118"/>
    <mergeCell ref="B119:B120"/>
    <mergeCell ref="C119:C120"/>
    <mergeCell ref="B122:B125"/>
    <mergeCell ref="C122:C125"/>
    <mergeCell ref="B128:B130"/>
    <mergeCell ref="C128:C130"/>
    <mergeCell ref="B131:B132"/>
    <mergeCell ref="C131:C132"/>
    <mergeCell ref="B134:D134"/>
    <mergeCell ref="B79:B85"/>
    <mergeCell ref="C79:C85"/>
    <mergeCell ref="B75:B78"/>
    <mergeCell ref="B57:B66"/>
    <mergeCell ref="C57:C66"/>
    <mergeCell ref="A69:A93"/>
    <mergeCell ref="B70:B74"/>
    <mergeCell ref="C70:C74"/>
    <mergeCell ref="C75:C78"/>
    <mergeCell ref="B86:B89"/>
    <mergeCell ref="C86:C89"/>
    <mergeCell ref="B93:D93"/>
    <mergeCell ref="B47:B56"/>
    <mergeCell ref="C47:C56"/>
    <mergeCell ref="C6:C23"/>
    <mergeCell ref="B24:B25"/>
    <mergeCell ref="C24:C25"/>
    <mergeCell ref="Q4:Q5"/>
    <mergeCell ref="R4:R5"/>
    <mergeCell ref="S4:S5"/>
    <mergeCell ref="A1:E1"/>
    <mergeCell ref="A4:A5"/>
    <mergeCell ref="C4:C5"/>
    <mergeCell ref="D4:D5"/>
    <mergeCell ref="E4:E5"/>
    <mergeCell ref="F4:F5"/>
    <mergeCell ref="A6:A68"/>
    <mergeCell ref="B68:D68"/>
    <mergeCell ref="B4:B5"/>
    <mergeCell ref="B6:B23"/>
    <mergeCell ref="B26:B36"/>
    <mergeCell ref="C26:C36"/>
    <mergeCell ref="B37:B39"/>
    <mergeCell ref="C37:C39"/>
    <mergeCell ref="B40:B46"/>
    <mergeCell ref="U4:U5"/>
    <mergeCell ref="G4:H4"/>
    <mergeCell ref="I4:I5"/>
    <mergeCell ref="J4:L4"/>
    <mergeCell ref="M4:M5"/>
    <mergeCell ref="N4:N5"/>
    <mergeCell ref="O4:O5"/>
    <mergeCell ref="P4:P5"/>
    <mergeCell ref="C40:C46"/>
  </mergeCells>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dimension ref="A1:Z1000"/>
  <sheetViews>
    <sheetView workbookViewId="0">
      <pane xSplit="3" ySplit="5" topLeftCell="D81" activePane="bottomRight" state="frozen"/>
      <selection pane="topRight" activeCell="D1" sqref="D1"/>
      <selection pane="bottomLeft" activeCell="A6" sqref="A6"/>
      <selection pane="bottomRight" activeCell="P89" sqref="P89"/>
    </sheetView>
  </sheetViews>
  <sheetFormatPr defaultColWidth="14.42578125" defaultRowHeight="15" customHeight="1"/>
  <cols>
    <col min="1" max="1" width="6.7109375" style="3" customWidth="1"/>
    <col min="2" max="2" width="7.28515625" style="3" customWidth="1"/>
    <col min="3" max="3" width="11.28515625" style="3" customWidth="1"/>
    <col min="4" max="4" width="5.85546875" style="3" customWidth="1"/>
    <col min="5" max="5" width="35.85546875" style="3" customWidth="1"/>
    <col min="6" max="6" width="7.42578125" style="3" customWidth="1"/>
    <col min="7" max="7" width="10.7109375" style="3" customWidth="1"/>
    <col min="8" max="8" width="8.28515625" style="3" customWidth="1"/>
    <col min="9" max="9" width="10.5703125" style="3" customWidth="1"/>
    <col min="10" max="10" width="11.85546875" style="3" customWidth="1"/>
    <col min="11" max="11" width="9.28515625" style="3" customWidth="1"/>
    <col min="12" max="12" width="6.7109375" style="3" customWidth="1"/>
    <col min="13" max="13" width="9" style="3" customWidth="1"/>
    <col min="14" max="14" width="9.7109375" style="3" customWidth="1"/>
    <col min="15" max="15" width="6.5703125" style="3" customWidth="1"/>
    <col min="16" max="16" width="8.85546875" style="3" customWidth="1"/>
    <col min="17" max="17" width="8.28515625" style="3" customWidth="1"/>
    <col min="18" max="18" width="10.5703125" style="3" customWidth="1"/>
    <col min="19" max="19" width="10.42578125" style="3" customWidth="1"/>
    <col min="20" max="20" width="15.7109375" style="3" customWidth="1"/>
    <col min="21" max="21" width="45.5703125" style="21" customWidth="1"/>
    <col min="22" max="16384" width="14.42578125" style="3"/>
  </cols>
  <sheetData>
    <row r="1" spans="1:26" ht="24.75" customHeight="1">
      <c r="A1" s="172" t="s">
        <v>379</v>
      </c>
      <c r="B1" s="173"/>
      <c r="C1" s="173"/>
      <c r="D1" s="173"/>
      <c r="E1" s="174"/>
      <c r="F1" s="1"/>
      <c r="G1" s="1"/>
      <c r="H1" s="1"/>
      <c r="I1" s="1"/>
      <c r="J1" s="1"/>
      <c r="K1" s="1"/>
      <c r="L1" s="1"/>
      <c r="M1" s="1"/>
      <c r="N1" s="1"/>
      <c r="O1" s="1"/>
      <c r="P1" s="1"/>
      <c r="Q1" s="1"/>
      <c r="R1" s="1"/>
      <c r="S1" s="1"/>
      <c r="T1" s="1"/>
      <c r="U1" s="2"/>
      <c r="V1" s="1"/>
      <c r="W1" s="1"/>
      <c r="X1" s="1"/>
      <c r="Y1" s="1"/>
      <c r="Z1" s="1"/>
    </row>
    <row r="2" spans="1:26" ht="24.75" hidden="1" customHeight="1">
      <c r="A2" s="1"/>
      <c r="B2" s="1"/>
      <c r="C2" s="1"/>
      <c r="D2" s="1"/>
      <c r="E2" s="1"/>
      <c r="F2" s="1"/>
      <c r="G2" s="1"/>
      <c r="H2" s="1"/>
      <c r="I2" s="1"/>
      <c r="J2" s="1"/>
      <c r="K2" s="1"/>
      <c r="L2" s="1"/>
      <c r="M2" s="1"/>
      <c r="N2" s="1"/>
      <c r="O2" s="1"/>
      <c r="P2" s="1"/>
      <c r="Q2" s="1"/>
      <c r="R2" s="1"/>
      <c r="S2" s="1"/>
      <c r="T2" s="1"/>
      <c r="U2" s="2"/>
      <c r="V2" s="1"/>
      <c r="W2" s="1"/>
      <c r="X2" s="1"/>
      <c r="Y2" s="1"/>
      <c r="Z2" s="1"/>
    </row>
    <row r="3" spans="1:26" ht="24.75" hidden="1" customHeight="1">
      <c r="A3" s="1"/>
      <c r="B3" s="4"/>
      <c r="C3" s="4"/>
      <c r="D3" s="4"/>
      <c r="E3" s="4"/>
      <c r="F3" s="4"/>
      <c r="G3" s="4"/>
      <c r="H3" s="4"/>
      <c r="I3" s="4"/>
      <c r="J3" s="4"/>
      <c r="K3" s="4"/>
      <c r="L3" s="4"/>
      <c r="M3" s="4"/>
      <c r="N3" s="4"/>
      <c r="O3" s="4"/>
      <c r="P3" s="4"/>
      <c r="Q3" s="4"/>
      <c r="R3" s="4"/>
      <c r="S3" s="4"/>
      <c r="T3" s="4"/>
      <c r="U3" s="60" t="s">
        <v>1</v>
      </c>
      <c r="V3" s="1"/>
      <c r="W3" s="1"/>
      <c r="X3" s="1"/>
      <c r="Y3" s="1"/>
      <c r="Z3" s="1"/>
    </row>
    <row r="4" spans="1:26" ht="24.75" customHeight="1">
      <c r="A4" s="168" t="s">
        <v>2</v>
      </c>
      <c r="B4" s="168" t="s">
        <v>3</v>
      </c>
      <c r="C4" s="168" t="s">
        <v>4</v>
      </c>
      <c r="D4" s="168" t="s">
        <v>5</v>
      </c>
      <c r="E4" s="168" t="s">
        <v>6</v>
      </c>
      <c r="F4" s="168" t="s">
        <v>7</v>
      </c>
      <c r="G4" s="166" t="s">
        <v>8</v>
      </c>
      <c r="H4" s="167"/>
      <c r="I4" s="168" t="s">
        <v>9</v>
      </c>
      <c r="J4" s="166" t="s">
        <v>10</v>
      </c>
      <c r="K4" s="170"/>
      <c r="L4" s="167"/>
      <c r="M4" s="168" t="s">
        <v>570</v>
      </c>
      <c r="N4" s="168" t="s">
        <v>11</v>
      </c>
      <c r="O4" s="168" t="s">
        <v>12</v>
      </c>
      <c r="P4" s="168" t="s">
        <v>380</v>
      </c>
      <c r="Q4" s="168" t="s">
        <v>14</v>
      </c>
      <c r="R4" s="168" t="s">
        <v>15</v>
      </c>
      <c r="S4" s="168" t="s">
        <v>16</v>
      </c>
      <c r="T4" s="5" t="s">
        <v>597</v>
      </c>
      <c r="U4" s="164" t="s">
        <v>17</v>
      </c>
      <c r="V4" s="1"/>
      <c r="W4" s="1"/>
      <c r="X4" s="1"/>
      <c r="Y4" s="1"/>
      <c r="Z4" s="1"/>
    </row>
    <row r="5" spans="1:26" ht="24.75" customHeight="1">
      <c r="A5" s="169"/>
      <c r="B5" s="169"/>
      <c r="C5" s="169"/>
      <c r="D5" s="169"/>
      <c r="E5" s="169"/>
      <c r="F5" s="169"/>
      <c r="G5" s="5" t="s">
        <v>18</v>
      </c>
      <c r="H5" s="5" t="s">
        <v>19</v>
      </c>
      <c r="I5" s="169"/>
      <c r="J5" s="5" t="s">
        <v>571</v>
      </c>
      <c r="K5" s="5" t="s">
        <v>20</v>
      </c>
      <c r="L5" s="5" t="s">
        <v>21</v>
      </c>
      <c r="M5" s="169"/>
      <c r="N5" s="169"/>
      <c r="O5" s="169"/>
      <c r="P5" s="169"/>
      <c r="Q5" s="169"/>
      <c r="R5" s="169"/>
      <c r="S5" s="169"/>
      <c r="T5" s="5" t="s">
        <v>22</v>
      </c>
      <c r="U5" s="169"/>
      <c r="V5" s="1"/>
      <c r="W5" s="1"/>
      <c r="X5" s="1"/>
      <c r="Y5" s="1"/>
      <c r="Z5" s="1"/>
    </row>
    <row r="6" spans="1:26" ht="24.75" customHeight="1">
      <c r="A6" s="175" t="s">
        <v>23</v>
      </c>
      <c r="B6" s="168" t="s">
        <v>24</v>
      </c>
      <c r="C6" s="168" t="s">
        <v>25</v>
      </c>
      <c r="D6" s="5">
        <v>1</v>
      </c>
      <c r="E6" s="5" t="s">
        <v>26</v>
      </c>
      <c r="F6" s="5"/>
      <c r="G6" s="5"/>
      <c r="H6" s="5"/>
      <c r="I6" s="5"/>
      <c r="J6" s="5"/>
      <c r="K6" s="5"/>
      <c r="L6" s="5"/>
      <c r="M6" s="5"/>
      <c r="N6" s="5"/>
      <c r="O6" s="5"/>
      <c r="P6" s="5"/>
      <c r="Q6" s="5"/>
      <c r="R6" s="5"/>
      <c r="S6" s="5"/>
      <c r="T6" s="6">
        <f t="shared" ref="T6:T69" si="0">SUM(F6:S6)</f>
        <v>0</v>
      </c>
      <c r="U6" s="9"/>
      <c r="V6" s="1"/>
      <c r="W6" s="1"/>
      <c r="X6" s="1"/>
      <c r="Y6" s="1"/>
      <c r="Z6" s="1"/>
    </row>
    <row r="7" spans="1:26" ht="24.75" customHeight="1">
      <c r="A7" s="171"/>
      <c r="B7" s="171"/>
      <c r="C7" s="171"/>
      <c r="D7" s="5">
        <v>2</v>
      </c>
      <c r="E7" s="5" t="s">
        <v>27</v>
      </c>
      <c r="F7" s="5"/>
      <c r="G7" s="5"/>
      <c r="H7" s="5"/>
      <c r="I7" s="5"/>
      <c r="J7" s="5"/>
      <c r="K7" s="6">
        <v>33.67</v>
      </c>
      <c r="L7" s="5"/>
      <c r="M7" s="5"/>
      <c r="N7" s="5"/>
      <c r="O7" s="5"/>
      <c r="P7" s="8">
        <v>1.73</v>
      </c>
      <c r="Q7" s="5"/>
      <c r="R7" s="5"/>
      <c r="S7" s="5"/>
      <c r="T7" s="6">
        <f t="shared" si="0"/>
        <v>35.4</v>
      </c>
      <c r="U7" s="9" t="s">
        <v>28</v>
      </c>
      <c r="V7" s="1"/>
      <c r="W7" s="1"/>
      <c r="X7" s="1"/>
      <c r="Y7" s="1"/>
      <c r="Z7" s="1"/>
    </row>
    <row r="8" spans="1:26" ht="21.75" customHeight="1">
      <c r="A8" s="171"/>
      <c r="B8" s="171"/>
      <c r="C8" s="171"/>
      <c r="D8" s="5">
        <v>3</v>
      </c>
      <c r="E8" s="5" t="s">
        <v>29</v>
      </c>
      <c r="F8" s="8">
        <v>22.89</v>
      </c>
      <c r="G8" s="5"/>
      <c r="H8" s="5"/>
      <c r="I8" s="5"/>
      <c r="J8" s="5"/>
      <c r="K8" s="5"/>
      <c r="L8" s="5"/>
      <c r="M8" s="5"/>
      <c r="N8" s="5"/>
      <c r="O8" s="8">
        <v>18.27</v>
      </c>
      <c r="P8" s="5"/>
      <c r="Q8" s="5"/>
      <c r="R8" s="8">
        <v>1.05</v>
      </c>
      <c r="S8" s="5"/>
      <c r="T8" s="6">
        <f t="shared" si="0"/>
        <v>42.209999999999994</v>
      </c>
      <c r="U8" s="9" t="s">
        <v>30</v>
      </c>
      <c r="V8" s="1"/>
      <c r="W8" s="1"/>
      <c r="X8" s="1"/>
      <c r="Y8" s="1"/>
      <c r="Z8" s="1"/>
    </row>
    <row r="9" spans="1:26" ht="24.75" customHeight="1">
      <c r="A9" s="171"/>
      <c r="B9" s="171"/>
      <c r="C9" s="171"/>
      <c r="D9" s="5">
        <v>4</v>
      </c>
      <c r="E9" s="5" t="s">
        <v>31</v>
      </c>
      <c r="F9" s="5"/>
      <c r="G9" s="5"/>
      <c r="H9" s="5"/>
      <c r="I9" s="5"/>
      <c r="J9" s="5"/>
      <c r="K9" s="5"/>
      <c r="L9" s="5"/>
      <c r="M9" s="6">
        <v>11.48</v>
      </c>
      <c r="N9" s="5"/>
      <c r="O9" s="5"/>
      <c r="P9" s="8">
        <f>17.41+0.57</f>
        <v>17.98</v>
      </c>
      <c r="Q9" s="5"/>
      <c r="R9" s="5"/>
      <c r="S9" s="5"/>
      <c r="T9" s="6">
        <f t="shared" si="0"/>
        <v>29.46</v>
      </c>
      <c r="U9" s="9" t="s">
        <v>32</v>
      </c>
      <c r="V9" s="1"/>
      <c r="W9" s="1"/>
      <c r="X9" s="1"/>
      <c r="Y9" s="1"/>
      <c r="Z9" s="1"/>
    </row>
    <row r="10" spans="1:26" ht="24.75" customHeight="1">
      <c r="A10" s="171"/>
      <c r="B10" s="171"/>
      <c r="C10" s="171"/>
      <c r="D10" s="5">
        <v>5</v>
      </c>
      <c r="E10" s="5" t="s">
        <v>33</v>
      </c>
      <c r="F10" s="5"/>
      <c r="G10" s="5"/>
      <c r="H10" s="5"/>
      <c r="I10" s="5"/>
      <c r="J10" s="5"/>
      <c r="K10" s="5"/>
      <c r="L10" s="5"/>
      <c r="M10" s="5"/>
      <c r="N10" s="5"/>
      <c r="O10" s="5"/>
      <c r="P10" s="6">
        <v>19.13</v>
      </c>
      <c r="Q10" s="5"/>
      <c r="R10" s="5"/>
      <c r="S10" s="5"/>
      <c r="T10" s="6">
        <f t="shared" si="0"/>
        <v>19.13</v>
      </c>
      <c r="U10" s="9" t="s">
        <v>34</v>
      </c>
      <c r="V10" s="1"/>
      <c r="W10" s="1"/>
      <c r="X10" s="1"/>
      <c r="Y10" s="1"/>
      <c r="Z10" s="1"/>
    </row>
    <row r="11" spans="1:26" ht="24.75" customHeight="1">
      <c r="A11" s="171"/>
      <c r="B11" s="171"/>
      <c r="C11" s="171"/>
      <c r="D11" s="5">
        <v>6</v>
      </c>
      <c r="E11" s="5" t="s">
        <v>35</v>
      </c>
      <c r="F11" s="5"/>
      <c r="G11" s="5"/>
      <c r="H11" s="5"/>
      <c r="I11" s="5"/>
      <c r="J11" s="5"/>
      <c r="K11" s="5"/>
      <c r="L11" s="5"/>
      <c r="M11" s="5"/>
      <c r="N11" s="8"/>
      <c r="O11" s="5"/>
      <c r="P11" s="8">
        <v>0.5</v>
      </c>
      <c r="Q11" s="5"/>
      <c r="R11" s="5"/>
      <c r="S11" s="5"/>
      <c r="T11" s="6">
        <f t="shared" si="0"/>
        <v>0.5</v>
      </c>
      <c r="U11" s="9" t="s">
        <v>36</v>
      </c>
      <c r="V11" s="1"/>
      <c r="W11" s="1"/>
      <c r="X11" s="1"/>
      <c r="Y11" s="1"/>
      <c r="Z11" s="1"/>
    </row>
    <row r="12" spans="1:26" ht="24.75" customHeight="1">
      <c r="A12" s="171"/>
      <c r="B12" s="171"/>
      <c r="C12" s="171"/>
      <c r="D12" s="5">
        <v>7</v>
      </c>
      <c r="E12" s="5" t="s">
        <v>37</v>
      </c>
      <c r="F12" s="5"/>
      <c r="G12" s="5"/>
      <c r="H12" s="5"/>
      <c r="I12" s="5"/>
      <c r="J12" s="5"/>
      <c r="K12" s="5"/>
      <c r="L12" s="5"/>
      <c r="M12" s="5"/>
      <c r="N12" s="5"/>
      <c r="O12" s="5"/>
      <c r="P12" s="8">
        <v>0.06</v>
      </c>
      <c r="Q12" s="8"/>
      <c r="R12" s="5"/>
      <c r="S12" s="5"/>
      <c r="T12" s="6">
        <f t="shared" si="0"/>
        <v>0.06</v>
      </c>
      <c r="U12" s="9" t="s">
        <v>38</v>
      </c>
      <c r="V12" s="1"/>
      <c r="W12" s="1"/>
      <c r="X12" s="1"/>
      <c r="Y12" s="1"/>
      <c r="Z12" s="1"/>
    </row>
    <row r="13" spans="1:26" ht="24.75" customHeight="1">
      <c r="A13" s="171"/>
      <c r="B13" s="171"/>
      <c r="C13" s="171"/>
      <c r="D13" s="5">
        <v>8</v>
      </c>
      <c r="E13" s="5" t="s">
        <v>39</v>
      </c>
      <c r="F13" s="5"/>
      <c r="G13" s="5"/>
      <c r="H13" s="5"/>
      <c r="I13" s="5"/>
      <c r="J13" s="5"/>
      <c r="K13" s="5"/>
      <c r="L13" s="5"/>
      <c r="M13" s="5"/>
      <c r="N13" s="6"/>
      <c r="O13" s="5"/>
      <c r="P13" s="5"/>
      <c r="Q13" s="5"/>
      <c r="R13" s="5"/>
      <c r="S13" s="5"/>
      <c r="T13" s="6">
        <f t="shared" si="0"/>
        <v>0</v>
      </c>
      <c r="U13" s="9"/>
      <c r="V13" s="1"/>
      <c r="W13" s="1"/>
      <c r="X13" s="1"/>
      <c r="Y13" s="1"/>
      <c r="Z13" s="1"/>
    </row>
    <row r="14" spans="1:26" ht="24.75" customHeight="1">
      <c r="A14" s="171"/>
      <c r="B14" s="171"/>
      <c r="C14" s="171"/>
      <c r="D14" s="5">
        <v>9</v>
      </c>
      <c r="E14" s="5" t="s">
        <v>40</v>
      </c>
      <c r="F14" s="5"/>
      <c r="G14" s="5"/>
      <c r="H14" s="5"/>
      <c r="I14" s="5"/>
      <c r="J14" s="5"/>
      <c r="K14" s="5"/>
      <c r="L14" s="5"/>
      <c r="M14" s="5"/>
      <c r="N14" s="6">
        <v>0.18</v>
      </c>
      <c r="O14" s="5"/>
      <c r="P14" s="5"/>
      <c r="Q14" s="8"/>
      <c r="R14" s="5"/>
      <c r="S14" s="8">
        <v>0.3</v>
      </c>
      <c r="T14" s="6">
        <f t="shared" si="0"/>
        <v>0.48</v>
      </c>
      <c r="U14" s="9" t="s">
        <v>41</v>
      </c>
      <c r="V14" s="1"/>
      <c r="W14" s="1"/>
      <c r="X14" s="1"/>
      <c r="Y14" s="1"/>
      <c r="Z14" s="1"/>
    </row>
    <row r="15" spans="1:26" ht="24.75" customHeight="1">
      <c r="A15" s="171"/>
      <c r="B15" s="171"/>
      <c r="C15" s="171"/>
      <c r="D15" s="5">
        <v>10</v>
      </c>
      <c r="E15" s="5" t="s">
        <v>42</v>
      </c>
      <c r="F15" s="5"/>
      <c r="G15" s="5"/>
      <c r="H15" s="5"/>
      <c r="I15" s="6"/>
      <c r="J15" s="5"/>
      <c r="K15" s="5"/>
      <c r="L15" s="5"/>
      <c r="M15" s="5"/>
      <c r="N15" s="6">
        <v>0.45750000000000002</v>
      </c>
      <c r="O15" s="5"/>
      <c r="P15" s="5"/>
      <c r="Q15" s="5"/>
      <c r="R15" s="5"/>
      <c r="S15" s="5"/>
      <c r="T15" s="6">
        <f t="shared" si="0"/>
        <v>0.45750000000000002</v>
      </c>
      <c r="U15" s="10" t="s">
        <v>43</v>
      </c>
      <c r="V15" s="1"/>
      <c r="W15" s="1"/>
      <c r="X15" s="1"/>
      <c r="Y15" s="1"/>
      <c r="Z15" s="1"/>
    </row>
    <row r="16" spans="1:26" ht="24.75" customHeight="1">
      <c r="A16" s="171"/>
      <c r="B16" s="171"/>
      <c r="C16" s="171"/>
      <c r="D16" s="5">
        <v>11</v>
      </c>
      <c r="E16" s="5" t="s">
        <v>44</v>
      </c>
      <c r="F16" s="5"/>
      <c r="G16" s="8"/>
      <c r="H16" s="8"/>
      <c r="I16" s="5"/>
      <c r="J16" s="5"/>
      <c r="K16" s="5"/>
      <c r="L16" s="5"/>
      <c r="M16" s="5"/>
      <c r="N16" s="5"/>
      <c r="O16" s="5"/>
      <c r="P16" s="5"/>
      <c r="Q16" s="5"/>
      <c r="R16" s="5"/>
      <c r="S16" s="5"/>
      <c r="T16" s="6">
        <f t="shared" si="0"/>
        <v>0</v>
      </c>
      <c r="U16" s="9"/>
      <c r="V16" s="1"/>
      <c r="W16" s="1"/>
      <c r="X16" s="1"/>
      <c r="Y16" s="1"/>
      <c r="Z16" s="1"/>
    </row>
    <row r="17" spans="1:26" ht="24.75" customHeight="1">
      <c r="A17" s="171"/>
      <c r="B17" s="171"/>
      <c r="C17" s="171"/>
      <c r="D17" s="5">
        <v>12</v>
      </c>
      <c r="E17" s="5" t="s">
        <v>45</v>
      </c>
      <c r="F17" s="5"/>
      <c r="G17" s="5"/>
      <c r="H17" s="5"/>
      <c r="I17" s="5"/>
      <c r="J17" s="5"/>
      <c r="K17" s="5"/>
      <c r="L17" s="5"/>
      <c r="M17" s="5"/>
      <c r="N17" s="6">
        <v>3.4950000000000001</v>
      </c>
      <c r="O17" s="5"/>
      <c r="P17" s="5"/>
      <c r="Q17" s="5"/>
      <c r="R17" s="5"/>
      <c r="S17" s="5"/>
      <c r="T17" s="6">
        <f t="shared" si="0"/>
        <v>3.4950000000000001</v>
      </c>
      <c r="U17" s="9" t="s">
        <v>46</v>
      </c>
      <c r="V17" s="1"/>
      <c r="W17" s="1"/>
      <c r="X17" s="1"/>
      <c r="Y17" s="1"/>
      <c r="Z17" s="1"/>
    </row>
    <row r="18" spans="1:26" ht="24.75" customHeight="1">
      <c r="A18" s="171"/>
      <c r="B18" s="171"/>
      <c r="C18" s="171"/>
      <c r="D18" s="5">
        <v>13</v>
      </c>
      <c r="E18" s="5" t="s">
        <v>47</v>
      </c>
      <c r="F18" s="5"/>
      <c r="G18" s="5"/>
      <c r="H18" s="5"/>
      <c r="I18" s="5"/>
      <c r="J18" s="5"/>
      <c r="K18" s="5"/>
      <c r="L18" s="5"/>
      <c r="M18" s="5"/>
      <c r="N18" s="5"/>
      <c r="O18" s="5"/>
      <c r="P18" s="8"/>
      <c r="Q18" s="5"/>
      <c r="R18" s="5"/>
      <c r="S18" s="5"/>
      <c r="T18" s="6">
        <f t="shared" si="0"/>
        <v>0</v>
      </c>
      <c r="U18" s="9"/>
      <c r="V18" s="1"/>
      <c r="W18" s="1"/>
      <c r="X18" s="1"/>
      <c r="Y18" s="1"/>
      <c r="Z18" s="1"/>
    </row>
    <row r="19" spans="1:26" ht="24.75" customHeight="1">
      <c r="A19" s="171"/>
      <c r="B19" s="171"/>
      <c r="C19" s="171"/>
      <c r="D19" s="5">
        <v>14</v>
      </c>
      <c r="E19" s="5" t="s">
        <v>48</v>
      </c>
      <c r="F19" s="5"/>
      <c r="G19" s="5"/>
      <c r="H19" s="5"/>
      <c r="I19" s="5"/>
      <c r="J19" s="5"/>
      <c r="K19" s="5"/>
      <c r="L19" s="5"/>
      <c r="M19" s="5"/>
      <c r="N19" s="5"/>
      <c r="O19" s="5"/>
      <c r="P19" s="5"/>
      <c r="Q19" s="5"/>
      <c r="R19" s="5"/>
      <c r="S19" s="5"/>
      <c r="T19" s="6">
        <f t="shared" si="0"/>
        <v>0</v>
      </c>
      <c r="U19" s="9"/>
      <c r="V19" s="1"/>
      <c r="W19" s="1"/>
      <c r="X19" s="1"/>
      <c r="Y19" s="1"/>
      <c r="Z19" s="1"/>
    </row>
    <row r="20" spans="1:26" ht="24.75" customHeight="1">
      <c r="A20" s="171"/>
      <c r="B20" s="171"/>
      <c r="C20" s="171"/>
      <c r="D20" s="5">
        <v>15</v>
      </c>
      <c r="E20" s="5" t="s">
        <v>49</v>
      </c>
      <c r="F20" s="5"/>
      <c r="G20" s="5"/>
      <c r="H20" s="5"/>
      <c r="I20" s="8">
        <v>2</v>
      </c>
      <c r="J20" s="5"/>
      <c r="K20" s="5"/>
      <c r="L20" s="5"/>
      <c r="M20" s="5"/>
      <c r="N20" s="6">
        <v>0.74785000000000001</v>
      </c>
      <c r="O20" s="5"/>
      <c r="P20" s="8"/>
      <c r="Q20" s="8"/>
      <c r="R20" s="5"/>
      <c r="S20" s="5"/>
      <c r="T20" s="6">
        <f t="shared" si="0"/>
        <v>2.7478500000000001</v>
      </c>
      <c r="U20" s="9" t="s">
        <v>50</v>
      </c>
      <c r="V20" s="1"/>
      <c r="W20" s="1"/>
      <c r="X20" s="1"/>
      <c r="Y20" s="1"/>
      <c r="Z20" s="1"/>
    </row>
    <row r="21" spans="1:26" ht="24.75" customHeight="1">
      <c r="A21" s="171"/>
      <c r="B21" s="171"/>
      <c r="C21" s="171"/>
      <c r="D21" s="5">
        <v>16</v>
      </c>
      <c r="E21" s="5" t="s">
        <v>51</v>
      </c>
      <c r="F21" s="5"/>
      <c r="G21" s="5"/>
      <c r="H21" s="5"/>
      <c r="I21" s="5"/>
      <c r="J21" s="5"/>
      <c r="K21" s="5"/>
      <c r="L21" s="5"/>
      <c r="M21" s="5"/>
      <c r="N21" s="5"/>
      <c r="O21" s="5"/>
      <c r="P21" s="5"/>
      <c r="Q21" s="5"/>
      <c r="R21" s="5"/>
      <c r="S21" s="5"/>
      <c r="T21" s="6">
        <f t="shared" si="0"/>
        <v>0</v>
      </c>
      <c r="U21" s="9"/>
      <c r="V21" s="1"/>
      <c r="W21" s="1"/>
      <c r="X21" s="1"/>
      <c r="Y21" s="1"/>
      <c r="Z21" s="1"/>
    </row>
    <row r="22" spans="1:26" ht="24.75" customHeight="1">
      <c r="A22" s="171"/>
      <c r="B22" s="171"/>
      <c r="C22" s="171"/>
      <c r="D22" s="5">
        <v>17</v>
      </c>
      <c r="E22" s="5" t="s">
        <v>52</v>
      </c>
      <c r="F22" s="5"/>
      <c r="G22" s="5"/>
      <c r="H22" s="5"/>
      <c r="I22" s="6"/>
      <c r="J22" s="5"/>
      <c r="K22" s="5"/>
      <c r="L22" s="5"/>
      <c r="M22" s="5"/>
      <c r="N22" s="6">
        <v>0.66300000000000003</v>
      </c>
      <c r="O22" s="5"/>
      <c r="P22" s="8">
        <v>0.3</v>
      </c>
      <c r="Q22" s="6">
        <v>3.25</v>
      </c>
      <c r="R22" s="5"/>
      <c r="S22" s="8"/>
      <c r="T22" s="6">
        <f t="shared" si="0"/>
        <v>4.2130000000000001</v>
      </c>
      <c r="U22" s="9" t="s">
        <v>358</v>
      </c>
      <c r="V22" s="1"/>
      <c r="W22" s="1"/>
      <c r="X22" s="1"/>
      <c r="Y22" s="1"/>
      <c r="Z22" s="1"/>
    </row>
    <row r="23" spans="1:26" ht="24.75" customHeight="1">
      <c r="A23" s="171"/>
      <c r="B23" s="169"/>
      <c r="C23" s="169"/>
      <c r="D23" s="5">
        <v>18</v>
      </c>
      <c r="E23" s="5" t="s">
        <v>54</v>
      </c>
      <c r="F23" s="5"/>
      <c r="G23" s="5"/>
      <c r="H23" s="5"/>
      <c r="I23" s="5"/>
      <c r="J23" s="5"/>
      <c r="K23" s="5"/>
      <c r="L23" s="5"/>
      <c r="M23" s="5"/>
      <c r="N23" s="5"/>
      <c r="O23" s="5"/>
      <c r="P23" s="8">
        <f>2.025+0.15</f>
        <v>2.1749999999999998</v>
      </c>
      <c r="Q23" s="8"/>
      <c r="R23" s="5"/>
      <c r="S23" s="8"/>
      <c r="T23" s="6">
        <f t="shared" si="0"/>
        <v>2.1749999999999998</v>
      </c>
      <c r="U23" s="9" t="s">
        <v>55</v>
      </c>
      <c r="V23" s="1"/>
      <c r="W23" s="1"/>
      <c r="X23" s="1"/>
      <c r="Y23" s="1"/>
      <c r="Z23" s="1"/>
    </row>
    <row r="24" spans="1:26" ht="24.75" customHeight="1">
      <c r="A24" s="171"/>
      <c r="B24" s="168" t="s">
        <v>56</v>
      </c>
      <c r="C24" s="168" t="s">
        <v>57</v>
      </c>
      <c r="D24" s="5">
        <v>19</v>
      </c>
      <c r="E24" s="5" t="s">
        <v>57</v>
      </c>
      <c r="F24" s="5"/>
      <c r="G24" s="5"/>
      <c r="H24" s="5"/>
      <c r="I24" s="5"/>
      <c r="J24" s="5"/>
      <c r="K24" s="5"/>
      <c r="L24" s="5"/>
      <c r="M24" s="5"/>
      <c r="N24" s="5"/>
      <c r="O24" s="5"/>
      <c r="P24" s="5"/>
      <c r="Q24" s="5"/>
      <c r="R24" s="5"/>
      <c r="S24" s="5"/>
      <c r="T24" s="6">
        <f t="shared" si="0"/>
        <v>0</v>
      </c>
      <c r="U24" s="9"/>
      <c r="V24" s="1"/>
      <c r="W24" s="1"/>
      <c r="X24" s="1"/>
      <c r="Y24" s="1"/>
      <c r="Z24" s="1"/>
    </row>
    <row r="25" spans="1:26" ht="24.75" customHeight="1">
      <c r="A25" s="171"/>
      <c r="B25" s="169"/>
      <c r="C25" s="169"/>
      <c r="D25" s="5">
        <v>20</v>
      </c>
      <c r="E25" s="5" t="s">
        <v>58</v>
      </c>
      <c r="F25" s="5"/>
      <c r="G25" s="5"/>
      <c r="H25" s="5"/>
      <c r="I25" s="5"/>
      <c r="J25" s="5"/>
      <c r="K25" s="5"/>
      <c r="L25" s="5"/>
      <c r="M25" s="5"/>
      <c r="N25" s="5"/>
      <c r="O25" s="5"/>
      <c r="P25" s="5"/>
      <c r="Q25" s="6">
        <v>0.5</v>
      </c>
      <c r="R25" s="5"/>
      <c r="S25" s="5"/>
      <c r="T25" s="6">
        <f t="shared" si="0"/>
        <v>0.5</v>
      </c>
      <c r="U25" s="9" t="s">
        <v>359</v>
      </c>
      <c r="V25" s="1"/>
      <c r="W25" s="1"/>
      <c r="X25" s="1"/>
      <c r="Y25" s="1"/>
      <c r="Z25" s="1"/>
    </row>
    <row r="26" spans="1:26" ht="24.75" customHeight="1">
      <c r="A26" s="171"/>
      <c r="B26" s="168" t="s">
        <v>60</v>
      </c>
      <c r="C26" s="168" t="s">
        <v>61</v>
      </c>
      <c r="D26" s="5">
        <v>21</v>
      </c>
      <c r="E26" s="5" t="s">
        <v>62</v>
      </c>
      <c r="F26" s="123"/>
      <c r="G26" s="123"/>
      <c r="H26" s="124"/>
      <c r="I26" s="125">
        <v>1.925</v>
      </c>
      <c r="J26" s="123"/>
      <c r="K26" s="125"/>
      <c r="L26" s="123"/>
      <c r="M26" s="123"/>
      <c r="N26" s="125">
        <f>0.5+0.4565+0.175+1</f>
        <v>2.1315</v>
      </c>
      <c r="O26" s="123"/>
      <c r="P26" s="124">
        <f>28.8+2.088</f>
        <v>30.888000000000002</v>
      </c>
      <c r="Q26" s="124">
        <f>0.1375</f>
        <v>0.13750000000000001</v>
      </c>
      <c r="R26" s="125">
        <f>0.5+0.1925</f>
        <v>0.6925</v>
      </c>
      <c r="S26" s="123"/>
      <c r="T26" s="125">
        <f t="shared" ref="T26:T36" si="1">SUM(F26:S26)</f>
        <v>35.77450000000001</v>
      </c>
      <c r="U26" s="9" t="s">
        <v>65</v>
      </c>
      <c r="V26" s="1"/>
      <c r="W26" s="1"/>
      <c r="X26" s="1"/>
      <c r="Y26" s="1"/>
      <c r="Z26" s="1"/>
    </row>
    <row r="27" spans="1:26" ht="24.75" customHeight="1">
      <c r="A27" s="171"/>
      <c r="B27" s="171"/>
      <c r="C27" s="171"/>
      <c r="D27" s="5">
        <v>22</v>
      </c>
      <c r="E27" s="5" t="s">
        <v>64</v>
      </c>
      <c r="F27" s="124"/>
      <c r="G27" s="123"/>
      <c r="H27" s="124"/>
      <c r="I27" s="125"/>
      <c r="J27" s="123"/>
      <c r="K27" s="123"/>
      <c r="L27" s="123"/>
      <c r="M27" s="124">
        <v>0.75</v>
      </c>
      <c r="N27" s="123"/>
      <c r="O27" s="123"/>
      <c r="P27" s="124">
        <v>101.2</v>
      </c>
      <c r="Q27" s="124"/>
      <c r="R27" s="125"/>
      <c r="S27" s="123"/>
      <c r="T27" s="125">
        <f t="shared" si="1"/>
        <v>101.95</v>
      </c>
      <c r="U27" s="9" t="s">
        <v>65</v>
      </c>
      <c r="V27" s="1"/>
      <c r="W27" s="1"/>
      <c r="X27" s="1"/>
      <c r="Y27" s="1"/>
      <c r="Z27" s="1"/>
    </row>
    <row r="28" spans="1:26" ht="24.75" customHeight="1">
      <c r="A28" s="171"/>
      <c r="B28" s="171"/>
      <c r="C28" s="171"/>
      <c r="D28" s="5">
        <v>23</v>
      </c>
      <c r="E28" s="5" t="s">
        <v>66</v>
      </c>
      <c r="F28" s="123"/>
      <c r="G28" s="123"/>
      <c r="H28" s="123"/>
      <c r="I28" s="123"/>
      <c r="J28" s="123"/>
      <c r="K28" s="125"/>
      <c r="L28" s="123"/>
      <c r="M28" s="123"/>
      <c r="N28" s="123"/>
      <c r="O28" s="124">
        <f>12.25875+0.724</f>
        <v>12.982749999999999</v>
      </c>
      <c r="P28" s="123"/>
      <c r="Q28" s="124"/>
      <c r="R28" s="123"/>
      <c r="S28" s="123"/>
      <c r="T28" s="125">
        <f t="shared" si="1"/>
        <v>12.982749999999999</v>
      </c>
      <c r="U28" s="9" t="s">
        <v>65</v>
      </c>
      <c r="V28" s="1"/>
      <c r="W28" s="1"/>
      <c r="X28" s="1"/>
      <c r="Y28" s="1"/>
      <c r="Z28" s="1"/>
    </row>
    <row r="29" spans="1:26" ht="24.75" customHeight="1">
      <c r="A29" s="171"/>
      <c r="B29" s="171"/>
      <c r="C29" s="171"/>
      <c r="D29" s="5">
        <v>24</v>
      </c>
      <c r="E29" s="5" t="s">
        <v>67</v>
      </c>
      <c r="F29" s="123"/>
      <c r="G29" s="123"/>
      <c r="H29" s="124"/>
      <c r="I29" s="123"/>
      <c r="J29" s="123"/>
      <c r="K29" s="123"/>
      <c r="L29" s="123"/>
      <c r="M29" s="123"/>
      <c r="N29" s="125">
        <f>1.72+1.72+1+1</f>
        <v>5.4399999999999995</v>
      </c>
      <c r="O29" s="124"/>
      <c r="P29" s="123">
        <f>0.4+7</f>
        <v>7.4</v>
      </c>
      <c r="Q29" s="125"/>
      <c r="R29" s="123"/>
      <c r="S29" s="123"/>
      <c r="T29" s="125">
        <f t="shared" si="1"/>
        <v>12.84</v>
      </c>
      <c r="U29" s="9" t="s">
        <v>360</v>
      </c>
      <c r="V29" s="1"/>
      <c r="W29" s="1"/>
      <c r="X29" s="1"/>
      <c r="Y29" s="1"/>
      <c r="Z29" s="1"/>
    </row>
    <row r="30" spans="1:26" ht="24.75" customHeight="1">
      <c r="A30" s="171"/>
      <c r="B30" s="171"/>
      <c r="C30" s="171"/>
      <c r="D30" s="5">
        <v>25</v>
      </c>
      <c r="E30" s="5" t="s">
        <v>69</v>
      </c>
      <c r="F30" s="123"/>
      <c r="G30" s="123"/>
      <c r="H30" s="123"/>
      <c r="I30" s="123"/>
      <c r="J30" s="123"/>
      <c r="K30" s="123"/>
      <c r="L30" s="123"/>
      <c r="M30" s="123"/>
      <c r="N30" s="125">
        <v>0.5</v>
      </c>
      <c r="O30" s="123"/>
      <c r="P30" s="123"/>
      <c r="Q30" s="123"/>
      <c r="R30" s="123"/>
      <c r="S30" s="123"/>
      <c r="T30" s="125">
        <f t="shared" si="1"/>
        <v>0.5</v>
      </c>
      <c r="U30" s="9" t="s">
        <v>65</v>
      </c>
      <c r="V30" s="1"/>
      <c r="W30" s="1"/>
      <c r="X30" s="1"/>
      <c r="Y30" s="1"/>
      <c r="Z30" s="1"/>
    </row>
    <row r="31" spans="1:26" ht="24.75" customHeight="1">
      <c r="A31" s="171"/>
      <c r="B31" s="171"/>
      <c r="C31" s="171"/>
      <c r="D31" s="5">
        <v>26</v>
      </c>
      <c r="E31" s="5" t="s">
        <v>70</v>
      </c>
      <c r="F31" s="123"/>
      <c r="G31" s="123"/>
      <c r="H31" s="123"/>
      <c r="I31" s="125"/>
      <c r="J31" s="123"/>
      <c r="K31" s="123"/>
      <c r="L31" s="123"/>
      <c r="M31" s="123"/>
      <c r="N31" s="125">
        <v>2.7</v>
      </c>
      <c r="O31" s="123"/>
      <c r="P31" s="123"/>
      <c r="Q31" s="125"/>
      <c r="R31" s="124"/>
      <c r="S31" s="123"/>
      <c r="T31" s="125">
        <f t="shared" si="1"/>
        <v>2.7</v>
      </c>
      <c r="U31" s="9" t="s">
        <v>360</v>
      </c>
      <c r="V31" s="1"/>
      <c r="W31" s="1"/>
      <c r="X31" s="1"/>
      <c r="Y31" s="1"/>
      <c r="Z31" s="1"/>
    </row>
    <row r="32" spans="1:26" ht="24.75" customHeight="1">
      <c r="A32" s="171"/>
      <c r="B32" s="171"/>
      <c r="C32" s="171"/>
      <c r="D32" s="5">
        <v>27</v>
      </c>
      <c r="E32" s="5" t="s">
        <v>72</v>
      </c>
      <c r="F32" s="123"/>
      <c r="G32" s="123"/>
      <c r="H32" s="124"/>
      <c r="I32" s="125"/>
      <c r="J32" s="123"/>
      <c r="K32" s="123"/>
      <c r="L32" s="123"/>
      <c r="M32" s="123"/>
      <c r="N32" s="125"/>
      <c r="O32" s="124"/>
      <c r="P32" s="124"/>
      <c r="Q32" s="123"/>
      <c r="R32" s="123"/>
      <c r="S32" s="123"/>
      <c r="T32" s="125">
        <f t="shared" si="1"/>
        <v>0</v>
      </c>
      <c r="U32" s="9"/>
      <c r="V32" s="1"/>
      <c r="W32" s="1"/>
      <c r="X32" s="1"/>
      <c r="Y32" s="1"/>
      <c r="Z32" s="1"/>
    </row>
    <row r="33" spans="1:26" ht="24.75" customHeight="1">
      <c r="A33" s="171"/>
      <c r="B33" s="171"/>
      <c r="C33" s="171"/>
      <c r="D33" s="5">
        <v>28</v>
      </c>
      <c r="E33" s="5" t="s">
        <v>31</v>
      </c>
      <c r="F33" s="123"/>
      <c r="G33" s="123"/>
      <c r="H33" s="123"/>
      <c r="I33" s="123"/>
      <c r="J33" s="123"/>
      <c r="K33" s="125">
        <v>1.1479999999999999</v>
      </c>
      <c r="L33" s="123"/>
      <c r="M33" s="125">
        <v>1.1479999999999999</v>
      </c>
      <c r="N33" s="123"/>
      <c r="O33" s="123"/>
      <c r="P33" s="123"/>
      <c r="Q33" s="123"/>
      <c r="R33" s="123"/>
      <c r="S33" s="123"/>
      <c r="T33" s="125">
        <f t="shared" si="1"/>
        <v>2.2959999999999998</v>
      </c>
      <c r="U33" s="9" t="s">
        <v>65</v>
      </c>
      <c r="V33" s="1"/>
      <c r="W33" s="1"/>
      <c r="X33" s="1"/>
      <c r="Y33" s="1"/>
      <c r="Z33" s="1"/>
    </row>
    <row r="34" spans="1:26" ht="24.75" customHeight="1">
      <c r="A34" s="171"/>
      <c r="B34" s="171"/>
      <c r="C34" s="171"/>
      <c r="D34" s="5">
        <v>29</v>
      </c>
      <c r="E34" s="5" t="s">
        <v>33</v>
      </c>
      <c r="F34" s="123"/>
      <c r="G34" s="123"/>
      <c r="H34" s="123"/>
      <c r="I34" s="123"/>
      <c r="J34" s="123"/>
      <c r="K34" s="123"/>
      <c r="L34" s="123"/>
      <c r="M34" s="123"/>
      <c r="N34" s="123"/>
      <c r="O34" s="123"/>
      <c r="P34" s="125">
        <v>2.87</v>
      </c>
      <c r="Q34" s="123"/>
      <c r="R34" s="123"/>
      <c r="S34" s="123"/>
      <c r="T34" s="125">
        <f t="shared" si="1"/>
        <v>2.87</v>
      </c>
      <c r="U34" s="9" t="s">
        <v>65</v>
      </c>
      <c r="V34" s="1"/>
      <c r="W34" s="1"/>
      <c r="X34" s="1"/>
      <c r="Y34" s="1"/>
      <c r="Z34" s="1"/>
    </row>
    <row r="35" spans="1:26" ht="24.75" customHeight="1">
      <c r="A35" s="171"/>
      <c r="B35" s="171"/>
      <c r="C35" s="171"/>
      <c r="D35" s="5">
        <v>30</v>
      </c>
      <c r="E35" s="5" t="s">
        <v>73</v>
      </c>
      <c r="F35" s="123"/>
      <c r="G35" s="123"/>
      <c r="H35" s="123"/>
      <c r="I35" s="125"/>
      <c r="J35" s="123"/>
      <c r="K35" s="123"/>
      <c r="L35" s="123"/>
      <c r="M35" s="123"/>
      <c r="N35" s="123"/>
      <c r="O35" s="123"/>
      <c r="P35" s="123"/>
      <c r="Q35" s="125">
        <v>3.5</v>
      </c>
      <c r="R35" s="124">
        <v>1.39</v>
      </c>
      <c r="S35" s="123"/>
      <c r="T35" s="125">
        <f t="shared" si="1"/>
        <v>4.8899999999999997</v>
      </c>
      <c r="U35" s="9" t="s">
        <v>360</v>
      </c>
      <c r="V35" s="1"/>
      <c r="W35" s="1"/>
      <c r="X35" s="1"/>
      <c r="Y35" s="1"/>
      <c r="Z35" s="1"/>
    </row>
    <row r="36" spans="1:26" ht="24.75" customHeight="1">
      <c r="A36" s="171"/>
      <c r="B36" s="169"/>
      <c r="C36" s="169"/>
      <c r="D36" s="5">
        <v>31</v>
      </c>
      <c r="E36" s="5" t="s">
        <v>54</v>
      </c>
      <c r="F36" s="123"/>
      <c r="G36" s="123"/>
      <c r="H36" s="123"/>
      <c r="I36" s="123"/>
      <c r="J36" s="123"/>
      <c r="K36" s="123"/>
      <c r="L36" s="123"/>
      <c r="M36" s="123"/>
      <c r="N36" s="123"/>
      <c r="O36" s="123"/>
      <c r="P36" s="123"/>
      <c r="Q36" s="123"/>
      <c r="R36" s="123"/>
      <c r="S36" s="123"/>
      <c r="T36" s="125">
        <f t="shared" si="1"/>
        <v>0</v>
      </c>
      <c r="U36" s="9"/>
      <c r="V36" s="1"/>
      <c r="W36" s="1"/>
      <c r="X36" s="1"/>
      <c r="Y36" s="1"/>
      <c r="Z36" s="1"/>
    </row>
    <row r="37" spans="1:26" ht="24.75" customHeight="1">
      <c r="A37" s="171"/>
      <c r="B37" s="168" t="s">
        <v>75</v>
      </c>
      <c r="C37" s="168" t="s">
        <v>76</v>
      </c>
      <c r="D37" s="5">
        <v>32</v>
      </c>
      <c r="E37" s="5" t="s">
        <v>77</v>
      </c>
      <c r="F37" s="5"/>
      <c r="G37" s="5"/>
      <c r="H37" s="5"/>
      <c r="I37" s="6"/>
      <c r="J37" s="5"/>
      <c r="K37" s="5"/>
      <c r="L37" s="5"/>
      <c r="M37" s="6"/>
      <c r="N37" s="6">
        <v>1.87</v>
      </c>
      <c r="O37" s="8">
        <v>41</v>
      </c>
      <c r="P37" s="8">
        <v>11.49</v>
      </c>
      <c r="Q37" s="6">
        <v>1</v>
      </c>
      <c r="R37" s="8">
        <v>4.2889999999999997</v>
      </c>
      <c r="S37" s="5"/>
      <c r="T37" s="6">
        <f t="shared" si="0"/>
        <v>59.649000000000001</v>
      </c>
      <c r="U37" s="9" t="s">
        <v>361</v>
      </c>
      <c r="V37" s="1"/>
      <c r="W37" s="1"/>
      <c r="X37" s="1"/>
      <c r="Y37" s="1"/>
      <c r="Z37" s="1"/>
    </row>
    <row r="38" spans="1:26" ht="24.75" customHeight="1">
      <c r="A38" s="171"/>
      <c r="B38" s="171"/>
      <c r="C38" s="171"/>
      <c r="D38" s="5">
        <v>33</v>
      </c>
      <c r="E38" s="5" t="s">
        <v>79</v>
      </c>
      <c r="F38" s="5"/>
      <c r="G38" s="5"/>
      <c r="H38" s="5"/>
      <c r="I38" s="5"/>
      <c r="J38" s="5"/>
      <c r="K38" s="5"/>
      <c r="L38" s="5"/>
      <c r="M38" s="5"/>
      <c r="N38" s="5"/>
      <c r="O38" s="5"/>
      <c r="P38" s="5"/>
      <c r="Q38" s="5"/>
      <c r="R38" s="5"/>
      <c r="S38" s="5"/>
      <c r="T38" s="6">
        <f t="shared" si="0"/>
        <v>0</v>
      </c>
      <c r="U38" s="9"/>
      <c r="V38" s="1"/>
      <c r="W38" s="1"/>
      <c r="X38" s="1"/>
      <c r="Y38" s="1"/>
      <c r="Z38" s="1"/>
    </row>
    <row r="39" spans="1:26" ht="24.75" customHeight="1">
      <c r="A39" s="171"/>
      <c r="B39" s="169"/>
      <c r="C39" s="169"/>
      <c r="D39" s="5">
        <v>34</v>
      </c>
      <c r="E39" s="5" t="s">
        <v>80</v>
      </c>
      <c r="F39" s="5"/>
      <c r="G39" s="5"/>
      <c r="H39" s="5"/>
      <c r="I39" s="5"/>
      <c r="J39" s="5"/>
      <c r="K39" s="5"/>
      <c r="L39" s="5"/>
      <c r="M39" s="5"/>
      <c r="N39" s="6"/>
      <c r="O39" s="5"/>
      <c r="P39" s="8"/>
      <c r="Q39" s="5"/>
      <c r="R39" s="5"/>
      <c r="S39" s="5"/>
      <c r="T39" s="6">
        <f t="shared" si="0"/>
        <v>0</v>
      </c>
      <c r="U39" s="9"/>
      <c r="V39" s="1"/>
      <c r="W39" s="1"/>
      <c r="X39" s="1"/>
      <c r="Y39" s="1"/>
      <c r="Z39" s="1"/>
    </row>
    <row r="40" spans="1:26" ht="24.75" customHeight="1">
      <c r="A40" s="171"/>
      <c r="B40" s="168" t="s">
        <v>81</v>
      </c>
      <c r="C40" s="168" t="s">
        <v>82</v>
      </c>
      <c r="D40" s="5">
        <v>35</v>
      </c>
      <c r="E40" s="5" t="s">
        <v>83</v>
      </c>
      <c r="F40" s="5"/>
      <c r="G40" s="5"/>
      <c r="H40" s="5"/>
      <c r="I40" s="6"/>
      <c r="J40" s="5"/>
      <c r="K40" s="5"/>
      <c r="L40" s="5"/>
      <c r="M40" s="5"/>
      <c r="N40" s="6">
        <v>2.75</v>
      </c>
      <c r="O40" s="5"/>
      <c r="P40" s="8">
        <v>3.26</v>
      </c>
      <c r="Q40" s="8"/>
      <c r="R40" s="5">
        <v>0.1</v>
      </c>
      <c r="S40" s="5"/>
      <c r="T40" s="6">
        <f t="shared" si="0"/>
        <v>6.1099999999999994</v>
      </c>
      <c r="U40" s="9" t="s">
        <v>594</v>
      </c>
      <c r="V40" s="1"/>
      <c r="W40" s="1"/>
      <c r="X40" s="1"/>
      <c r="Y40" s="1"/>
      <c r="Z40" s="1"/>
    </row>
    <row r="41" spans="1:26" ht="24.75" customHeight="1">
      <c r="A41" s="171"/>
      <c r="B41" s="171"/>
      <c r="C41" s="171"/>
      <c r="D41" s="5">
        <v>36</v>
      </c>
      <c r="E41" s="5" t="s">
        <v>84</v>
      </c>
      <c r="F41" s="5"/>
      <c r="G41" s="5"/>
      <c r="H41" s="5"/>
      <c r="I41" s="5"/>
      <c r="J41" s="5"/>
      <c r="K41" s="6"/>
      <c r="L41" s="5"/>
      <c r="M41" s="5"/>
      <c r="N41" s="6">
        <v>0.4</v>
      </c>
      <c r="O41" s="5"/>
      <c r="P41" s="5"/>
      <c r="Q41" s="5"/>
      <c r="R41" s="5"/>
      <c r="S41" s="5"/>
      <c r="T41" s="6">
        <f t="shared" si="0"/>
        <v>0.4</v>
      </c>
      <c r="U41" s="9" t="s">
        <v>412</v>
      </c>
      <c r="V41" s="1"/>
      <c r="W41" s="1"/>
      <c r="X41" s="1"/>
      <c r="Y41" s="1"/>
      <c r="Z41" s="1"/>
    </row>
    <row r="42" spans="1:26" ht="24.75" customHeight="1">
      <c r="A42" s="171"/>
      <c r="B42" s="171"/>
      <c r="C42" s="171"/>
      <c r="D42" s="5">
        <v>37</v>
      </c>
      <c r="E42" s="5" t="s">
        <v>86</v>
      </c>
      <c r="F42" s="5"/>
      <c r="G42" s="5"/>
      <c r="H42" s="5"/>
      <c r="I42" s="5"/>
      <c r="J42" s="5"/>
      <c r="K42" s="6"/>
      <c r="L42" s="5"/>
      <c r="M42" s="5"/>
      <c r="N42" s="5"/>
      <c r="O42" s="5"/>
      <c r="P42" s="5"/>
      <c r="Q42" s="5"/>
      <c r="R42" s="5"/>
      <c r="S42" s="5"/>
      <c r="T42" s="6">
        <f t="shared" si="0"/>
        <v>0</v>
      </c>
      <c r="U42" s="9"/>
      <c r="V42" s="1"/>
      <c r="W42" s="1"/>
      <c r="X42" s="1"/>
      <c r="Y42" s="1"/>
      <c r="Z42" s="1"/>
    </row>
    <row r="43" spans="1:26" ht="24.75" customHeight="1">
      <c r="A43" s="171"/>
      <c r="B43" s="171"/>
      <c r="C43" s="171"/>
      <c r="D43" s="5">
        <v>38</v>
      </c>
      <c r="E43" s="5" t="s">
        <v>87</v>
      </c>
      <c r="F43" s="5"/>
      <c r="G43" s="5"/>
      <c r="H43" s="5"/>
      <c r="I43" s="5"/>
      <c r="J43" s="5"/>
      <c r="K43" s="5"/>
      <c r="L43" s="5"/>
      <c r="M43" s="5"/>
      <c r="N43" s="6">
        <v>7.85</v>
      </c>
      <c r="O43" s="8">
        <v>0.25600000000000001</v>
      </c>
      <c r="P43" s="8">
        <v>10.4</v>
      </c>
      <c r="Q43" s="8">
        <v>1.4</v>
      </c>
      <c r="R43" s="5">
        <v>1</v>
      </c>
      <c r="S43" s="5"/>
      <c r="T43" s="6">
        <f t="shared" si="0"/>
        <v>20.905999999999999</v>
      </c>
      <c r="U43" s="9" t="s">
        <v>595</v>
      </c>
      <c r="V43" s="1"/>
      <c r="W43" s="1"/>
      <c r="X43" s="1"/>
      <c r="Y43" s="1"/>
      <c r="Z43" s="1"/>
    </row>
    <row r="44" spans="1:26" ht="24.75" customHeight="1">
      <c r="A44" s="171"/>
      <c r="B44" s="171"/>
      <c r="C44" s="171"/>
      <c r="D44" s="5">
        <v>39</v>
      </c>
      <c r="E44" s="5" t="s">
        <v>88</v>
      </c>
      <c r="F44" s="5"/>
      <c r="G44" s="5"/>
      <c r="H44" s="5"/>
      <c r="I44" s="5"/>
      <c r="J44" s="5"/>
      <c r="K44" s="5"/>
      <c r="L44" s="5"/>
      <c r="M44" s="5"/>
      <c r="N44" s="5"/>
      <c r="O44" s="5"/>
      <c r="P44" s="8">
        <v>1.39</v>
      </c>
      <c r="Q44" s="8">
        <v>15.5</v>
      </c>
      <c r="R44" s="5"/>
      <c r="S44" s="5"/>
      <c r="T44" s="6">
        <f t="shared" si="0"/>
        <v>16.89</v>
      </c>
      <c r="U44" s="9" t="s">
        <v>596</v>
      </c>
      <c r="V44" s="1"/>
      <c r="W44" s="1"/>
      <c r="X44" s="1"/>
      <c r="Y44" s="1"/>
      <c r="Z44" s="1"/>
    </row>
    <row r="45" spans="1:26" ht="24.75" customHeight="1">
      <c r="A45" s="171"/>
      <c r="B45" s="171"/>
      <c r="C45" s="171"/>
      <c r="D45" s="5">
        <v>40</v>
      </c>
      <c r="E45" s="5" t="s">
        <v>89</v>
      </c>
      <c r="F45" s="5"/>
      <c r="G45" s="5"/>
      <c r="H45" s="5"/>
      <c r="I45" s="5"/>
      <c r="J45" s="5"/>
      <c r="K45" s="5"/>
      <c r="L45" s="5"/>
      <c r="M45" s="5"/>
      <c r="N45" s="6">
        <v>0.10920000000000001</v>
      </c>
      <c r="O45" s="5"/>
      <c r="P45" s="8">
        <v>0.24</v>
      </c>
      <c r="Q45" s="6">
        <v>0.52</v>
      </c>
      <c r="R45" s="8">
        <v>2</v>
      </c>
      <c r="S45" s="5"/>
      <c r="T45" s="6">
        <f t="shared" si="0"/>
        <v>2.8692000000000002</v>
      </c>
      <c r="U45" s="9" t="s">
        <v>827</v>
      </c>
      <c r="V45" s="1"/>
      <c r="W45" s="1"/>
      <c r="X45" s="1"/>
      <c r="Y45" s="1"/>
      <c r="Z45" s="1"/>
    </row>
    <row r="46" spans="1:26" ht="24.75" customHeight="1">
      <c r="A46" s="171"/>
      <c r="B46" s="169"/>
      <c r="C46" s="169"/>
      <c r="D46" s="5">
        <v>41</v>
      </c>
      <c r="E46" s="5" t="s">
        <v>54</v>
      </c>
      <c r="F46" s="5"/>
      <c r="G46" s="5"/>
      <c r="H46" s="5"/>
      <c r="I46" s="5"/>
      <c r="J46" s="5"/>
      <c r="K46" s="5"/>
      <c r="L46" s="5"/>
      <c r="M46" s="5"/>
      <c r="N46" s="5"/>
      <c r="O46" s="5"/>
      <c r="P46" s="5"/>
      <c r="Q46" s="5"/>
      <c r="R46" s="5"/>
      <c r="S46" s="5"/>
      <c r="T46" s="6">
        <f t="shared" si="0"/>
        <v>0</v>
      </c>
      <c r="U46" s="9"/>
      <c r="V46" s="1"/>
      <c r="W46" s="1"/>
      <c r="X46" s="1"/>
      <c r="Y46" s="1"/>
      <c r="Z46" s="1"/>
    </row>
    <row r="47" spans="1:26" ht="24.75" customHeight="1">
      <c r="A47" s="171"/>
      <c r="B47" s="168" t="s">
        <v>90</v>
      </c>
      <c r="C47" s="168" t="s">
        <v>91</v>
      </c>
      <c r="D47" s="5">
        <v>42</v>
      </c>
      <c r="E47" s="5" t="s">
        <v>92</v>
      </c>
      <c r="F47" s="8">
        <v>5.26</v>
      </c>
      <c r="G47" s="5"/>
      <c r="H47" s="5"/>
      <c r="I47" s="6"/>
      <c r="J47" s="5"/>
      <c r="K47" s="5"/>
      <c r="L47" s="5"/>
      <c r="M47" s="5"/>
      <c r="N47" s="6">
        <v>1.37</v>
      </c>
      <c r="O47" s="5"/>
      <c r="P47" s="8">
        <v>0.7</v>
      </c>
      <c r="Q47" s="5"/>
      <c r="R47" s="5"/>
      <c r="S47" s="5"/>
      <c r="T47" s="6">
        <f t="shared" si="0"/>
        <v>7.33</v>
      </c>
      <c r="U47" s="9"/>
      <c r="V47" s="1"/>
      <c r="W47" s="1"/>
      <c r="X47" s="1"/>
      <c r="Y47" s="1"/>
      <c r="Z47" s="1"/>
    </row>
    <row r="48" spans="1:26" ht="24.75" customHeight="1">
      <c r="A48" s="171"/>
      <c r="B48" s="171"/>
      <c r="C48" s="171"/>
      <c r="D48" s="5">
        <v>43</v>
      </c>
      <c r="E48" s="5" t="s">
        <v>93</v>
      </c>
      <c r="F48" s="8">
        <v>0.75</v>
      </c>
      <c r="G48" s="5"/>
      <c r="H48" s="5"/>
      <c r="I48" s="6"/>
      <c r="J48" s="5"/>
      <c r="K48" s="5"/>
      <c r="L48" s="5"/>
      <c r="M48" s="5"/>
      <c r="N48" s="6">
        <v>0.45750000000000002</v>
      </c>
      <c r="O48" s="5"/>
      <c r="P48" s="8">
        <v>0.6</v>
      </c>
      <c r="Q48" s="5"/>
      <c r="R48" s="5"/>
      <c r="S48" s="5"/>
      <c r="T48" s="6">
        <f t="shared" si="0"/>
        <v>1.8075000000000001</v>
      </c>
      <c r="U48" s="9"/>
      <c r="V48" s="1"/>
      <c r="W48" s="1"/>
      <c r="X48" s="1"/>
      <c r="Y48" s="1"/>
      <c r="Z48" s="1"/>
    </row>
    <row r="49" spans="1:26" ht="24.75" customHeight="1">
      <c r="A49" s="171"/>
      <c r="B49" s="171"/>
      <c r="C49" s="171"/>
      <c r="D49" s="5">
        <v>44</v>
      </c>
      <c r="E49" s="5" t="s">
        <v>94</v>
      </c>
      <c r="F49" s="8">
        <v>0.38</v>
      </c>
      <c r="G49" s="5"/>
      <c r="H49" s="5"/>
      <c r="I49" s="6"/>
      <c r="J49" s="5"/>
      <c r="K49" s="5"/>
      <c r="L49" s="5"/>
      <c r="M49" s="5"/>
      <c r="N49" s="6">
        <v>2.44</v>
      </c>
      <c r="O49" s="8">
        <v>0.18</v>
      </c>
      <c r="P49" s="8">
        <v>0.3</v>
      </c>
      <c r="Q49" s="5"/>
      <c r="R49" s="5"/>
      <c r="S49" s="5"/>
      <c r="T49" s="6">
        <f t="shared" si="0"/>
        <v>3.3</v>
      </c>
      <c r="U49" s="9" t="s">
        <v>413</v>
      </c>
      <c r="V49" s="1"/>
      <c r="W49" s="1"/>
      <c r="X49" s="1"/>
      <c r="Y49" s="1"/>
      <c r="Z49" s="1"/>
    </row>
    <row r="50" spans="1:26" ht="24.75" customHeight="1">
      <c r="A50" s="171"/>
      <c r="B50" s="171"/>
      <c r="C50" s="171"/>
      <c r="D50" s="5">
        <v>45</v>
      </c>
      <c r="E50" s="5" t="s">
        <v>96</v>
      </c>
      <c r="F50" s="8">
        <v>7.0000000000000007E-2</v>
      </c>
      <c r="G50" s="5"/>
      <c r="H50" s="5"/>
      <c r="I50" s="5"/>
      <c r="J50" s="5"/>
      <c r="K50" s="5"/>
      <c r="L50" s="5"/>
      <c r="M50" s="5"/>
      <c r="N50" s="6">
        <v>1</v>
      </c>
      <c r="O50" s="8">
        <v>7.0000000000000007E-2</v>
      </c>
      <c r="P50" s="5"/>
      <c r="Q50" s="5"/>
      <c r="R50" s="5"/>
      <c r="S50" s="5"/>
      <c r="T50" s="6">
        <f t="shared" si="0"/>
        <v>1.1400000000000001</v>
      </c>
      <c r="U50" s="9"/>
      <c r="V50" s="1"/>
      <c r="W50" s="1"/>
      <c r="X50" s="1"/>
      <c r="Y50" s="1"/>
      <c r="Z50" s="1"/>
    </row>
    <row r="51" spans="1:26" ht="24.75" customHeight="1">
      <c r="A51" s="171"/>
      <c r="B51" s="171"/>
      <c r="C51" s="171"/>
      <c r="D51" s="5">
        <v>46</v>
      </c>
      <c r="E51" s="5" t="s">
        <v>97</v>
      </c>
      <c r="F51" s="5"/>
      <c r="G51" s="5"/>
      <c r="H51" s="5"/>
      <c r="I51" s="5"/>
      <c r="J51" s="5"/>
      <c r="K51" s="5"/>
      <c r="L51" s="5"/>
      <c r="M51" s="5"/>
      <c r="N51" s="5"/>
      <c r="O51" s="5"/>
      <c r="P51" s="5"/>
      <c r="Q51" s="5"/>
      <c r="R51" s="5"/>
      <c r="S51" s="5"/>
      <c r="T51" s="6">
        <f t="shared" si="0"/>
        <v>0</v>
      </c>
      <c r="U51" s="9"/>
      <c r="V51" s="1"/>
      <c r="W51" s="1"/>
      <c r="X51" s="1"/>
      <c r="Y51" s="1"/>
      <c r="Z51" s="1"/>
    </row>
    <row r="52" spans="1:26" ht="24.75" customHeight="1">
      <c r="A52" s="171"/>
      <c r="B52" s="171"/>
      <c r="C52" s="171"/>
      <c r="D52" s="5">
        <v>47</v>
      </c>
      <c r="E52" s="5" t="s">
        <v>98</v>
      </c>
      <c r="F52" s="8">
        <v>1.2</v>
      </c>
      <c r="G52" s="5"/>
      <c r="H52" s="5"/>
      <c r="I52" s="5"/>
      <c r="J52" s="5"/>
      <c r="K52" s="5"/>
      <c r="L52" s="5"/>
      <c r="M52" s="5"/>
      <c r="N52" s="5"/>
      <c r="O52" s="5"/>
      <c r="P52" s="5"/>
      <c r="Q52" s="5"/>
      <c r="R52" s="5"/>
      <c r="S52" s="5"/>
      <c r="T52" s="6">
        <f t="shared" si="0"/>
        <v>1.2</v>
      </c>
      <c r="U52" s="9"/>
      <c r="V52" s="1"/>
      <c r="W52" s="1"/>
      <c r="X52" s="1"/>
      <c r="Y52" s="1"/>
      <c r="Z52" s="1"/>
    </row>
    <row r="53" spans="1:26" ht="24.75" customHeight="1">
      <c r="A53" s="171"/>
      <c r="B53" s="171"/>
      <c r="C53" s="171"/>
      <c r="D53" s="5">
        <v>48</v>
      </c>
      <c r="E53" s="5" t="s">
        <v>99</v>
      </c>
      <c r="F53" s="5"/>
      <c r="G53" s="5"/>
      <c r="H53" s="5"/>
      <c r="I53" s="5"/>
      <c r="J53" s="5"/>
      <c r="K53" s="5"/>
      <c r="L53" s="5"/>
      <c r="M53" s="5"/>
      <c r="N53" s="6">
        <v>0.1</v>
      </c>
      <c r="O53" s="5"/>
      <c r="P53" s="8"/>
      <c r="Q53" s="5"/>
      <c r="R53" s="5"/>
      <c r="S53" s="5"/>
      <c r="T53" s="6">
        <f t="shared" si="0"/>
        <v>0.1</v>
      </c>
      <c r="U53" s="9"/>
      <c r="V53" s="1"/>
      <c r="W53" s="1"/>
      <c r="X53" s="1"/>
      <c r="Y53" s="1"/>
      <c r="Z53" s="1"/>
    </row>
    <row r="54" spans="1:26" ht="24.75" customHeight="1">
      <c r="A54" s="171"/>
      <c r="B54" s="171"/>
      <c r="C54" s="171"/>
      <c r="D54" s="5">
        <v>49</v>
      </c>
      <c r="E54" s="5" t="s">
        <v>100</v>
      </c>
      <c r="F54" s="5"/>
      <c r="G54" s="5"/>
      <c r="H54" s="5"/>
      <c r="I54" s="5"/>
      <c r="J54" s="5"/>
      <c r="K54" s="5"/>
      <c r="L54" s="5"/>
      <c r="M54" s="5"/>
      <c r="N54" s="5"/>
      <c r="O54" s="5"/>
      <c r="P54" s="5"/>
      <c r="Q54" s="6">
        <v>0.95</v>
      </c>
      <c r="R54" s="8">
        <v>0.7</v>
      </c>
      <c r="S54" s="5"/>
      <c r="T54" s="6">
        <f t="shared" si="0"/>
        <v>1.65</v>
      </c>
      <c r="U54" s="9" t="s">
        <v>310</v>
      </c>
      <c r="V54" s="1"/>
      <c r="W54" s="1"/>
      <c r="X54" s="1"/>
      <c r="Y54" s="1"/>
      <c r="Z54" s="1"/>
    </row>
    <row r="55" spans="1:26" ht="24.75" customHeight="1">
      <c r="A55" s="171"/>
      <c r="B55" s="171"/>
      <c r="C55" s="171"/>
      <c r="D55" s="5">
        <v>50</v>
      </c>
      <c r="E55" s="5" t="s">
        <v>102</v>
      </c>
      <c r="F55" s="5"/>
      <c r="G55" s="5"/>
      <c r="H55" s="5"/>
      <c r="I55" s="6"/>
      <c r="J55" s="5"/>
      <c r="K55" s="5"/>
      <c r="L55" s="5"/>
      <c r="M55" s="5"/>
      <c r="N55" s="6">
        <v>0.73</v>
      </c>
      <c r="O55" s="5"/>
      <c r="P55" s="8">
        <v>0.37</v>
      </c>
      <c r="Q55" s="6">
        <v>1</v>
      </c>
      <c r="R55" s="8">
        <v>0.113</v>
      </c>
      <c r="S55" s="5"/>
      <c r="T55" s="6">
        <f t="shared" si="0"/>
        <v>2.2130000000000001</v>
      </c>
      <c r="U55" s="9" t="s">
        <v>310</v>
      </c>
      <c r="V55" s="1"/>
      <c r="W55" s="1"/>
      <c r="X55" s="1"/>
      <c r="Y55" s="1"/>
      <c r="Z55" s="1"/>
    </row>
    <row r="56" spans="1:26" ht="24.75" customHeight="1">
      <c r="A56" s="171"/>
      <c r="B56" s="169"/>
      <c r="C56" s="169"/>
      <c r="D56" s="5">
        <v>51</v>
      </c>
      <c r="E56" s="5" t="s">
        <v>54</v>
      </c>
      <c r="F56" s="5"/>
      <c r="G56" s="5"/>
      <c r="H56" s="5"/>
      <c r="I56" s="5"/>
      <c r="J56" s="5"/>
      <c r="K56" s="5"/>
      <c r="L56" s="5"/>
      <c r="M56" s="5"/>
      <c r="N56" s="8"/>
      <c r="O56" s="5"/>
      <c r="P56" s="5">
        <v>1</v>
      </c>
      <c r="Q56" s="5"/>
      <c r="R56" s="5"/>
      <c r="S56" s="5"/>
      <c r="T56" s="6">
        <f t="shared" si="0"/>
        <v>1</v>
      </c>
      <c r="U56" s="9"/>
      <c r="V56" s="1"/>
      <c r="W56" s="1"/>
      <c r="X56" s="1"/>
      <c r="Y56" s="1"/>
      <c r="Z56" s="1"/>
    </row>
    <row r="57" spans="1:26" ht="24.75" customHeight="1">
      <c r="A57" s="171"/>
      <c r="B57" s="168" t="s">
        <v>103</v>
      </c>
      <c r="C57" s="168" t="s">
        <v>104</v>
      </c>
      <c r="D57" s="5">
        <v>52</v>
      </c>
      <c r="E57" s="5" t="s">
        <v>105</v>
      </c>
      <c r="F57" s="123"/>
      <c r="G57" s="123"/>
      <c r="H57" s="123"/>
      <c r="I57" s="125"/>
      <c r="J57" s="123"/>
      <c r="K57" s="125"/>
      <c r="L57" s="123"/>
      <c r="M57" s="123"/>
      <c r="N57" s="125">
        <v>2</v>
      </c>
      <c r="O57" s="124">
        <v>18.756</v>
      </c>
      <c r="P57" s="123"/>
      <c r="Q57" s="123"/>
      <c r="R57" s="123"/>
      <c r="S57" s="123"/>
      <c r="T57" s="125">
        <f t="shared" ref="T57:T66" si="2">SUM(F57:S57)</f>
        <v>20.756</v>
      </c>
      <c r="U57" s="9" t="s">
        <v>65</v>
      </c>
      <c r="V57" s="1"/>
      <c r="W57" s="1"/>
      <c r="X57" s="1"/>
      <c r="Y57" s="1"/>
      <c r="Z57" s="1"/>
    </row>
    <row r="58" spans="1:26" ht="24.75" customHeight="1">
      <c r="A58" s="171"/>
      <c r="B58" s="171"/>
      <c r="C58" s="171"/>
      <c r="D58" s="5">
        <v>53</v>
      </c>
      <c r="E58" s="5" t="s">
        <v>106</v>
      </c>
      <c r="F58" s="123"/>
      <c r="G58" s="123"/>
      <c r="H58" s="123"/>
      <c r="I58" s="123"/>
      <c r="J58" s="123"/>
      <c r="K58" s="125"/>
      <c r="L58" s="123"/>
      <c r="M58" s="123"/>
      <c r="N58" s="125"/>
      <c r="O58" s="124">
        <v>2.08</v>
      </c>
      <c r="P58" s="123"/>
      <c r="Q58" s="124">
        <v>3</v>
      </c>
      <c r="R58" s="123"/>
      <c r="S58" s="123"/>
      <c r="T58" s="125">
        <f t="shared" si="2"/>
        <v>5.08</v>
      </c>
      <c r="U58" s="9" t="s">
        <v>65</v>
      </c>
      <c r="V58" s="1"/>
      <c r="W58" s="1"/>
      <c r="X58" s="1"/>
      <c r="Y58" s="1"/>
      <c r="Z58" s="1"/>
    </row>
    <row r="59" spans="1:26" ht="24.75" customHeight="1">
      <c r="A59" s="171"/>
      <c r="B59" s="171"/>
      <c r="C59" s="171"/>
      <c r="D59" s="5">
        <v>54</v>
      </c>
      <c r="E59" s="5" t="s">
        <v>107</v>
      </c>
      <c r="F59" s="123"/>
      <c r="G59" s="123"/>
      <c r="H59" s="124"/>
      <c r="I59" s="123"/>
      <c r="J59" s="123"/>
      <c r="K59" s="123"/>
      <c r="L59" s="123"/>
      <c r="M59" s="123"/>
      <c r="N59" s="123"/>
      <c r="O59" s="124"/>
      <c r="P59" s="124"/>
      <c r="Q59" s="123"/>
      <c r="R59" s="123"/>
      <c r="S59" s="123"/>
      <c r="T59" s="125">
        <f t="shared" si="2"/>
        <v>0</v>
      </c>
      <c r="U59" s="9"/>
      <c r="V59" s="1"/>
      <c r="W59" s="1"/>
      <c r="X59" s="1"/>
      <c r="Y59" s="1"/>
      <c r="Z59" s="1"/>
    </row>
    <row r="60" spans="1:26" ht="24.75" customHeight="1">
      <c r="A60" s="171"/>
      <c r="B60" s="171"/>
      <c r="C60" s="171"/>
      <c r="D60" s="5">
        <v>55</v>
      </c>
      <c r="E60" s="5" t="s">
        <v>108</v>
      </c>
      <c r="F60" s="123"/>
      <c r="G60" s="123"/>
      <c r="H60" s="123"/>
      <c r="I60" s="123"/>
      <c r="J60" s="123"/>
      <c r="K60" s="125"/>
      <c r="L60" s="123"/>
      <c r="M60" s="123"/>
      <c r="N60" s="123"/>
      <c r="O60" s="123"/>
      <c r="P60" s="123"/>
      <c r="Q60" s="123"/>
      <c r="R60" s="123"/>
      <c r="S60" s="123"/>
      <c r="T60" s="125">
        <f t="shared" si="2"/>
        <v>0</v>
      </c>
      <c r="U60" s="9"/>
      <c r="V60" s="1"/>
      <c r="W60" s="1"/>
      <c r="X60" s="1"/>
      <c r="Y60" s="1"/>
      <c r="Z60" s="1"/>
    </row>
    <row r="61" spans="1:26" ht="24.75" customHeight="1">
      <c r="A61" s="171"/>
      <c r="B61" s="171"/>
      <c r="C61" s="171"/>
      <c r="D61" s="5">
        <v>56</v>
      </c>
      <c r="E61" s="5" t="s">
        <v>109</v>
      </c>
      <c r="F61" s="123"/>
      <c r="G61" s="123"/>
      <c r="H61" s="123"/>
      <c r="I61" s="123"/>
      <c r="J61" s="123"/>
      <c r="K61" s="123"/>
      <c r="L61" s="123"/>
      <c r="M61" s="123"/>
      <c r="N61" s="123"/>
      <c r="O61" s="124">
        <v>9.33</v>
      </c>
      <c r="P61" s="123"/>
      <c r="Q61" s="123"/>
      <c r="R61" s="123"/>
      <c r="S61" s="123"/>
      <c r="T61" s="125">
        <f t="shared" si="2"/>
        <v>9.33</v>
      </c>
      <c r="U61" s="9" t="s">
        <v>65</v>
      </c>
      <c r="V61" s="1"/>
      <c r="W61" s="1"/>
      <c r="X61" s="1"/>
      <c r="Y61" s="1"/>
      <c r="Z61" s="1"/>
    </row>
    <row r="62" spans="1:26" ht="24.75" customHeight="1">
      <c r="A62" s="171"/>
      <c r="B62" s="171"/>
      <c r="C62" s="171"/>
      <c r="D62" s="5">
        <v>57</v>
      </c>
      <c r="E62" s="5" t="s">
        <v>110</v>
      </c>
      <c r="F62" s="123"/>
      <c r="G62" s="123"/>
      <c r="H62" s="124"/>
      <c r="I62" s="123"/>
      <c r="J62" s="123"/>
      <c r="K62" s="123"/>
      <c r="L62" s="123"/>
      <c r="M62" s="125"/>
      <c r="N62" s="123"/>
      <c r="O62" s="123"/>
      <c r="P62" s="123"/>
      <c r="Q62" s="123"/>
      <c r="R62" s="123"/>
      <c r="S62" s="123"/>
      <c r="T62" s="125">
        <f t="shared" si="2"/>
        <v>0</v>
      </c>
      <c r="U62" s="9" t="s">
        <v>65</v>
      </c>
      <c r="V62" s="1"/>
      <c r="W62" s="1"/>
      <c r="X62" s="1"/>
      <c r="Y62" s="1"/>
      <c r="Z62" s="1"/>
    </row>
    <row r="63" spans="1:26" ht="24.75" customHeight="1">
      <c r="A63" s="171"/>
      <c r="B63" s="171"/>
      <c r="C63" s="171"/>
      <c r="D63" s="5">
        <v>58</v>
      </c>
      <c r="E63" s="5" t="s">
        <v>111</v>
      </c>
      <c r="F63" s="123"/>
      <c r="G63" s="123"/>
      <c r="H63" s="123"/>
      <c r="I63" s="123"/>
      <c r="J63" s="123"/>
      <c r="K63" s="125"/>
      <c r="L63" s="123"/>
      <c r="M63" s="123"/>
      <c r="N63" s="123"/>
      <c r="O63" s="124">
        <v>1.04</v>
      </c>
      <c r="P63" s="123"/>
      <c r="Q63" s="124">
        <v>0.75</v>
      </c>
      <c r="R63" s="123"/>
      <c r="S63" s="123"/>
      <c r="T63" s="125">
        <f t="shared" si="2"/>
        <v>1.79</v>
      </c>
      <c r="U63" s="9" t="s">
        <v>65</v>
      </c>
      <c r="V63" s="1"/>
      <c r="W63" s="1"/>
      <c r="X63" s="1"/>
      <c r="Y63" s="1"/>
      <c r="Z63" s="1"/>
    </row>
    <row r="64" spans="1:26" ht="24.75" customHeight="1">
      <c r="A64" s="171"/>
      <c r="B64" s="171"/>
      <c r="C64" s="171"/>
      <c r="D64" s="5">
        <v>59</v>
      </c>
      <c r="E64" s="5" t="s">
        <v>112</v>
      </c>
      <c r="F64" s="123"/>
      <c r="G64" s="123"/>
      <c r="H64" s="123"/>
      <c r="I64" s="123"/>
      <c r="J64" s="123"/>
      <c r="K64" s="123"/>
      <c r="L64" s="123"/>
      <c r="M64" s="123"/>
      <c r="N64" s="123"/>
      <c r="O64" s="123"/>
      <c r="P64" s="123"/>
      <c r="Q64" s="123"/>
      <c r="R64" s="123"/>
      <c r="S64" s="123"/>
      <c r="T64" s="125">
        <f t="shared" si="2"/>
        <v>0</v>
      </c>
      <c r="U64" s="9"/>
      <c r="V64" s="1"/>
      <c r="W64" s="1"/>
      <c r="X64" s="1"/>
      <c r="Y64" s="1"/>
      <c r="Z64" s="1"/>
    </row>
    <row r="65" spans="1:26" ht="24.75" customHeight="1">
      <c r="A65" s="171"/>
      <c r="B65" s="171"/>
      <c r="C65" s="171"/>
      <c r="D65" s="5">
        <v>60</v>
      </c>
      <c r="E65" s="5" t="s">
        <v>113</v>
      </c>
      <c r="F65" s="123"/>
      <c r="G65" s="123"/>
      <c r="H65" s="123"/>
      <c r="I65" s="123"/>
      <c r="J65" s="123"/>
      <c r="K65" s="123"/>
      <c r="L65" s="123"/>
      <c r="M65" s="123"/>
      <c r="N65" s="123"/>
      <c r="O65" s="123"/>
      <c r="P65" s="123"/>
      <c r="Q65" s="123"/>
      <c r="R65" s="123"/>
      <c r="S65" s="123"/>
      <c r="T65" s="125">
        <f t="shared" si="2"/>
        <v>0</v>
      </c>
      <c r="U65" s="9"/>
      <c r="V65" s="1"/>
      <c r="W65" s="1"/>
      <c r="X65" s="1"/>
      <c r="Y65" s="1"/>
      <c r="Z65" s="1"/>
    </row>
    <row r="66" spans="1:26" ht="24.75" customHeight="1">
      <c r="A66" s="171"/>
      <c r="B66" s="169"/>
      <c r="C66" s="169"/>
      <c r="D66" s="5">
        <v>61</v>
      </c>
      <c r="E66" s="5" t="s">
        <v>54</v>
      </c>
      <c r="F66" s="123"/>
      <c r="G66" s="123"/>
      <c r="H66" s="123"/>
      <c r="I66" s="123"/>
      <c r="J66" s="123"/>
      <c r="K66" s="123"/>
      <c r="L66" s="123"/>
      <c r="M66" s="123"/>
      <c r="N66" s="123"/>
      <c r="O66" s="123"/>
      <c r="P66" s="123"/>
      <c r="Q66" s="123"/>
      <c r="R66" s="123"/>
      <c r="S66" s="123"/>
      <c r="T66" s="125">
        <f t="shared" si="2"/>
        <v>0</v>
      </c>
      <c r="U66" s="9"/>
      <c r="V66" s="1"/>
      <c r="W66" s="1"/>
      <c r="X66" s="1"/>
      <c r="Y66" s="1"/>
      <c r="Z66" s="1"/>
    </row>
    <row r="67" spans="1:26" ht="24.75" customHeight="1">
      <c r="A67" s="171"/>
      <c r="B67" s="5" t="s">
        <v>114</v>
      </c>
      <c r="C67" s="5" t="s">
        <v>115</v>
      </c>
      <c r="D67" s="5">
        <v>62</v>
      </c>
      <c r="E67" s="5" t="s">
        <v>116</v>
      </c>
      <c r="F67" s="5"/>
      <c r="G67" s="5"/>
      <c r="H67" s="5"/>
      <c r="I67" s="5"/>
      <c r="J67" s="5"/>
      <c r="K67" s="5"/>
      <c r="L67" s="5"/>
      <c r="M67" s="6"/>
      <c r="N67" s="5"/>
      <c r="O67" s="8">
        <v>1</v>
      </c>
      <c r="P67" s="8"/>
      <c r="Q67" s="6">
        <v>0.25</v>
      </c>
      <c r="R67" s="5"/>
      <c r="S67" s="8"/>
      <c r="T67" s="6">
        <f t="shared" si="0"/>
        <v>1.25</v>
      </c>
      <c r="U67" s="61" t="s">
        <v>577</v>
      </c>
      <c r="V67" s="1"/>
      <c r="W67" s="1"/>
      <c r="X67" s="1"/>
      <c r="Y67" s="1"/>
      <c r="Z67" s="1"/>
    </row>
    <row r="68" spans="1:26" ht="24.75" customHeight="1">
      <c r="A68" s="169"/>
      <c r="B68" s="176" t="s">
        <v>117</v>
      </c>
      <c r="C68" s="177"/>
      <c r="D68" s="178"/>
      <c r="E68" s="51"/>
      <c r="F68" s="51">
        <f t="shared" ref="F68:S68" si="3">SUM(F6:F67)</f>
        <v>30.549999999999997</v>
      </c>
      <c r="G68" s="51">
        <f t="shared" si="3"/>
        <v>0</v>
      </c>
      <c r="H68" s="51">
        <f t="shared" si="3"/>
        <v>0</v>
      </c>
      <c r="I68" s="51">
        <f t="shared" si="3"/>
        <v>3.9249999999999998</v>
      </c>
      <c r="J68" s="51">
        <f t="shared" si="3"/>
        <v>0</v>
      </c>
      <c r="K68" s="51">
        <f t="shared" si="3"/>
        <v>34.818000000000005</v>
      </c>
      <c r="L68" s="51">
        <f t="shared" si="3"/>
        <v>0</v>
      </c>
      <c r="M68" s="51">
        <f t="shared" si="3"/>
        <v>13.378</v>
      </c>
      <c r="N68" s="51">
        <f t="shared" si="3"/>
        <v>37.391549999999995</v>
      </c>
      <c r="O68" s="51">
        <f t="shared" si="3"/>
        <v>104.96475</v>
      </c>
      <c r="P68" s="51">
        <f t="shared" si="3"/>
        <v>213.98300000000003</v>
      </c>
      <c r="Q68" s="51">
        <f t="shared" si="3"/>
        <v>31.7575</v>
      </c>
      <c r="R68" s="51">
        <f t="shared" si="3"/>
        <v>11.334499999999998</v>
      </c>
      <c r="S68" s="51">
        <f t="shared" si="3"/>
        <v>0.3</v>
      </c>
      <c r="T68" s="6">
        <f t="shared" si="0"/>
        <v>482.40230000000003</v>
      </c>
      <c r="U68" s="9"/>
      <c r="V68" s="1"/>
      <c r="W68" s="1"/>
      <c r="X68" s="1"/>
      <c r="Y68" s="1"/>
      <c r="Z68" s="1"/>
    </row>
    <row r="69" spans="1:26" ht="39.75" customHeight="1">
      <c r="A69" s="175" t="s">
        <v>118</v>
      </c>
      <c r="B69" s="5" t="s">
        <v>119</v>
      </c>
      <c r="C69" s="5" t="s">
        <v>120</v>
      </c>
      <c r="D69" s="5">
        <v>63</v>
      </c>
      <c r="E69" s="5" t="s">
        <v>121</v>
      </c>
      <c r="F69" s="5"/>
      <c r="G69" s="5"/>
      <c r="H69" s="5"/>
      <c r="I69" s="5"/>
      <c r="J69" s="5"/>
      <c r="K69" s="5"/>
      <c r="L69" s="5"/>
      <c r="M69" s="8"/>
      <c r="N69" s="6">
        <v>5.65</v>
      </c>
      <c r="O69" s="5"/>
      <c r="P69" s="6"/>
      <c r="Q69" s="5"/>
      <c r="R69" s="8">
        <v>5</v>
      </c>
      <c r="S69" s="8"/>
      <c r="T69" s="6">
        <f t="shared" si="0"/>
        <v>10.65</v>
      </c>
      <c r="U69" s="9" t="s">
        <v>407</v>
      </c>
      <c r="V69" s="1"/>
      <c r="W69" s="1"/>
      <c r="X69" s="1"/>
      <c r="Y69" s="1"/>
      <c r="Z69" s="1"/>
    </row>
    <row r="70" spans="1:26" ht="39.75" customHeight="1">
      <c r="A70" s="171"/>
      <c r="B70" s="168" t="s">
        <v>122</v>
      </c>
      <c r="C70" s="168" t="s">
        <v>123</v>
      </c>
      <c r="D70" s="5">
        <v>64</v>
      </c>
      <c r="E70" s="5" t="s">
        <v>124</v>
      </c>
      <c r="F70" s="15"/>
      <c r="G70" s="15"/>
      <c r="H70" s="16"/>
      <c r="I70" s="17"/>
      <c r="J70" s="15"/>
      <c r="K70" s="17"/>
      <c r="L70" s="15"/>
      <c r="M70" s="15"/>
      <c r="N70" s="17">
        <v>0.4</v>
      </c>
      <c r="O70" s="16">
        <v>0.52500000000000002</v>
      </c>
      <c r="P70" s="17">
        <f>18.26+0.94</f>
        <v>19.200000000000003</v>
      </c>
      <c r="Q70" s="17">
        <v>0.4</v>
      </c>
      <c r="R70" s="16">
        <v>1.5</v>
      </c>
      <c r="S70" s="16"/>
      <c r="T70" s="6">
        <f t="shared" ref="T70:T133" si="4">SUM(F70:S70)</f>
        <v>22.025000000000002</v>
      </c>
      <c r="U70" s="9" t="s">
        <v>396</v>
      </c>
      <c r="V70" s="1"/>
      <c r="W70" s="1"/>
      <c r="X70" s="1"/>
      <c r="Y70" s="1"/>
      <c r="Z70" s="1"/>
    </row>
    <row r="71" spans="1:26" ht="39.75" customHeight="1">
      <c r="A71" s="171"/>
      <c r="B71" s="171"/>
      <c r="C71" s="171"/>
      <c r="D71" s="5">
        <v>65</v>
      </c>
      <c r="E71" s="5" t="s">
        <v>126</v>
      </c>
      <c r="F71" s="15"/>
      <c r="G71" s="15"/>
      <c r="H71" s="15"/>
      <c r="I71" s="15"/>
      <c r="J71" s="15"/>
      <c r="K71" s="15"/>
      <c r="L71" s="15"/>
      <c r="M71" s="15"/>
      <c r="N71" s="17"/>
      <c r="O71" s="15"/>
      <c r="P71" s="16">
        <v>0.17</v>
      </c>
      <c r="Q71" s="15"/>
      <c r="R71" s="15"/>
      <c r="S71" s="16"/>
      <c r="T71" s="6">
        <f t="shared" si="4"/>
        <v>0.17</v>
      </c>
      <c r="U71" s="9" t="s">
        <v>366</v>
      </c>
      <c r="V71" s="1"/>
      <c r="W71" s="1"/>
      <c r="X71" s="1"/>
      <c r="Y71" s="1"/>
      <c r="Z71" s="1"/>
    </row>
    <row r="72" spans="1:26" ht="39.75" customHeight="1">
      <c r="A72" s="171"/>
      <c r="B72" s="171"/>
      <c r="C72" s="171"/>
      <c r="D72" s="5">
        <v>66</v>
      </c>
      <c r="E72" s="5" t="s">
        <v>128</v>
      </c>
      <c r="F72" s="15"/>
      <c r="G72" s="15"/>
      <c r="H72" s="15"/>
      <c r="I72" s="15"/>
      <c r="J72" s="15"/>
      <c r="K72" s="17"/>
      <c r="L72" s="15"/>
      <c r="M72" s="15"/>
      <c r="N72" s="17">
        <v>0.2</v>
      </c>
      <c r="O72" s="15"/>
      <c r="P72" s="16"/>
      <c r="Q72" s="17">
        <v>0.05</v>
      </c>
      <c r="R72" s="34">
        <v>0.15</v>
      </c>
      <c r="S72" s="15"/>
      <c r="T72" s="6">
        <f t="shared" si="4"/>
        <v>0.4</v>
      </c>
      <c r="U72" s="9" t="s">
        <v>129</v>
      </c>
      <c r="V72" s="1"/>
      <c r="W72" s="1"/>
      <c r="X72" s="1"/>
      <c r="Y72" s="1"/>
      <c r="Z72" s="1"/>
    </row>
    <row r="73" spans="1:26" ht="39.75" customHeight="1">
      <c r="A73" s="171"/>
      <c r="B73" s="171"/>
      <c r="C73" s="171"/>
      <c r="D73" s="5">
        <v>67</v>
      </c>
      <c r="E73" s="5" t="s">
        <v>131</v>
      </c>
      <c r="F73" s="15"/>
      <c r="G73" s="15"/>
      <c r="H73" s="15"/>
      <c r="I73" s="15">
        <v>1.0049999999999999</v>
      </c>
      <c r="J73" s="15"/>
      <c r="K73" s="17"/>
      <c r="L73" s="15"/>
      <c r="M73" s="15"/>
      <c r="N73" s="17">
        <v>0.4</v>
      </c>
      <c r="O73" s="15">
        <v>0.875</v>
      </c>
      <c r="P73" s="16">
        <v>2</v>
      </c>
      <c r="Q73" s="17">
        <v>0.64500000000000002</v>
      </c>
      <c r="R73" s="16">
        <v>2.5</v>
      </c>
      <c r="S73" s="16"/>
      <c r="T73" s="6">
        <f t="shared" si="4"/>
        <v>7.4249999999999989</v>
      </c>
      <c r="U73" s="9" t="s">
        <v>367</v>
      </c>
      <c r="V73" s="1"/>
      <c r="W73" s="1"/>
      <c r="X73" s="1"/>
      <c r="Y73" s="1"/>
      <c r="Z73" s="1"/>
    </row>
    <row r="74" spans="1:26" ht="39.75" customHeight="1">
      <c r="A74" s="171"/>
      <c r="B74" s="169"/>
      <c r="C74" s="169"/>
      <c r="D74" s="5">
        <v>68</v>
      </c>
      <c r="E74" s="5" t="s">
        <v>133</v>
      </c>
      <c r="F74" s="16"/>
      <c r="G74" s="15"/>
      <c r="H74" s="15"/>
      <c r="I74" s="17"/>
      <c r="J74" s="15"/>
      <c r="K74" s="17"/>
      <c r="L74" s="15"/>
      <c r="M74" s="15"/>
      <c r="N74" s="17">
        <v>1.1000000000000001</v>
      </c>
      <c r="O74" s="16"/>
      <c r="P74" s="16">
        <v>0.48</v>
      </c>
      <c r="Q74" s="17">
        <v>2.25</v>
      </c>
      <c r="R74" s="16">
        <v>5.5</v>
      </c>
      <c r="S74" s="16">
        <v>0.55000000000000004</v>
      </c>
      <c r="T74" s="6">
        <f t="shared" si="4"/>
        <v>9.8800000000000008</v>
      </c>
      <c r="U74" s="9" t="s">
        <v>414</v>
      </c>
      <c r="V74" s="1"/>
      <c r="W74" s="1"/>
      <c r="X74" s="1"/>
      <c r="Y74" s="1"/>
      <c r="Z74" s="1"/>
    </row>
    <row r="75" spans="1:26" ht="39.75" customHeight="1">
      <c r="A75" s="171"/>
      <c r="B75" s="168" t="s">
        <v>136</v>
      </c>
      <c r="C75" s="168" t="s">
        <v>137</v>
      </c>
      <c r="D75" s="5">
        <v>69</v>
      </c>
      <c r="E75" s="5" t="s">
        <v>138</v>
      </c>
      <c r="F75" s="20"/>
      <c r="G75" s="20"/>
      <c r="H75" s="20"/>
      <c r="I75" s="20"/>
      <c r="J75" s="20"/>
      <c r="K75" s="20"/>
      <c r="L75" s="20"/>
      <c r="M75" s="20">
        <v>0.68</v>
      </c>
      <c r="N75" s="20"/>
      <c r="O75" s="20">
        <v>96.775999999999996</v>
      </c>
      <c r="P75" s="20">
        <v>0.3</v>
      </c>
      <c r="Q75" s="20"/>
      <c r="R75" s="20"/>
      <c r="S75" s="20"/>
      <c r="T75" s="6">
        <f t="shared" si="4"/>
        <v>97.756</v>
      </c>
      <c r="U75" s="10" t="s">
        <v>415</v>
      </c>
      <c r="V75" s="18"/>
      <c r="W75" s="1"/>
      <c r="X75" s="1"/>
      <c r="Y75" s="1"/>
      <c r="Z75" s="1"/>
    </row>
    <row r="76" spans="1:26" ht="39.75" customHeight="1">
      <c r="A76" s="171"/>
      <c r="B76" s="171"/>
      <c r="C76" s="171"/>
      <c r="D76" s="5">
        <v>70</v>
      </c>
      <c r="E76" s="5" t="s">
        <v>140</v>
      </c>
      <c r="F76" s="20"/>
      <c r="G76" s="20"/>
      <c r="H76" s="20"/>
      <c r="I76" s="22">
        <v>0.14799999999999999</v>
      </c>
      <c r="J76" s="20"/>
      <c r="K76" s="20"/>
      <c r="L76" s="20"/>
      <c r="M76" s="20"/>
      <c r="N76" s="20"/>
      <c r="O76" s="20"/>
      <c r="P76" s="20">
        <v>0.3</v>
      </c>
      <c r="Q76" s="20"/>
      <c r="R76" s="20"/>
      <c r="S76" s="20"/>
      <c r="T76" s="6">
        <f t="shared" si="4"/>
        <v>0.44799999999999995</v>
      </c>
      <c r="U76" s="10" t="s">
        <v>416</v>
      </c>
      <c r="V76" s="18"/>
      <c r="W76" s="1"/>
      <c r="X76" s="1"/>
      <c r="Y76" s="1"/>
      <c r="Z76" s="1"/>
    </row>
    <row r="77" spans="1:26" ht="39.75" customHeight="1">
      <c r="A77" s="171"/>
      <c r="B77" s="171"/>
      <c r="C77" s="171"/>
      <c r="D77" s="5">
        <v>71</v>
      </c>
      <c r="E77" s="5" t="s">
        <v>142</v>
      </c>
      <c r="F77" s="20"/>
      <c r="G77" s="20"/>
      <c r="H77" s="20"/>
      <c r="I77" s="20"/>
      <c r="J77" s="20"/>
      <c r="K77" s="20"/>
      <c r="L77" s="20"/>
      <c r="M77" s="20"/>
      <c r="N77" s="20"/>
      <c r="O77" s="20"/>
      <c r="P77" s="20"/>
      <c r="Q77" s="20"/>
      <c r="R77" s="20"/>
      <c r="S77" s="20"/>
      <c r="T77" s="6">
        <f t="shared" si="4"/>
        <v>0</v>
      </c>
      <c r="U77" s="10"/>
      <c r="V77" s="18"/>
      <c r="W77" s="1"/>
      <c r="X77" s="1"/>
      <c r="Y77" s="1"/>
      <c r="Z77" s="1"/>
    </row>
    <row r="78" spans="1:26" ht="39.75" customHeight="1">
      <c r="A78" s="171"/>
      <c r="B78" s="169"/>
      <c r="C78" s="169"/>
      <c r="D78" s="5">
        <v>72</v>
      </c>
      <c r="E78" s="5" t="s">
        <v>143</v>
      </c>
      <c r="F78" s="20"/>
      <c r="G78" s="20"/>
      <c r="H78" s="20"/>
      <c r="I78" s="20"/>
      <c r="J78" s="20"/>
      <c r="K78" s="20"/>
      <c r="L78" s="20"/>
      <c r="M78" s="20"/>
      <c r="N78" s="20">
        <v>5.6459999999999999</v>
      </c>
      <c r="O78" s="20"/>
      <c r="P78" s="20"/>
      <c r="Q78" s="20">
        <v>3.254</v>
      </c>
      <c r="R78" s="20">
        <v>2.6749999999999998</v>
      </c>
      <c r="S78" s="20"/>
      <c r="T78" s="6">
        <f t="shared" si="4"/>
        <v>11.574999999999999</v>
      </c>
      <c r="U78" s="10" t="s">
        <v>417</v>
      </c>
      <c r="V78" s="18"/>
      <c r="W78" s="1"/>
      <c r="X78" s="1"/>
      <c r="Y78" s="1"/>
      <c r="Z78" s="1"/>
    </row>
    <row r="79" spans="1:26" ht="39.75" customHeight="1">
      <c r="A79" s="171"/>
      <c r="B79" s="168" t="s">
        <v>145</v>
      </c>
      <c r="C79" s="168" t="s">
        <v>146</v>
      </c>
      <c r="D79" s="5">
        <v>73</v>
      </c>
      <c r="E79" s="5" t="s">
        <v>147</v>
      </c>
      <c r="F79" s="128">
        <v>4.5999999999999996</v>
      </c>
      <c r="G79" s="128"/>
      <c r="H79" s="128">
        <f>2.5</f>
        <v>2.5</v>
      </c>
      <c r="I79" s="128">
        <f>2.5+2.4+2+1.5</f>
        <v>8.4</v>
      </c>
      <c r="J79" s="112"/>
      <c r="K79" s="128">
        <f>2.4</f>
        <v>2.4</v>
      </c>
      <c r="L79" s="112"/>
      <c r="M79" s="128">
        <f>4.3+4</f>
        <v>8.3000000000000007</v>
      </c>
      <c r="N79" s="128">
        <f>3.9+1.2+0.5</f>
        <v>5.6</v>
      </c>
      <c r="O79" s="128"/>
      <c r="P79" s="128">
        <f>1.1+0.15+1.4</f>
        <v>2.65</v>
      </c>
      <c r="Q79" s="112"/>
      <c r="R79" s="128">
        <f>3.9+2+7.4+1+3.2+1.2</f>
        <v>18.7</v>
      </c>
      <c r="S79" s="128">
        <f>0.4</f>
        <v>0.4</v>
      </c>
      <c r="T79" s="129">
        <f>SUM(F79:S79)</f>
        <v>53.54999999999999</v>
      </c>
      <c r="U79" s="130" t="s">
        <v>766</v>
      </c>
      <c r="V79" s="1"/>
      <c r="W79" s="1"/>
      <c r="X79" s="1"/>
      <c r="Y79" s="1"/>
      <c r="Z79" s="1"/>
    </row>
    <row r="80" spans="1:26" ht="39.75" customHeight="1">
      <c r="A80" s="171"/>
      <c r="B80" s="171"/>
      <c r="C80" s="171"/>
      <c r="D80" s="5">
        <v>74</v>
      </c>
      <c r="E80" s="5" t="s">
        <v>148</v>
      </c>
      <c r="F80" s="128">
        <f>27+2.4</f>
        <v>29.4</v>
      </c>
      <c r="G80" s="128"/>
      <c r="H80" s="112"/>
      <c r="I80" s="112"/>
      <c r="J80" s="112"/>
      <c r="K80" s="112"/>
      <c r="L80" s="112"/>
      <c r="M80" s="112"/>
      <c r="N80" s="112"/>
      <c r="O80" s="112"/>
      <c r="P80" s="112"/>
      <c r="Q80" s="112"/>
      <c r="R80" s="112"/>
      <c r="S80" s="112"/>
      <c r="T80" s="129">
        <f t="shared" ref="T80:T84" si="5">SUM(F80:S80)</f>
        <v>29.4</v>
      </c>
      <c r="U80" s="130" t="s">
        <v>767</v>
      </c>
      <c r="V80" s="1"/>
      <c r="W80" s="1"/>
      <c r="X80" s="1"/>
      <c r="Y80" s="1"/>
      <c r="Z80" s="1"/>
    </row>
    <row r="81" spans="1:26" ht="39.75" customHeight="1">
      <c r="A81" s="171"/>
      <c r="B81" s="171"/>
      <c r="C81" s="171"/>
      <c r="D81" s="5">
        <v>75</v>
      </c>
      <c r="E81" s="5" t="s">
        <v>149</v>
      </c>
      <c r="F81" s="128">
        <f>2+0.9</f>
        <v>2.9</v>
      </c>
      <c r="G81" s="128"/>
      <c r="H81" s="112"/>
      <c r="I81" s="112"/>
      <c r="J81" s="112"/>
      <c r="K81" s="112"/>
      <c r="L81" s="112"/>
      <c r="M81" s="112"/>
      <c r="N81" s="112"/>
      <c r="O81" s="112"/>
      <c r="P81" s="128">
        <f>38</f>
        <v>38</v>
      </c>
      <c r="Q81" s="112"/>
      <c r="R81" s="112"/>
      <c r="S81" s="112"/>
      <c r="T81" s="129">
        <f t="shared" si="5"/>
        <v>40.9</v>
      </c>
      <c r="U81" s="130" t="s">
        <v>768</v>
      </c>
      <c r="V81" s="1"/>
      <c r="W81" s="1"/>
      <c r="X81" s="1"/>
      <c r="Y81" s="1"/>
      <c r="Z81" s="1"/>
    </row>
    <row r="82" spans="1:26" ht="39.75" customHeight="1">
      <c r="A82" s="171"/>
      <c r="B82" s="171"/>
      <c r="C82" s="171"/>
      <c r="D82" s="5">
        <v>76</v>
      </c>
      <c r="E82" s="5" t="s">
        <v>150</v>
      </c>
      <c r="F82" s="112"/>
      <c r="G82" s="112"/>
      <c r="H82" s="112"/>
      <c r="I82" s="112"/>
      <c r="J82" s="112"/>
      <c r="K82" s="128"/>
      <c r="L82" s="112"/>
      <c r="M82" s="128">
        <v>1.7</v>
      </c>
      <c r="N82" s="112"/>
      <c r="O82" s="112"/>
      <c r="P82" s="112"/>
      <c r="Q82" s="112"/>
      <c r="R82" s="112"/>
      <c r="S82" s="112"/>
      <c r="T82" s="129">
        <f t="shared" si="5"/>
        <v>1.7</v>
      </c>
      <c r="U82" s="131" t="s">
        <v>769</v>
      </c>
      <c r="V82" s="1"/>
      <c r="W82" s="1"/>
      <c r="X82" s="1"/>
      <c r="Y82" s="1"/>
      <c r="Z82" s="1"/>
    </row>
    <row r="83" spans="1:26" ht="39.75" customHeight="1">
      <c r="A83" s="171"/>
      <c r="B83" s="171"/>
      <c r="C83" s="171"/>
      <c r="D83" s="5">
        <v>77</v>
      </c>
      <c r="E83" s="5" t="s">
        <v>151</v>
      </c>
      <c r="F83" s="128">
        <f>1.5</f>
        <v>1.5</v>
      </c>
      <c r="G83" s="128"/>
      <c r="H83" s="128">
        <f>1.5</f>
        <v>1.5</v>
      </c>
      <c r="I83" s="128">
        <f>1+1</f>
        <v>2</v>
      </c>
      <c r="J83" s="112"/>
      <c r="K83" s="128">
        <f>1.1</f>
        <v>1.1000000000000001</v>
      </c>
      <c r="L83" s="112"/>
      <c r="M83" s="128"/>
      <c r="N83" s="128">
        <f>0.4</f>
        <v>0.4</v>
      </c>
      <c r="O83" s="112"/>
      <c r="P83" s="112"/>
      <c r="Q83" s="112"/>
      <c r="R83" s="112"/>
      <c r="S83" s="128">
        <f>0.5</f>
        <v>0.5</v>
      </c>
      <c r="T83" s="129">
        <f t="shared" si="5"/>
        <v>7</v>
      </c>
      <c r="U83" s="130" t="s">
        <v>770</v>
      </c>
      <c r="V83" s="1"/>
      <c r="W83" s="1"/>
      <c r="X83" s="1"/>
      <c r="Y83" s="1"/>
      <c r="Z83" s="1"/>
    </row>
    <row r="84" spans="1:26" ht="39.75" customHeight="1">
      <c r="A84" s="171"/>
      <c r="B84" s="171"/>
      <c r="C84" s="171"/>
      <c r="D84" s="5">
        <v>78</v>
      </c>
      <c r="E84" s="5" t="s">
        <v>152</v>
      </c>
      <c r="F84" s="112"/>
      <c r="G84" s="112"/>
      <c r="H84" s="112"/>
      <c r="I84" s="112"/>
      <c r="J84" s="112"/>
      <c r="K84" s="112"/>
      <c r="L84" s="112"/>
      <c r="M84" s="112"/>
      <c r="N84" s="112"/>
      <c r="O84" s="112"/>
      <c r="P84" s="112"/>
      <c r="Q84" s="128">
        <f>10.04+1</f>
        <v>11.04</v>
      </c>
      <c r="R84" s="112"/>
      <c r="S84" s="112"/>
      <c r="T84" s="129">
        <f t="shared" si="5"/>
        <v>11.04</v>
      </c>
      <c r="U84" s="130" t="s">
        <v>771</v>
      </c>
      <c r="V84" s="1"/>
      <c r="W84" s="1"/>
      <c r="X84" s="1"/>
      <c r="Y84" s="1"/>
      <c r="Z84" s="1"/>
    </row>
    <row r="85" spans="1:26" ht="39.75" customHeight="1">
      <c r="A85" s="171"/>
      <c r="B85" s="169"/>
      <c r="C85" s="169"/>
      <c r="D85" s="5">
        <v>79</v>
      </c>
      <c r="E85" s="5" t="s">
        <v>54</v>
      </c>
      <c r="F85" s="112"/>
      <c r="G85" s="112"/>
      <c r="H85" s="112"/>
      <c r="I85" s="112"/>
      <c r="J85" s="112"/>
      <c r="K85" s="112"/>
      <c r="L85" s="112"/>
      <c r="M85" s="112"/>
      <c r="N85" s="112"/>
      <c r="O85" s="112"/>
      <c r="P85" s="112"/>
      <c r="Q85" s="112"/>
      <c r="R85" s="112"/>
      <c r="S85" s="112"/>
      <c r="T85" s="129"/>
      <c r="U85" s="112" t="s">
        <v>418</v>
      </c>
      <c r="V85" s="1"/>
      <c r="W85" s="1"/>
      <c r="X85" s="1"/>
      <c r="Y85" s="1"/>
      <c r="Z85" s="1"/>
    </row>
    <row r="86" spans="1:26" ht="39.75" customHeight="1">
      <c r="A86" s="171"/>
      <c r="B86" s="168" t="s">
        <v>153</v>
      </c>
      <c r="C86" s="168" t="s">
        <v>154</v>
      </c>
      <c r="D86" s="5">
        <v>80</v>
      </c>
      <c r="E86" s="5" t="s">
        <v>155</v>
      </c>
      <c r="F86" s="5"/>
      <c r="G86" s="5"/>
      <c r="H86" s="5"/>
      <c r="I86" s="5"/>
      <c r="J86" s="5"/>
      <c r="K86" s="25"/>
      <c r="L86" s="5"/>
      <c r="M86" s="6"/>
      <c r="N86" s="5"/>
      <c r="O86" s="5"/>
      <c r="P86" s="8">
        <v>3.6</v>
      </c>
      <c r="Q86" s="6">
        <v>1</v>
      </c>
      <c r="R86" s="8"/>
      <c r="S86" s="5"/>
      <c r="T86" s="6">
        <f t="shared" si="4"/>
        <v>4.5999999999999996</v>
      </c>
      <c r="U86" s="10" t="s">
        <v>419</v>
      </c>
      <c r="V86" s="1"/>
      <c r="W86" s="1"/>
      <c r="X86" s="1"/>
      <c r="Y86" s="1"/>
      <c r="Z86" s="1"/>
    </row>
    <row r="87" spans="1:26" ht="39.75" customHeight="1">
      <c r="A87" s="171"/>
      <c r="B87" s="171"/>
      <c r="C87" s="171"/>
      <c r="D87" s="5">
        <v>81</v>
      </c>
      <c r="E87" s="5" t="s">
        <v>156</v>
      </c>
      <c r="F87" s="5"/>
      <c r="G87" s="5"/>
      <c r="H87" s="5"/>
      <c r="I87" s="5"/>
      <c r="J87" s="5"/>
      <c r="K87" s="5"/>
      <c r="L87" s="5"/>
      <c r="M87" s="6"/>
      <c r="N87" s="6"/>
      <c r="O87" s="5"/>
      <c r="P87" s="8"/>
      <c r="Q87" s="8"/>
      <c r="R87" s="5"/>
      <c r="S87" s="5"/>
      <c r="T87" s="6">
        <f t="shared" si="4"/>
        <v>0</v>
      </c>
      <c r="U87" s="46"/>
      <c r="V87" s="1"/>
      <c r="W87" s="1"/>
      <c r="X87" s="1"/>
      <c r="Y87" s="1"/>
      <c r="Z87" s="1"/>
    </row>
    <row r="88" spans="1:26" ht="39.75" customHeight="1">
      <c r="A88" s="171"/>
      <c r="B88" s="171"/>
      <c r="C88" s="171"/>
      <c r="D88" s="5">
        <v>82</v>
      </c>
      <c r="E88" s="5" t="s">
        <v>157</v>
      </c>
      <c r="F88" s="5"/>
      <c r="G88" s="5"/>
      <c r="H88" s="5"/>
      <c r="I88" s="5"/>
      <c r="J88" s="5"/>
      <c r="K88" s="5"/>
      <c r="L88" s="5"/>
      <c r="M88" s="5"/>
      <c r="N88" s="5"/>
      <c r="O88" s="5"/>
      <c r="P88" s="8"/>
      <c r="Q88" s="5"/>
      <c r="R88" s="5"/>
      <c r="S88" s="5"/>
      <c r="T88" s="6">
        <f t="shared" si="4"/>
        <v>0</v>
      </c>
      <c r="U88" s="46"/>
      <c r="V88" s="1"/>
      <c r="W88" s="1"/>
      <c r="X88" s="1"/>
      <c r="Y88" s="1"/>
      <c r="Z88" s="1"/>
    </row>
    <row r="89" spans="1:26" ht="39.75" customHeight="1">
      <c r="A89" s="171"/>
      <c r="B89" s="169"/>
      <c r="C89" s="169"/>
      <c r="D89" s="5">
        <v>83</v>
      </c>
      <c r="E89" s="5" t="s">
        <v>158</v>
      </c>
      <c r="F89" s="5"/>
      <c r="G89" s="5"/>
      <c r="H89" s="5"/>
      <c r="I89" s="5"/>
      <c r="J89" s="5"/>
      <c r="K89" s="6">
        <v>3</v>
      </c>
      <c r="L89" s="5"/>
      <c r="M89" s="8"/>
      <c r="N89" s="6"/>
      <c r="O89" s="5"/>
      <c r="P89" s="8">
        <v>1.54</v>
      </c>
      <c r="Q89" s="6"/>
      <c r="R89" s="8"/>
      <c r="S89" s="5"/>
      <c r="T89" s="6">
        <f t="shared" si="4"/>
        <v>4.54</v>
      </c>
      <c r="U89" s="46" t="s">
        <v>420</v>
      </c>
      <c r="V89" s="1"/>
      <c r="W89" s="1"/>
      <c r="X89" s="1"/>
      <c r="Y89" s="1"/>
      <c r="Z89" s="1"/>
    </row>
    <row r="90" spans="1:26" ht="39.75" customHeight="1">
      <c r="A90" s="171"/>
      <c r="B90" s="5" t="s">
        <v>159</v>
      </c>
      <c r="C90" s="5" t="s">
        <v>160</v>
      </c>
      <c r="D90" s="5">
        <v>84</v>
      </c>
      <c r="E90" s="5" t="s">
        <v>161</v>
      </c>
      <c r="F90" s="5"/>
      <c r="G90" s="5"/>
      <c r="H90" s="5"/>
      <c r="I90" s="6"/>
      <c r="J90" s="5"/>
      <c r="K90" s="6"/>
      <c r="L90" s="5"/>
      <c r="M90" s="5"/>
      <c r="N90" s="6">
        <v>0.78</v>
      </c>
      <c r="O90" s="5"/>
      <c r="P90" s="5"/>
      <c r="Q90" s="6">
        <v>2.5</v>
      </c>
      <c r="R90" s="8">
        <v>0.2</v>
      </c>
      <c r="S90" s="5"/>
      <c r="T90" s="6">
        <f t="shared" si="4"/>
        <v>3.4800000000000004</v>
      </c>
      <c r="U90" s="9" t="s">
        <v>581</v>
      </c>
      <c r="V90" s="1"/>
      <c r="W90" s="1"/>
      <c r="X90" s="1"/>
      <c r="Y90" s="1"/>
      <c r="Z90" s="1"/>
    </row>
    <row r="91" spans="1:26" ht="39.75" customHeight="1">
      <c r="A91" s="171"/>
      <c r="B91" s="5" t="s">
        <v>162</v>
      </c>
      <c r="C91" s="5" t="s">
        <v>163</v>
      </c>
      <c r="D91" s="5">
        <v>85</v>
      </c>
      <c r="E91" s="5" t="s">
        <v>164</v>
      </c>
      <c r="F91" s="5"/>
      <c r="G91" s="5"/>
      <c r="H91" s="5"/>
      <c r="I91" s="5"/>
      <c r="J91" s="5"/>
      <c r="K91" s="6"/>
      <c r="L91" s="5"/>
      <c r="M91" s="5"/>
      <c r="N91" s="6">
        <v>0.2</v>
      </c>
      <c r="O91" s="5"/>
      <c r="P91" s="5"/>
      <c r="Q91" s="6">
        <v>1</v>
      </c>
      <c r="R91" s="8"/>
      <c r="S91" s="5"/>
      <c r="T91" s="6">
        <f t="shared" si="4"/>
        <v>1.2</v>
      </c>
      <c r="U91" s="9" t="s">
        <v>165</v>
      </c>
      <c r="V91" s="1"/>
      <c r="W91" s="1"/>
      <c r="X91" s="1"/>
      <c r="Y91" s="1"/>
      <c r="Z91" s="1"/>
    </row>
    <row r="92" spans="1:26" ht="39.75" customHeight="1">
      <c r="A92" s="171"/>
      <c r="B92" s="5" t="s">
        <v>166</v>
      </c>
      <c r="C92" s="5" t="s">
        <v>54</v>
      </c>
      <c r="D92" s="5">
        <v>86</v>
      </c>
      <c r="E92" s="5" t="s">
        <v>167</v>
      </c>
      <c r="F92" s="5"/>
      <c r="G92" s="5"/>
      <c r="H92" s="5"/>
      <c r="I92" s="5"/>
      <c r="J92" s="5"/>
      <c r="K92" s="5"/>
      <c r="L92" s="5"/>
      <c r="M92" s="5"/>
      <c r="N92" s="5"/>
      <c r="O92" s="5"/>
      <c r="P92" s="5"/>
      <c r="Q92" s="5"/>
      <c r="R92" s="5"/>
      <c r="S92" s="5"/>
      <c r="T92" s="6">
        <f t="shared" si="4"/>
        <v>0</v>
      </c>
      <c r="U92" s="9"/>
      <c r="V92" s="1"/>
      <c r="W92" s="1"/>
      <c r="X92" s="1"/>
      <c r="Y92" s="1"/>
      <c r="Z92" s="1"/>
    </row>
    <row r="93" spans="1:26" ht="39.75" customHeight="1">
      <c r="A93" s="169"/>
      <c r="B93" s="176" t="s">
        <v>168</v>
      </c>
      <c r="C93" s="177"/>
      <c r="D93" s="178"/>
      <c r="E93" s="51"/>
      <c r="F93" s="51">
        <f t="shared" ref="F93:S93" si="6">SUM(F69:F92)</f>
        <v>38.4</v>
      </c>
      <c r="G93" s="51">
        <f t="shared" si="6"/>
        <v>0</v>
      </c>
      <c r="H93" s="51">
        <f t="shared" si="6"/>
        <v>4</v>
      </c>
      <c r="I93" s="51">
        <f t="shared" si="6"/>
        <v>11.553000000000001</v>
      </c>
      <c r="J93" s="51">
        <f t="shared" si="6"/>
        <v>0</v>
      </c>
      <c r="K93" s="51">
        <f t="shared" si="6"/>
        <v>6.5</v>
      </c>
      <c r="L93" s="51">
        <f t="shared" si="6"/>
        <v>0</v>
      </c>
      <c r="M93" s="56">
        <f t="shared" si="6"/>
        <v>10.68</v>
      </c>
      <c r="N93" s="52">
        <f t="shared" si="6"/>
        <v>20.376000000000001</v>
      </c>
      <c r="O93" s="51">
        <f t="shared" si="6"/>
        <v>98.176000000000002</v>
      </c>
      <c r="P93" s="52">
        <f t="shared" si="6"/>
        <v>68.240000000000009</v>
      </c>
      <c r="Q93" s="51">
        <f t="shared" si="6"/>
        <v>22.138999999999999</v>
      </c>
      <c r="R93" s="56">
        <f t="shared" si="6"/>
        <v>36.225000000000001</v>
      </c>
      <c r="S93" s="56">
        <f t="shared" si="6"/>
        <v>1.4500000000000002</v>
      </c>
      <c r="T93" s="6">
        <f t="shared" si="4"/>
        <v>317.73900000000003</v>
      </c>
      <c r="U93" s="9"/>
      <c r="V93" s="1"/>
      <c r="W93" s="1"/>
      <c r="X93" s="1"/>
      <c r="Y93" s="1"/>
      <c r="Z93" s="1"/>
    </row>
    <row r="94" spans="1:26" ht="39.75" customHeight="1">
      <c r="A94" s="175" t="s">
        <v>169</v>
      </c>
      <c r="B94" s="168" t="s">
        <v>170</v>
      </c>
      <c r="C94" s="168" t="s">
        <v>171</v>
      </c>
      <c r="D94" s="5">
        <v>87</v>
      </c>
      <c r="E94" s="5" t="s">
        <v>172</v>
      </c>
      <c r="F94" s="114"/>
      <c r="G94" s="114"/>
      <c r="H94" s="114"/>
      <c r="I94" s="114"/>
      <c r="J94" s="114"/>
      <c r="K94" s="115">
        <v>6</v>
      </c>
      <c r="L94" s="114"/>
      <c r="M94" s="114"/>
      <c r="N94" s="114"/>
      <c r="O94" s="114"/>
      <c r="P94" s="114"/>
      <c r="Q94" s="114"/>
      <c r="R94" s="114"/>
      <c r="S94" s="116"/>
      <c r="T94" s="117">
        <f>SUM(F94:S94)</f>
        <v>6</v>
      </c>
      <c r="U94" s="88" t="s">
        <v>711</v>
      </c>
      <c r="V94" s="18"/>
      <c r="W94" s="1"/>
      <c r="X94" s="1"/>
      <c r="Y94" s="1"/>
      <c r="Z94" s="1"/>
    </row>
    <row r="95" spans="1:26" ht="39.75" customHeight="1">
      <c r="A95" s="171"/>
      <c r="B95" s="171"/>
      <c r="C95" s="171"/>
      <c r="D95" s="5">
        <v>88</v>
      </c>
      <c r="E95" s="5" t="s">
        <v>173</v>
      </c>
      <c r="F95" s="114"/>
      <c r="G95" s="114"/>
      <c r="H95" s="114"/>
      <c r="I95" s="114"/>
      <c r="J95" s="114"/>
      <c r="K95" s="114"/>
      <c r="L95" s="114"/>
      <c r="M95" s="114"/>
      <c r="N95" s="114"/>
      <c r="O95" s="114"/>
      <c r="P95" s="118">
        <v>13</v>
      </c>
      <c r="Q95" s="114"/>
      <c r="R95" s="114"/>
      <c r="S95" s="116"/>
      <c r="T95" s="117">
        <f t="shared" ref="T95:T103" si="7">SUM(F95:S95)</f>
        <v>13</v>
      </c>
      <c r="U95" s="88" t="s">
        <v>712</v>
      </c>
      <c r="V95" s="18"/>
      <c r="W95" s="1"/>
      <c r="X95" s="1"/>
      <c r="Y95" s="1"/>
      <c r="Z95" s="1"/>
    </row>
    <row r="96" spans="1:26" ht="39.75" customHeight="1">
      <c r="A96" s="171"/>
      <c r="B96" s="171"/>
      <c r="C96" s="171"/>
      <c r="D96" s="5">
        <v>89</v>
      </c>
      <c r="E96" s="5" t="s">
        <v>174</v>
      </c>
      <c r="F96" s="114"/>
      <c r="G96" s="114"/>
      <c r="H96" s="114"/>
      <c r="I96" s="114"/>
      <c r="J96" s="114"/>
      <c r="K96" s="114"/>
      <c r="L96" s="114"/>
      <c r="M96" s="114"/>
      <c r="N96" s="114"/>
      <c r="O96" s="114"/>
      <c r="P96" s="114"/>
      <c r="Q96" s="114"/>
      <c r="R96" s="114"/>
      <c r="S96" s="116"/>
      <c r="T96" s="117">
        <f t="shared" si="7"/>
        <v>0</v>
      </c>
      <c r="U96" s="88"/>
      <c r="V96" s="18"/>
      <c r="W96" s="1"/>
      <c r="X96" s="1"/>
      <c r="Y96" s="1"/>
      <c r="Z96" s="1"/>
    </row>
    <row r="97" spans="1:26" ht="39.75" customHeight="1">
      <c r="A97" s="171"/>
      <c r="B97" s="171"/>
      <c r="C97" s="171"/>
      <c r="D97" s="5">
        <v>90</v>
      </c>
      <c r="E97" s="5" t="s">
        <v>175</v>
      </c>
      <c r="F97" s="114"/>
      <c r="G97" s="114"/>
      <c r="H97" s="114"/>
      <c r="I97" s="114"/>
      <c r="J97" s="114"/>
      <c r="K97" s="114"/>
      <c r="L97" s="114"/>
      <c r="M97" s="114"/>
      <c r="N97" s="114"/>
      <c r="O97" s="114"/>
      <c r="P97" s="118"/>
      <c r="Q97" s="114"/>
      <c r="R97" s="114"/>
      <c r="S97" s="116"/>
      <c r="T97" s="117">
        <f t="shared" si="7"/>
        <v>0</v>
      </c>
      <c r="U97" s="88"/>
      <c r="V97" s="18"/>
      <c r="W97" s="1"/>
      <c r="X97" s="1"/>
      <c r="Y97" s="1"/>
      <c r="Z97" s="1"/>
    </row>
    <row r="98" spans="1:26" ht="39.75" customHeight="1">
      <c r="A98" s="171"/>
      <c r="B98" s="171"/>
      <c r="C98" s="171"/>
      <c r="D98" s="5">
        <v>91</v>
      </c>
      <c r="E98" s="5" t="s">
        <v>176</v>
      </c>
      <c r="F98" s="114"/>
      <c r="G98" s="114"/>
      <c r="H98" s="114"/>
      <c r="I98" s="114"/>
      <c r="J98" s="114"/>
      <c r="K98" s="115">
        <v>0</v>
      </c>
      <c r="L98" s="114"/>
      <c r="M98" s="114"/>
      <c r="N98" s="114"/>
      <c r="O98" s="114"/>
      <c r="P98" s="118">
        <v>2</v>
      </c>
      <c r="Q98" s="114"/>
      <c r="R98" s="114"/>
      <c r="S98" s="116"/>
      <c r="T98" s="117">
        <f t="shared" si="7"/>
        <v>2</v>
      </c>
      <c r="U98" s="119" t="s">
        <v>710</v>
      </c>
      <c r="V98" s="18"/>
      <c r="W98" s="1"/>
      <c r="X98" s="1"/>
      <c r="Y98" s="1"/>
      <c r="Z98" s="1"/>
    </row>
    <row r="99" spans="1:26" ht="39.75" customHeight="1">
      <c r="A99" s="171"/>
      <c r="B99" s="171"/>
      <c r="C99" s="171"/>
      <c r="D99" s="5">
        <v>92</v>
      </c>
      <c r="E99" s="5" t="s">
        <v>178</v>
      </c>
      <c r="F99" s="114"/>
      <c r="G99" s="114"/>
      <c r="H99" s="114"/>
      <c r="I99" s="114"/>
      <c r="J99" s="114"/>
      <c r="K99" s="114"/>
      <c r="L99" s="114"/>
      <c r="M99" s="114"/>
      <c r="N99" s="114"/>
      <c r="O99" s="114"/>
      <c r="P99" s="118"/>
      <c r="Q99" s="114"/>
      <c r="R99" s="114"/>
      <c r="S99" s="116"/>
      <c r="T99" s="117">
        <f t="shared" si="7"/>
        <v>0</v>
      </c>
      <c r="U99" s="120"/>
      <c r="V99" s="1"/>
      <c r="W99" s="1"/>
      <c r="X99" s="1"/>
      <c r="Y99" s="1"/>
      <c r="Z99" s="1"/>
    </row>
    <row r="100" spans="1:26" ht="39.75" customHeight="1">
      <c r="A100" s="171"/>
      <c r="B100" s="171"/>
      <c r="C100" s="171"/>
      <c r="D100" s="5">
        <v>93</v>
      </c>
      <c r="E100" s="5" t="s">
        <v>180</v>
      </c>
      <c r="F100" s="114"/>
      <c r="G100" s="114"/>
      <c r="H100" s="114"/>
      <c r="I100" s="118"/>
      <c r="J100" s="114"/>
      <c r="K100" s="114"/>
      <c r="L100" s="114"/>
      <c r="M100" s="114"/>
      <c r="N100" s="114"/>
      <c r="O100" s="114"/>
      <c r="P100" s="114"/>
      <c r="Q100" s="114"/>
      <c r="R100" s="114"/>
      <c r="S100" s="116"/>
      <c r="T100" s="117">
        <f t="shared" si="7"/>
        <v>0</v>
      </c>
      <c r="U100" s="119"/>
      <c r="V100" s="1"/>
      <c r="W100" s="1"/>
      <c r="X100" s="1"/>
      <c r="Y100" s="1"/>
      <c r="Z100" s="1"/>
    </row>
    <row r="101" spans="1:26" ht="39.75" customHeight="1">
      <c r="A101" s="171"/>
      <c r="B101" s="171"/>
      <c r="C101" s="171"/>
      <c r="D101" s="5">
        <v>94</v>
      </c>
      <c r="E101" s="5" t="s">
        <v>181</v>
      </c>
      <c r="F101" s="114"/>
      <c r="G101" s="114"/>
      <c r="H101" s="114"/>
      <c r="I101" s="118"/>
      <c r="J101" s="114"/>
      <c r="K101" s="114"/>
      <c r="L101" s="114"/>
      <c r="M101" s="114"/>
      <c r="N101" s="114"/>
      <c r="O101" s="114"/>
      <c r="P101" s="114"/>
      <c r="Q101" s="114"/>
      <c r="R101" s="114"/>
      <c r="S101" s="116"/>
      <c r="T101" s="117">
        <f t="shared" si="7"/>
        <v>0</v>
      </c>
      <c r="U101" s="120"/>
      <c r="V101" s="1"/>
      <c r="W101" s="1"/>
      <c r="X101" s="1"/>
      <c r="Y101" s="1"/>
      <c r="Z101" s="1"/>
    </row>
    <row r="102" spans="1:26" ht="39.75" customHeight="1">
      <c r="A102" s="171"/>
      <c r="B102" s="171"/>
      <c r="C102" s="171"/>
      <c r="D102" s="5">
        <v>95</v>
      </c>
      <c r="E102" s="5" t="s">
        <v>182</v>
      </c>
      <c r="F102" s="114"/>
      <c r="G102" s="114"/>
      <c r="H102" s="118"/>
      <c r="I102" s="115">
        <v>10</v>
      </c>
      <c r="J102" s="114"/>
      <c r="K102" s="114"/>
      <c r="L102" s="114"/>
      <c r="M102" s="114"/>
      <c r="N102" s="114"/>
      <c r="O102" s="114"/>
      <c r="P102" s="114"/>
      <c r="Q102" s="114"/>
      <c r="R102" s="114"/>
      <c r="S102" s="116"/>
      <c r="T102" s="117">
        <f t="shared" si="7"/>
        <v>10</v>
      </c>
      <c r="U102" s="88" t="s">
        <v>713</v>
      </c>
      <c r="V102" s="1"/>
      <c r="W102" s="1"/>
      <c r="X102" s="1"/>
      <c r="Y102" s="1"/>
      <c r="Z102" s="1"/>
    </row>
    <row r="103" spans="1:26" ht="39.75" customHeight="1">
      <c r="A103" s="171"/>
      <c r="B103" s="169"/>
      <c r="C103" s="169"/>
      <c r="D103" s="5">
        <v>96</v>
      </c>
      <c r="E103" s="5" t="s">
        <v>183</v>
      </c>
      <c r="F103" s="114"/>
      <c r="G103" s="114"/>
      <c r="H103" s="114"/>
      <c r="I103" s="114"/>
      <c r="J103" s="114"/>
      <c r="K103" s="114"/>
      <c r="L103" s="114"/>
      <c r="M103" s="114"/>
      <c r="N103" s="115">
        <v>0</v>
      </c>
      <c r="O103" s="114"/>
      <c r="P103" s="114"/>
      <c r="Q103" s="115">
        <v>1</v>
      </c>
      <c r="R103" s="118">
        <v>1</v>
      </c>
      <c r="S103" s="116"/>
      <c r="T103" s="117">
        <f t="shared" si="7"/>
        <v>2</v>
      </c>
      <c r="U103" s="88" t="s">
        <v>421</v>
      </c>
      <c r="V103" s="1"/>
      <c r="W103" s="1"/>
      <c r="X103" s="1"/>
      <c r="Y103" s="1"/>
      <c r="Z103" s="1"/>
    </row>
    <row r="104" spans="1:26" ht="39.75" customHeight="1">
      <c r="A104" s="171"/>
      <c r="B104" s="168" t="s">
        <v>184</v>
      </c>
      <c r="C104" s="168" t="s">
        <v>185</v>
      </c>
      <c r="D104" s="5">
        <v>97</v>
      </c>
      <c r="E104" s="5" t="s">
        <v>186</v>
      </c>
      <c r="F104" s="5"/>
      <c r="G104" s="5"/>
      <c r="H104" s="5"/>
      <c r="I104" s="6"/>
      <c r="J104" s="5"/>
      <c r="K104" s="6"/>
      <c r="L104" s="5"/>
      <c r="M104" s="6"/>
      <c r="N104" s="6">
        <v>5.5</v>
      </c>
      <c r="O104" s="5"/>
      <c r="P104" s="8">
        <v>18.899999999999999</v>
      </c>
      <c r="Q104" s="6">
        <v>4</v>
      </c>
      <c r="R104" s="8">
        <v>17.55</v>
      </c>
      <c r="S104" s="5"/>
      <c r="T104" s="6">
        <f t="shared" si="4"/>
        <v>45.95</v>
      </c>
      <c r="U104" s="10" t="s">
        <v>391</v>
      </c>
      <c r="V104" s="1"/>
      <c r="W104" s="1"/>
      <c r="X104" s="1"/>
      <c r="Y104" s="1"/>
      <c r="Z104" s="1"/>
    </row>
    <row r="105" spans="1:26" ht="39.75" customHeight="1">
      <c r="A105" s="171"/>
      <c r="B105" s="169"/>
      <c r="C105" s="169"/>
      <c r="D105" s="5">
        <v>98</v>
      </c>
      <c r="E105" s="5" t="s">
        <v>54</v>
      </c>
      <c r="F105" s="5"/>
      <c r="G105" s="5"/>
      <c r="H105" s="5"/>
      <c r="I105" s="5"/>
      <c r="J105" s="5"/>
      <c r="K105" s="5"/>
      <c r="L105" s="5"/>
      <c r="M105" s="5"/>
      <c r="N105" s="5"/>
      <c r="O105" s="5"/>
      <c r="P105" s="5"/>
      <c r="Q105" s="5"/>
      <c r="R105" s="5"/>
      <c r="S105" s="5"/>
      <c r="T105" s="6">
        <f t="shared" si="4"/>
        <v>0</v>
      </c>
      <c r="U105" s="46"/>
      <c r="V105" s="1"/>
      <c r="W105" s="1"/>
      <c r="X105" s="1"/>
      <c r="Y105" s="1"/>
      <c r="Z105" s="1"/>
    </row>
    <row r="106" spans="1:26" ht="39.75" customHeight="1">
      <c r="A106" s="171"/>
      <c r="B106" s="168" t="s">
        <v>188</v>
      </c>
      <c r="C106" s="168" t="s">
        <v>189</v>
      </c>
      <c r="D106" s="5">
        <v>99</v>
      </c>
      <c r="E106" s="5" t="s">
        <v>190</v>
      </c>
      <c r="F106" s="5"/>
      <c r="G106" s="5"/>
      <c r="H106" s="8"/>
      <c r="I106" s="6">
        <v>2</v>
      </c>
      <c r="J106" s="5"/>
      <c r="K106" s="6"/>
      <c r="L106" s="5"/>
      <c r="M106" s="5"/>
      <c r="N106" s="6">
        <v>0.8</v>
      </c>
      <c r="O106" s="5"/>
      <c r="P106" s="5"/>
      <c r="Q106" s="6">
        <v>2</v>
      </c>
      <c r="R106" s="5"/>
      <c r="S106" s="5"/>
      <c r="T106" s="6">
        <f t="shared" si="4"/>
        <v>4.8</v>
      </c>
      <c r="U106" s="46" t="s">
        <v>374</v>
      </c>
      <c r="V106" s="1"/>
      <c r="W106" s="1"/>
      <c r="X106" s="1"/>
      <c r="Y106" s="1"/>
      <c r="Z106" s="1"/>
    </row>
    <row r="107" spans="1:26" ht="39.75" customHeight="1">
      <c r="A107" s="171"/>
      <c r="B107" s="171"/>
      <c r="C107" s="171"/>
      <c r="D107" s="5">
        <v>100</v>
      </c>
      <c r="E107" s="5" t="s">
        <v>192</v>
      </c>
      <c r="F107" s="5"/>
      <c r="G107" s="5"/>
      <c r="H107" s="5"/>
      <c r="I107" s="6">
        <v>0.65</v>
      </c>
      <c r="J107" s="5"/>
      <c r="K107" s="6"/>
      <c r="L107" s="5"/>
      <c r="M107" s="5"/>
      <c r="N107" s="5"/>
      <c r="O107" s="5"/>
      <c r="P107" s="5"/>
      <c r="Q107" s="5"/>
      <c r="R107" s="5"/>
      <c r="S107" s="5"/>
      <c r="T107" s="6">
        <f t="shared" si="4"/>
        <v>0.65</v>
      </c>
      <c r="U107" s="46" t="s">
        <v>193</v>
      </c>
      <c r="V107" s="1"/>
      <c r="W107" s="1"/>
      <c r="X107" s="1"/>
      <c r="Y107" s="1"/>
      <c r="Z107" s="1"/>
    </row>
    <row r="108" spans="1:26" ht="39.75" customHeight="1">
      <c r="A108" s="171"/>
      <c r="B108" s="171"/>
      <c r="C108" s="171"/>
      <c r="D108" s="5">
        <v>101</v>
      </c>
      <c r="E108" s="5" t="s">
        <v>194</v>
      </c>
      <c r="F108" s="5"/>
      <c r="G108" s="5"/>
      <c r="H108" s="5"/>
      <c r="I108" s="5"/>
      <c r="J108" s="5"/>
      <c r="K108" s="5"/>
      <c r="L108" s="5"/>
      <c r="M108" s="5"/>
      <c r="N108" s="5"/>
      <c r="O108" s="5"/>
      <c r="P108" s="5"/>
      <c r="Q108" s="5"/>
      <c r="R108" s="5"/>
      <c r="S108" s="5"/>
      <c r="T108" s="6">
        <f t="shared" si="4"/>
        <v>0</v>
      </c>
      <c r="U108" s="9"/>
      <c r="V108" s="1"/>
      <c r="W108" s="1"/>
      <c r="X108" s="1"/>
      <c r="Y108" s="1"/>
      <c r="Z108" s="1"/>
    </row>
    <row r="109" spans="1:26" ht="39.75" customHeight="1">
      <c r="A109" s="171"/>
      <c r="B109" s="171"/>
      <c r="C109" s="171"/>
      <c r="D109" s="5">
        <v>102</v>
      </c>
      <c r="E109" s="5" t="s">
        <v>195</v>
      </c>
      <c r="F109" s="5"/>
      <c r="G109" s="5"/>
      <c r="H109" s="5"/>
      <c r="I109" s="5"/>
      <c r="J109" s="5"/>
      <c r="K109" s="5"/>
      <c r="L109" s="5"/>
      <c r="M109" s="5"/>
      <c r="N109" s="5"/>
      <c r="O109" s="5"/>
      <c r="P109" s="5"/>
      <c r="Q109" s="6"/>
      <c r="R109" s="5"/>
      <c r="S109" s="5"/>
      <c r="T109" s="6">
        <f t="shared" si="4"/>
        <v>0</v>
      </c>
      <c r="U109" s="9"/>
      <c r="V109" s="1"/>
      <c r="W109" s="1"/>
      <c r="X109" s="1"/>
      <c r="Y109" s="1"/>
      <c r="Z109" s="1"/>
    </row>
    <row r="110" spans="1:26" ht="39.75" customHeight="1">
      <c r="A110" s="171"/>
      <c r="B110" s="169"/>
      <c r="C110" s="169"/>
      <c r="D110" s="5">
        <v>103</v>
      </c>
      <c r="E110" s="5" t="s">
        <v>54</v>
      </c>
      <c r="F110" s="5"/>
      <c r="G110" s="5"/>
      <c r="H110" s="5"/>
      <c r="I110" s="5"/>
      <c r="J110" s="5"/>
      <c r="K110" s="5"/>
      <c r="L110" s="5"/>
      <c r="M110" s="5"/>
      <c r="N110" s="5"/>
      <c r="O110" s="5"/>
      <c r="P110" s="8">
        <v>2.6</v>
      </c>
      <c r="Q110" s="5"/>
      <c r="R110" s="8"/>
      <c r="S110" s="8"/>
      <c r="T110" s="6">
        <f t="shared" si="4"/>
        <v>2.6</v>
      </c>
      <c r="U110" s="10" t="s">
        <v>196</v>
      </c>
      <c r="V110" s="1"/>
      <c r="W110" s="1"/>
      <c r="X110" s="1"/>
      <c r="Y110" s="1"/>
      <c r="Z110" s="1"/>
    </row>
    <row r="111" spans="1:26" ht="39.75" customHeight="1">
      <c r="A111" s="171"/>
      <c r="B111" s="168" t="s">
        <v>197</v>
      </c>
      <c r="C111" s="168" t="s">
        <v>198</v>
      </c>
      <c r="D111" s="5">
        <v>104</v>
      </c>
      <c r="E111" s="5" t="s">
        <v>199</v>
      </c>
      <c r="F111" s="5"/>
      <c r="G111" s="5"/>
      <c r="H111" s="5"/>
      <c r="I111" s="5"/>
      <c r="J111" s="5"/>
      <c r="K111" s="5"/>
      <c r="L111" s="5"/>
      <c r="M111" s="5"/>
      <c r="N111" s="8">
        <v>2</v>
      </c>
      <c r="O111" s="5"/>
      <c r="P111" s="8">
        <v>3</v>
      </c>
      <c r="Q111" s="8">
        <v>1</v>
      </c>
      <c r="R111" s="8"/>
      <c r="S111" s="8"/>
      <c r="T111" s="6">
        <f t="shared" si="4"/>
        <v>6</v>
      </c>
      <c r="U111" s="113" t="s">
        <v>691</v>
      </c>
      <c r="V111" s="1"/>
      <c r="W111" s="1"/>
      <c r="X111" s="1"/>
      <c r="Y111" s="1"/>
      <c r="Z111" s="1"/>
    </row>
    <row r="112" spans="1:26" ht="39.75" customHeight="1">
      <c r="A112" s="171"/>
      <c r="B112" s="171"/>
      <c r="C112" s="171"/>
      <c r="D112" s="5">
        <v>105</v>
      </c>
      <c r="E112" s="5" t="s">
        <v>200</v>
      </c>
      <c r="F112" s="5"/>
      <c r="G112" s="5"/>
      <c r="H112" s="5"/>
      <c r="I112" s="5"/>
      <c r="J112" s="5"/>
      <c r="K112" s="5"/>
      <c r="L112" s="5"/>
      <c r="M112" s="5"/>
      <c r="N112" s="5"/>
      <c r="O112" s="5"/>
      <c r="P112" s="5"/>
      <c r="Q112" s="5"/>
      <c r="R112" s="5"/>
      <c r="S112" s="5"/>
      <c r="T112" s="6">
        <f t="shared" si="4"/>
        <v>0</v>
      </c>
      <c r="U112" s="9"/>
      <c r="V112" s="1"/>
      <c r="W112" s="1"/>
      <c r="X112" s="1"/>
      <c r="Y112" s="1"/>
      <c r="Z112" s="1"/>
    </row>
    <row r="113" spans="1:26" ht="39.75" customHeight="1">
      <c r="A113" s="171"/>
      <c r="B113" s="169"/>
      <c r="C113" s="169"/>
      <c r="D113" s="5">
        <v>106</v>
      </c>
      <c r="E113" s="5" t="s">
        <v>201</v>
      </c>
      <c r="F113" s="5"/>
      <c r="G113" s="5"/>
      <c r="H113" s="5"/>
      <c r="I113" s="6"/>
      <c r="J113" s="5"/>
      <c r="K113" s="6"/>
      <c r="L113" s="5"/>
      <c r="M113" s="5"/>
      <c r="N113" s="6"/>
      <c r="O113" s="5"/>
      <c r="P113" s="8"/>
      <c r="Q113" s="6">
        <v>2</v>
      </c>
      <c r="R113" s="8">
        <v>3</v>
      </c>
      <c r="S113" s="8"/>
      <c r="T113" s="6">
        <f t="shared" si="4"/>
        <v>5</v>
      </c>
      <c r="U113" s="113" t="s">
        <v>689</v>
      </c>
      <c r="V113" s="1"/>
      <c r="W113" s="1"/>
      <c r="X113" s="1"/>
      <c r="Y113" s="1"/>
      <c r="Z113" s="1"/>
    </row>
    <row r="114" spans="1:26" ht="39.75" customHeight="1">
      <c r="A114" s="171"/>
      <c r="B114" s="168" t="s">
        <v>202</v>
      </c>
      <c r="C114" s="168" t="s">
        <v>203</v>
      </c>
      <c r="D114" s="5">
        <v>107</v>
      </c>
      <c r="E114" s="5" t="s">
        <v>204</v>
      </c>
      <c r="F114" s="5"/>
      <c r="G114" s="5"/>
      <c r="H114" s="5"/>
      <c r="I114" s="6"/>
      <c r="J114" s="5"/>
      <c r="K114" s="6"/>
      <c r="L114" s="5"/>
      <c r="M114" s="5"/>
      <c r="N114" s="6"/>
      <c r="O114" s="5"/>
      <c r="P114" s="8">
        <v>3</v>
      </c>
      <c r="Q114" s="5"/>
      <c r="R114" s="8"/>
      <c r="S114" s="5"/>
      <c r="T114" s="6">
        <f t="shared" si="4"/>
        <v>3</v>
      </c>
      <c r="U114" s="46" t="s">
        <v>205</v>
      </c>
      <c r="V114" s="1"/>
      <c r="W114" s="1"/>
      <c r="X114" s="1"/>
      <c r="Y114" s="1"/>
      <c r="Z114" s="1"/>
    </row>
    <row r="115" spans="1:26" ht="39.75" customHeight="1">
      <c r="A115" s="171"/>
      <c r="B115" s="171"/>
      <c r="C115" s="171"/>
      <c r="D115" s="5">
        <v>108</v>
      </c>
      <c r="E115" s="5" t="s">
        <v>206</v>
      </c>
      <c r="F115" s="5"/>
      <c r="G115" s="5"/>
      <c r="H115" s="5"/>
      <c r="I115" s="6"/>
      <c r="J115" s="5"/>
      <c r="K115" s="6"/>
      <c r="L115" s="5"/>
      <c r="M115" s="5"/>
      <c r="N115" s="5"/>
      <c r="O115" s="5"/>
      <c r="P115" s="8">
        <v>10.4</v>
      </c>
      <c r="Q115" s="5"/>
      <c r="R115" s="5"/>
      <c r="S115" s="5"/>
      <c r="T115" s="6">
        <f t="shared" si="4"/>
        <v>10.4</v>
      </c>
      <c r="U115" s="46" t="s">
        <v>207</v>
      </c>
      <c r="V115" s="1"/>
      <c r="W115" s="1"/>
      <c r="X115" s="1"/>
      <c r="Y115" s="1"/>
      <c r="Z115" s="1"/>
    </row>
    <row r="116" spans="1:26" ht="39.75" customHeight="1">
      <c r="A116" s="171"/>
      <c r="B116" s="171"/>
      <c r="C116" s="171"/>
      <c r="D116" s="5">
        <v>109</v>
      </c>
      <c r="E116" s="5" t="s">
        <v>208</v>
      </c>
      <c r="F116" s="5"/>
      <c r="G116" s="5"/>
      <c r="H116" s="8"/>
      <c r="I116" s="6"/>
      <c r="J116" s="5"/>
      <c r="K116" s="6"/>
      <c r="L116" s="5"/>
      <c r="M116" s="5"/>
      <c r="N116" s="5"/>
      <c r="O116" s="5"/>
      <c r="P116" s="5"/>
      <c r="Q116" s="5"/>
      <c r="R116" s="5"/>
      <c r="S116" s="5"/>
      <c r="T116" s="6">
        <f t="shared" si="4"/>
        <v>0</v>
      </c>
      <c r="U116" s="9"/>
      <c r="V116" s="1"/>
      <c r="W116" s="1"/>
      <c r="X116" s="1"/>
      <c r="Y116" s="1"/>
      <c r="Z116" s="1"/>
    </row>
    <row r="117" spans="1:26" ht="39.75" customHeight="1">
      <c r="A117" s="171"/>
      <c r="B117" s="171"/>
      <c r="C117" s="171"/>
      <c r="D117" s="5">
        <v>110</v>
      </c>
      <c r="E117" s="5" t="s">
        <v>209</v>
      </c>
      <c r="F117" s="5"/>
      <c r="G117" s="5"/>
      <c r="H117" s="5"/>
      <c r="I117" s="6"/>
      <c r="J117" s="5"/>
      <c r="K117" s="6"/>
      <c r="L117" s="5"/>
      <c r="M117" s="8"/>
      <c r="N117" s="6">
        <v>3</v>
      </c>
      <c r="O117" s="8">
        <v>6.282</v>
      </c>
      <c r="P117" s="6"/>
      <c r="Q117" s="8">
        <v>5.97</v>
      </c>
      <c r="R117" s="8">
        <v>6.9</v>
      </c>
      <c r="S117" s="5"/>
      <c r="T117" s="6">
        <f t="shared" si="4"/>
        <v>22.152000000000001</v>
      </c>
      <c r="U117" s="9" t="s">
        <v>375</v>
      </c>
      <c r="V117" s="1"/>
      <c r="W117" s="1"/>
      <c r="X117" s="1"/>
      <c r="Y117" s="1"/>
      <c r="Z117" s="1"/>
    </row>
    <row r="118" spans="1:26" ht="39.75" customHeight="1">
      <c r="A118" s="171"/>
      <c r="B118" s="169"/>
      <c r="C118" s="169"/>
      <c r="D118" s="5">
        <v>111</v>
      </c>
      <c r="E118" s="5" t="s">
        <v>54</v>
      </c>
      <c r="F118" s="5"/>
      <c r="G118" s="5"/>
      <c r="H118" s="5"/>
      <c r="I118" s="8"/>
      <c r="J118" s="5"/>
      <c r="K118" s="8"/>
      <c r="L118" s="5"/>
      <c r="M118" s="5">
        <v>6</v>
      </c>
      <c r="N118" s="5"/>
      <c r="O118" s="5"/>
      <c r="P118" s="8"/>
      <c r="Q118" s="6"/>
      <c r="R118" s="5"/>
      <c r="S118" s="8"/>
      <c r="T118" s="6">
        <f t="shared" si="4"/>
        <v>6</v>
      </c>
      <c r="U118" s="113" t="s">
        <v>683</v>
      </c>
      <c r="V118" s="1"/>
      <c r="W118" s="1"/>
      <c r="X118" s="1"/>
      <c r="Y118" s="1"/>
      <c r="Z118" s="1"/>
    </row>
    <row r="119" spans="1:26" ht="39.75" customHeight="1">
      <c r="A119" s="171"/>
      <c r="B119" s="168" t="s">
        <v>211</v>
      </c>
      <c r="C119" s="168" t="s">
        <v>212</v>
      </c>
      <c r="D119" s="5">
        <v>112</v>
      </c>
      <c r="E119" s="5" t="s">
        <v>213</v>
      </c>
      <c r="F119" s="5"/>
      <c r="G119" s="5"/>
      <c r="H119" s="5"/>
      <c r="I119" s="6"/>
      <c r="J119" s="5"/>
      <c r="K119" s="6"/>
      <c r="L119" s="5"/>
      <c r="M119" s="5"/>
      <c r="N119" s="5"/>
      <c r="O119" s="5"/>
      <c r="P119" s="5"/>
      <c r="Q119" s="6"/>
      <c r="R119" s="5"/>
      <c r="S119" s="5"/>
      <c r="T119" s="6">
        <f t="shared" si="4"/>
        <v>0</v>
      </c>
      <c r="U119" s="9"/>
      <c r="V119" s="1"/>
      <c r="W119" s="1"/>
      <c r="X119" s="1"/>
      <c r="Y119" s="1"/>
      <c r="Z119" s="1"/>
    </row>
    <row r="120" spans="1:26" ht="39.75" customHeight="1">
      <c r="A120" s="171"/>
      <c r="B120" s="169"/>
      <c r="C120" s="169"/>
      <c r="D120" s="5">
        <v>113</v>
      </c>
      <c r="E120" s="5" t="s">
        <v>214</v>
      </c>
      <c r="F120" s="5"/>
      <c r="G120" s="5"/>
      <c r="H120" s="5"/>
      <c r="I120" s="6"/>
      <c r="J120" s="5"/>
      <c r="K120" s="6"/>
      <c r="L120" s="5"/>
      <c r="M120" s="6"/>
      <c r="N120" s="6">
        <v>0.5</v>
      </c>
      <c r="O120" s="5"/>
      <c r="P120" s="5"/>
      <c r="Q120" s="6">
        <v>0.5</v>
      </c>
      <c r="R120" s="5"/>
      <c r="S120" s="5"/>
      <c r="T120" s="6">
        <f t="shared" si="4"/>
        <v>1</v>
      </c>
      <c r="U120" s="10" t="s">
        <v>215</v>
      </c>
      <c r="V120" s="1"/>
      <c r="W120" s="1"/>
      <c r="X120" s="1"/>
      <c r="Y120" s="1"/>
      <c r="Z120" s="1"/>
    </row>
    <row r="121" spans="1:26" ht="39.75" customHeight="1">
      <c r="A121" s="171"/>
      <c r="B121" s="5" t="s">
        <v>216</v>
      </c>
      <c r="C121" s="5" t="s">
        <v>217</v>
      </c>
      <c r="D121" s="5">
        <v>114</v>
      </c>
      <c r="E121" s="5" t="s">
        <v>218</v>
      </c>
      <c r="F121" s="5"/>
      <c r="G121" s="5"/>
      <c r="H121" s="8"/>
      <c r="I121" s="5"/>
      <c r="J121" s="5"/>
      <c r="K121" s="5"/>
      <c r="L121" s="5"/>
      <c r="M121" s="5"/>
      <c r="N121" s="8">
        <v>1.5</v>
      </c>
      <c r="O121" s="5"/>
      <c r="P121" s="8">
        <v>7</v>
      </c>
      <c r="Q121" s="6">
        <v>2</v>
      </c>
      <c r="R121" s="8">
        <v>1</v>
      </c>
      <c r="S121" s="8"/>
      <c r="T121" s="6">
        <f t="shared" si="4"/>
        <v>11.5</v>
      </c>
      <c r="U121" s="113" t="s">
        <v>681</v>
      </c>
      <c r="V121" s="1"/>
      <c r="W121" s="1"/>
      <c r="X121" s="1"/>
      <c r="Y121" s="1"/>
      <c r="Z121" s="1"/>
    </row>
    <row r="122" spans="1:26" ht="39.75" customHeight="1">
      <c r="A122" s="171"/>
      <c r="B122" s="168" t="s">
        <v>219</v>
      </c>
      <c r="C122" s="168" t="s">
        <v>220</v>
      </c>
      <c r="D122" s="5">
        <v>115</v>
      </c>
      <c r="E122" s="5" t="s">
        <v>221</v>
      </c>
      <c r="F122" s="5"/>
      <c r="G122" s="5"/>
      <c r="H122" s="5"/>
      <c r="I122" s="5"/>
      <c r="J122" s="5"/>
      <c r="K122" s="5"/>
      <c r="L122" s="5"/>
      <c r="M122" s="6"/>
      <c r="N122" s="5"/>
      <c r="O122" s="5"/>
      <c r="P122" s="5"/>
      <c r="Q122" s="5"/>
      <c r="R122" s="5"/>
      <c r="S122" s="5"/>
      <c r="T122" s="6">
        <f t="shared" si="4"/>
        <v>0</v>
      </c>
      <c r="U122" s="9"/>
      <c r="V122" s="1"/>
      <c r="W122" s="1"/>
      <c r="X122" s="1"/>
      <c r="Y122" s="1"/>
      <c r="Z122" s="1"/>
    </row>
    <row r="123" spans="1:26" ht="39.75" customHeight="1">
      <c r="A123" s="171"/>
      <c r="B123" s="171"/>
      <c r="C123" s="171"/>
      <c r="D123" s="5">
        <v>116</v>
      </c>
      <c r="E123" s="5" t="s">
        <v>222</v>
      </c>
      <c r="F123" s="5"/>
      <c r="G123" s="5"/>
      <c r="H123" s="5"/>
      <c r="I123" s="5"/>
      <c r="J123" s="5"/>
      <c r="K123" s="5"/>
      <c r="L123" s="5"/>
      <c r="M123" s="6">
        <v>8.9</v>
      </c>
      <c r="N123" s="5"/>
      <c r="O123" s="5"/>
      <c r="P123" s="5"/>
      <c r="Q123" s="6">
        <v>6.7</v>
      </c>
      <c r="R123" s="5"/>
      <c r="S123" s="5"/>
      <c r="T123" s="6">
        <f t="shared" si="4"/>
        <v>15.600000000000001</v>
      </c>
      <c r="U123" s="113" t="s">
        <v>679</v>
      </c>
      <c r="V123" s="1"/>
      <c r="W123" s="1"/>
      <c r="X123" s="1"/>
      <c r="Y123" s="1"/>
      <c r="Z123" s="1"/>
    </row>
    <row r="124" spans="1:26" ht="39.75" customHeight="1">
      <c r="A124" s="171"/>
      <c r="B124" s="171"/>
      <c r="C124" s="171"/>
      <c r="D124" s="5">
        <v>117</v>
      </c>
      <c r="E124" s="5" t="s">
        <v>224</v>
      </c>
      <c r="F124" s="5"/>
      <c r="G124" s="5"/>
      <c r="H124" s="5"/>
      <c r="I124" s="5"/>
      <c r="J124" s="5"/>
      <c r="K124" s="5"/>
      <c r="L124" s="5"/>
      <c r="M124" s="5"/>
      <c r="N124" s="5"/>
      <c r="O124" s="5"/>
      <c r="P124" s="5"/>
      <c r="Q124" s="5"/>
      <c r="R124" s="5"/>
      <c r="S124" s="5"/>
      <c r="T124" s="6">
        <f t="shared" si="4"/>
        <v>0</v>
      </c>
      <c r="U124" s="46"/>
      <c r="V124" s="1"/>
      <c r="W124" s="1"/>
      <c r="X124" s="1"/>
      <c r="Y124" s="1"/>
      <c r="Z124" s="1"/>
    </row>
    <row r="125" spans="1:26" ht="39.75" customHeight="1">
      <c r="A125" s="171"/>
      <c r="B125" s="169"/>
      <c r="C125" s="169"/>
      <c r="D125" s="5">
        <v>118</v>
      </c>
      <c r="E125" s="5" t="s">
        <v>54</v>
      </c>
      <c r="F125" s="5"/>
      <c r="G125" s="5"/>
      <c r="H125" s="5"/>
      <c r="I125" s="5"/>
      <c r="J125" s="5"/>
      <c r="K125" s="5"/>
      <c r="L125" s="5"/>
      <c r="M125" s="5"/>
      <c r="N125" s="5"/>
      <c r="O125" s="5"/>
      <c r="P125" s="5"/>
      <c r="Q125" s="6"/>
      <c r="R125" s="5"/>
      <c r="S125" s="5"/>
      <c r="T125" s="6">
        <f t="shared" si="4"/>
        <v>0</v>
      </c>
      <c r="U125" s="9"/>
      <c r="V125" s="1"/>
      <c r="W125" s="1"/>
      <c r="X125" s="1"/>
      <c r="Y125" s="1"/>
      <c r="Z125" s="1"/>
    </row>
    <row r="126" spans="1:26" ht="39.75" customHeight="1">
      <c r="A126" s="171"/>
      <c r="B126" s="5" t="s">
        <v>225</v>
      </c>
      <c r="C126" s="5" t="s">
        <v>226</v>
      </c>
      <c r="D126" s="5">
        <v>119</v>
      </c>
      <c r="E126" s="5" t="s">
        <v>227</v>
      </c>
      <c r="F126" s="5"/>
      <c r="G126" s="5"/>
      <c r="H126" s="8">
        <v>0</v>
      </c>
      <c r="I126" s="6">
        <v>1</v>
      </c>
      <c r="J126" s="5"/>
      <c r="K126" s="5"/>
      <c r="L126" s="5"/>
      <c r="M126" s="5"/>
      <c r="N126" s="6">
        <v>1</v>
      </c>
      <c r="O126" s="5"/>
      <c r="P126" s="8">
        <v>8</v>
      </c>
      <c r="Q126" s="6">
        <v>2</v>
      </c>
      <c r="R126" s="5"/>
      <c r="S126" s="5"/>
      <c r="T126" s="6">
        <f t="shared" si="4"/>
        <v>12</v>
      </c>
      <c r="U126" s="113" t="s">
        <v>678</v>
      </c>
      <c r="V126" s="1"/>
      <c r="W126" s="1"/>
      <c r="X126" s="1"/>
      <c r="Y126" s="1"/>
      <c r="Z126" s="1"/>
    </row>
    <row r="127" spans="1:26" ht="39.75" customHeight="1">
      <c r="A127" s="171"/>
      <c r="B127" s="5" t="s">
        <v>228</v>
      </c>
      <c r="C127" s="5" t="s">
        <v>229</v>
      </c>
      <c r="D127" s="5">
        <v>120</v>
      </c>
      <c r="E127" s="5" t="s">
        <v>230</v>
      </c>
      <c r="F127" s="5"/>
      <c r="G127" s="5"/>
      <c r="H127" s="5"/>
      <c r="I127" s="5"/>
      <c r="J127" s="5"/>
      <c r="K127" s="8"/>
      <c r="L127" s="5"/>
      <c r="M127" s="8"/>
      <c r="N127" s="6"/>
      <c r="O127" s="5"/>
      <c r="P127" s="8"/>
      <c r="Q127" s="6"/>
      <c r="R127" s="8"/>
      <c r="S127" s="5"/>
      <c r="T127" s="6">
        <f t="shared" si="4"/>
        <v>0</v>
      </c>
      <c r="U127" s="9"/>
      <c r="V127" s="1"/>
      <c r="W127" s="1"/>
      <c r="X127" s="1"/>
      <c r="Y127" s="1"/>
      <c r="Z127" s="1"/>
    </row>
    <row r="128" spans="1:26" ht="39.75" customHeight="1">
      <c r="A128" s="171"/>
      <c r="B128" s="168" t="s">
        <v>231</v>
      </c>
      <c r="C128" s="168" t="s">
        <v>232</v>
      </c>
      <c r="D128" s="5">
        <v>121</v>
      </c>
      <c r="E128" s="5" t="s">
        <v>233</v>
      </c>
      <c r="F128" s="5"/>
      <c r="G128" s="5"/>
      <c r="H128" s="5"/>
      <c r="I128" s="6"/>
      <c r="J128" s="5"/>
      <c r="K128" s="5"/>
      <c r="L128" s="5"/>
      <c r="M128" s="5"/>
      <c r="N128" s="5"/>
      <c r="O128" s="5"/>
      <c r="P128" s="5"/>
      <c r="Q128" s="5"/>
      <c r="R128" s="5"/>
      <c r="S128" s="5"/>
      <c r="T128" s="6">
        <f t="shared" si="4"/>
        <v>0</v>
      </c>
      <c r="U128" s="10"/>
      <c r="V128" s="18"/>
      <c r="W128" s="1"/>
      <c r="X128" s="1"/>
      <c r="Y128" s="1"/>
      <c r="Z128" s="1"/>
    </row>
    <row r="129" spans="1:26" ht="39.75" customHeight="1">
      <c r="A129" s="171"/>
      <c r="B129" s="171"/>
      <c r="C129" s="171"/>
      <c r="D129" s="5">
        <v>122</v>
      </c>
      <c r="E129" s="5" t="s">
        <v>234</v>
      </c>
      <c r="F129" s="5"/>
      <c r="G129" s="5"/>
      <c r="H129" s="5"/>
      <c r="I129" s="5"/>
      <c r="J129" s="5"/>
      <c r="K129" s="5"/>
      <c r="L129" s="5"/>
      <c r="M129" s="5"/>
      <c r="N129" s="5"/>
      <c r="O129" s="5"/>
      <c r="P129" s="5"/>
      <c r="Q129" s="5"/>
      <c r="R129" s="5"/>
      <c r="S129" s="5"/>
      <c r="T129" s="6">
        <f t="shared" si="4"/>
        <v>0</v>
      </c>
      <c r="U129" s="10"/>
      <c r="V129" s="18"/>
      <c r="W129" s="1"/>
      <c r="X129" s="1"/>
      <c r="Y129" s="1"/>
      <c r="Z129" s="1"/>
    </row>
    <row r="130" spans="1:26" ht="39.75" customHeight="1">
      <c r="A130" s="171"/>
      <c r="B130" s="169"/>
      <c r="C130" s="169"/>
      <c r="D130" s="5">
        <v>123</v>
      </c>
      <c r="E130" s="5" t="s">
        <v>235</v>
      </c>
      <c r="F130" s="5"/>
      <c r="G130" s="5"/>
      <c r="H130" s="5"/>
      <c r="I130" s="5"/>
      <c r="J130" s="5"/>
      <c r="K130" s="5"/>
      <c r="L130" s="5"/>
      <c r="M130" s="5"/>
      <c r="N130" s="5"/>
      <c r="O130" s="5"/>
      <c r="P130" s="8">
        <v>0</v>
      </c>
      <c r="Q130" s="6">
        <v>2</v>
      </c>
      <c r="R130" s="5"/>
      <c r="S130" s="5"/>
      <c r="T130" s="6">
        <f t="shared" si="4"/>
        <v>2</v>
      </c>
      <c r="U130" s="10" t="s">
        <v>236</v>
      </c>
      <c r="V130" s="18"/>
      <c r="W130" s="1"/>
      <c r="X130" s="1"/>
      <c r="Y130" s="1"/>
      <c r="Z130" s="1"/>
    </row>
    <row r="131" spans="1:26" ht="39.75" customHeight="1">
      <c r="A131" s="171"/>
      <c r="B131" s="168" t="s">
        <v>237</v>
      </c>
      <c r="C131" s="168" t="s">
        <v>238</v>
      </c>
      <c r="D131" s="5">
        <v>124</v>
      </c>
      <c r="E131" s="5" t="s">
        <v>239</v>
      </c>
      <c r="F131" s="5"/>
      <c r="G131" s="5"/>
      <c r="H131" s="8"/>
      <c r="I131" s="5"/>
      <c r="J131" s="5"/>
      <c r="K131" s="5"/>
      <c r="L131" s="5"/>
      <c r="M131" s="5"/>
      <c r="N131" s="5"/>
      <c r="O131" s="5"/>
      <c r="P131" s="5"/>
      <c r="Q131" s="8">
        <v>2</v>
      </c>
      <c r="R131" s="5"/>
      <c r="S131" s="5"/>
      <c r="T131" s="6">
        <f t="shared" si="4"/>
        <v>2</v>
      </c>
      <c r="U131" s="10" t="s">
        <v>240</v>
      </c>
      <c r="V131" s="1"/>
      <c r="W131" s="1"/>
      <c r="X131" s="1"/>
      <c r="Y131" s="1"/>
      <c r="Z131" s="1"/>
    </row>
    <row r="132" spans="1:26" ht="39.75" customHeight="1">
      <c r="A132" s="171"/>
      <c r="B132" s="169"/>
      <c r="C132" s="169"/>
      <c r="D132" s="5">
        <v>125</v>
      </c>
      <c r="E132" s="5" t="s">
        <v>241</v>
      </c>
      <c r="F132" s="5"/>
      <c r="G132" s="5"/>
      <c r="H132" s="8"/>
      <c r="I132" s="5"/>
      <c r="J132" s="5"/>
      <c r="K132" s="5"/>
      <c r="L132" s="5"/>
      <c r="M132" s="5"/>
      <c r="N132" s="5"/>
      <c r="O132" s="5"/>
      <c r="P132" s="5"/>
      <c r="Q132" s="5"/>
      <c r="R132" s="5"/>
      <c r="S132" s="5"/>
      <c r="T132" s="6">
        <f t="shared" si="4"/>
        <v>0</v>
      </c>
      <c r="U132" s="9"/>
      <c r="V132" s="1"/>
      <c r="W132" s="1"/>
      <c r="X132" s="1"/>
      <c r="Y132" s="1"/>
      <c r="Z132" s="1"/>
    </row>
    <row r="133" spans="1:26" ht="39.75" customHeight="1">
      <c r="A133" s="171"/>
      <c r="B133" s="5" t="s">
        <v>242</v>
      </c>
      <c r="C133" s="5" t="s">
        <v>243</v>
      </c>
      <c r="D133" s="5">
        <v>126</v>
      </c>
      <c r="E133" s="5" t="s">
        <v>167</v>
      </c>
      <c r="F133" s="5"/>
      <c r="G133" s="5"/>
      <c r="H133" s="5"/>
      <c r="I133" s="5"/>
      <c r="J133" s="5"/>
      <c r="K133" s="5"/>
      <c r="L133" s="5"/>
      <c r="M133" s="5"/>
      <c r="N133" s="5"/>
      <c r="O133" s="5"/>
      <c r="P133" s="5"/>
      <c r="Q133" s="5"/>
      <c r="R133" s="5"/>
      <c r="S133" s="5"/>
      <c r="T133" s="6">
        <f t="shared" si="4"/>
        <v>0</v>
      </c>
      <c r="U133" s="9"/>
      <c r="V133" s="1"/>
      <c r="W133" s="1"/>
      <c r="X133" s="1"/>
      <c r="Y133" s="1"/>
      <c r="Z133" s="1"/>
    </row>
    <row r="134" spans="1:26" ht="39.75" customHeight="1">
      <c r="A134" s="169"/>
      <c r="B134" s="176" t="s">
        <v>244</v>
      </c>
      <c r="C134" s="177"/>
      <c r="D134" s="178"/>
      <c r="E134" s="51"/>
      <c r="F134" s="51">
        <f t="shared" ref="F134:S134" si="8">SUM(F94:F133)</f>
        <v>0</v>
      </c>
      <c r="G134" s="51">
        <f t="shared" si="8"/>
        <v>0</v>
      </c>
      <c r="H134" s="51">
        <f t="shared" si="8"/>
        <v>0</v>
      </c>
      <c r="I134" s="51">
        <f t="shared" si="8"/>
        <v>13.65</v>
      </c>
      <c r="J134" s="51">
        <f t="shared" si="8"/>
        <v>0</v>
      </c>
      <c r="K134" s="52">
        <f t="shared" si="8"/>
        <v>6</v>
      </c>
      <c r="L134" s="51">
        <f t="shared" si="8"/>
        <v>0</v>
      </c>
      <c r="M134" s="51">
        <f t="shared" si="8"/>
        <v>14.9</v>
      </c>
      <c r="N134" s="51">
        <f t="shared" si="8"/>
        <v>14.3</v>
      </c>
      <c r="O134" s="51">
        <f t="shared" si="8"/>
        <v>6.282</v>
      </c>
      <c r="P134" s="51">
        <f t="shared" si="8"/>
        <v>67.900000000000006</v>
      </c>
      <c r="Q134" s="51">
        <f t="shared" si="8"/>
        <v>31.169999999999998</v>
      </c>
      <c r="R134" s="51">
        <f t="shared" si="8"/>
        <v>29.450000000000003</v>
      </c>
      <c r="S134" s="51">
        <f t="shared" si="8"/>
        <v>0</v>
      </c>
      <c r="T134" s="52">
        <f t="shared" ref="T134:T197" si="9">SUM(F134:S134)</f>
        <v>183.65199999999999</v>
      </c>
      <c r="U134" s="9"/>
      <c r="V134" s="1"/>
      <c r="W134" s="1"/>
      <c r="X134" s="1"/>
      <c r="Y134" s="1"/>
      <c r="Z134" s="1"/>
    </row>
    <row r="135" spans="1:26" ht="39.75" customHeight="1">
      <c r="A135" s="175" t="s">
        <v>245</v>
      </c>
      <c r="B135" s="168" t="s">
        <v>246</v>
      </c>
      <c r="C135" s="168" t="s">
        <v>247</v>
      </c>
      <c r="D135" s="5">
        <v>127</v>
      </c>
      <c r="E135" s="5" t="s">
        <v>248</v>
      </c>
      <c r="F135" s="98"/>
      <c r="G135" s="98"/>
      <c r="H135" s="98"/>
      <c r="I135" s="98"/>
      <c r="J135" s="98"/>
      <c r="K135" s="98"/>
      <c r="L135" s="98"/>
      <c r="M135" s="98"/>
      <c r="N135" s="98"/>
      <c r="O135" s="98"/>
      <c r="P135" s="98"/>
      <c r="Q135" s="98"/>
      <c r="R135" s="98"/>
      <c r="S135" s="98"/>
      <c r="T135" s="99">
        <f t="shared" si="9"/>
        <v>0</v>
      </c>
      <c r="U135" s="100"/>
      <c r="V135" s="1"/>
      <c r="W135" s="1"/>
      <c r="X135" s="1"/>
      <c r="Y135" s="1"/>
      <c r="Z135" s="1"/>
    </row>
    <row r="136" spans="1:26" ht="39.75" customHeight="1">
      <c r="A136" s="171"/>
      <c r="B136" s="169"/>
      <c r="C136" s="169"/>
      <c r="D136" s="5">
        <v>128</v>
      </c>
      <c r="E136" s="5" t="s">
        <v>249</v>
      </c>
      <c r="F136" s="98"/>
      <c r="G136" s="98"/>
      <c r="H136" s="98"/>
      <c r="I136" s="98"/>
      <c r="J136" s="98"/>
      <c r="K136" s="99"/>
      <c r="L136" s="98"/>
      <c r="M136" s="98"/>
      <c r="N136" s="99"/>
      <c r="O136" s="98"/>
      <c r="P136" s="99"/>
      <c r="Q136" s="99">
        <f>(2*0.75)+(2*0.1)</f>
        <v>1.7</v>
      </c>
      <c r="R136" s="98"/>
      <c r="S136" s="98"/>
      <c r="T136" s="99">
        <f t="shared" si="9"/>
        <v>1.7</v>
      </c>
      <c r="U136" s="101" t="s">
        <v>662</v>
      </c>
      <c r="V136" s="1"/>
      <c r="W136" s="1"/>
      <c r="X136" s="1"/>
      <c r="Y136" s="1"/>
      <c r="Z136" s="1"/>
    </row>
    <row r="137" spans="1:26" ht="39.75" customHeight="1">
      <c r="A137" s="171"/>
      <c r="B137" s="28"/>
      <c r="C137" s="28"/>
      <c r="D137" s="5">
        <v>129</v>
      </c>
      <c r="E137" s="5" t="s">
        <v>250</v>
      </c>
      <c r="F137" s="98"/>
      <c r="G137" s="98"/>
      <c r="H137" s="98"/>
      <c r="I137" s="98"/>
      <c r="J137" s="98"/>
      <c r="K137" s="98"/>
      <c r="L137" s="98"/>
      <c r="M137" s="98"/>
      <c r="N137" s="98"/>
      <c r="O137" s="98"/>
      <c r="P137" s="98"/>
      <c r="Q137" s="98"/>
      <c r="R137" s="98"/>
      <c r="S137" s="98"/>
      <c r="T137" s="99">
        <f t="shared" si="9"/>
        <v>0</v>
      </c>
      <c r="U137" s="100"/>
      <c r="V137" s="1"/>
      <c r="W137" s="1"/>
      <c r="X137" s="1"/>
      <c r="Y137" s="1"/>
      <c r="Z137" s="1"/>
    </row>
    <row r="138" spans="1:26" ht="39.75" customHeight="1">
      <c r="A138" s="171"/>
      <c r="B138" s="168" t="s">
        <v>251</v>
      </c>
      <c r="C138" s="168" t="s">
        <v>252</v>
      </c>
      <c r="D138" s="5">
        <v>130</v>
      </c>
      <c r="E138" s="5" t="s">
        <v>253</v>
      </c>
      <c r="F138" s="98"/>
      <c r="G138" s="98"/>
      <c r="H138" s="98"/>
      <c r="I138" s="98"/>
      <c r="J138" s="98"/>
      <c r="K138" s="98"/>
      <c r="L138" s="98"/>
      <c r="M138" s="98"/>
      <c r="N138" s="98"/>
      <c r="O138" s="98"/>
      <c r="P138" s="98"/>
      <c r="Q138" s="98"/>
      <c r="R138" s="98"/>
      <c r="S138" s="98"/>
      <c r="T138" s="99">
        <f t="shared" si="9"/>
        <v>0</v>
      </c>
      <c r="U138" s="100"/>
      <c r="V138" s="1"/>
      <c r="W138" s="1"/>
      <c r="X138" s="1"/>
      <c r="Y138" s="1"/>
      <c r="Z138" s="1"/>
    </row>
    <row r="139" spans="1:26" ht="39.75" customHeight="1">
      <c r="A139" s="171"/>
      <c r="B139" s="171"/>
      <c r="C139" s="171"/>
      <c r="D139" s="5">
        <v>131</v>
      </c>
      <c r="E139" s="5" t="s">
        <v>254</v>
      </c>
      <c r="F139" s="98"/>
      <c r="G139" s="98"/>
      <c r="H139" s="98"/>
      <c r="I139" s="98"/>
      <c r="J139" s="98"/>
      <c r="K139" s="98"/>
      <c r="L139" s="98"/>
      <c r="M139" s="98"/>
      <c r="N139" s="99">
        <f>0.01*25</f>
        <v>0.25</v>
      </c>
      <c r="O139" s="98"/>
      <c r="P139" s="98"/>
      <c r="Q139" s="98"/>
      <c r="R139" s="98"/>
      <c r="S139" s="98"/>
      <c r="T139" s="99">
        <f t="shared" si="9"/>
        <v>0.25</v>
      </c>
      <c r="U139" s="102" t="s">
        <v>667</v>
      </c>
      <c r="V139" s="1"/>
      <c r="W139" s="1"/>
      <c r="X139" s="1"/>
      <c r="Y139" s="1"/>
      <c r="Z139" s="1"/>
    </row>
    <row r="140" spans="1:26" ht="39.75" customHeight="1">
      <c r="A140" s="171"/>
      <c r="B140" s="171"/>
      <c r="C140" s="171"/>
      <c r="D140" s="5">
        <v>132</v>
      </c>
      <c r="E140" s="5" t="s">
        <v>255</v>
      </c>
      <c r="F140" s="98"/>
      <c r="G140" s="98"/>
      <c r="H140" s="98"/>
      <c r="I140" s="98"/>
      <c r="J140" s="98"/>
      <c r="K140" s="98"/>
      <c r="L140" s="98"/>
      <c r="M140" s="98"/>
      <c r="N140" s="98"/>
      <c r="O140" s="98"/>
      <c r="P140" s="98"/>
      <c r="Q140" s="98"/>
      <c r="R140" s="98"/>
      <c r="S140" s="98"/>
      <c r="T140" s="99">
        <f t="shared" si="9"/>
        <v>0</v>
      </c>
      <c r="U140" s="100"/>
      <c r="V140" s="1"/>
      <c r="W140" s="1"/>
      <c r="X140" s="1"/>
      <c r="Y140" s="1"/>
      <c r="Z140" s="1"/>
    </row>
    <row r="141" spans="1:26" ht="39.75" customHeight="1">
      <c r="A141" s="171"/>
      <c r="B141" s="171"/>
      <c r="C141" s="171"/>
      <c r="D141" s="5">
        <v>133</v>
      </c>
      <c r="E141" s="5" t="s">
        <v>256</v>
      </c>
      <c r="F141" s="98"/>
      <c r="G141" s="98"/>
      <c r="H141" s="98"/>
      <c r="I141" s="98"/>
      <c r="J141" s="98"/>
      <c r="K141" s="98"/>
      <c r="L141" s="98"/>
      <c r="M141" s="98"/>
      <c r="N141" s="98"/>
      <c r="O141" s="98"/>
      <c r="P141" s="98"/>
      <c r="Q141" s="98"/>
      <c r="R141" s="98"/>
      <c r="S141" s="98"/>
      <c r="T141" s="99">
        <f t="shared" si="9"/>
        <v>0</v>
      </c>
      <c r="U141" s="100"/>
      <c r="V141" s="1"/>
      <c r="W141" s="1"/>
      <c r="X141" s="1"/>
      <c r="Y141" s="1"/>
      <c r="Z141" s="1"/>
    </row>
    <row r="142" spans="1:26" ht="39.75" customHeight="1">
      <c r="A142" s="171"/>
      <c r="B142" s="171"/>
      <c r="C142" s="171"/>
      <c r="D142" s="5">
        <v>134</v>
      </c>
      <c r="E142" s="5" t="s">
        <v>257</v>
      </c>
      <c r="F142" s="98"/>
      <c r="G142" s="98"/>
      <c r="H142" s="98"/>
      <c r="I142" s="98"/>
      <c r="J142" s="98"/>
      <c r="K142" s="98"/>
      <c r="L142" s="98"/>
      <c r="M142" s="98"/>
      <c r="N142" s="98"/>
      <c r="O142" s="98"/>
      <c r="P142" s="99">
        <f>(10*0.005*12)+(10*0.0025*12)+(2*4*0.1)</f>
        <v>1.7000000000000002</v>
      </c>
      <c r="Q142" s="98"/>
      <c r="R142" s="98"/>
      <c r="S142" s="98"/>
      <c r="T142" s="99">
        <f t="shared" si="9"/>
        <v>1.7000000000000002</v>
      </c>
      <c r="U142" s="100" t="s">
        <v>258</v>
      </c>
      <c r="V142" s="1"/>
      <c r="W142" s="1"/>
      <c r="X142" s="1"/>
      <c r="Y142" s="1"/>
      <c r="Z142" s="1"/>
    </row>
    <row r="143" spans="1:26" ht="39.75" customHeight="1">
      <c r="A143" s="171"/>
      <c r="B143" s="171"/>
      <c r="C143" s="171"/>
      <c r="D143" s="5">
        <v>135</v>
      </c>
      <c r="E143" s="5" t="s">
        <v>259</v>
      </c>
      <c r="F143" s="98"/>
      <c r="G143" s="98"/>
      <c r="H143" s="98"/>
      <c r="I143" s="98"/>
      <c r="J143" s="98"/>
      <c r="K143" s="98"/>
      <c r="L143" s="98"/>
      <c r="M143" s="98"/>
      <c r="N143" s="98"/>
      <c r="O143" s="98"/>
      <c r="P143" s="98"/>
      <c r="Q143" s="98"/>
      <c r="R143" s="98"/>
      <c r="S143" s="98"/>
      <c r="T143" s="99">
        <f t="shared" si="9"/>
        <v>0</v>
      </c>
      <c r="U143" s="100"/>
      <c r="V143" s="1"/>
      <c r="W143" s="1"/>
      <c r="X143" s="1"/>
      <c r="Y143" s="1"/>
      <c r="Z143" s="1"/>
    </row>
    <row r="144" spans="1:26" ht="39.75" customHeight="1">
      <c r="A144" s="171"/>
      <c r="B144" s="169"/>
      <c r="C144" s="169"/>
      <c r="D144" s="5">
        <v>136</v>
      </c>
      <c r="E144" s="5" t="s">
        <v>260</v>
      </c>
      <c r="F144" s="98"/>
      <c r="G144" s="98"/>
      <c r="H144" s="98"/>
      <c r="I144" s="98"/>
      <c r="J144" s="98"/>
      <c r="K144" s="98"/>
      <c r="L144" s="98"/>
      <c r="M144" s="98"/>
      <c r="N144" s="98"/>
      <c r="O144" s="98"/>
      <c r="P144" s="99"/>
      <c r="Q144" s="98"/>
      <c r="R144" s="98"/>
      <c r="S144" s="98"/>
      <c r="T144" s="99">
        <f t="shared" si="9"/>
        <v>0</v>
      </c>
      <c r="U144" s="101"/>
      <c r="V144" s="1"/>
      <c r="W144" s="1"/>
      <c r="X144" s="1"/>
      <c r="Y144" s="1"/>
      <c r="Z144" s="1"/>
    </row>
    <row r="145" spans="1:26" ht="39.75" customHeight="1">
      <c r="A145" s="171"/>
      <c r="B145" s="168" t="s">
        <v>261</v>
      </c>
      <c r="C145" s="168" t="s">
        <v>262</v>
      </c>
      <c r="D145" s="5">
        <v>137</v>
      </c>
      <c r="E145" s="5" t="s">
        <v>263</v>
      </c>
      <c r="F145" s="98"/>
      <c r="G145" s="98"/>
      <c r="H145" s="98"/>
      <c r="I145" s="98"/>
      <c r="J145" s="98"/>
      <c r="K145" s="98"/>
      <c r="L145" s="98"/>
      <c r="M145" s="99"/>
      <c r="N145" s="98"/>
      <c r="O145" s="98"/>
      <c r="P145" s="99">
        <f>0.24*2</f>
        <v>0.48</v>
      </c>
      <c r="Q145" s="98"/>
      <c r="R145" s="98"/>
      <c r="S145" s="98"/>
      <c r="T145" s="99">
        <f t="shared" si="9"/>
        <v>0.48</v>
      </c>
      <c r="U145" s="101" t="s">
        <v>264</v>
      </c>
      <c r="V145" s="1"/>
      <c r="W145" s="1"/>
      <c r="X145" s="1"/>
      <c r="Y145" s="1"/>
      <c r="Z145" s="1"/>
    </row>
    <row r="146" spans="1:26" ht="39.75" customHeight="1">
      <c r="A146" s="171"/>
      <c r="B146" s="169"/>
      <c r="C146" s="169"/>
      <c r="D146" s="5">
        <v>138</v>
      </c>
      <c r="E146" s="5" t="s">
        <v>265</v>
      </c>
      <c r="F146" s="103"/>
      <c r="G146" s="103"/>
      <c r="H146" s="104"/>
      <c r="I146" s="104"/>
      <c r="J146" s="103"/>
      <c r="K146" s="104"/>
      <c r="L146" s="103"/>
      <c r="M146" s="104"/>
      <c r="N146" s="103"/>
      <c r="O146" s="103"/>
      <c r="P146" s="103"/>
      <c r="Q146" s="103"/>
      <c r="R146" s="103"/>
      <c r="S146" s="103"/>
      <c r="T146" s="104">
        <f t="shared" si="9"/>
        <v>0</v>
      </c>
      <c r="U146" s="105"/>
      <c r="V146" s="1"/>
      <c r="W146" s="1"/>
      <c r="X146" s="1"/>
      <c r="Y146" s="1"/>
      <c r="Z146" s="1"/>
    </row>
    <row r="147" spans="1:26" ht="39.75" customHeight="1">
      <c r="A147" s="171"/>
      <c r="B147" s="168" t="s">
        <v>266</v>
      </c>
      <c r="C147" s="168" t="s">
        <v>267</v>
      </c>
      <c r="D147" s="5">
        <v>139</v>
      </c>
      <c r="E147" s="5" t="s">
        <v>268</v>
      </c>
      <c r="F147" s="98"/>
      <c r="G147" s="98"/>
      <c r="H147" s="98"/>
      <c r="I147" s="98"/>
      <c r="J147" s="98"/>
      <c r="K147" s="98"/>
      <c r="L147" s="98"/>
      <c r="M147" s="98"/>
      <c r="N147" s="99"/>
      <c r="O147" s="98"/>
      <c r="P147" s="99">
        <v>2</v>
      </c>
      <c r="Q147" s="98"/>
      <c r="R147" s="99"/>
      <c r="S147" s="98"/>
      <c r="T147" s="99">
        <f t="shared" si="9"/>
        <v>2</v>
      </c>
      <c r="U147" s="101" t="s">
        <v>668</v>
      </c>
      <c r="V147" s="1"/>
      <c r="W147" s="1"/>
      <c r="X147" s="1"/>
      <c r="Y147" s="1"/>
      <c r="Z147" s="1"/>
    </row>
    <row r="148" spans="1:26" ht="39.75" customHeight="1">
      <c r="A148" s="171"/>
      <c r="B148" s="171"/>
      <c r="C148" s="171"/>
      <c r="D148" s="5">
        <v>140</v>
      </c>
      <c r="E148" s="5" t="s">
        <v>269</v>
      </c>
      <c r="F148" s="98"/>
      <c r="G148" s="98"/>
      <c r="H148" s="98"/>
      <c r="I148" s="98"/>
      <c r="J148" s="98"/>
      <c r="K148" s="98"/>
      <c r="L148" s="98"/>
      <c r="M148" s="98"/>
      <c r="N148" s="98"/>
      <c r="O148" s="98"/>
      <c r="P148" s="99">
        <f>2+(2*0.055)+(0.08*2)</f>
        <v>2.27</v>
      </c>
      <c r="Q148" s="98"/>
      <c r="R148" s="98"/>
      <c r="S148" s="98"/>
      <c r="T148" s="99">
        <f t="shared" si="9"/>
        <v>2.27</v>
      </c>
      <c r="U148" s="101" t="s">
        <v>666</v>
      </c>
      <c r="V148" s="1"/>
      <c r="W148" s="1"/>
      <c r="X148" s="1"/>
      <c r="Y148" s="1"/>
      <c r="Z148" s="1"/>
    </row>
    <row r="149" spans="1:26" ht="39.75" customHeight="1">
      <c r="A149" s="171"/>
      <c r="B149" s="169"/>
      <c r="C149" s="169"/>
      <c r="D149" s="5">
        <v>141</v>
      </c>
      <c r="E149" s="5" t="s">
        <v>270</v>
      </c>
      <c r="F149" s="98"/>
      <c r="G149" s="98"/>
      <c r="H149" s="98"/>
      <c r="I149" s="98"/>
      <c r="J149" s="98"/>
      <c r="K149" s="98"/>
      <c r="L149" s="98"/>
      <c r="M149" s="98"/>
      <c r="N149" s="98"/>
      <c r="O149" s="98"/>
      <c r="P149" s="98"/>
      <c r="Q149" s="98"/>
      <c r="R149" s="98"/>
      <c r="S149" s="98"/>
      <c r="T149" s="99">
        <f t="shared" si="9"/>
        <v>0</v>
      </c>
      <c r="U149" s="100"/>
      <c r="V149" s="1"/>
      <c r="W149" s="1"/>
      <c r="X149" s="1"/>
      <c r="Y149" s="1"/>
      <c r="Z149" s="1"/>
    </row>
    <row r="150" spans="1:26" ht="39.75" customHeight="1">
      <c r="A150" s="171"/>
      <c r="B150" s="168" t="s">
        <v>271</v>
      </c>
      <c r="C150" s="168" t="s">
        <v>272</v>
      </c>
      <c r="D150" s="5">
        <v>142</v>
      </c>
      <c r="E150" s="5" t="s">
        <v>273</v>
      </c>
      <c r="F150" s="98"/>
      <c r="G150" s="98"/>
      <c r="H150" s="98"/>
      <c r="I150" s="98"/>
      <c r="J150" s="98"/>
      <c r="K150" s="98"/>
      <c r="L150" s="98"/>
      <c r="M150" s="98"/>
      <c r="N150" s="98"/>
      <c r="O150" s="98"/>
      <c r="P150" s="98"/>
      <c r="Q150" s="98"/>
      <c r="R150" s="98">
        <v>137.85</v>
      </c>
      <c r="S150" s="98"/>
      <c r="T150" s="99">
        <f t="shared" si="9"/>
        <v>137.85</v>
      </c>
      <c r="U150" s="100"/>
      <c r="V150" s="1"/>
      <c r="W150" s="1"/>
      <c r="X150" s="1"/>
      <c r="Y150" s="1"/>
      <c r="Z150" s="1"/>
    </row>
    <row r="151" spans="1:26" ht="39.75" customHeight="1">
      <c r="A151" s="171"/>
      <c r="B151" s="171"/>
      <c r="C151" s="171"/>
      <c r="D151" s="5">
        <v>143</v>
      </c>
      <c r="E151" s="5" t="s">
        <v>274</v>
      </c>
      <c r="F151" s="98"/>
      <c r="G151" s="98"/>
      <c r="H151" s="98"/>
      <c r="I151" s="98"/>
      <c r="J151" s="98"/>
      <c r="K151" s="98"/>
      <c r="L151" s="98"/>
      <c r="M151" s="98"/>
      <c r="N151" s="98"/>
      <c r="O151" s="98"/>
      <c r="P151" s="98"/>
      <c r="Q151" s="98"/>
      <c r="R151" s="98"/>
      <c r="S151" s="98"/>
      <c r="T151" s="99">
        <f t="shared" si="9"/>
        <v>0</v>
      </c>
      <c r="U151" s="100"/>
      <c r="V151" s="1"/>
      <c r="W151" s="1"/>
      <c r="X151" s="1"/>
      <c r="Y151" s="1"/>
      <c r="Z151" s="1"/>
    </row>
    <row r="152" spans="1:26" ht="39.75" customHeight="1">
      <c r="A152" s="171"/>
      <c r="B152" s="171"/>
      <c r="C152" s="171"/>
      <c r="D152" s="5">
        <v>144</v>
      </c>
      <c r="E152" s="5" t="s">
        <v>275</v>
      </c>
      <c r="F152" s="98"/>
      <c r="G152" s="98"/>
      <c r="H152" s="98"/>
      <c r="I152" s="98"/>
      <c r="J152" s="98"/>
      <c r="K152" s="98"/>
      <c r="L152" s="98"/>
      <c r="M152" s="98"/>
      <c r="N152" s="98"/>
      <c r="O152" s="98"/>
      <c r="P152" s="98"/>
      <c r="Q152" s="98"/>
      <c r="R152" s="98"/>
      <c r="S152" s="98"/>
      <c r="T152" s="99">
        <f t="shared" si="9"/>
        <v>0</v>
      </c>
      <c r="U152" s="100"/>
      <c r="V152" s="1"/>
      <c r="W152" s="1"/>
      <c r="X152" s="1"/>
      <c r="Y152" s="1"/>
      <c r="Z152" s="1"/>
    </row>
    <row r="153" spans="1:26" ht="39.75" customHeight="1">
      <c r="A153" s="171"/>
      <c r="B153" s="169"/>
      <c r="C153" s="169"/>
      <c r="D153" s="5">
        <v>145</v>
      </c>
      <c r="E153" s="5" t="s">
        <v>276</v>
      </c>
      <c r="F153" s="98"/>
      <c r="G153" s="98"/>
      <c r="H153" s="98"/>
      <c r="I153" s="98"/>
      <c r="J153" s="98"/>
      <c r="K153" s="98"/>
      <c r="L153" s="98"/>
      <c r="M153" s="98"/>
      <c r="N153" s="98"/>
      <c r="O153" s="98"/>
      <c r="P153" s="98"/>
      <c r="Q153" s="98"/>
      <c r="R153" s="98"/>
      <c r="S153" s="98"/>
      <c r="T153" s="99">
        <f t="shared" si="9"/>
        <v>0</v>
      </c>
      <c r="U153" s="100"/>
      <c r="V153" s="1"/>
      <c r="W153" s="1"/>
      <c r="X153" s="1"/>
      <c r="Y153" s="1"/>
      <c r="Z153" s="1"/>
    </row>
    <row r="154" spans="1:26" ht="39.75" customHeight="1">
      <c r="A154" s="171"/>
      <c r="B154" s="5" t="s">
        <v>277</v>
      </c>
      <c r="C154" s="5" t="s">
        <v>278</v>
      </c>
      <c r="D154" s="5">
        <v>146</v>
      </c>
      <c r="E154" s="5" t="s">
        <v>279</v>
      </c>
      <c r="F154" s="98"/>
      <c r="G154" s="98"/>
      <c r="H154" s="98"/>
      <c r="I154" s="98"/>
      <c r="J154" s="98"/>
      <c r="K154" s="98"/>
      <c r="L154" s="98"/>
      <c r="M154" s="98"/>
      <c r="N154" s="98"/>
      <c r="O154" s="98"/>
      <c r="P154" s="98"/>
      <c r="Q154" s="98"/>
      <c r="R154" s="99">
        <v>5.4</v>
      </c>
      <c r="S154" s="98"/>
      <c r="T154" s="99">
        <f t="shared" si="9"/>
        <v>5.4</v>
      </c>
      <c r="U154" s="102" t="s">
        <v>280</v>
      </c>
      <c r="V154" s="1"/>
      <c r="W154" s="1"/>
      <c r="X154" s="1"/>
      <c r="Y154" s="1"/>
      <c r="Z154" s="1"/>
    </row>
    <row r="155" spans="1:26" ht="39.75" customHeight="1">
      <c r="A155" s="171"/>
      <c r="B155" s="5" t="s">
        <v>281</v>
      </c>
      <c r="C155" s="5" t="s">
        <v>282</v>
      </c>
      <c r="D155" s="5">
        <v>147</v>
      </c>
      <c r="E155" s="5" t="s">
        <v>149</v>
      </c>
      <c r="F155" s="98"/>
      <c r="G155" s="98"/>
      <c r="H155" s="98"/>
      <c r="I155" s="98"/>
      <c r="J155" s="98"/>
      <c r="K155" s="98"/>
      <c r="L155" s="98"/>
      <c r="M155" s="98"/>
      <c r="N155" s="98"/>
      <c r="O155" s="98"/>
      <c r="P155" s="98"/>
      <c r="Q155" s="98"/>
      <c r="R155" s="98"/>
      <c r="S155" s="98"/>
      <c r="T155" s="99">
        <f t="shared" si="9"/>
        <v>0</v>
      </c>
      <c r="U155" s="100"/>
      <c r="V155" s="1"/>
      <c r="W155" s="1"/>
      <c r="X155" s="1"/>
      <c r="Y155" s="1"/>
      <c r="Z155" s="1"/>
    </row>
    <row r="156" spans="1:26" ht="39.75" customHeight="1">
      <c r="A156" s="171"/>
      <c r="B156" s="5" t="s">
        <v>283</v>
      </c>
      <c r="C156" s="5" t="s">
        <v>284</v>
      </c>
      <c r="D156" s="5">
        <v>148</v>
      </c>
      <c r="E156" s="5" t="s">
        <v>285</v>
      </c>
      <c r="F156" s="98"/>
      <c r="G156" s="98"/>
      <c r="H156" s="98"/>
      <c r="I156" s="98"/>
      <c r="J156" s="98"/>
      <c r="K156" s="98"/>
      <c r="L156" s="98"/>
      <c r="M156" s="98"/>
      <c r="N156" s="99"/>
      <c r="O156" s="98"/>
      <c r="P156" s="99"/>
      <c r="Q156" s="98"/>
      <c r="R156" s="98"/>
      <c r="S156" s="98"/>
      <c r="T156" s="99">
        <f t="shared" si="9"/>
        <v>0</v>
      </c>
      <c r="U156" s="101"/>
      <c r="V156" s="1"/>
      <c r="W156" s="1"/>
      <c r="X156" s="1"/>
      <c r="Y156" s="1"/>
      <c r="Z156" s="1"/>
    </row>
    <row r="157" spans="1:26" ht="39.75" customHeight="1">
      <c r="A157" s="171"/>
      <c r="B157" s="5" t="s">
        <v>286</v>
      </c>
      <c r="C157" s="5" t="s">
        <v>287</v>
      </c>
      <c r="D157" s="5">
        <v>149</v>
      </c>
      <c r="E157" s="5" t="s">
        <v>288</v>
      </c>
      <c r="F157" s="106"/>
      <c r="G157" s="106"/>
      <c r="H157" s="106"/>
      <c r="I157" s="106"/>
      <c r="J157" s="106"/>
      <c r="K157" s="106"/>
      <c r="L157" s="106"/>
      <c r="M157" s="106"/>
      <c r="N157" s="106"/>
      <c r="O157" s="106"/>
      <c r="P157" s="99">
        <f>(2*1.75)+(0.05*25)</f>
        <v>4.75</v>
      </c>
      <c r="Q157" s="106"/>
      <c r="R157" s="106"/>
      <c r="S157" s="106"/>
      <c r="T157" s="99">
        <f t="shared" si="9"/>
        <v>4.75</v>
      </c>
      <c r="U157" s="101"/>
      <c r="V157" s="1"/>
      <c r="W157" s="1"/>
      <c r="X157" s="1"/>
      <c r="Y157" s="1"/>
      <c r="Z157" s="1"/>
    </row>
    <row r="158" spans="1:26" ht="39.75" customHeight="1">
      <c r="A158" s="169"/>
      <c r="B158" s="176" t="s">
        <v>289</v>
      </c>
      <c r="C158" s="177"/>
      <c r="D158" s="178"/>
      <c r="E158" s="51"/>
      <c r="F158" s="51">
        <f t="shared" ref="F158:S158" si="10">SUM(F135:F157)</f>
        <v>0</v>
      </c>
      <c r="G158" s="51">
        <f t="shared" si="10"/>
        <v>0</v>
      </c>
      <c r="H158" s="51">
        <f t="shared" si="10"/>
        <v>0</v>
      </c>
      <c r="I158" s="51">
        <f t="shared" si="10"/>
        <v>0</v>
      </c>
      <c r="J158" s="51">
        <f t="shared" si="10"/>
        <v>0</v>
      </c>
      <c r="K158" s="51">
        <f t="shared" si="10"/>
        <v>0</v>
      </c>
      <c r="L158" s="51">
        <f t="shared" si="10"/>
        <v>0</v>
      </c>
      <c r="M158" s="51">
        <f t="shared" si="10"/>
        <v>0</v>
      </c>
      <c r="N158" s="51">
        <f t="shared" si="10"/>
        <v>0.25</v>
      </c>
      <c r="O158" s="51">
        <f t="shared" si="10"/>
        <v>0</v>
      </c>
      <c r="P158" s="51">
        <f t="shared" si="10"/>
        <v>11.2</v>
      </c>
      <c r="Q158" s="51">
        <f t="shared" si="10"/>
        <v>1.7</v>
      </c>
      <c r="R158" s="51">
        <f t="shared" si="10"/>
        <v>143.25</v>
      </c>
      <c r="S158" s="51">
        <f t="shared" si="10"/>
        <v>0</v>
      </c>
      <c r="T158" s="52">
        <f t="shared" si="9"/>
        <v>156.4</v>
      </c>
      <c r="U158" s="9"/>
      <c r="V158" s="29"/>
      <c r="W158" s="29"/>
      <c r="X158" s="29"/>
      <c r="Y158" s="29"/>
      <c r="Z158" s="29"/>
    </row>
    <row r="159" spans="1:26" ht="39.75" customHeight="1">
      <c r="A159" s="175" t="s">
        <v>290</v>
      </c>
      <c r="B159" s="168" t="s">
        <v>291</v>
      </c>
      <c r="C159" s="168" t="s">
        <v>247</v>
      </c>
      <c r="D159" s="5">
        <v>150</v>
      </c>
      <c r="E159" s="5" t="s">
        <v>292</v>
      </c>
      <c r="F159" s="5"/>
      <c r="G159" s="8">
        <v>372.75</v>
      </c>
      <c r="H159" s="8">
        <v>497</v>
      </c>
      <c r="I159" s="5"/>
      <c r="J159" s="5"/>
      <c r="K159" s="5"/>
      <c r="L159" s="5"/>
      <c r="M159" s="5"/>
      <c r="N159" s="6">
        <v>2.5</v>
      </c>
      <c r="O159" s="5"/>
      <c r="P159" s="8"/>
      <c r="Q159" s="5"/>
      <c r="R159" s="5"/>
      <c r="S159" s="5"/>
      <c r="T159" s="6">
        <f t="shared" si="9"/>
        <v>872.25</v>
      </c>
      <c r="U159" s="62" t="s">
        <v>376</v>
      </c>
      <c r="V159" s="1"/>
      <c r="W159" s="1"/>
      <c r="X159" s="1"/>
      <c r="Y159" s="1"/>
      <c r="Z159" s="1"/>
    </row>
    <row r="160" spans="1:26" ht="39.75" customHeight="1">
      <c r="A160" s="171"/>
      <c r="B160" s="171"/>
      <c r="C160" s="171"/>
      <c r="D160" s="5">
        <v>151</v>
      </c>
      <c r="E160" s="5" t="s">
        <v>294</v>
      </c>
      <c r="F160" s="5"/>
      <c r="G160" s="8"/>
      <c r="H160" s="8"/>
      <c r="I160" s="6"/>
      <c r="J160" s="5"/>
      <c r="K160" s="5"/>
      <c r="L160" s="5"/>
      <c r="M160" s="5"/>
      <c r="N160" s="6"/>
      <c r="O160" s="8"/>
      <c r="P160" s="8"/>
      <c r="Q160" s="6"/>
      <c r="R160" s="8">
        <v>6</v>
      </c>
      <c r="S160" s="5"/>
      <c r="T160" s="6">
        <f t="shared" si="9"/>
        <v>6</v>
      </c>
      <c r="U160" s="9" t="s">
        <v>640</v>
      </c>
      <c r="V160" s="1"/>
      <c r="W160" s="1"/>
      <c r="X160" s="1"/>
      <c r="Y160" s="1"/>
      <c r="Z160" s="1"/>
    </row>
    <row r="161" spans="1:26" ht="39.75" customHeight="1">
      <c r="A161" s="171"/>
      <c r="B161" s="171"/>
      <c r="C161" s="171"/>
      <c r="D161" s="5">
        <v>152</v>
      </c>
      <c r="E161" s="5" t="s">
        <v>295</v>
      </c>
      <c r="F161" s="5"/>
      <c r="G161" s="5"/>
      <c r="H161" s="5"/>
      <c r="I161" s="5"/>
      <c r="J161" s="5"/>
      <c r="K161" s="5"/>
      <c r="L161" s="5"/>
      <c r="M161" s="5"/>
      <c r="N161" s="5"/>
      <c r="O161" s="5"/>
      <c r="P161" s="8">
        <v>25</v>
      </c>
      <c r="Q161" s="5"/>
      <c r="R161" s="5"/>
      <c r="S161" s="5"/>
      <c r="T161" s="6">
        <f t="shared" si="9"/>
        <v>25</v>
      </c>
      <c r="U161" s="9" t="s">
        <v>296</v>
      </c>
      <c r="V161" s="1"/>
      <c r="W161" s="1"/>
      <c r="X161" s="1"/>
      <c r="Y161" s="1"/>
      <c r="Z161" s="1"/>
    </row>
    <row r="162" spans="1:26" ht="39.75" customHeight="1">
      <c r="A162" s="171"/>
      <c r="B162" s="179"/>
      <c r="C162" s="179"/>
      <c r="D162" s="5">
        <v>153</v>
      </c>
      <c r="E162" s="5" t="s">
        <v>297</v>
      </c>
      <c r="F162" s="24"/>
      <c r="G162" s="24"/>
      <c r="H162" s="24"/>
      <c r="I162" s="24"/>
      <c r="J162" s="24"/>
      <c r="K162" s="24"/>
      <c r="L162" s="24"/>
      <c r="M162" s="24"/>
      <c r="N162" s="6"/>
      <c r="O162" s="24"/>
      <c r="P162" s="24"/>
      <c r="Q162" s="24"/>
      <c r="R162" s="24"/>
      <c r="S162" s="24"/>
      <c r="T162" s="6">
        <f t="shared" si="9"/>
        <v>0</v>
      </c>
      <c r="U162" s="9" t="s">
        <v>298</v>
      </c>
      <c r="V162" s="1"/>
      <c r="W162" s="1"/>
      <c r="X162" s="1"/>
      <c r="Y162" s="1"/>
      <c r="Z162" s="1"/>
    </row>
    <row r="163" spans="1:26" ht="39.75" customHeight="1">
      <c r="A163" s="171"/>
      <c r="B163" s="168" t="s">
        <v>299</v>
      </c>
      <c r="C163" s="168" t="s">
        <v>300</v>
      </c>
      <c r="D163" s="5">
        <v>154</v>
      </c>
      <c r="E163" s="5" t="s">
        <v>301</v>
      </c>
      <c r="F163" s="5"/>
      <c r="G163" s="5"/>
      <c r="H163" s="5"/>
      <c r="I163" s="5"/>
      <c r="J163" s="5"/>
      <c r="K163" s="6"/>
      <c r="L163" s="5"/>
      <c r="M163" s="6"/>
      <c r="N163" s="5"/>
      <c r="O163" s="5"/>
      <c r="P163" s="5"/>
      <c r="Q163" s="8"/>
      <c r="R163" s="5"/>
      <c r="S163" s="5"/>
      <c r="T163" s="6">
        <f t="shared" si="9"/>
        <v>0</v>
      </c>
      <c r="U163" s="9"/>
      <c r="V163" s="1"/>
      <c r="W163" s="1"/>
      <c r="X163" s="1"/>
      <c r="Y163" s="1"/>
      <c r="Z163" s="1"/>
    </row>
    <row r="164" spans="1:26" ht="39.75" customHeight="1">
      <c r="A164" s="171"/>
      <c r="B164" s="171"/>
      <c r="C164" s="171"/>
      <c r="D164" s="5">
        <v>155</v>
      </c>
      <c r="E164" s="5" t="s">
        <v>302</v>
      </c>
      <c r="F164" s="5"/>
      <c r="G164" s="5"/>
      <c r="H164" s="5"/>
      <c r="I164" s="5"/>
      <c r="J164" s="5"/>
      <c r="K164" s="5"/>
      <c r="L164" s="5"/>
      <c r="M164" s="5"/>
      <c r="N164" s="5"/>
      <c r="O164" s="5"/>
      <c r="P164" s="8"/>
      <c r="Q164" s="5"/>
      <c r="R164" s="5"/>
      <c r="S164" s="5"/>
      <c r="T164" s="6">
        <f t="shared" si="9"/>
        <v>0</v>
      </c>
      <c r="U164" s="9"/>
      <c r="V164" s="1"/>
      <c r="W164" s="1"/>
      <c r="X164" s="1"/>
      <c r="Y164" s="1"/>
      <c r="Z164" s="1"/>
    </row>
    <row r="165" spans="1:26" ht="39.75" customHeight="1">
      <c r="A165" s="171"/>
      <c r="B165" s="171"/>
      <c r="C165" s="171"/>
      <c r="D165" s="5">
        <v>156</v>
      </c>
      <c r="E165" s="5" t="s">
        <v>303</v>
      </c>
      <c r="F165" s="5"/>
      <c r="G165" s="5"/>
      <c r="H165" s="8"/>
      <c r="I165" s="6"/>
      <c r="J165" s="5"/>
      <c r="K165" s="5"/>
      <c r="L165" s="5"/>
      <c r="M165" s="5"/>
      <c r="N165" s="5"/>
      <c r="O165" s="5"/>
      <c r="P165" s="8">
        <v>1.6</v>
      </c>
      <c r="Q165" s="5"/>
      <c r="R165" s="5"/>
      <c r="S165" s="5"/>
      <c r="T165" s="6">
        <f t="shared" si="9"/>
        <v>1.6</v>
      </c>
      <c r="U165" s="9"/>
      <c r="V165" s="1"/>
      <c r="W165" s="1"/>
      <c r="X165" s="1"/>
      <c r="Y165" s="1"/>
      <c r="Z165" s="1"/>
    </row>
    <row r="166" spans="1:26" ht="39.75" customHeight="1">
      <c r="A166" s="171"/>
      <c r="B166" s="171"/>
      <c r="C166" s="171"/>
      <c r="D166" s="5">
        <v>157</v>
      </c>
      <c r="E166" s="5" t="s">
        <v>304</v>
      </c>
      <c r="F166" s="5"/>
      <c r="G166" s="5"/>
      <c r="H166" s="5"/>
      <c r="I166" s="5"/>
      <c r="J166" s="5"/>
      <c r="K166" s="5"/>
      <c r="L166" s="5"/>
      <c r="M166" s="5"/>
      <c r="N166" s="5"/>
      <c r="O166" s="5"/>
      <c r="P166" s="5"/>
      <c r="Q166" s="5"/>
      <c r="R166" s="5"/>
      <c r="S166" s="5"/>
      <c r="T166" s="6">
        <f t="shared" si="9"/>
        <v>0</v>
      </c>
      <c r="U166" s="9"/>
      <c r="V166" s="1"/>
      <c r="W166" s="1"/>
      <c r="X166" s="1"/>
      <c r="Y166" s="1"/>
      <c r="Z166" s="1"/>
    </row>
    <row r="167" spans="1:26" ht="39.75" customHeight="1">
      <c r="A167" s="171"/>
      <c r="B167" s="169"/>
      <c r="C167" s="169"/>
      <c r="D167" s="5">
        <v>158</v>
      </c>
      <c r="E167" s="5" t="s">
        <v>305</v>
      </c>
      <c r="F167" s="5"/>
      <c r="G167" s="5"/>
      <c r="H167" s="5"/>
      <c r="I167" s="5"/>
      <c r="J167" s="5"/>
      <c r="K167" s="5"/>
      <c r="L167" s="5"/>
      <c r="M167" s="5"/>
      <c r="N167" s="5"/>
      <c r="O167" s="5"/>
      <c r="P167" s="5"/>
      <c r="Q167" s="6"/>
      <c r="R167" s="5"/>
      <c r="S167" s="5"/>
      <c r="T167" s="6">
        <f t="shared" si="9"/>
        <v>0</v>
      </c>
      <c r="U167" s="9"/>
      <c r="V167" s="1"/>
      <c r="W167" s="1"/>
      <c r="X167" s="1"/>
      <c r="Y167" s="1"/>
      <c r="Z167" s="1"/>
    </row>
    <row r="168" spans="1:26" ht="39.75" customHeight="1">
      <c r="A168" s="171"/>
      <c r="B168" s="168" t="s">
        <v>306</v>
      </c>
      <c r="C168" s="168" t="s">
        <v>252</v>
      </c>
      <c r="D168" s="5">
        <v>159</v>
      </c>
      <c r="E168" s="5" t="s">
        <v>253</v>
      </c>
      <c r="F168" s="5"/>
      <c r="G168" s="5"/>
      <c r="H168" s="5"/>
      <c r="I168" s="5"/>
      <c r="J168" s="5"/>
      <c r="K168" s="6"/>
      <c r="L168" s="5"/>
      <c r="M168" s="5"/>
      <c r="N168" s="8">
        <v>20.420000000000002</v>
      </c>
      <c r="O168" s="8">
        <v>276.41000000000003</v>
      </c>
      <c r="P168" s="8">
        <v>28.86</v>
      </c>
      <c r="Q168" s="6">
        <v>2.0499999999999998</v>
      </c>
      <c r="R168" s="5"/>
      <c r="S168" s="5"/>
      <c r="T168" s="6">
        <f t="shared" si="9"/>
        <v>327.74000000000007</v>
      </c>
      <c r="U168" s="9" t="s">
        <v>377</v>
      </c>
      <c r="V168" s="1"/>
      <c r="W168" s="1"/>
      <c r="X168" s="1"/>
      <c r="Y168" s="1"/>
      <c r="Z168" s="1"/>
    </row>
    <row r="169" spans="1:26" ht="39.75" customHeight="1">
      <c r="A169" s="171"/>
      <c r="B169" s="171"/>
      <c r="C169" s="171"/>
      <c r="D169" s="5">
        <v>160</v>
      </c>
      <c r="E169" s="5" t="s">
        <v>308</v>
      </c>
      <c r="F169" s="5"/>
      <c r="G169" s="5"/>
      <c r="H169" s="5"/>
      <c r="I169" s="5"/>
      <c r="J169" s="5"/>
      <c r="K169" s="5"/>
      <c r="L169" s="5"/>
      <c r="M169" s="5"/>
      <c r="N169" s="5"/>
      <c r="O169" s="5"/>
      <c r="P169" s="5"/>
      <c r="Q169" s="5"/>
      <c r="R169" s="5"/>
      <c r="S169" s="5"/>
      <c r="T169" s="6">
        <f t="shared" si="9"/>
        <v>0</v>
      </c>
      <c r="U169" s="9"/>
      <c r="V169" s="1"/>
      <c r="W169" s="1"/>
      <c r="X169" s="1"/>
      <c r="Y169" s="1"/>
      <c r="Z169" s="1"/>
    </row>
    <row r="170" spans="1:26" ht="39.75" customHeight="1">
      <c r="A170" s="171"/>
      <c r="B170" s="171"/>
      <c r="C170" s="171"/>
      <c r="D170" s="5">
        <v>161</v>
      </c>
      <c r="E170" s="5" t="s">
        <v>255</v>
      </c>
      <c r="F170" s="5"/>
      <c r="G170" s="5"/>
      <c r="H170" s="5"/>
      <c r="I170" s="5"/>
      <c r="J170" s="5"/>
      <c r="K170" s="5"/>
      <c r="L170" s="5"/>
      <c r="M170" s="5"/>
      <c r="N170" s="5"/>
      <c r="O170" s="5"/>
      <c r="P170" s="5"/>
      <c r="Q170" s="5"/>
      <c r="R170" s="5"/>
      <c r="S170" s="5"/>
      <c r="T170" s="6">
        <f t="shared" si="9"/>
        <v>0</v>
      </c>
      <c r="U170" s="9"/>
      <c r="V170" s="1"/>
      <c r="W170" s="1"/>
      <c r="X170" s="1"/>
      <c r="Y170" s="1"/>
      <c r="Z170" s="1"/>
    </row>
    <row r="171" spans="1:26" ht="39.75" customHeight="1">
      <c r="A171" s="171"/>
      <c r="B171" s="171"/>
      <c r="C171" s="171"/>
      <c r="D171" s="5">
        <v>162</v>
      </c>
      <c r="E171" s="5" t="s">
        <v>256</v>
      </c>
      <c r="F171" s="5"/>
      <c r="G171" s="5"/>
      <c r="H171" s="5"/>
      <c r="I171" s="5"/>
      <c r="J171" s="5"/>
      <c r="K171" s="5"/>
      <c r="L171" s="5"/>
      <c r="M171" s="5"/>
      <c r="N171" s="5"/>
      <c r="O171" s="5"/>
      <c r="P171" s="5"/>
      <c r="Q171" s="5"/>
      <c r="R171" s="5"/>
      <c r="S171" s="5"/>
      <c r="T171" s="6">
        <f t="shared" si="9"/>
        <v>0</v>
      </c>
      <c r="U171" s="9"/>
      <c r="V171" s="1"/>
      <c r="W171" s="1"/>
      <c r="X171" s="1"/>
      <c r="Y171" s="1"/>
      <c r="Z171" s="1"/>
    </row>
    <row r="172" spans="1:26" ht="39.75" customHeight="1">
      <c r="A172" s="171"/>
      <c r="B172" s="169"/>
      <c r="C172" s="169"/>
      <c r="D172" s="5">
        <v>163</v>
      </c>
      <c r="E172" s="5" t="s">
        <v>309</v>
      </c>
      <c r="F172" s="5"/>
      <c r="G172" s="5"/>
      <c r="H172" s="5"/>
      <c r="I172" s="5"/>
      <c r="J172" s="5"/>
      <c r="K172" s="5"/>
      <c r="L172" s="5"/>
      <c r="M172" s="5"/>
      <c r="N172" s="5"/>
      <c r="O172" s="8">
        <v>0.9</v>
      </c>
      <c r="P172" s="8">
        <v>1.2</v>
      </c>
      <c r="Q172" s="6">
        <v>0.5</v>
      </c>
      <c r="R172" s="5"/>
      <c r="S172" s="5"/>
      <c r="T172" s="6">
        <f t="shared" si="9"/>
        <v>2.6</v>
      </c>
      <c r="U172" s="9" t="s">
        <v>422</v>
      </c>
      <c r="V172" s="1"/>
      <c r="W172" s="1"/>
      <c r="X172" s="1"/>
      <c r="Y172" s="1"/>
      <c r="Z172" s="1"/>
    </row>
    <row r="173" spans="1:26" ht="39.75" customHeight="1">
      <c r="A173" s="171"/>
      <c r="B173" s="168" t="s">
        <v>311</v>
      </c>
      <c r="C173" s="168" t="s">
        <v>312</v>
      </c>
      <c r="D173" s="5">
        <v>164</v>
      </c>
      <c r="E173" s="5" t="s">
        <v>313</v>
      </c>
      <c r="F173" s="5"/>
      <c r="G173" s="8"/>
      <c r="H173" s="8"/>
      <c r="I173" s="5"/>
      <c r="J173" s="5"/>
      <c r="K173" s="5"/>
      <c r="L173" s="5"/>
      <c r="M173" s="5"/>
      <c r="N173" s="5"/>
      <c r="O173" s="5"/>
      <c r="P173" s="5"/>
      <c r="Q173" s="5"/>
      <c r="R173" s="5"/>
      <c r="S173" s="5"/>
      <c r="T173" s="6">
        <f t="shared" si="9"/>
        <v>0</v>
      </c>
      <c r="U173" s="9"/>
      <c r="V173" s="1"/>
      <c r="W173" s="1"/>
      <c r="X173" s="1"/>
      <c r="Y173" s="1"/>
      <c r="Z173" s="1"/>
    </row>
    <row r="174" spans="1:26" ht="39.75" customHeight="1">
      <c r="A174" s="171"/>
      <c r="B174" s="171"/>
      <c r="C174" s="171"/>
      <c r="D174" s="5">
        <v>165</v>
      </c>
      <c r="E174" s="5" t="s">
        <v>314</v>
      </c>
      <c r="F174" s="5"/>
      <c r="G174" s="8"/>
      <c r="H174" s="8"/>
      <c r="I174" s="5"/>
      <c r="J174" s="5"/>
      <c r="K174" s="5"/>
      <c r="L174" s="5"/>
      <c r="M174" s="5"/>
      <c r="N174" s="5"/>
      <c r="O174" s="5"/>
      <c r="P174" s="5"/>
      <c r="Q174" s="5"/>
      <c r="R174" s="5"/>
      <c r="S174" s="5"/>
      <c r="T174" s="6">
        <f t="shared" si="9"/>
        <v>0</v>
      </c>
      <c r="U174" s="9"/>
      <c r="V174" s="1"/>
      <c r="W174" s="1"/>
      <c r="X174" s="1"/>
      <c r="Y174" s="1"/>
      <c r="Z174" s="1"/>
    </row>
    <row r="175" spans="1:26" ht="39.75" customHeight="1">
      <c r="A175" s="171"/>
      <c r="B175" s="171"/>
      <c r="C175" s="171"/>
      <c r="D175" s="5">
        <v>166</v>
      </c>
      <c r="E175" s="5" t="s">
        <v>315</v>
      </c>
      <c r="F175" s="5"/>
      <c r="G175" s="8"/>
      <c r="H175" s="8"/>
      <c r="I175" s="5"/>
      <c r="J175" s="5"/>
      <c r="K175" s="5"/>
      <c r="L175" s="5"/>
      <c r="M175" s="5"/>
      <c r="N175" s="5"/>
      <c r="O175" s="5"/>
      <c r="P175" s="5"/>
      <c r="Q175" s="5"/>
      <c r="R175" s="5"/>
      <c r="S175" s="5"/>
      <c r="T175" s="6">
        <f t="shared" si="9"/>
        <v>0</v>
      </c>
      <c r="U175" s="9"/>
      <c r="V175" s="1"/>
      <c r="W175" s="1"/>
      <c r="X175" s="1"/>
      <c r="Y175" s="1"/>
      <c r="Z175" s="1"/>
    </row>
    <row r="176" spans="1:26" ht="39.75" customHeight="1">
      <c r="A176" s="171"/>
      <c r="B176" s="171"/>
      <c r="C176" s="171"/>
      <c r="D176" s="5">
        <v>167</v>
      </c>
      <c r="E176" s="5" t="s">
        <v>316</v>
      </c>
      <c r="F176" s="5"/>
      <c r="G176" s="8"/>
      <c r="H176" s="8"/>
      <c r="I176" s="5"/>
      <c r="J176" s="5"/>
      <c r="K176" s="5"/>
      <c r="L176" s="5"/>
      <c r="M176" s="5"/>
      <c r="N176" s="5"/>
      <c r="O176" s="5"/>
      <c r="P176" s="5"/>
      <c r="Q176" s="5"/>
      <c r="R176" s="5"/>
      <c r="S176" s="5"/>
      <c r="T176" s="6">
        <f t="shared" si="9"/>
        <v>0</v>
      </c>
      <c r="U176" s="9"/>
      <c r="V176" s="1"/>
      <c r="W176" s="1"/>
      <c r="X176" s="1"/>
      <c r="Y176" s="1"/>
      <c r="Z176" s="1"/>
    </row>
    <row r="177" spans="1:26" ht="39.75" customHeight="1">
      <c r="A177" s="171"/>
      <c r="B177" s="171"/>
      <c r="C177" s="171"/>
      <c r="D177" s="5">
        <v>168</v>
      </c>
      <c r="E177" s="5" t="s">
        <v>317</v>
      </c>
      <c r="F177" s="5"/>
      <c r="G177" s="8"/>
      <c r="H177" s="8"/>
      <c r="I177" s="5"/>
      <c r="J177" s="5"/>
      <c r="K177" s="5"/>
      <c r="L177" s="5"/>
      <c r="M177" s="5"/>
      <c r="N177" s="5"/>
      <c r="O177" s="5"/>
      <c r="P177" s="5"/>
      <c r="Q177" s="5"/>
      <c r="R177" s="5"/>
      <c r="S177" s="5"/>
      <c r="T177" s="6">
        <f t="shared" si="9"/>
        <v>0</v>
      </c>
      <c r="U177" s="9"/>
      <c r="V177" s="1"/>
      <c r="W177" s="1"/>
      <c r="X177" s="1"/>
      <c r="Y177" s="1"/>
      <c r="Z177" s="1"/>
    </row>
    <row r="178" spans="1:26" ht="39.75" customHeight="1">
      <c r="A178" s="171"/>
      <c r="B178" s="171"/>
      <c r="C178" s="171"/>
      <c r="D178" s="5">
        <v>169</v>
      </c>
      <c r="E178" s="5" t="s">
        <v>318</v>
      </c>
      <c r="F178" s="5"/>
      <c r="G178" s="8"/>
      <c r="H178" s="8"/>
      <c r="I178" s="6"/>
      <c r="J178" s="5"/>
      <c r="K178" s="5"/>
      <c r="L178" s="5"/>
      <c r="M178" s="5"/>
      <c r="N178" s="5"/>
      <c r="O178" s="5"/>
      <c r="P178" s="5"/>
      <c r="Q178" s="5"/>
      <c r="R178" s="5"/>
      <c r="S178" s="5"/>
      <c r="T178" s="6">
        <f t="shared" si="9"/>
        <v>0</v>
      </c>
      <c r="U178" s="9"/>
      <c r="V178" s="1"/>
      <c r="W178" s="1"/>
      <c r="X178" s="1"/>
      <c r="Y178" s="1"/>
      <c r="Z178" s="1"/>
    </row>
    <row r="179" spans="1:26" ht="39.75" customHeight="1">
      <c r="A179" s="171"/>
      <c r="B179" s="169"/>
      <c r="C179" s="169"/>
      <c r="D179" s="5">
        <v>170</v>
      </c>
      <c r="E179" s="5" t="s">
        <v>319</v>
      </c>
      <c r="F179" s="5"/>
      <c r="G179" s="5"/>
      <c r="H179" s="5"/>
      <c r="I179" s="5"/>
      <c r="J179" s="5"/>
      <c r="K179" s="5"/>
      <c r="L179" s="5"/>
      <c r="M179" s="5"/>
      <c r="N179" s="5"/>
      <c r="O179" s="5"/>
      <c r="P179" s="5"/>
      <c r="Q179" s="5"/>
      <c r="R179" s="5"/>
      <c r="S179" s="5"/>
      <c r="T179" s="6">
        <f t="shared" si="9"/>
        <v>0</v>
      </c>
      <c r="U179" s="9"/>
      <c r="V179" s="1"/>
      <c r="W179" s="1"/>
      <c r="X179" s="1"/>
      <c r="Y179" s="1"/>
      <c r="Z179" s="1"/>
    </row>
    <row r="180" spans="1:26" ht="39.75" customHeight="1">
      <c r="A180" s="171"/>
      <c r="B180" s="168" t="s">
        <v>320</v>
      </c>
      <c r="C180" s="168" t="s">
        <v>321</v>
      </c>
      <c r="D180" s="5">
        <v>171</v>
      </c>
      <c r="E180" s="5" t="s">
        <v>322</v>
      </c>
      <c r="F180" s="5"/>
      <c r="G180" s="5"/>
      <c r="H180" s="5"/>
      <c r="I180" s="5"/>
      <c r="J180" s="5"/>
      <c r="K180" s="5"/>
      <c r="L180" s="5"/>
      <c r="M180" s="5"/>
      <c r="N180" s="5"/>
      <c r="O180" s="5"/>
      <c r="P180" s="5"/>
      <c r="Q180" s="5"/>
      <c r="R180" s="5"/>
      <c r="S180" s="5"/>
      <c r="T180" s="6">
        <f t="shared" si="9"/>
        <v>0</v>
      </c>
      <c r="U180" s="9"/>
      <c r="V180" s="1"/>
      <c r="W180" s="1"/>
      <c r="X180" s="1"/>
      <c r="Y180" s="1"/>
      <c r="Z180" s="1"/>
    </row>
    <row r="181" spans="1:26" ht="39.75" customHeight="1">
      <c r="A181" s="171"/>
      <c r="B181" s="171"/>
      <c r="C181" s="171"/>
      <c r="D181" s="5">
        <v>172</v>
      </c>
      <c r="E181" s="5" t="s">
        <v>323</v>
      </c>
      <c r="F181" s="5"/>
      <c r="G181" s="5"/>
      <c r="H181" s="5"/>
      <c r="I181" s="5"/>
      <c r="J181" s="5"/>
      <c r="K181" s="5"/>
      <c r="L181" s="5"/>
      <c r="M181" s="5"/>
      <c r="N181" s="5"/>
      <c r="O181" s="5"/>
      <c r="P181" s="6"/>
      <c r="Q181" s="5"/>
      <c r="R181" s="5"/>
      <c r="S181" s="5"/>
      <c r="T181" s="6">
        <f t="shared" si="9"/>
        <v>0</v>
      </c>
      <c r="U181" s="9"/>
      <c r="V181" s="1"/>
      <c r="W181" s="1"/>
      <c r="X181" s="1"/>
      <c r="Y181" s="1"/>
      <c r="Z181" s="1"/>
    </row>
    <row r="182" spans="1:26" ht="39.75" customHeight="1">
      <c r="A182" s="171"/>
      <c r="B182" s="171"/>
      <c r="C182" s="171"/>
      <c r="D182" s="5">
        <v>173</v>
      </c>
      <c r="E182" s="5" t="s">
        <v>324</v>
      </c>
      <c r="F182" s="5"/>
      <c r="G182" s="5"/>
      <c r="H182" s="5"/>
      <c r="I182" s="5"/>
      <c r="J182" s="5"/>
      <c r="K182" s="5"/>
      <c r="L182" s="5"/>
      <c r="M182" s="5"/>
      <c r="N182" s="5"/>
      <c r="O182" s="5"/>
      <c r="P182" s="5"/>
      <c r="Q182" s="5"/>
      <c r="R182" s="5"/>
      <c r="S182" s="5"/>
      <c r="T182" s="6">
        <f t="shared" si="9"/>
        <v>0</v>
      </c>
      <c r="U182" s="9"/>
      <c r="V182" s="1"/>
      <c r="W182" s="1"/>
      <c r="X182" s="1"/>
      <c r="Y182" s="1"/>
      <c r="Z182" s="1"/>
    </row>
    <row r="183" spans="1:26" ht="39.75" customHeight="1">
      <c r="A183" s="171"/>
      <c r="B183" s="169"/>
      <c r="C183" s="169"/>
      <c r="D183" s="5">
        <v>174</v>
      </c>
      <c r="E183" s="5" t="s">
        <v>325</v>
      </c>
      <c r="F183" s="5"/>
      <c r="G183" s="5"/>
      <c r="H183" s="5"/>
      <c r="I183" s="5"/>
      <c r="J183" s="5"/>
      <c r="K183" s="5"/>
      <c r="L183" s="5"/>
      <c r="M183" s="5"/>
      <c r="N183" s="5"/>
      <c r="O183" s="5"/>
      <c r="P183" s="6"/>
      <c r="Q183" s="5"/>
      <c r="R183" s="5"/>
      <c r="S183" s="5"/>
      <c r="T183" s="6">
        <f t="shared" si="9"/>
        <v>0</v>
      </c>
      <c r="U183" s="9"/>
      <c r="V183" s="1"/>
      <c r="W183" s="1"/>
      <c r="X183" s="1"/>
      <c r="Y183" s="1"/>
      <c r="Z183" s="1"/>
    </row>
    <row r="184" spans="1:26" ht="39.75" customHeight="1">
      <c r="A184" s="171"/>
      <c r="B184" s="168" t="s">
        <v>326</v>
      </c>
      <c r="C184" s="168" t="s">
        <v>267</v>
      </c>
      <c r="D184" s="5">
        <v>175</v>
      </c>
      <c r="E184" s="5" t="s">
        <v>268</v>
      </c>
      <c r="F184" s="134"/>
      <c r="G184" s="134"/>
      <c r="H184" s="134"/>
      <c r="I184" s="135">
        <v>6.4</v>
      </c>
      <c r="J184" s="134"/>
      <c r="K184" s="134"/>
      <c r="L184" s="134"/>
      <c r="M184" s="134"/>
      <c r="N184" s="136">
        <f>5.79+1.5</f>
        <v>7.29</v>
      </c>
      <c r="O184" s="134"/>
      <c r="P184" s="135">
        <v>4</v>
      </c>
      <c r="Q184" s="137">
        <v>4.2857000000000003</v>
      </c>
      <c r="R184" s="135">
        <f>0.504+0.252</f>
        <v>0.75600000000000001</v>
      </c>
      <c r="S184" s="135"/>
      <c r="T184" s="136">
        <f t="shared" ref="T184:T186" si="11">SUM(F184:S184)</f>
        <v>22.731700000000004</v>
      </c>
      <c r="U184" s="138" t="s">
        <v>848</v>
      </c>
      <c r="V184" s="1"/>
      <c r="W184" s="1"/>
      <c r="X184" s="1"/>
      <c r="Y184" s="1"/>
      <c r="Z184" s="1"/>
    </row>
    <row r="185" spans="1:26" ht="39.75" customHeight="1">
      <c r="A185" s="171"/>
      <c r="B185" s="171"/>
      <c r="C185" s="171"/>
      <c r="D185" s="5">
        <v>176</v>
      </c>
      <c r="E185" s="5" t="s">
        <v>269</v>
      </c>
      <c r="F185" s="134"/>
      <c r="G185" s="134"/>
      <c r="H185" s="134"/>
      <c r="I185" s="134"/>
      <c r="J185" s="134"/>
      <c r="K185" s="134"/>
      <c r="L185" s="134"/>
      <c r="M185" s="135">
        <v>19</v>
      </c>
      <c r="N185" s="134"/>
      <c r="O185" s="134"/>
      <c r="P185" s="135">
        <v>35.905000000000001</v>
      </c>
      <c r="Q185" s="135">
        <v>3.67</v>
      </c>
      <c r="R185" s="134"/>
      <c r="S185" s="134"/>
      <c r="T185" s="136">
        <f t="shared" si="11"/>
        <v>58.575000000000003</v>
      </c>
      <c r="U185" s="138" t="s">
        <v>849</v>
      </c>
      <c r="V185" s="1"/>
      <c r="W185" s="1"/>
      <c r="X185" s="1"/>
      <c r="Y185" s="1"/>
      <c r="Z185" s="1"/>
    </row>
    <row r="186" spans="1:26" ht="39.75" customHeight="1">
      <c r="A186" s="171"/>
      <c r="B186" s="169"/>
      <c r="C186" s="169"/>
      <c r="D186" s="5">
        <v>177</v>
      </c>
      <c r="E186" s="5" t="s">
        <v>270</v>
      </c>
      <c r="F186" s="134"/>
      <c r="G186" s="134"/>
      <c r="H186" s="134"/>
      <c r="I186" s="134"/>
      <c r="J186" s="134"/>
      <c r="K186" s="134"/>
      <c r="L186" s="134"/>
      <c r="M186" s="134"/>
      <c r="N186" s="136">
        <v>1</v>
      </c>
      <c r="O186" s="134"/>
      <c r="P186" s="134"/>
      <c r="Q186" s="134"/>
      <c r="R186" s="134"/>
      <c r="S186" s="134"/>
      <c r="T186" s="136">
        <f t="shared" si="11"/>
        <v>1</v>
      </c>
      <c r="U186" s="138" t="s">
        <v>839</v>
      </c>
      <c r="V186" s="1"/>
      <c r="W186" s="1"/>
      <c r="X186" s="1"/>
      <c r="Y186" s="1"/>
      <c r="Z186" s="1"/>
    </row>
    <row r="187" spans="1:26" ht="39.75" customHeight="1">
      <c r="A187" s="171"/>
      <c r="B187" s="168" t="s">
        <v>327</v>
      </c>
      <c r="C187" s="168" t="s">
        <v>328</v>
      </c>
      <c r="D187" s="5">
        <v>178</v>
      </c>
      <c r="E187" s="5" t="s">
        <v>329</v>
      </c>
      <c r="F187" s="5"/>
      <c r="G187" s="5"/>
      <c r="H187" s="5"/>
      <c r="I187" s="5"/>
      <c r="J187" s="5"/>
      <c r="K187" s="5"/>
      <c r="L187" s="5"/>
      <c r="M187" s="5"/>
      <c r="N187" s="5"/>
      <c r="O187" s="5"/>
      <c r="P187" s="5"/>
      <c r="Q187" s="5"/>
      <c r="R187" s="5"/>
      <c r="S187" s="5"/>
      <c r="T187" s="6">
        <f t="shared" si="9"/>
        <v>0</v>
      </c>
      <c r="U187" s="9"/>
      <c r="V187" s="1"/>
      <c r="W187" s="1"/>
      <c r="X187" s="1"/>
      <c r="Y187" s="1"/>
      <c r="Z187" s="1"/>
    </row>
    <row r="188" spans="1:26" ht="39.75" customHeight="1">
      <c r="A188" s="171"/>
      <c r="B188" s="171"/>
      <c r="C188" s="171"/>
      <c r="D188" s="5">
        <v>179</v>
      </c>
      <c r="E188" s="5" t="s">
        <v>149</v>
      </c>
      <c r="F188" s="5"/>
      <c r="G188" s="5"/>
      <c r="H188" s="5"/>
      <c r="I188" s="5"/>
      <c r="J188" s="5"/>
      <c r="K188" s="5"/>
      <c r="L188" s="5"/>
      <c r="M188" s="5"/>
      <c r="N188" s="5"/>
      <c r="O188" s="5"/>
      <c r="P188" s="5"/>
      <c r="Q188" s="5"/>
      <c r="R188" s="5"/>
      <c r="S188" s="5"/>
      <c r="T188" s="6">
        <f t="shared" si="9"/>
        <v>0</v>
      </c>
      <c r="U188" s="9"/>
      <c r="V188" s="1"/>
      <c r="W188" s="1"/>
      <c r="X188" s="1"/>
      <c r="Y188" s="1"/>
      <c r="Z188" s="1"/>
    </row>
    <row r="189" spans="1:26" ht="39.75" customHeight="1">
      <c r="A189" s="171"/>
      <c r="B189" s="171"/>
      <c r="C189" s="171"/>
      <c r="D189" s="5">
        <v>180</v>
      </c>
      <c r="E189" s="5" t="s">
        <v>330</v>
      </c>
      <c r="F189" s="5"/>
      <c r="G189" s="5"/>
      <c r="H189" s="5"/>
      <c r="I189" s="5"/>
      <c r="J189" s="5"/>
      <c r="K189" s="6"/>
      <c r="L189" s="5"/>
      <c r="M189" s="5"/>
      <c r="N189" s="5"/>
      <c r="O189" s="5"/>
      <c r="P189" s="8"/>
      <c r="Q189" s="5"/>
      <c r="R189" s="5"/>
      <c r="S189" s="5"/>
      <c r="T189" s="6">
        <f t="shared" si="9"/>
        <v>0</v>
      </c>
      <c r="U189" s="9"/>
      <c r="V189" s="1"/>
      <c r="W189" s="1"/>
      <c r="X189" s="1"/>
      <c r="Y189" s="1"/>
      <c r="Z189" s="1"/>
    </row>
    <row r="190" spans="1:26" ht="39.75" customHeight="1">
      <c r="A190" s="171"/>
      <c r="B190" s="171"/>
      <c r="C190" s="171"/>
      <c r="D190" s="5">
        <v>181</v>
      </c>
      <c r="E190" s="5" t="s">
        <v>331</v>
      </c>
      <c r="F190" s="5"/>
      <c r="G190" s="5"/>
      <c r="H190" s="5"/>
      <c r="I190" s="5"/>
      <c r="J190" s="5"/>
      <c r="K190" s="5"/>
      <c r="L190" s="5"/>
      <c r="M190" s="5"/>
      <c r="N190" s="5"/>
      <c r="O190" s="5"/>
      <c r="P190" s="5"/>
      <c r="Q190" s="5"/>
      <c r="R190" s="5"/>
      <c r="S190" s="5"/>
      <c r="T190" s="6">
        <f t="shared" si="9"/>
        <v>0</v>
      </c>
      <c r="U190" s="9"/>
      <c r="V190" s="1"/>
      <c r="W190" s="1"/>
      <c r="X190" s="1"/>
      <c r="Y190" s="1"/>
      <c r="Z190" s="1"/>
    </row>
    <row r="191" spans="1:26" ht="39.75" customHeight="1">
      <c r="A191" s="171"/>
      <c r="B191" s="171"/>
      <c r="C191" s="171"/>
      <c r="D191" s="5">
        <v>182</v>
      </c>
      <c r="E191" s="5" t="s">
        <v>332</v>
      </c>
      <c r="F191" s="5"/>
      <c r="G191" s="5"/>
      <c r="H191" s="5"/>
      <c r="I191" s="5"/>
      <c r="J191" s="5"/>
      <c r="K191" s="5"/>
      <c r="L191" s="5"/>
      <c r="M191" s="5"/>
      <c r="N191" s="5"/>
      <c r="O191" s="5"/>
      <c r="P191" s="6">
        <v>25.8</v>
      </c>
      <c r="Q191" s="5"/>
      <c r="R191" s="5"/>
      <c r="S191" s="5"/>
      <c r="T191" s="6">
        <f t="shared" si="9"/>
        <v>25.8</v>
      </c>
      <c r="U191" s="9" t="s">
        <v>333</v>
      </c>
      <c r="V191" s="1"/>
      <c r="W191" s="1"/>
      <c r="X191" s="1"/>
      <c r="Y191" s="1"/>
      <c r="Z191" s="1"/>
    </row>
    <row r="192" spans="1:26" ht="39.75" customHeight="1">
      <c r="A192" s="171"/>
      <c r="B192" s="169"/>
      <c r="C192" s="169"/>
      <c r="D192" s="5">
        <v>183</v>
      </c>
      <c r="E192" s="5" t="s">
        <v>334</v>
      </c>
      <c r="F192" s="5"/>
      <c r="G192" s="5"/>
      <c r="H192" s="5"/>
      <c r="I192" s="5"/>
      <c r="J192" s="5"/>
      <c r="K192" s="5"/>
      <c r="L192" s="5"/>
      <c r="M192" s="5"/>
      <c r="N192" s="5"/>
      <c r="O192" s="5"/>
      <c r="P192" s="8"/>
      <c r="Q192" s="5"/>
      <c r="R192" s="5"/>
      <c r="S192" s="5"/>
      <c r="T192" s="6">
        <f t="shared" si="9"/>
        <v>0</v>
      </c>
      <c r="U192" s="9"/>
      <c r="V192" s="1"/>
      <c r="W192" s="1"/>
      <c r="X192" s="1"/>
      <c r="Y192" s="1"/>
      <c r="Z192" s="1"/>
    </row>
    <row r="193" spans="1:26" ht="39.75" customHeight="1">
      <c r="A193" s="171"/>
      <c r="B193" s="5" t="s">
        <v>335</v>
      </c>
      <c r="C193" s="5" t="s">
        <v>336</v>
      </c>
      <c r="D193" s="5">
        <v>184</v>
      </c>
      <c r="E193" s="5" t="s">
        <v>337</v>
      </c>
      <c r="F193" s="5"/>
      <c r="G193" s="5"/>
      <c r="H193" s="5"/>
      <c r="I193" s="5"/>
      <c r="J193" s="5"/>
      <c r="K193" s="5"/>
      <c r="L193" s="5"/>
      <c r="M193" s="5"/>
      <c r="N193" s="5"/>
      <c r="O193" s="5"/>
      <c r="P193" s="6"/>
      <c r="Q193" s="5"/>
      <c r="R193" s="5"/>
      <c r="S193" s="5"/>
      <c r="T193" s="6">
        <f t="shared" si="9"/>
        <v>0</v>
      </c>
      <c r="U193" s="9"/>
      <c r="V193" s="1"/>
      <c r="W193" s="1"/>
      <c r="X193" s="1"/>
      <c r="Y193" s="1"/>
      <c r="Z193" s="1"/>
    </row>
    <row r="194" spans="1:26" ht="39.75" customHeight="1">
      <c r="A194" s="171"/>
      <c r="B194" s="168" t="s">
        <v>338</v>
      </c>
      <c r="C194" s="168" t="s">
        <v>272</v>
      </c>
      <c r="D194" s="5">
        <v>185</v>
      </c>
      <c r="E194" s="5" t="s">
        <v>273</v>
      </c>
      <c r="F194" s="5"/>
      <c r="G194" s="5"/>
      <c r="H194" s="5"/>
      <c r="I194" s="5"/>
      <c r="J194" s="5"/>
      <c r="K194" s="5"/>
      <c r="L194" s="5"/>
      <c r="M194" s="5"/>
      <c r="N194" s="5"/>
      <c r="O194" s="5"/>
      <c r="P194" s="5"/>
      <c r="Q194" s="5"/>
      <c r="R194" s="5">
        <v>1745.41</v>
      </c>
      <c r="S194" s="5"/>
      <c r="T194" s="6">
        <f t="shared" si="9"/>
        <v>1745.41</v>
      </c>
      <c r="U194" s="9" t="s">
        <v>639</v>
      </c>
      <c r="V194" s="1"/>
      <c r="W194" s="1"/>
      <c r="X194" s="1"/>
      <c r="Y194" s="1"/>
      <c r="Z194" s="1"/>
    </row>
    <row r="195" spans="1:26" ht="39.75" customHeight="1">
      <c r="A195" s="171"/>
      <c r="B195" s="171"/>
      <c r="C195" s="171"/>
      <c r="D195" s="5">
        <v>186</v>
      </c>
      <c r="E195" s="5" t="s">
        <v>274</v>
      </c>
      <c r="F195" s="5"/>
      <c r="G195" s="5"/>
      <c r="H195" s="5"/>
      <c r="I195" s="5"/>
      <c r="J195" s="5"/>
      <c r="K195" s="5"/>
      <c r="L195" s="5"/>
      <c r="M195" s="5"/>
      <c r="N195" s="5"/>
      <c r="O195" s="5"/>
      <c r="P195" s="8">
        <v>18.18</v>
      </c>
      <c r="Q195" s="6"/>
      <c r="R195" s="5"/>
      <c r="S195" s="5"/>
      <c r="T195" s="6">
        <f t="shared" si="9"/>
        <v>18.18</v>
      </c>
      <c r="U195" s="9" t="s">
        <v>636</v>
      </c>
      <c r="V195" s="1"/>
      <c r="W195" s="1"/>
      <c r="X195" s="1"/>
      <c r="Y195" s="1"/>
      <c r="Z195" s="1"/>
    </row>
    <row r="196" spans="1:26" ht="39.75" customHeight="1">
      <c r="A196" s="171"/>
      <c r="B196" s="171"/>
      <c r="C196" s="171"/>
      <c r="D196" s="5">
        <v>187</v>
      </c>
      <c r="E196" s="5" t="s">
        <v>339</v>
      </c>
      <c r="F196" s="5"/>
      <c r="G196" s="5"/>
      <c r="H196" s="5"/>
      <c r="I196" s="5"/>
      <c r="J196" s="5"/>
      <c r="K196" s="5"/>
      <c r="L196" s="5"/>
      <c r="M196" s="5"/>
      <c r="N196" s="5"/>
      <c r="O196" s="5"/>
      <c r="P196" s="5"/>
      <c r="Q196" s="5"/>
      <c r="R196" s="5"/>
      <c r="S196" s="5"/>
      <c r="T196" s="6">
        <f t="shared" si="9"/>
        <v>0</v>
      </c>
      <c r="U196" s="9"/>
      <c r="V196" s="1"/>
      <c r="W196" s="1"/>
      <c r="X196" s="1"/>
      <c r="Y196" s="1"/>
      <c r="Z196" s="1"/>
    </row>
    <row r="197" spans="1:26" ht="39.75" customHeight="1">
      <c r="A197" s="171"/>
      <c r="B197" s="171"/>
      <c r="C197" s="171"/>
      <c r="D197" s="5">
        <v>188</v>
      </c>
      <c r="E197" s="5" t="s">
        <v>275</v>
      </c>
      <c r="F197" s="5"/>
      <c r="G197" s="5"/>
      <c r="H197" s="5"/>
      <c r="I197" s="5"/>
      <c r="J197" s="5"/>
      <c r="K197" s="5"/>
      <c r="L197" s="5"/>
      <c r="M197" s="5"/>
      <c r="N197" s="5"/>
      <c r="O197" s="5"/>
      <c r="P197" s="5"/>
      <c r="Q197" s="5"/>
      <c r="R197" s="5"/>
      <c r="S197" s="5"/>
      <c r="T197" s="6">
        <f t="shared" si="9"/>
        <v>0</v>
      </c>
      <c r="U197" s="9"/>
      <c r="V197" s="1"/>
      <c r="W197" s="1"/>
      <c r="X197" s="1"/>
      <c r="Y197" s="1"/>
      <c r="Z197" s="1"/>
    </row>
    <row r="198" spans="1:26" ht="39.75" customHeight="1">
      <c r="A198" s="171"/>
      <c r="B198" s="171"/>
      <c r="C198" s="171"/>
      <c r="D198" s="5">
        <v>189</v>
      </c>
      <c r="E198" s="5" t="s">
        <v>276</v>
      </c>
      <c r="F198" s="5"/>
      <c r="G198" s="5"/>
      <c r="H198" s="5"/>
      <c r="I198" s="5"/>
      <c r="J198" s="5"/>
      <c r="K198" s="5"/>
      <c r="L198" s="5"/>
      <c r="M198" s="5"/>
      <c r="N198" s="5"/>
      <c r="O198" s="5"/>
      <c r="P198" s="5"/>
      <c r="Q198" s="5"/>
      <c r="R198" s="5"/>
      <c r="S198" s="5"/>
      <c r="T198" s="6">
        <f t="shared" ref="T198:T208" si="12">SUM(F198:S198)</f>
        <v>0</v>
      </c>
      <c r="U198" s="9"/>
      <c r="V198" s="1"/>
      <c r="W198" s="1"/>
      <c r="X198" s="1"/>
      <c r="Y198" s="1"/>
      <c r="Z198" s="1"/>
    </row>
    <row r="199" spans="1:26" ht="39.75" customHeight="1">
      <c r="A199" s="171"/>
      <c r="B199" s="169"/>
      <c r="C199" s="169"/>
      <c r="D199" s="5">
        <v>190</v>
      </c>
      <c r="E199" s="5" t="s">
        <v>340</v>
      </c>
      <c r="F199" s="5"/>
      <c r="G199" s="5"/>
      <c r="H199" s="5"/>
      <c r="I199" s="5"/>
      <c r="J199" s="5"/>
      <c r="K199" s="5"/>
      <c r="L199" s="5"/>
      <c r="M199" s="5"/>
      <c r="N199" s="5"/>
      <c r="O199" s="5"/>
      <c r="P199" s="8"/>
      <c r="Q199" s="5"/>
      <c r="R199" s="5"/>
      <c r="S199" s="5"/>
      <c r="T199" s="6">
        <f t="shared" si="12"/>
        <v>0</v>
      </c>
      <c r="U199" s="9"/>
      <c r="V199" s="1"/>
      <c r="W199" s="1"/>
      <c r="X199" s="1"/>
      <c r="Y199" s="1"/>
      <c r="Z199" s="1"/>
    </row>
    <row r="200" spans="1:26" ht="39.75" customHeight="1">
      <c r="A200" s="171"/>
      <c r="B200" s="168" t="s">
        <v>341</v>
      </c>
      <c r="C200" s="168" t="s">
        <v>342</v>
      </c>
      <c r="D200" s="5">
        <v>191</v>
      </c>
      <c r="E200" s="5" t="s">
        <v>343</v>
      </c>
      <c r="F200" s="5"/>
      <c r="G200" s="5"/>
      <c r="H200" s="5"/>
      <c r="I200" s="5"/>
      <c r="J200" s="5"/>
      <c r="K200" s="5"/>
      <c r="L200" s="5"/>
      <c r="M200" s="5"/>
      <c r="N200" s="6"/>
      <c r="O200" s="5"/>
      <c r="P200" s="5"/>
      <c r="Q200" s="5"/>
      <c r="R200" s="5"/>
      <c r="S200" s="5"/>
      <c r="T200" s="6">
        <f t="shared" si="12"/>
        <v>0</v>
      </c>
      <c r="U200" s="9"/>
      <c r="V200" s="1"/>
      <c r="W200" s="1"/>
      <c r="X200" s="1"/>
      <c r="Y200" s="1"/>
      <c r="Z200" s="1"/>
    </row>
    <row r="201" spans="1:26" ht="39.75" customHeight="1">
      <c r="A201" s="171"/>
      <c r="B201" s="169"/>
      <c r="C201" s="169"/>
      <c r="D201" s="5">
        <v>192</v>
      </c>
      <c r="E201" s="5" t="s">
        <v>345</v>
      </c>
      <c r="F201" s="5"/>
      <c r="G201" s="5"/>
      <c r="H201" s="8"/>
      <c r="I201" s="5"/>
      <c r="J201" s="5"/>
      <c r="K201" s="5"/>
      <c r="L201" s="5"/>
      <c r="M201" s="5"/>
      <c r="N201" s="6">
        <v>0.5</v>
      </c>
      <c r="O201" s="5"/>
      <c r="P201" s="6"/>
      <c r="Q201" s="8"/>
      <c r="R201" s="5"/>
      <c r="S201" s="5"/>
      <c r="T201" s="6">
        <f t="shared" si="12"/>
        <v>0.5</v>
      </c>
      <c r="U201" s="61" t="s">
        <v>651</v>
      </c>
      <c r="V201" s="1"/>
      <c r="W201" s="1"/>
      <c r="X201" s="1"/>
      <c r="Y201" s="1"/>
      <c r="Z201" s="1"/>
    </row>
    <row r="202" spans="1:26" ht="39.75" customHeight="1">
      <c r="A202" s="171"/>
      <c r="B202" s="168" t="s">
        <v>346</v>
      </c>
      <c r="C202" s="168" t="s">
        <v>278</v>
      </c>
      <c r="D202" s="5">
        <v>193</v>
      </c>
      <c r="E202" s="5" t="s">
        <v>347</v>
      </c>
      <c r="F202" s="5"/>
      <c r="G202" s="5"/>
      <c r="H202" s="5"/>
      <c r="I202" s="5"/>
      <c r="J202" s="5"/>
      <c r="K202" s="5"/>
      <c r="L202" s="5"/>
      <c r="M202" s="5"/>
      <c r="N202" s="5"/>
      <c r="O202" s="5"/>
      <c r="P202" s="6"/>
      <c r="Q202" s="5"/>
      <c r="R202" s="5"/>
      <c r="S202" s="8"/>
      <c r="T202" s="6">
        <f t="shared" si="12"/>
        <v>0</v>
      </c>
      <c r="U202" s="9"/>
      <c r="V202" s="1"/>
      <c r="W202" s="1"/>
      <c r="X202" s="1"/>
      <c r="Y202" s="1"/>
      <c r="Z202" s="1"/>
    </row>
    <row r="203" spans="1:26" ht="39.75" customHeight="1">
      <c r="A203" s="171"/>
      <c r="B203" s="169"/>
      <c r="C203" s="169"/>
      <c r="D203" s="5">
        <v>194</v>
      </c>
      <c r="E203" s="5" t="s">
        <v>279</v>
      </c>
      <c r="F203" s="5"/>
      <c r="G203" s="5"/>
      <c r="H203" s="5"/>
      <c r="I203" s="5"/>
      <c r="J203" s="5"/>
      <c r="K203" s="5"/>
      <c r="L203" s="5"/>
      <c r="M203" s="5"/>
      <c r="N203" s="6"/>
      <c r="O203" s="5"/>
      <c r="P203" s="5"/>
      <c r="Q203" s="6"/>
      <c r="R203" s="6">
        <v>40.1</v>
      </c>
      <c r="S203" s="5"/>
      <c r="T203" s="6">
        <f t="shared" si="12"/>
        <v>40.1</v>
      </c>
      <c r="U203" s="9" t="s">
        <v>629</v>
      </c>
      <c r="V203" s="1"/>
      <c r="W203" s="1"/>
      <c r="X203" s="1"/>
      <c r="Y203" s="1"/>
      <c r="Z203" s="1"/>
    </row>
    <row r="204" spans="1:26" ht="39.75" customHeight="1">
      <c r="A204" s="171"/>
      <c r="B204" s="168" t="s">
        <v>348</v>
      </c>
      <c r="C204" s="168" t="s">
        <v>349</v>
      </c>
      <c r="D204" s="5">
        <v>195</v>
      </c>
      <c r="E204" s="5" t="s">
        <v>350</v>
      </c>
      <c r="F204" s="5"/>
      <c r="G204" s="5"/>
      <c r="H204" s="5"/>
      <c r="I204" s="5"/>
      <c r="J204" s="5"/>
      <c r="K204" s="5"/>
      <c r="L204" s="5"/>
      <c r="M204" s="5"/>
      <c r="N204" s="5"/>
      <c r="O204" s="5"/>
      <c r="P204" s="6">
        <v>0.7</v>
      </c>
      <c r="Q204" s="8">
        <v>0.9</v>
      </c>
      <c r="R204" s="6">
        <v>1.2</v>
      </c>
      <c r="S204" s="5"/>
      <c r="T204" s="6">
        <f t="shared" si="12"/>
        <v>2.8</v>
      </c>
      <c r="U204" s="61" t="s">
        <v>351</v>
      </c>
      <c r="V204" s="1"/>
      <c r="W204" s="1"/>
      <c r="X204" s="1"/>
      <c r="Y204" s="1"/>
      <c r="Z204" s="1"/>
    </row>
    <row r="205" spans="1:26" ht="39.75" customHeight="1">
      <c r="A205" s="171"/>
      <c r="B205" s="171"/>
      <c r="C205" s="171"/>
      <c r="D205" s="5">
        <v>196</v>
      </c>
      <c r="E205" s="5" t="s">
        <v>352</v>
      </c>
      <c r="F205" s="5"/>
      <c r="G205" s="5"/>
      <c r="H205" s="5"/>
      <c r="I205" s="5"/>
      <c r="J205" s="5"/>
      <c r="K205" s="5"/>
      <c r="L205" s="5"/>
      <c r="M205" s="5"/>
      <c r="N205" s="5"/>
      <c r="O205" s="5"/>
      <c r="P205" s="5"/>
      <c r="Q205" s="5"/>
      <c r="R205" s="5"/>
      <c r="S205" s="5"/>
      <c r="T205" s="6">
        <f t="shared" si="12"/>
        <v>0</v>
      </c>
      <c r="U205" s="9"/>
      <c r="V205" s="1"/>
      <c r="W205" s="1"/>
      <c r="X205" s="1"/>
      <c r="Y205" s="1"/>
      <c r="Z205" s="1"/>
    </row>
    <row r="206" spans="1:26" ht="39.75" customHeight="1">
      <c r="A206" s="171"/>
      <c r="B206" s="169"/>
      <c r="C206" s="169"/>
      <c r="D206" s="5">
        <v>197</v>
      </c>
      <c r="E206" s="5" t="s">
        <v>353</v>
      </c>
      <c r="F206" s="5"/>
      <c r="G206" s="5"/>
      <c r="H206" s="5"/>
      <c r="I206" s="5"/>
      <c r="J206" s="5"/>
      <c r="K206" s="5"/>
      <c r="L206" s="5"/>
      <c r="M206" s="5"/>
      <c r="N206" s="5"/>
      <c r="O206" s="5"/>
      <c r="P206" s="6"/>
      <c r="Q206" s="5"/>
      <c r="R206" s="5"/>
      <c r="S206" s="5"/>
      <c r="T206" s="6">
        <f t="shared" si="12"/>
        <v>0</v>
      </c>
      <c r="U206" s="9"/>
      <c r="V206" s="1"/>
      <c r="W206" s="1"/>
      <c r="X206" s="1"/>
      <c r="Y206" s="1"/>
      <c r="Z206" s="1"/>
    </row>
    <row r="207" spans="1:26" ht="39.75" customHeight="1">
      <c r="A207" s="171"/>
      <c r="B207" s="5" t="s">
        <v>354</v>
      </c>
      <c r="C207" s="5" t="s">
        <v>284</v>
      </c>
      <c r="D207" s="5">
        <v>198</v>
      </c>
      <c r="E207" s="5" t="s">
        <v>285</v>
      </c>
      <c r="F207" s="5"/>
      <c r="G207" s="5"/>
      <c r="H207" s="5"/>
      <c r="I207" s="5"/>
      <c r="J207" s="5"/>
      <c r="K207" s="5"/>
      <c r="L207" s="5"/>
      <c r="M207" s="5"/>
      <c r="N207" s="5"/>
      <c r="O207" s="5"/>
      <c r="P207" s="5"/>
      <c r="Q207" s="5"/>
      <c r="R207" s="5"/>
      <c r="S207" s="5"/>
      <c r="T207" s="6">
        <f t="shared" si="12"/>
        <v>0</v>
      </c>
      <c r="U207" s="9"/>
      <c r="V207" s="1"/>
      <c r="W207" s="1"/>
      <c r="X207" s="1"/>
      <c r="Y207" s="1"/>
      <c r="Z207" s="1"/>
    </row>
    <row r="208" spans="1:26" ht="39.75" customHeight="1">
      <c r="A208" s="171"/>
      <c r="B208" s="5" t="s">
        <v>355</v>
      </c>
      <c r="C208" s="5" t="s">
        <v>287</v>
      </c>
      <c r="D208" s="5">
        <v>199</v>
      </c>
      <c r="E208" s="5" t="s">
        <v>288</v>
      </c>
      <c r="F208" s="24"/>
      <c r="G208" s="24"/>
      <c r="H208" s="24"/>
      <c r="I208" s="24"/>
      <c r="J208" s="24"/>
      <c r="K208" s="24"/>
      <c r="L208" s="24"/>
      <c r="M208" s="24"/>
      <c r="N208" s="24"/>
      <c r="O208" s="24"/>
      <c r="P208" s="24">
        <v>155.25</v>
      </c>
      <c r="Q208" s="24"/>
      <c r="R208" s="24"/>
      <c r="S208" s="24"/>
      <c r="T208" s="6">
        <f t="shared" si="12"/>
        <v>155.25</v>
      </c>
      <c r="U208" s="76" t="s">
        <v>631</v>
      </c>
      <c r="V208" s="1"/>
      <c r="W208" s="1"/>
      <c r="X208" s="1"/>
      <c r="Y208" s="1"/>
      <c r="Z208" s="1"/>
    </row>
    <row r="209" spans="1:26" ht="39.75" customHeight="1">
      <c r="A209" s="169"/>
      <c r="B209" s="176" t="s">
        <v>356</v>
      </c>
      <c r="C209" s="183"/>
      <c r="D209" s="184"/>
      <c r="E209" s="51"/>
      <c r="F209" s="51">
        <f t="shared" ref="F209:T209" si="13">SUM(F159:F208)</f>
        <v>0</v>
      </c>
      <c r="G209" s="56">
        <f t="shared" si="13"/>
        <v>372.75</v>
      </c>
      <c r="H209" s="56">
        <f t="shared" si="13"/>
        <v>497</v>
      </c>
      <c r="I209" s="51">
        <f t="shared" si="13"/>
        <v>6.4</v>
      </c>
      <c r="J209" s="51">
        <f t="shared" si="13"/>
        <v>0</v>
      </c>
      <c r="K209" s="51">
        <f t="shared" si="13"/>
        <v>0</v>
      </c>
      <c r="L209" s="51">
        <f t="shared" si="13"/>
        <v>0</v>
      </c>
      <c r="M209" s="51">
        <f t="shared" si="13"/>
        <v>19</v>
      </c>
      <c r="N209" s="52">
        <f t="shared" si="13"/>
        <v>31.71</v>
      </c>
      <c r="O209" s="51">
        <f t="shared" si="13"/>
        <v>277.31</v>
      </c>
      <c r="P209" s="56">
        <f t="shared" si="13"/>
        <v>296.495</v>
      </c>
      <c r="Q209" s="51">
        <f t="shared" si="13"/>
        <v>11.405700000000001</v>
      </c>
      <c r="R209" s="51">
        <f t="shared" si="13"/>
        <v>1793.4660000000001</v>
      </c>
      <c r="S209" s="51">
        <f t="shared" si="13"/>
        <v>0</v>
      </c>
      <c r="T209" s="52">
        <f t="shared" si="13"/>
        <v>3305.5367000000001</v>
      </c>
      <c r="U209" s="9"/>
      <c r="V209" s="1"/>
      <c r="W209" s="1"/>
      <c r="X209" s="1"/>
      <c r="Y209" s="1"/>
      <c r="Z209" s="1"/>
    </row>
    <row r="210" spans="1:26" ht="39.75" customHeight="1">
      <c r="A210" s="180" t="s">
        <v>357</v>
      </c>
      <c r="B210" s="181"/>
      <c r="C210" s="181"/>
      <c r="D210" s="182"/>
      <c r="E210" s="64"/>
      <c r="F210" s="65">
        <f t="shared" ref="F210:T210" si="14">F209+F158+F134+F93+F68</f>
        <v>68.949999999999989</v>
      </c>
      <c r="G210" s="66">
        <f t="shared" si="14"/>
        <v>372.75</v>
      </c>
      <c r="H210" s="66">
        <f t="shared" si="14"/>
        <v>501</v>
      </c>
      <c r="I210" s="65">
        <f t="shared" si="14"/>
        <v>35.527999999999999</v>
      </c>
      <c r="J210" s="65">
        <f t="shared" si="14"/>
        <v>0</v>
      </c>
      <c r="K210" s="67">
        <f t="shared" si="14"/>
        <v>47.318000000000005</v>
      </c>
      <c r="L210" s="65">
        <f t="shared" si="14"/>
        <v>0</v>
      </c>
      <c r="M210" s="66">
        <f t="shared" si="14"/>
        <v>57.957999999999998</v>
      </c>
      <c r="N210" s="67">
        <f t="shared" si="14"/>
        <v>104.02755000000001</v>
      </c>
      <c r="O210" s="65">
        <f t="shared" si="14"/>
        <v>486.73274999999995</v>
      </c>
      <c r="P210" s="66">
        <f t="shared" si="14"/>
        <v>657.8180000000001</v>
      </c>
      <c r="Q210" s="65">
        <f t="shared" si="14"/>
        <v>98.172200000000004</v>
      </c>
      <c r="R210" s="66">
        <f t="shared" si="14"/>
        <v>2013.7255</v>
      </c>
      <c r="S210" s="66">
        <f t="shared" si="14"/>
        <v>1.7500000000000002</v>
      </c>
      <c r="T210" s="67">
        <f t="shared" si="14"/>
        <v>4445.7300000000005</v>
      </c>
      <c r="U210" s="9"/>
      <c r="V210" s="1"/>
      <c r="W210" s="1"/>
      <c r="X210" s="1"/>
      <c r="Y210" s="1"/>
      <c r="Z210" s="1"/>
    </row>
    <row r="211" spans="1:26" ht="24.75" customHeight="1">
      <c r="A211" s="1"/>
      <c r="B211" s="1"/>
      <c r="C211" s="1"/>
      <c r="D211" s="1"/>
      <c r="E211" s="1"/>
      <c r="F211" s="1"/>
      <c r="G211" s="1"/>
      <c r="H211" s="1"/>
      <c r="I211" s="1"/>
      <c r="J211" s="1"/>
      <c r="K211" s="1"/>
      <c r="L211" s="1"/>
      <c r="M211" s="1"/>
      <c r="N211" s="1"/>
      <c r="O211" s="1"/>
      <c r="P211" s="1"/>
      <c r="Q211" s="1"/>
      <c r="R211" s="1"/>
      <c r="S211" s="1"/>
      <c r="T211" s="32"/>
      <c r="U211" s="2"/>
      <c r="V211" s="1"/>
      <c r="W211" s="1"/>
      <c r="X211" s="1"/>
      <c r="Y211" s="1"/>
      <c r="Z211" s="1"/>
    </row>
    <row r="212" spans="1:26" ht="24.75" customHeight="1">
      <c r="A212" s="1"/>
      <c r="B212" s="1"/>
      <c r="C212" s="1"/>
      <c r="D212" s="1"/>
      <c r="E212" s="1"/>
      <c r="F212" s="1"/>
      <c r="G212" s="1"/>
      <c r="H212" s="1"/>
      <c r="I212" s="1"/>
      <c r="J212" s="1"/>
      <c r="K212" s="1"/>
      <c r="L212" s="1"/>
      <c r="M212" s="1"/>
      <c r="N212" s="1"/>
      <c r="O212" s="1"/>
      <c r="P212" s="1"/>
      <c r="Q212" s="1"/>
      <c r="R212" s="1"/>
      <c r="S212" s="1"/>
      <c r="T212" s="1"/>
      <c r="U212" s="2"/>
      <c r="V212" s="1"/>
      <c r="W212" s="1"/>
      <c r="X212" s="1"/>
      <c r="Y212" s="1"/>
      <c r="Z212" s="1"/>
    </row>
    <row r="213" spans="1:26" ht="24.75" customHeight="1">
      <c r="A213" s="1"/>
      <c r="B213" s="1"/>
      <c r="C213" s="1"/>
      <c r="D213" s="1"/>
      <c r="E213" s="1"/>
      <c r="F213" s="1"/>
      <c r="G213" s="1"/>
      <c r="H213" s="1"/>
      <c r="I213" s="1"/>
      <c r="J213" s="1"/>
      <c r="K213" s="1"/>
      <c r="L213" s="1"/>
      <c r="M213" s="1"/>
      <c r="N213" s="1"/>
      <c r="O213" s="1"/>
      <c r="P213" s="1"/>
      <c r="Q213" s="1"/>
      <c r="R213" s="1"/>
      <c r="S213" s="1"/>
      <c r="T213" s="1"/>
      <c r="U213" s="2"/>
      <c r="V213" s="1"/>
      <c r="W213" s="1"/>
      <c r="X213" s="1"/>
      <c r="Y213" s="1"/>
      <c r="Z213" s="1"/>
    </row>
    <row r="214" spans="1:26" ht="24.75" customHeight="1">
      <c r="A214" s="1"/>
      <c r="B214" s="1"/>
      <c r="C214" s="1"/>
      <c r="D214" s="1"/>
      <c r="E214" s="1"/>
      <c r="F214" s="1"/>
      <c r="G214" s="1"/>
      <c r="H214" s="1"/>
      <c r="I214" s="1"/>
      <c r="J214" s="1"/>
      <c r="K214" s="1"/>
      <c r="L214" s="1"/>
      <c r="M214" s="1"/>
      <c r="N214" s="1"/>
      <c r="O214" s="1"/>
      <c r="P214" s="1"/>
      <c r="Q214" s="1"/>
      <c r="R214" s="1"/>
      <c r="S214" s="1"/>
      <c r="T214" s="1"/>
      <c r="U214" s="2"/>
      <c r="V214" s="1"/>
      <c r="W214" s="1"/>
      <c r="X214" s="1"/>
      <c r="Y214" s="1"/>
      <c r="Z214" s="1"/>
    </row>
    <row r="215" spans="1:26" ht="24.75" customHeight="1">
      <c r="A215" s="1"/>
      <c r="B215" s="1"/>
      <c r="C215" s="1"/>
      <c r="D215" s="1"/>
      <c r="E215" s="1"/>
      <c r="F215" s="1"/>
      <c r="G215" s="1"/>
      <c r="H215" s="1"/>
      <c r="I215" s="1"/>
      <c r="J215" s="1"/>
      <c r="K215" s="1"/>
      <c r="L215" s="1"/>
      <c r="M215" s="1"/>
      <c r="N215" s="1"/>
      <c r="O215" s="1"/>
      <c r="P215" s="1"/>
      <c r="Q215" s="1"/>
      <c r="R215" s="1"/>
      <c r="S215" s="1"/>
      <c r="T215" s="1"/>
      <c r="U215" s="2"/>
      <c r="V215" s="1"/>
      <c r="W215" s="1"/>
      <c r="X215" s="1"/>
      <c r="Y215" s="1"/>
      <c r="Z215" s="1"/>
    </row>
    <row r="216" spans="1:26" ht="24.75" customHeight="1">
      <c r="A216" s="1"/>
      <c r="B216" s="1"/>
      <c r="C216" s="1"/>
      <c r="D216" s="1"/>
      <c r="E216" s="1"/>
      <c r="F216" s="1"/>
      <c r="G216" s="1"/>
      <c r="H216" s="1"/>
      <c r="I216" s="1"/>
      <c r="J216" s="1"/>
      <c r="K216" s="1"/>
      <c r="L216" s="1"/>
      <c r="M216" s="1"/>
      <c r="N216" s="1"/>
      <c r="O216" s="1"/>
      <c r="P216" s="1"/>
      <c r="Q216" s="1"/>
      <c r="R216" s="1"/>
      <c r="S216" s="1"/>
      <c r="T216" s="1"/>
      <c r="U216" s="2"/>
      <c r="V216" s="1"/>
      <c r="W216" s="1"/>
      <c r="X216" s="1"/>
      <c r="Y216" s="1"/>
      <c r="Z216" s="1"/>
    </row>
    <row r="217" spans="1:26" ht="24.75" customHeight="1">
      <c r="A217" s="1"/>
      <c r="B217" s="1"/>
      <c r="C217" s="1"/>
      <c r="D217" s="1"/>
      <c r="E217" s="1"/>
      <c r="F217" s="1"/>
      <c r="G217" s="1"/>
      <c r="H217" s="1"/>
      <c r="I217" s="1"/>
      <c r="J217" s="1"/>
      <c r="K217" s="1"/>
      <c r="L217" s="1"/>
      <c r="M217" s="1"/>
      <c r="N217" s="1"/>
      <c r="O217" s="1"/>
      <c r="P217" s="1"/>
      <c r="Q217" s="1"/>
      <c r="R217" s="1"/>
      <c r="S217" s="1"/>
      <c r="T217" s="1"/>
      <c r="U217" s="2"/>
      <c r="V217" s="1"/>
      <c r="W217" s="1"/>
      <c r="X217" s="1"/>
      <c r="Y217" s="1"/>
      <c r="Z217" s="1"/>
    </row>
    <row r="218" spans="1:26" ht="24.75" customHeight="1">
      <c r="A218" s="1"/>
      <c r="B218" s="1"/>
      <c r="C218" s="1"/>
      <c r="D218" s="1"/>
      <c r="E218" s="1"/>
      <c r="F218" s="1"/>
      <c r="G218" s="1"/>
      <c r="H218" s="1"/>
      <c r="I218" s="1"/>
      <c r="J218" s="1"/>
      <c r="K218" s="1"/>
      <c r="L218" s="1"/>
      <c r="M218" s="1"/>
      <c r="N218" s="1"/>
      <c r="O218" s="1"/>
      <c r="P218" s="1"/>
      <c r="Q218" s="1"/>
      <c r="R218" s="1"/>
      <c r="S218" s="1"/>
      <c r="T218" s="1"/>
      <c r="U218" s="2"/>
      <c r="V218" s="1"/>
      <c r="W218" s="1"/>
      <c r="X218" s="1"/>
      <c r="Y218" s="1"/>
      <c r="Z218" s="1"/>
    </row>
    <row r="219" spans="1:26" ht="24.75" customHeight="1">
      <c r="A219" s="1"/>
      <c r="B219" s="1"/>
      <c r="C219" s="1"/>
      <c r="D219" s="1"/>
      <c r="E219" s="1"/>
      <c r="F219" s="1"/>
      <c r="G219" s="1"/>
      <c r="H219" s="1"/>
      <c r="I219" s="1"/>
      <c r="J219" s="1"/>
      <c r="K219" s="1"/>
      <c r="L219" s="1"/>
      <c r="M219" s="1"/>
      <c r="N219" s="1"/>
      <c r="O219" s="1"/>
      <c r="P219" s="1"/>
      <c r="Q219" s="1"/>
      <c r="R219" s="1"/>
      <c r="S219" s="1"/>
      <c r="T219" s="1"/>
      <c r="U219" s="2"/>
      <c r="V219" s="1"/>
      <c r="W219" s="1"/>
      <c r="X219" s="1"/>
      <c r="Y219" s="1"/>
      <c r="Z219" s="1"/>
    </row>
    <row r="220" spans="1:26" ht="24.75" customHeight="1">
      <c r="A220" s="1"/>
      <c r="B220" s="1"/>
      <c r="C220" s="1"/>
      <c r="D220" s="1"/>
      <c r="E220" s="1"/>
      <c r="F220" s="1"/>
      <c r="G220" s="1"/>
      <c r="H220" s="1"/>
      <c r="I220" s="1"/>
      <c r="J220" s="1"/>
      <c r="K220" s="1"/>
      <c r="L220" s="1"/>
      <c r="M220" s="1"/>
      <c r="N220" s="1"/>
      <c r="O220" s="1"/>
      <c r="P220" s="1"/>
      <c r="Q220" s="1"/>
      <c r="R220" s="1"/>
      <c r="S220" s="1"/>
      <c r="T220" s="1"/>
      <c r="U220" s="2"/>
      <c r="V220" s="1"/>
      <c r="W220" s="1"/>
      <c r="X220" s="1"/>
      <c r="Y220" s="1"/>
      <c r="Z220" s="1"/>
    </row>
    <row r="221" spans="1:26" ht="24.75" customHeight="1">
      <c r="A221" s="1"/>
      <c r="B221" s="1"/>
      <c r="C221" s="1"/>
      <c r="D221" s="1"/>
      <c r="E221" s="1"/>
      <c r="F221" s="1"/>
      <c r="G221" s="1"/>
      <c r="H221" s="1"/>
      <c r="I221" s="1"/>
      <c r="J221" s="1"/>
      <c r="K221" s="1"/>
      <c r="L221" s="1"/>
      <c r="M221" s="1"/>
      <c r="N221" s="1"/>
      <c r="O221" s="1"/>
      <c r="P221" s="1"/>
      <c r="Q221" s="1"/>
      <c r="R221" s="1"/>
      <c r="S221" s="1"/>
      <c r="T221" s="1"/>
      <c r="U221" s="2"/>
      <c r="V221" s="1"/>
      <c r="W221" s="1"/>
      <c r="X221" s="1"/>
      <c r="Y221" s="1"/>
      <c r="Z221" s="1"/>
    </row>
    <row r="222" spans="1:26" ht="24.75" customHeight="1">
      <c r="A222" s="1"/>
      <c r="B222" s="1"/>
      <c r="C222" s="1"/>
      <c r="D222" s="1"/>
      <c r="E222" s="1"/>
      <c r="F222" s="1"/>
      <c r="G222" s="1"/>
      <c r="H222" s="1"/>
      <c r="I222" s="1"/>
      <c r="J222" s="1"/>
      <c r="K222" s="1"/>
      <c r="L222" s="1"/>
      <c r="M222" s="1"/>
      <c r="N222" s="1"/>
      <c r="O222" s="1"/>
      <c r="P222" s="1"/>
      <c r="Q222" s="1"/>
      <c r="R222" s="1"/>
      <c r="S222" s="1"/>
      <c r="T222" s="1"/>
      <c r="U222" s="2"/>
      <c r="V222" s="1"/>
      <c r="W222" s="1"/>
      <c r="X222" s="1"/>
      <c r="Y222" s="1"/>
      <c r="Z222" s="1"/>
    </row>
    <row r="223" spans="1:26" ht="24.75" customHeight="1">
      <c r="A223" s="1"/>
      <c r="B223" s="1"/>
      <c r="C223" s="1"/>
      <c r="D223" s="1"/>
      <c r="E223" s="1"/>
      <c r="F223" s="1"/>
      <c r="G223" s="1"/>
      <c r="H223" s="1"/>
      <c r="I223" s="1"/>
      <c r="J223" s="1"/>
      <c r="K223" s="1"/>
      <c r="L223" s="1"/>
      <c r="M223" s="1"/>
      <c r="N223" s="1"/>
      <c r="O223" s="1"/>
      <c r="P223" s="1"/>
      <c r="Q223" s="1"/>
      <c r="R223" s="1"/>
      <c r="S223" s="1"/>
      <c r="T223" s="1"/>
      <c r="U223" s="2"/>
      <c r="V223" s="1"/>
      <c r="W223" s="1"/>
      <c r="X223" s="1"/>
      <c r="Y223" s="1"/>
      <c r="Z223" s="1"/>
    </row>
    <row r="224" spans="1:26" ht="24.75" customHeight="1">
      <c r="A224" s="1"/>
      <c r="B224" s="1"/>
      <c r="C224" s="1"/>
      <c r="D224" s="1"/>
      <c r="E224" s="1"/>
      <c r="F224" s="1"/>
      <c r="G224" s="1"/>
      <c r="H224" s="1"/>
      <c r="I224" s="1"/>
      <c r="J224" s="1"/>
      <c r="K224" s="1"/>
      <c r="L224" s="1"/>
      <c r="M224" s="1"/>
      <c r="N224" s="1"/>
      <c r="O224" s="1"/>
      <c r="P224" s="1"/>
      <c r="Q224" s="1"/>
      <c r="R224" s="1"/>
      <c r="S224" s="1"/>
      <c r="T224" s="1"/>
      <c r="U224" s="2"/>
      <c r="V224" s="1"/>
      <c r="W224" s="1"/>
      <c r="X224" s="1"/>
      <c r="Y224" s="1"/>
      <c r="Z224" s="1"/>
    </row>
    <row r="225" spans="1:26" ht="24.75" customHeight="1">
      <c r="A225" s="1"/>
      <c r="B225" s="1"/>
      <c r="C225" s="1"/>
      <c r="D225" s="1"/>
      <c r="E225" s="1"/>
      <c r="F225" s="1"/>
      <c r="G225" s="1"/>
      <c r="H225" s="1"/>
      <c r="I225" s="1"/>
      <c r="J225" s="1"/>
      <c r="K225" s="1"/>
      <c r="L225" s="1"/>
      <c r="M225" s="1"/>
      <c r="N225" s="1"/>
      <c r="O225" s="1"/>
      <c r="P225" s="1"/>
      <c r="Q225" s="1"/>
      <c r="R225" s="1"/>
      <c r="S225" s="1"/>
      <c r="T225" s="1"/>
      <c r="U225" s="2"/>
      <c r="V225" s="1"/>
      <c r="W225" s="1"/>
      <c r="X225" s="1"/>
      <c r="Y225" s="1"/>
      <c r="Z225" s="1"/>
    </row>
    <row r="226" spans="1:26" ht="24.75" customHeight="1">
      <c r="A226" s="1"/>
      <c r="B226" s="1"/>
      <c r="C226" s="1"/>
      <c r="D226" s="1"/>
      <c r="E226" s="1"/>
      <c r="F226" s="1"/>
      <c r="G226" s="1"/>
      <c r="H226" s="1"/>
      <c r="I226" s="1"/>
      <c r="J226" s="1"/>
      <c r="K226" s="1"/>
      <c r="L226" s="1"/>
      <c r="M226" s="1"/>
      <c r="N226" s="1"/>
      <c r="O226" s="1"/>
      <c r="P226" s="1"/>
      <c r="Q226" s="1"/>
      <c r="R226" s="1"/>
      <c r="S226" s="1"/>
      <c r="T226" s="1"/>
      <c r="U226" s="2"/>
      <c r="V226" s="1"/>
      <c r="W226" s="1"/>
      <c r="X226" s="1"/>
      <c r="Y226" s="1"/>
      <c r="Z226" s="1"/>
    </row>
    <row r="227" spans="1:26" ht="24.75" customHeight="1">
      <c r="A227" s="1"/>
      <c r="B227" s="1"/>
      <c r="C227" s="1"/>
      <c r="D227" s="1"/>
      <c r="E227" s="1"/>
      <c r="F227" s="1"/>
      <c r="G227" s="1"/>
      <c r="H227" s="1"/>
      <c r="I227" s="1"/>
      <c r="J227" s="1"/>
      <c r="K227" s="1"/>
      <c r="L227" s="1"/>
      <c r="M227" s="1"/>
      <c r="N227" s="1"/>
      <c r="O227" s="1"/>
      <c r="P227" s="1"/>
      <c r="Q227" s="1"/>
      <c r="R227" s="1"/>
      <c r="S227" s="1"/>
      <c r="T227" s="1"/>
      <c r="U227" s="2"/>
      <c r="V227" s="1"/>
      <c r="W227" s="1"/>
      <c r="X227" s="1"/>
      <c r="Y227" s="1"/>
      <c r="Z227" s="1"/>
    </row>
    <row r="228" spans="1:26" ht="24.75" customHeight="1">
      <c r="A228" s="1"/>
      <c r="B228" s="1"/>
      <c r="C228" s="1"/>
      <c r="D228" s="1"/>
      <c r="E228" s="1"/>
      <c r="F228" s="1"/>
      <c r="G228" s="1"/>
      <c r="H228" s="1"/>
      <c r="I228" s="1"/>
      <c r="J228" s="1"/>
      <c r="K228" s="1"/>
      <c r="L228" s="1"/>
      <c r="M228" s="1"/>
      <c r="N228" s="1"/>
      <c r="O228" s="1"/>
      <c r="P228" s="1"/>
      <c r="Q228" s="1"/>
      <c r="R228" s="1"/>
      <c r="S228" s="1"/>
      <c r="T228" s="1"/>
      <c r="U228" s="2"/>
      <c r="V228" s="1"/>
      <c r="W228" s="1"/>
      <c r="X228" s="1"/>
      <c r="Y228" s="1"/>
      <c r="Z228" s="1"/>
    </row>
    <row r="229" spans="1:26" ht="24.75" customHeight="1">
      <c r="A229" s="1"/>
      <c r="B229" s="1"/>
      <c r="C229" s="1"/>
      <c r="D229" s="1"/>
      <c r="E229" s="1"/>
      <c r="F229" s="1"/>
      <c r="G229" s="1"/>
      <c r="H229" s="1"/>
      <c r="I229" s="1"/>
      <c r="J229" s="1"/>
      <c r="K229" s="1"/>
      <c r="L229" s="1"/>
      <c r="M229" s="1"/>
      <c r="N229" s="1"/>
      <c r="O229" s="1"/>
      <c r="P229" s="1"/>
      <c r="Q229" s="1"/>
      <c r="R229" s="1"/>
      <c r="S229" s="1"/>
      <c r="T229" s="1"/>
      <c r="U229" s="2"/>
      <c r="V229" s="1"/>
      <c r="W229" s="1"/>
      <c r="X229" s="1"/>
      <c r="Y229" s="1"/>
      <c r="Z229" s="1"/>
    </row>
    <row r="230" spans="1:26" ht="24.75" customHeight="1">
      <c r="A230" s="1"/>
      <c r="B230" s="1"/>
      <c r="C230" s="1"/>
      <c r="D230" s="1"/>
      <c r="E230" s="1"/>
      <c r="F230" s="1"/>
      <c r="G230" s="1"/>
      <c r="H230" s="1"/>
      <c r="I230" s="1"/>
      <c r="J230" s="1"/>
      <c r="K230" s="1"/>
      <c r="L230" s="1"/>
      <c r="M230" s="1"/>
      <c r="N230" s="1"/>
      <c r="O230" s="1"/>
      <c r="P230" s="1"/>
      <c r="Q230" s="1"/>
      <c r="R230" s="1"/>
      <c r="S230" s="1"/>
      <c r="T230" s="1"/>
      <c r="U230" s="2"/>
      <c r="V230" s="1"/>
      <c r="W230" s="1"/>
      <c r="X230" s="1"/>
      <c r="Y230" s="1"/>
      <c r="Z230" s="1"/>
    </row>
    <row r="231" spans="1:26" ht="24.75" customHeight="1">
      <c r="A231" s="1"/>
      <c r="B231" s="1"/>
      <c r="C231" s="1"/>
      <c r="D231" s="1"/>
      <c r="E231" s="1"/>
      <c r="F231" s="1"/>
      <c r="G231" s="1"/>
      <c r="H231" s="1"/>
      <c r="I231" s="1"/>
      <c r="J231" s="1"/>
      <c r="K231" s="1"/>
      <c r="L231" s="1"/>
      <c r="M231" s="1"/>
      <c r="N231" s="1"/>
      <c r="O231" s="1"/>
      <c r="P231" s="1"/>
      <c r="Q231" s="1"/>
      <c r="R231" s="1"/>
      <c r="S231" s="1"/>
      <c r="T231" s="1"/>
      <c r="U231" s="2"/>
      <c r="V231" s="1"/>
      <c r="W231" s="1"/>
      <c r="X231" s="1"/>
      <c r="Y231" s="1"/>
      <c r="Z231" s="1"/>
    </row>
    <row r="232" spans="1:26" ht="24.75" customHeight="1">
      <c r="A232" s="1"/>
      <c r="B232" s="1"/>
      <c r="C232" s="1"/>
      <c r="D232" s="1"/>
      <c r="E232" s="1"/>
      <c r="F232" s="1"/>
      <c r="G232" s="1"/>
      <c r="H232" s="1"/>
      <c r="I232" s="1"/>
      <c r="J232" s="1"/>
      <c r="K232" s="1"/>
      <c r="L232" s="1"/>
      <c r="M232" s="1"/>
      <c r="N232" s="1"/>
      <c r="O232" s="1"/>
      <c r="P232" s="1"/>
      <c r="Q232" s="1"/>
      <c r="R232" s="1"/>
      <c r="S232" s="1"/>
      <c r="T232" s="1"/>
      <c r="U232" s="2"/>
      <c r="V232" s="1"/>
      <c r="W232" s="1"/>
      <c r="X232" s="1"/>
      <c r="Y232" s="1"/>
      <c r="Z232" s="1"/>
    </row>
    <row r="233" spans="1:26" ht="24.75" customHeight="1">
      <c r="A233" s="1"/>
      <c r="B233" s="1"/>
      <c r="C233" s="1"/>
      <c r="D233" s="1"/>
      <c r="E233" s="1"/>
      <c r="F233" s="1"/>
      <c r="G233" s="1"/>
      <c r="H233" s="1"/>
      <c r="I233" s="1"/>
      <c r="J233" s="1"/>
      <c r="K233" s="1"/>
      <c r="L233" s="1"/>
      <c r="M233" s="1"/>
      <c r="N233" s="1"/>
      <c r="O233" s="1"/>
      <c r="P233" s="1"/>
      <c r="Q233" s="1"/>
      <c r="R233" s="1"/>
      <c r="S233" s="1"/>
      <c r="T233" s="1"/>
      <c r="U233" s="2"/>
      <c r="V233" s="1"/>
      <c r="W233" s="1"/>
      <c r="X233" s="1"/>
      <c r="Y233" s="1"/>
      <c r="Z233" s="1"/>
    </row>
    <row r="234" spans="1:26" ht="24.75" customHeight="1">
      <c r="A234" s="1"/>
      <c r="B234" s="1"/>
      <c r="C234" s="1"/>
      <c r="D234" s="1"/>
      <c r="E234" s="1"/>
      <c r="F234" s="1"/>
      <c r="G234" s="1"/>
      <c r="H234" s="1"/>
      <c r="I234" s="1"/>
      <c r="J234" s="1"/>
      <c r="K234" s="1"/>
      <c r="L234" s="1"/>
      <c r="M234" s="1"/>
      <c r="N234" s="1"/>
      <c r="O234" s="1"/>
      <c r="P234" s="1"/>
      <c r="Q234" s="1"/>
      <c r="R234" s="1"/>
      <c r="S234" s="1"/>
      <c r="T234" s="1"/>
      <c r="U234" s="2"/>
      <c r="V234" s="1"/>
      <c r="W234" s="1"/>
      <c r="X234" s="1"/>
      <c r="Y234" s="1"/>
      <c r="Z234" s="1"/>
    </row>
    <row r="235" spans="1:26" ht="24.75" customHeight="1">
      <c r="A235" s="1"/>
      <c r="B235" s="1"/>
      <c r="C235" s="1"/>
      <c r="D235" s="1"/>
      <c r="E235" s="1"/>
      <c r="F235" s="1"/>
      <c r="G235" s="1"/>
      <c r="H235" s="1"/>
      <c r="I235" s="1"/>
      <c r="J235" s="1"/>
      <c r="K235" s="1"/>
      <c r="L235" s="1"/>
      <c r="M235" s="1"/>
      <c r="N235" s="1"/>
      <c r="O235" s="1"/>
      <c r="P235" s="1"/>
      <c r="Q235" s="1"/>
      <c r="R235" s="1"/>
      <c r="S235" s="1"/>
      <c r="T235" s="1"/>
      <c r="U235" s="2"/>
      <c r="V235" s="1"/>
      <c r="W235" s="1"/>
      <c r="X235" s="1"/>
      <c r="Y235" s="1"/>
      <c r="Z235" s="1"/>
    </row>
    <row r="236" spans="1:26" ht="24.75" customHeight="1">
      <c r="A236" s="1"/>
      <c r="B236" s="1"/>
      <c r="C236" s="1"/>
      <c r="D236" s="1"/>
      <c r="E236" s="1"/>
      <c r="F236" s="1"/>
      <c r="G236" s="1"/>
      <c r="H236" s="1"/>
      <c r="I236" s="1"/>
      <c r="J236" s="1"/>
      <c r="K236" s="1"/>
      <c r="L236" s="1"/>
      <c r="M236" s="1"/>
      <c r="N236" s="1"/>
      <c r="O236" s="1"/>
      <c r="P236" s="1"/>
      <c r="Q236" s="1"/>
      <c r="R236" s="1"/>
      <c r="S236" s="1"/>
      <c r="T236" s="1"/>
      <c r="U236" s="2"/>
      <c r="V236" s="1"/>
      <c r="W236" s="1"/>
      <c r="X236" s="1"/>
      <c r="Y236" s="1"/>
      <c r="Z236" s="1"/>
    </row>
    <row r="237" spans="1:26" ht="24.75" customHeight="1">
      <c r="A237" s="1"/>
      <c r="B237" s="1"/>
      <c r="C237" s="1"/>
      <c r="D237" s="1"/>
      <c r="E237" s="1"/>
      <c r="F237" s="1"/>
      <c r="G237" s="1"/>
      <c r="H237" s="1"/>
      <c r="I237" s="1"/>
      <c r="J237" s="1"/>
      <c r="K237" s="1"/>
      <c r="L237" s="1"/>
      <c r="M237" s="1"/>
      <c r="N237" s="1"/>
      <c r="O237" s="1"/>
      <c r="P237" s="1"/>
      <c r="Q237" s="1"/>
      <c r="R237" s="1"/>
      <c r="S237" s="1"/>
      <c r="T237" s="1"/>
      <c r="U237" s="2"/>
      <c r="V237" s="1"/>
      <c r="W237" s="1"/>
      <c r="X237" s="1"/>
      <c r="Y237" s="1"/>
      <c r="Z237" s="1"/>
    </row>
    <row r="238" spans="1:26" ht="24.75" customHeight="1">
      <c r="A238" s="1"/>
      <c r="B238" s="1"/>
      <c r="C238" s="1"/>
      <c r="D238" s="1"/>
      <c r="E238" s="1"/>
      <c r="F238" s="1"/>
      <c r="G238" s="1"/>
      <c r="H238" s="1"/>
      <c r="I238" s="1"/>
      <c r="J238" s="1"/>
      <c r="K238" s="1"/>
      <c r="L238" s="1"/>
      <c r="M238" s="1"/>
      <c r="N238" s="1"/>
      <c r="O238" s="1"/>
      <c r="P238" s="1"/>
      <c r="Q238" s="1"/>
      <c r="R238" s="1"/>
      <c r="S238" s="1"/>
      <c r="T238" s="1"/>
      <c r="U238" s="2"/>
      <c r="V238" s="1"/>
      <c r="W238" s="1"/>
      <c r="X238" s="1"/>
      <c r="Y238" s="1"/>
      <c r="Z238" s="1"/>
    </row>
    <row r="239" spans="1:26" ht="24.75" customHeight="1">
      <c r="A239" s="1"/>
      <c r="B239" s="1"/>
      <c r="C239" s="1"/>
      <c r="D239" s="1"/>
      <c r="E239" s="1"/>
      <c r="F239" s="1"/>
      <c r="G239" s="1"/>
      <c r="H239" s="1"/>
      <c r="I239" s="1"/>
      <c r="J239" s="1"/>
      <c r="K239" s="1"/>
      <c r="L239" s="1"/>
      <c r="M239" s="1"/>
      <c r="N239" s="1"/>
      <c r="O239" s="1"/>
      <c r="P239" s="1"/>
      <c r="Q239" s="1"/>
      <c r="R239" s="1"/>
      <c r="S239" s="1"/>
      <c r="T239" s="1"/>
      <c r="U239" s="2"/>
      <c r="V239" s="1"/>
      <c r="W239" s="1"/>
      <c r="X239" s="1"/>
      <c r="Y239" s="1"/>
      <c r="Z239" s="1"/>
    </row>
    <row r="240" spans="1:26" ht="24.75" customHeight="1">
      <c r="A240" s="1"/>
      <c r="B240" s="1"/>
      <c r="C240" s="1"/>
      <c r="D240" s="1"/>
      <c r="E240" s="1"/>
      <c r="F240" s="1"/>
      <c r="G240" s="1"/>
      <c r="H240" s="1"/>
      <c r="I240" s="1"/>
      <c r="J240" s="1"/>
      <c r="K240" s="1"/>
      <c r="L240" s="1"/>
      <c r="M240" s="1"/>
      <c r="N240" s="1"/>
      <c r="O240" s="1"/>
      <c r="P240" s="1"/>
      <c r="Q240" s="1"/>
      <c r="R240" s="1"/>
      <c r="S240" s="1"/>
      <c r="T240" s="1"/>
      <c r="U240" s="2"/>
      <c r="V240" s="1"/>
      <c r="W240" s="1"/>
      <c r="X240" s="1"/>
      <c r="Y240" s="1"/>
      <c r="Z240" s="1"/>
    </row>
    <row r="241" spans="1:26" ht="24.75" customHeight="1">
      <c r="A241" s="1"/>
      <c r="B241" s="1"/>
      <c r="C241" s="1"/>
      <c r="D241" s="1"/>
      <c r="E241" s="1"/>
      <c r="F241" s="1"/>
      <c r="G241" s="1"/>
      <c r="H241" s="1"/>
      <c r="I241" s="1"/>
      <c r="J241" s="1"/>
      <c r="K241" s="1"/>
      <c r="L241" s="1"/>
      <c r="M241" s="1"/>
      <c r="N241" s="1"/>
      <c r="O241" s="1"/>
      <c r="P241" s="1"/>
      <c r="Q241" s="1"/>
      <c r="R241" s="1"/>
      <c r="S241" s="1"/>
      <c r="T241" s="1"/>
      <c r="U241" s="2"/>
      <c r="V241" s="1"/>
      <c r="W241" s="1"/>
      <c r="X241" s="1"/>
      <c r="Y241" s="1"/>
      <c r="Z241" s="1"/>
    </row>
    <row r="242" spans="1:26" ht="24.75" customHeight="1">
      <c r="A242" s="1"/>
      <c r="B242" s="1"/>
      <c r="C242" s="1"/>
      <c r="D242" s="1"/>
      <c r="E242" s="1"/>
      <c r="F242" s="1"/>
      <c r="G242" s="1"/>
      <c r="H242" s="1"/>
      <c r="I242" s="1"/>
      <c r="J242" s="1"/>
      <c r="K242" s="1"/>
      <c r="L242" s="1"/>
      <c r="M242" s="1"/>
      <c r="N242" s="1"/>
      <c r="O242" s="1"/>
      <c r="P242" s="1"/>
      <c r="Q242" s="1"/>
      <c r="R242" s="1"/>
      <c r="S242" s="1"/>
      <c r="T242" s="1"/>
      <c r="U242" s="2"/>
      <c r="V242" s="1"/>
      <c r="W242" s="1"/>
      <c r="X242" s="1"/>
      <c r="Y242" s="1"/>
      <c r="Z242" s="1"/>
    </row>
    <row r="243" spans="1:26" ht="24.75" customHeight="1">
      <c r="A243" s="1"/>
      <c r="B243" s="1"/>
      <c r="C243" s="1"/>
      <c r="D243" s="1"/>
      <c r="E243" s="1"/>
      <c r="F243" s="1"/>
      <c r="G243" s="1"/>
      <c r="H243" s="1"/>
      <c r="I243" s="1"/>
      <c r="J243" s="1"/>
      <c r="K243" s="1"/>
      <c r="L243" s="1"/>
      <c r="M243" s="1"/>
      <c r="N243" s="1"/>
      <c r="O243" s="1"/>
      <c r="P243" s="1"/>
      <c r="Q243" s="1"/>
      <c r="R243" s="1"/>
      <c r="S243" s="1"/>
      <c r="T243" s="1"/>
      <c r="U243" s="2"/>
      <c r="V243" s="1"/>
      <c r="W243" s="1"/>
      <c r="X243" s="1"/>
      <c r="Y243" s="1"/>
      <c r="Z243" s="1"/>
    </row>
    <row r="244" spans="1:26" ht="24.75" customHeight="1">
      <c r="A244" s="1"/>
      <c r="B244" s="1"/>
      <c r="C244" s="1"/>
      <c r="D244" s="1"/>
      <c r="E244" s="1"/>
      <c r="F244" s="1"/>
      <c r="G244" s="1"/>
      <c r="H244" s="1"/>
      <c r="I244" s="1"/>
      <c r="J244" s="1"/>
      <c r="K244" s="1"/>
      <c r="L244" s="1"/>
      <c r="M244" s="1"/>
      <c r="N244" s="1"/>
      <c r="O244" s="1"/>
      <c r="P244" s="1"/>
      <c r="Q244" s="1"/>
      <c r="R244" s="1"/>
      <c r="S244" s="1"/>
      <c r="T244" s="1"/>
      <c r="U244" s="2"/>
      <c r="V244" s="1"/>
      <c r="W244" s="1"/>
      <c r="X244" s="1"/>
      <c r="Y244" s="1"/>
      <c r="Z244" s="1"/>
    </row>
    <row r="245" spans="1:26" ht="24.75" customHeight="1">
      <c r="A245" s="1"/>
      <c r="B245" s="1"/>
      <c r="C245" s="1"/>
      <c r="D245" s="1"/>
      <c r="E245" s="1"/>
      <c r="F245" s="1"/>
      <c r="G245" s="1"/>
      <c r="H245" s="1"/>
      <c r="I245" s="1"/>
      <c r="J245" s="1"/>
      <c r="K245" s="1"/>
      <c r="L245" s="1"/>
      <c r="M245" s="1"/>
      <c r="N245" s="1"/>
      <c r="O245" s="1"/>
      <c r="P245" s="1"/>
      <c r="Q245" s="1"/>
      <c r="R245" s="1"/>
      <c r="S245" s="1"/>
      <c r="T245" s="1"/>
      <c r="U245" s="2"/>
      <c r="V245" s="1"/>
      <c r="W245" s="1"/>
      <c r="X245" s="1"/>
      <c r="Y245" s="1"/>
      <c r="Z245" s="1"/>
    </row>
    <row r="246" spans="1:26" ht="24.75" customHeight="1">
      <c r="A246" s="1"/>
      <c r="B246" s="1"/>
      <c r="C246" s="1"/>
      <c r="D246" s="1"/>
      <c r="E246" s="1"/>
      <c r="F246" s="1"/>
      <c r="G246" s="1"/>
      <c r="H246" s="1"/>
      <c r="I246" s="1"/>
      <c r="J246" s="1"/>
      <c r="K246" s="1"/>
      <c r="L246" s="1"/>
      <c r="M246" s="1"/>
      <c r="N246" s="1"/>
      <c r="O246" s="1"/>
      <c r="P246" s="1"/>
      <c r="Q246" s="1"/>
      <c r="R246" s="1"/>
      <c r="S246" s="1"/>
      <c r="T246" s="1"/>
      <c r="U246" s="2"/>
      <c r="V246" s="1"/>
      <c r="W246" s="1"/>
      <c r="X246" s="1"/>
      <c r="Y246" s="1"/>
      <c r="Z246" s="1"/>
    </row>
    <row r="247" spans="1:26" ht="24.75" customHeight="1">
      <c r="A247" s="1"/>
      <c r="B247" s="1"/>
      <c r="C247" s="1"/>
      <c r="D247" s="1"/>
      <c r="E247" s="1"/>
      <c r="F247" s="1"/>
      <c r="G247" s="1"/>
      <c r="H247" s="1"/>
      <c r="I247" s="1"/>
      <c r="J247" s="1"/>
      <c r="K247" s="1"/>
      <c r="L247" s="1"/>
      <c r="M247" s="1"/>
      <c r="N247" s="1"/>
      <c r="O247" s="1"/>
      <c r="P247" s="1"/>
      <c r="Q247" s="1"/>
      <c r="R247" s="1"/>
      <c r="S247" s="1"/>
      <c r="T247" s="1"/>
      <c r="U247" s="2"/>
      <c r="V247" s="1"/>
      <c r="W247" s="1"/>
      <c r="X247" s="1"/>
      <c r="Y247" s="1"/>
      <c r="Z247" s="1"/>
    </row>
    <row r="248" spans="1:26" ht="24.75" customHeight="1">
      <c r="A248" s="1"/>
      <c r="B248" s="1"/>
      <c r="C248" s="1"/>
      <c r="D248" s="1"/>
      <c r="E248" s="1"/>
      <c r="F248" s="1"/>
      <c r="G248" s="1"/>
      <c r="H248" s="1"/>
      <c r="I248" s="1"/>
      <c r="J248" s="1"/>
      <c r="K248" s="1"/>
      <c r="L248" s="1"/>
      <c r="M248" s="1"/>
      <c r="N248" s="1"/>
      <c r="O248" s="1"/>
      <c r="P248" s="1"/>
      <c r="Q248" s="1"/>
      <c r="R248" s="1"/>
      <c r="S248" s="1"/>
      <c r="T248" s="1"/>
      <c r="U248" s="2"/>
      <c r="V248" s="1"/>
      <c r="W248" s="1"/>
      <c r="X248" s="1"/>
      <c r="Y248" s="1"/>
      <c r="Z248" s="1"/>
    </row>
    <row r="249" spans="1:26" ht="24.75" customHeight="1">
      <c r="A249" s="1"/>
      <c r="B249" s="1"/>
      <c r="C249" s="1"/>
      <c r="D249" s="1"/>
      <c r="E249" s="1"/>
      <c r="F249" s="1"/>
      <c r="G249" s="1"/>
      <c r="H249" s="1"/>
      <c r="I249" s="1"/>
      <c r="J249" s="1"/>
      <c r="K249" s="1"/>
      <c r="L249" s="1"/>
      <c r="M249" s="1"/>
      <c r="N249" s="1"/>
      <c r="O249" s="1"/>
      <c r="P249" s="1"/>
      <c r="Q249" s="1"/>
      <c r="R249" s="1"/>
      <c r="S249" s="1"/>
      <c r="T249" s="1"/>
      <c r="U249" s="2"/>
      <c r="V249" s="1"/>
      <c r="W249" s="1"/>
      <c r="X249" s="1"/>
      <c r="Y249" s="1"/>
      <c r="Z249" s="1"/>
    </row>
    <row r="250" spans="1:26" ht="24.75" customHeight="1">
      <c r="A250" s="1"/>
      <c r="B250" s="1"/>
      <c r="C250" s="1"/>
      <c r="D250" s="1"/>
      <c r="E250" s="1"/>
      <c r="F250" s="1"/>
      <c r="G250" s="1"/>
      <c r="H250" s="1"/>
      <c r="I250" s="1"/>
      <c r="J250" s="1"/>
      <c r="K250" s="1"/>
      <c r="L250" s="1"/>
      <c r="M250" s="1"/>
      <c r="N250" s="1"/>
      <c r="O250" s="1"/>
      <c r="P250" s="1"/>
      <c r="Q250" s="1"/>
      <c r="R250" s="1"/>
      <c r="S250" s="1"/>
      <c r="T250" s="1"/>
      <c r="U250" s="2"/>
      <c r="V250" s="1"/>
      <c r="W250" s="1"/>
      <c r="X250" s="1"/>
      <c r="Y250" s="1"/>
      <c r="Z250" s="1"/>
    </row>
    <row r="251" spans="1:26" ht="24.75" customHeight="1">
      <c r="A251" s="1"/>
      <c r="B251" s="1"/>
      <c r="C251" s="1"/>
      <c r="D251" s="1"/>
      <c r="E251" s="1"/>
      <c r="F251" s="1"/>
      <c r="G251" s="1"/>
      <c r="H251" s="1"/>
      <c r="I251" s="1"/>
      <c r="J251" s="1"/>
      <c r="K251" s="1"/>
      <c r="L251" s="1"/>
      <c r="M251" s="1"/>
      <c r="N251" s="1"/>
      <c r="O251" s="1"/>
      <c r="P251" s="1"/>
      <c r="Q251" s="1"/>
      <c r="R251" s="1"/>
      <c r="S251" s="1"/>
      <c r="T251" s="1"/>
      <c r="U251" s="2"/>
      <c r="V251" s="1"/>
      <c r="W251" s="1"/>
      <c r="X251" s="1"/>
      <c r="Y251" s="1"/>
      <c r="Z251" s="1"/>
    </row>
    <row r="252" spans="1:26" ht="24.75" customHeight="1">
      <c r="A252" s="1"/>
      <c r="B252" s="1"/>
      <c r="C252" s="1"/>
      <c r="D252" s="1"/>
      <c r="E252" s="1"/>
      <c r="F252" s="1"/>
      <c r="G252" s="1"/>
      <c r="H252" s="1"/>
      <c r="I252" s="1"/>
      <c r="J252" s="1"/>
      <c r="K252" s="1"/>
      <c r="L252" s="1"/>
      <c r="M252" s="1"/>
      <c r="N252" s="1"/>
      <c r="O252" s="1"/>
      <c r="P252" s="1"/>
      <c r="Q252" s="1"/>
      <c r="R252" s="1"/>
      <c r="S252" s="1"/>
      <c r="T252" s="1"/>
      <c r="U252" s="2"/>
      <c r="V252" s="1"/>
      <c r="W252" s="1"/>
      <c r="X252" s="1"/>
      <c r="Y252" s="1"/>
      <c r="Z252" s="1"/>
    </row>
    <row r="253" spans="1:26" ht="24.75" customHeight="1">
      <c r="A253" s="1"/>
      <c r="B253" s="1"/>
      <c r="C253" s="1"/>
      <c r="D253" s="1"/>
      <c r="E253" s="1"/>
      <c r="F253" s="1"/>
      <c r="G253" s="1"/>
      <c r="H253" s="1"/>
      <c r="I253" s="1"/>
      <c r="J253" s="1"/>
      <c r="K253" s="1"/>
      <c r="L253" s="1"/>
      <c r="M253" s="1"/>
      <c r="N253" s="1"/>
      <c r="O253" s="1"/>
      <c r="P253" s="1"/>
      <c r="Q253" s="1"/>
      <c r="R253" s="1"/>
      <c r="S253" s="1"/>
      <c r="T253" s="1"/>
      <c r="U253" s="2"/>
      <c r="V253" s="1"/>
      <c r="W253" s="1"/>
      <c r="X253" s="1"/>
      <c r="Y253" s="1"/>
      <c r="Z253" s="1"/>
    </row>
    <row r="254" spans="1:26" ht="24.75" customHeight="1">
      <c r="A254" s="1"/>
      <c r="B254" s="1"/>
      <c r="C254" s="1"/>
      <c r="D254" s="1"/>
      <c r="E254" s="1"/>
      <c r="F254" s="1"/>
      <c r="G254" s="1"/>
      <c r="H254" s="1"/>
      <c r="I254" s="1"/>
      <c r="J254" s="1"/>
      <c r="K254" s="1"/>
      <c r="L254" s="1"/>
      <c r="M254" s="1"/>
      <c r="N254" s="1"/>
      <c r="O254" s="1"/>
      <c r="P254" s="1"/>
      <c r="Q254" s="1"/>
      <c r="R254" s="1"/>
      <c r="S254" s="1"/>
      <c r="T254" s="1"/>
      <c r="U254" s="2"/>
      <c r="V254" s="1"/>
      <c r="W254" s="1"/>
      <c r="X254" s="1"/>
      <c r="Y254" s="1"/>
      <c r="Z254" s="1"/>
    </row>
    <row r="255" spans="1:26" ht="24.75" customHeight="1">
      <c r="A255" s="1"/>
      <c r="B255" s="1"/>
      <c r="C255" s="1"/>
      <c r="D255" s="1"/>
      <c r="E255" s="1"/>
      <c r="F255" s="1"/>
      <c r="G255" s="1"/>
      <c r="H255" s="1"/>
      <c r="I255" s="1"/>
      <c r="J255" s="1"/>
      <c r="K255" s="1"/>
      <c r="L255" s="1"/>
      <c r="M255" s="1"/>
      <c r="N255" s="1"/>
      <c r="O255" s="1"/>
      <c r="P255" s="1"/>
      <c r="Q255" s="1"/>
      <c r="R255" s="1"/>
      <c r="S255" s="1"/>
      <c r="T255" s="1"/>
      <c r="U255" s="2"/>
      <c r="V255" s="1"/>
      <c r="W255" s="1"/>
      <c r="X255" s="1"/>
      <c r="Y255" s="1"/>
      <c r="Z255" s="1"/>
    </row>
    <row r="256" spans="1:26" ht="24.75" customHeight="1">
      <c r="A256" s="1"/>
      <c r="B256" s="1"/>
      <c r="C256" s="1"/>
      <c r="D256" s="1"/>
      <c r="E256" s="1"/>
      <c r="F256" s="1"/>
      <c r="G256" s="1"/>
      <c r="H256" s="1"/>
      <c r="I256" s="1"/>
      <c r="J256" s="1"/>
      <c r="K256" s="1"/>
      <c r="L256" s="1"/>
      <c r="M256" s="1"/>
      <c r="N256" s="1"/>
      <c r="O256" s="1"/>
      <c r="P256" s="1"/>
      <c r="Q256" s="1"/>
      <c r="R256" s="1"/>
      <c r="S256" s="1"/>
      <c r="T256" s="1"/>
      <c r="U256" s="2"/>
      <c r="V256" s="1"/>
      <c r="W256" s="1"/>
      <c r="X256" s="1"/>
      <c r="Y256" s="1"/>
      <c r="Z256" s="1"/>
    </row>
    <row r="257" spans="1:26" ht="24.75" customHeight="1">
      <c r="A257" s="1"/>
      <c r="B257" s="1"/>
      <c r="C257" s="1"/>
      <c r="D257" s="1"/>
      <c r="E257" s="1"/>
      <c r="F257" s="1"/>
      <c r="G257" s="1"/>
      <c r="H257" s="1"/>
      <c r="I257" s="1"/>
      <c r="J257" s="1"/>
      <c r="K257" s="1"/>
      <c r="L257" s="1"/>
      <c r="M257" s="1"/>
      <c r="N257" s="1"/>
      <c r="O257" s="1"/>
      <c r="P257" s="1"/>
      <c r="Q257" s="1"/>
      <c r="R257" s="1"/>
      <c r="S257" s="1"/>
      <c r="T257" s="1"/>
      <c r="U257" s="2"/>
      <c r="V257" s="1"/>
      <c r="W257" s="1"/>
      <c r="X257" s="1"/>
      <c r="Y257" s="1"/>
      <c r="Z257" s="1"/>
    </row>
    <row r="258" spans="1:26" ht="24.75" customHeight="1">
      <c r="A258" s="1"/>
      <c r="B258" s="1"/>
      <c r="C258" s="1"/>
      <c r="D258" s="1"/>
      <c r="E258" s="1"/>
      <c r="F258" s="1"/>
      <c r="G258" s="1"/>
      <c r="H258" s="1"/>
      <c r="I258" s="1"/>
      <c r="J258" s="1"/>
      <c r="K258" s="1"/>
      <c r="L258" s="1"/>
      <c r="M258" s="1"/>
      <c r="N258" s="1"/>
      <c r="O258" s="1"/>
      <c r="P258" s="1"/>
      <c r="Q258" s="1"/>
      <c r="R258" s="1"/>
      <c r="S258" s="1"/>
      <c r="T258" s="1"/>
      <c r="U258" s="2"/>
      <c r="V258" s="1"/>
      <c r="W258" s="1"/>
      <c r="X258" s="1"/>
      <c r="Y258" s="1"/>
      <c r="Z258" s="1"/>
    </row>
    <row r="259" spans="1:26" ht="24.75" customHeight="1">
      <c r="A259" s="1"/>
      <c r="B259" s="1"/>
      <c r="C259" s="1"/>
      <c r="D259" s="1"/>
      <c r="E259" s="1"/>
      <c r="F259" s="1"/>
      <c r="G259" s="1"/>
      <c r="H259" s="1"/>
      <c r="I259" s="1"/>
      <c r="J259" s="1"/>
      <c r="K259" s="1"/>
      <c r="L259" s="1"/>
      <c r="M259" s="1"/>
      <c r="N259" s="1"/>
      <c r="O259" s="1"/>
      <c r="P259" s="1"/>
      <c r="Q259" s="1"/>
      <c r="R259" s="1"/>
      <c r="S259" s="1"/>
      <c r="T259" s="1"/>
      <c r="U259" s="2"/>
      <c r="V259" s="1"/>
      <c r="W259" s="1"/>
      <c r="X259" s="1"/>
      <c r="Y259" s="1"/>
      <c r="Z259" s="1"/>
    </row>
    <row r="260" spans="1:26" ht="24.75" customHeight="1">
      <c r="A260" s="1"/>
      <c r="B260" s="1"/>
      <c r="C260" s="1"/>
      <c r="D260" s="1"/>
      <c r="E260" s="1"/>
      <c r="F260" s="1"/>
      <c r="G260" s="1"/>
      <c r="H260" s="1"/>
      <c r="I260" s="1"/>
      <c r="J260" s="1"/>
      <c r="K260" s="1"/>
      <c r="L260" s="1"/>
      <c r="M260" s="1"/>
      <c r="N260" s="1"/>
      <c r="O260" s="1"/>
      <c r="P260" s="1"/>
      <c r="Q260" s="1"/>
      <c r="R260" s="1"/>
      <c r="S260" s="1"/>
      <c r="T260" s="1"/>
      <c r="U260" s="2"/>
      <c r="V260" s="1"/>
      <c r="W260" s="1"/>
      <c r="X260" s="1"/>
      <c r="Y260" s="1"/>
      <c r="Z260" s="1"/>
    </row>
    <row r="261" spans="1:26" ht="24.75" customHeight="1">
      <c r="A261" s="1"/>
      <c r="B261" s="1"/>
      <c r="C261" s="1"/>
      <c r="D261" s="1"/>
      <c r="E261" s="1"/>
      <c r="F261" s="1"/>
      <c r="G261" s="1"/>
      <c r="H261" s="1"/>
      <c r="I261" s="1"/>
      <c r="J261" s="1"/>
      <c r="K261" s="1"/>
      <c r="L261" s="1"/>
      <c r="M261" s="1"/>
      <c r="N261" s="1"/>
      <c r="O261" s="1"/>
      <c r="P261" s="1"/>
      <c r="Q261" s="1"/>
      <c r="R261" s="1"/>
      <c r="S261" s="1"/>
      <c r="T261" s="1"/>
      <c r="U261" s="2"/>
      <c r="V261" s="1"/>
      <c r="W261" s="1"/>
      <c r="X261" s="1"/>
      <c r="Y261" s="1"/>
      <c r="Z261" s="1"/>
    </row>
    <row r="262" spans="1:26" ht="24.75" customHeight="1">
      <c r="A262" s="1"/>
      <c r="B262" s="1"/>
      <c r="C262" s="1"/>
      <c r="D262" s="1"/>
      <c r="E262" s="1"/>
      <c r="F262" s="1"/>
      <c r="G262" s="1"/>
      <c r="H262" s="1"/>
      <c r="I262" s="1"/>
      <c r="J262" s="1"/>
      <c r="K262" s="1"/>
      <c r="L262" s="1"/>
      <c r="M262" s="1"/>
      <c r="N262" s="1"/>
      <c r="O262" s="1"/>
      <c r="P262" s="1"/>
      <c r="Q262" s="1"/>
      <c r="R262" s="1"/>
      <c r="S262" s="1"/>
      <c r="T262" s="1"/>
      <c r="U262" s="2"/>
      <c r="V262" s="1"/>
      <c r="W262" s="1"/>
      <c r="X262" s="1"/>
      <c r="Y262" s="1"/>
      <c r="Z262" s="1"/>
    </row>
    <row r="263" spans="1:26" ht="24.75" customHeight="1">
      <c r="A263" s="1"/>
      <c r="B263" s="1"/>
      <c r="C263" s="1"/>
      <c r="D263" s="1"/>
      <c r="E263" s="1"/>
      <c r="F263" s="1"/>
      <c r="G263" s="1"/>
      <c r="H263" s="1"/>
      <c r="I263" s="1"/>
      <c r="J263" s="1"/>
      <c r="K263" s="1"/>
      <c r="L263" s="1"/>
      <c r="M263" s="1"/>
      <c r="N263" s="1"/>
      <c r="O263" s="1"/>
      <c r="P263" s="1"/>
      <c r="Q263" s="1"/>
      <c r="R263" s="1"/>
      <c r="S263" s="1"/>
      <c r="T263" s="1"/>
      <c r="U263" s="2"/>
      <c r="V263" s="1"/>
      <c r="W263" s="1"/>
      <c r="X263" s="1"/>
      <c r="Y263" s="1"/>
      <c r="Z263" s="1"/>
    </row>
    <row r="264" spans="1:26" ht="24.75" customHeight="1">
      <c r="A264" s="1"/>
      <c r="B264" s="1"/>
      <c r="C264" s="1"/>
      <c r="D264" s="1"/>
      <c r="E264" s="1"/>
      <c r="F264" s="1"/>
      <c r="G264" s="1"/>
      <c r="H264" s="1"/>
      <c r="I264" s="1"/>
      <c r="J264" s="1"/>
      <c r="K264" s="1"/>
      <c r="L264" s="1"/>
      <c r="M264" s="1"/>
      <c r="N264" s="1"/>
      <c r="O264" s="1"/>
      <c r="P264" s="1"/>
      <c r="Q264" s="1"/>
      <c r="R264" s="1"/>
      <c r="S264" s="1"/>
      <c r="T264" s="1"/>
      <c r="U264" s="2"/>
      <c r="V264" s="1"/>
      <c r="W264" s="1"/>
      <c r="X264" s="1"/>
      <c r="Y264" s="1"/>
      <c r="Z264" s="1"/>
    </row>
    <row r="265" spans="1:26" ht="24.75" customHeight="1">
      <c r="A265" s="1"/>
      <c r="B265" s="1"/>
      <c r="C265" s="1"/>
      <c r="D265" s="1"/>
      <c r="E265" s="1"/>
      <c r="F265" s="1"/>
      <c r="G265" s="1"/>
      <c r="H265" s="1"/>
      <c r="I265" s="1"/>
      <c r="J265" s="1"/>
      <c r="K265" s="1"/>
      <c r="L265" s="1"/>
      <c r="M265" s="1"/>
      <c r="N265" s="1"/>
      <c r="O265" s="1"/>
      <c r="P265" s="1"/>
      <c r="Q265" s="1"/>
      <c r="R265" s="1"/>
      <c r="S265" s="1"/>
      <c r="T265" s="1"/>
      <c r="U265" s="2"/>
      <c r="V265" s="1"/>
      <c r="W265" s="1"/>
      <c r="X265" s="1"/>
      <c r="Y265" s="1"/>
      <c r="Z265" s="1"/>
    </row>
    <row r="266" spans="1:26" ht="24.75" customHeight="1">
      <c r="A266" s="1"/>
      <c r="B266" s="1"/>
      <c r="C266" s="1"/>
      <c r="D266" s="1"/>
      <c r="E266" s="1"/>
      <c r="F266" s="1"/>
      <c r="G266" s="1"/>
      <c r="H266" s="1"/>
      <c r="I266" s="1"/>
      <c r="J266" s="1"/>
      <c r="K266" s="1"/>
      <c r="L266" s="1"/>
      <c r="M266" s="1"/>
      <c r="N266" s="1"/>
      <c r="O266" s="1"/>
      <c r="P266" s="1"/>
      <c r="Q266" s="1"/>
      <c r="R266" s="1"/>
      <c r="S266" s="1"/>
      <c r="T266" s="1"/>
      <c r="U266" s="2"/>
      <c r="V266" s="1"/>
      <c r="W266" s="1"/>
      <c r="X266" s="1"/>
      <c r="Y266" s="1"/>
      <c r="Z266" s="1"/>
    </row>
    <row r="267" spans="1:26" ht="24.75" customHeight="1">
      <c r="A267" s="1"/>
      <c r="B267" s="1"/>
      <c r="C267" s="1"/>
      <c r="D267" s="1"/>
      <c r="E267" s="1"/>
      <c r="F267" s="1"/>
      <c r="G267" s="1"/>
      <c r="H267" s="1"/>
      <c r="I267" s="1"/>
      <c r="J267" s="1"/>
      <c r="K267" s="1"/>
      <c r="L267" s="1"/>
      <c r="M267" s="1"/>
      <c r="N267" s="1"/>
      <c r="O267" s="1"/>
      <c r="P267" s="1"/>
      <c r="Q267" s="1"/>
      <c r="R267" s="1"/>
      <c r="S267" s="1"/>
      <c r="T267" s="1"/>
      <c r="U267" s="2"/>
      <c r="V267" s="1"/>
      <c r="W267" s="1"/>
      <c r="X267" s="1"/>
      <c r="Y267" s="1"/>
      <c r="Z267" s="1"/>
    </row>
    <row r="268" spans="1:26" ht="24.75" customHeight="1">
      <c r="A268" s="1"/>
      <c r="B268" s="1"/>
      <c r="C268" s="1"/>
      <c r="D268" s="1"/>
      <c r="E268" s="1"/>
      <c r="F268" s="1"/>
      <c r="G268" s="1"/>
      <c r="H268" s="1"/>
      <c r="I268" s="1"/>
      <c r="J268" s="1"/>
      <c r="K268" s="1"/>
      <c r="L268" s="1"/>
      <c r="M268" s="1"/>
      <c r="N268" s="1"/>
      <c r="O268" s="1"/>
      <c r="P268" s="1"/>
      <c r="Q268" s="1"/>
      <c r="R268" s="1"/>
      <c r="S268" s="1"/>
      <c r="T268" s="1"/>
      <c r="U268" s="2"/>
      <c r="V268" s="1"/>
      <c r="W268" s="1"/>
      <c r="X268" s="1"/>
      <c r="Y268" s="1"/>
      <c r="Z268" s="1"/>
    </row>
    <row r="269" spans="1:26" ht="24.75" customHeight="1">
      <c r="A269" s="1"/>
      <c r="B269" s="1"/>
      <c r="C269" s="1"/>
      <c r="D269" s="1"/>
      <c r="E269" s="1"/>
      <c r="F269" s="1"/>
      <c r="G269" s="1"/>
      <c r="H269" s="1"/>
      <c r="I269" s="1"/>
      <c r="J269" s="1"/>
      <c r="K269" s="1"/>
      <c r="L269" s="1"/>
      <c r="M269" s="1"/>
      <c r="N269" s="1"/>
      <c r="O269" s="1"/>
      <c r="P269" s="1"/>
      <c r="Q269" s="1"/>
      <c r="R269" s="1"/>
      <c r="S269" s="1"/>
      <c r="T269" s="1"/>
      <c r="U269" s="2"/>
      <c r="V269" s="1"/>
      <c r="W269" s="1"/>
      <c r="X269" s="1"/>
      <c r="Y269" s="1"/>
      <c r="Z269" s="1"/>
    </row>
    <row r="270" spans="1:26" ht="24.75" customHeight="1">
      <c r="A270" s="1"/>
      <c r="B270" s="1"/>
      <c r="C270" s="1"/>
      <c r="D270" s="1"/>
      <c r="E270" s="1"/>
      <c r="F270" s="1"/>
      <c r="G270" s="1"/>
      <c r="H270" s="1"/>
      <c r="I270" s="1"/>
      <c r="J270" s="1"/>
      <c r="K270" s="1"/>
      <c r="L270" s="1"/>
      <c r="M270" s="1"/>
      <c r="N270" s="1"/>
      <c r="O270" s="1"/>
      <c r="P270" s="1"/>
      <c r="Q270" s="1"/>
      <c r="R270" s="1"/>
      <c r="S270" s="1"/>
      <c r="T270" s="1"/>
      <c r="U270" s="2"/>
      <c r="V270" s="1"/>
      <c r="W270" s="1"/>
      <c r="X270" s="1"/>
      <c r="Y270" s="1"/>
      <c r="Z270" s="1"/>
    </row>
    <row r="271" spans="1:26" ht="24.75" customHeight="1">
      <c r="A271" s="1"/>
      <c r="B271" s="1"/>
      <c r="C271" s="1"/>
      <c r="D271" s="1"/>
      <c r="E271" s="1"/>
      <c r="F271" s="1"/>
      <c r="G271" s="1"/>
      <c r="H271" s="1"/>
      <c r="I271" s="1"/>
      <c r="J271" s="1"/>
      <c r="K271" s="1"/>
      <c r="L271" s="1"/>
      <c r="M271" s="1"/>
      <c r="N271" s="1"/>
      <c r="O271" s="1"/>
      <c r="P271" s="1"/>
      <c r="Q271" s="1"/>
      <c r="R271" s="1"/>
      <c r="S271" s="1"/>
      <c r="T271" s="1"/>
      <c r="U271" s="2"/>
      <c r="V271" s="1"/>
      <c r="W271" s="1"/>
      <c r="X271" s="1"/>
      <c r="Y271" s="1"/>
      <c r="Z271" s="1"/>
    </row>
    <row r="272" spans="1:26" ht="24.75" customHeight="1">
      <c r="A272" s="1"/>
      <c r="B272" s="1"/>
      <c r="C272" s="1"/>
      <c r="D272" s="1"/>
      <c r="E272" s="1"/>
      <c r="F272" s="1"/>
      <c r="G272" s="1"/>
      <c r="H272" s="1"/>
      <c r="I272" s="1"/>
      <c r="J272" s="1"/>
      <c r="K272" s="1"/>
      <c r="L272" s="1"/>
      <c r="M272" s="1"/>
      <c r="N272" s="1"/>
      <c r="O272" s="1"/>
      <c r="P272" s="1"/>
      <c r="Q272" s="1"/>
      <c r="R272" s="1"/>
      <c r="S272" s="1"/>
      <c r="T272" s="1"/>
      <c r="U272" s="2"/>
      <c r="V272" s="1"/>
      <c r="W272" s="1"/>
      <c r="X272" s="1"/>
      <c r="Y272" s="1"/>
      <c r="Z272" s="1"/>
    </row>
    <row r="273" spans="1:26" ht="24.75" customHeight="1">
      <c r="A273" s="1"/>
      <c r="B273" s="1"/>
      <c r="C273" s="1"/>
      <c r="D273" s="1"/>
      <c r="E273" s="1"/>
      <c r="F273" s="1"/>
      <c r="G273" s="1"/>
      <c r="H273" s="1"/>
      <c r="I273" s="1"/>
      <c r="J273" s="1"/>
      <c r="K273" s="1"/>
      <c r="L273" s="1"/>
      <c r="M273" s="1"/>
      <c r="N273" s="1"/>
      <c r="O273" s="1"/>
      <c r="P273" s="1"/>
      <c r="Q273" s="1"/>
      <c r="R273" s="1"/>
      <c r="S273" s="1"/>
      <c r="T273" s="1"/>
      <c r="U273" s="2"/>
      <c r="V273" s="1"/>
      <c r="W273" s="1"/>
      <c r="X273" s="1"/>
      <c r="Y273" s="1"/>
      <c r="Z273" s="1"/>
    </row>
    <row r="274" spans="1:26" ht="24.75" customHeight="1">
      <c r="A274" s="1"/>
      <c r="B274" s="1"/>
      <c r="C274" s="1"/>
      <c r="D274" s="1"/>
      <c r="E274" s="1"/>
      <c r="F274" s="1"/>
      <c r="G274" s="1"/>
      <c r="H274" s="1"/>
      <c r="I274" s="1"/>
      <c r="J274" s="1"/>
      <c r="K274" s="1"/>
      <c r="L274" s="1"/>
      <c r="M274" s="1"/>
      <c r="N274" s="1"/>
      <c r="O274" s="1"/>
      <c r="P274" s="1"/>
      <c r="Q274" s="1"/>
      <c r="R274" s="1"/>
      <c r="S274" s="1"/>
      <c r="T274" s="1"/>
      <c r="U274" s="2"/>
      <c r="V274" s="1"/>
      <c r="W274" s="1"/>
      <c r="X274" s="1"/>
      <c r="Y274" s="1"/>
      <c r="Z274" s="1"/>
    </row>
    <row r="275" spans="1:26" ht="24.75" customHeight="1">
      <c r="A275" s="1"/>
      <c r="B275" s="1"/>
      <c r="C275" s="1"/>
      <c r="D275" s="1"/>
      <c r="E275" s="1"/>
      <c r="F275" s="1"/>
      <c r="G275" s="1"/>
      <c r="H275" s="1"/>
      <c r="I275" s="1"/>
      <c r="J275" s="1"/>
      <c r="K275" s="1"/>
      <c r="L275" s="1"/>
      <c r="M275" s="1"/>
      <c r="N275" s="1"/>
      <c r="O275" s="1"/>
      <c r="P275" s="1"/>
      <c r="Q275" s="1"/>
      <c r="R275" s="1"/>
      <c r="S275" s="1"/>
      <c r="T275" s="1"/>
      <c r="U275" s="2"/>
      <c r="V275" s="1"/>
      <c r="W275" s="1"/>
      <c r="X275" s="1"/>
      <c r="Y275" s="1"/>
      <c r="Z275" s="1"/>
    </row>
    <row r="276" spans="1:26" ht="24.75" customHeight="1">
      <c r="A276" s="1"/>
      <c r="B276" s="1"/>
      <c r="C276" s="1"/>
      <c r="D276" s="1"/>
      <c r="E276" s="1"/>
      <c r="F276" s="1"/>
      <c r="G276" s="1"/>
      <c r="H276" s="1"/>
      <c r="I276" s="1"/>
      <c r="J276" s="1"/>
      <c r="K276" s="1"/>
      <c r="L276" s="1"/>
      <c r="M276" s="1"/>
      <c r="N276" s="1"/>
      <c r="O276" s="1"/>
      <c r="P276" s="1"/>
      <c r="Q276" s="1"/>
      <c r="R276" s="1"/>
      <c r="S276" s="1"/>
      <c r="T276" s="1"/>
      <c r="U276" s="2"/>
      <c r="V276" s="1"/>
      <c r="W276" s="1"/>
      <c r="X276" s="1"/>
      <c r="Y276" s="1"/>
      <c r="Z276" s="1"/>
    </row>
    <row r="277" spans="1:26" ht="24.75" customHeight="1">
      <c r="A277" s="1"/>
      <c r="B277" s="1"/>
      <c r="C277" s="1"/>
      <c r="D277" s="1"/>
      <c r="E277" s="1"/>
      <c r="F277" s="1"/>
      <c r="G277" s="1"/>
      <c r="H277" s="1"/>
      <c r="I277" s="1"/>
      <c r="J277" s="1"/>
      <c r="K277" s="1"/>
      <c r="L277" s="1"/>
      <c r="M277" s="1"/>
      <c r="N277" s="1"/>
      <c r="O277" s="1"/>
      <c r="P277" s="1"/>
      <c r="Q277" s="1"/>
      <c r="R277" s="1"/>
      <c r="S277" s="1"/>
      <c r="T277" s="1"/>
      <c r="U277" s="2"/>
      <c r="V277" s="1"/>
      <c r="W277" s="1"/>
      <c r="X277" s="1"/>
      <c r="Y277" s="1"/>
      <c r="Z277" s="1"/>
    </row>
    <row r="278" spans="1:26" ht="24.75" customHeight="1">
      <c r="A278" s="1"/>
      <c r="B278" s="1"/>
      <c r="C278" s="1"/>
      <c r="D278" s="1"/>
      <c r="E278" s="1"/>
      <c r="F278" s="1"/>
      <c r="G278" s="1"/>
      <c r="H278" s="1"/>
      <c r="I278" s="1"/>
      <c r="J278" s="1"/>
      <c r="K278" s="1"/>
      <c r="L278" s="1"/>
      <c r="M278" s="1"/>
      <c r="N278" s="1"/>
      <c r="O278" s="1"/>
      <c r="P278" s="1"/>
      <c r="Q278" s="1"/>
      <c r="R278" s="1"/>
      <c r="S278" s="1"/>
      <c r="T278" s="1"/>
      <c r="U278" s="2"/>
      <c r="V278" s="1"/>
      <c r="W278" s="1"/>
      <c r="X278" s="1"/>
      <c r="Y278" s="1"/>
      <c r="Z278" s="1"/>
    </row>
    <row r="279" spans="1:26" ht="24.75" customHeight="1">
      <c r="A279" s="1"/>
      <c r="B279" s="1"/>
      <c r="C279" s="1"/>
      <c r="D279" s="1"/>
      <c r="E279" s="1"/>
      <c r="F279" s="1"/>
      <c r="G279" s="1"/>
      <c r="H279" s="1"/>
      <c r="I279" s="1"/>
      <c r="J279" s="1"/>
      <c r="K279" s="1"/>
      <c r="L279" s="1"/>
      <c r="M279" s="1"/>
      <c r="N279" s="1"/>
      <c r="O279" s="1"/>
      <c r="P279" s="1"/>
      <c r="Q279" s="1"/>
      <c r="R279" s="1"/>
      <c r="S279" s="1"/>
      <c r="T279" s="1"/>
      <c r="U279" s="2"/>
      <c r="V279" s="1"/>
      <c r="W279" s="1"/>
      <c r="X279" s="1"/>
      <c r="Y279" s="1"/>
      <c r="Z279" s="1"/>
    </row>
    <row r="280" spans="1:26" ht="24.75" customHeight="1">
      <c r="A280" s="1"/>
      <c r="B280" s="1"/>
      <c r="C280" s="1"/>
      <c r="D280" s="1"/>
      <c r="E280" s="1"/>
      <c r="F280" s="1"/>
      <c r="G280" s="1"/>
      <c r="H280" s="1"/>
      <c r="I280" s="1"/>
      <c r="J280" s="1"/>
      <c r="K280" s="1"/>
      <c r="L280" s="1"/>
      <c r="M280" s="1"/>
      <c r="N280" s="1"/>
      <c r="O280" s="1"/>
      <c r="P280" s="1"/>
      <c r="Q280" s="1"/>
      <c r="R280" s="1"/>
      <c r="S280" s="1"/>
      <c r="T280" s="1"/>
      <c r="U280" s="2"/>
      <c r="V280" s="1"/>
      <c r="W280" s="1"/>
      <c r="X280" s="1"/>
      <c r="Y280" s="1"/>
      <c r="Z280" s="1"/>
    </row>
    <row r="281" spans="1:26" ht="24.75" customHeight="1">
      <c r="A281" s="1"/>
      <c r="B281" s="1"/>
      <c r="C281" s="1"/>
      <c r="D281" s="1"/>
      <c r="E281" s="1"/>
      <c r="F281" s="1"/>
      <c r="G281" s="1"/>
      <c r="H281" s="1"/>
      <c r="I281" s="1"/>
      <c r="J281" s="1"/>
      <c r="K281" s="1"/>
      <c r="L281" s="1"/>
      <c r="M281" s="1"/>
      <c r="N281" s="1"/>
      <c r="O281" s="1"/>
      <c r="P281" s="1"/>
      <c r="Q281" s="1"/>
      <c r="R281" s="1"/>
      <c r="S281" s="1"/>
      <c r="T281" s="1"/>
      <c r="U281" s="2"/>
      <c r="V281" s="1"/>
      <c r="W281" s="1"/>
      <c r="X281" s="1"/>
      <c r="Y281" s="1"/>
      <c r="Z281" s="1"/>
    </row>
    <row r="282" spans="1:26" ht="24.75" customHeight="1">
      <c r="A282" s="1"/>
      <c r="B282" s="1"/>
      <c r="C282" s="1"/>
      <c r="D282" s="1"/>
      <c r="E282" s="1"/>
      <c r="F282" s="1"/>
      <c r="G282" s="1"/>
      <c r="H282" s="1"/>
      <c r="I282" s="1"/>
      <c r="J282" s="1"/>
      <c r="K282" s="1"/>
      <c r="L282" s="1"/>
      <c r="M282" s="1"/>
      <c r="N282" s="1"/>
      <c r="O282" s="1"/>
      <c r="P282" s="1"/>
      <c r="Q282" s="1"/>
      <c r="R282" s="1"/>
      <c r="S282" s="1"/>
      <c r="T282" s="1"/>
      <c r="U282" s="2"/>
      <c r="V282" s="1"/>
      <c r="W282" s="1"/>
      <c r="X282" s="1"/>
      <c r="Y282" s="1"/>
      <c r="Z282" s="1"/>
    </row>
    <row r="283" spans="1:26" ht="24.75" customHeight="1">
      <c r="A283" s="1"/>
      <c r="B283" s="1"/>
      <c r="C283" s="1"/>
      <c r="D283" s="1"/>
      <c r="E283" s="1"/>
      <c r="F283" s="1"/>
      <c r="G283" s="1"/>
      <c r="H283" s="1"/>
      <c r="I283" s="1"/>
      <c r="J283" s="1"/>
      <c r="K283" s="1"/>
      <c r="L283" s="1"/>
      <c r="M283" s="1"/>
      <c r="N283" s="1"/>
      <c r="O283" s="1"/>
      <c r="P283" s="1"/>
      <c r="Q283" s="1"/>
      <c r="R283" s="1"/>
      <c r="S283" s="1"/>
      <c r="T283" s="1"/>
      <c r="U283" s="2"/>
      <c r="V283" s="1"/>
      <c r="W283" s="1"/>
      <c r="X283" s="1"/>
      <c r="Y283" s="1"/>
      <c r="Z283" s="1"/>
    </row>
    <row r="284" spans="1:26" ht="24.75" customHeight="1">
      <c r="A284" s="1"/>
      <c r="B284" s="1"/>
      <c r="C284" s="1"/>
      <c r="D284" s="1"/>
      <c r="E284" s="1"/>
      <c r="F284" s="1"/>
      <c r="G284" s="1"/>
      <c r="H284" s="1"/>
      <c r="I284" s="1"/>
      <c r="J284" s="1"/>
      <c r="K284" s="1"/>
      <c r="L284" s="1"/>
      <c r="M284" s="1"/>
      <c r="N284" s="1"/>
      <c r="O284" s="1"/>
      <c r="P284" s="1"/>
      <c r="Q284" s="1"/>
      <c r="R284" s="1"/>
      <c r="S284" s="1"/>
      <c r="T284" s="1"/>
      <c r="U284" s="2"/>
      <c r="V284" s="1"/>
      <c r="W284" s="1"/>
      <c r="X284" s="1"/>
      <c r="Y284" s="1"/>
      <c r="Z284" s="1"/>
    </row>
    <row r="285" spans="1:26" ht="24.75" customHeight="1">
      <c r="A285" s="1"/>
      <c r="B285" s="1"/>
      <c r="C285" s="1"/>
      <c r="D285" s="1"/>
      <c r="E285" s="1"/>
      <c r="F285" s="1"/>
      <c r="G285" s="1"/>
      <c r="H285" s="1"/>
      <c r="I285" s="1"/>
      <c r="J285" s="1"/>
      <c r="K285" s="1"/>
      <c r="L285" s="1"/>
      <c r="M285" s="1"/>
      <c r="N285" s="1"/>
      <c r="O285" s="1"/>
      <c r="P285" s="1"/>
      <c r="Q285" s="1"/>
      <c r="R285" s="1"/>
      <c r="S285" s="1"/>
      <c r="T285" s="1"/>
      <c r="U285" s="2"/>
      <c r="V285" s="1"/>
      <c r="W285" s="1"/>
      <c r="X285" s="1"/>
      <c r="Y285" s="1"/>
      <c r="Z285" s="1"/>
    </row>
    <row r="286" spans="1:26" ht="24.75" customHeight="1">
      <c r="A286" s="1"/>
      <c r="B286" s="1"/>
      <c r="C286" s="1"/>
      <c r="D286" s="1"/>
      <c r="E286" s="1"/>
      <c r="F286" s="1"/>
      <c r="G286" s="1"/>
      <c r="H286" s="1"/>
      <c r="I286" s="1"/>
      <c r="J286" s="1"/>
      <c r="K286" s="1"/>
      <c r="L286" s="1"/>
      <c r="M286" s="1"/>
      <c r="N286" s="1"/>
      <c r="O286" s="1"/>
      <c r="P286" s="1"/>
      <c r="Q286" s="1"/>
      <c r="R286" s="1"/>
      <c r="S286" s="1"/>
      <c r="T286" s="1"/>
      <c r="U286" s="2"/>
      <c r="V286" s="1"/>
      <c r="W286" s="1"/>
      <c r="X286" s="1"/>
      <c r="Y286" s="1"/>
      <c r="Z286" s="1"/>
    </row>
    <row r="287" spans="1:26" ht="24.75" customHeight="1">
      <c r="A287" s="1"/>
      <c r="B287" s="1"/>
      <c r="C287" s="1"/>
      <c r="D287" s="1"/>
      <c r="E287" s="1"/>
      <c r="F287" s="1"/>
      <c r="G287" s="1"/>
      <c r="H287" s="1"/>
      <c r="I287" s="1"/>
      <c r="J287" s="1"/>
      <c r="K287" s="1"/>
      <c r="L287" s="1"/>
      <c r="M287" s="1"/>
      <c r="N287" s="1"/>
      <c r="O287" s="1"/>
      <c r="P287" s="1"/>
      <c r="Q287" s="1"/>
      <c r="R287" s="1"/>
      <c r="S287" s="1"/>
      <c r="T287" s="1"/>
      <c r="U287" s="2"/>
      <c r="V287" s="1"/>
      <c r="W287" s="1"/>
      <c r="X287" s="1"/>
      <c r="Y287" s="1"/>
      <c r="Z287" s="1"/>
    </row>
    <row r="288" spans="1:26" ht="24.75" customHeight="1">
      <c r="A288" s="1"/>
      <c r="B288" s="1"/>
      <c r="C288" s="1"/>
      <c r="D288" s="1"/>
      <c r="E288" s="1"/>
      <c r="F288" s="1"/>
      <c r="G288" s="1"/>
      <c r="H288" s="1"/>
      <c r="I288" s="1"/>
      <c r="J288" s="1"/>
      <c r="K288" s="1"/>
      <c r="L288" s="1"/>
      <c r="M288" s="1"/>
      <c r="N288" s="1"/>
      <c r="O288" s="1"/>
      <c r="P288" s="1"/>
      <c r="Q288" s="1"/>
      <c r="R288" s="1"/>
      <c r="S288" s="1"/>
      <c r="T288" s="1"/>
      <c r="U288" s="2"/>
      <c r="V288" s="1"/>
      <c r="W288" s="1"/>
      <c r="X288" s="1"/>
      <c r="Y288" s="1"/>
      <c r="Z288" s="1"/>
    </row>
    <row r="289" spans="1:26" ht="24.75" customHeight="1">
      <c r="A289" s="1"/>
      <c r="B289" s="1"/>
      <c r="C289" s="1"/>
      <c r="D289" s="1"/>
      <c r="E289" s="1"/>
      <c r="F289" s="1"/>
      <c r="G289" s="1"/>
      <c r="H289" s="1"/>
      <c r="I289" s="1"/>
      <c r="J289" s="1"/>
      <c r="K289" s="1"/>
      <c r="L289" s="1"/>
      <c r="M289" s="1"/>
      <c r="N289" s="1"/>
      <c r="O289" s="1"/>
      <c r="P289" s="1"/>
      <c r="Q289" s="1"/>
      <c r="R289" s="1"/>
      <c r="S289" s="1"/>
      <c r="T289" s="1"/>
      <c r="U289" s="2"/>
      <c r="V289" s="1"/>
      <c r="W289" s="1"/>
      <c r="X289" s="1"/>
      <c r="Y289" s="1"/>
      <c r="Z289" s="1"/>
    </row>
    <row r="290" spans="1:26" ht="24.75" customHeight="1">
      <c r="A290" s="1"/>
      <c r="B290" s="1"/>
      <c r="C290" s="1"/>
      <c r="D290" s="1"/>
      <c r="E290" s="1"/>
      <c r="F290" s="1"/>
      <c r="G290" s="1"/>
      <c r="H290" s="1"/>
      <c r="I290" s="1"/>
      <c r="J290" s="1"/>
      <c r="K290" s="1"/>
      <c r="L290" s="1"/>
      <c r="M290" s="1"/>
      <c r="N290" s="1"/>
      <c r="O290" s="1"/>
      <c r="P290" s="1"/>
      <c r="Q290" s="1"/>
      <c r="R290" s="1"/>
      <c r="S290" s="1"/>
      <c r="T290" s="1"/>
      <c r="U290" s="2"/>
      <c r="V290" s="1"/>
      <c r="W290" s="1"/>
      <c r="X290" s="1"/>
      <c r="Y290" s="1"/>
      <c r="Z290" s="1"/>
    </row>
    <row r="291" spans="1:26" ht="24.75" customHeight="1">
      <c r="A291" s="1"/>
      <c r="B291" s="1"/>
      <c r="C291" s="1"/>
      <c r="D291" s="1"/>
      <c r="E291" s="1"/>
      <c r="F291" s="1"/>
      <c r="G291" s="1"/>
      <c r="H291" s="1"/>
      <c r="I291" s="1"/>
      <c r="J291" s="1"/>
      <c r="K291" s="1"/>
      <c r="L291" s="1"/>
      <c r="M291" s="1"/>
      <c r="N291" s="1"/>
      <c r="O291" s="1"/>
      <c r="P291" s="1"/>
      <c r="Q291" s="1"/>
      <c r="R291" s="1"/>
      <c r="S291" s="1"/>
      <c r="T291" s="1"/>
      <c r="U291" s="2"/>
      <c r="V291" s="1"/>
      <c r="W291" s="1"/>
      <c r="X291" s="1"/>
      <c r="Y291" s="1"/>
      <c r="Z291" s="1"/>
    </row>
    <row r="292" spans="1:26" ht="24.75" customHeight="1">
      <c r="A292" s="1"/>
      <c r="B292" s="1"/>
      <c r="C292" s="1"/>
      <c r="D292" s="1"/>
      <c r="E292" s="1"/>
      <c r="F292" s="1"/>
      <c r="G292" s="1"/>
      <c r="H292" s="1"/>
      <c r="I292" s="1"/>
      <c r="J292" s="1"/>
      <c r="K292" s="1"/>
      <c r="L292" s="1"/>
      <c r="M292" s="1"/>
      <c r="N292" s="1"/>
      <c r="O292" s="1"/>
      <c r="P292" s="1"/>
      <c r="Q292" s="1"/>
      <c r="R292" s="1"/>
      <c r="S292" s="1"/>
      <c r="T292" s="1"/>
      <c r="U292" s="2"/>
      <c r="V292" s="1"/>
      <c r="W292" s="1"/>
      <c r="X292" s="1"/>
      <c r="Y292" s="1"/>
      <c r="Z292" s="1"/>
    </row>
    <row r="293" spans="1:26" ht="24.75" customHeight="1">
      <c r="A293" s="1"/>
      <c r="B293" s="1"/>
      <c r="C293" s="1"/>
      <c r="D293" s="1"/>
      <c r="E293" s="1"/>
      <c r="F293" s="1"/>
      <c r="G293" s="1"/>
      <c r="H293" s="1"/>
      <c r="I293" s="1"/>
      <c r="J293" s="1"/>
      <c r="K293" s="1"/>
      <c r="L293" s="1"/>
      <c r="M293" s="1"/>
      <c r="N293" s="1"/>
      <c r="O293" s="1"/>
      <c r="P293" s="1"/>
      <c r="Q293" s="1"/>
      <c r="R293" s="1"/>
      <c r="S293" s="1"/>
      <c r="T293" s="1"/>
      <c r="U293" s="2"/>
      <c r="V293" s="1"/>
      <c r="W293" s="1"/>
      <c r="X293" s="1"/>
      <c r="Y293" s="1"/>
      <c r="Z293" s="1"/>
    </row>
    <row r="294" spans="1:26" ht="24.75" customHeight="1">
      <c r="A294" s="1"/>
      <c r="B294" s="1"/>
      <c r="C294" s="1"/>
      <c r="D294" s="1"/>
      <c r="E294" s="1"/>
      <c r="F294" s="1"/>
      <c r="G294" s="1"/>
      <c r="H294" s="1"/>
      <c r="I294" s="1"/>
      <c r="J294" s="1"/>
      <c r="K294" s="1"/>
      <c r="L294" s="1"/>
      <c r="M294" s="1"/>
      <c r="N294" s="1"/>
      <c r="O294" s="1"/>
      <c r="P294" s="1"/>
      <c r="Q294" s="1"/>
      <c r="R294" s="1"/>
      <c r="S294" s="1"/>
      <c r="T294" s="1"/>
      <c r="U294" s="2"/>
      <c r="V294" s="1"/>
      <c r="W294" s="1"/>
      <c r="X294" s="1"/>
      <c r="Y294" s="1"/>
      <c r="Z294" s="1"/>
    </row>
    <row r="295" spans="1:26" ht="24.75" customHeight="1">
      <c r="A295" s="1"/>
      <c r="B295" s="1"/>
      <c r="C295" s="1"/>
      <c r="D295" s="1"/>
      <c r="E295" s="1"/>
      <c r="F295" s="1"/>
      <c r="G295" s="1"/>
      <c r="H295" s="1"/>
      <c r="I295" s="1"/>
      <c r="J295" s="1"/>
      <c r="K295" s="1"/>
      <c r="L295" s="1"/>
      <c r="M295" s="1"/>
      <c r="N295" s="1"/>
      <c r="O295" s="1"/>
      <c r="P295" s="1"/>
      <c r="Q295" s="1"/>
      <c r="R295" s="1"/>
      <c r="S295" s="1"/>
      <c r="T295" s="1"/>
      <c r="U295" s="2"/>
      <c r="V295" s="1"/>
      <c r="W295" s="1"/>
      <c r="X295" s="1"/>
      <c r="Y295" s="1"/>
      <c r="Z295" s="1"/>
    </row>
    <row r="296" spans="1:26" ht="24.75" customHeight="1">
      <c r="A296" s="1"/>
      <c r="B296" s="1"/>
      <c r="C296" s="1"/>
      <c r="D296" s="1"/>
      <c r="E296" s="1"/>
      <c r="F296" s="1"/>
      <c r="G296" s="1"/>
      <c r="H296" s="1"/>
      <c r="I296" s="1"/>
      <c r="J296" s="1"/>
      <c r="K296" s="1"/>
      <c r="L296" s="1"/>
      <c r="M296" s="1"/>
      <c r="N296" s="1"/>
      <c r="O296" s="1"/>
      <c r="P296" s="1"/>
      <c r="Q296" s="1"/>
      <c r="R296" s="1"/>
      <c r="S296" s="1"/>
      <c r="T296" s="1"/>
      <c r="U296" s="2"/>
      <c r="V296" s="1"/>
      <c r="W296" s="1"/>
      <c r="X296" s="1"/>
      <c r="Y296" s="1"/>
      <c r="Z296" s="1"/>
    </row>
    <row r="297" spans="1:26" ht="24.75" customHeight="1">
      <c r="A297" s="1"/>
      <c r="B297" s="1"/>
      <c r="C297" s="1"/>
      <c r="D297" s="1"/>
      <c r="E297" s="1"/>
      <c r="F297" s="1"/>
      <c r="G297" s="1"/>
      <c r="H297" s="1"/>
      <c r="I297" s="1"/>
      <c r="J297" s="1"/>
      <c r="K297" s="1"/>
      <c r="L297" s="1"/>
      <c r="M297" s="1"/>
      <c r="N297" s="1"/>
      <c r="O297" s="1"/>
      <c r="P297" s="1"/>
      <c r="Q297" s="1"/>
      <c r="R297" s="1"/>
      <c r="S297" s="1"/>
      <c r="T297" s="1"/>
      <c r="U297" s="2"/>
      <c r="V297" s="1"/>
      <c r="W297" s="1"/>
      <c r="X297" s="1"/>
      <c r="Y297" s="1"/>
      <c r="Z297" s="1"/>
    </row>
    <row r="298" spans="1:26" ht="24.75" customHeight="1">
      <c r="A298" s="1"/>
      <c r="B298" s="1"/>
      <c r="C298" s="1"/>
      <c r="D298" s="1"/>
      <c r="E298" s="1"/>
      <c r="F298" s="1"/>
      <c r="G298" s="1"/>
      <c r="H298" s="1"/>
      <c r="I298" s="1"/>
      <c r="J298" s="1"/>
      <c r="K298" s="1"/>
      <c r="L298" s="1"/>
      <c r="M298" s="1"/>
      <c r="N298" s="1"/>
      <c r="O298" s="1"/>
      <c r="P298" s="1"/>
      <c r="Q298" s="1"/>
      <c r="R298" s="1"/>
      <c r="S298" s="1"/>
      <c r="T298" s="1"/>
      <c r="U298" s="2"/>
      <c r="V298" s="1"/>
      <c r="W298" s="1"/>
      <c r="X298" s="1"/>
      <c r="Y298" s="1"/>
      <c r="Z298" s="1"/>
    </row>
    <row r="299" spans="1:26" ht="24.75" customHeight="1">
      <c r="A299" s="1"/>
      <c r="B299" s="1"/>
      <c r="C299" s="1"/>
      <c r="D299" s="1"/>
      <c r="E299" s="1"/>
      <c r="F299" s="1"/>
      <c r="G299" s="1"/>
      <c r="H299" s="1"/>
      <c r="I299" s="1"/>
      <c r="J299" s="1"/>
      <c r="K299" s="1"/>
      <c r="L299" s="1"/>
      <c r="M299" s="1"/>
      <c r="N299" s="1"/>
      <c r="O299" s="1"/>
      <c r="P299" s="1"/>
      <c r="Q299" s="1"/>
      <c r="R299" s="1"/>
      <c r="S299" s="1"/>
      <c r="T299" s="1"/>
      <c r="U299" s="2"/>
      <c r="V299" s="1"/>
      <c r="W299" s="1"/>
      <c r="X299" s="1"/>
      <c r="Y299" s="1"/>
      <c r="Z299" s="1"/>
    </row>
    <row r="300" spans="1:26" ht="24.75" customHeight="1">
      <c r="A300" s="1"/>
      <c r="B300" s="1"/>
      <c r="C300" s="1"/>
      <c r="D300" s="1"/>
      <c r="E300" s="1"/>
      <c r="F300" s="1"/>
      <c r="G300" s="1"/>
      <c r="H300" s="1"/>
      <c r="I300" s="1"/>
      <c r="J300" s="1"/>
      <c r="K300" s="1"/>
      <c r="L300" s="1"/>
      <c r="M300" s="1"/>
      <c r="N300" s="1"/>
      <c r="O300" s="1"/>
      <c r="P300" s="1"/>
      <c r="Q300" s="1"/>
      <c r="R300" s="1"/>
      <c r="S300" s="1"/>
      <c r="T300" s="1"/>
      <c r="U300" s="2"/>
      <c r="V300" s="1"/>
      <c r="W300" s="1"/>
      <c r="X300" s="1"/>
      <c r="Y300" s="1"/>
      <c r="Z300" s="1"/>
    </row>
    <row r="301" spans="1:26" ht="24.75" customHeight="1">
      <c r="A301" s="1"/>
      <c r="B301" s="1"/>
      <c r="C301" s="1"/>
      <c r="D301" s="1"/>
      <c r="E301" s="1"/>
      <c r="F301" s="1"/>
      <c r="G301" s="1"/>
      <c r="H301" s="1"/>
      <c r="I301" s="1"/>
      <c r="J301" s="1"/>
      <c r="K301" s="1"/>
      <c r="L301" s="1"/>
      <c r="M301" s="1"/>
      <c r="N301" s="1"/>
      <c r="O301" s="1"/>
      <c r="P301" s="1"/>
      <c r="Q301" s="1"/>
      <c r="R301" s="1"/>
      <c r="S301" s="1"/>
      <c r="T301" s="1"/>
      <c r="U301" s="2"/>
      <c r="V301" s="1"/>
      <c r="W301" s="1"/>
      <c r="X301" s="1"/>
      <c r="Y301" s="1"/>
      <c r="Z301" s="1"/>
    </row>
    <row r="302" spans="1:26" ht="24.75" customHeight="1">
      <c r="A302" s="1"/>
      <c r="B302" s="1"/>
      <c r="C302" s="1"/>
      <c r="D302" s="1"/>
      <c r="E302" s="1"/>
      <c r="F302" s="1"/>
      <c r="G302" s="1"/>
      <c r="H302" s="1"/>
      <c r="I302" s="1"/>
      <c r="J302" s="1"/>
      <c r="K302" s="1"/>
      <c r="L302" s="1"/>
      <c r="M302" s="1"/>
      <c r="N302" s="1"/>
      <c r="O302" s="1"/>
      <c r="P302" s="1"/>
      <c r="Q302" s="1"/>
      <c r="R302" s="1"/>
      <c r="S302" s="1"/>
      <c r="T302" s="1"/>
      <c r="U302" s="2"/>
      <c r="V302" s="1"/>
      <c r="W302" s="1"/>
      <c r="X302" s="1"/>
      <c r="Y302" s="1"/>
      <c r="Z302" s="1"/>
    </row>
    <row r="303" spans="1:26" ht="24.75" customHeight="1">
      <c r="A303" s="1"/>
      <c r="B303" s="1"/>
      <c r="C303" s="1"/>
      <c r="D303" s="1"/>
      <c r="E303" s="1"/>
      <c r="F303" s="1"/>
      <c r="G303" s="1"/>
      <c r="H303" s="1"/>
      <c r="I303" s="1"/>
      <c r="J303" s="1"/>
      <c r="K303" s="1"/>
      <c r="L303" s="1"/>
      <c r="M303" s="1"/>
      <c r="N303" s="1"/>
      <c r="O303" s="1"/>
      <c r="P303" s="1"/>
      <c r="Q303" s="1"/>
      <c r="R303" s="1"/>
      <c r="S303" s="1"/>
      <c r="T303" s="1"/>
      <c r="U303" s="2"/>
      <c r="V303" s="1"/>
      <c r="W303" s="1"/>
      <c r="X303" s="1"/>
      <c r="Y303" s="1"/>
      <c r="Z303" s="1"/>
    </row>
    <row r="304" spans="1:26" ht="24.75" customHeight="1">
      <c r="A304" s="1"/>
      <c r="B304" s="1"/>
      <c r="C304" s="1"/>
      <c r="D304" s="1"/>
      <c r="E304" s="1"/>
      <c r="F304" s="1"/>
      <c r="G304" s="1"/>
      <c r="H304" s="1"/>
      <c r="I304" s="1"/>
      <c r="J304" s="1"/>
      <c r="K304" s="1"/>
      <c r="L304" s="1"/>
      <c r="M304" s="1"/>
      <c r="N304" s="1"/>
      <c r="O304" s="1"/>
      <c r="P304" s="1"/>
      <c r="Q304" s="1"/>
      <c r="R304" s="1"/>
      <c r="S304" s="1"/>
      <c r="T304" s="1"/>
      <c r="U304" s="2"/>
      <c r="V304" s="1"/>
      <c r="W304" s="1"/>
      <c r="X304" s="1"/>
      <c r="Y304" s="1"/>
      <c r="Z304" s="1"/>
    </row>
    <row r="305" spans="1:26" ht="24.75" customHeight="1">
      <c r="A305" s="1"/>
      <c r="B305" s="1"/>
      <c r="C305" s="1"/>
      <c r="D305" s="1"/>
      <c r="E305" s="1"/>
      <c r="F305" s="1"/>
      <c r="G305" s="1"/>
      <c r="H305" s="1"/>
      <c r="I305" s="1"/>
      <c r="J305" s="1"/>
      <c r="K305" s="1"/>
      <c r="L305" s="1"/>
      <c r="M305" s="1"/>
      <c r="N305" s="1"/>
      <c r="O305" s="1"/>
      <c r="P305" s="1"/>
      <c r="Q305" s="1"/>
      <c r="R305" s="1"/>
      <c r="S305" s="1"/>
      <c r="T305" s="1"/>
      <c r="U305" s="2"/>
      <c r="V305" s="1"/>
      <c r="W305" s="1"/>
      <c r="X305" s="1"/>
      <c r="Y305" s="1"/>
      <c r="Z305" s="1"/>
    </row>
    <row r="306" spans="1:26" ht="24.75" customHeight="1">
      <c r="A306" s="1"/>
      <c r="B306" s="1"/>
      <c r="C306" s="1"/>
      <c r="D306" s="1"/>
      <c r="E306" s="1"/>
      <c r="F306" s="1"/>
      <c r="G306" s="1"/>
      <c r="H306" s="1"/>
      <c r="I306" s="1"/>
      <c r="J306" s="1"/>
      <c r="K306" s="1"/>
      <c r="L306" s="1"/>
      <c r="M306" s="1"/>
      <c r="N306" s="1"/>
      <c r="O306" s="1"/>
      <c r="P306" s="1"/>
      <c r="Q306" s="1"/>
      <c r="R306" s="1"/>
      <c r="S306" s="1"/>
      <c r="T306" s="1"/>
      <c r="U306" s="2"/>
      <c r="V306" s="1"/>
      <c r="W306" s="1"/>
      <c r="X306" s="1"/>
      <c r="Y306" s="1"/>
      <c r="Z306" s="1"/>
    </row>
    <row r="307" spans="1:26" ht="24.75" customHeight="1">
      <c r="A307" s="1"/>
      <c r="B307" s="1"/>
      <c r="C307" s="1"/>
      <c r="D307" s="1"/>
      <c r="E307" s="1"/>
      <c r="F307" s="1"/>
      <c r="G307" s="1"/>
      <c r="H307" s="1"/>
      <c r="I307" s="1"/>
      <c r="J307" s="1"/>
      <c r="K307" s="1"/>
      <c r="L307" s="1"/>
      <c r="M307" s="1"/>
      <c r="N307" s="1"/>
      <c r="O307" s="1"/>
      <c r="P307" s="1"/>
      <c r="Q307" s="1"/>
      <c r="R307" s="1"/>
      <c r="S307" s="1"/>
      <c r="T307" s="1"/>
      <c r="U307" s="2"/>
      <c r="V307" s="1"/>
      <c r="W307" s="1"/>
      <c r="X307" s="1"/>
      <c r="Y307" s="1"/>
      <c r="Z307" s="1"/>
    </row>
    <row r="308" spans="1:26" ht="24.75" customHeight="1">
      <c r="A308" s="1"/>
      <c r="B308" s="1"/>
      <c r="C308" s="1"/>
      <c r="D308" s="1"/>
      <c r="E308" s="1"/>
      <c r="F308" s="1"/>
      <c r="G308" s="1"/>
      <c r="H308" s="1"/>
      <c r="I308" s="1"/>
      <c r="J308" s="1"/>
      <c r="K308" s="1"/>
      <c r="L308" s="1"/>
      <c r="M308" s="1"/>
      <c r="N308" s="1"/>
      <c r="O308" s="1"/>
      <c r="P308" s="1"/>
      <c r="Q308" s="1"/>
      <c r="R308" s="1"/>
      <c r="S308" s="1"/>
      <c r="T308" s="1"/>
      <c r="U308" s="2"/>
      <c r="V308" s="1"/>
      <c r="W308" s="1"/>
      <c r="X308" s="1"/>
      <c r="Y308" s="1"/>
      <c r="Z308" s="1"/>
    </row>
    <row r="309" spans="1:26" ht="24.75" customHeight="1">
      <c r="A309" s="1"/>
      <c r="B309" s="1"/>
      <c r="C309" s="1"/>
      <c r="D309" s="1"/>
      <c r="E309" s="1"/>
      <c r="F309" s="1"/>
      <c r="G309" s="1"/>
      <c r="H309" s="1"/>
      <c r="I309" s="1"/>
      <c r="J309" s="1"/>
      <c r="K309" s="1"/>
      <c r="L309" s="1"/>
      <c r="M309" s="1"/>
      <c r="N309" s="1"/>
      <c r="O309" s="1"/>
      <c r="P309" s="1"/>
      <c r="Q309" s="1"/>
      <c r="R309" s="1"/>
      <c r="S309" s="1"/>
      <c r="T309" s="1"/>
      <c r="U309" s="2"/>
      <c r="V309" s="1"/>
      <c r="W309" s="1"/>
      <c r="X309" s="1"/>
      <c r="Y309" s="1"/>
      <c r="Z309" s="1"/>
    </row>
    <row r="310" spans="1:26" ht="24.75" customHeight="1">
      <c r="A310" s="1"/>
      <c r="B310" s="1"/>
      <c r="C310" s="1"/>
      <c r="D310" s="1"/>
      <c r="E310" s="1"/>
      <c r="F310" s="1"/>
      <c r="G310" s="1"/>
      <c r="H310" s="1"/>
      <c r="I310" s="1"/>
      <c r="J310" s="1"/>
      <c r="K310" s="1"/>
      <c r="L310" s="1"/>
      <c r="M310" s="1"/>
      <c r="N310" s="1"/>
      <c r="O310" s="1"/>
      <c r="P310" s="1"/>
      <c r="Q310" s="1"/>
      <c r="R310" s="1"/>
      <c r="S310" s="1"/>
      <c r="T310" s="1"/>
      <c r="U310" s="2"/>
      <c r="V310" s="1"/>
      <c r="W310" s="1"/>
      <c r="X310" s="1"/>
      <c r="Y310" s="1"/>
      <c r="Z310" s="1"/>
    </row>
    <row r="311" spans="1:26" ht="24.75" customHeight="1">
      <c r="A311" s="1"/>
      <c r="B311" s="1"/>
      <c r="C311" s="1"/>
      <c r="D311" s="1"/>
      <c r="E311" s="1"/>
      <c r="F311" s="1"/>
      <c r="G311" s="1"/>
      <c r="H311" s="1"/>
      <c r="I311" s="1"/>
      <c r="J311" s="1"/>
      <c r="K311" s="1"/>
      <c r="L311" s="1"/>
      <c r="M311" s="1"/>
      <c r="N311" s="1"/>
      <c r="O311" s="1"/>
      <c r="P311" s="1"/>
      <c r="Q311" s="1"/>
      <c r="R311" s="1"/>
      <c r="S311" s="1"/>
      <c r="T311" s="1"/>
      <c r="U311" s="2"/>
      <c r="V311" s="1"/>
      <c r="W311" s="1"/>
      <c r="X311" s="1"/>
      <c r="Y311" s="1"/>
      <c r="Z311" s="1"/>
    </row>
    <row r="312" spans="1:26" ht="24.75" customHeight="1">
      <c r="A312" s="1"/>
      <c r="B312" s="1"/>
      <c r="C312" s="1"/>
      <c r="D312" s="1"/>
      <c r="E312" s="1"/>
      <c r="F312" s="1"/>
      <c r="G312" s="1"/>
      <c r="H312" s="1"/>
      <c r="I312" s="1"/>
      <c r="J312" s="1"/>
      <c r="K312" s="1"/>
      <c r="L312" s="1"/>
      <c r="M312" s="1"/>
      <c r="N312" s="1"/>
      <c r="O312" s="1"/>
      <c r="P312" s="1"/>
      <c r="Q312" s="1"/>
      <c r="R312" s="1"/>
      <c r="S312" s="1"/>
      <c r="T312" s="1"/>
      <c r="U312" s="2"/>
      <c r="V312" s="1"/>
      <c r="W312" s="1"/>
      <c r="X312" s="1"/>
      <c r="Y312" s="1"/>
      <c r="Z312" s="1"/>
    </row>
    <row r="313" spans="1:26" ht="24.75" customHeight="1">
      <c r="A313" s="1"/>
      <c r="B313" s="1"/>
      <c r="C313" s="1"/>
      <c r="D313" s="1"/>
      <c r="E313" s="1"/>
      <c r="F313" s="1"/>
      <c r="G313" s="1"/>
      <c r="H313" s="1"/>
      <c r="I313" s="1"/>
      <c r="J313" s="1"/>
      <c r="K313" s="1"/>
      <c r="L313" s="1"/>
      <c r="M313" s="1"/>
      <c r="N313" s="1"/>
      <c r="O313" s="1"/>
      <c r="P313" s="1"/>
      <c r="Q313" s="1"/>
      <c r="R313" s="1"/>
      <c r="S313" s="1"/>
      <c r="T313" s="1"/>
      <c r="U313" s="2"/>
      <c r="V313" s="1"/>
      <c r="W313" s="1"/>
      <c r="X313" s="1"/>
      <c r="Y313" s="1"/>
      <c r="Z313" s="1"/>
    </row>
    <row r="314" spans="1:26" ht="24.75" customHeight="1">
      <c r="A314" s="1"/>
      <c r="B314" s="1"/>
      <c r="C314" s="1"/>
      <c r="D314" s="1"/>
      <c r="E314" s="1"/>
      <c r="F314" s="1"/>
      <c r="G314" s="1"/>
      <c r="H314" s="1"/>
      <c r="I314" s="1"/>
      <c r="J314" s="1"/>
      <c r="K314" s="1"/>
      <c r="L314" s="1"/>
      <c r="M314" s="1"/>
      <c r="N314" s="1"/>
      <c r="O314" s="1"/>
      <c r="P314" s="1"/>
      <c r="Q314" s="1"/>
      <c r="R314" s="1"/>
      <c r="S314" s="1"/>
      <c r="T314" s="1"/>
      <c r="U314" s="2"/>
      <c r="V314" s="1"/>
      <c r="W314" s="1"/>
      <c r="X314" s="1"/>
      <c r="Y314" s="1"/>
      <c r="Z314" s="1"/>
    </row>
    <row r="315" spans="1:26" ht="24.75" customHeight="1">
      <c r="A315" s="1"/>
      <c r="B315" s="1"/>
      <c r="C315" s="1"/>
      <c r="D315" s="1"/>
      <c r="E315" s="1"/>
      <c r="F315" s="1"/>
      <c r="G315" s="1"/>
      <c r="H315" s="1"/>
      <c r="I315" s="1"/>
      <c r="J315" s="1"/>
      <c r="K315" s="1"/>
      <c r="L315" s="1"/>
      <c r="M315" s="1"/>
      <c r="N315" s="1"/>
      <c r="O315" s="1"/>
      <c r="P315" s="1"/>
      <c r="Q315" s="1"/>
      <c r="R315" s="1"/>
      <c r="S315" s="1"/>
      <c r="T315" s="1"/>
      <c r="U315" s="2"/>
      <c r="V315" s="1"/>
      <c r="W315" s="1"/>
      <c r="X315" s="1"/>
      <c r="Y315" s="1"/>
      <c r="Z315" s="1"/>
    </row>
    <row r="316" spans="1:26" ht="24.75" customHeight="1">
      <c r="A316" s="1"/>
      <c r="B316" s="1"/>
      <c r="C316" s="1"/>
      <c r="D316" s="1"/>
      <c r="E316" s="1"/>
      <c r="F316" s="1"/>
      <c r="G316" s="1"/>
      <c r="H316" s="1"/>
      <c r="I316" s="1"/>
      <c r="J316" s="1"/>
      <c r="K316" s="1"/>
      <c r="L316" s="1"/>
      <c r="M316" s="1"/>
      <c r="N316" s="1"/>
      <c r="O316" s="1"/>
      <c r="P316" s="1"/>
      <c r="Q316" s="1"/>
      <c r="R316" s="1"/>
      <c r="S316" s="1"/>
      <c r="T316" s="1"/>
      <c r="U316" s="2"/>
      <c r="V316" s="1"/>
      <c r="W316" s="1"/>
      <c r="X316" s="1"/>
      <c r="Y316" s="1"/>
      <c r="Z316" s="1"/>
    </row>
    <row r="317" spans="1:26" ht="24.75" customHeight="1">
      <c r="A317" s="1"/>
      <c r="B317" s="1"/>
      <c r="C317" s="1"/>
      <c r="D317" s="1"/>
      <c r="E317" s="1"/>
      <c r="F317" s="1"/>
      <c r="G317" s="1"/>
      <c r="H317" s="1"/>
      <c r="I317" s="1"/>
      <c r="J317" s="1"/>
      <c r="K317" s="1"/>
      <c r="L317" s="1"/>
      <c r="M317" s="1"/>
      <c r="N317" s="1"/>
      <c r="O317" s="1"/>
      <c r="P317" s="1"/>
      <c r="Q317" s="1"/>
      <c r="R317" s="1"/>
      <c r="S317" s="1"/>
      <c r="T317" s="1"/>
      <c r="U317" s="2"/>
      <c r="V317" s="1"/>
      <c r="W317" s="1"/>
      <c r="X317" s="1"/>
      <c r="Y317" s="1"/>
      <c r="Z317" s="1"/>
    </row>
    <row r="318" spans="1:26" ht="24.75" customHeight="1">
      <c r="A318" s="1"/>
      <c r="B318" s="1"/>
      <c r="C318" s="1"/>
      <c r="D318" s="1"/>
      <c r="E318" s="1"/>
      <c r="F318" s="1"/>
      <c r="G318" s="1"/>
      <c r="H318" s="1"/>
      <c r="I318" s="1"/>
      <c r="J318" s="1"/>
      <c r="K318" s="1"/>
      <c r="L318" s="1"/>
      <c r="M318" s="1"/>
      <c r="N318" s="1"/>
      <c r="O318" s="1"/>
      <c r="P318" s="1"/>
      <c r="Q318" s="1"/>
      <c r="R318" s="1"/>
      <c r="S318" s="1"/>
      <c r="T318" s="1"/>
      <c r="U318" s="2"/>
      <c r="V318" s="1"/>
      <c r="W318" s="1"/>
      <c r="X318" s="1"/>
      <c r="Y318" s="1"/>
      <c r="Z318" s="1"/>
    </row>
    <row r="319" spans="1:26" ht="24.75" customHeight="1">
      <c r="A319" s="1"/>
      <c r="B319" s="1"/>
      <c r="C319" s="1"/>
      <c r="D319" s="1"/>
      <c r="E319" s="1"/>
      <c r="F319" s="1"/>
      <c r="G319" s="1"/>
      <c r="H319" s="1"/>
      <c r="I319" s="1"/>
      <c r="J319" s="1"/>
      <c r="K319" s="1"/>
      <c r="L319" s="1"/>
      <c r="M319" s="1"/>
      <c r="N319" s="1"/>
      <c r="O319" s="1"/>
      <c r="P319" s="1"/>
      <c r="Q319" s="1"/>
      <c r="R319" s="1"/>
      <c r="S319" s="1"/>
      <c r="T319" s="1"/>
      <c r="U319" s="2"/>
      <c r="V319" s="1"/>
      <c r="W319" s="1"/>
      <c r="X319" s="1"/>
      <c r="Y319" s="1"/>
      <c r="Z319" s="1"/>
    </row>
    <row r="320" spans="1:26" ht="24.75" customHeight="1">
      <c r="A320" s="1"/>
      <c r="B320" s="1"/>
      <c r="C320" s="1"/>
      <c r="D320" s="1"/>
      <c r="E320" s="1"/>
      <c r="F320" s="1"/>
      <c r="G320" s="1"/>
      <c r="H320" s="1"/>
      <c r="I320" s="1"/>
      <c r="J320" s="1"/>
      <c r="K320" s="1"/>
      <c r="L320" s="1"/>
      <c r="M320" s="1"/>
      <c r="N320" s="1"/>
      <c r="O320" s="1"/>
      <c r="P320" s="1"/>
      <c r="Q320" s="1"/>
      <c r="R320" s="1"/>
      <c r="S320" s="1"/>
      <c r="T320" s="1"/>
      <c r="U320" s="2"/>
      <c r="V320" s="1"/>
      <c r="W320" s="1"/>
      <c r="X320" s="1"/>
      <c r="Y320" s="1"/>
      <c r="Z320" s="1"/>
    </row>
    <row r="321" spans="1:26" ht="24.75" customHeight="1">
      <c r="A321" s="1"/>
      <c r="B321" s="1"/>
      <c r="C321" s="1"/>
      <c r="D321" s="1"/>
      <c r="E321" s="1"/>
      <c r="F321" s="1"/>
      <c r="G321" s="1"/>
      <c r="H321" s="1"/>
      <c r="I321" s="1"/>
      <c r="J321" s="1"/>
      <c r="K321" s="1"/>
      <c r="L321" s="1"/>
      <c r="M321" s="1"/>
      <c r="N321" s="1"/>
      <c r="O321" s="1"/>
      <c r="P321" s="1"/>
      <c r="Q321" s="1"/>
      <c r="R321" s="1"/>
      <c r="S321" s="1"/>
      <c r="T321" s="1"/>
      <c r="U321" s="2"/>
      <c r="V321" s="1"/>
      <c r="W321" s="1"/>
      <c r="X321" s="1"/>
      <c r="Y321" s="1"/>
      <c r="Z321" s="1"/>
    </row>
    <row r="322" spans="1:26" ht="24.75" customHeight="1">
      <c r="A322" s="1"/>
      <c r="B322" s="1"/>
      <c r="C322" s="1"/>
      <c r="D322" s="1"/>
      <c r="E322" s="1"/>
      <c r="F322" s="1"/>
      <c r="G322" s="1"/>
      <c r="H322" s="1"/>
      <c r="I322" s="1"/>
      <c r="J322" s="1"/>
      <c r="K322" s="1"/>
      <c r="L322" s="1"/>
      <c r="M322" s="1"/>
      <c r="N322" s="1"/>
      <c r="O322" s="1"/>
      <c r="P322" s="1"/>
      <c r="Q322" s="1"/>
      <c r="R322" s="1"/>
      <c r="S322" s="1"/>
      <c r="T322" s="1"/>
      <c r="U322" s="2"/>
      <c r="V322" s="1"/>
      <c r="W322" s="1"/>
      <c r="X322" s="1"/>
      <c r="Y322" s="1"/>
      <c r="Z322" s="1"/>
    </row>
    <row r="323" spans="1:26" ht="24.75" customHeight="1">
      <c r="A323" s="1"/>
      <c r="B323" s="1"/>
      <c r="C323" s="1"/>
      <c r="D323" s="1"/>
      <c r="E323" s="1"/>
      <c r="F323" s="1"/>
      <c r="G323" s="1"/>
      <c r="H323" s="1"/>
      <c r="I323" s="1"/>
      <c r="J323" s="1"/>
      <c r="K323" s="1"/>
      <c r="L323" s="1"/>
      <c r="M323" s="1"/>
      <c r="N323" s="1"/>
      <c r="O323" s="1"/>
      <c r="P323" s="1"/>
      <c r="Q323" s="1"/>
      <c r="R323" s="1"/>
      <c r="S323" s="1"/>
      <c r="T323" s="1"/>
      <c r="U323" s="2"/>
      <c r="V323" s="1"/>
      <c r="W323" s="1"/>
      <c r="X323" s="1"/>
      <c r="Y323" s="1"/>
      <c r="Z323" s="1"/>
    </row>
    <row r="324" spans="1:26" ht="24.75" customHeight="1">
      <c r="A324" s="1"/>
      <c r="B324" s="1"/>
      <c r="C324" s="1"/>
      <c r="D324" s="1"/>
      <c r="E324" s="1"/>
      <c r="F324" s="1"/>
      <c r="G324" s="1"/>
      <c r="H324" s="1"/>
      <c r="I324" s="1"/>
      <c r="J324" s="1"/>
      <c r="K324" s="1"/>
      <c r="L324" s="1"/>
      <c r="M324" s="1"/>
      <c r="N324" s="1"/>
      <c r="O324" s="1"/>
      <c r="P324" s="1"/>
      <c r="Q324" s="1"/>
      <c r="R324" s="1"/>
      <c r="S324" s="1"/>
      <c r="T324" s="1"/>
      <c r="U324" s="2"/>
      <c r="V324" s="1"/>
      <c r="W324" s="1"/>
      <c r="X324" s="1"/>
      <c r="Y324" s="1"/>
      <c r="Z324" s="1"/>
    </row>
    <row r="325" spans="1:26" ht="24.75" customHeight="1">
      <c r="A325" s="1"/>
      <c r="B325" s="1"/>
      <c r="C325" s="1"/>
      <c r="D325" s="1"/>
      <c r="E325" s="1"/>
      <c r="F325" s="1"/>
      <c r="G325" s="1"/>
      <c r="H325" s="1"/>
      <c r="I325" s="1"/>
      <c r="J325" s="1"/>
      <c r="K325" s="1"/>
      <c r="L325" s="1"/>
      <c r="M325" s="1"/>
      <c r="N325" s="1"/>
      <c r="O325" s="1"/>
      <c r="P325" s="1"/>
      <c r="Q325" s="1"/>
      <c r="R325" s="1"/>
      <c r="S325" s="1"/>
      <c r="T325" s="1"/>
      <c r="U325" s="2"/>
      <c r="V325" s="1"/>
      <c r="W325" s="1"/>
      <c r="X325" s="1"/>
      <c r="Y325" s="1"/>
      <c r="Z325" s="1"/>
    </row>
    <row r="326" spans="1:26" ht="24.75" customHeight="1">
      <c r="A326" s="1"/>
      <c r="B326" s="1"/>
      <c r="C326" s="1"/>
      <c r="D326" s="1"/>
      <c r="E326" s="1"/>
      <c r="F326" s="1"/>
      <c r="G326" s="1"/>
      <c r="H326" s="1"/>
      <c r="I326" s="1"/>
      <c r="J326" s="1"/>
      <c r="K326" s="1"/>
      <c r="L326" s="1"/>
      <c r="M326" s="1"/>
      <c r="N326" s="1"/>
      <c r="O326" s="1"/>
      <c r="P326" s="1"/>
      <c r="Q326" s="1"/>
      <c r="R326" s="1"/>
      <c r="S326" s="1"/>
      <c r="T326" s="1"/>
      <c r="U326" s="2"/>
      <c r="V326" s="1"/>
      <c r="W326" s="1"/>
      <c r="X326" s="1"/>
      <c r="Y326" s="1"/>
      <c r="Z326" s="1"/>
    </row>
    <row r="327" spans="1:26" ht="24.75" customHeight="1">
      <c r="A327" s="1"/>
      <c r="B327" s="1"/>
      <c r="C327" s="1"/>
      <c r="D327" s="1"/>
      <c r="E327" s="1"/>
      <c r="F327" s="1"/>
      <c r="G327" s="1"/>
      <c r="H327" s="1"/>
      <c r="I327" s="1"/>
      <c r="J327" s="1"/>
      <c r="K327" s="1"/>
      <c r="L327" s="1"/>
      <c r="M327" s="1"/>
      <c r="N327" s="1"/>
      <c r="O327" s="1"/>
      <c r="P327" s="1"/>
      <c r="Q327" s="1"/>
      <c r="R327" s="1"/>
      <c r="S327" s="1"/>
      <c r="T327" s="1"/>
      <c r="U327" s="2"/>
      <c r="V327" s="1"/>
      <c r="W327" s="1"/>
      <c r="X327" s="1"/>
      <c r="Y327" s="1"/>
      <c r="Z327" s="1"/>
    </row>
    <row r="328" spans="1:26" ht="24.75" customHeight="1">
      <c r="A328" s="1"/>
      <c r="B328" s="1"/>
      <c r="C328" s="1"/>
      <c r="D328" s="1"/>
      <c r="E328" s="1"/>
      <c r="F328" s="1"/>
      <c r="G328" s="1"/>
      <c r="H328" s="1"/>
      <c r="I328" s="1"/>
      <c r="J328" s="1"/>
      <c r="K328" s="1"/>
      <c r="L328" s="1"/>
      <c r="M328" s="1"/>
      <c r="N328" s="1"/>
      <c r="O328" s="1"/>
      <c r="P328" s="1"/>
      <c r="Q328" s="1"/>
      <c r="R328" s="1"/>
      <c r="S328" s="1"/>
      <c r="T328" s="1"/>
      <c r="U328" s="2"/>
      <c r="V328" s="1"/>
      <c r="W328" s="1"/>
      <c r="X328" s="1"/>
      <c r="Y328" s="1"/>
      <c r="Z328" s="1"/>
    </row>
    <row r="329" spans="1:26" ht="24.75" customHeight="1">
      <c r="A329" s="1"/>
      <c r="B329" s="1"/>
      <c r="C329" s="1"/>
      <c r="D329" s="1"/>
      <c r="E329" s="1"/>
      <c r="F329" s="1"/>
      <c r="G329" s="1"/>
      <c r="H329" s="1"/>
      <c r="I329" s="1"/>
      <c r="J329" s="1"/>
      <c r="K329" s="1"/>
      <c r="L329" s="1"/>
      <c r="M329" s="1"/>
      <c r="N329" s="1"/>
      <c r="O329" s="1"/>
      <c r="P329" s="1"/>
      <c r="Q329" s="1"/>
      <c r="R329" s="1"/>
      <c r="S329" s="1"/>
      <c r="T329" s="1"/>
      <c r="U329" s="2"/>
      <c r="V329" s="1"/>
      <c r="W329" s="1"/>
      <c r="X329" s="1"/>
      <c r="Y329" s="1"/>
      <c r="Z329" s="1"/>
    </row>
    <row r="330" spans="1:26" ht="24.75" customHeight="1">
      <c r="A330" s="1"/>
      <c r="B330" s="1"/>
      <c r="C330" s="1"/>
      <c r="D330" s="1"/>
      <c r="E330" s="1"/>
      <c r="F330" s="1"/>
      <c r="G330" s="1"/>
      <c r="H330" s="1"/>
      <c r="I330" s="1"/>
      <c r="J330" s="1"/>
      <c r="K330" s="1"/>
      <c r="L330" s="1"/>
      <c r="M330" s="1"/>
      <c r="N330" s="1"/>
      <c r="O330" s="1"/>
      <c r="P330" s="1"/>
      <c r="Q330" s="1"/>
      <c r="R330" s="1"/>
      <c r="S330" s="1"/>
      <c r="T330" s="1"/>
      <c r="U330" s="2"/>
      <c r="V330" s="1"/>
      <c r="W330" s="1"/>
      <c r="X330" s="1"/>
      <c r="Y330" s="1"/>
      <c r="Z330" s="1"/>
    </row>
    <row r="331" spans="1:26" ht="24.75" customHeight="1">
      <c r="A331" s="1"/>
      <c r="B331" s="1"/>
      <c r="C331" s="1"/>
      <c r="D331" s="1"/>
      <c r="E331" s="1"/>
      <c r="F331" s="1"/>
      <c r="G331" s="1"/>
      <c r="H331" s="1"/>
      <c r="I331" s="1"/>
      <c r="J331" s="1"/>
      <c r="K331" s="1"/>
      <c r="L331" s="1"/>
      <c r="M331" s="1"/>
      <c r="N331" s="1"/>
      <c r="O331" s="1"/>
      <c r="P331" s="1"/>
      <c r="Q331" s="1"/>
      <c r="R331" s="1"/>
      <c r="S331" s="1"/>
      <c r="T331" s="1"/>
      <c r="U331" s="2"/>
      <c r="V331" s="1"/>
      <c r="W331" s="1"/>
      <c r="X331" s="1"/>
      <c r="Y331" s="1"/>
      <c r="Z331" s="1"/>
    </row>
    <row r="332" spans="1:26" ht="24.75" customHeight="1">
      <c r="A332" s="1"/>
      <c r="B332" s="1"/>
      <c r="C332" s="1"/>
      <c r="D332" s="1"/>
      <c r="E332" s="1"/>
      <c r="F332" s="1"/>
      <c r="G332" s="1"/>
      <c r="H332" s="1"/>
      <c r="I332" s="1"/>
      <c r="J332" s="1"/>
      <c r="K332" s="1"/>
      <c r="L332" s="1"/>
      <c r="M332" s="1"/>
      <c r="N332" s="1"/>
      <c r="O332" s="1"/>
      <c r="P332" s="1"/>
      <c r="Q332" s="1"/>
      <c r="R332" s="1"/>
      <c r="S332" s="1"/>
      <c r="T332" s="1"/>
      <c r="U332" s="2"/>
      <c r="V332" s="1"/>
      <c r="W332" s="1"/>
      <c r="X332" s="1"/>
      <c r="Y332" s="1"/>
      <c r="Z332" s="1"/>
    </row>
    <row r="333" spans="1:26" ht="24.75" customHeight="1">
      <c r="A333" s="1"/>
      <c r="B333" s="1"/>
      <c r="C333" s="1"/>
      <c r="D333" s="1"/>
      <c r="E333" s="1"/>
      <c r="F333" s="1"/>
      <c r="G333" s="1"/>
      <c r="H333" s="1"/>
      <c r="I333" s="1"/>
      <c r="J333" s="1"/>
      <c r="K333" s="1"/>
      <c r="L333" s="1"/>
      <c r="M333" s="1"/>
      <c r="N333" s="1"/>
      <c r="O333" s="1"/>
      <c r="P333" s="1"/>
      <c r="Q333" s="1"/>
      <c r="R333" s="1"/>
      <c r="S333" s="1"/>
      <c r="T333" s="1"/>
      <c r="U333" s="2"/>
      <c r="V333" s="1"/>
      <c r="W333" s="1"/>
      <c r="X333" s="1"/>
      <c r="Y333" s="1"/>
      <c r="Z333" s="1"/>
    </row>
    <row r="334" spans="1:26" ht="24.75" customHeight="1">
      <c r="A334" s="1"/>
      <c r="B334" s="1"/>
      <c r="C334" s="1"/>
      <c r="D334" s="1"/>
      <c r="E334" s="1"/>
      <c r="F334" s="1"/>
      <c r="G334" s="1"/>
      <c r="H334" s="1"/>
      <c r="I334" s="1"/>
      <c r="J334" s="1"/>
      <c r="K334" s="1"/>
      <c r="L334" s="1"/>
      <c r="M334" s="1"/>
      <c r="N334" s="1"/>
      <c r="O334" s="1"/>
      <c r="P334" s="1"/>
      <c r="Q334" s="1"/>
      <c r="R334" s="1"/>
      <c r="S334" s="1"/>
      <c r="T334" s="1"/>
      <c r="U334" s="2"/>
      <c r="V334" s="1"/>
      <c r="W334" s="1"/>
      <c r="X334" s="1"/>
      <c r="Y334" s="1"/>
      <c r="Z334" s="1"/>
    </row>
    <row r="335" spans="1:26" ht="24.75" customHeight="1">
      <c r="A335" s="1"/>
      <c r="B335" s="1"/>
      <c r="C335" s="1"/>
      <c r="D335" s="1"/>
      <c r="E335" s="1"/>
      <c r="F335" s="1"/>
      <c r="G335" s="1"/>
      <c r="H335" s="1"/>
      <c r="I335" s="1"/>
      <c r="J335" s="1"/>
      <c r="K335" s="1"/>
      <c r="L335" s="1"/>
      <c r="M335" s="1"/>
      <c r="N335" s="1"/>
      <c r="O335" s="1"/>
      <c r="P335" s="1"/>
      <c r="Q335" s="1"/>
      <c r="R335" s="1"/>
      <c r="S335" s="1"/>
      <c r="T335" s="1"/>
      <c r="U335" s="2"/>
      <c r="V335" s="1"/>
      <c r="W335" s="1"/>
      <c r="X335" s="1"/>
      <c r="Y335" s="1"/>
      <c r="Z335" s="1"/>
    </row>
    <row r="336" spans="1:26" ht="24.75" customHeight="1">
      <c r="A336" s="1"/>
      <c r="B336" s="1"/>
      <c r="C336" s="1"/>
      <c r="D336" s="1"/>
      <c r="E336" s="1"/>
      <c r="F336" s="1"/>
      <c r="G336" s="1"/>
      <c r="H336" s="1"/>
      <c r="I336" s="1"/>
      <c r="J336" s="1"/>
      <c r="K336" s="1"/>
      <c r="L336" s="1"/>
      <c r="M336" s="1"/>
      <c r="N336" s="1"/>
      <c r="O336" s="1"/>
      <c r="P336" s="1"/>
      <c r="Q336" s="1"/>
      <c r="R336" s="1"/>
      <c r="S336" s="1"/>
      <c r="T336" s="1"/>
      <c r="U336" s="2"/>
      <c r="V336" s="1"/>
      <c r="W336" s="1"/>
      <c r="X336" s="1"/>
      <c r="Y336" s="1"/>
      <c r="Z336" s="1"/>
    </row>
    <row r="337" spans="1:26" ht="24.75" customHeight="1">
      <c r="A337" s="1"/>
      <c r="B337" s="1"/>
      <c r="C337" s="1"/>
      <c r="D337" s="1"/>
      <c r="E337" s="1"/>
      <c r="F337" s="1"/>
      <c r="G337" s="1"/>
      <c r="H337" s="1"/>
      <c r="I337" s="1"/>
      <c r="J337" s="1"/>
      <c r="K337" s="1"/>
      <c r="L337" s="1"/>
      <c r="M337" s="1"/>
      <c r="N337" s="1"/>
      <c r="O337" s="1"/>
      <c r="P337" s="1"/>
      <c r="Q337" s="1"/>
      <c r="R337" s="1"/>
      <c r="S337" s="1"/>
      <c r="T337" s="1"/>
      <c r="U337" s="2"/>
      <c r="V337" s="1"/>
      <c r="W337" s="1"/>
      <c r="X337" s="1"/>
      <c r="Y337" s="1"/>
      <c r="Z337" s="1"/>
    </row>
    <row r="338" spans="1:26" ht="24.75" customHeight="1">
      <c r="A338" s="1"/>
      <c r="B338" s="1"/>
      <c r="C338" s="1"/>
      <c r="D338" s="1"/>
      <c r="E338" s="1"/>
      <c r="F338" s="1"/>
      <c r="G338" s="1"/>
      <c r="H338" s="1"/>
      <c r="I338" s="1"/>
      <c r="J338" s="1"/>
      <c r="K338" s="1"/>
      <c r="L338" s="1"/>
      <c r="M338" s="1"/>
      <c r="N338" s="1"/>
      <c r="O338" s="1"/>
      <c r="P338" s="1"/>
      <c r="Q338" s="1"/>
      <c r="R338" s="1"/>
      <c r="S338" s="1"/>
      <c r="T338" s="1"/>
      <c r="U338" s="2"/>
      <c r="V338" s="1"/>
      <c r="W338" s="1"/>
      <c r="X338" s="1"/>
      <c r="Y338" s="1"/>
      <c r="Z338" s="1"/>
    </row>
    <row r="339" spans="1:26" ht="24.75" customHeight="1">
      <c r="A339" s="1"/>
      <c r="B339" s="1"/>
      <c r="C339" s="1"/>
      <c r="D339" s="1"/>
      <c r="E339" s="1"/>
      <c r="F339" s="1"/>
      <c r="G339" s="1"/>
      <c r="H339" s="1"/>
      <c r="I339" s="1"/>
      <c r="J339" s="1"/>
      <c r="K339" s="1"/>
      <c r="L339" s="1"/>
      <c r="M339" s="1"/>
      <c r="N339" s="1"/>
      <c r="O339" s="1"/>
      <c r="P339" s="1"/>
      <c r="Q339" s="1"/>
      <c r="R339" s="1"/>
      <c r="S339" s="1"/>
      <c r="T339" s="1"/>
      <c r="U339" s="2"/>
      <c r="V339" s="1"/>
      <c r="W339" s="1"/>
      <c r="X339" s="1"/>
      <c r="Y339" s="1"/>
      <c r="Z339" s="1"/>
    </row>
    <row r="340" spans="1:26" ht="24.75" customHeight="1">
      <c r="A340" s="1"/>
      <c r="B340" s="1"/>
      <c r="C340" s="1"/>
      <c r="D340" s="1"/>
      <c r="E340" s="1"/>
      <c r="F340" s="1"/>
      <c r="G340" s="1"/>
      <c r="H340" s="1"/>
      <c r="I340" s="1"/>
      <c r="J340" s="1"/>
      <c r="K340" s="1"/>
      <c r="L340" s="1"/>
      <c r="M340" s="1"/>
      <c r="N340" s="1"/>
      <c r="O340" s="1"/>
      <c r="P340" s="1"/>
      <c r="Q340" s="1"/>
      <c r="R340" s="1"/>
      <c r="S340" s="1"/>
      <c r="T340" s="1"/>
      <c r="U340" s="2"/>
      <c r="V340" s="1"/>
      <c r="W340" s="1"/>
      <c r="X340" s="1"/>
      <c r="Y340" s="1"/>
      <c r="Z340" s="1"/>
    </row>
    <row r="341" spans="1:26" ht="24.75" customHeight="1">
      <c r="A341" s="1"/>
      <c r="B341" s="1"/>
      <c r="C341" s="1"/>
      <c r="D341" s="1"/>
      <c r="E341" s="1"/>
      <c r="F341" s="1"/>
      <c r="G341" s="1"/>
      <c r="H341" s="1"/>
      <c r="I341" s="1"/>
      <c r="J341" s="1"/>
      <c r="K341" s="1"/>
      <c r="L341" s="1"/>
      <c r="M341" s="1"/>
      <c r="N341" s="1"/>
      <c r="O341" s="1"/>
      <c r="P341" s="1"/>
      <c r="Q341" s="1"/>
      <c r="R341" s="1"/>
      <c r="S341" s="1"/>
      <c r="T341" s="1"/>
      <c r="U341" s="2"/>
      <c r="V341" s="1"/>
      <c r="W341" s="1"/>
      <c r="X341" s="1"/>
      <c r="Y341" s="1"/>
      <c r="Z341" s="1"/>
    </row>
    <row r="342" spans="1:26" ht="24.75" customHeight="1">
      <c r="A342" s="1"/>
      <c r="B342" s="1"/>
      <c r="C342" s="1"/>
      <c r="D342" s="1"/>
      <c r="E342" s="1"/>
      <c r="F342" s="1"/>
      <c r="G342" s="1"/>
      <c r="H342" s="1"/>
      <c r="I342" s="1"/>
      <c r="J342" s="1"/>
      <c r="K342" s="1"/>
      <c r="L342" s="1"/>
      <c r="M342" s="1"/>
      <c r="N342" s="1"/>
      <c r="O342" s="1"/>
      <c r="P342" s="1"/>
      <c r="Q342" s="1"/>
      <c r="R342" s="1"/>
      <c r="S342" s="1"/>
      <c r="T342" s="1"/>
      <c r="U342" s="2"/>
      <c r="V342" s="1"/>
      <c r="W342" s="1"/>
      <c r="X342" s="1"/>
      <c r="Y342" s="1"/>
      <c r="Z342" s="1"/>
    </row>
    <row r="343" spans="1:26" ht="24.75" customHeight="1">
      <c r="A343" s="1"/>
      <c r="B343" s="1"/>
      <c r="C343" s="1"/>
      <c r="D343" s="1"/>
      <c r="E343" s="1"/>
      <c r="F343" s="1"/>
      <c r="G343" s="1"/>
      <c r="H343" s="1"/>
      <c r="I343" s="1"/>
      <c r="J343" s="1"/>
      <c r="K343" s="1"/>
      <c r="L343" s="1"/>
      <c r="M343" s="1"/>
      <c r="N343" s="1"/>
      <c r="O343" s="1"/>
      <c r="P343" s="1"/>
      <c r="Q343" s="1"/>
      <c r="R343" s="1"/>
      <c r="S343" s="1"/>
      <c r="T343" s="1"/>
      <c r="U343" s="2"/>
      <c r="V343" s="1"/>
      <c r="W343" s="1"/>
      <c r="X343" s="1"/>
      <c r="Y343" s="1"/>
      <c r="Z343" s="1"/>
    </row>
    <row r="344" spans="1:26" ht="24.75" customHeight="1">
      <c r="A344" s="1"/>
      <c r="B344" s="1"/>
      <c r="C344" s="1"/>
      <c r="D344" s="1"/>
      <c r="E344" s="1"/>
      <c r="F344" s="1"/>
      <c r="G344" s="1"/>
      <c r="H344" s="1"/>
      <c r="I344" s="1"/>
      <c r="J344" s="1"/>
      <c r="K344" s="1"/>
      <c r="L344" s="1"/>
      <c r="M344" s="1"/>
      <c r="N344" s="1"/>
      <c r="O344" s="1"/>
      <c r="P344" s="1"/>
      <c r="Q344" s="1"/>
      <c r="R344" s="1"/>
      <c r="S344" s="1"/>
      <c r="T344" s="1"/>
      <c r="U344" s="2"/>
      <c r="V344" s="1"/>
      <c r="W344" s="1"/>
      <c r="X344" s="1"/>
      <c r="Y344" s="1"/>
      <c r="Z344" s="1"/>
    </row>
    <row r="345" spans="1:26" ht="24.75" customHeight="1">
      <c r="A345" s="1"/>
      <c r="B345" s="1"/>
      <c r="C345" s="1"/>
      <c r="D345" s="1"/>
      <c r="E345" s="1"/>
      <c r="F345" s="1"/>
      <c r="G345" s="1"/>
      <c r="H345" s="1"/>
      <c r="I345" s="1"/>
      <c r="J345" s="1"/>
      <c r="K345" s="1"/>
      <c r="L345" s="1"/>
      <c r="M345" s="1"/>
      <c r="N345" s="1"/>
      <c r="O345" s="1"/>
      <c r="P345" s="1"/>
      <c r="Q345" s="1"/>
      <c r="R345" s="1"/>
      <c r="S345" s="1"/>
      <c r="T345" s="1"/>
      <c r="U345" s="2"/>
      <c r="V345" s="1"/>
      <c r="W345" s="1"/>
      <c r="X345" s="1"/>
      <c r="Y345" s="1"/>
      <c r="Z345" s="1"/>
    </row>
    <row r="346" spans="1:26" ht="24.75" customHeight="1">
      <c r="A346" s="1"/>
      <c r="B346" s="1"/>
      <c r="C346" s="1"/>
      <c r="D346" s="1"/>
      <c r="E346" s="1"/>
      <c r="F346" s="1"/>
      <c r="G346" s="1"/>
      <c r="H346" s="1"/>
      <c r="I346" s="1"/>
      <c r="J346" s="1"/>
      <c r="K346" s="1"/>
      <c r="L346" s="1"/>
      <c r="M346" s="1"/>
      <c r="N346" s="1"/>
      <c r="O346" s="1"/>
      <c r="P346" s="1"/>
      <c r="Q346" s="1"/>
      <c r="R346" s="1"/>
      <c r="S346" s="1"/>
      <c r="T346" s="1"/>
      <c r="U346" s="2"/>
      <c r="V346" s="1"/>
      <c r="W346" s="1"/>
      <c r="X346" s="1"/>
      <c r="Y346" s="1"/>
      <c r="Z346" s="1"/>
    </row>
    <row r="347" spans="1:26" ht="24.75" customHeight="1">
      <c r="A347" s="1"/>
      <c r="B347" s="1"/>
      <c r="C347" s="1"/>
      <c r="D347" s="1"/>
      <c r="E347" s="1"/>
      <c r="F347" s="1"/>
      <c r="G347" s="1"/>
      <c r="H347" s="1"/>
      <c r="I347" s="1"/>
      <c r="J347" s="1"/>
      <c r="K347" s="1"/>
      <c r="L347" s="1"/>
      <c r="M347" s="1"/>
      <c r="N347" s="1"/>
      <c r="O347" s="1"/>
      <c r="P347" s="1"/>
      <c r="Q347" s="1"/>
      <c r="R347" s="1"/>
      <c r="S347" s="1"/>
      <c r="T347" s="1"/>
      <c r="U347" s="2"/>
      <c r="V347" s="1"/>
      <c r="W347" s="1"/>
      <c r="X347" s="1"/>
      <c r="Y347" s="1"/>
      <c r="Z347" s="1"/>
    </row>
    <row r="348" spans="1:26" ht="24.75" customHeight="1">
      <c r="A348" s="1"/>
      <c r="B348" s="1"/>
      <c r="C348" s="1"/>
      <c r="D348" s="1"/>
      <c r="E348" s="1"/>
      <c r="F348" s="1"/>
      <c r="G348" s="1"/>
      <c r="H348" s="1"/>
      <c r="I348" s="1"/>
      <c r="J348" s="1"/>
      <c r="K348" s="1"/>
      <c r="L348" s="1"/>
      <c r="M348" s="1"/>
      <c r="N348" s="1"/>
      <c r="O348" s="1"/>
      <c r="P348" s="1"/>
      <c r="Q348" s="1"/>
      <c r="R348" s="1"/>
      <c r="S348" s="1"/>
      <c r="T348" s="1"/>
      <c r="U348" s="2"/>
      <c r="V348" s="1"/>
      <c r="W348" s="1"/>
      <c r="X348" s="1"/>
      <c r="Y348" s="1"/>
      <c r="Z348" s="1"/>
    </row>
    <row r="349" spans="1:26" ht="24.75" customHeight="1">
      <c r="A349" s="1"/>
      <c r="B349" s="1"/>
      <c r="C349" s="1"/>
      <c r="D349" s="1"/>
      <c r="E349" s="1"/>
      <c r="F349" s="1"/>
      <c r="G349" s="1"/>
      <c r="H349" s="1"/>
      <c r="I349" s="1"/>
      <c r="J349" s="1"/>
      <c r="K349" s="1"/>
      <c r="L349" s="1"/>
      <c r="M349" s="1"/>
      <c r="N349" s="1"/>
      <c r="O349" s="1"/>
      <c r="P349" s="1"/>
      <c r="Q349" s="1"/>
      <c r="R349" s="1"/>
      <c r="S349" s="1"/>
      <c r="T349" s="1"/>
      <c r="U349" s="2"/>
      <c r="V349" s="1"/>
      <c r="W349" s="1"/>
      <c r="X349" s="1"/>
      <c r="Y349" s="1"/>
      <c r="Z349" s="1"/>
    </row>
    <row r="350" spans="1:26" ht="24.75" customHeight="1">
      <c r="A350" s="1"/>
      <c r="B350" s="1"/>
      <c r="C350" s="1"/>
      <c r="D350" s="1"/>
      <c r="E350" s="1"/>
      <c r="F350" s="1"/>
      <c r="G350" s="1"/>
      <c r="H350" s="1"/>
      <c r="I350" s="1"/>
      <c r="J350" s="1"/>
      <c r="K350" s="1"/>
      <c r="L350" s="1"/>
      <c r="M350" s="1"/>
      <c r="N350" s="1"/>
      <c r="O350" s="1"/>
      <c r="P350" s="1"/>
      <c r="Q350" s="1"/>
      <c r="R350" s="1"/>
      <c r="S350" s="1"/>
      <c r="T350" s="1"/>
      <c r="U350" s="2"/>
      <c r="V350" s="1"/>
      <c r="W350" s="1"/>
      <c r="X350" s="1"/>
      <c r="Y350" s="1"/>
      <c r="Z350" s="1"/>
    </row>
    <row r="351" spans="1:26" ht="24.75" customHeight="1">
      <c r="A351" s="1"/>
      <c r="B351" s="1"/>
      <c r="C351" s="1"/>
      <c r="D351" s="1"/>
      <c r="E351" s="1"/>
      <c r="F351" s="1"/>
      <c r="G351" s="1"/>
      <c r="H351" s="1"/>
      <c r="I351" s="1"/>
      <c r="J351" s="1"/>
      <c r="K351" s="1"/>
      <c r="L351" s="1"/>
      <c r="M351" s="1"/>
      <c r="N351" s="1"/>
      <c r="O351" s="1"/>
      <c r="P351" s="1"/>
      <c r="Q351" s="1"/>
      <c r="R351" s="1"/>
      <c r="S351" s="1"/>
      <c r="T351" s="1"/>
      <c r="U351" s="2"/>
      <c r="V351" s="1"/>
      <c r="W351" s="1"/>
      <c r="X351" s="1"/>
      <c r="Y351" s="1"/>
      <c r="Z351" s="1"/>
    </row>
    <row r="352" spans="1:26" ht="24.75" customHeight="1">
      <c r="A352" s="1"/>
      <c r="B352" s="1"/>
      <c r="C352" s="1"/>
      <c r="D352" s="1"/>
      <c r="E352" s="1"/>
      <c r="F352" s="1"/>
      <c r="G352" s="1"/>
      <c r="H352" s="1"/>
      <c r="I352" s="1"/>
      <c r="J352" s="1"/>
      <c r="K352" s="1"/>
      <c r="L352" s="1"/>
      <c r="M352" s="1"/>
      <c r="N352" s="1"/>
      <c r="O352" s="1"/>
      <c r="P352" s="1"/>
      <c r="Q352" s="1"/>
      <c r="R352" s="1"/>
      <c r="S352" s="1"/>
      <c r="T352" s="1"/>
      <c r="U352" s="2"/>
      <c r="V352" s="1"/>
      <c r="W352" s="1"/>
      <c r="X352" s="1"/>
      <c r="Y352" s="1"/>
      <c r="Z352" s="1"/>
    </row>
    <row r="353" spans="1:26" ht="24.75" customHeight="1">
      <c r="A353" s="1"/>
      <c r="B353" s="1"/>
      <c r="C353" s="1"/>
      <c r="D353" s="1"/>
      <c r="E353" s="1"/>
      <c r="F353" s="1"/>
      <c r="G353" s="1"/>
      <c r="H353" s="1"/>
      <c r="I353" s="1"/>
      <c r="J353" s="1"/>
      <c r="K353" s="1"/>
      <c r="L353" s="1"/>
      <c r="M353" s="1"/>
      <c r="N353" s="1"/>
      <c r="O353" s="1"/>
      <c r="P353" s="1"/>
      <c r="Q353" s="1"/>
      <c r="R353" s="1"/>
      <c r="S353" s="1"/>
      <c r="T353" s="1"/>
      <c r="U353" s="2"/>
      <c r="V353" s="1"/>
      <c r="W353" s="1"/>
      <c r="X353" s="1"/>
      <c r="Y353" s="1"/>
      <c r="Z353" s="1"/>
    </row>
    <row r="354" spans="1:26" ht="24.75" customHeight="1">
      <c r="A354" s="1"/>
      <c r="B354" s="1"/>
      <c r="C354" s="1"/>
      <c r="D354" s="1"/>
      <c r="E354" s="1"/>
      <c r="F354" s="1"/>
      <c r="G354" s="1"/>
      <c r="H354" s="1"/>
      <c r="I354" s="1"/>
      <c r="J354" s="1"/>
      <c r="K354" s="1"/>
      <c r="L354" s="1"/>
      <c r="M354" s="1"/>
      <c r="N354" s="1"/>
      <c r="O354" s="1"/>
      <c r="P354" s="1"/>
      <c r="Q354" s="1"/>
      <c r="R354" s="1"/>
      <c r="S354" s="1"/>
      <c r="T354" s="1"/>
      <c r="U354" s="2"/>
      <c r="V354" s="1"/>
      <c r="W354" s="1"/>
      <c r="X354" s="1"/>
      <c r="Y354" s="1"/>
      <c r="Z354" s="1"/>
    </row>
    <row r="355" spans="1:26" ht="24.75" customHeight="1">
      <c r="A355" s="1"/>
      <c r="B355" s="1"/>
      <c r="C355" s="1"/>
      <c r="D355" s="1"/>
      <c r="E355" s="1"/>
      <c r="F355" s="1"/>
      <c r="G355" s="1"/>
      <c r="H355" s="1"/>
      <c r="I355" s="1"/>
      <c r="J355" s="1"/>
      <c r="K355" s="1"/>
      <c r="L355" s="1"/>
      <c r="M355" s="1"/>
      <c r="N355" s="1"/>
      <c r="O355" s="1"/>
      <c r="P355" s="1"/>
      <c r="Q355" s="1"/>
      <c r="R355" s="1"/>
      <c r="S355" s="1"/>
      <c r="T355" s="1"/>
      <c r="U355" s="2"/>
      <c r="V355" s="1"/>
      <c r="W355" s="1"/>
      <c r="X355" s="1"/>
      <c r="Y355" s="1"/>
      <c r="Z355" s="1"/>
    </row>
    <row r="356" spans="1:26" ht="24.75" customHeight="1">
      <c r="A356" s="1"/>
      <c r="B356" s="1"/>
      <c r="C356" s="1"/>
      <c r="D356" s="1"/>
      <c r="E356" s="1"/>
      <c r="F356" s="1"/>
      <c r="G356" s="1"/>
      <c r="H356" s="1"/>
      <c r="I356" s="1"/>
      <c r="J356" s="1"/>
      <c r="K356" s="1"/>
      <c r="L356" s="1"/>
      <c r="M356" s="1"/>
      <c r="N356" s="1"/>
      <c r="O356" s="1"/>
      <c r="P356" s="1"/>
      <c r="Q356" s="1"/>
      <c r="R356" s="1"/>
      <c r="S356" s="1"/>
      <c r="T356" s="1"/>
      <c r="U356" s="2"/>
      <c r="V356" s="1"/>
      <c r="W356" s="1"/>
      <c r="X356" s="1"/>
      <c r="Y356" s="1"/>
      <c r="Z356" s="1"/>
    </row>
    <row r="357" spans="1:26" ht="24.75" customHeight="1">
      <c r="A357" s="1"/>
      <c r="B357" s="1"/>
      <c r="C357" s="1"/>
      <c r="D357" s="1"/>
      <c r="E357" s="1"/>
      <c r="F357" s="1"/>
      <c r="G357" s="1"/>
      <c r="H357" s="1"/>
      <c r="I357" s="1"/>
      <c r="J357" s="1"/>
      <c r="K357" s="1"/>
      <c r="L357" s="1"/>
      <c r="M357" s="1"/>
      <c r="N357" s="1"/>
      <c r="O357" s="1"/>
      <c r="P357" s="1"/>
      <c r="Q357" s="1"/>
      <c r="R357" s="1"/>
      <c r="S357" s="1"/>
      <c r="T357" s="1"/>
      <c r="U357" s="2"/>
      <c r="V357" s="1"/>
      <c r="W357" s="1"/>
      <c r="X357" s="1"/>
      <c r="Y357" s="1"/>
      <c r="Z357" s="1"/>
    </row>
    <row r="358" spans="1:26" ht="24.75" customHeight="1">
      <c r="A358" s="1"/>
      <c r="B358" s="1"/>
      <c r="C358" s="1"/>
      <c r="D358" s="1"/>
      <c r="E358" s="1"/>
      <c r="F358" s="1"/>
      <c r="G358" s="1"/>
      <c r="H358" s="1"/>
      <c r="I358" s="1"/>
      <c r="J358" s="1"/>
      <c r="K358" s="1"/>
      <c r="L358" s="1"/>
      <c r="M358" s="1"/>
      <c r="N358" s="1"/>
      <c r="O358" s="1"/>
      <c r="P358" s="1"/>
      <c r="Q358" s="1"/>
      <c r="R358" s="1"/>
      <c r="S358" s="1"/>
      <c r="T358" s="1"/>
      <c r="U358" s="2"/>
      <c r="V358" s="1"/>
      <c r="W358" s="1"/>
      <c r="X358" s="1"/>
      <c r="Y358" s="1"/>
      <c r="Z358" s="1"/>
    </row>
    <row r="359" spans="1:26" ht="24.75" customHeight="1">
      <c r="A359" s="1"/>
      <c r="B359" s="1"/>
      <c r="C359" s="1"/>
      <c r="D359" s="1"/>
      <c r="E359" s="1"/>
      <c r="F359" s="1"/>
      <c r="G359" s="1"/>
      <c r="H359" s="1"/>
      <c r="I359" s="1"/>
      <c r="J359" s="1"/>
      <c r="K359" s="1"/>
      <c r="L359" s="1"/>
      <c r="M359" s="1"/>
      <c r="N359" s="1"/>
      <c r="O359" s="1"/>
      <c r="P359" s="1"/>
      <c r="Q359" s="1"/>
      <c r="R359" s="1"/>
      <c r="S359" s="1"/>
      <c r="T359" s="1"/>
      <c r="U359" s="2"/>
      <c r="V359" s="1"/>
      <c r="W359" s="1"/>
      <c r="X359" s="1"/>
      <c r="Y359" s="1"/>
      <c r="Z359" s="1"/>
    </row>
    <row r="360" spans="1:26" ht="24.75" customHeight="1">
      <c r="A360" s="1"/>
      <c r="B360" s="1"/>
      <c r="C360" s="1"/>
      <c r="D360" s="1"/>
      <c r="E360" s="1"/>
      <c r="F360" s="1"/>
      <c r="G360" s="1"/>
      <c r="H360" s="1"/>
      <c r="I360" s="1"/>
      <c r="J360" s="1"/>
      <c r="K360" s="1"/>
      <c r="L360" s="1"/>
      <c r="M360" s="1"/>
      <c r="N360" s="1"/>
      <c r="O360" s="1"/>
      <c r="P360" s="1"/>
      <c r="Q360" s="1"/>
      <c r="R360" s="1"/>
      <c r="S360" s="1"/>
      <c r="T360" s="1"/>
      <c r="U360" s="2"/>
      <c r="V360" s="1"/>
      <c r="W360" s="1"/>
      <c r="X360" s="1"/>
      <c r="Y360" s="1"/>
      <c r="Z360" s="1"/>
    </row>
    <row r="361" spans="1:26" ht="24.75" customHeight="1">
      <c r="A361" s="1"/>
      <c r="B361" s="1"/>
      <c r="C361" s="1"/>
      <c r="D361" s="1"/>
      <c r="E361" s="1"/>
      <c r="F361" s="1"/>
      <c r="G361" s="1"/>
      <c r="H361" s="1"/>
      <c r="I361" s="1"/>
      <c r="J361" s="1"/>
      <c r="K361" s="1"/>
      <c r="L361" s="1"/>
      <c r="M361" s="1"/>
      <c r="N361" s="1"/>
      <c r="O361" s="1"/>
      <c r="P361" s="1"/>
      <c r="Q361" s="1"/>
      <c r="R361" s="1"/>
      <c r="S361" s="1"/>
      <c r="T361" s="1"/>
      <c r="U361" s="2"/>
      <c r="V361" s="1"/>
      <c r="W361" s="1"/>
      <c r="X361" s="1"/>
      <c r="Y361" s="1"/>
      <c r="Z361" s="1"/>
    </row>
    <row r="362" spans="1:26" ht="24.75" customHeight="1">
      <c r="A362" s="1"/>
      <c r="B362" s="1"/>
      <c r="C362" s="1"/>
      <c r="D362" s="1"/>
      <c r="E362" s="1"/>
      <c r="F362" s="1"/>
      <c r="G362" s="1"/>
      <c r="H362" s="1"/>
      <c r="I362" s="1"/>
      <c r="J362" s="1"/>
      <c r="K362" s="1"/>
      <c r="L362" s="1"/>
      <c r="M362" s="1"/>
      <c r="N362" s="1"/>
      <c r="O362" s="1"/>
      <c r="P362" s="1"/>
      <c r="Q362" s="1"/>
      <c r="R362" s="1"/>
      <c r="S362" s="1"/>
      <c r="T362" s="1"/>
      <c r="U362" s="2"/>
      <c r="V362" s="1"/>
      <c r="W362" s="1"/>
      <c r="X362" s="1"/>
      <c r="Y362" s="1"/>
      <c r="Z362" s="1"/>
    </row>
    <row r="363" spans="1:26" ht="24.75" customHeight="1">
      <c r="A363" s="1"/>
      <c r="B363" s="1"/>
      <c r="C363" s="1"/>
      <c r="D363" s="1"/>
      <c r="E363" s="1"/>
      <c r="F363" s="1"/>
      <c r="G363" s="1"/>
      <c r="H363" s="1"/>
      <c r="I363" s="1"/>
      <c r="J363" s="1"/>
      <c r="K363" s="1"/>
      <c r="L363" s="1"/>
      <c r="M363" s="1"/>
      <c r="N363" s="1"/>
      <c r="O363" s="1"/>
      <c r="P363" s="1"/>
      <c r="Q363" s="1"/>
      <c r="R363" s="1"/>
      <c r="S363" s="1"/>
      <c r="T363" s="1"/>
      <c r="U363" s="2"/>
      <c r="V363" s="1"/>
      <c r="W363" s="1"/>
      <c r="X363" s="1"/>
      <c r="Y363" s="1"/>
      <c r="Z363" s="1"/>
    </row>
    <row r="364" spans="1:26" ht="24.75" customHeight="1">
      <c r="A364" s="1"/>
      <c r="B364" s="1"/>
      <c r="C364" s="1"/>
      <c r="D364" s="1"/>
      <c r="E364" s="1"/>
      <c r="F364" s="1"/>
      <c r="G364" s="1"/>
      <c r="H364" s="1"/>
      <c r="I364" s="1"/>
      <c r="J364" s="1"/>
      <c r="K364" s="1"/>
      <c r="L364" s="1"/>
      <c r="M364" s="1"/>
      <c r="N364" s="1"/>
      <c r="O364" s="1"/>
      <c r="P364" s="1"/>
      <c r="Q364" s="1"/>
      <c r="R364" s="1"/>
      <c r="S364" s="1"/>
      <c r="T364" s="1"/>
      <c r="U364" s="2"/>
      <c r="V364" s="1"/>
      <c r="W364" s="1"/>
      <c r="X364" s="1"/>
      <c r="Y364" s="1"/>
      <c r="Z364" s="1"/>
    </row>
    <row r="365" spans="1:26" ht="24.75" customHeight="1">
      <c r="A365" s="1"/>
      <c r="B365" s="1"/>
      <c r="C365" s="1"/>
      <c r="D365" s="1"/>
      <c r="E365" s="1"/>
      <c r="F365" s="1"/>
      <c r="G365" s="1"/>
      <c r="H365" s="1"/>
      <c r="I365" s="1"/>
      <c r="J365" s="1"/>
      <c r="K365" s="1"/>
      <c r="L365" s="1"/>
      <c r="M365" s="1"/>
      <c r="N365" s="1"/>
      <c r="O365" s="1"/>
      <c r="P365" s="1"/>
      <c r="Q365" s="1"/>
      <c r="R365" s="1"/>
      <c r="S365" s="1"/>
      <c r="T365" s="1"/>
      <c r="U365" s="2"/>
      <c r="V365" s="1"/>
      <c r="W365" s="1"/>
      <c r="X365" s="1"/>
      <c r="Y365" s="1"/>
      <c r="Z365" s="1"/>
    </row>
    <row r="366" spans="1:26" ht="24.75" customHeight="1">
      <c r="A366" s="1"/>
      <c r="B366" s="1"/>
      <c r="C366" s="1"/>
      <c r="D366" s="1"/>
      <c r="E366" s="1"/>
      <c r="F366" s="1"/>
      <c r="G366" s="1"/>
      <c r="H366" s="1"/>
      <c r="I366" s="1"/>
      <c r="J366" s="1"/>
      <c r="K366" s="1"/>
      <c r="L366" s="1"/>
      <c r="M366" s="1"/>
      <c r="N366" s="1"/>
      <c r="O366" s="1"/>
      <c r="P366" s="1"/>
      <c r="Q366" s="1"/>
      <c r="R366" s="1"/>
      <c r="S366" s="1"/>
      <c r="T366" s="1"/>
      <c r="U366" s="2"/>
      <c r="V366" s="1"/>
      <c r="W366" s="1"/>
      <c r="X366" s="1"/>
      <c r="Y366" s="1"/>
      <c r="Z366" s="1"/>
    </row>
    <row r="367" spans="1:26" ht="24.75" customHeight="1">
      <c r="A367" s="1"/>
      <c r="B367" s="1"/>
      <c r="C367" s="1"/>
      <c r="D367" s="1"/>
      <c r="E367" s="1"/>
      <c r="F367" s="1"/>
      <c r="G367" s="1"/>
      <c r="H367" s="1"/>
      <c r="I367" s="1"/>
      <c r="J367" s="1"/>
      <c r="K367" s="1"/>
      <c r="L367" s="1"/>
      <c r="M367" s="1"/>
      <c r="N367" s="1"/>
      <c r="O367" s="1"/>
      <c r="P367" s="1"/>
      <c r="Q367" s="1"/>
      <c r="R367" s="1"/>
      <c r="S367" s="1"/>
      <c r="T367" s="1"/>
      <c r="U367" s="2"/>
      <c r="V367" s="1"/>
      <c r="W367" s="1"/>
      <c r="X367" s="1"/>
      <c r="Y367" s="1"/>
      <c r="Z367" s="1"/>
    </row>
    <row r="368" spans="1:26" ht="24.75" customHeight="1">
      <c r="A368" s="1"/>
      <c r="B368" s="1"/>
      <c r="C368" s="1"/>
      <c r="D368" s="1"/>
      <c r="E368" s="1"/>
      <c r="F368" s="1"/>
      <c r="G368" s="1"/>
      <c r="H368" s="1"/>
      <c r="I368" s="1"/>
      <c r="J368" s="1"/>
      <c r="K368" s="1"/>
      <c r="L368" s="1"/>
      <c r="M368" s="1"/>
      <c r="N368" s="1"/>
      <c r="O368" s="1"/>
      <c r="P368" s="1"/>
      <c r="Q368" s="1"/>
      <c r="R368" s="1"/>
      <c r="S368" s="1"/>
      <c r="T368" s="1"/>
      <c r="U368" s="2"/>
      <c r="V368" s="1"/>
      <c r="W368" s="1"/>
      <c r="X368" s="1"/>
      <c r="Y368" s="1"/>
      <c r="Z368" s="1"/>
    </row>
    <row r="369" spans="1:26" ht="24.75" customHeight="1">
      <c r="A369" s="1"/>
      <c r="B369" s="1"/>
      <c r="C369" s="1"/>
      <c r="D369" s="1"/>
      <c r="E369" s="1"/>
      <c r="F369" s="1"/>
      <c r="G369" s="1"/>
      <c r="H369" s="1"/>
      <c r="I369" s="1"/>
      <c r="J369" s="1"/>
      <c r="K369" s="1"/>
      <c r="L369" s="1"/>
      <c r="M369" s="1"/>
      <c r="N369" s="1"/>
      <c r="O369" s="1"/>
      <c r="P369" s="1"/>
      <c r="Q369" s="1"/>
      <c r="R369" s="1"/>
      <c r="S369" s="1"/>
      <c r="T369" s="1"/>
      <c r="U369" s="2"/>
      <c r="V369" s="1"/>
      <c r="W369" s="1"/>
      <c r="X369" s="1"/>
      <c r="Y369" s="1"/>
      <c r="Z369" s="1"/>
    </row>
    <row r="370" spans="1:26" ht="24.75" customHeight="1">
      <c r="A370" s="1"/>
      <c r="B370" s="1"/>
      <c r="C370" s="1"/>
      <c r="D370" s="1"/>
      <c r="E370" s="1"/>
      <c r="F370" s="1"/>
      <c r="G370" s="1"/>
      <c r="H370" s="1"/>
      <c r="I370" s="1"/>
      <c r="J370" s="1"/>
      <c r="K370" s="1"/>
      <c r="L370" s="1"/>
      <c r="M370" s="1"/>
      <c r="N370" s="1"/>
      <c r="O370" s="1"/>
      <c r="P370" s="1"/>
      <c r="Q370" s="1"/>
      <c r="R370" s="1"/>
      <c r="S370" s="1"/>
      <c r="T370" s="1"/>
      <c r="U370" s="2"/>
      <c r="V370" s="1"/>
      <c r="W370" s="1"/>
      <c r="X370" s="1"/>
      <c r="Y370" s="1"/>
      <c r="Z370" s="1"/>
    </row>
    <row r="371" spans="1:26" ht="24.75" customHeight="1">
      <c r="A371" s="1"/>
      <c r="B371" s="1"/>
      <c r="C371" s="1"/>
      <c r="D371" s="1"/>
      <c r="E371" s="1"/>
      <c r="F371" s="1"/>
      <c r="G371" s="1"/>
      <c r="H371" s="1"/>
      <c r="I371" s="1"/>
      <c r="J371" s="1"/>
      <c r="K371" s="1"/>
      <c r="L371" s="1"/>
      <c r="M371" s="1"/>
      <c r="N371" s="1"/>
      <c r="O371" s="1"/>
      <c r="P371" s="1"/>
      <c r="Q371" s="1"/>
      <c r="R371" s="1"/>
      <c r="S371" s="1"/>
      <c r="T371" s="1"/>
      <c r="U371" s="2"/>
      <c r="V371" s="1"/>
      <c r="W371" s="1"/>
      <c r="X371" s="1"/>
      <c r="Y371" s="1"/>
      <c r="Z371" s="1"/>
    </row>
    <row r="372" spans="1:26" ht="24.75" customHeight="1">
      <c r="A372" s="1"/>
      <c r="B372" s="1"/>
      <c r="C372" s="1"/>
      <c r="D372" s="1"/>
      <c r="E372" s="1"/>
      <c r="F372" s="1"/>
      <c r="G372" s="1"/>
      <c r="H372" s="1"/>
      <c r="I372" s="1"/>
      <c r="J372" s="1"/>
      <c r="K372" s="1"/>
      <c r="L372" s="1"/>
      <c r="M372" s="1"/>
      <c r="N372" s="1"/>
      <c r="O372" s="1"/>
      <c r="P372" s="1"/>
      <c r="Q372" s="1"/>
      <c r="R372" s="1"/>
      <c r="S372" s="1"/>
      <c r="T372" s="1"/>
      <c r="U372" s="2"/>
      <c r="V372" s="1"/>
      <c r="W372" s="1"/>
      <c r="X372" s="1"/>
      <c r="Y372" s="1"/>
      <c r="Z372" s="1"/>
    </row>
    <row r="373" spans="1:26" ht="24.75" customHeight="1">
      <c r="A373" s="1"/>
      <c r="B373" s="1"/>
      <c r="C373" s="1"/>
      <c r="D373" s="1"/>
      <c r="E373" s="1"/>
      <c r="F373" s="1"/>
      <c r="G373" s="1"/>
      <c r="H373" s="1"/>
      <c r="I373" s="1"/>
      <c r="J373" s="1"/>
      <c r="K373" s="1"/>
      <c r="L373" s="1"/>
      <c r="M373" s="1"/>
      <c r="N373" s="1"/>
      <c r="O373" s="1"/>
      <c r="P373" s="1"/>
      <c r="Q373" s="1"/>
      <c r="R373" s="1"/>
      <c r="S373" s="1"/>
      <c r="T373" s="1"/>
      <c r="U373" s="2"/>
      <c r="V373" s="1"/>
      <c r="W373" s="1"/>
      <c r="X373" s="1"/>
      <c r="Y373" s="1"/>
      <c r="Z373" s="1"/>
    </row>
    <row r="374" spans="1:26" ht="24.75" customHeight="1">
      <c r="A374" s="1"/>
      <c r="B374" s="1"/>
      <c r="C374" s="1"/>
      <c r="D374" s="1"/>
      <c r="E374" s="1"/>
      <c r="F374" s="1"/>
      <c r="G374" s="1"/>
      <c r="H374" s="1"/>
      <c r="I374" s="1"/>
      <c r="J374" s="1"/>
      <c r="K374" s="1"/>
      <c r="L374" s="1"/>
      <c r="M374" s="1"/>
      <c r="N374" s="1"/>
      <c r="O374" s="1"/>
      <c r="P374" s="1"/>
      <c r="Q374" s="1"/>
      <c r="R374" s="1"/>
      <c r="S374" s="1"/>
      <c r="T374" s="1"/>
      <c r="U374" s="2"/>
      <c r="V374" s="1"/>
      <c r="W374" s="1"/>
      <c r="X374" s="1"/>
      <c r="Y374" s="1"/>
      <c r="Z374" s="1"/>
    </row>
    <row r="375" spans="1:26" ht="24.75" customHeight="1">
      <c r="A375" s="1"/>
      <c r="B375" s="1"/>
      <c r="C375" s="1"/>
      <c r="D375" s="1"/>
      <c r="E375" s="1"/>
      <c r="F375" s="1"/>
      <c r="G375" s="1"/>
      <c r="H375" s="1"/>
      <c r="I375" s="1"/>
      <c r="J375" s="1"/>
      <c r="K375" s="1"/>
      <c r="L375" s="1"/>
      <c r="M375" s="1"/>
      <c r="N375" s="1"/>
      <c r="O375" s="1"/>
      <c r="P375" s="1"/>
      <c r="Q375" s="1"/>
      <c r="R375" s="1"/>
      <c r="S375" s="1"/>
      <c r="T375" s="1"/>
      <c r="U375" s="2"/>
      <c r="V375" s="1"/>
      <c r="W375" s="1"/>
      <c r="X375" s="1"/>
      <c r="Y375" s="1"/>
      <c r="Z375" s="1"/>
    </row>
    <row r="376" spans="1:26" ht="24.75" customHeight="1">
      <c r="A376" s="1"/>
      <c r="B376" s="1"/>
      <c r="C376" s="1"/>
      <c r="D376" s="1"/>
      <c r="E376" s="1"/>
      <c r="F376" s="1"/>
      <c r="G376" s="1"/>
      <c r="H376" s="1"/>
      <c r="I376" s="1"/>
      <c r="J376" s="1"/>
      <c r="K376" s="1"/>
      <c r="L376" s="1"/>
      <c r="M376" s="1"/>
      <c r="N376" s="1"/>
      <c r="O376" s="1"/>
      <c r="P376" s="1"/>
      <c r="Q376" s="1"/>
      <c r="R376" s="1"/>
      <c r="S376" s="1"/>
      <c r="T376" s="1"/>
      <c r="U376" s="2"/>
      <c r="V376" s="1"/>
      <c r="W376" s="1"/>
      <c r="X376" s="1"/>
      <c r="Y376" s="1"/>
      <c r="Z376" s="1"/>
    </row>
    <row r="377" spans="1:26" ht="24.75" customHeight="1">
      <c r="A377" s="1"/>
      <c r="B377" s="1"/>
      <c r="C377" s="1"/>
      <c r="D377" s="1"/>
      <c r="E377" s="1"/>
      <c r="F377" s="1"/>
      <c r="G377" s="1"/>
      <c r="H377" s="1"/>
      <c r="I377" s="1"/>
      <c r="J377" s="1"/>
      <c r="K377" s="1"/>
      <c r="L377" s="1"/>
      <c r="M377" s="1"/>
      <c r="N377" s="1"/>
      <c r="O377" s="1"/>
      <c r="P377" s="1"/>
      <c r="Q377" s="1"/>
      <c r="R377" s="1"/>
      <c r="S377" s="1"/>
      <c r="T377" s="1"/>
      <c r="U377" s="2"/>
      <c r="V377" s="1"/>
      <c r="W377" s="1"/>
      <c r="X377" s="1"/>
      <c r="Y377" s="1"/>
      <c r="Z377" s="1"/>
    </row>
    <row r="378" spans="1:26" ht="24.75" customHeight="1">
      <c r="A378" s="1"/>
      <c r="B378" s="1"/>
      <c r="C378" s="1"/>
      <c r="D378" s="1"/>
      <c r="E378" s="1"/>
      <c r="F378" s="1"/>
      <c r="G378" s="1"/>
      <c r="H378" s="1"/>
      <c r="I378" s="1"/>
      <c r="J378" s="1"/>
      <c r="K378" s="1"/>
      <c r="L378" s="1"/>
      <c r="M378" s="1"/>
      <c r="N378" s="1"/>
      <c r="O378" s="1"/>
      <c r="P378" s="1"/>
      <c r="Q378" s="1"/>
      <c r="R378" s="1"/>
      <c r="S378" s="1"/>
      <c r="T378" s="1"/>
      <c r="U378" s="2"/>
      <c r="V378" s="1"/>
      <c r="W378" s="1"/>
      <c r="X378" s="1"/>
      <c r="Y378" s="1"/>
      <c r="Z378" s="1"/>
    </row>
    <row r="379" spans="1:26" ht="24.75" customHeight="1">
      <c r="A379" s="1"/>
      <c r="B379" s="1"/>
      <c r="C379" s="1"/>
      <c r="D379" s="1"/>
      <c r="E379" s="1"/>
      <c r="F379" s="1"/>
      <c r="G379" s="1"/>
      <c r="H379" s="1"/>
      <c r="I379" s="1"/>
      <c r="J379" s="1"/>
      <c r="K379" s="1"/>
      <c r="L379" s="1"/>
      <c r="M379" s="1"/>
      <c r="N379" s="1"/>
      <c r="O379" s="1"/>
      <c r="P379" s="1"/>
      <c r="Q379" s="1"/>
      <c r="R379" s="1"/>
      <c r="S379" s="1"/>
      <c r="T379" s="1"/>
      <c r="U379" s="2"/>
      <c r="V379" s="1"/>
      <c r="W379" s="1"/>
      <c r="X379" s="1"/>
      <c r="Y379" s="1"/>
      <c r="Z379" s="1"/>
    </row>
    <row r="380" spans="1:26" ht="24.75" customHeight="1">
      <c r="A380" s="1"/>
      <c r="B380" s="1"/>
      <c r="C380" s="1"/>
      <c r="D380" s="1"/>
      <c r="E380" s="1"/>
      <c r="F380" s="1"/>
      <c r="G380" s="1"/>
      <c r="H380" s="1"/>
      <c r="I380" s="1"/>
      <c r="J380" s="1"/>
      <c r="K380" s="1"/>
      <c r="L380" s="1"/>
      <c r="M380" s="1"/>
      <c r="N380" s="1"/>
      <c r="O380" s="1"/>
      <c r="P380" s="1"/>
      <c r="Q380" s="1"/>
      <c r="R380" s="1"/>
      <c r="S380" s="1"/>
      <c r="T380" s="1"/>
      <c r="U380" s="2"/>
      <c r="V380" s="1"/>
      <c r="W380" s="1"/>
      <c r="X380" s="1"/>
      <c r="Y380" s="1"/>
      <c r="Z380" s="1"/>
    </row>
    <row r="381" spans="1:26" ht="24.75" customHeight="1">
      <c r="A381" s="1"/>
      <c r="B381" s="1"/>
      <c r="C381" s="1"/>
      <c r="D381" s="1"/>
      <c r="E381" s="1"/>
      <c r="F381" s="1"/>
      <c r="G381" s="1"/>
      <c r="H381" s="1"/>
      <c r="I381" s="1"/>
      <c r="J381" s="1"/>
      <c r="K381" s="1"/>
      <c r="L381" s="1"/>
      <c r="M381" s="1"/>
      <c r="N381" s="1"/>
      <c r="O381" s="1"/>
      <c r="P381" s="1"/>
      <c r="Q381" s="1"/>
      <c r="R381" s="1"/>
      <c r="S381" s="1"/>
      <c r="T381" s="1"/>
      <c r="U381" s="2"/>
      <c r="V381" s="1"/>
      <c r="W381" s="1"/>
      <c r="X381" s="1"/>
      <c r="Y381" s="1"/>
      <c r="Z381" s="1"/>
    </row>
    <row r="382" spans="1:26" ht="24.75" customHeight="1">
      <c r="A382" s="1"/>
      <c r="B382" s="1"/>
      <c r="C382" s="1"/>
      <c r="D382" s="1"/>
      <c r="E382" s="1"/>
      <c r="F382" s="1"/>
      <c r="G382" s="1"/>
      <c r="H382" s="1"/>
      <c r="I382" s="1"/>
      <c r="J382" s="1"/>
      <c r="K382" s="1"/>
      <c r="L382" s="1"/>
      <c r="M382" s="1"/>
      <c r="N382" s="1"/>
      <c r="O382" s="1"/>
      <c r="P382" s="1"/>
      <c r="Q382" s="1"/>
      <c r="R382" s="1"/>
      <c r="S382" s="1"/>
      <c r="T382" s="1"/>
      <c r="U382" s="2"/>
      <c r="V382" s="1"/>
      <c r="W382" s="1"/>
      <c r="X382" s="1"/>
      <c r="Y382" s="1"/>
      <c r="Z382" s="1"/>
    </row>
    <row r="383" spans="1:26" ht="24.75" customHeight="1">
      <c r="A383" s="1"/>
      <c r="B383" s="1"/>
      <c r="C383" s="1"/>
      <c r="D383" s="1"/>
      <c r="E383" s="1"/>
      <c r="F383" s="1"/>
      <c r="G383" s="1"/>
      <c r="H383" s="1"/>
      <c r="I383" s="1"/>
      <c r="J383" s="1"/>
      <c r="K383" s="1"/>
      <c r="L383" s="1"/>
      <c r="M383" s="1"/>
      <c r="N383" s="1"/>
      <c r="O383" s="1"/>
      <c r="P383" s="1"/>
      <c r="Q383" s="1"/>
      <c r="R383" s="1"/>
      <c r="S383" s="1"/>
      <c r="T383" s="1"/>
      <c r="U383" s="2"/>
      <c r="V383" s="1"/>
      <c r="W383" s="1"/>
      <c r="X383" s="1"/>
      <c r="Y383" s="1"/>
      <c r="Z383" s="1"/>
    </row>
    <row r="384" spans="1:26" ht="24.75" customHeight="1">
      <c r="A384" s="1"/>
      <c r="B384" s="1"/>
      <c r="C384" s="1"/>
      <c r="D384" s="1"/>
      <c r="E384" s="1"/>
      <c r="F384" s="1"/>
      <c r="G384" s="1"/>
      <c r="H384" s="1"/>
      <c r="I384" s="1"/>
      <c r="J384" s="1"/>
      <c r="K384" s="1"/>
      <c r="L384" s="1"/>
      <c r="M384" s="1"/>
      <c r="N384" s="1"/>
      <c r="O384" s="1"/>
      <c r="P384" s="1"/>
      <c r="Q384" s="1"/>
      <c r="R384" s="1"/>
      <c r="S384" s="1"/>
      <c r="T384" s="1"/>
      <c r="U384" s="2"/>
      <c r="V384" s="1"/>
      <c r="W384" s="1"/>
      <c r="X384" s="1"/>
      <c r="Y384" s="1"/>
      <c r="Z384" s="1"/>
    </row>
    <row r="385" spans="1:26" ht="24.75" customHeight="1">
      <c r="A385" s="1"/>
      <c r="B385" s="1"/>
      <c r="C385" s="1"/>
      <c r="D385" s="1"/>
      <c r="E385" s="1"/>
      <c r="F385" s="1"/>
      <c r="G385" s="1"/>
      <c r="H385" s="1"/>
      <c r="I385" s="1"/>
      <c r="J385" s="1"/>
      <c r="K385" s="1"/>
      <c r="L385" s="1"/>
      <c r="M385" s="1"/>
      <c r="N385" s="1"/>
      <c r="O385" s="1"/>
      <c r="P385" s="1"/>
      <c r="Q385" s="1"/>
      <c r="R385" s="1"/>
      <c r="S385" s="1"/>
      <c r="T385" s="1"/>
      <c r="U385" s="2"/>
      <c r="V385" s="1"/>
      <c r="W385" s="1"/>
      <c r="X385" s="1"/>
      <c r="Y385" s="1"/>
      <c r="Z385" s="1"/>
    </row>
    <row r="386" spans="1:26" ht="24.75" customHeight="1">
      <c r="A386" s="1"/>
      <c r="B386" s="1"/>
      <c r="C386" s="1"/>
      <c r="D386" s="1"/>
      <c r="E386" s="1"/>
      <c r="F386" s="1"/>
      <c r="G386" s="1"/>
      <c r="H386" s="1"/>
      <c r="I386" s="1"/>
      <c r="J386" s="1"/>
      <c r="K386" s="1"/>
      <c r="L386" s="1"/>
      <c r="M386" s="1"/>
      <c r="N386" s="1"/>
      <c r="O386" s="1"/>
      <c r="P386" s="1"/>
      <c r="Q386" s="1"/>
      <c r="R386" s="1"/>
      <c r="S386" s="1"/>
      <c r="T386" s="1"/>
      <c r="U386" s="2"/>
      <c r="V386" s="1"/>
      <c r="W386" s="1"/>
      <c r="X386" s="1"/>
      <c r="Y386" s="1"/>
      <c r="Z386" s="1"/>
    </row>
    <row r="387" spans="1:26" ht="24.75" customHeight="1">
      <c r="A387" s="1"/>
      <c r="B387" s="1"/>
      <c r="C387" s="1"/>
      <c r="D387" s="1"/>
      <c r="E387" s="1"/>
      <c r="F387" s="1"/>
      <c r="G387" s="1"/>
      <c r="H387" s="1"/>
      <c r="I387" s="1"/>
      <c r="J387" s="1"/>
      <c r="K387" s="1"/>
      <c r="L387" s="1"/>
      <c r="M387" s="1"/>
      <c r="N387" s="1"/>
      <c r="O387" s="1"/>
      <c r="P387" s="1"/>
      <c r="Q387" s="1"/>
      <c r="R387" s="1"/>
      <c r="S387" s="1"/>
      <c r="T387" s="1"/>
      <c r="U387" s="2"/>
      <c r="V387" s="1"/>
      <c r="W387" s="1"/>
      <c r="X387" s="1"/>
      <c r="Y387" s="1"/>
      <c r="Z387" s="1"/>
    </row>
    <row r="388" spans="1:26" ht="24.75" customHeight="1">
      <c r="A388" s="1"/>
      <c r="B388" s="1"/>
      <c r="C388" s="1"/>
      <c r="D388" s="1"/>
      <c r="E388" s="1"/>
      <c r="F388" s="1"/>
      <c r="G388" s="1"/>
      <c r="H388" s="1"/>
      <c r="I388" s="1"/>
      <c r="J388" s="1"/>
      <c r="K388" s="1"/>
      <c r="L388" s="1"/>
      <c r="M388" s="1"/>
      <c r="N388" s="1"/>
      <c r="O388" s="1"/>
      <c r="P388" s="1"/>
      <c r="Q388" s="1"/>
      <c r="R388" s="1"/>
      <c r="S388" s="1"/>
      <c r="T388" s="1"/>
      <c r="U388" s="2"/>
      <c r="V388" s="1"/>
      <c r="W388" s="1"/>
      <c r="X388" s="1"/>
      <c r="Y388" s="1"/>
      <c r="Z388" s="1"/>
    </row>
    <row r="389" spans="1:26" ht="24.75" customHeight="1">
      <c r="A389" s="1"/>
      <c r="B389" s="1"/>
      <c r="C389" s="1"/>
      <c r="D389" s="1"/>
      <c r="E389" s="1"/>
      <c r="F389" s="1"/>
      <c r="G389" s="1"/>
      <c r="H389" s="1"/>
      <c r="I389" s="1"/>
      <c r="J389" s="1"/>
      <c r="K389" s="1"/>
      <c r="L389" s="1"/>
      <c r="M389" s="1"/>
      <c r="N389" s="1"/>
      <c r="O389" s="1"/>
      <c r="P389" s="1"/>
      <c r="Q389" s="1"/>
      <c r="R389" s="1"/>
      <c r="S389" s="1"/>
      <c r="T389" s="1"/>
      <c r="U389" s="2"/>
      <c r="V389" s="1"/>
      <c r="W389" s="1"/>
      <c r="X389" s="1"/>
      <c r="Y389" s="1"/>
      <c r="Z389" s="1"/>
    </row>
    <row r="390" spans="1:26" ht="24.75" customHeight="1">
      <c r="A390" s="1"/>
      <c r="B390" s="1"/>
      <c r="C390" s="1"/>
      <c r="D390" s="1"/>
      <c r="E390" s="1"/>
      <c r="F390" s="1"/>
      <c r="G390" s="1"/>
      <c r="H390" s="1"/>
      <c r="I390" s="1"/>
      <c r="J390" s="1"/>
      <c r="K390" s="1"/>
      <c r="L390" s="1"/>
      <c r="M390" s="1"/>
      <c r="N390" s="1"/>
      <c r="O390" s="1"/>
      <c r="P390" s="1"/>
      <c r="Q390" s="1"/>
      <c r="R390" s="1"/>
      <c r="S390" s="1"/>
      <c r="T390" s="1"/>
      <c r="U390" s="2"/>
      <c r="V390" s="1"/>
      <c r="W390" s="1"/>
      <c r="X390" s="1"/>
      <c r="Y390" s="1"/>
      <c r="Z390" s="1"/>
    </row>
    <row r="391" spans="1:26" ht="24.75" customHeight="1">
      <c r="A391" s="1"/>
      <c r="B391" s="1"/>
      <c r="C391" s="1"/>
      <c r="D391" s="1"/>
      <c r="E391" s="1"/>
      <c r="F391" s="1"/>
      <c r="G391" s="1"/>
      <c r="H391" s="1"/>
      <c r="I391" s="1"/>
      <c r="J391" s="1"/>
      <c r="K391" s="1"/>
      <c r="L391" s="1"/>
      <c r="M391" s="1"/>
      <c r="N391" s="1"/>
      <c r="O391" s="1"/>
      <c r="P391" s="1"/>
      <c r="Q391" s="1"/>
      <c r="R391" s="1"/>
      <c r="S391" s="1"/>
      <c r="T391" s="1"/>
      <c r="U391" s="2"/>
      <c r="V391" s="1"/>
      <c r="W391" s="1"/>
      <c r="X391" s="1"/>
      <c r="Y391" s="1"/>
      <c r="Z391" s="1"/>
    </row>
    <row r="392" spans="1:26" ht="24.75" customHeight="1">
      <c r="A392" s="1"/>
      <c r="B392" s="1"/>
      <c r="C392" s="1"/>
      <c r="D392" s="1"/>
      <c r="E392" s="1"/>
      <c r="F392" s="1"/>
      <c r="G392" s="1"/>
      <c r="H392" s="1"/>
      <c r="I392" s="1"/>
      <c r="J392" s="1"/>
      <c r="K392" s="1"/>
      <c r="L392" s="1"/>
      <c r="M392" s="1"/>
      <c r="N392" s="1"/>
      <c r="O392" s="1"/>
      <c r="P392" s="1"/>
      <c r="Q392" s="1"/>
      <c r="R392" s="1"/>
      <c r="S392" s="1"/>
      <c r="T392" s="1"/>
      <c r="U392" s="2"/>
      <c r="V392" s="1"/>
      <c r="W392" s="1"/>
      <c r="X392" s="1"/>
      <c r="Y392" s="1"/>
      <c r="Z392" s="1"/>
    </row>
    <row r="393" spans="1:26" ht="24.75" customHeight="1">
      <c r="A393" s="1"/>
      <c r="B393" s="1"/>
      <c r="C393" s="1"/>
      <c r="D393" s="1"/>
      <c r="E393" s="1"/>
      <c r="F393" s="1"/>
      <c r="G393" s="1"/>
      <c r="H393" s="1"/>
      <c r="I393" s="1"/>
      <c r="J393" s="1"/>
      <c r="K393" s="1"/>
      <c r="L393" s="1"/>
      <c r="M393" s="1"/>
      <c r="N393" s="1"/>
      <c r="O393" s="1"/>
      <c r="P393" s="1"/>
      <c r="Q393" s="1"/>
      <c r="R393" s="1"/>
      <c r="S393" s="1"/>
      <c r="T393" s="1"/>
      <c r="U393" s="2"/>
      <c r="V393" s="1"/>
      <c r="W393" s="1"/>
      <c r="X393" s="1"/>
      <c r="Y393" s="1"/>
      <c r="Z393" s="1"/>
    </row>
    <row r="394" spans="1:26" ht="24.75" customHeight="1">
      <c r="A394" s="1"/>
      <c r="B394" s="1"/>
      <c r="C394" s="1"/>
      <c r="D394" s="1"/>
      <c r="E394" s="1"/>
      <c r="F394" s="1"/>
      <c r="G394" s="1"/>
      <c r="H394" s="1"/>
      <c r="I394" s="1"/>
      <c r="J394" s="1"/>
      <c r="K394" s="1"/>
      <c r="L394" s="1"/>
      <c r="M394" s="1"/>
      <c r="N394" s="1"/>
      <c r="O394" s="1"/>
      <c r="P394" s="1"/>
      <c r="Q394" s="1"/>
      <c r="R394" s="1"/>
      <c r="S394" s="1"/>
      <c r="T394" s="1"/>
      <c r="U394" s="2"/>
      <c r="V394" s="1"/>
      <c r="W394" s="1"/>
      <c r="X394" s="1"/>
      <c r="Y394" s="1"/>
      <c r="Z394" s="1"/>
    </row>
    <row r="395" spans="1:26" ht="24.75" customHeight="1">
      <c r="A395" s="1"/>
      <c r="B395" s="1"/>
      <c r="C395" s="1"/>
      <c r="D395" s="1"/>
      <c r="E395" s="1"/>
      <c r="F395" s="1"/>
      <c r="G395" s="1"/>
      <c r="H395" s="1"/>
      <c r="I395" s="1"/>
      <c r="J395" s="1"/>
      <c r="K395" s="1"/>
      <c r="L395" s="1"/>
      <c r="M395" s="1"/>
      <c r="N395" s="1"/>
      <c r="O395" s="1"/>
      <c r="P395" s="1"/>
      <c r="Q395" s="1"/>
      <c r="R395" s="1"/>
      <c r="S395" s="1"/>
      <c r="T395" s="1"/>
      <c r="U395" s="2"/>
      <c r="V395" s="1"/>
      <c r="W395" s="1"/>
      <c r="X395" s="1"/>
      <c r="Y395" s="1"/>
      <c r="Z395" s="1"/>
    </row>
    <row r="396" spans="1:26" ht="24.75" customHeight="1">
      <c r="A396" s="1"/>
      <c r="B396" s="1"/>
      <c r="C396" s="1"/>
      <c r="D396" s="1"/>
      <c r="E396" s="1"/>
      <c r="F396" s="1"/>
      <c r="G396" s="1"/>
      <c r="H396" s="1"/>
      <c r="I396" s="1"/>
      <c r="J396" s="1"/>
      <c r="K396" s="1"/>
      <c r="L396" s="1"/>
      <c r="M396" s="1"/>
      <c r="N396" s="1"/>
      <c r="O396" s="1"/>
      <c r="P396" s="1"/>
      <c r="Q396" s="1"/>
      <c r="R396" s="1"/>
      <c r="S396" s="1"/>
      <c r="T396" s="1"/>
      <c r="U396" s="2"/>
      <c r="V396" s="1"/>
      <c r="W396" s="1"/>
      <c r="X396" s="1"/>
      <c r="Y396" s="1"/>
      <c r="Z396" s="1"/>
    </row>
    <row r="397" spans="1:26" ht="24.75" customHeight="1">
      <c r="A397" s="1"/>
      <c r="B397" s="1"/>
      <c r="C397" s="1"/>
      <c r="D397" s="1"/>
      <c r="E397" s="1"/>
      <c r="F397" s="1"/>
      <c r="G397" s="1"/>
      <c r="H397" s="1"/>
      <c r="I397" s="1"/>
      <c r="J397" s="1"/>
      <c r="K397" s="1"/>
      <c r="L397" s="1"/>
      <c r="M397" s="1"/>
      <c r="N397" s="1"/>
      <c r="O397" s="1"/>
      <c r="P397" s="1"/>
      <c r="Q397" s="1"/>
      <c r="R397" s="1"/>
      <c r="S397" s="1"/>
      <c r="T397" s="1"/>
      <c r="U397" s="2"/>
      <c r="V397" s="1"/>
      <c r="W397" s="1"/>
      <c r="X397" s="1"/>
      <c r="Y397" s="1"/>
      <c r="Z397" s="1"/>
    </row>
    <row r="398" spans="1:26" ht="24.75" customHeight="1">
      <c r="A398" s="1"/>
      <c r="B398" s="1"/>
      <c r="C398" s="1"/>
      <c r="D398" s="1"/>
      <c r="E398" s="1"/>
      <c r="F398" s="1"/>
      <c r="G398" s="1"/>
      <c r="H398" s="1"/>
      <c r="I398" s="1"/>
      <c r="J398" s="1"/>
      <c r="K398" s="1"/>
      <c r="L398" s="1"/>
      <c r="M398" s="1"/>
      <c r="N398" s="1"/>
      <c r="O398" s="1"/>
      <c r="P398" s="1"/>
      <c r="Q398" s="1"/>
      <c r="R398" s="1"/>
      <c r="S398" s="1"/>
      <c r="T398" s="1"/>
      <c r="U398" s="2"/>
      <c r="V398" s="1"/>
      <c r="W398" s="1"/>
      <c r="X398" s="1"/>
      <c r="Y398" s="1"/>
      <c r="Z398" s="1"/>
    </row>
    <row r="399" spans="1:26" ht="24.75" customHeight="1">
      <c r="A399" s="1"/>
      <c r="B399" s="1"/>
      <c r="C399" s="1"/>
      <c r="D399" s="1"/>
      <c r="E399" s="1"/>
      <c r="F399" s="1"/>
      <c r="G399" s="1"/>
      <c r="H399" s="1"/>
      <c r="I399" s="1"/>
      <c r="J399" s="1"/>
      <c r="K399" s="1"/>
      <c r="L399" s="1"/>
      <c r="M399" s="1"/>
      <c r="N399" s="1"/>
      <c r="O399" s="1"/>
      <c r="P399" s="1"/>
      <c r="Q399" s="1"/>
      <c r="R399" s="1"/>
      <c r="S399" s="1"/>
      <c r="T399" s="1"/>
      <c r="U399" s="2"/>
      <c r="V399" s="1"/>
      <c r="W399" s="1"/>
      <c r="X399" s="1"/>
      <c r="Y399" s="1"/>
      <c r="Z399" s="1"/>
    </row>
    <row r="400" spans="1:26" ht="24.75" customHeight="1">
      <c r="A400" s="1"/>
      <c r="B400" s="1"/>
      <c r="C400" s="1"/>
      <c r="D400" s="1"/>
      <c r="E400" s="1"/>
      <c r="F400" s="1"/>
      <c r="G400" s="1"/>
      <c r="H400" s="1"/>
      <c r="I400" s="1"/>
      <c r="J400" s="1"/>
      <c r="K400" s="1"/>
      <c r="L400" s="1"/>
      <c r="M400" s="1"/>
      <c r="N400" s="1"/>
      <c r="O400" s="1"/>
      <c r="P400" s="1"/>
      <c r="Q400" s="1"/>
      <c r="R400" s="1"/>
      <c r="S400" s="1"/>
      <c r="T400" s="1"/>
      <c r="U400" s="2"/>
      <c r="V400" s="1"/>
      <c r="W400" s="1"/>
      <c r="X400" s="1"/>
      <c r="Y400" s="1"/>
      <c r="Z400" s="1"/>
    </row>
    <row r="401" spans="1:26" ht="24.75" customHeight="1">
      <c r="A401" s="1"/>
      <c r="B401" s="1"/>
      <c r="C401" s="1"/>
      <c r="D401" s="1"/>
      <c r="E401" s="1"/>
      <c r="F401" s="1"/>
      <c r="G401" s="1"/>
      <c r="H401" s="1"/>
      <c r="I401" s="1"/>
      <c r="J401" s="1"/>
      <c r="K401" s="1"/>
      <c r="L401" s="1"/>
      <c r="M401" s="1"/>
      <c r="N401" s="1"/>
      <c r="O401" s="1"/>
      <c r="P401" s="1"/>
      <c r="Q401" s="1"/>
      <c r="R401" s="1"/>
      <c r="S401" s="1"/>
      <c r="T401" s="1"/>
      <c r="U401" s="2"/>
      <c r="V401" s="1"/>
      <c r="W401" s="1"/>
      <c r="X401" s="1"/>
      <c r="Y401" s="1"/>
      <c r="Z401" s="1"/>
    </row>
    <row r="402" spans="1:26" ht="24.75" customHeight="1">
      <c r="A402" s="1"/>
      <c r="B402" s="1"/>
      <c r="C402" s="1"/>
      <c r="D402" s="1"/>
      <c r="E402" s="1"/>
      <c r="F402" s="1"/>
      <c r="G402" s="1"/>
      <c r="H402" s="1"/>
      <c r="I402" s="1"/>
      <c r="J402" s="1"/>
      <c r="K402" s="1"/>
      <c r="L402" s="1"/>
      <c r="M402" s="1"/>
      <c r="N402" s="1"/>
      <c r="O402" s="1"/>
      <c r="P402" s="1"/>
      <c r="Q402" s="1"/>
      <c r="R402" s="1"/>
      <c r="S402" s="1"/>
      <c r="T402" s="1"/>
      <c r="U402" s="2"/>
      <c r="V402" s="1"/>
      <c r="W402" s="1"/>
      <c r="X402" s="1"/>
      <c r="Y402" s="1"/>
      <c r="Z402" s="1"/>
    </row>
    <row r="403" spans="1:26" ht="24.75" customHeight="1">
      <c r="A403" s="1"/>
      <c r="B403" s="1"/>
      <c r="C403" s="1"/>
      <c r="D403" s="1"/>
      <c r="E403" s="1"/>
      <c r="F403" s="1"/>
      <c r="G403" s="1"/>
      <c r="H403" s="1"/>
      <c r="I403" s="1"/>
      <c r="J403" s="1"/>
      <c r="K403" s="1"/>
      <c r="L403" s="1"/>
      <c r="M403" s="1"/>
      <c r="N403" s="1"/>
      <c r="O403" s="1"/>
      <c r="P403" s="1"/>
      <c r="Q403" s="1"/>
      <c r="R403" s="1"/>
      <c r="S403" s="1"/>
      <c r="T403" s="1"/>
      <c r="U403" s="2"/>
      <c r="V403" s="1"/>
      <c r="W403" s="1"/>
      <c r="X403" s="1"/>
      <c r="Y403" s="1"/>
      <c r="Z403" s="1"/>
    </row>
    <row r="404" spans="1:26" ht="24.75" customHeight="1">
      <c r="A404" s="1"/>
      <c r="B404" s="1"/>
      <c r="C404" s="1"/>
      <c r="D404" s="1"/>
      <c r="E404" s="1"/>
      <c r="F404" s="1"/>
      <c r="G404" s="1"/>
      <c r="H404" s="1"/>
      <c r="I404" s="1"/>
      <c r="J404" s="1"/>
      <c r="K404" s="1"/>
      <c r="L404" s="1"/>
      <c r="M404" s="1"/>
      <c r="N404" s="1"/>
      <c r="O404" s="1"/>
      <c r="P404" s="1"/>
      <c r="Q404" s="1"/>
      <c r="R404" s="1"/>
      <c r="S404" s="1"/>
      <c r="T404" s="1"/>
      <c r="U404" s="2"/>
      <c r="V404" s="1"/>
      <c r="W404" s="1"/>
      <c r="X404" s="1"/>
      <c r="Y404" s="1"/>
      <c r="Z404" s="1"/>
    </row>
    <row r="405" spans="1:26" ht="24.75" customHeight="1">
      <c r="A405" s="1"/>
      <c r="B405" s="1"/>
      <c r="C405" s="1"/>
      <c r="D405" s="1"/>
      <c r="E405" s="1"/>
      <c r="F405" s="1"/>
      <c r="G405" s="1"/>
      <c r="H405" s="1"/>
      <c r="I405" s="1"/>
      <c r="J405" s="1"/>
      <c r="K405" s="1"/>
      <c r="L405" s="1"/>
      <c r="M405" s="1"/>
      <c r="N405" s="1"/>
      <c r="O405" s="1"/>
      <c r="P405" s="1"/>
      <c r="Q405" s="1"/>
      <c r="R405" s="1"/>
      <c r="S405" s="1"/>
      <c r="T405" s="1"/>
      <c r="U405" s="2"/>
      <c r="V405" s="1"/>
      <c r="W405" s="1"/>
      <c r="X405" s="1"/>
      <c r="Y405" s="1"/>
      <c r="Z405" s="1"/>
    </row>
    <row r="406" spans="1:26" ht="24.75" customHeight="1">
      <c r="A406" s="1"/>
      <c r="B406" s="1"/>
      <c r="C406" s="1"/>
      <c r="D406" s="1"/>
      <c r="E406" s="1"/>
      <c r="F406" s="1"/>
      <c r="G406" s="1"/>
      <c r="H406" s="1"/>
      <c r="I406" s="1"/>
      <c r="J406" s="1"/>
      <c r="K406" s="1"/>
      <c r="L406" s="1"/>
      <c r="M406" s="1"/>
      <c r="N406" s="1"/>
      <c r="O406" s="1"/>
      <c r="P406" s="1"/>
      <c r="Q406" s="1"/>
      <c r="R406" s="1"/>
      <c r="S406" s="1"/>
      <c r="T406" s="1"/>
      <c r="U406" s="2"/>
      <c r="V406" s="1"/>
      <c r="W406" s="1"/>
      <c r="X406" s="1"/>
      <c r="Y406" s="1"/>
      <c r="Z406" s="1"/>
    </row>
    <row r="407" spans="1:26" ht="24.75" customHeight="1">
      <c r="A407" s="1"/>
      <c r="B407" s="1"/>
      <c r="C407" s="1"/>
      <c r="D407" s="1"/>
      <c r="E407" s="1"/>
      <c r="F407" s="1"/>
      <c r="G407" s="1"/>
      <c r="H407" s="1"/>
      <c r="I407" s="1"/>
      <c r="J407" s="1"/>
      <c r="K407" s="1"/>
      <c r="L407" s="1"/>
      <c r="M407" s="1"/>
      <c r="N407" s="1"/>
      <c r="O407" s="1"/>
      <c r="P407" s="1"/>
      <c r="Q407" s="1"/>
      <c r="R407" s="1"/>
      <c r="S407" s="1"/>
      <c r="T407" s="1"/>
      <c r="U407" s="2"/>
      <c r="V407" s="1"/>
      <c r="W407" s="1"/>
      <c r="X407" s="1"/>
      <c r="Y407" s="1"/>
      <c r="Z407" s="1"/>
    </row>
    <row r="408" spans="1:26" ht="24.75" customHeight="1">
      <c r="A408" s="1"/>
      <c r="B408" s="1"/>
      <c r="C408" s="1"/>
      <c r="D408" s="1"/>
      <c r="E408" s="1"/>
      <c r="F408" s="1"/>
      <c r="G408" s="1"/>
      <c r="H408" s="1"/>
      <c r="I408" s="1"/>
      <c r="J408" s="1"/>
      <c r="K408" s="1"/>
      <c r="L408" s="1"/>
      <c r="M408" s="1"/>
      <c r="N408" s="1"/>
      <c r="O408" s="1"/>
      <c r="P408" s="1"/>
      <c r="Q408" s="1"/>
      <c r="R408" s="1"/>
      <c r="S408" s="1"/>
      <c r="T408" s="1"/>
      <c r="U408" s="2"/>
      <c r="V408" s="1"/>
      <c r="W408" s="1"/>
      <c r="X408" s="1"/>
      <c r="Y408" s="1"/>
      <c r="Z408" s="1"/>
    </row>
    <row r="409" spans="1:26" ht="24.75" customHeight="1">
      <c r="A409" s="1"/>
      <c r="B409" s="1"/>
      <c r="C409" s="1"/>
      <c r="D409" s="1"/>
      <c r="E409" s="1"/>
      <c r="F409" s="1"/>
      <c r="G409" s="1"/>
      <c r="H409" s="1"/>
      <c r="I409" s="1"/>
      <c r="J409" s="1"/>
      <c r="K409" s="1"/>
      <c r="L409" s="1"/>
      <c r="M409" s="1"/>
      <c r="N409" s="1"/>
      <c r="O409" s="1"/>
      <c r="P409" s="1"/>
      <c r="Q409" s="1"/>
      <c r="R409" s="1"/>
      <c r="S409" s="1"/>
      <c r="T409" s="1"/>
      <c r="U409" s="2"/>
      <c r="V409" s="1"/>
      <c r="W409" s="1"/>
      <c r="X409" s="1"/>
      <c r="Y409" s="1"/>
      <c r="Z409" s="1"/>
    </row>
    <row r="410" spans="1:26" ht="24.75" customHeight="1">
      <c r="A410" s="1"/>
      <c r="B410" s="1"/>
      <c r="C410" s="1"/>
      <c r="D410" s="1"/>
      <c r="E410" s="1"/>
      <c r="F410" s="1"/>
      <c r="G410" s="1"/>
      <c r="H410" s="1"/>
      <c r="I410" s="1"/>
      <c r="J410" s="1"/>
      <c r="K410" s="1"/>
      <c r="L410" s="1"/>
      <c r="M410" s="1"/>
      <c r="N410" s="1"/>
      <c r="O410" s="1"/>
      <c r="P410" s="1"/>
      <c r="Q410" s="1"/>
      <c r="R410" s="1"/>
      <c r="S410" s="1"/>
      <c r="T410" s="1"/>
      <c r="U410" s="2"/>
      <c r="V410" s="1"/>
      <c r="W410" s="1"/>
      <c r="X410" s="1"/>
      <c r="Y410" s="1"/>
      <c r="Z410" s="1"/>
    </row>
    <row r="411" spans="1:26" ht="24.75" customHeight="1">
      <c r="A411" s="1"/>
      <c r="B411" s="1"/>
      <c r="C411" s="1"/>
      <c r="D411" s="1"/>
      <c r="E411" s="1"/>
      <c r="F411" s="1"/>
      <c r="G411" s="1"/>
      <c r="H411" s="1"/>
      <c r="I411" s="1"/>
      <c r="J411" s="1"/>
      <c r="K411" s="1"/>
      <c r="L411" s="1"/>
      <c r="M411" s="1"/>
      <c r="N411" s="1"/>
      <c r="O411" s="1"/>
      <c r="P411" s="1"/>
      <c r="Q411" s="1"/>
      <c r="R411" s="1"/>
      <c r="S411" s="1"/>
      <c r="T411" s="1"/>
      <c r="U411" s="2"/>
      <c r="V411" s="1"/>
      <c r="W411" s="1"/>
      <c r="X411" s="1"/>
      <c r="Y411" s="1"/>
      <c r="Z411" s="1"/>
    </row>
    <row r="412" spans="1:26" ht="24.75" customHeight="1">
      <c r="A412" s="1"/>
      <c r="B412" s="1"/>
      <c r="C412" s="1"/>
      <c r="D412" s="1"/>
      <c r="E412" s="1"/>
      <c r="F412" s="1"/>
      <c r="G412" s="1"/>
      <c r="H412" s="1"/>
      <c r="I412" s="1"/>
      <c r="J412" s="1"/>
      <c r="K412" s="1"/>
      <c r="L412" s="1"/>
      <c r="M412" s="1"/>
      <c r="N412" s="1"/>
      <c r="O412" s="1"/>
      <c r="P412" s="1"/>
      <c r="Q412" s="1"/>
      <c r="R412" s="1"/>
      <c r="S412" s="1"/>
      <c r="T412" s="1"/>
      <c r="U412" s="2"/>
      <c r="V412" s="1"/>
      <c r="W412" s="1"/>
      <c r="X412" s="1"/>
      <c r="Y412" s="1"/>
      <c r="Z412" s="1"/>
    </row>
    <row r="413" spans="1:26" ht="24.75" customHeight="1">
      <c r="A413" s="1"/>
      <c r="B413" s="1"/>
      <c r="C413" s="1"/>
      <c r="D413" s="1"/>
      <c r="E413" s="1"/>
      <c r="F413" s="1"/>
      <c r="G413" s="1"/>
      <c r="H413" s="1"/>
      <c r="I413" s="1"/>
      <c r="J413" s="1"/>
      <c r="K413" s="1"/>
      <c r="L413" s="1"/>
      <c r="M413" s="1"/>
      <c r="N413" s="1"/>
      <c r="O413" s="1"/>
      <c r="P413" s="1"/>
      <c r="Q413" s="1"/>
      <c r="R413" s="1"/>
      <c r="S413" s="1"/>
      <c r="T413" s="1"/>
      <c r="U413" s="2"/>
      <c r="V413" s="1"/>
      <c r="W413" s="1"/>
      <c r="X413" s="1"/>
      <c r="Y413" s="1"/>
      <c r="Z413" s="1"/>
    </row>
    <row r="414" spans="1:26" ht="24.75" customHeight="1">
      <c r="A414" s="1"/>
      <c r="B414" s="1"/>
      <c r="C414" s="1"/>
      <c r="D414" s="1"/>
      <c r="E414" s="1"/>
      <c r="F414" s="1"/>
      <c r="G414" s="1"/>
      <c r="H414" s="1"/>
      <c r="I414" s="1"/>
      <c r="J414" s="1"/>
      <c r="K414" s="1"/>
      <c r="L414" s="1"/>
      <c r="M414" s="1"/>
      <c r="N414" s="1"/>
      <c r="O414" s="1"/>
      <c r="P414" s="1"/>
      <c r="Q414" s="1"/>
      <c r="R414" s="1"/>
      <c r="S414" s="1"/>
      <c r="T414" s="1"/>
      <c r="U414" s="2"/>
      <c r="V414" s="1"/>
      <c r="W414" s="1"/>
      <c r="X414" s="1"/>
      <c r="Y414" s="1"/>
      <c r="Z414" s="1"/>
    </row>
    <row r="415" spans="1:26" ht="24.75" customHeight="1">
      <c r="A415" s="1"/>
      <c r="B415" s="1"/>
      <c r="C415" s="1"/>
      <c r="D415" s="1"/>
      <c r="E415" s="1"/>
      <c r="F415" s="1"/>
      <c r="G415" s="1"/>
      <c r="H415" s="1"/>
      <c r="I415" s="1"/>
      <c r="J415" s="1"/>
      <c r="K415" s="1"/>
      <c r="L415" s="1"/>
      <c r="M415" s="1"/>
      <c r="N415" s="1"/>
      <c r="O415" s="1"/>
      <c r="P415" s="1"/>
      <c r="Q415" s="1"/>
      <c r="R415" s="1"/>
      <c r="S415" s="1"/>
      <c r="T415" s="1"/>
      <c r="U415" s="2"/>
      <c r="V415" s="1"/>
      <c r="W415" s="1"/>
      <c r="X415" s="1"/>
      <c r="Y415" s="1"/>
      <c r="Z415" s="1"/>
    </row>
    <row r="416" spans="1:26" ht="24.75" customHeight="1">
      <c r="A416" s="1"/>
      <c r="B416" s="1"/>
      <c r="C416" s="1"/>
      <c r="D416" s="1"/>
      <c r="E416" s="1"/>
      <c r="F416" s="1"/>
      <c r="G416" s="1"/>
      <c r="H416" s="1"/>
      <c r="I416" s="1"/>
      <c r="J416" s="1"/>
      <c r="K416" s="1"/>
      <c r="L416" s="1"/>
      <c r="M416" s="1"/>
      <c r="N416" s="1"/>
      <c r="O416" s="1"/>
      <c r="P416" s="1"/>
      <c r="Q416" s="1"/>
      <c r="R416" s="1"/>
      <c r="S416" s="1"/>
      <c r="T416" s="1"/>
      <c r="U416" s="2"/>
      <c r="V416" s="1"/>
      <c r="W416" s="1"/>
      <c r="X416" s="1"/>
      <c r="Y416" s="1"/>
      <c r="Z416" s="1"/>
    </row>
    <row r="417" spans="1:26" ht="24.75" customHeight="1">
      <c r="A417" s="1"/>
      <c r="B417" s="1"/>
      <c r="C417" s="1"/>
      <c r="D417" s="1"/>
      <c r="E417" s="1"/>
      <c r="F417" s="1"/>
      <c r="G417" s="1"/>
      <c r="H417" s="1"/>
      <c r="I417" s="1"/>
      <c r="J417" s="1"/>
      <c r="K417" s="1"/>
      <c r="L417" s="1"/>
      <c r="M417" s="1"/>
      <c r="N417" s="1"/>
      <c r="O417" s="1"/>
      <c r="P417" s="1"/>
      <c r="Q417" s="1"/>
      <c r="R417" s="1"/>
      <c r="S417" s="1"/>
      <c r="T417" s="1"/>
      <c r="U417" s="2"/>
      <c r="V417" s="1"/>
      <c r="W417" s="1"/>
      <c r="X417" s="1"/>
      <c r="Y417" s="1"/>
      <c r="Z417" s="1"/>
    </row>
    <row r="418" spans="1:26" ht="24.75" customHeight="1">
      <c r="A418" s="1"/>
      <c r="B418" s="1"/>
      <c r="C418" s="1"/>
      <c r="D418" s="1"/>
      <c r="E418" s="1"/>
      <c r="F418" s="1"/>
      <c r="G418" s="1"/>
      <c r="H418" s="1"/>
      <c r="I418" s="1"/>
      <c r="J418" s="1"/>
      <c r="K418" s="1"/>
      <c r="L418" s="1"/>
      <c r="M418" s="1"/>
      <c r="N418" s="1"/>
      <c r="O418" s="1"/>
      <c r="P418" s="1"/>
      <c r="Q418" s="1"/>
      <c r="R418" s="1"/>
      <c r="S418" s="1"/>
      <c r="T418" s="1"/>
      <c r="U418" s="2"/>
      <c r="V418" s="1"/>
      <c r="W418" s="1"/>
      <c r="X418" s="1"/>
      <c r="Y418" s="1"/>
      <c r="Z418" s="1"/>
    </row>
    <row r="419" spans="1:26" ht="24.75" customHeight="1">
      <c r="A419" s="1"/>
      <c r="B419" s="1"/>
      <c r="C419" s="1"/>
      <c r="D419" s="1"/>
      <c r="E419" s="1"/>
      <c r="F419" s="1"/>
      <c r="G419" s="1"/>
      <c r="H419" s="1"/>
      <c r="I419" s="1"/>
      <c r="J419" s="1"/>
      <c r="K419" s="1"/>
      <c r="L419" s="1"/>
      <c r="M419" s="1"/>
      <c r="N419" s="1"/>
      <c r="O419" s="1"/>
      <c r="P419" s="1"/>
      <c r="Q419" s="1"/>
      <c r="R419" s="1"/>
      <c r="S419" s="1"/>
      <c r="T419" s="1"/>
      <c r="U419" s="2"/>
      <c r="V419" s="1"/>
      <c r="W419" s="1"/>
      <c r="X419" s="1"/>
      <c r="Y419" s="1"/>
      <c r="Z419" s="1"/>
    </row>
    <row r="420" spans="1:26" ht="24.75" customHeight="1">
      <c r="A420" s="1"/>
      <c r="B420" s="1"/>
      <c r="C420" s="1"/>
      <c r="D420" s="1"/>
      <c r="E420" s="1"/>
      <c r="F420" s="1"/>
      <c r="G420" s="1"/>
      <c r="H420" s="1"/>
      <c r="I420" s="1"/>
      <c r="J420" s="1"/>
      <c r="K420" s="1"/>
      <c r="L420" s="1"/>
      <c r="M420" s="1"/>
      <c r="N420" s="1"/>
      <c r="O420" s="1"/>
      <c r="P420" s="1"/>
      <c r="Q420" s="1"/>
      <c r="R420" s="1"/>
      <c r="S420" s="1"/>
      <c r="T420" s="1"/>
      <c r="U420" s="2"/>
      <c r="V420" s="1"/>
      <c r="W420" s="1"/>
      <c r="X420" s="1"/>
      <c r="Y420" s="1"/>
      <c r="Z420" s="1"/>
    </row>
    <row r="421" spans="1:26" ht="24.75" customHeight="1">
      <c r="A421" s="1"/>
      <c r="B421" s="1"/>
      <c r="C421" s="1"/>
      <c r="D421" s="1"/>
      <c r="E421" s="1"/>
      <c r="F421" s="1"/>
      <c r="G421" s="1"/>
      <c r="H421" s="1"/>
      <c r="I421" s="1"/>
      <c r="J421" s="1"/>
      <c r="K421" s="1"/>
      <c r="L421" s="1"/>
      <c r="M421" s="1"/>
      <c r="N421" s="1"/>
      <c r="O421" s="1"/>
      <c r="P421" s="1"/>
      <c r="Q421" s="1"/>
      <c r="R421" s="1"/>
      <c r="S421" s="1"/>
      <c r="T421" s="1"/>
      <c r="U421" s="2"/>
      <c r="V421" s="1"/>
      <c r="W421" s="1"/>
      <c r="X421" s="1"/>
      <c r="Y421" s="1"/>
      <c r="Z421" s="1"/>
    </row>
    <row r="422" spans="1:26" ht="24.75" customHeight="1">
      <c r="A422" s="1"/>
      <c r="B422" s="1"/>
      <c r="C422" s="1"/>
      <c r="D422" s="1"/>
      <c r="E422" s="1"/>
      <c r="F422" s="1"/>
      <c r="G422" s="1"/>
      <c r="H422" s="1"/>
      <c r="I422" s="1"/>
      <c r="J422" s="1"/>
      <c r="K422" s="1"/>
      <c r="L422" s="1"/>
      <c r="M422" s="1"/>
      <c r="N422" s="1"/>
      <c r="O422" s="1"/>
      <c r="P422" s="1"/>
      <c r="Q422" s="1"/>
      <c r="R422" s="1"/>
      <c r="S422" s="1"/>
      <c r="T422" s="1"/>
      <c r="U422" s="2"/>
      <c r="V422" s="1"/>
      <c r="W422" s="1"/>
      <c r="X422" s="1"/>
      <c r="Y422" s="1"/>
      <c r="Z422" s="1"/>
    </row>
    <row r="423" spans="1:26" ht="24.75" customHeight="1">
      <c r="A423" s="1"/>
      <c r="B423" s="1"/>
      <c r="C423" s="1"/>
      <c r="D423" s="1"/>
      <c r="E423" s="1"/>
      <c r="F423" s="1"/>
      <c r="G423" s="1"/>
      <c r="H423" s="1"/>
      <c r="I423" s="1"/>
      <c r="J423" s="1"/>
      <c r="K423" s="1"/>
      <c r="L423" s="1"/>
      <c r="M423" s="1"/>
      <c r="N423" s="1"/>
      <c r="O423" s="1"/>
      <c r="P423" s="1"/>
      <c r="Q423" s="1"/>
      <c r="R423" s="1"/>
      <c r="S423" s="1"/>
      <c r="T423" s="1"/>
      <c r="U423" s="2"/>
      <c r="V423" s="1"/>
      <c r="W423" s="1"/>
      <c r="X423" s="1"/>
      <c r="Y423" s="1"/>
      <c r="Z423" s="1"/>
    </row>
    <row r="424" spans="1:26" ht="24.75" customHeight="1">
      <c r="A424" s="1"/>
      <c r="B424" s="1"/>
      <c r="C424" s="1"/>
      <c r="D424" s="1"/>
      <c r="E424" s="1"/>
      <c r="F424" s="1"/>
      <c r="G424" s="1"/>
      <c r="H424" s="1"/>
      <c r="I424" s="1"/>
      <c r="J424" s="1"/>
      <c r="K424" s="1"/>
      <c r="L424" s="1"/>
      <c r="M424" s="1"/>
      <c r="N424" s="1"/>
      <c r="O424" s="1"/>
      <c r="P424" s="1"/>
      <c r="Q424" s="1"/>
      <c r="R424" s="1"/>
      <c r="S424" s="1"/>
      <c r="T424" s="1"/>
      <c r="U424" s="2"/>
      <c r="V424" s="1"/>
      <c r="W424" s="1"/>
      <c r="X424" s="1"/>
      <c r="Y424" s="1"/>
      <c r="Z424" s="1"/>
    </row>
    <row r="425" spans="1:26" ht="24.75" customHeight="1">
      <c r="A425" s="1"/>
      <c r="B425" s="1"/>
      <c r="C425" s="1"/>
      <c r="D425" s="1"/>
      <c r="E425" s="1"/>
      <c r="F425" s="1"/>
      <c r="G425" s="1"/>
      <c r="H425" s="1"/>
      <c r="I425" s="1"/>
      <c r="J425" s="1"/>
      <c r="K425" s="1"/>
      <c r="L425" s="1"/>
      <c r="M425" s="1"/>
      <c r="N425" s="1"/>
      <c r="O425" s="1"/>
      <c r="P425" s="1"/>
      <c r="Q425" s="1"/>
      <c r="R425" s="1"/>
      <c r="S425" s="1"/>
      <c r="T425" s="1"/>
      <c r="U425" s="2"/>
      <c r="V425" s="1"/>
      <c r="W425" s="1"/>
      <c r="X425" s="1"/>
      <c r="Y425" s="1"/>
      <c r="Z425" s="1"/>
    </row>
    <row r="426" spans="1:26" ht="24.75" customHeight="1">
      <c r="A426" s="1"/>
      <c r="B426" s="1"/>
      <c r="C426" s="1"/>
      <c r="D426" s="1"/>
      <c r="E426" s="1"/>
      <c r="F426" s="1"/>
      <c r="G426" s="1"/>
      <c r="H426" s="1"/>
      <c r="I426" s="1"/>
      <c r="J426" s="1"/>
      <c r="K426" s="1"/>
      <c r="L426" s="1"/>
      <c r="M426" s="1"/>
      <c r="N426" s="1"/>
      <c r="O426" s="1"/>
      <c r="P426" s="1"/>
      <c r="Q426" s="1"/>
      <c r="R426" s="1"/>
      <c r="S426" s="1"/>
      <c r="T426" s="1"/>
      <c r="U426" s="2"/>
      <c r="V426" s="1"/>
      <c r="W426" s="1"/>
      <c r="X426" s="1"/>
      <c r="Y426" s="1"/>
      <c r="Z426" s="1"/>
    </row>
    <row r="427" spans="1:26" ht="24.75" customHeight="1">
      <c r="A427" s="1"/>
      <c r="B427" s="1"/>
      <c r="C427" s="1"/>
      <c r="D427" s="1"/>
      <c r="E427" s="1"/>
      <c r="F427" s="1"/>
      <c r="G427" s="1"/>
      <c r="H427" s="1"/>
      <c r="I427" s="1"/>
      <c r="J427" s="1"/>
      <c r="K427" s="1"/>
      <c r="L427" s="1"/>
      <c r="M427" s="1"/>
      <c r="N427" s="1"/>
      <c r="O427" s="1"/>
      <c r="P427" s="1"/>
      <c r="Q427" s="1"/>
      <c r="R427" s="1"/>
      <c r="S427" s="1"/>
      <c r="T427" s="1"/>
      <c r="U427" s="2"/>
      <c r="V427" s="1"/>
      <c r="W427" s="1"/>
      <c r="X427" s="1"/>
      <c r="Y427" s="1"/>
      <c r="Z427" s="1"/>
    </row>
    <row r="428" spans="1:26" ht="24.75" customHeight="1">
      <c r="A428" s="1"/>
      <c r="B428" s="1"/>
      <c r="C428" s="1"/>
      <c r="D428" s="1"/>
      <c r="E428" s="1"/>
      <c r="F428" s="1"/>
      <c r="G428" s="1"/>
      <c r="H428" s="1"/>
      <c r="I428" s="1"/>
      <c r="J428" s="1"/>
      <c r="K428" s="1"/>
      <c r="L428" s="1"/>
      <c r="M428" s="1"/>
      <c r="N428" s="1"/>
      <c r="O428" s="1"/>
      <c r="P428" s="1"/>
      <c r="Q428" s="1"/>
      <c r="R428" s="1"/>
      <c r="S428" s="1"/>
      <c r="T428" s="1"/>
      <c r="U428" s="2"/>
      <c r="V428" s="1"/>
      <c r="W428" s="1"/>
      <c r="X428" s="1"/>
      <c r="Y428" s="1"/>
      <c r="Z428" s="1"/>
    </row>
    <row r="429" spans="1:26" ht="24.75" customHeight="1">
      <c r="A429" s="1"/>
      <c r="B429" s="1"/>
      <c r="C429" s="1"/>
      <c r="D429" s="1"/>
      <c r="E429" s="1"/>
      <c r="F429" s="1"/>
      <c r="G429" s="1"/>
      <c r="H429" s="1"/>
      <c r="I429" s="1"/>
      <c r="J429" s="1"/>
      <c r="K429" s="1"/>
      <c r="L429" s="1"/>
      <c r="M429" s="1"/>
      <c r="N429" s="1"/>
      <c r="O429" s="1"/>
      <c r="P429" s="1"/>
      <c r="Q429" s="1"/>
      <c r="R429" s="1"/>
      <c r="S429" s="1"/>
      <c r="T429" s="1"/>
      <c r="U429" s="2"/>
      <c r="V429" s="1"/>
      <c r="W429" s="1"/>
      <c r="X429" s="1"/>
      <c r="Y429" s="1"/>
      <c r="Z429" s="1"/>
    </row>
    <row r="430" spans="1:26" ht="24.75" customHeight="1">
      <c r="A430" s="1"/>
      <c r="B430" s="1"/>
      <c r="C430" s="1"/>
      <c r="D430" s="1"/>
      <c r="E430" s="1"/>
      <c r="F430" s="1"/>
      <c r="G430" s="1"/>
      <c r="H430" s="1"/>
      <c r="I430" s="1"/>
      <c r="J430" s="1"/>
      <c r="K430" s="1"/>
      <c r="L430" s="1"/>
      <c r="M430" s="1"/>
      <c r="N430" s="1"/>
      <c r="O430" s="1"/>
      <c r="P430" s="1"/>
      <c r="Q430" s="1"/>
      <c r="R430" s="1"/>
      <c r="S430" s="1"/>
      <c r="T430" s="1"/>
      <c r="U430" s="2"/>
      <c r="V430" s="1"/>
      <c r="W430" s="1"/>
      <c r="X430" s="1"/>
      <c r="Y430" s="1"/>
      <c r="Z430" s="1"/>
    </row>
    <row r="431" spans="1:26" ht="24.75" customHeight="1">
      <c r="A431" s="1"/>
      <c r="B431" s="1"/>
      <c r="C431" s="1"/>
      <c r="D431" s="1"/>
      <c r="E431" s="1"/>
      <c r="F431" s="1"/>
      <c r="G431" s="1"/>
      <c r="H431" s="1"/>
      <c r="I431" s="1"/>
      <c r="J431" s="1"/>
      <c r="K431" s="1"/>
      <c r="L431" s="1"/>
      <c r="M431" s="1"/>
      <c r="N431" s="1"/>
      <c r="O431" s="1"/>
      <c r="P431" s="1"/>
      <c r="Q431" s="1"/>
      <c r="R431" s="1"/>
      <c r="S431" s="1"/>
      <c r="T431" s="1"/>
      <c r="U431" s="2"/>
      <c r="V431" s="1"/>
      <c r="W431" s="1"/>
      <c r="X431" s="1"/>
      <c r="Y431" s="1"/>
      <c r="Z431" s="1"/>
    </row>
    <row r="432" spans="1:26" ht="24.75" customHeight="1">
      <c r="A432" s="1"/>
      <c r="B432" s="1"/>
      <c r="C432" s="1"/>
      <c r="D432" s="1"/>
      <c r="E432" s="1"/>
      <c r="F432" s="1"/>
      <c r="G432" s="1"/>
      <c r="H432" s="1"/>
      <c r="I432" s="1"/>
      <c r="J432" s="1"/>
      <c r="K432" s="1"/>
      <c r="L432" s="1"/>
      <c r="M432" s="1"/>
      <c r="N432" s="1"/>
      <c r="O432" s="1"/>
      <c r="P432" s="1"/>
      <c r="Q432" s="1"/>
      <c r="R432" s="1"/>
      <c r="S432" s="1"/>
      <c r="T432" s="1"/>
      <c r="U432" s="2"/>
      <c r="V432" s="1"/>
      <c r="W432" s="1"/>
      <c r="X432" s="1"/>
      <c r="Y432" s="1"/>
      <c r="Z432" s="1"/>
    </row>
    <row r="433" spans="1:26" ht="24.75" customHeight="1">
      <c r="A433" s="1"/>
      <c r="B433" s="1"/>
      <c r="C433" s="1"/>
      <c r="D433" s="1"/>
      <c r="E433" s="1"/>
      <c r="F433" s="1"/>
      <c r="G433" s="1"/>
      <c r="H433" s="1"/>
      <c r="I433" s="1"/>
      <c r="J433" s="1"/>
      <c r="K433" s="1"/>
      <c r="L433" s="1"/>
      <c r="M433" s="1"/>
      <c r="N433" s="1"/>
      <c r="O433" s="1"/>
      <c r="P433" s="1"/>
      <c r="Q433" s="1"/>
      <c r="R433" s="1"/>
      <c r="S433" s="1"/>
      <c r="T433" s="1"/>
      <c r="U433" s="2"/>
      <c r="V433" s="1"/>
      <c r="W433" s="1"/>
      <c r="X433" s="1"/>
      <c r="Y433" s="1"/>
      <c r="Z433" s="1"/>
    </row>
    <row r="434" spans="1:26" ht="24.75" customHeight="1">
      <c r="A434" s="1"/>
      <c r="B434" s="1"/>
      <c r="C434" s="1"/>
      <c r="D434" s="1"/>
      <c r="E434" s="1"/>
      <c r="F434" s="1"/>
      <c r="G434" s="1"/>
      <c r="H434" s="1"/>
      <c r="I434" s="1"/>
      <c r="J434" s="1"/>
      <c r="K434" s="1"/>
      <c r="L434" s="1"/>
      <c r="M434" s="1"/>
      <c r="N434" s="1"/>
      <c r="O434" s="1"/>
      <c r="P434" s="1"/>
      <c r="Q434" s="1"/>
      <c r="R434" s="1"/>
      <c r="S434" s="1"/>
      <c r="T434" s="1"/>
      <c r="U434" s="2"/>
      <c r="V434" s="1"/>
      <c r="W434" s="1"/>
      <c r="X434" s="1"/>
      <c r="Y434" s="1"/>
      <c r="Z434" s="1"/>
    </row>
    <row r="435" spans="1:26" ht="24.75" customHeight="1">
      <c r="A435" s="1"/>
      <c r="B435" s="1"/>
      <c r="C435" s="1"/>
      <c r="D435" s="1"/>
      <c r="E435" s="1"/>
      <c r="F435" s="1"/>
      <c r="G435" s="1"/>
      <c r="H435" s="1"/>
      <c r="I435" s="1"/>
      <c r="J435" s="1"/>
      <c r="K435" s="1"/>
      <c r="L435" s="1"/>
      <c r="M435" s="1"/>
      <c r="N435" s="1"/>
      <c r="O435" s="1"/>
      <c r="P435" s="1"/>
      <c r="Q435" s="1"/>
      <c r="R435" s="1"/>
      <c r="S435" s="1"/>
      <c r="T435" s="1"/>
      <c r="U435" s="2"/>
      <c r="V435" s="1"/>
      <c r="W435" s="1"/>
      <c r="X435" s="1"/>
      <c r="Y435" s="1"/>
      <c r="Z435" s="1"/>
    </row>
    <row r="436" spans="1:26" ht="24.75" customHeight="1">
      <c r="A436" s="1"/>
      <c r="B436" s="1"/>
      <c r="C436" s="1"/>
      <c r="D436" s="1"/>
      <c r="E436" s="1"/>
      <c r="F436" s="1"/>
      <c r="G436" s="1"/>
      <c r="H436" s="1"/>
      <c r="I436" s="1"/>
      <c r="J436" s="1"/>
      <c r="K436" s="1"/>
      <c r="L436" s="1"/>
      <c r="M436" s="1"/>
      <c r="N436" s="1"/>
      <c r="O436" s="1"/>
      <c r="P436" s="1"/>
      <c r="Q436" s="1"/>
      <c r="R436" s="1"/>
      <c r="S436" s="1"/>
      <c r="T436" s="1"/>
      <c r="U436" s="2"/>
      <c r="V436" s="1"/>
      <c r="W436" s="1"/>
      <c r="X436" s="1"/>
      <c r="Y436" s="1"/>
      <c r="Z436" s="1"/>
    </row>
    <row r="437" spans="1:26" ht="24.75" customHeight="1">
      <c r="A437" s="1"/>
      <c r="B437" s="1"/>
      <c r="C437" s="1"/>
      <c r="D437" s="1"/>
      <c r="E437" s="1"/>
      <c r="F437" s="1"/>
      <c r="G437" s="1"/>
      <c r="H437" s="1"/>
      <c r="I437" s="1"/>
      <c r="J437" s="1"/>
      <c r="K437" s="1"/>
      <c r="L437" s="1"/>
      <c r="M437" s="1"/>
      <c r="N437" s="1"/>
      <c r="O437" s="1"/>
      <c r="P437" s="1"/>
      <c r="Q437" s="1"/>
      <c r="R437" s="1"/>
      <c r="S437" s="1"/>
      <c r="T437" s="1"/>
      <c r="U437" s="2"/>
      <c r="V437" s="1"/>
      <c r="W437" s="1"/>
      <c r="X437" s="1"/>
      <c r="Y437" s="1"/>
      <c r="Z437" s="1"/>
    </row>
    <row r="438" spans="1:26" ht="24.75" customHeight="1">
      <c r="A438" s="1"/>
      <c r="B438" s="1"/>
      <c r="C438" s="1"/>
      <c r="D438" s="1"/>
      <c r="E438" s="1"/>
      <c r="F438" s="1"/>
      <c r="G438" s="1"/>
      <c r="H438" s="1"/>
      <c r="I438" s="1"/>
      <c r="J438" s="1"/>
      <c r="K438" s="1"/>
      <c r="L438" s="1"/>
      <c r="M438" s="1"/>
      <c r="N438" s="1"/>
      <c r="O438" s="1"/>
      <c r="P438" s="1"/>
      <c r="Q438" s="1"/>
      <c r="R438" s="1"/>
      <c r="S438" s="1"/>
      <c r="T438" s="1"/>
      <c r="U438" s="2"/>
      <c r="V438" s="1"/>
      <c r="W438" s="1"/>
      <c r="X438" s="1"/>
      <c r="Y438" s="1"/>
      <c r="Z438" s="1"/>
    </row>
    <row r="439" spans="1:26" ht="24.75" customHeight="1">
      <c r="A439" s="1"/>
      <c r="B439" s="1"/>
      <c r="C439" s="1"/>
      <c r="D439" s="1"/>
      <c r="E439" s="1"/>
      <c r="F439" s="1"/>
      <c r="G439" s="1"/>
      <c r="H439" s="1"/>
      <c r="I439" s="1"/>
      <c r="J439" s="1"/>
      <c r="K439" s="1"/>
      <c r="L439" s="1"/>
      <c r="M439" s="1"/>
      <c r="N439" s="1"/>
      <c r="O439" s="1"/>
      <c r="P439" s="1"/>
      <c r="Q439" s="1"/>
      <c r="R439" s="1"/>
      <c r="S439" s="1"/>
      <c r="T439" s="1"/>
      <c r="U439" s="2"/>
      <c r="V439" s="1"/>
      <c r="W439" s="1"/>
      <c r="X439" s="1"/>
      <c r="Y439" s="1"/>
      <c r="Z439" s="1"/>
    </row>
    <row r="440" spans="1:26" ht="24.75" customHeight="1">
      <c r="A440" s="1"/>
      <c r="B440" s="1"/>
      <c r="C440" s="1"/>
      <c r="D440" s="1"/>
      <c r="E440" s="1"/>
      <c r="F440" s="1"/>
      <c r="G440" s="1"/>
      <c r="H440" s="1"/>
      <c r="I440" s="1"/>
      <c r="J440" s="1"/>
      <c r="K440" s="1"/>
      <c r="L440" s="1"/>
      <c r="M440" s="1"/>
      <c r="N440" s="1"/>
      <c r="O440" s="1"/>
      <c r="P440" s="1"/>
      <c r="Q440" s="1"/>
      <c r="R440" s="1"/>
      <c r="S440" s="1"/>
      <c r="T440" s="1"/>
      <c r="U440" s="2"/>
      <c r="V440" s="1"/>
      <c r="W440" s="1"/>
      <c r="X440" s="1"/>
      <c r="Y440" s="1"/>
      <c r="Z440" s="1"/>
    </row>
    <row r="441" spans="1:26" ht="24.75" customHeight="1">
      <c r="A441" s="1"/>
      <c r="B441" s="1"/>
      <c r="C441" s="1"/>
      <c r="D441" s="1"/>
      <c r="E441" s="1"/>
      <c r="F441" s="1"/>
      <c r="G441" s="1"/>
      <c r="H441" s="1"/>
      <c r="I441" s="1"/>
      <c r="J441" s="1"/>
      <c r="K441" s="1"/>
      <c r="L441" s="1"/>
      <c r="M441" s="1"/>
      <c r="N441" s="1"/>
      <c r="O441" s="1"/>
      <c r="P441" s="1"/>
      <c r="Q441" s="1"/>
      <c r="R441" s="1"/>
      <c r="S441" s="1"/>
      <c r="T441" s="1"/>
      <c r="U441" s="2"/>
      <c r="V441" s="1"/>
      <c r="W441" s="1"/>
      <c r="X441" s="1"/>
      <c r="Y441" s="1"/>
      <c r="Z441" s="1"/>
    </row>
    <row r="442" spans="1:26" ht="24.75" customHeight="1">
      <c r="A442" s="1"/>
      <c r="B442" s="1"/>
      <c r="C442" s="1"/>
      <c r="D442" s="1"/>
      <c r="E442" s="1"/>
      <c r="F442" s="1"/>
      <c r="G442" s="1"/>
      <c r="H442" s="1"/>
      <c r="I442" s="1"/>
      <c r="J442" s="1"/>
      <c r="K442" s="1"/>
      <c r="L442" s="1"/>
      <c r="M442" s="1"/>
      <c r="N442" s="1"/>
      <c r="O442" s="1"/>
      <c r="P442" s="1"/>
      <c r="Q442" s="1"/>
      <c r="R442" s="1"/>
      <c r="S442" s="1"/>
      <c r="T442" s="1"/>
      <c r="U442" s="2"/>
      <c r="V442" s="1"/>
      <c r="W442" s="1"/>
      <c r="X442" s="1"/>
      <c r="Y442" s="1"/>
      <c r="Z442" s="1"/>
    </row>
    <row r="443" spans="1:26" ht="24.75" customHeight="1">
      <c r="A443" s="1"/>
      <c r="B443" s="1"/>
      <c r="C443" s="1"/>
      <c r="D443" s="1"/>
      <c r="E443" s="1"/>
      <c r="F443" s="1"/>
      <c r="G443" s="1"/>
      <c r="H443" s="1"/>
      <c r="I443" s="1"/>
      <c r="J443" s="1"/>
      <c r="K443" s="1"/>
      <c r="L443" s="1"/>
      <c r="M443" s="1"/>
      <c r="N443" s="1"/>
      <c r="O443" s="1"/>
      <c r="P443" s="1"/>
      <c r="Q443" s="1"/>
      <c r="R443" s="1"/>
      <c r="S443" s="1"/>
      <c r="T443" s="1"/>
      <c r="U443" s="2"/>
      <c r="V443" s="1"/>
      <c r="W443" s="1"/>
      <c r="X443" s="1"/>
      <c r="Y443" s="1"/>
      <c r="Z443" s="1"/>
    </row>
    <row r="444" spans="1:26" ht="24.75" customHeight="1">
      <c r="A444" s="1"/>
      <c r="B444" s="1"/>
      <c r="C444" s="1"/>
      <c r="D444" s="1"/>
      <c r="E444" s="1"/>
      <c r="F444" s="1"/>
      <c r="G444" s="1"/>
      <c r="H444" s="1"/>
      <c r="I444" s="1"/>
      <c r="J444" s="1"/>
      <c r="K444" s="1"/>
      <c r="L444" s="1"/>
      <c r="M444" s="1"/>
      <c r="N444" s="1"/>
      <c r="O444" s="1"/>
      <c r="P444" s="1"/>
      <c r="Q444" s="1"/>
      <c r="R444" s="1"/>
      <c r="S444" s="1"/>
      <c r="T444" s="1"/>
      <c r="U444" s="2"/>
      <c r="V444" s="1"/>
      <c r="W444" s="1"/>
      <c r="X444" s="1"/>
      <c r="Y444" s="1"/>
      <c r="Z444" s="1"/>
    </row>
    <row r="445" spans="1:26" ht="24.75" customHeight="1">
      <c r="A445" s="1"/>
      <c r="B445" s="1"/>
      <c r="C445" s="1"/>
      <c r="D445" s="1"/>
      <c r="E445" s="1"/>
      <c r="F445" s="1"/>
      <c r="G445" s="1"/>
      <c r="H445" s="1"/>
      <c r="I445" s="1"/>
      <c r="J445" s="1"/>
      <c r="K445" s="1"/>
      <c r="L445" s="1"/>
      <c r="M445" s="1"/>
      <c r="N445" s="1"/>
      <c r="O445" s="1"/>
      <c r="P445" s="1"/>
      <c r="Q445" s="1"/>
      <c r="R445" s="1"/>
      <c r="S445" s="1"/>
      <c r="T445" s="1"/>
      <c r="U445" s="2"/>
      <c r="V445" s="1"/>
      <c r="W445" s="1"/>
      <c r="X445" s="1"/>
      <c r="Y445" s="1"/>
      <c r="Z445" s="1"/>
    </row>
    <row r="446" spans="1:26" ht="24.75" customHeight="1">
      <c r="A446" s="1"/>
      <c r="B446" s="1"/>
      <c r="C446" s="1"/>
      <c r="D446" s="1"/>
      <c r="E446" s="1"/>
      <c r="F446" s="1"/>
      <c r="G446" s="1"/>
      <c r="H446" s="1"/>
      <c r="I446" s="1"/>
      <c r="J446" s="1"/>
      <c r="K446" s="1"/>
      <c r="L446" s="1"/>
      <c r="M446" s="1"/>
      <c r="N446" s="1"/>
      <c r="O446" s="1"/>
      <c r="P446" s="1"/>
      <c r="Q446" s="1"/>
      <c r="R446" s="1"/>
      <c r="S446" s="1"/>
      <c r="T446" s="1"/>
      <c r="U446" s="2"/>
      <c r="V446" s="1"/>
      <c r="W446" s="1"/>
      <c r="X446" s="1"/>
      <c r="Y446" s="1"/>
      <c r="Z446" s="1"/>
    </row>
    <row r="447" spans="1:26" ht="24.75" customHeight="1">
      <c r="A447" s="1"/>
      <c r="B447" s="1"/>
      <c r="C447" s="1"/>
      <c r="D447" s="1"/>
      <c r="E447" s="1"/>
      <c r="F447" s="1"/>
      <c r="G447" s="1"/>
      <c r="H447" s="1"/>
      <c r="I447" s="1"/>
      <c r="J447" s="1"/>
      <c r="K447" s="1"/>
      <c r="L447" s="1"/>
      <c r="M447" s="1"/>
      <c r="N447" s="1"/>
      <c r="O447" s="1"/>
      <c r="P447" s="1"/>
      <c r="Q447" s="1"/>
      <c r="R447" s="1"/>
      <c r="S447" s="1"/>
      <c r="T447" s="1"/>
      <c r="U447" s="2"/>
      <c r="V447" s="1"/>
      <c r="W447" s="1"/>
      <c r="X447" s="1"/>
      <c r="Y447" s="1"/>
      <c r="Z447" s="1"/>
    </row>
    <row r="448" spans="1:26" ht="24.75" customHeight="1">
      <c r="A448" s="1"/>
      <c r="B448" s="1"/>
      <c r="C448" s="1"/>
      <c r="D448" s="1"/>
      <c r="E448" s="1"/>
      <c r="F448" s="1"/>
      <c r="G448" s="1"/>
      <c r="H448" s="1"/>
      <c r="I448" s="1"/>
      <c r="J448" s="1"/>
      <c r="K448" s="1"/>
      <c r="L448" s="1"/>
      <c r="M448" s="1"/>
      <c r="N448" s="1"/>
      <c r="O448" s="1"/>
      <c r="P448" s="1"/>
      <c r="Q448" s="1"/>
      <c r="R448" s="1"/>
      <c r="S448" s="1"/>
      <c r="T448" s="1"/>
      <c r="U448" s="2"/>
      <c r="V448" s="1"/>
      <c r="W448" s="1"/>
      <c r="X448" s="1"/>
      <c r="Y448" s="1"/>
      <c r="Z448" s="1"/>
    </row>
    <row r="449" spans="1:26" ht="24.75" customHeight="1">
      <c r="A449" s="1"/>
      <c r="B449" s="1"/>
      <c r="C449" s="1"/>
      <c r="D449" s="1"/>
      <c r="E449" s="1"/>
      <c r="F449" s="1"/>
      <c r="G449" s="1"/>
      <c r="H449" s="1"/>
      <c r="I449" s="1"/>
      <c r="J449" s="1"/>
      <c r="K449" s="1"/>
      <c r="L449" s="1"/>
      <c r="M449" s="1"/>
      <c r="N449" s="1"/>
      <c r="O449" s="1"/>
      <c r="P449" s="1"/>
      <c r="Q449" s="1"/>
      <c r="R449" s="1"/>
      <c r="S449" s="1"/>
      <c r="T449" s="1"/>
      <c r="U449" s="2"/>
      <c r="V449" s="1"/>
      <c r="W449" s="1"/>
      <c r="X449" s="1"/>
      <c r="Y449" s="1"/>
      <c r="Z449" s="1"/>
    </row>
    <row r="450" spans="1:26" ht="24.75" customHeight="1">
      <c r="A450" s="1"/>
      <c r="B450" s="1"/>
      <c r="C450" s="1"/>
      <c r="D450" s="1"/>
      <c r="E450" s="1"/>
      <c r="F450" s="1"/>
      <c r="G450" s="1"/>
      <c r="H450" s="1"/>
      <c r="I450" s="1"/>
      <c r="J450" s="1"/>
      <c r="K450" s="1"/>
      <c r="L450" s="1"/>
      <c r="M450" s="1"/>
      <c r="N450" s="1"/>
      <c r="O450" s="1"/>
      <c r="P450" s="1"/>
      <c r="Q450" s="1"/>
      <c r="R450" s="1"/>
      <c r="S450" s="1"/>
      <c r="T450" s="1"/>
      <c r="U450" s="2"/>
      <c r="V450" s="1"/>
      <c r="W450" s="1"/>
      <c r="X450" s="1"/>
      <c r="Y450" s="1"/>
      <c r="Z450" s="1"/>
    </row>
    <row r="451" spans="1:26" ht="24.75" customHeight="1">
      <c r="A451" s="1"/>
      <c r="B451" s="1"/>
      <c r="C451" s="1"/>
      <c r="D451" s="1"/>
      <c r="E451" s="1"/>
      <c r="F451" s="1"/>
      <c r="G451" s="1"/>
      <c r="H451" s="1"/>
      <c r="I451" s="1"/>
      <c r="J451" s="1"/>
      <c r="K451" s="1"/>
      <c r="L451" s="1"/>
      <c r="M451" s="1"/>
      <c r="N451" s="1"/>
      <c r="O451" s="1"/>
      <c r="P451" s="1"/>
      <c r="Q451" s="1"/>
      <c r="R451" s="1"/>
      <c r="S451" s="1"/>
      <c r="T451" s="1"/>
      <c r="U451" s="2"/>
      <c r="V451" s="1"/>
      <c r="W451" s="1"/>
      <c r="X451" s="1"/>
      <c r="Y451" s="1"/>
      <c r="Z451" s="1"/>
    </row>
    <row r="452" spans="1:26" ht="24.75" customHeight="1">
      <c r="A452" s="1"/>
      <c r="B452" s="1"/>
      <c r="C452" s="1"/>
      <c r="D452" s="1"/>
      <c r="E452" s="1"/>
      <c r="F452" s="1"/>
      <c r="G452" s="1"/>
      <c r="H452" s="1"/>
      <c r="I452" s="1"/>
      <c r="J452" s="1"/>
      <c r="K452" s="1"/>
      <c r="L452" s="1"/>
      <c r="M452" s="1"/>
      <c r="N452" s="1"/>
      <c r="O452" s="1"/>
      <c r="P452" s="1"/>
      <c r="Q452" s="1"/>
      <c r="R452" s="1"/>
      <c r="S452" s="1"/>
      <c r="T452" s="1"/>
      <c r="U452" s="2"/>
      <c r="V452" s="1"/>
      <c r="W452" s="1"/>
      <c r="X452" s="1"/>
      <c r="Y452" s="1"/>
      <c r="Z452" s="1"/>
    </row>
    <row r="453" spans="1:26" ht="24.75" customHeight="1">
      <c r="A453" s="1"/>
      <c r="B453" s="1"/>
      <c r="C453" s="1"/>
      <c r="D453" s="1"/>
      <c r="E453" s="1"/>
      <c r="F453" s="1"/>
      <c r="G453" s="1"/>
      <c r="H453" s="1"/>
      <c r="I453" s="1"/>
      <c r="J453" s="1"/>
      <c r="K453" s="1"/>
      <c r="L453" s="1"/>
      <c r="M453" s="1"/>
      <c r="N453" s="1"/>
      <c r="O453" s="1"/>
      <c r="P453" s="1"/>
      <c r="Q453" s="1"/>
      <c r="R453" s="1"/>
      <c r="S453" s="1"/>
      <c r="T453" s="1"/>
      <c r="U453" s="2"/>
      <c r="V453" s="1"/>
      <c r="W453" s="1"/>
      <c r="X453" s="1"/>
      <c r="Y453" s="1"/>
      <c r="Z453" s="1"/>
    </row>
    <row r="454" spans="1:26" ht="24.75" customHeight="1">
      <c r="A454" s="1"/>
      <c r="B454" s="1"/>
      <c r="C454" s="1"/>
      <c r="D454" s="1"/>
      <c r="E454" s="1"/>
      <c r="F454" s="1"/>
      <c r="G454" s="1"/>
      <c r="H454" s="1"/>
      <c r="I454" s="1"/>
      <c r="J454" s="1"/>
      <c r="K454" s="1"/>
      <c r="L454" s="1"/>
      <c r="M454" s="1"/>
      <c r="N454" s="1"/>
      <c r="O454" s="1"/>
      <c r="P454" s="1"/>
      <c r="Q454" s="1"/>
      <c r="R454" s="1"/>
      <c r="S454" s="1"/>
      <c r="T454" s="1"/>
      <c r="U454" s="2"/>
      <c r="V454" s="1"/>
      <c r="W454" s="1"/>
      <c r="X454" s="1"/>
      <c r="Y454" s="1"/>
      <c r="Z454" s="1"/>
    </row>
    <row r="455" spans="1:26" ht="24.75" customHeight="1">
      <c r="A455" s="1"/>
      <c r="B455" s="1"/>
      <c r="C455" s="1"/>
      <c r="D455" s="1"/>
      <c r="E455" s="1"/>
      <c r="F455" s="1"/>
      <c r="G455" s="1"/>
      <c r="H455" s="1"/>
      <c r="I455" s="1"/>
      <c r="J455" s="1"/>
      <c r="K455" s="1"/>
      <c r="L455" s="1"/>
      <c r="M455" s="1"/>
      <c r="N455" s="1"/>
      <c r="O455" s="1"/>
      <c r="P455" s="1"/>
      <c r="Q455" s="1"/>
      <c r="R455" s="1"/>
      <c r="S455" s="1"/>
      <c r="T455" s="1"/>
      <c r="U455" s="2"/>
      <c r="V455" s="1"/>
      <c r="W455" s="1"/>
      <c r="X455" s="1"/>
      <c r="Y455" s="1"/>
      <c r="Z455" s="1"/>
    </row>
    <row r="456" spans="1:26" ht="24.75" customHeight="1">
      <c r="A456" s="1"/>
      <c r="B456" s="1"/>
      <c r="C456" s="1"/>
      <c r="D456" s="1"/>
      <c r="E456" s="1"/>
      <c r="F456" s="1"/>
      <c r="G456" s="1"/>
      <c r="H456" s="1"/>
      <c r="I456" s="1"/>
      <c r="J456" s="1"/>
      <c r="K456" s="1"/>
      <c r="L456" s="1"/>
      <c r="M456" s="1"/>
      <c r="N456" s="1"/>
      <c r="O456" s="1"/>
      <c r="P456" s="1"/>
      <c r="Q456" s="1"/>
      <c r="R456" s="1"/>
      <c r="S456" s="1"/>
      <c r="T456" s="1"/>
      <c r="U456" s="2"/>
      <c r="V456" s="1"/>
      <c r="W456" s="1"/>
      <c r="X456" s="1"/>
      <c r="Y456" s="1"/>
      <c r="Z456" s="1"/>
    </row>
    <row r="457" spans="1:26" ht="24.75" customHeight="1">
      <c r="A457" s="1"/>
      <c r="B457" s="1"/>
      <c r="C457" s="1"/>
      <c r="D457" s="1"/>
      <c r="E457" s="1"/>
      <c r="F457" s="1"/>
      <c r="G457" s="1"/>
      <c r="H457" s="1"/>
      <c r="I457" s="1"/>
      <c r="J457" s="1"/>
      <c r="K457" s="1"/>
      <c r="L457" s="1"/>
      <c r="M457" s="1"/>
      <c r="N457" s="1"/>
      <c r="O457" s="1"/>
      <c r="P457" s="1"/>
      <c r="Q457" s="1"/>
      <c r="R457" s="1"/>
      <c r="S457" s="1"/>
      <c r="T457" s="1"/>
      <c r="U457" s="2"/>
      <c r="V457" s="1"/>
      <c r="W457" s="1"/>
      <c r="X457" s="1"/>
      <c r="Y457" s="1"/>
      <c r="Z457" s="1"/>
    </row>
    <row r="458" spans="1:26" ht="24.75" customHeight="1">
      <c r="A458" s="1"/>
      <c r="B458" s="1"/>
      <c r="C458" s="1"/>
      <c r="D458" s="1"/>
      <c r="E458" s="1"/>
      <c r="F458" s="1"/>
      <c r="G458" s="1"/>
      <c r="H458" s="1"/>
      <c r="I458" s="1"/>
      <c r="J458" s="1"/>
      <c r="K458" s="1"/>
      <c r="L458" s="1"/>
      <c r="M458" s="1"/>
      <c r="N458" s="1"/>
      <c r="O458" s="1"/>
      <c r="P458" s="1"/>
      <c r="Q458" s="1"/>
      <c r="R458" s="1"/>
      <c r="S458" s="1"/>
      <c r="T458" s="1"/>
      <c r="U458" s="2"/>
      <c r="V458" s="1"/>
      <c r="W458" s="1"/>
      <c r="X458" s="1"/>
      <c r="Y458" s="1"/>
      <c r="Z458" s="1"/>
    </row>
    <row r="459" spans="1:26" ht="24.75" customHeight="1">
      <c r="A459" s="1"/>
      <c r="B459" s="1"/>
      <c r="C459" s="1"/>
      <c r="D459" s="1"/>
      <c r="E459" s="1"/>
      <c r="F459" s="1"/>
      <c r="G459" s="1"/>
      <c r="H459" s="1"/>
      <c r="I459" s="1"/>
      <c r="J459" s="1"/>
      <c r="K459" s="1"/>
      <c r="L459" s="1"/>
      <c r="M459" s="1"/>
      <c r="N459" s="1"/>
      <c r="O459" s="1"/>
      <c r="P459" s="1"/>
      <c r="Q459" s="1"/>
      <c r="R459" s="1"/>
      <c r="S459" s="1"/>
      <c r="T459" s="1"/>
      <c r="U459" s="2"/>
      <c r="V459" s="1"/>
      <c r="W459" s="1"/>
      <c r="X459" s="1"/>
      <c r="Y459" s="1"/>
      <c r="Z459" s="1"/>
    </row>
    <row r="460" spans="1:26" ht="24.75" customHeight="1">
      <c r="A460" s="1"/>
      <c r="B460" s="1"/>
      <c r="C460" s="1"/>
      <c r="D460" s="1"/>
      <c r="E460" s="1"/>
      <c r="F460" s="1"/>
      <c r="G460" s="1"/>
      <c r="H460" s="1"/>
      <c r="I460" s="1"/>
      <c r="J460" s="1"/>
      <c r="K460" s="1"/>
      <c r="L460" s="1"/>
      <c r="M460" s="1"/>
      <c r="N460" s="1"/>
      <c r="O460" s="1"/>
      <c r="P460" s="1"/>
      <c r="Q460" s="1"/>
      <c r="R460" s="1"/>
      <c r="S460" s="1"/>
      <c r="T460" s="1"/>
      <c r="U460" s="2"/>
      <c r="V460" s="1"/>
      <c r="W460" s="1"/>
      <c r="X460" s="1"/>
      <c r="Y460" s="1"/>
      <c r="Z460" s="1"/>
    </row>
    <row r="461" spans="1:26" ht="24.75" customHeight="1">
      <c r="A461" s="1"/>
      <c r="B461" s="1"/>
      <c r="C461" s="1"/>
      <c r="D461" s="1"/>
      <c r="E461" s="1"/>
      <c r="F461" s="1"/>
      <c r="G461" s="1"/>
      <c r="H461" s="1"/>
      <c r="I461" s="1"/>
      <c r="J461" s="1"/>
      <c r="K461" s="1"/>
      <c r="L461" s="1"/>
      <c r="M461" s="1"/>
      <c r="N461" s="1"/>
      <c r="O461" s="1"/>
      <c r="P461" s="1"/>
      <c r="Q461" s="1"/>
      <c r="R461" s="1"/>
      <c r="S461" s="1"/>
      <c r="T461" s="1"/>
      <c r="U461" s="2"/>
      <c r="V461" s="1"/>
      <c r="W461" s="1"/>
      <c r="X461" s="1"/>
      <c r="Y461" s="1"/>
      <c r="Z461" s="1"/>
    </row>
    <row r="462" spans="1:26" ht="24.75" customHeight="1">
      <c r="A462" s="1"/>
      <c r="B462" s="1"/>
      <c r="C462" s="1"/>
      <c r="D462" s="1"/>
      <c r="E462" s="1"/>
      <c r="F462" s="1"/>
      <c r="G462" s="1"/>
      <c r="H462" s="1"/>
      <c r="I462" s="1"/>
      <c r="J462" s="1"/>
      <c r="K462" s="1"/>
      <c r="L462" s="1"/>
      <c r="M462" s="1"/>
      <c r="N462" s="1"/>
      <c r="O462" s="1"/>
      <c r="P462" s="1"/>
      <c r="Q462" s="1"/>
      <c r="R462" s="1"/>
      <c r="S462" s="1"/>
      <c r="T462" s="1"/>
      <c r="U462" s="2"/>
      <c r="V462" s="1"/>
      <c r="W462" s="1"/>
      <c r="X462" s="1"/>
      <c r="Y462" s="1"/>
      <c r="Z462" s="1"/>
    </row>
    <row r="463" spans="1:26" ht="24.75" customHeight="1">
      <c r="A463" s="1"/>
      <c r="B463" s="1"/>
      <c r="C463" s="1"/>
      <c r="D463" s="1"/>
      <c r="E463" s="1"/>
      <c r="F463" s="1"/>
      <c r="G463" s="1"/>
      <c r="H463" s="1"/>
      <c r="I463" s="1"/>
      <c r="J463" s="1"/>
      <c r="K463" s="1"/>
      <c r="L463" s="1"/>
      <c r="M463" s="1"/>
      <c r="N463" s="1"/>
      <c r="O463" s="1"/>
      <c r="P463" s="1"/>
      <c r="Q463" s="1"/>
      <c r="R463" s="1"/>
      <c r="S463" s="1"/>
      <c r="T463" s="1"/>
      <c r="U463" s="2"/>
      <c r="V463" s="1"/>
      <c r="W463" s="1"/>
      <c r="X463" s="1"/>
      <c r="Y463" s="1"/>
      <c r="Z463" s="1"/>
    </row>
    <row r="464" spans="1:26" ht="24.75" customHeight="1">
      <c r="A464" s="1"/>
      <c r="B464" s="1"/>
      <c r="C464" s="1"/>
      <c r="D464" s="1"/>
      <c r="E464" s="1"/>
      <c r="F464" s="1"/>
      <c r="G464" s="1"/>
      <c r="H464" s="1"/>
      <c r="I464" s="1"/>
      <c r="J464" s="1"/>
      <c r="K464" s="1"/>
      <c r="L464" s="1"/>
      <c r="M464" s="1"/>
      <c r="N464" s="1"/>
      <c r="O464" s="1"/>
      <c r="P464" s="1"/>
      <c r="Q464" s="1"/>
      <c r="R464" s="1"/>
      <c r="S464" s="1"/>
      <c r="T464" s="1"/>
      <c r="U464" s="2"/>
      <c r="V464" s="1"/>
      <c r="W464" s="1"/>
      <c r="X464" s="1"/>
      <c r="Y464" s="1"/>
      <c r="Z464" s="1"/>
    </row>
    <row r="465" spans="1:26" ht="24.75" customHeight="1">
      <c r="A465" s="1"/>
      <c r="B465" s="1"/>
      <c r="C465" s="1"/>
      <c r="D465" s="1"/>
      <c r="E465" s="1"/>
      <c r="F465" s="1"/>
      <c r="G465" s="1"/>
      <c r="H465" s="1"/>
      <c r="I465" s="1"/>
      <c r="J465" s="1"/>
      <c r="K465" s="1"/>
      <c r="L465" s="1"/>
      <c r="M465" s="1"/>
      <c r="N465" s="1"/>
      <c r="O465" s="1"/>
      <c r="P465" s="1"/>
      <c r="Q465" s="1"/>
      <c r="R465" s="1"/>
      <c r="S465" s="1"/>
      <c r="T465" s="1"/>
      <c r="U465" s="2"/>
      <c r="V465" s="1"/>
      <c r="W465" s="1"/>
      <c r="X465" s="1"/>
      <c r="Y465" s="1"/>
      <c r="Z465" s="1"/>
    </row>
    <row r="466" spans="1:26" ht="24.75" customHeight="1">
      <c r="A466" s="1"/>
      <c r="B466" s="1"/>
      <c r="C466" s="1"/>
      <c r="D466" s="1"/>
      <c r="E466" s="1"/>
      <c r="F466" s="1"/>
      <c r="G466" s="1"/>
      <c r="H466" s="1"/>
      <c r="I466" s="1"/>
      <c r="J466" s="1"/>
      <c r="K466" s="1"/>
      <c r="L466" s="1"/>
      <c r="M466" s="1"/>
      <c r="N466" s="1"/>
      <c r="O466" s="1"/>
      <c r="P466" s="1"/>
      <c r="Q466" s="1"/>
      <c r="R466" s="1"/>
      <c r="S466" s="1"/>
      <c r="T466" s="1"/>
      <c r="U466" s="2"/>
      <c r="V466" s="1"/>
      <c r="W466" s="1"/>
      <c r="X466" s="1"/>
      <c r="Y466" s="1"/>
      <c r="Z466" s="1"/>
    </row>
    <row r="467" spans="1:26" ht="24.75" customHeight="1">
      <c r="A467" s="1"/>
      <c r="B467" s="1"/>
      <c r="C467" s="1"/>
      <c r="D467" s="1"/>
      <c r="E467" s="1"/>
      <c r="F467" s="1"/>
      <c r="G467" s="1"/>
      <c r="H467" s="1"/>
      <c r="I467" s="1"/>
      <c r="J467" s="1"/>
      <c r="K467" s="1"/>
      <c r="L467" s="1"/>
      <c r="M467" s="1"/>
      <c r="N467" s="1"/>
      <c r="O467" s="1"/>
      <c r="P467" s="1"/>
      <c r="Q467" s="1"/>
      <c r="R467" s="1"/>
      <c r="S467" s="1"/>
      <c r="T467" s="1"/>
      <c r="U467" s="2"/>
      <c r="V467" s="1"/>
      <c r="W467" s="1"/>
      <c r="X467" s="1"/>
      <c r="Y467" s="1"/>
      <c r="Z467" s="1"/>
    </row>
    <row r="468" spans="1:26" ht="24.75" customHeight="1">
      <c r="A468" s="1"/>
      <c r="B468" s="1"/>
      <c r="C468" s="1"/>
      <c r="D468" s="1"/>
      <c r="E468" s="1"/>
      <c r="F468" s="1"/>
      <c r="G468" s="1"/>
      <c r="H468" s="1"/>
      <c r="I468" s="1"/>
      <c r="J468" s="1"/>
      <c r="K468" s="1"/>
      <c r="L468" s="1"/>
      <c r="M468" s="1"/>
      <c r="N468" s="1"/>
      <c r="O468" s="1"/>
      <c r="P468" s="1"/>
      <c r="Q468" s="1"/>
      <c r="R468" s="1"/>
      <c r="S468" s="1"/>
      <c r="T468" s="1"/>
      <c r="U468" s="2"/>
      <c r="V468" s="1"/>
      <c r="W468" s="1"/>
      <c r="X468" s="1"/>
      <c r="Y468" s="1"/>
      <c r="Z468" s="1"/>
    </row>
    <row r="469" spans="1:26" ht="24.75" customHeight="1">
      <c r="A469" s="1"/>
      <c r="B469" s="1"/>
      <c r="C469" s="1"/>
      <c r="D469" s="1"/>
      <c r="E469" s="1"/>
      <c r="F469" s="1"/>
      <c r="G469" s="1"/>
      <c r="H469" s="1"/>
      <c r="I469" s="1"/>
      <c r="J469" s="1"/>
      <c r="K469" s="1"/>
      <c r="L469" s="1"/>
      <c r="M469" s="1"/>
      <c r="N469" s="1"/>
      <c r="O469" s="1"/>
      <c r="P469" s="1"/>
      <c r="Q469" s="1"/>
      <c r="R469" s="1"/>
      <c r="S469" s="1"/>
      <c r="T469" s="1"/>
      <c r="U469" s="2"/>
      <c r="V469" s="1"/>
      <c r="W469" s="1"/>
      <c r="X469" s="1"/>
      <c r="Y469" s="1"/>
      <c r="Z469" s="1"/>
    </row>
    <row r="470" spans="1:26" ht="24.75" customHeight="1">
      <c r="A470" s="1"/>
      <c r="B470" s="1"/>
      <c r="C470" s="1"/>
      <c r="D470" s="1"/>
      <c r="E470" s="1"/>
      <c r="F470" s="1"/>
      <c r="G470" s="1"/>
      <c r="H470" s="1"/>
      <c r="I470" s="1"/>
      <c r="J470" s="1"/>
      <c r="K470" s="1"/>
      <c r="L470" s="1"/>
      <c r="M470" s="1"/>
      <c r="N470" s="1"/>
      <c r="O470" s="1"/>
      <c r="P470" s="1"/>
      <c r="Q470" s="1"/>
      <c r="R470" s="1"/>
      <c r="S470" s="1"/>
      <c r="T470" s="1"/>
      <c r="U470" s="2"/>
      <c r="V470" s="1"/>
      <c r="W470" s="1"/>
      <c r="X470" s="1"/>
      <c r="Y470" s="1"/>
      <c r="Z470" s="1"/>
    </row>
    <row r="471" spans="1:26" ht="24.75" customHeight="1">
      <c r="A471" s="1"/>
      <c r="B471" s="1"/>
      <c r="C471" s="1"/>
      <c r="D471" s="1"/>
      <c r="E471" s="1"/>
      <c r="F471" s="1"/>
      <c r="G471" s="1"/>
      <c r="H471" s="1"/>
      <c r="I471" s="1"/>
      <c r="J471" s="1"/>
      <c r="K471" s="1"/>
      <c r="L471" s="1"/>
      <c r="M471" s="1"/>
      <c r="N471" s="1"/>
      <c r="O471" s="1"/>
      <c r="P471" s="1"/>
      <c r="Q471" s="1"/>
      <c r="R471" s="1"/>
      <c r="S471" s="1"/>
      <c r="T471" s="1"/>
      <c r="U471" s="2"/>
      <c r="V471" s="1"/>
      <c r="W471" s="1"/>
      <c r="X471" s="1"/>
      <c r="Y471" s="1"/>
      <c r="Z471" s="1"/>
    </row>
    <row r="472" spans="1:26" ht="24.75" customHeight="1">
      <c r="A472" s="1"/>
      <c r="B472" s="1"/>
      <c r="C472" s="1"/>
      <c r="D472" s="1"/>
      <c r="E472" s="1"/>
      <c r="F472" s="1"/>
      <c r="G472" s="1"/>
      <c r="H472" s="1"/>
      <c r="I472" s="1"/>
      <c r="J472" s="1"/>
      <c r="K472" s="1"/>
      <c r="L472" s="1"/>
      <c r="M472" s="1"/>
      <c r="N472" s="1"/>
      <c r="O472" s="1"/>
      <c r="P472" s="1"/>
      <c r="Q472" s="1"/>
      <c r="R472" s="1"/>
      <c r="S472" s="1"/>
      <c r="T472" s="1"/>
      <c r="U472" s="2"/>
      <c r="V472" s="1"/>
      <c r="W472" s="1"/>
      <c r="X472" s="1"/>
      <c r="Y472" s="1"/>
      <c r="Z472" s="1"/>
    </row>
    <row r="473" spans="1:26" ht="24.75" customHeight="1">
      <c r="A473" s="1"/>
      <c r="B473" s="1"/>
      <c r="C473" s="1"/>
      <c r="D473" s="1"/>
      <c r="E473" s="1"/>
      <c r="F473" s="1"/>
      <c r="G473" s="1"/>
      <c r="H473" s="1"/>
      <c r="I473" s="1"/>
      <c r="J473" s="1"/>
      <c r="K473" s="1"/>
      <c r="L473" s="1"/>
      <c r="M473" s="1"/>
      <c r="N473" s="1"/>
      <c r="O473" s="1"/>
      <c r="P473" s="1"/>
      <c r="Q473" s="1"/>
      <c r="R473" s="1"/>
      <c r="S473" s="1"/>
      <c r="T473" s="1"/>
      <c r="U473" s="2"/>
      <c r="V473" s="1"/>
      <c r="W473" s="1"/>
      <c r="X473" s="1"/>
      <c r="Y473" s="1"/>
      <c r="Z473" s="1"/>
    </row>
    <row r="474" spans="1:26" ht="24.75" customHeight="1">
      <c r="A474" s="1"/>
      <c r="B474" s="1"/>
      <c r="C474" s="1"/>
      <c r="D474" s="1"/>
      <c r="E474" s="1"/>
      <c r="F474" s="1"/>
      <c r="G474" s="1"/>
      <c r="H474" s="1"/>
      <c r="I474" s="1"/>
      <c r="J474" s="1"/>
      <c r="K474" s="1"/>
      <c r="L474" s="1"/>
      <c r="M474" s="1"/>
      <c r="N474" s="1"/>
      <c r="O474" s="1"/>
      <c r="P474" s="1"/>
      <c r="Q474" s="1"/>
      <c r="R474" s="1"/>
      <c r="S474" s="1"/>
      <c r="T474" s="1"/>
      <c r="U474" s="2"/>
      <c r="V474" s="1"/>
      <c r="W474" s="1"/>
      <c r="X474" s="1"/>
      <c r="Y474" s="1"/>
      <c r="Z474" s="1"/>
    </row>
    <row r="475" spans="1:26" ht="24.75" customHeight="1">
      <c r="A475" s="1"/>
      <c r="B475" s="1"/>
      <c r="C475" s="1"/>
      <c r="D475" s="1"/>
      <c r="E475" s="1"/>
      <c r="F475" s="1"/>
      <c r="G475" s="1"/>
      <c r="H475" s="1"/>
      <c r="I475" s="1"/>
      <c r="J475" s="1"/>
      <c r="K475" s="1"/>
      <c r="L475" s="1"/>
      <c r="M475" s="1"/>
      <c r="N475" s="1"/>
      <c r="O475" s="1"/>
      <c r="P475" s="1"/>
      <c r="Q475" s="1"/>
      <c r="R475" s="1"/>
      <c r="S475" s="1"/>
      <c r="T475" s="1"/>
      <c r="U475" s="2"/>
      <c r="V475" s="1"/>
      <c r="W475" s="1"/>
      <c r="X475" s="1"/>
      <c r="Y475" s="1"/>
      <c r="Z475" s="1"/>
    </row>
    <row r="476" spans="1:26" ht="24.75" customHeight="1">
      <c r="A476" s="1"/>
      <c r="B476" s="1"/>
      <c r="C476" s="1"/>
      <c r="D476" s="1"/>
      <c r="E476" s="1"/>
      <c r="F476" s="1"/>
      <c r="G476" s="1"/>
      <c r="H476" s="1"/>
      <c r="I476" s="1"/>
      <c r="J476" s="1"/>
      <c r="K476" s="1"/>
      <c r="L476" s="1"/>
      <c r="M476" s="1"/>
      <c r="N476" s="1"/>
      <c r="O476" s="1"/>
      <c r="P476" s="1"/>
      <c r="Q476" s="1"/>
      <c r="R476" s="1"/>
      <c r="S476" s="1"/>
      <c r="T476" s="1"/>
      <c r="U476" s="2"/>
      <c r="V476" s="1"/>
      <c r="W476" s="1"/>
      <c r="X476" s="1"/>
      <c r="Y476" s="1"/>
      <c r="Z476" s="1"/>
    </row>
    <row r="477" spans="1:26" ht="24.75" customHeight="1">
      <c r="A477" s="1"/>
      <c r="B477" s="1"/>
      <c r="C477" s="1"/>
      <c r="D477" s="1"/>
      <c r="E477" s="1"/>
      <c r="F477" s="1"/>
      <c r="G477" s="1"/>
      <c r="H477" s="1"/>
      <c r="I477" s="1"/>
      <c r="J477" s="1"/>
      <c r="K477" s="1"/>
      <c r="L477" s="1"/>
      <c r="M477" s="1"/>
      <c r="N477" s="1"/>
      <c r="O477" s="1"/>
      <c r="P477" s="1"/>
      <c r="Q477" s="1"/>
      <c r="R477" s="1"/>
      <c r="S477" s="1"/>
      <c r="T477" s="1"/>
      <c r="U477" s="2"/>
      <c r="V477" s="1"/>
      <c r="W477" s="1"/>
      <c r="X477" s="1"/>
      <c r="Y477" s="1"/>
      <c r="Z477" s="1"/>
    </row>
    <row r="478" spans="1:26" ht="24.75" customHeight="1">
      <c r="A478" s="1"/>
      <c r="B478" s="1"/>
      <c r="C478" s="1"/>
      <c r="D478" s="1"/>
      <c r="E478" s="1"/>
      <c r="F478" s="1"/>
      <c r="G478" s="1"/>
      <c r="H478" s="1"/>
      <c r="I478" s="1"/>
      <c r="J478" s="1"/>
      <c r="K478" s="1"/>
      <c r="L478" s="1"/>
      <c r="M478" s="1"/>
      <c r="N478" s="1"/>
      <c r="O478" s="1"/>
      <c r="P478" s="1"/>
      <c r="Q478" s="1"/>
      <c r="R478" s="1"/>
      <c r="S478" s="1"/>
      <c r="T478" s="1"/>
      <c r="U478" s="2"/>
      <c r="V478" s="1"/>
      <c r="W478" s="1"/>
      <c r="X478" s="1"/>
      <c r="Y478" s="1"/>
      <c r="Z478" s="1"/>
    </row>
    <row r="479" spans="1:26" ht="24.75" customHeight="1">
      <c r="A479" s="1"/>
      <c r="B479" s="1"/>
      <c r="C479" s="1"/>
      <c r="D479" s="1"/>
      <c r="E479" s="1"/>
      <c r="F479" s="1"/>
      <c r="G479" s="1"/>
      <c r="H479" s="1"/>
      <c r="I479" s="1"/>
      <c r="J479" s="1"/>
      <c r="K479" s="1"/>
      <c r="L479" s="1"/>
      <c r="M479" s="1"/>
      <c r="N479" s="1"/>
      <c r="O479" s="1"/>
      <c r="P479" s="1"/>
      <c r="Q479" s="1"/>
      <c r="R479" s="1"/>
      <c r="S479" s="1"/>
      <c r="T479" s="1"/>
      <c r="U479" s="2"/>
      <c r="V479" s="1"/>
      <c r="W479" s="1"/>
      <c r="X479" s="1"/>
      <c r="Y479" s="1"/>
      <c r="Z479" s="1"/>
    </row>
    <row r="480" spans="1:26" ht="24.75" customHeight="1">
      <c r="A480" s="1"/>
      <c r="B480" s="1"/>
      <c r="C480" s="1"/>
      <c r="D480" s="1"/>
      <c r="E480" s="1"/>
      <c r="F480" s="1"/>
      <c r="G480" s="1"/>
      <c r="H480" s="1"/>
      <c r="I480" s="1"/>
      <c r="J480" s="1"/>
      <c r="K480" s="1"/>
      <c r="L480" s="1"/>
      <c r="M480" s="1"/>
      <c r="N480" s="1"/>
      <c r="O480" s="1"/>
      <c r="P480" s="1"/>
      <c r="Q480" s="1"/>
      <c r="R480" s="1"/>
      <c r="S480" s="1"/>
      <c r="T480" s="1"/>
      <c r="U480" s="2"/>
      <c r="V480" s="1"/>
      <c r="W480" s="1"/>
      <c r="X480" s="1"/>
      <c r="Y480" s="1"/>
      <c r="Z480" s="1"/>
    </row>
    <row r="481" spans="1:26" ht="24.75" customHeight="1">
      <c r="A481" s="1"/>
      <c r="B481" s="1"/>
      <c r="C481" s="1"/>
      <c r="D481" s="1"/>
      <c r="E481" s="1"/>
      <c r="F481" s="1"/>
      <c r="G481" s="1"/>
      <c r="H481" s="1"/>
      <c r="I481" s="1"/>
      <c r="J481" s="1"/>
      <c r="K481" s="1"/>
      <c r="L481" s="1"/>
      <c r="M481" s="1"/>
      <c r="N481" s="1"/>
      <c r="O481" s="1"/>
      <c r="P481" s="1"/>
      <c r="Q481" s="1"/>
      <c r="R481" s="1"/>
      <c r="S481" s="1"/>
      <c r="T481" s="1"/>
      <c r="U481" s="2"/>
      <c r="V481" s="1"/>
      <c r="W481" s="1"/>
      <c r="X481" s="1"/>
      <c r="Y481" s="1"/>
      <c r="Z481" s="1"/>
    </row>
    <row r="482" spans="1:26" ht="24.75" customHeight="1">
      <c r="A482" s="1"/>
      <c r="B482" s="1"/>
      <c r="C482" s="1"/>
      <c r="D482" s="1"/>
      <c r="E482" s="1"/>
      <c r="F482" s="1"/>
      <c r="G482" s="1"/>
      <c r="H482" s="1"/>
      <c r="I482" s="1"/>
      <c r="J482" s="1"/>
      <c r="K482" s="1"/>
      <c r="L482" s="1"/>
      <c r="M482" s="1"/>
      <c r="N482" s="1"/>
      <c r="O482" s="1"/>
      <c r="P482" s="1"/>
      <c r="Q482" s="1"/>
      <c r="R482" s="1"/>
      <c r="S482" s="1"/>
      <c r="T482" s="1"/>
      <c r="U482" s="2"/>
      <c r="V482" s="1"/>
      <c r="W482" s="1"/>
      <c r="X482" s="1"/>
      <c r="Y482" s="1"/>
      <c r="Z482" s="1"/>
    </row>
    <row r="483" spans="1:26" ht="24.75" customHeight="1">
      <c r="A483" s="1"/>
      <c r="B483" s="1"/>
      <c r="C483" s="1"/>
      <c r="D483" s="1"/>
      <c r="E483" s="1"/>
      <c r="F483" s="1"/>
      <c r="G483" s="1"/>
      <c r="H483" s="1"/>
      <c r="I483" s="1"/>
      <c r="J483" s="1"/>
      <c r="K483" s="1"/>
      <c r="L483" s="1"/>
      <c r="M483" s="1"/>
      <c r="N483" s="1"/>
      <c r="O483" s="1"/>
      <c r="P483" s="1"/>
      <c r="Q483" s="1"/>
      <c r="R483" s="1"/>
      <c r="S483" s="1"/>
      <c r="T483" s="1"/>
      <c r="U483" s="2"/>
      <c r="V483" s="1"/>
      <c r="W483" s="1"/>
      <c r="X483" s="1"/>
      <c r="Y483" s="1"/>
      <c r="Z483" s="1"/>
    </row>
    <row r="484" spans="1:26" ht="24.75" customHeight="1">
      <c r="A484" s="1"/>
      <c r="B484" s="1"/>
      <c r="C484" s="1"/>
      <c r="D484" s="1"/>
      <c r="E484" s="1"/>
      <c r="F484" s="1"/>
      <c r="G484" s="1"/>
      <c r="H484" s="1"/>
      <c r="I484" s="1"/>
      <c r="J484" s="1"/>
      <c r="K484" s="1"/>
      <c r="L484" s="1"/>
      <c r="M484" s="1"/>
      <c r="N484" s="1"/>
      <c r="O484" s="1"/>
      <c r="P484" s="1"/>
      <c r="Q484" s="1"/>
      <c r="R484" s="1"/>
      <c r="S484" s="1"/>
      <c r="T484" s="1"/>
      <c r="U484" s="2"/>
      <c r="V484" s="1"/>
      <c r="W484" s="1"/>
      <c r="X484" s="1"/>
      <c r="Y484" s="1"/>
      <c r="Z484" s="1"/>
    </row>
    <row r="485" spans="1:26" ht="24.75" customHeight="1">
      <c r="A485" s="1"/>
      <c r="B485" s="1"/>
      <c r="C485" s="1"/>
      <c r="D485" s="1"/>
      <c r="E485" s="1"/>
      <c r="F485" s="1"/>
      <c r="G485" s="1"/>
      <c r="H485" s="1"/>
      <c r="I485" s="1"/>
      <c r="J485" s="1"/>
      <c r="K485" s="1"/>
      <c r="L485" s="1"/>
      <c r="M485" s="1"/>
      <c r="N485" s="1"/>
      <c r="O485" s="1"/>
      <c r="P485" s="1"/>
      <c r="Q485" s="1"/>
      <c r="R485" s="1"/>
      <c r="S485" s="1"/>
      <c r="T485" s="1"/>
      <c r="U485" s="2"/>
      <c r="V485" s="1"/>
      <c r="W485" s="1"/>
      <c r="X485" s="1"/>
      <c r="Y485" s="1"/>
      <c r="Z485" s="1"/>
    </row>
    <row r="486" spans="1:26" ht="24.75" customHeight="1">
      <c r="A486" s="1"/>
      <c r="B486" s="1"/>
      <c r="C486" s="1"/>
      <c r="D486" s="1"/>
      <c r="E486" s="1"/>
      <c r="F486" s="1"/>
      <c r="G486" s="1"/>
      <c r="H486" s="1"/>
      <c r="I486" s="1"/>
      <c r="J486" s="1"/>
      <c r="K486" s="1"/>
      <c r="L486" s="1"/>
      <c r="M486" s="1"/>
      <c r="N486" s="1"/>
      <c r="O486" s="1"/>
      <c r="P486" s="1"/>
      <c r="Q486" s="1"/>
      <c r="R486" s="1"/>
      <c r="S486" s="1"/>
      <c r="T486" s="1"/>
      <c r="U486" s="2"/>
      <c r="V486" s="1"/>
      <c r="W486" s="1"/>
      <c r="X486" s="1"/>
      <c r="Y486" s="1"/>
      <c r="Z486" s="1"/>
    </row>
    <row r="487" spans="1:26" ht="24.75" customHeight="1">
      <c r="A487" s="1"/>
      <c r="B487" s="1"/>
      <c r="C487" s="1"/>
      <c r="D487" s="1"/>
      <c r="E487" s="1"/>
      <c r="F487" s="1"/>
      <c r="G487" s="1"/>
      <c r="H487" s="1"/>
      <c r="I487" s="1"/>
      <c r="J487" s="1"/>
      <c r="K487" s="1"/>
      <c r="L487" s="1"/>
      <c r="M487" s="1"/>
      <c r="N487" s="1"/>
      <c r="O487" s="1"/>
      <c r="P487" s="1"/>
      <c r="Q487" s="1"/>
      <c r="R487" s="1"/>
      <c r="S487" s="1"/>
      <c r="T487" s="1"/>
      <c r="U487" s="2"/>
      <c r="V487" s="1"/>
      <c r="W487" s="1"/>
      <c r="X487" s="1"/>
      <c r="Y487" s="1"/>
      <c r="Z487" s="1"/>
    </row>
    <row r="488" spans="1:26" ht="24.75" customHeight="1">
      <c r="A488" s="1"/>
      <c r="B488" s="1"/>
      <c r="C488" s="1"/>
      <c r="D488" s="1"/>
      <c r="E488" s="1"/>
      <c r="F488" s="1"/>
      <c r="G488" s="1"/>
      <c r="H488" s="1"/>
      <c r="I488" s="1"/>
      <c r="J488" s="1"/>
      <c r="K488" s="1"/>
      <c r="L488" s="1"/>
      <c r="M488" s="1"/>
      <c r="N488" s="1"/>
      <c r="O488" s="1"/>
      <c r="P488" s="1"/>
      <c r="Q488" s="1"/>
      <c r="R488" s="1"/>
      <c r="S488" s="1"/>
      <c r="T488" s="1"/>
      <c r="U488" s="2"/>
      <c r="V488" s="1"/>
      <c r="W488" s="1"/>
      <c r="X488" s="1"/>
      <c r="Y488" s="1"/>
      <c r="Z488" s="1"/>
    </row>
    <row r="489" spans="1:26" ht="24.75" customHeight="1">
      <c r="A489" s="1"/>
      <c r="B489" s="1"/>
      <c r="C489" s="1"/>
      <c r="D489" s="1"/>
      <c r="E489" s="1"/>
      <c r="F489" s="1"/>
      <c r="G489" s="1"/>
      <c r="H489" s="1"/>
      <c r="I489" s="1"/>
      <c r="J489" s="1"/>
      <c r="K489" s="1"/>
      <c r="L489" s="1"/>
      <c r="M489" s="1"/>
      <c r="N489" s="1"/>
      <c r="O489" s="1"/>
      <c r="P489" s="1"/>
      <c r="Q489" s="1"/>
      <c r="R489" s="1"/>
      <c r="S489" s="1"/>
      <c r="T489" s="1"/>
      <c r="U489" s="2"/>
      <c r="V489" s="1"/>
      <c r="W489" s="1"/>
      <c r="X489" s="1"/>
      <c r="Y489" s="1"/>
      <c r="Z489" s="1"/>
    </row>
    <row r="490" spans="1:26" ht="24.75" customHeight="1">
      <c r="A490" s="1"/>
      <c r="B490" s="1"/>
      <c r="C490" s="1"/>
      <c r="D490" s="1"/>
      <c r="E490" s="1"/>
      <c r="F490" s="1"/>
      <c r="G490" s="1"/>
      <c r="H490" s="1"/>
      <c r="I490" s="1"/>
      <c r="J490" s="1"/>
      <c r="K490" s="1"/>
      <c r="L490" s="1"/>
      <c r="M490" s="1"/>
      <c r="N490" s="1"/>
      <c r="O490" s="1"/>
      <c r="P490" s="1"/>
      <c r="Q490" s="1"/>
      <c r="R490" s="1"/>
      <c r="S490" s="1"/>
      <c r="T490" s="1"/>
      <c r="U490" s="2"/>
      <c r="V490" s="1"/>
      <c r="W490" s="1"/>
      <c r="X490" s="1"/>
      <c r="Y490" s="1"/>
      <c r="Z490" s="1"/>
    </row>
    <row r="491" spans="1:26" ht="24.75" customHeight="1">
      <c r="A491" s="1"/>
      <c r="B491" s="1"/>
      <c r="C491" s="1"/>
      <c r="D491" s="1"/>
      <c r="E491" s="1"/>
      <c r="F491" s="1"/>
      <c r="G491" s="1"/>
      <c r="H491" s="1"/>
      <c r="I491" s="1"/>
      <c r="J491" s="1"/>
      <c r="K491" s="1"/>
      <c r="L491" s="1"/>
      <c r="M491" s="1"/>
      <c r="N491" s="1"/>
      <c r="O491" s="1"/>
      <c r="P491" s="1"/>
      <c r="Q491" s="1"/>
      <c r="R491" s="1"/>
      <c r="S491" s="1"/>
      <c r="T491" s="1"/>
      <c r="U491" s="2"/>
      <c r="V491" s="1"/>
      <c r="W491" s="1"/>
      <c r="X491" s="1"/>
      <c r="Y491" s="1"/>
      <c r="Z491" s="1"/>
    </row>
    <row r="492" spans="1:26" ht="24.75" customHeight="1">
      <c r="A492" s="1"/>
      <c r="B492" s="1"/>
      <c r="C492" s="1"/>
      <c r="D492" s="1"/>
      <c r="E492" s="1"/>
      <c r="F492" s="1"/>
      <c r="G492" s="1"/>
      <c r="H492" s="1"/>
      <c r="I492" s="1"/>
      <c r="J492" s="1"/>
      <c r="K492" s="1"/>
      <c r="L492" s="1"/>
      <c r="M492" s="1"/>
      <c r="N492" s="1"/>
      <c r="O492" s="1"/>
      <c r="P492" s="1"/>
      <c r="Q492" s="1"/>
      <c r="R492" s="1"/>
      <c r="S492" s="1"/>
      <c r="T492" s="1"/>
      <c r="U492" s="2"/>
      <c r="V492" s="1"/>
      <c r="W492" s="1"/>
      <c r="X492" s="1"/>
      <c r="Y492" s="1"/>
      <c r="Z492" s="1"/>
    </row>
    <row r="493" spans="1:26" ht="24.75" customHeight="1">
      <c r="A493" s="1"/>
      <c r="B493" s="1"/>
      <c r="C493" s="1"/>
      <c r="D493" s="1"/>
      <c r="E493" s="1"/>
      <c r="F493" s="1"/>
      <c r="G493" s="1"/>
      <c r="H493" s="1"/>
      <c r="I493" s="1"/>
      <c r="J493" s="1"/>
      <c r="K493" s="1"/>
      <c r="L493" s="1"/>
      <c r="M493" s="1"/>
      <c r="N493" s="1"/>
      <c r="O493" s="1"/>
      <c r="P493" s="1"/>
      <c r="Q493" s="1"/>
      <c r="R493" s="1"/>
      <c r="S493" s="1"/>
      <c r="T493" s="1"/>
      <c r="U493" s="2"/>
      <c r="V493" s="1"/>
      <c r="W493" s="1"/>
      <c r="X493" s="1"/>
      <c r="Y493" s="1"/>
      <c r="Z493" s="1"/>
    </row>
    <row r="494" spans="1:26" ht="24.75" customHeight="1">
      <c r="A494" s="1"/>
      <c r="B494" s="1"/>
      <c r="C494" s="1"/>
      <c r="D494" s="1"/>
      <c r="E494" s="1"/>
      <c r="F494" s="1"/>
      <c r="G494" s="1"/>
      <c r="H494" s="1"/>
      <c r="I494" s="1"/>
      <c r="J494" s="1"/>
      <c r="K494" s="1"/>
      <c r="L494" s="1"/>
      <c r="M494" s="1"/>
      <c r="N494" s="1"/>
      <c r="O494" s="1"/>
      <c r="P494" s="1"/>
      <c r="Q494" s="1"/>
      <c r="R494" s="1"/>
      <c r="S494" s="1"/>
      <c r="T494" s="1"/>
      <c r="U494" s="2"/>
      <c r="V494" s="1"/>
      <c r="W494" s="1"/>
      <c r="X494" s="1"/>
      <c r="Y494" s="1"/>
      <c r="Z494" s="1"/>
    </row>
    <row r="495" spans="1:26" ht="24.75" customHeight="1">
      <c r="A495" s="1"/>
      <c r="B495" s="1"/>
      <c r="C495" s="1"/>
      <c r="D495" s="1"/>
      <c r="E495" s="1"/>
      <c r="F495" s="1"/>
      <c r="G495" s="1"/>
      <c r="H495" s="1"/>
      <c r="I495" s="1"/>
      <c r="J495" s="1"/>
      <c r="K495" s="1"/>
      <c r="L495" s="1"/>
      <c r="M495" s="1"/>
      <c r="N495" s="1"/>
      <c r="O495" s="1"/>
      <c r="P495" s="1"/>
      <c r="Q495" s="1"/>
      <c r="R495" s="1"/>
      <c r="S495" s="1"/>
      <c r="T495" s="1"/>
      <c r="U495" s="2"/>
      <c r="V495" s="1"/>
      <c r="W495" s="1"/>
      <c r="X495" s="1"/>
      <c r="Y495" s="1"/>
      <c r="Z495" s="1"/>
    </row>
    <row r="496" spans="1:26" ht="24.75" customHeight="1">
      <c r="A496" s="1"/>
      <c r="B496" s="1"/>
      <c r="C496" s="1"/>
      <c r="D496" s="1"/>
      <c r="E496" s="1"/>
      <c r="F496" s="1"/>
      <c r="G496" s="1"/>
      <c r="H496" s="1"/>
      <c r="I496" s="1"/>
      <c r="J496" s="1"/>
      <c r="K496" s="1"/>
      <c r="L496" s="1"/>
      <c r="M496" s="1"/>
      <c r="N496" s="1"/>
      <c r="O496" s="1"/>
      <c r="P496" s="1"/>
      <c r="Q496" s="1"/>
      <c r="R496" s="1"/>
      <c r="S496" s="1"/>
      <c r="T496" s="1"/>
      <c r="U496" s="2"/>
      <c r="V496" s="1"/>
      <c r="W496" s="1"/>
      <c r="X496" s="1"/>
      <c r="Y496" s="1"/>
      <c r="Z496" s="1"/>
    </row>
    <row r="497" spans="1:26" ht="24.75" customHeight="1">
      <c r="A497" s="1"/>
      <c r="B497" s="1"/>
      <c r="C497" s="1"/>
      <c r="D497" s="1"/>
      <c r="E497" s="1"/>
      <c r="F497" s="1"/>
      <c r="G497" s="1"/>
      <c r="H497" s="1"/>
      <c r="I497" s="1"/>
      <c r="J497" s="1"/>
      <c r="K497" s="1"/>
      <c r="L497" s="1"/>
      <c r="M497" s="1"/>
      <c r="N497" s="1"/>
      <c r="O497" s="1"/>
      <c r="P497" s="1"/>
      <c r="Q497" s="1"/>
      <c r="R497" s="1"/>
      <c r="S497" s="1"/>
      <c r="T497" s="1"/>
      <c r="U497" s="2"/>
      <c r="V497" s="1"/>
      <c r="W497" s="1"/>
      <c r="X497" s="1"/>
      <c r="Y497" s="1"/>
      <c r="Z497" s="1"/>
    </row>
    <row r="498" spans="1:26" ht="24.75" customHeight="1">
      <c r="A498" s="1"/>
      <c r="B498" s="1"/>
      <c r="C498" s="1"/>
      <c r="D498" s="1"/>
      <c r="E498" s="1"/>
      <c r="F498" s="1"/>
      <c r="G498" s="1"/>
      <c r="H498" s="1"/>
      <c r="I498" s="1"/>
      <c r="J498" s="1"/>
      <c r="K498" s="1"/>
      <c r="L498" s="1"/>
      <c r="M498" s="1"/>
      <c r="N498" s="1"/>
      <c r="O498" s="1"/>
      <c r="P498" s="1"/>
      <c r="Q498" s="1"/>
      <c r="R498" s="1"/>
      <c r="S498" s="1"/>
      <c r="T498" s="1"/>
      <c r="U498" s="2"/>
      <c r="V498" s="1"/>
      <c r="W498" s="1"/>
      <c r="X498" s="1"/>
      <c r="Y498" s="1"/>
      <c r="Z498" s="1"/>
    </row>
    <row r="499" spans="1:26" ht="24.75" customHeight="1">
      <c r="A499" s="1"/>
      <c r="B499" s="1"/>
      <c r="C499" s="1"/>
      <c r="D499" s="1"/>
      <c r="E499" s="1"/>
      <c r="F499" s="1"/>
      <c r="G499" s="1"/>
      <c r="H499" s="1"/>
      <c r="I499" s="1"/>
      <c r="J499" s="1"/>
      <c r="K499" s="1"/>
      <c r="L499" s="1"/>
      <c r="M499" s="1"/>
      <c r="N499" s="1"/>
      <c r="O499" s="1"/>
      <c r="P499" s="1"/>
      <c r="Q499" s="1"/>
      <c r="R499" s="1"/>
      <c r="S499" s="1"/>
      <c r="T499" s="1"/>
      <c r="U499" s="2"/>
      <c r="V499" s="1"/>
      <c r="W499" s="1"/>
      <c r="X499" s="1"/>
      <c r="Y499" s="1"/>
      <c r="Z499" s="1"/>
    </row>
    <row r="500" spans="1:26" ht="24.75" customHeight="1">
      <c r="A500" s="1"/>
      <c r="B500" s="1"/>
      <c r="C500" s="1"/>
      <c r="D500" s="1"/>
      <c r="E500" s="1"/>
      <c r="F500" s="1"/>
      <c r="G500" s="1"/>
      <c r="H500" s="1"/>
      <c r="I500" s="1"/>
      <c r="J500" s="1"/>
      <c r="K500" s="1"/>
      <c r="L500" s="1"/>
      <c r="M500" s="1"/>
      <c r="N500" s="1"/>
      <c r="O500" s="1"/>
      <c r="P500" s="1"/>
      <c r="Q500" s="1"/>
      <c r="R500" s="1"/>
      <c r="S500" s="1"/>
      <c r="T500" s="1"/>
      <c r="U500" s="2"/>
      <c r="V500" s="1"/>
      <c r="W500" s="1"/>
      <c r="X500" s="1"/>
      <c r="Y500" s="1"/>
      <c r="Z500" s="1"/>
    </row>
    <row r="501" spans="1:26" ht="24.75" customHeight="1">
      <c r="A501" s="1"/>
      <c r="B501" s="1"/>
      <c r="C501" s="1"/>
      <c r="D501" s="1"/>
      <c r="E501" s="1"/>
      <c r="F501" s="1"/>
      <c r="G501" s="1"/>
      <c r="H501" s="1"/>
      <c r="I501" s="1"/>
      <c r="J501" s="1"/>
      <c r="K501" s="1"/>
      <c r="L501" s="1"/>
      <c r="M501" s="1"/>
      <c r="N501" s="1"/>
      <c r="O501" s="1"/>
      <c r="P501" s="1"/>
      <c r="Q501" s="1"/>
      <c r="R501" s="1"/>
      <c r="S501" s="1"/>
      <c r="T501" s="1"/>
      <c r="U501" s="2"/>
      <c r="V501" s="1"/>
      <c r="W501" s="1"/>
      <c r="X501" s="1"/>
      <c r="Y501" s="1"/>
      <c r="Z501" s="1"/>
    </row>
    <row r="502" spans="1:26" ht="24.75" customHeight="1">
      <c r="A502" s="1"/>
      <c r="B502" s="1"/>
      <c r="C502" s="1"/>
      <c r="D502" s="1"/>
      <c r="E502" s="1"/>
      <c r="F502" s="1"/>
      <c r="G502" s="1"/>
      <c r="H502" s="1"/>
      <c r="I502" s="1"/>
      <c r="J502" s="1"/>
      <c r="K502" s="1"/>
      <c r="L502" s="1"/>
      <c r="M502" s="1"/>
      <c r="N502" s="1"/>
      <c r="O502" s="1"/>
      <c r="P502" s="1"/>
      <c r="Q502" s="1"/>
      <c r="R502" s="1"/>
      <c r="S502" s="1"/>
      <c r="T502" s="1"/>
      <c r="U502" s="2"/>
      <c r="V502" s="1"/>
      <c r="W502" s="1"/>
      <c r="X502" s="1"/>
      <c r="Y502" s="1"/>
      <c r="Z502" s="1"/>
    </row>
    <row r="503" spans="1:26" ht="24.75" customHeight="1">
      <c r="A503" s="1"/>
      <c r="B503" s="1"/>
      <c r="C503" s="1"/>
      <c r="D503" s="1"/>
      <c r="E503" s="1"/>
      <c r="F503" s="1"/>
      <c r="G503" s="1"/>
      <c r="H503" s="1"/>
      <c r="I503" s="1"/>
      <c r="J503" s="1"/>
      <c r="K503" s="1"/>
      <c r="L503" s="1"/>
      <c r="M503" s="1"/>
      <c r="N503" s="1"/>
      <c r="O503" s="1"/>
      <c r="P503" s="1"/>
      <c r="Q503" s="1"/>
      <c r="R503" s="1"/>
      <c r="S503" s="1"/>
      <c r="T503" s="1"/>
      <c r="U503" s="2"/>
      <c r="V503" s="1"/>
      <c r="W503" s="1"/>
      <c r="X503" s="1"/>
      <c r="Y503" s="1"/>
      <c r="Z503" s="1"/>
    </row>
    <row r="504" spans="1:26" ht="24.75" customHeight="1">
      <c r="A504" s="1"/>
      <c r="B504" s="1"/>
      <c r="C504" s="1"/>
      <c r="D504" s="1"/>
      <c r="E504" s="1"/>
      <c r="F504" s="1"/>
      <c r="G504" s="1"/>
      <c r="H504" s="1"/>
      <c r="I504" s="1"/>
      <c r="J504" s="1"/>
      <c r="K504" s="1"/>
      <c r="L504" s="1"/>
      <c r="M504" s="1"/>
      <c r="N504" s="1"/>
      <c r="O504" s="1"/>
      <c r="P504" s="1"/>
      <c r="Q504" s="1"/>
      <c r="R504" s="1"/>
      <c r="S504" s="1"/>
      <c r="T504" s="1"/>
      <c r="U504" s="2"/>
      <c r="V504" s="1"/>
      <c r="W504" s="1"/>
      <c r="X504" s="1"/>
      <c r="Y504" s="1"/>
      <c r="Z504" s="1"/>
    </row>
    <row r="505" spans="1:26" ht="24.75" customHeight="1">
      <c r="A505" s="1"/>
      <c r="B505" s="1"/>
      <c r="C505" s="1"/>
      <c r="D505" s="1"/>
      <c r="E505" s="1"/>
      <c r="F505" s="1"/>
      <c r="G505" s="1"/>
      <c r="H505" s="1"/>
      <c r="I505" s="1"/>
      <c r="J505" s="1"/>
      <c r="K505" s="1"/>
      <c r="L505" s="1"/>
      <c r="M505" s="1"/>
      <c r="N505" s="1"/>
      <c r="O505" s="1"/>
      <c r="P505" s="1"/>
      <c r="Q505" s="1"/>
      <c r="R505" s="1"/>
      <c r="S505" s="1"/>
      <c r="T505" s="1"/>
      <c r="U505" s="2"/>
      <c r="V505" s="1"/>
      <c r="W505" s="1"/>
      <c r="X505" s="1"/>
      <c r="Y505" s="1"/>
      <c r="Z505" s="1"/>
    </row>
    <row r="506" spans="1:26" ht="24.75" customHeight="1">
      <c r="A506" s="1"/>
      <c r="B506" s="1"/>
      <c r="C506" s="1"/>
      <c r="D506" s="1"/>
      <c r="E506" s="1"/>
      <c r="F506" s="1"/>
      <c r="G506" s="1"/>
      <c r="H506" s="1"/>
      <c r="I506" s="1"/>
      <c r="J506" s="1"/>
      <c r="K506" s="1"/>
      <c r="L506" s="1"/>
      <c r="M506" s="1"/>
      <c r="N506" s="1"/>
      <c r="O506" s="1"/>
      <c r="P506" s="1"/>
      <c r="Q506" s="1"/>
      <c r="R506" s="1"/>
      <c r="S506" s="1"/>
      <c r="T506" s="1"/>
      <c r="U506" s="2"/>
      <c r="V506" s="1"/>
      <c r="W506" s="1"/>
      <c r="X506" s="1"/>
      <c r="Y506" s="1"/>
      <c r="Z506" s="1"/>
    </row>
    <row r="507" spans="1:26" ht="24.75" customHeight="1">
      <c r="A507" s="1"/>
      <c r="B507" s="1"/>
      <c r="C507" s="1"/>
      <c r="D507" s="1"/>
      <c r="E507" s="1"/>
      <c r="F507" s="1"/>
      <c r="G507" s="1"/>
      <c r="H507" s="1"/>
      <c r="I507" s="1"/>
      <c r="J507" s="1"/>
      <c r="K507" s="1"/>
      <c r="L507" s="1"/>
      <c r="M507" s="1"/>
      <c r="N507" s="1"/>
      <c r="O507" s="1"/>
      <c r="P507" s="1"/>
      <c r="Q507" s="1"/>
      <c r="R507" s="1"/>
      <c r="S507" s="1"/>
      <c r="T507" s="1"/>
      <c r="U507" s="2"/>
      <c r="V507" s="1"/>
      <c r="W507" s="1"/>
      <c r="X507" s="1"/>
      <c r="Y507" s="1"/>
      <c r="Z507" s="1"/>
    </row>
    <row r="508" spans="1:26" ht="24.75" customHeight="1">
      <c r="A508" s="1"/>
      <c r="B508" s="1"/>
      <c r="C508" s="1"/>
      <c r="D508" s="1"/>
      <c r="E508" s="1"/>
      <c r="F508" s="1"/>
      <c r="G508" s="1"/>
      <c r="H508" s="1"/>
      <c r="I508" s="1"/>
      <c r="J508" s="1"/>
      <c r="K508" s="1"/>
      <c r="L508" s="1"/>
      <c r="M508" s="1"/>
      <c r="N508" s="1"/>
      <c r="O508" s="1"/>
      <c r="P508" s="1"/>
      <c r="Q508" s="1"/>
      <c r="R508" s="1"/>
      <c r="S508" s="1"/>
      <c r="T508" s="1"/>
      <c r="U508" s="2"/>
      <c r="V508" s="1"/>
      <c r="W508" s="1"/>
      <c r="X508" s="1"/>
      <c r="Y508" s="1"/>
      <c r="Z508" s="1"/>
    </row>
    <row r="509" spans="1:26" ht="24.75" customHeight="1">
      <c r="A509" s="1"/>
      <c r="B509" s="1"/>
      <c r="C509" s="1"/>
      <c r="D509" s="1"/>
      <c r="E509" s="1"/>
      <c r="F509" s="1"/>
      <c r="G509" s="1"/>
      <c r="H509" s="1"/>
      <c r="I509" s="1"/>
      <c r="J509" s="1"/>
      <c r="K509" s="1"/>
      <c r="L509" s="1"/>
      <c r="M509" s="1"/>
      <c r="N509" s="1"/>
      <c r="O509" s="1"/>
      <c r="P509" s="1"/>
      <c r="Q509" s="1"/>
      <c r="R509" s="1"/>
      <c r="S509" s="1"/>
      <c r="T509" s="1"/>
      <c r="U509" s="2"/>
      <c r="V509" s="1"/>
      <c r="W509" s="1"/>
      <c r="X509" s="1"/>
      <c r="Y509" s="1"/>
      <c r="Z509" s="1"/>
    </row>
    <row r="510" spans="1:26" ht="24.75" customHeight="1">
      <c r="A510" s="1"/>
      <c r="B510" s="1"/>
      <c r="C510" s="1"/>
      <c r="D510" s="1"/>
      <c r="E510" s="1"/>
      <c r="F510" s="1"/>
      <c r="G510" s="1"/>
      <c r="H510" s="1"/>
      <c r="I510" s="1"/>
      <c r="J510" s="1"/>
      <c r="K510" s="1"/>
      <c r="L510" s="1"/>
      <c r="M510" s="1"/>
      <c r="N510" s="1"/>
      <c r="O510" s="1"/>
      <c r="P510" s="1"/>
      <c r="Q510" s="1"/>
      <c r="R510" s="1"/>
      <c r="S510" s="1"/>
      <c r="T510" s="1"/>
      <c r="U510" s="2"/>
      <c r="V510" s="1"/>
      <c r="W510" s="1"/>
      <c r="X510" s="1"/>
      <c r="Y510" s="1"/>
      <c r="Z510" s="1"/>
    </row>
    <row r="511" spans="1:26" ht="24.75" customHeight="1">
      <c r="A511" s="1"/>
      <c r="B511" s="1"/>
      <c r="C511" s="1"/>
      <c r="D511" s="1"/>
      <c r="E511" s="1"/>
      <c r="F511" s="1"/>
      <c r="G511" s="1"/>
      <c r="H511" s="1"/>
      <c r="I511" s="1"/>
      <c r="J511" s="1"/>
      <c r="K511" s="1"/>
      <c r="L511" s="1"/>
      <c r="M511" s="1"/>
      <c r="N511" s="1"/>
      <c r="O511" s="1"/>
      <c r="P511" s="1"/>
      <c r="Q511" s="1"/>
      <c r="R511" s="1"/>
      <c r="S511" s="1"/>
      <c r="T511" s="1"/>
      <c r="U511" s="2"/>
      <c r="V511" s="1"/>
      <c r="W511" s="1"/>
      <c r="X511" s="1"/>
      <c r="Y511" s="1"/>
      <c r="Z511" s="1"/>
    </row>
    <row r="512" spans="1:26" ht="24.75" customHeight="1">
      <c r="A512" s="1"/>
      <c r="B512" s="1"/>
      <c r="C512" s="1"/>
      <c r="D512" s="1"/>
      <c r="E512" s="1"/>
      <c r="F512" s="1"/>
      <c r="G512" s="1"/>
      <c r="H512" s="1"/>
      <c r="I512" s="1"/>
      <c r="J512" s="1"/>
      <c r="K512" s="1"/>
      <c r="L512" s="1"/>
      <c r="M512" s="1"/>
      <c r="N512" s="1"/>
      <c r="O512" s="1"/>
      <c r="P512" s="1"/>
      <c r="Q512" s="1"/>
      <c r="R512" s="1"/>
      <c r="S512" s="1"/>
      <c r="T512" s="1"/>
      <c r="U512" s="2"/>
      <c r="V512" s="1"/>
      <c r="W512" s="1"/>
      <c r="X512" s="1"/>
      <c r="Y512" s="1"/>
      <c r="Z512" s="1"/>
    </row>
    <row r="513" spans="1:26" ht="24.75" customHeight="1">
      <c r="A513" s="1"/>
      <c r="B513" s="1"/>
      <c r="C513" s="1"/>
      <c r="D513" s="1"/>
      <c r="E513" s="1"/>
      <c r="F513" s="1"/>
      <c r="G513" s="1"/>
      <c r="H513" s="1"/>
      <c r="I513" s="1"/>
      <c r="J513" s="1"/>
      <c r="K513" s="1"/>
      <c r="L513" s="1"/>
      <c r="M513" s="1"/>
      <c r="N513" s="1"/>
      <c r="O513" s="1"/>
      <c r="P513" s="1"/>
      <c r="Q513" s="1"/>
      <c r="R513" s="1"/>
      <c r="S513" s="1"/>
      <c r="T513" s="1"/>
      <c r="U513" s="2"/>
      <c r="V513" s="1"/>
      <c r="W513" s="1"/>
      <c r="X513" s="1"/>
      <c r="Y513" s="1"/>
      <c r="Z513" s="1"/>
    </row>
    <row r="514" spans="1:26" ht="24.75" customHeight="1">
      <c r="A514" s="1"/>
      <c r="B514" s="1"/>
      <c r="C514" s="1"/>
      <c r="D514" s="1"/>
      <c r="E514" s="1"/>
      <c r="F514" s="1"/>
      <c r="G514" s="1"/>
      <c r="H514" s="1"/>
      <c r="I514" s="1"/>
      <c r="J514" s="1"/>
      <c r="K514" s="1"/>
      <c r="L514" s="1"/>
      <c r="M514" s="1"/>
      <c r="N514" s="1"/>
      <c r="O514" s="1"/>
      <c r="P514" s="1"/>
      <c r="Q514" s="1"/>
      <c r="R514" s="1"/>
      <c r="S514" s="1"/>
      <c r="T514" s="1"/>
      <c r="U514" s="2"/>
      <c r="V514" s="1"/>
      <c r="W514" s="1"/>
      <c r="X514" s="1"/>
      <c r="Y514" s="1"/>
      <c r="Z514" s="1"/>
    </row>
    <row r="515" spans="1:26" ht="24.75" customHeight="1">
      <c r="A515" s="1"/>
      <c r="B515" s="1"/>
      <c r="C515" s="1"/>
      <c r="D515" s="1"/>
      <c r="E515" s="1"/>
      <c r="F515" s="1"/>
      <c r="G515" s="1"/>
      <c r="H515" s="1"/>
      <c r="I515" s="1"/>
      <c r="J515" s="1"/>
      <c r="K515" s="1"/>
      <c r="L515" s="1"/>
      <c r="M515" s="1"/>
      <c r="N515" s="1"/>
      <c r="O515" s="1"/>
      <c r="P515" s="1"/>
      <c r="Q515" s="1"/>
      <c r="R515" s="1"/>
      <c r="S515" s="1"/>
      <c r="T515" s="1"/>
      <c r="U515" s="2"/>
      <c r="V515" s="1"/>
      <c r="W515" s="1"/>
      <c r="X515" s="1"/>
      <c r="Y515" s="1"/>
      <c r="Z515" s="1"/>
    </row>
    <row r="516" spans="1:26" ht="24.75" customHeight="1">
      <c r="A516" s="1"/>
      <c r="B516" s="1"/>
      <c r="C516" s="1"/>
      <c r="D516" s="1"/>
      <c r="E516" s="1"/>
      <c r="F516" s="1"/>
      <c r="G516" s="1"/>
      <c r="H516" s="1"/>
      <c r="I516" s="1"/>
      <c r="J516" s="1"/>
      <c r="K516" s="1"/>
      <c r="L516" s="1"/>
      <c r="M516" s="1"/>
      <c r="N516" s="1"/>
      <c r="O516" s="1"/>
      <c r="P516" s="1"/>
      <c r="Q516" s="1"/>
      <c r="R516" s="1"/>
      <c r="S516" s="1"/>
      <c r="T516" s="1"/>
      <c r="U516" s="2"/>
      <c r="V516" s="1"/>
      <c r="W516" s="1"/>
      <c r="X516" s="1"/>
      <c r="Y516" s="1"/>
      <c r="Z516" s="1"/>
    </row>
    <row r="517" spans="1:26" ht="24.75" customHeight="1">
      <c r="A517" s="1"/>
      <c r="B517" s="1"/>
      <c r="C517" s="1"/>
      <c r="D517" s="1"/>
      <c r="E517" s="1"/>
      <c r="F517" s="1"/>
      <c r="G517" s="1"/>
      <c r="H517" s="1"/>
      <c r="I517" s="1"/>
      <c r="J517" s="1"/>
      <c r="K517" s="1"/>
      <c r="L517" s="1"/>
      <c r="M517" s="1"/>
      <c r="N517" s="1"/>
      <c r="O517" s="1"/>
      <c r="P517" s="1"/>
      <c r="Q517" s="1"/>
      <c r="R517" s="1"/>
      <c r="S517" s="1"/>
      <c r="T517" s="1"/>
      <c r="U517" s="2"/>
      <c r="V517" s="1"/>
      <c r="W517" s="1"/>
      <c r="X517" s="1"/>
      <c r="Y517" s="1"/>
      <c r="Z517" s="1"/>
    </row>
    <row r="518" spans="1:26" ht="24.75" customHeight="1">
      <c r="A518" s="1"/>
      <c r="B518" s="1"/>
      <c r="C518" s="1"/>
      <c r="D518" s="1"/>
      <c r="E518" s="1"/>
      <c r="F518" s="1"/>
      <c r="G518" s="1"/>
      <c r="H518" s="1"/>
      <c r="I518" s="1"/>
      <c r="J518" s="1"/>
      <c r="K518" s="1"/>
      <c r="L518" s="1"/>
      <c r="M518" s="1"/>
      <c r="N518" s="1"/>
      <c r="O518" s="1"/>
      <c r="P518" s="1"/>
      <c r="Q518" s="1"/>
      <c r="R518" s="1"/>
      <c r="S518" s="1"/>
      <c r="T518" s="1"/>
      <c r="U518" s="2"/>
      <c r="V518" s="1"/>
      <c r="W518" s="1"/>
      <c r="X518" s="1"/>
      <c r="Y518" s="1"/>
      <c r="Z518" s="1"/>
    </row>
    <row r="519" spans="1:26" ht="24.75" customHeight="1">
      <c r="A519" s="1"/>
      <c r="B519" s="1"/>
      <c r="C519" s="1"/>
      <c r="D519" s="1"/>
      <c r="E519" s="1"/>
      <c r="F519" s="1"/>
      <c r="G519" s="1"/>
      <c r="H519" s="1"/>
      <c r="I519" s="1"/>
      <c r="J519" s="1"/>
      <c r="K519" s="1"/>
      <c r="L519" s="1"/>
      <c r="M519" s="1"/>
      <c r="N519" s="1"/>
      <c r="O519" s="1"/>
      <c r="P519" s="1"/>
      <c r="Q519" s="1"/>
      <c r="R519" s="1"/>
      <c r="S519" s="1"/>
      <c r="T519" s="1"/>
      <c r="U519" s="2"/>
      <c r="V519" s="1"/>
      <c r="W519" s="1"/>
      <c r="X519" s="1"/>
      <c r="Y519" s="1"/>
      <c r="Z519" s="1"/>
    </row>
    <row r="520" spans="1:26" ht="24.75" customHeight="1">
      <c r="A520" s="1"/>
      <c r="B520" s="1"/>
      <c r="C520" s="1"/>
      <c r="D520" s="1"/>
      <c r="E520" s="1"/>
      <c r="F520" s="1"/>
      <c r="G520" s="1"/>
      <c r="H520" s="1"/>
      <c r="I520" s="1"/>
      <c r="J520" s="1"/>
      <c r="K520" s="1"/>
      <c r="L520" s="1"/>
      <c r="M520" s="1"/>
      <c r="N520" s="1"/>
      <c r="O520" s="1"/>
      <c r="P520" s="1"/>
      <c r="Q520" s="1"/>
      <c r="R520" s="1"/>
      <c r="S520" s="1"/>
      <c r="T520" s="1"/>
      <c r="U520" s="2"/>
      <c r="V520" s="1"/>
      <c r="W520" s="1"/>
      <c r="X520" s="1"/>
      <c r="Y520" s="1"/>
      <c r="Z520" s="1"/>
    </row>
    <row r="521" spans="1:26" ht="24.75" customHeight="1">
      <c r="A521" s="1"/>
      <c r="B521" s="1"/>
      <c r="C521" s="1"/>
      <c r="D521" s="1"/>
      <c r="E521" s="1"/>
      <c r="F521" s="1"/>
      <c r="G521" s="1"/>
      <c r="H521" s="1"/>
      <c r="I521" s="1"/>
      <c r="J521" s="1"/>
      <c r="K521" s="1"/>
      <c r="L521" s="1"/>
      <c r="M521" s="1"/>
      <c r="N521" s="1"/>
      <c r="O521" s="1"/>
      <c r="P521" s="1"/>
      <c r="Q521" s="1"/>
      <c r="R521" s="1"/>
      <c r="S521" s="1"/>
      <c r="T521" s="1"/>
      <c r="U521" s="2"/>
      <c r="V521" s="1"/>
      <c r="W521" s="1"/>
      <c r="X521" s="1"/>
      <c r="Y521" s="1"/>
      <c r="Z521" s="1"/>
    </row>
    <row r="522" spans="1:26" ht="24.75" customHeight="1">
      <c r="A522" s="1"/>
      <c r="B522" s="1"/>
      <c r="C522" s="1"/>
      <c r="D522" s="1"/>
      <c r="E522" s="1"/>
      <c r="F522" s="1"/>
      <c r="G522" s="1"/>
      <c r="H522" s="1"/>
      <c r="I522" s="1"/>
      <c r="J522" s="1"/>
      <c r="K522" s="1"/>
      <c r="L522" s="1"/>
      <c r="M522" s="1"/>
      <c r="N522" s="1"/>
      <c r="O522" s="1"/>
      <c r="P522" s="1"/>
      <c r="Q522" s="1"/>
      <c r="R522" s="1"/>
      <c r="S522" s="1"/>
      <c r="T522" s="1"/>
      <c r="U522" s="2"/>
      <c r="V522" s="1"/>
      <c r="W522" s="1"/>
      <c r="X522" s="1"/>
      <c r="Y522" s="1"/>
      <c r="Z522" s="1"/>
    </row>
    <row r="523" spans="1:26" ht="24.75" customHeight="1">
      <c r="A523" s="1"/>
      <c r="B523" s="1"/>
      <c r="C523" s="1"/>
      <c r="D523" s="1"/>
      <c r="E523" s="1"/>
      <c r="F523" s="1"/>
      <c r="G523" s="1"/>
      <c r="H523" s="1"/>
      <c r="I523" s="1"/>
      <c r="J523" s="1"/>
      <c r="K523" s="1"/>
      <c r="L523" s="1"/>
      <c r="M523" s="1"/>
      <c r="N523" s="1"/>
      <c r="O523" s="1"/>
      <c r="P523" s="1"/>
      <c r="Q523" s="1"/>
      <c r="R523" s="1"/>
      <c r="S523" s="1"/>
      <c r="T523" s="1"/>
      <c r="U523" s="2"/>
      <c r="V523" s="1"/>
      <c r="W523" s="1"/>
      <c r="X523" s="1"/>
      <c r="Y523" s="1"/>
      <c r="Z523" s="1"/>
    </row>
    <row r="524" spans="1:26" ht="24.75" customHeight="1">
      <c r="A524" s="1"/>
      <c r="B524" s="1"/>
      <c r="C524" s="1"/>
      <c r="D524" s="1"/>
      <c r="E524" s="1"/>
      <c r="F524" s="1"/>
      <c r="G524" s="1"/>
      <c r="H524" s="1"/>
      <c r="I524" s="1"/>
      <c r="J524" s="1"/>
      <c r="K524" s="1"/>
      <c r="L524" s="1"/>
      <c r="M524" s="1"/>
      <c r="N524" s="1"/>
      <c r="O524" s="1"/>
      <c r="P524" s="1"/>
      <c r="Q524" s="1"/>
      <c r="R524" s="1"/>
      <c r="S524" s="1"/>
      <c r="T524" s="1"/>
      <c r="U524" s="2"/>
      <c r="V524" s="1"/>
      <c r="W524" s="1"/>
      <c r="X524" s="1"/>
      <c r="Y524" s="1"/>
      <c r="Z524" s="1"/>
    </row>
    <row r="525" spans="1:26" ht="24.75" customHeight="1">
      <c r="A525" s="1"/>
      <c r="B525" s="1"/>
      <c r="C525" s="1"/>
      <c r="D525" s="1"/>
      <c r="E525" s="1"/>
      <c r="F525" s="1"/>
      <c r="G525" s="1"/>
      <c r="H525" s="1"/>
      <c r="I525" s="1"/>
      <c r="J525" s="1"/>
      <c r="K525" s="1"/>
      <c r="L525" s="1"/>
      <c r="M525" s="1"/>
      <c r="N525" s="1"/>
      <c r="O525" s="1"/>
      <c r="P525" s="1"/>
      <c r="Q525" s="1"/>
      <c r="R525" s="1"/>
      <c r="S525" s="1"/>
      <c r="T525" s="1"/>
      <c r="U525" s="2"/>
      <c r="V525" s="1"/>
      <c r="W525" s="1"/>
      <c r="X525" s="1"/>
      <c r="Y525" s="1"/>
      <c r="Z525" s="1"/>
    </row>
    <row r="526" spans="1:26" ht="24.75" customHeight="1">
      <c r="A526" s="1"/>
      <c r="B526" s="1"/>
      <c r="C526" s="1"/>
      <c r="D526" s="1"/>
      <c r="E526" s="1"/>
      <c r="F526" s="1"/>
      <c r="G526" s="1"/>
      <c r="H526" s="1"/>
      <c r="I526" s="1"/>
      <c r="J526" s="1"/>
      <c r="K526" s="1"/>
      <c r="L526" s="1"/>
      <c r="M526" s="1"/>
      <c r="N526" s="1"/>
      <c r="O526" s="1"/>
      <c r="P526" s="1"/>
      <c r="Q526" s="1"/>
      <c r="R526" s="1"/>
      <c r="S526" s="1"/>
      <c r="T526" s="1"/>
      <c r="U526" s="2"/>
      <c r="V526" s="1"/>
      <c r="W526" s="1"/>
      <c r="X526" s="1"/>
      <c r="Y526" s="1"/>
      <c r="Z526" s="1"/>
    </row>
    <row r="527" spans="1:26" ht="24.75" customHeight="1">
      <c r="A527" s="1"/>
      <c r="B527" s="1"/>
      <c r="C527" s="1"/>
      <c r="D527" s="1"/>
      <c r="E527" s="1"/>
      <c r="F527" s="1"/>
      <c r="G527" s="1"/>
      <c r="H527" s="1"/>
      <c r="I527" s="1"/>
      <c r="J527" s="1"/>
      <c r="K527" s="1"/>
      <c r="L527" s="1"/>
      <c r="M527" s="1"/>
      <c r="N527" s="1"/>
      <c r="O527" s="1"/>
      <c r="P527" s="1"/>
      <c r="Q527" s="1"/>
      <c r="R527" s="1"/>
      <c r="S527" s="1"/>
      <c r="T527" s="1"/>
      <c r="U527" s="2"/>
      <c r="V527" s="1"/>
      <c r="W527" s="1"/>
      <c r="X527" s="1"/>
      <c r="Y527" s="1"/>
      <c r="Z527" s="1"/>
    </row>
    <row r="528" spans="1:26" ht="24.75" customHeight="1">
      <c r="A528" s="1"/>
      <c r="B528" s="1"/>
      <c r="C528" s="1"/>
      <c r="D528" s="1"/>
      <c r="E528" s="1"/>
      <c r="F528" s="1"/>
      <c r="G528" s="1"/>
      <c r="H528" s="1"/>
      <c r="I528" s="1"/>
      <c r="J528" s="1"/>
      <c r="K528" s="1"/>
      <c r="L528" s="1"/>
      <c r="M528" s="1"/>
      <c r="N528" s="1"/>
      <c r="O528" s="1"/>
      <c r="P528" s="1"/>
      <c r="Q528" s="1"/>
      <c r="R528" s="1"/>
      <c r="S528" s="1"/>
      <c r="T528" s="1"/>
      <c r="U528" s="2"/>
      <c r="V528" s="1"/>
      <c r="W528" s="1"/>
      <c r="X528" s="1"/>
      <c r="Y528" s="1"/>
      <c r="Z528" s="1"/>
    </row>
    <row r="529" spans="1:26" ht="24.75" customHeight="1">
      <c r="A529" s="1"/>
      <c r="B529" s="1"/>
      <c r="C529" s="1"/>
      <c r="D529" s="1"/>
      <c r="E529" s="1"/>
      <c r="F529" s="1"/>
      <c r="G529" s="1"/>
      <c r="H529" s="1"/>
      <c r="I529" s="1"/>
      <c r="J529" s="1"/>
      <c r="K529" s="1"/>
      <c r="L529" s="1"/>
      <c r="M529" s="1"/>
      <c r="N529" s="1"/>
      <c r="O529" s="1"/>
      <c r="P529" s="1"/>
      <c r="Q529" s="1"/>
      <c r="R529" s="1"/>
      <c r="S529" s="1"/>
      <c r="T529" s="1"/>
      <c r="U529" s="2"/>
      <c r="V529" s="1"/>
      <c r="W529" s="1"/>
      <c r="X529" s="1"/>
      <c r="Y529" s="1"/>
      <c r="Z529" s="1"/>
    </row>
    <row r="530" spans="1:26" ht="24.75" customHeight="1">
      <c r="A530" s="1"/>
      <c r="B530" s="1"/>
      <c r="C530" s="1"/>
      <c r="D530" s="1"/>
      <c r="E530" s="1"/>
      <c r="F530" s="1"/>
      <c r="G530" s="1"/>
      <c r="H530" s="1"/>
      <c r="I530" s="1"/>
      <c r="J530" s="1"/>
      <c r="K530" s="1"/>
      <c r="L530" s="1"/>
      <c r="M530" s="1"/>
      <c r="N530" s="1"/>
      <c r="O530" s="1"/>
      <c r="P530" s="1"/>
      <c r="Q530" s="1"/>
      <c r="R530" s="1"/>
      <c r="S530" s="1"/>
      <c r="T530" s="1"/>
      <c r="U530" s="2"/>
      <c r="V530" s="1"/>
      <c r="W530" s="1"/>
      <c r="X530" s="1"/>
      <c r="Y530" s="1"/>
      <c r="Z530" s="1"/>
    </row>
    <row r="531" spans="1:26" ht="24.75" customHeight="1">
      <c r="A531" s="1"/>
      <c r="B531" s="1"/>
      <c r="C531" s="1"/>
      <c r="D531" s="1"/>
      <c r="E531" s="1"/>
      <c r="F531" s="1"/>
      <c r="G531" s="1"/>
      <c r="H531" s="1"/>
      <c r="I531" s="1"/>
      <c r="J531" s="1"/>
      <c r="K531" s="1"/>
      <c r="L531" s="1"/>
      <c r="M531" s="1"/>
      <c r="N531" s="1"/>
      <c r="O531" s="1"/>
      <c r="P531" s="1"/>
      <c r="Q531" s="1"/>
      <c r="R531" s="1"/>
      <c r="S531" s="1"/>
      <c r="T531" s="1"/>
      <c r="U531" s="2"/>
      <c r="V531" s="1"/>
      <c r="W531" s="1"/>
      <c r="X531" s="1"/>
      <c r="Y531" s="1"/>
      <c r="Z531" s="1"/>
    </row>
    <row r="532" spans="1:26" ht="24.75" customHeight="1">
      <c r="A532" s="1"/>
      <c r="B532" s="1"/>
      <c r="C532" s="1"/>
      <c r="D532" s="1"/>
      <c r="E532" s="1"/>
      <c r="F532" s="1"/>
      <c r="G532" s="1"/>
      <c r="H532" s="1"/>
      <c r="I532" s="1"/>
      <c r="J532" s="1"/>
      <c r="K532" s="1"/>
      <c r="L532" s="1"/>
      <c r="M532" s="1"/>
      <c r="N532" s="1"/>
      <c r="O532" s="1"/>
      <c r="P532" s="1"/>
      <c r="Q532" s="1"/>
      <c r="R532" s="1"/>
      <c r="S532" s="1"/>
      <c r="T532" s="1"/>
      <c r="U532" s="2"/>
      <c r="V532" s="1"/>
      <c r="W532" s="1"/>
      <c r="X532" s="1"/>
      <c r="Y532" s="1"/>
      <c r="Z532" s="1"/>
    </row>
    <row r="533" spans="1:26" ht="24.75" customHeight="1">
      <c r="A533" s="1"/>
      <c r="B533" s="1"/>
      <c r="C533" s="1"/>
      <c r="D533" s="1"/>
      <c r="E533" s="1"/>
      <c r="F533" s="1"/>
      <c r="G533" s="1"/>
      <c r="H533" s="1"/>
      <c r="I533" s="1"/>
      <c r="J533" s="1"/>
      <c r="K533" s="1"/>
      <c r="L533" s="1"/>
      <c r="M533" s="1"/>
      <c r="N533" s="1"/>
      <c r="O533" s="1"/>
      <c r="P533" s="1"/>
      <c r="Q533" s="1"/>
      <c r="R533" s="1"/>
      <c r="S533" s="1"/>
      <c r="T533" s="1"/>
      <c r="U533" s="2"/>
      <c r="V533" s="1"/>
      <c r="W533" s="1"/>
      <c r="X533" s="1"/>
      <c r="Y533" s="1"/>
      <c r="Z533" s="1"/>
    </row>
    <row r="534" spans="1:26" ht="24.75" customHeight="1">
      <c r="A534" s="1"/>
      <c r="B534" s="1"/>
      <c r="C534" s="1"/>
      <c r="D534" s="1"/>
      <c r="E534" s="1"/>
      <c r="F534" s="1"/>
      <c r="G534" s="1"/>
      <c r="H534" s="1"/>
      <c r="I534" s="1"/>
      <c r="J534" s="1"/>
      <c r="K534" s="1"/>
      <c r="L534" s="1"/>
      <c r="M534" s="1"/>
      <c r="N534" s="1"/>
      <c r="O534" s="1"/>
      <c r="P534" s="1"/>
      <c r="Q534" s="1"/>
      <c r="R534" s="1"/>
      <c r="S534" s="1"/>
      <c r="T534" s="1"/>
      <c r="U534" s="2"/>
      <c r="V534" s="1"/>
      <c r="W534" s="1"/>
      <c r="X534" s="1"/>
      <c r="Y534" s="1"/>
      <c r="Z534" s="1"/>
    </row>
    <row r="535" spans="1:26" ht="24.75" customHeight="1">
      <c r="A535" s="1"/>
      <c r="B535" s="1"/>
      <c r="C535" s="1"/>
      <c r="D535" s="1"/>
      <c r="E535" s="1"/>
      <c r="F535" s="1"/>
      <c r="G535" s="1"/>
      <c r="H535" s="1"/>
      <c r="I535" s="1"/>
      <c r="J535" s="1"/>
      <c r="K535" s="1"/>
      <c r="L535" s="1"/>
      <c r="M535" s="1"/>
      <c r="N535" s="1"/>
      <c r="O535" s="1"/>
      <c r="P535" s="1"/>
      <c r="Q535" s="1"/>
      <c r="R535" s="1"/>
      <c r="S535" s="1"/>
      <c r="T535" s="1"/>
      <c r="U535" s="2"/>
      <c r="V535" s="1"/>
      <c r="W535" s="1"/>
      <c r="X535" s="1"/>
      <c r="Y535" s="1"/>
      <c r="Z535" s="1"/>
    </row>
    <row r="536" spans="1:26" ht="24.75" customHeight="1">
      <c r="A536" s="1"/>
      <c r="B536" s="1"/>
      <c r="C536" s="1"/>
      <c r="D536" s="1"/>
      <c r="E536" s="1"/>
      <c r="F536" s="1"/>
      <c r="G536" s="1"/>
      <c r="H536" s="1"/>
      <c r="I536" s="1"/>
      <c r="J536" s="1"/>
      <c r="K536" s="1"/>
      <c r="L536" s="1"/>
      <c r="M536" s="1"/>
      <c r="N536" s="1"/>
      <c r="O536" s="1"/>
      <c r="P536" s="1"/>
      <c r="Q536" s="1"/>
      <c r="R536" s="1"/>
      <c r="S536" s="1"/>
      <c r="T536" s="1"/>
      <c r="U536" s="2"/>
      <c r="V536" s="1"/>
      <c r="W536" s="1"/>
      <c r="X536" s="1"/>
      <c r="Y536" s="1"/>
      <c r="Z536" s="1"/>
    </row>
    <row r="537" spans="1:26" ht="24.75" customHeight="1">
      <c r="A537" s="1"/>
      <c r="B537" s="1"/>
      <c r="C537" s="1"/>
      <c r="D537" s="1"/>
      <c r="E537" s="1"/>
      <c r="F537" s="1"/>
      <c r="G537" s="1"/>
      <c r="H537" s="1"/>
      <c r="I537" s="1"/>
      <c r="J537" s="1"/>
      <c r="K537" s="1"/>
      <c r="L537" s="1"/>
      <c r="M537" s="1"/>
      <c r="N537" s="1"/>
      <c r="O537" s="1"/>
      <c r="P537" s="1"/>
      <c r="Q537" s="1"/>
      <c r="R537" s="1"/>
      <c r="S537" s="1"/>
      <c r="T537" s="1"/>
      <c r="U537" s="2"/>
      <c r="V537" s="1"/>
      <c r="W537" s="1"/>
      <c r="X537" s="1"/>
      <c r="Y537" s="1"/>
      <c r="Z537" s="1"/>
    </row>
    <row r="538" spans="1:26" ht="24.75" customHeight="1">
      <c r="A538" s="1"/>
      <c r="B538" s="1"/>
      <c r="C538" s="1"/>
      <c r="D538" s="1"/>
      <c r="E538" s="1"/>
      <c r="F538" s="1"/>
      <c r="G538" s="1"/>
      <c r="H538" s="1"/>
      <c r="I538" s="1"/>
      <c r="J538" s="1"/>
      <c r="K538" s="1"/>
      <c r="L538" s="1"/>
      <c r="M538" s="1"/>
      <c r="N538" s="1"/>
      <c r="O538" s="1"/>
      <c r="P538" s="1"/>
      <c r="Q538" s="1"/>
      <c r="R538" s="1"/>
      <c r="S538" s="1"/>
      <c r="T538" s="1"/>
      <c r="U538" s="2"/>
      <c r="V538" s="1"/>
      <c r="W538" s="1"/>
      <c r="X538" s="1"/>
      <c r="Y538" s="1"/>
      <c r="Z538" s="1"/>
    </row>
    <row r="539" spans="1:26" ht="24.75" customHeight="1">
      <c r="A539" s="1"/>
      <c r="B539" s="1"/>
      <c r="C539" s="1"/>
      <c r="D539" s="1"/>
      <c r="E539" s="1"/>
      <c r="F539" s="1"/>
      <c r="G539" s="1"/>
      <c r="H539" s="1"/>
      <c r="I539" s="1"/>
      <c r="J539" s="1"/>
      <c r="K539" s="1"/>
      <c r="L539" s="1"/>
      <c r="M539" s="1"/>
      <c r="N539" s="1"/>
      <c r="O539" s="1"/>
      <c r="P539" s="1"/>
      <c r="Q539" s="1"/>
      <c r="R539" s="1"/>
      <c r="S539" s="1"/>
      <c r="T539" s="1"/>
      <c r="U539" s="2"/>
      <c r="V539" s="1"/>
      <c r="W539" s="1"/>
      <c r="X539" s="1"/>
      <c r="Y539" s="1"/>
      <c r="Z539" s="1"/>
    </row>
    <row r="540" spans="1:26" ht="24.75" customHeight="1">
      <c r="A540" s="1"/>
      <c r="B540" s="1"/>
      <c r="C540" s="1"/>
      <c r="D540" s="1"/>
      <c r="E540" s="1"/>
      <c r="F540" s="1"/>
      <c r="G540" s="1"/>
      <c r="H540" s="1"/>
      <c r="I540" s="1"/>
      <c r="J540" s="1"/>
      <c r="K540" s="1"/>
      <c r="L540" s="1"/>
      <c r="M540" s="1"/>
      <c r="N540" s="1"/>
      <c r="O540" s="1"/>
      <c r="P540" s="1"/>
      <c r="Q540" s="1"/>
      <c r="R540" s="1"/>
      <c r="S540" s="1"/>
      <c r="T540" s="1"/>
      <c r="U540" s="2"/>
      <c r="V540" s="1"/>
      <c r="W540" s="1"/>
      <c r="X540" s="1"/>
      <c r="Y540" s="1"/>
      <c r="Z540" s="1"/>
    </row>
    <row r="541" spans="1:26" ht="24.75" customHeight="1">
      <c r="A541" s="1"/>
      <c r="B541" s="1"/>
      <c r="C541" s="1"/>
      <c r="D541" s="1"/>
      <c r="E541" s="1"/>
      <c r="F541" s="1"/>
      <c r="G541" s="1"/>
      <c r="H541" s="1"/>
      <c r="I541" s="1"/>
      <c r="J541" s="1"/>
      <c r="K541" s="1"/>
      <c r="L541" s="1"/>
      <c r="M541" s="1"/>
      <c r="N541" s="1"/>
      <c r="O541" s="1"/>
      <c r="P541" s="1"/>
      <c r="Q541" s="1"/>
      <c r="R541" s="1"/>
      <c r="S541" s="1"/>
      <c r="T541" s="1"/>
      <c r="U541" s="2"/>
      <c r="V541" s="1"/>
      <c r="W541" s="1"/>
      <c r="X541" s="1"/>
      <c r="Y541" s="1"/>
      <c r="Z541" s="1"/>
    </row>
    <row r="542" spans="1:26" ht="24.75" customHeight="1">
      <c r="A542" s="1"/>
      <c r="B542" s="1"/>
      <c r="C542" s="1"/>
      <c r="D542" s="1"/>
      <c r="E542" s="1"/>
      <c r="F542" s="1"/>
      <c r="G542" s="1"/>
      <c r="H542" s="1"/>
      <c r="I542" s="1"/>
      <c r="J542" s="1"/>
      <c r="K542" s="1"/>
      <c r="L542" s="1"/>
      <c r="M542" s="1"/>
      <c r="N542" s="1"/>
      <c r="O542" s="1"/>
      <c r="P542" s="1"/>
      <c r="Q542" s="1"/>
      <c r="R542" s="1"/>
      <c r="S542" s="1"/>
      <c r="T542" s="1"/>
      <c r="U542" s="2"/>
      <c r="V542" s="1"/>
      <c r="W542" s="1"/>
      <c r="X542" s="1"/>
      <c r="Y542" s="1"/>
      <c r="Z542" s="1"/>
    </row>
    <row r="543" spans="1:26" ht="24.75" customHeight="1">
      <c r="A543" s="1"/>
      <c r="B543" s="1"/>
      <c r="C543" s="1"/>
      <c r="D543" s="1"/>
      <c r="E543" s="1"/>
      <c r="F543" s="1"/>
      <c r="G543" s="1"/>
      <c r="H543" s="1"/>
      <c r="I543" s="1"/>
      <c r="J543" s="1"/>
      <c r="K543" s="1"/>
      <c r="L543" s="1"/>
      <c r="M543" s="1"/>
      <c r="N543" s="1"/>
      <c r="O543" s="1"/>
      <c r="P543" s="1"/>
      <c r="Q543" s="1"/>
      <c r="R543" s="1"/>
      <c r="S543" s="1"/>
      <c r="T543" s="1"/>
      <c r="U543" s="2"/>
      <c r="V543" s="1"/>
      <c r="W543" s="1"/>
      <c r="X543" s="1"/>
      <c r="Y543" s="1"/>
      <c r="Z543" s="1"/>
    </row>
    <row r="544" spans="1:26" ht="24.75" customHeight="1">
      <c r="A544" s="1"/>
      <c r="B544" s="1"/>
      <c r="C544" s="1"/>
      <c r="D544" s="1"/>
      <c r="E544" s="1"/>
      <c r="F544" s="1"/>
      <c r="G544" s="1"/>
      <c r="H544" s="1"/>
      <c r="I544" s="1"/>
      <c r="J544" s="1"/>
      <c r="K544" s="1"/>
      <c r="L544" s="1"/>
      <c r="M544" s="1"/>
      <c r="N544" s="1"/>
      <c r="O544" s="1"/>
      <c r="P544" s="1"/>
      <c r="Q544" s="1"/>
      <c r="R544" s="1"/>
      <c r="S544" s="1"/>
      <c r="T544" s="1"/>
      <c r="U544" s="2"/>
      <c r="V544" s="1"/>
      <c r="W544" s="1"/>
      <c r="X544" s="1"/>
      <c r="Y544" s="1"/>
      <c r="Z544" s="1"/>
    </row>
    <row r="545" spans="1:26" ht="24.75" customHeight="1">
      <c r="A545" s="1"/>
      <c r="B545" s="1"/>
      <c r="C545" s="1"/>
      <c r="D545" s="1"/>
      <c r="E545" s="1"/>
      <c r="F545" s="1"/>
      <c r="G545" s="1"/>
      <c r="H545" s="1"/>
      <c r="I545" s="1"/>
      <c r="J545" s="1"/>
      <c r="K545" s="1"/>
      <c r="L545" s="1"/>
      <c r="M545" s="1"/>
      <c r="N545" s="1"/>
      <c r="O545" s="1"/>
      <c r="P545" s="1"/>
      <c r="Q545" s="1"/>
      <c r="R545" s="1"/>
      <c r="S545" s="1"/>
      <c r="T545" s="1"/>
      <c r="U545" s="2"/>
      <c r="V545" s="1"/>
      <c r="W545" s="1"/>
      <c r="X545" s="1"/>
      <c r="Y545" s="1"/>
      <c r="Z545" s="1"/>
    </row>
    <row r="546" spans="1:26" ht="24.75" customHeight="1">
      <c r="A546" s="1"/>
      <c r="B546" s="1"/>
      <c r="C546" s="1"/>
      <c r="D546" s="1"/>
      <c r="E546" s="1"/>
      <c r="F546" s="1"/>
      <c r="G546" s="1"/>
      <c r="H546" s="1"/>
      <c r="I546" s="1"/>
      <c r="J546" s="1"/>
      <c r="K546" s="1"/>
      <c r="L546" s="1"/>
      <c r="M546" s="1"/>
      <c r="N546" s="1"/>
      <c r="O546" s="1"/>
      <c r="P546" s="1"/>
      <c r="Q546" s="1"/>
      <c r="R546" s="1"/>
      <c r="S546" s="1"/>
      <c r="T546" s="1"/>
      <c r="U546" s="2"/>
      <c r="V546" s="1"/>
      <c r="W546" s="1"/>
      <c r="X546" s="1"/>
      <c r="Y546" s="1"/>
      <c r="Z546" s="1"/>
    </row>
    <row r="547" spans="1:26" ht="24.75" customHeight="1">
      <c r="A547" s="1"/>
      <c r="B547" s="1"/>
      <c r="C547" s="1"/>
      <c r="D547" s="1"/>
      <c r="E547" s="1"/>
      <c r="F547" s="1"/>
      <c r="G547" s="1"/>
      <c r="H547" s="1"/>
      <c r="I547" s="1"/>
      <c r="J547" s="1"/>
      <c r="K547" s="1"/>
      <c r="L547" s="1"/>
      <c r="M547" s="1"/>
      <c r="N547" s="1"/>
      <c r="O547" s="1"/>
      <c r="P547" s="1"/>
      <c r="Q547" s="1"/>
      <c r="R547" s="1"/>
      <c r="S547" s="1"/>
      <c r="T547" s="1"/>
      <c r="U547" s="2"/>
      <c r="V547" s="1"/>
      <c r="W547" s="1"/>
      <c r="X547" s="1"/>
      <c r="Y547" s="1"/>
      <c r="Z547" s="1"/>
    </row>
    <row r="548" spans="1:26" ht="24.75" customHeight="1">
      <c r="A548" s="1"/>
      <c r="B548" s="1"/>
      <c r="C548" s="1"/>
      <c r="D548" s="1"/>
      <c r="E548" s="1"/>
      <c r="F548" s="1"/>
      <c r="G548" s="1"/>
      <c r="H548" s="1"/>
      <c r="I548" s="1"/>
      <c r="J548" s="1"/>
      <c r="K548" s="1"/>
      <c r="L548" s="1"/>
      <c r="M548" s="1"/>
      <c r="N548" s="1"/>
      <c r="O548" s="1"/>
      <c r="P548" s="1"/>
      <c r="Q548" s="1"/>
      <c r="R548" s="1"/>
      <c r="S548" s="1"/>
      <c r="T548" s="1"/>
      <c r="U548" s="2"/>
      <c r="V548" s="1"/>
      <c r="W548" s="1"/>
      <c r="X548" s="1"/>
      <c r="Y548" s="1"/>
      <c r="Z548" s="1"/>
    </row>
    <row r="549" spans="1:26" ht="24.75" customHeight="1">
      <c r="A549" s="1"/>
      <c r="B549" s="1"/>
      <c r="C549" s="1"/>
      <c r="D549" s="1"/>
      <c r="E549" s="1"/>
      <c r="F549" s="1"/>
      <c r="G549" s="1"/>
      <c r="H549" s="1"/>
      <c r="I549" s="1"/>
      <c r="J549" s="1"/>
      <c r="K549" s="1"/>
      <c r="L549" s="1"/>
      <c r="M549" s="1"/>
      <c r="N549" s="1"/>
      <c r="O549" s="1"/>
      <c r="P549" s="1"/>
      <c r="Q549" s="1"/>
      <c r="R549" s="1"/>
      <c r="S549" s="1"/>
      <c r="T549" s="1"/>
      <c r="U549" s="2"/>
      <c r="V549" s="1"/>
      <c r="W549" s="1"/>
      <c r="X549" s="1"/>
      <c r="Y549" s="1"/>
      <c r="Z549" s="1"/>
    </row>
    <row r="550" spans="1:26" ht="24.75" customHeight="1">
      <c r="A550" s="1"/>
      <c r="B550" s="1"/>
      <c r="C550" s="1"/>
      <c r="D550" s="1"/>
      <c r="E550" s="1"/>
      <c r="F550" s="1"/>
      <c r="G550" s="1"/>
      <c r="H550" s="1"/>
      <c r="I550" s="1"/>
      <c r="J550" s="1"/>
      <c r="K550" s="1"/>
      <c r="L550" s="1"/>
      <c r="M550" s="1"/>
      <c r="N550" s="1"/>
      <c r="O550" s="1"/>
      <c r="P550" s="1"/>
      <c r="Q550" s="1"/>
      <c r="R550" s="1"/>
      <c r="S550" s="1"/>
      <c r="T550" s="1"/>
      <c r="U550" s="2"/>
      <c r="V550" s="1"/>
      <c r="W550" s="1"/>
      <c r="X550" s="1"/>
      <c r="Y550" s="1"/>
      <c r="Z550" s="1"/>
    </row>
    <row r="551" spans="1:26" ht="24.75" customHeight="1">
      <c r="A551" s="1"/>
      <c r="B551" s="1"/>
      <c r="C551" s="1"/>
      <c r="D551" s="1"/>
      <c r="E551" s="1"/>
      <c r="F551" s="1"/>
      <c r="G551" s="1"/>
      <c r="H551" s="1"/>
      <c r="I551" s="1"/>
      <c r="J551" s="1"/>
      <c r="K551" s="1"/>
      <c r="L551" s="1"/>
      <c r="M551" s="1"/>
      <c r="N551" s="1"/>
      <c r="O551" s="1"/>
      <c r="P551" s="1"/>
      <c r="Q551" s="1"/>
      <c r="R551" s="1"/>
      <c r="S551" s="1"/>
      <c r="T551" s="1"/>
      <c r="U551" s="2"/>
      <c r="V551" s="1"/>
      <c r="W551" s="1"/>
      <c r="X551" s="1"/>
      <c r="Y551" s="1"/>
      <c r="Z551" s="1"/>
    </row>
    <row r="552" spans="1:26" ht="24.75" customHeight="1">
      <c r="A552" s="1"/>
      <c r="B552" s="1"/>
      <c r="C552" s="1"/>
      <c r="D552" s="1"/>
      <c r="E552" s="1"/>
      <c r="F552" s="1"/>
      <c r="G552" s="1"/>
      <c r="H552" s="1"/>
      <c r="I552" s="1"/>
      <c r="J552" s="1"/>
      <c r="K552" s="1"/>
      <c r="L552" s="1"/>
      <c r="M552" s="1"/>
      <c r="N552" s="1"/>
      <c r="O552" s="1"/>
      <c r="P552" s="1"/>
      <c r="Q552" s="1"/>
      <c r="R552" s="1"/>
      <c r="S552" s="1"/>
      <c r="T552" s="1"/>
      <c r="U552" s="2"/>
      <c r="V552" s="1"/>
      <c r="W552" s="1"/>
      <c r="X552" s="1"/>
      <c r="Y552" s="1"/>
      <c r="Z552" s="1"/>
    </row>
    <row r="553" spans="1:26" ht="24.75" customHeight="1">
      <c r="A553" s="1"/>
      <c r="B553" s="1"/>
      <c r="C553" s="1"/>
      <c r="D553" s="1"/>
      <c r="E553" s="1"/>
      <c r="F553" s="1"/>
      <c r="G553" s="1"/>
      <c r="H553" s="1"/>
      <c r="I553" s="1"/>
      <c r="J553" s="1"/>
      <c r="K553" s="1"/>
      <c r="L553" s="1"/>
      <c r="M553" s="1"/>
      <c r="N553" s="1"/>
      <c r="O553" s="1"/>
      <c r="P553" s="1"/>
      <c r="Q553" s="1"/>
      <c r="R553" s="1"/>
      <c r="S553" s="1"/>
      <c r="T553" s="1"/>
      <c r="U553" s="2"/>
      <c r="V553" s="1"/>
      <c r="W553" s="1"/>
      <c r="X553" s="1"/>
      <c r="Y553" s="1"/>
      <c r="Z553" s="1"/>
    </row>
    <row r="554" spans="1:26" ht="24.75" customHeight="1">
      <c r="A554" s="1"/>
      <c r="B554" s="1"/>
      <c r="C554" s="1"/>
      <c r="D554" s="1"/>
      <c r="E554" s="1"/>
      <c r="F554" s="1"/>
      <c r="G554" s="1"/>
      <c r="H554" s="1"/>
      <c r="I554" s="1"/>
      <c r="J554" s="1"/>
      <c r="K554" s="1"/>
      <c r="L554" s="1"/>
      <c r="M554" s="1"/>
      <c r="N554" s="1"/>
      <c r="O554" s="1"/>
      <c r="P554" s="1"/>
      <c r="Q554" s="1"/>
      <c r="R554" s="1"/>
      <c r="S554" s="1"/>
      <c r="T554" s="1"/>
      <c r="U554" s="2"/>
      <c r="V554" s="1"/>
      <c r="W554" s="1"/>
      <c r="X554" s="1"/>
      <c r="Y554" s="1"/>
      <c r="Z554" s="1"/>
    </row>
    <row r="555" spans="1:26" ht="24.75" customHeight="1">
      <c r="A555" s="1"/>
      <c r="B555" s="1"/>
      <c r="C555" s="1"/>
      <c r="D555" s="1"/>
      <c r="E555" s="1"/>
      <c r="F555" s="1"/>
      <c r="G555" s="1"/>
      <c r="H555" s="1"/>
      <c r="I555" s="1"/>
      <c r="J555" s="1"/>
      <c r="K555" s="1"/>
      <c r="L555" s="1"/>
      <c r="M555" s="1"/>
      <c r="N555" s="1"/>
      <c r="O555" s="1"/>
      <c r="P555" s="1"/>
      <c r="Q555" s="1"/>
      <c r="R555" s="1"/>
      <c r="S555" s="1"/>
      <c r="T555" s="1"/>
      <c r="U555" s="2"/>
      <c r="V555" s="1"/>
      <c r="W555" s="1"/>
      <c r="X555" s="1"/>
      <c r="Y555" s="1"/>
      <c r="Z555" s="1"/>
    </row>
    <row r="556" spans="1:26" ht="24.75" customHeight="1">
      <c r="A556" s="1"/>
      <c r="B556" s="1"/>
      <c r="C556" s="1"/>
      <c r="D556" s="1"/>
      <c r="E556" s="1"/>
      <c r="F556" s="1"/>
      <c r="G556" s="1"/>
      <c r="H556" s="1"/>
      <c r="I556" s="1"/>
      <c r="J556" s="1"/>
      <c r="K556" s="1"/>
      <c r="L556" s="1"/>
      <c r="M556" s="1"/>
      <c r="N556" s="1"/>
      <c r="O556" s="1"/>
      <c r="P556" s="1"/>
      <c r="Q556" s="1"/>
      <c r="R556" s="1"/>
      <c r="S556" s="1"/>
      <c r="T556" s="1"/>
      <c r="U556" s="2"/>
      <c r="V556" s="1"/>
      <c r="W556" s="1"/>
      <c r="X556" s="1"/>
      <c r="Y556" s="1"/>
      <c r="Z556" s="1"/>
    </row>
    <row r="557" spans="1:26" ht="24.75" customHeight="1">
      <c r="A557" s="1"/>
      <c r="B557" s="1"/>
      <c r="C557" s="1"/>
      <c r="D557" s="1"/>
      <c r="E557" s="1"/>
      <c r="F557" s="1"/>
      <c r="G557" s="1"/>
      <c r="H557" s="1"/>
      <c r="I557" s="1"/>
      <c r="J557" s="1"/>
      <c r="K557" s="1"/>
      <c r="L557" s="1"/>
      <c r="M557" s="1"/>
      <c r="N557" s="1"/>
      <c r="O557" s="1"/>
      <c r="P557" s="1"/>
      <c r="Q557" s="1"/>
      <c r="R557" s="1"/>
      <c r="S557" s="1"/>
      <c r="T557" s="1"/>
      <c r="U557" s="2"/>
      <c r="V557" s="1"/>
      <c r="W557" s="1"/>
      <c r="X557" s="1"/>
      <c r="Y557" s="1"/>
      <c r="Z557" s="1"/>
    </row>
    <row r="558" spans="1:26" ht="24.75" customHeight="1">
      <c r="A558" s="1"/>
      <c r="B558" s="1"/>
      <c r="C558" s="1"/>
      <c r="D558" s="1"/>
      <c r="E558" s="1"/>
      <c r="F558" s="1"/>
      <c r="G558" s="1"/>
      <c r="H558" s="1"/>
      <c r="I558" s="1"/>
      <c r="J558" s="1"/>
      <c r="K558" s="1"/>
      <c r="L558" s="1"/>
      <c r="M558" s="1"/>
      <c r="N558" s="1"/>
      <c r="O558" s="1"/>
      <c r="P558" s="1"/>
      <c r="Q558" s="1"/>
      <c r="R558" s="1"/>
      <c r="S558" s="1"/>
      <c r="T558" s="1"/>
      <c r="U558" s="2"/>
      <c r="V558" s="1"/>
      <c r="W558" s="1"/>
      <c r="X558" s="1"/>
      <c r="Y558" s="1"/>
      <c r="Z558" s="1"/>
    </row>
    <row r="559" spans="1:26" ht="24.75" customHeight="1">
      <c r="A559" s="1"/>
      <c r="B559" s="1"/>
      <c r="C559" s="1"/>
      <c r="D559" s="1"/>
      <c r="E559" s="1"/>
      <c r="F559" s="1"/>
      <c r="G559" s="1"/>
      <c r="H559" s="1"/>
      <c r="I559" s="1"/>
      <c r="J559" s="1"/>
      <c r="K559" s="1"/>
      <c r="L559" s="1"/>
      <c r="M559" s="1"/>
      <c r="N559" s="1"/>
      <c r="O559" s="1"/>
      <c r="P559" s="1"/>
      <c r="Q559" s="1"/>
      <c r="R559" s="1"/>
      <c r="S559" s="1"/>
      <c r="T559" s="1"/>
      <c r="U559" s="2"/>
      <c r="V559" s="1"/>
      <c r="W559" s="1"/>
      <c r="X559" s="1"/>
      <c r="Y559" s="1"/>
      <c r="Z559" s="1"/>
    </row>
    <row r="560" spans="1:26" ht="24.75" customHeight="1">
      <c r="A560" s="1"/>
      <c r="B560" s="1"/>
      <c r="C560" s="1"/>
      <c r="D560" s="1"/>
      <c r="E560" s="1"/>
      <c r="F560" s="1"/>
      <c r="G560" s="1"/>
      <c r="H560" s="1"/>
      <c r="I560" s="1"/>
      <c r="J560" s="1"/>
      <c r="K560" s="1"/>
      <c r="L560" s="1"/>
      <c r="M560" s="1"/>
      <c r="N560" s="1"/>
      <c r="O560" s="1"/>
      <c r="P560" s="1"/>
      <c r="Q560" s="1"/>
      <c r="R560" s="1"/>
      <c r="S560" s="1"/>
      <c r="T560" s="1"/>
      <c r="U560" s="2"/>
      <c r="V560" s="1"/>
      <c r="W560" s="1"/>
      <c r="X560" s="1"/>
      <c r="Y560" s="1"/>
      <c r="Z560" s="1"/>
    </row>
    <row r="561" spans="1:26" ht="24.75" customHeight="1">
      <c r="A561" s="1"/>
      <c r="B561" s="1"/>
      <c r="C561" s="1"/>
      <c r="D561" s="1"/>
      <c r="E561" s="1"/>
      <c r="F561" s="1"/>
      <c r="G561" s="1"/>
      <c r="H561" s="1"/>
      <c r="I561" s="1"/>
      <c r="J561" s="1"/>
      <c r="K561" s="1"/>
      <c r="L561" s="1"/>
      <c r="M561" s="1"/>
      <c r="N561" s="1"/>
      <c r="O561" s="1"/>
      <c r="P561" s="1"/>
      <c r="Q561" s="1"/>
      <c r="R561" s="1"/>
      <c r="S561" s="1"/>
      <c r="T561" s="1"/>
      <c r="U561" s="2"/>
      <c r="V561" s="1"/>
      <c r="W561" s="1"/>
      <c r="X561" s="1"/>
      <c r="Y561" s="1"/>
      <c r="Z561" s="1"/>
    </row>
    <row r="562" spans="1:26" ht="24.75" customHeight="1">
      <c r="A562" s="1"/>
      <c r="B562" s="1"/>
      <c r="C562" s="1"/>
      <c r="D562" s="1"/>
      <c r="E562" s="1"/>
      <c r="F562" s="1"/>
      <c r="G562" s="1"/>
      <c r="H562" s="1"/>
      <c r="I562" s="1"/>
      <c r="J562" s="1"/>
      <c r="K562" s="1"/>
      <c r="L562" s="1"/>
      <c r="M562" s="1"/>
      <c r="N562" s="1"/>
      <c r="O562" s="1"/>
      <c r="P562" s="1"/>
      <c r="Q562" s="1"/>
      <c r="R562" s="1"/>
      <c r="S562" s="1"/>
      <c r="T562" s="1"/>
      <c r="U562" s="2"/>
      <c r="V562" s="1"/>
      <c r="W562" s="1"/>
      <c r="X562" s="1"/>
      <c r="Y562" s="1"/>
      <c r="Z562" s="1"/>
    </row>
    <row r="563" spans="1:26" ht="24.75" customHeight="1">
      <c r="A563" s="1"/>
      <c r="B563" s="1"/>
      <c r="C563" s="1"/>
      <c r="D563" s="1"/>
      <c r="E563" s="1"/>
      <c r="F563" s="1"/>
      <c r="G563" s="1"/>
      <c r="H563" s="1"/>
      <c r="I563" s="1"/>
      <c r="J563" s="1"/>
      <c r="K563" s="1"/>
      <c r="L563" s="1"/>
      <c r="M563" s="1"/>
      <c r="N563" s="1"/>
      <c r="O563" s="1"/>
      <c r="P563" s="1"/>
      <c r="Q563" s="1"/>
      <c r="R563" s="1"/>
      <c r="S563" s="1"/>
      <c r="T563" s="1"/>
      <c r="U563" s="2"/>
      <c r="V563" s="1"/>
      <c r="W563" s="1"/>
      <c r="X563" s="1"/>
      <c r="Y563" s="1"/>
      <c r="Z563" s="1"/>
    </row>
    <row r="564" spans="1:26" ht="24.75" customHeight="1">
      <c r="A564" s="1"/>
      <c r="B564" s="1"/>
      <c r="C564" s="1"/>
      <c r="D564" s="1"/>
      <c r="E564" s="1"/>
      <c r="F564" s="1"/>
      <c r="G564" s="1"/>
      <c r="H564" s="1"/>
      <c r="I564" s="1"/>
      <c r="J564" s="1"/>
      <c r="K564" s="1"/>
      <c r="L564" s="1"/>
      <c r="M564" s="1"/>
      <c r="N564" s="1"/>
      <c r="O564" s="1"/>
      <c r="P564" s="1"/>
      <c r="Q564" s="1"/>
      <c r="R564" s="1"/>
      <c r="S564" s="1"/>
      <c r="T564" s="1"/>
      <c r="U564" s="2"/>
      <c r="V564" s="1"/>
      <c r="W564" s="1"/>
      <c r="X564" s="1"/>
      <c r="Y564" s="1"/>
      <c r="Z564" s="1"/>
    </row>
    <row r="565" spans="1:26" ht="24.75" customHeight="1">
      <c r="A565" s="1"/>
      <c r="B565" s="1"/>
      <c r="C565" s="1"/>
      <c r="D565" s="1"/>
      <c r="E565" s="1"/>
      <c r="F565" s="1"/>
      <c r="G565" s="1"/>
      <c r="H565" s="1"/>
      <c r="I565" s="1"/>
      <c r="J565" s="1"/>
      <c r="K565" s="1"/>
      <c r="L565" s="1"/>
      <c r="M565" s="1"/>
      <c r="N565" s="1"/>
      <c r="O565" s="1"/>
      <c r="P565" s="1"/>
      <c r="Q565" s="1"/>
      <c r="R565" s="1"/>
      <c r="S565" s="1"/>
      <c r="T565" s="1"/>
      <c r="U565" s="2"/>
      <c r="V565" s="1"/>
      <c r="W565" s="1"/>
      <c r="X565" s="1"/>
      <c r="Y565" s="1"/>
      <c r="Z565" s="1"/>
    </row>
    <row r="566" spans="1:26" ht="24.75" customHeight="1">
      <c r="A566" s="1"/>
      <c r="B566" s="1"/>
      <c r="C566" s="1"/>
      <c r="D566" s="1"/>
      <c r="E566" s="1"/>
      <c r="F566" s="1"/>
      <c r="G566" s="1"/>
      <c r="H566" s="1"/>
      <c r="I566" s="1"/>
      <c r="J566" s="1"/>
      <c r="K566" s="1"/>
      <c r="L566" s="1"/>
      <c r="M566" s="1"/>
      <c r="N566" s="1"/>
      <c r="O566" s="1"/>
      <c r="P566" s="1"/>
      <c r="Q566" s="1"/>
      <c r="R566" s="1"/>
      <c r="S566" s="1"/>
      <c r="T566" s="1"/>
      <c r="U566" s="2"/>
      <c r="V566" s="1"/>
      <c r="W566" s="1"/>
      <c r="X566" s="1"/>
      <c r="Y566" s="1"/>
      <c r="Z566" s="1"/>
    </row>
    <row r="567" spans="1:26" ht="24.75" customHeight="1">
      <c r="A567" s="1"/>
      <c r="B567" s="1"/>
      <c r="C567" s="1"/>
      <c r="D567" s="1"/>
      <c r="E567" s="1"/>
      <c r="F567" s="1"/>
      <c r="G567" s="1"/>
      <c r="H567" s="1"/>
      <c r="I567" s="1"/>
      <c r="J567" s="1"/>
      <c r="K567" s="1"/>
      <c r="L567" s="1"/>
      <c r="M567" s="1"/>
      <c r="N567" s="1"/>
      <c r="O567" s="1"/>
      <c r="P567" s="1"/>
      <c r="Q567" s="1"/>
      <c r="R567" s="1"/>
      <c r="S567" s="1"/>
      <c r="T567" s="1"/>
      <c r="U567" s="2"/>
      <c r="V567" s="1"/>
      <c r="W567" s="1"/>
      <c r="X567" s="1"/>
      <c r="Y567" s="1"/>
      <c r="Z567" s="1"/>
    </row>
    <row r="568" spans="1:26" ht="24.75" customHeight="1">
      <c r="A568" s="1"/>
      <c r="B568" s="1"/>
      <c r="C568" s="1"/>
      <c r="D568" s="1"/>
      <c r="E568" s="1"/>
      <c r="F568" s="1"/>
      <c r="G568" s="1"/>
      <c r="H568" s="1"/>
      <c r="I568" s="1"/>
      <c r="J568" s="1"/>
      <c r="K568" s="1"/>
      <c r="L568" s="1"/>
      <c r="M568" s="1"/>
      <c r="N568" s="1"/>
      <c r="O568" s="1"/>
      <c r="P568" s="1"/>
      <c r="Q568" s="1"/>
      <c r="R568" s="1"/>
      <c r="S568" s="1"/>
      <c r="T568" s="1"/>
      <c r="U568" s="2"/>
      <c r="V568" s="1"/>
      <c r="W568" s="1"/>
      <c r="X568" s="1"/>
      <c r="Y568" s="1"/>
      <c r="Z568" s="1"/>
    </row>
    <row r="569" spans="1:26" ht="24.75" customHeight="1">
      <c r="A569" s="1"/>
      <c r="B569" s="1"/>
      <c r="C569" s="1"/>
      <c r="D569" s="1"/>
      <c r="E569" s="1"/>
      <c r="F569" s="1"/>
      <c r="G569" s="1"/>
      <c r="H569" s="1"/>
      <c r="I569" s="1"/>
      <c r="J569" s="1"/>
      <c r="K569" s="1"/>
      <c r="L569" s="1"/>
      <c r="M569" s="1"/>
      <c r="N569" s="1"/>
      <c r="O569" s="1"/>
      <c r="P569" s="1"/>
      <c r="Q569" s="1"/>
      <c r="R569" s="1"/>
      <c r="S569" s="1"/>
      <c r="T569" s="1"/>
      <c r="U569" s="2"/>
      <c r="V569" s="1"/>
      <c r="W569" s="1"/>
      <c r="X569" s="1"/>
      <c r="Y569" s="1"/>
      <c r="Z569" s="1"/>
    </row>
    <row r="570" spans="1:26" ht="24.75" customHeight="1">
      <c r="A570" s="1"/>
      <c r="B570" s="1"/>
      <c r="C570" s="1"/>
      <c r="D570" s="1"/>
      <c r="E570" s="1"/>
      <c r="F570" s="1"/>
      <c r="G570" s="1"/>
      <c r="H570" s="1"/>
      <c r="I570" s="1"/>
      <c r="J570" s="1"/>
      <c r="K570" s="1"/>
      <c r="L570" s="1"/>
      <c r="M570" s="1"/>
      <c r="N570" s="1"/>
      <c r="O570" s="1"/>
      <c r="P570" s="1"/>
      <c r="Q570" s="1"/>
      <c r="R570" s="1"/>
      <c r="S570" s="1"/>
      <c r="T570" s="1"/>
      <c r="U570" s="2"/>
      <c r="V570" s="1"/>
      <c r="W570" s="1"/>
      <c r="X570" s="1"/>
      <c r="Y570" s="1"/>
      <c r="Z570" s="1"/>
    </row>
    <row r="571" spans="1:26" ht="24.75" customHeight="1">
      <c r="A571" s="1"/>
      <c r="B571" s="1"/>
      <c r="C571" s="1"/>
      <c r="D571" s="1"/>
      <c r="E571" s="1"/>
      <c r="F571" s="1"/>
      <c r="G571" s="1"/>
      <c r="H571" s="1"/>
      <c r="I571" s="1"/>
      <c r="J571" s="1"/>
      <c r="K571" s="1"/>
      <c r="L571" s="1"/>
      <c r="M571" s="1"/>
      <c r="N571" s="1"/>
      <c r="O571" s="1"/>
      <c r="P571" s="1"/>
      <c r="Q571" s="1"/>
      <c r="R571" s="1"/>
      <c r="S571" s="1"/>
      <c r="T571" s="1"/>
      <c r="U571" s="2"/>
      <c r="V571" s="1"/>
      <c r="W571" s="1"/>
      <c r="X571" s="1"/>
      <c r="Y571" s="1"/>
      <c r="Z571" s="1"/>
    </row>
    <row r="572" spans="1:26" ht="24.75" customHeight="1">
      <c r="A572" s="1"/>
      <c r="B572" s="1"/>
      <c r="C572" s="1"/>
      <c r="D572" s="1"/>
      <c r="E572" s="1"/>
      <c r="F572" s="1"/>
      <c r="G572" s="1"/>
      <c r="H572" s="1"/>
      <c r="I572" s="1"/>
      <c r="J572" s="1"/>
      <c r="K572" s="1"/>
      <c r="L572" s="1"/>
      <c r="M572" s="1"/>
      <c r="N572" s="1"/>
      <c r="O572" s="1"/>
      <c r="P572" s="1"/>
      <c r="Q572" s="1"/>
      <c r="R572" s="1"/>
      <c r="S572" s="1"/>
      <c r="T572" s="1"/>
      <c r="U572" s="2"/>
      <c r="V572" s="1"/>
      <c r="W572" s="1"/>
      <c r="X572" s="1"/>
      <c r="Y572" s="1"/>
      <c r="Z572" s="1"/>
    </row>
    <row r="573" spans="1:26" ht="24.75" customHeight="1">
      <c r="A573" s="1"/>
      <c r="B573" s="1"/>
      <c r="C573" s="1"/>
      <c r="D573" s="1"/>
      <c r="E573" s="1"/>
      <c r="F573" s="1"/>
      <c r="G573" s="1"/>
      <c r="H573" s="1"/>
      <c r="I573" s="1"/>
      <c r="J573" s="1"/>
      <c r="K573" s="1"/>
      <c r="L573" s="1"/>
      <c r="M573" s="1"/>
      <c r="N573" s="1"/>
      <c r="O573" s="1"/>
      <c r="P573" s="1"/>
      <c r="Q573" s="1"/>
      <c r="R573" s="1"/>
      <c r="S573" s="1"/>
      <c r="T573" s="1"/>
      <c r="U573" s="2"/>
      <c r="V573" s="1"/>
      <c r="W573" s="1"/>
      <c r="X573" s="1"/>
      <c r="Y573" s="1"/>
      <c r="Z573" s="1"/>
    </row>
    <row r="574" spans="1:26" ht="24.75" customHeight="1">
      <c r="A574" s="1"/>
      <c r="B574" s="1"/>
      <c r="C574" s="1"/>
      <c r="D574" s="1"/>
      <c r="E574" s="1"/>
      <c r="F574" s="1"/>
      <c r="G574" s="1"/>
      <c r="H574" s="1"/>
      <c r="I574" s="1"/>
      <c r="J574" s="1"/>
      <c r="K574" s="1"/>
      <c r="L574" s="1"/>
      <c r="M574" s="1"/>
      <c r="N574" s="1"/>
      <c r="O574" s="1"/>
      <c r="P574" s="1"/>
      <c r="Q574" s="1"/>
      <c r="R574" s="1"/>
      <c r="S574" s="1"/>
      <c r="T574" s="1"/>
      <c r="U574" s="2"/>
      <c r="V574" s="1"/>
      <c r="W574" s="1"/>
      <c r="X574" s="1"/>
      <c r="Y574" s="1"/>
      <c r="Z574" s="1"/>
    </row>
    <row r="575" spans="1:26" ht="24.75" customHeight="1">
      <c r="A575" s="1"/>
      <c r="B575" s="1"/>
      <c r="C575" s="1"/>
      <c r="D575" s="1"/>
      <c r="E575" s="1"/>
      <c r="F575" s="1"/>
      <c r="G575" s="1"/>
      <c r="H575" s="1"/>
      <c r="I575" s="1"/>
      <c r="J575" s="1"/>
      <c r="K575" s="1"/>
      <c r="L575" s="1"/>
      <c r="M575" s="1"/>
      <c r="N575" s="1"/>
      <c r="O575" s="1"/>
      <c r="P575" s="1"/>
      <c r="Q575" s="1"/>
      <c r="R575" s="1"/>
      <c r="S575" s="1"/>
      <c r="T575" s="1"/>
      <c r="U575" s="2"/>
      <c r="V575" s="1"/>
      <c r="W575" s="1"/>
      <c r="X575" s="1"/>
      <c r="Y575" s="1"/>
      <c r="Z575" s="1"/>
    </row>
    <row r="576" spans="1:26" ht="24.75" customHeight="1">
      <c r="A576" s="1"/>
      <c r="B576" s="1"/>
      <c r="C576" s="1"/>
      <c r="D576" s="1"/>
      <c r="E576" s="1"/>
      <c r="F576" s="1"/>
      <c r="G576" s="1"/>
      <c r="H576" s="1"/>
      <c r="I576" s="1"/>
      <c r="J576" s="1"/>
      <c r="K576" s="1"/>
      <c r="L576" s="1"/>
      <c r="M576" s="1"/>
      <c r="N576" s="1"/>
      <c r="O576" s="1"/>
      <c r="P576" s="1"/>
      <c r="Q576" s="1"/>
      <c r="R576" s="1"/>
      <c r="S576" s="1"/>
      <c r="T576" s="1"/>
      <c r="U576" s="2"/>
      <c r="V576" s="1"/>
      <c r="W576" s="1"/>
      <c r="X576" s="1"/>
      <c r="Y576" s="1"/>
      <c r="Z576" s="1"/>
    </row>
    <row r="577" spans="1:26" ht="24.75" customHeight="1">
      <c r="A577" s="1"/>
      <c r="B577" s="1"/>
      <c r="C577" s="1"/>
      <c r="D577" s="1"/>
      <c r="E577" s="1"/>
      <c r="F577" s="1"/>
      <c r="G577" s="1"/>
      <c r="H577" s="1"/>
      <c r="I577" s="1"/>
      <c r="J577" s="1"/>
      <c r="K577" s="1"/>
      <c r="L577" s="1"/>
      <c r="M577" s="1"/>
      <c r="N577" s="1"/>
      <c r="O577" s="1"/>
      <c r="P577" s="1"/>
      <c r="Q577" s="1"/>
      <c r="R577" s="1"/>
      <c r="S577" s="1"/>
      <c r="T577" s="1"/>
      <c r="U577" s="2"/>
      <c r="V577" s="1"/>
      <c r="W577" s="1"/>
      <c r="X577" s="1"/>
      <c r="Y577" s="1"/>
      <c r="Z577" s="1"/>
    </row>
    <row r="578" spans="1:26" ht="24.75" customHeight="1">
      <c r="A578" s="1"/>
      <c r="B578" s="1"/>
      <c r="C578" s="1"/>
      <c r="D578" s="1"/>
      <c r="E578" s="1"/>
      <c r="F578" s="1"/>
      <c r="G578" s="1"/>
      <c r="H578" s="1"/>
      <c r="I578" s="1"/>
      <c r="J578" s="1"/>
      <c r="K578" s="1"/>
      <c r="L578" s="1"/>
      <c r="M578" s="1"/>
      <c r="N578" s="1"/>
      <c r="O578" s="1"/>
      <c r="P578" s="1"/>
      <c r="Q578" s="1"/>
      <c r="R578" s="1"/>
      <c r="S578" s="1"/>
      <c r="T578" s="1"/>
      <c r="U578" s="2"/>
      <c r="V578" s="1"/>
      <c r="W578" s="1"/>
      <c r="X578" s="1"/>
      <c r="Y578" s="1"/>
      <c r="Z578" s="1"/>
    </row>
    <row r="579" spans="1:26" ht="24.75" customHeight="1">
      <c r="A579" s="1"/>
      <c r="B579" s="1"/>
      <c r="C579" s="1"/>
      <c r="D579" s="1"/>
      <c r="E579" s="1"/>
      <c r="F579" s="1"/>
      <c r="G579" s="1"/>
      <c r="H579" s="1"/>
      <c r="I579" s="1"/>
      <c r="J579" s="1"/>
      <c r="K579" s="1"/>
      <c r="L579" s="1"/>
      <c r="M579" s="1"/>
      <c r="N579" s="1"/>
      <c r="O579" s="1"/>
      <c r="P579" s="1"/>
      <c r="Q579" s="1"/>
      <c r="R579" s="1"/>
      <c r="S579" s="1"/>
      <c r="T579" s="1"/>
      <c r="U579" s="2"/>
      <c r="V579" s="1"/>
      <c r="W579" s="1"/>
      <c r="X579" s="1"/>
      <c r="Y579" s="1"/>
      <c r="Z579" s="1"/>
    </row>
    <row r="580" spans="1:26" ht="24.75" customHeight="1">
      <c r="A580" s="1"/>
      <c r="B580" s="1"/>
      <c r="C580" s="1"/>
      <c r="D580" s="1"/>
      <c r="E580" s="1"/>
      <c r="F580" s="1"/>
      <c r="G580" s="1"/>
      <c r="H580" s="1"/>
      <c r="I580" s="1"/>
      <c r="J580" s="1"/>
      <c r="K580" s="1"/>
      <c r="L580" s="1"/>
      <c r="M580" s="1"/>
      <c r="N580" s="1"/>
      <c r="O580" s="1"/>
      <c r="P580" s="1"/>
      <c r="Q580" s="1"/>
      <c r="R580" s="1"/>
      <c r="S580" s="1"/>
      <c r="T580" s="1"/>
      <c r="U580" s="2"/>
      <c r="V580" s="1"/>
      <c r="W580" s="1"/>
      <c r="X580" s="1"/>
      <c r="Y580" s="1"/>
      <c r="Z580" s="1"/>
    </row>
    <row r="581" spans="1:26" ht="24.75" customHeight="1">
      <c r="A581" s="1"/>
      <c r="B581" s="1"/>
      <c r="C581" s="1"/>
      <c r="D581" s="1"/>
      <c r="E581" s="1"/>
      <c r="F581" s="1"/>
      <c r="G581" s="1"/>
      <c r="H581" s="1"/>
      <c r="I581" s="1"/>
      <c r="J581" s="1"/>
      <c r="K581" s="1"/>
      <c r="L581" s="1"/>
      <c r="M581" s="1"/>
      <c r="N581" s="1"/>
      <c r="O581" s="1"/>
      <c r="P581" s="1"/>
      <c r="Q581" s="1"/>
      <c r="R581" s="1"/>
      <c r="S581" s="1"/>
      <c r="T581" s="1"/>
      <c r="U581" s="2"/>
      <c r="V581" s="1"/>
      <c r="W581" s="1"/>
      <c r="X581" s="1"/>
      <c r="Y581" s="1"/>
      <c r="Z581" s="1"/>
    </row>
    <row r="582" spans="1:26" ht="24.75" customHeight="1">
      <c r="A582" s="1"/>
      <c r="B582" s="1"/>
      <c r="C582" s="1"/>
      <c r="D582" s="1"/>
      <c r="E582" s="1"/>
      <c r="F582" s="1"/>
      <c r="G582" s="1"/>
      <c r="H582" s="1"/>
      <c r="I582" s="1"/>
      <c r="J582" s="1"/>
      <c r="K582" s="1"/>
      <c r="L582" s="1"/>
      <c r="M582" s="1"/>
      <c r="N582" s="1"/>
      <c r="O582" s="1"/>
      <c r="P582" s="1"/>
      <c r="Q582" s="1"/>
      <c r="R582" s="1"/>
      <c r="S582" s="1"/>
      <c r="T582" s="1"/>
      <c r="U582" s="2"/>
      <c r="V582" s="1"/>
      <c r="W582" s="1"/>
      <c r="X582" s="1"/>
      <c r="Y582" s="1"/>
      <c r="Z582" s="1"/>
    </row>
    <row r="583" spans="1:26" ht="24.75" customHeight="1">
      <c r="A583" s="1"/>
      <c r="B583" s="1"/>
      <c r="C583" s="1"/>
      <c r="D583" s="1"/>
      <c r="E583" s="1"/>
      <c r="F583" s="1"/>
      <c r="G583" s="1"/>
      <c r="H583" s="1"/>
      <c r="I583" s="1"/>
      <c r="J583" s="1"/>
      <c r="K583" s="1"/>
      <c r="L583" s="1"/>
      <c r="M583" s="1"/>
      <c r="N583" s="1"/>
      <c r="O583" s="1"/>
      <c r="P583" s="1"/>
      <c r="Q583" s="1"/>
      <c r="R583" s="1"/>
      <c r="S583" s="1"/>
      <c r="T583" s="1"/>
      <c r="U583" s="2"/>
      <c r="V583" s="1"/>
      <c r="W583" s="1"/>
      <c r="X583" s="1"/>
      <c r="Y583" s="1"/>
      <c r="Z583" s="1"/>
    </row>
    <row r="584" spans="1:26" ht="24.75" customHeight="1">
      <c r="A584" s="1"/>
      <c r="B584" s="1"/>
      <c r="C584" s="1"/>
      <c r="D584" s="1"/>
      <c r="E584" s="1"/>
      <c r="F584" s="1"/>
      <c r="G584" s="1"/>
      <c r="H584" s="1"/>
      <c r="I584" s="1"/>
      <c r="J584" s="1"/>
      <c r="K584" s="1"/>
      <c r="L584" s="1"/>
      <c r="M584" s="1"/>
      <c r="N584" s="1"/>
      <c r="O584" s="1"/>
      <c r="P584" s="1"/>
      <c r="Q584" s="1"/>
      <c r="R584" s="1"/>
      <c r="S584" s="1"/>
      <c r="T584" s="1"/>
      <c r="U584" s="2"/>
      <c r="V584" s="1"/>
      <c r="W584" s="1"/>
      <c r="X584" s="1"/>
      <c r="Y584" s="1"/>
      <c r="Z584" s="1"/>
    </row>
    <row r="585" spans="1:26" ht="24.75" customHeight="1">
      <c r="A585" s="1"/>
      <c r="B585" s="1"/>
      <c r="C585" s="1"/>
      <c r="D585" s="1"/>
      <c r="E585" s="1"/>
      <c r="F585" s="1"/>
      <c r="G585" s="1"/>
      <c r="H585" s="1"/>
      <c r="I585" s="1"/>
      <c r="J585" s="1"/>
      <c r="K585" s="1"/>
      <c r="L585" s="1"/>
      <c r="M585" s="1"/>
      <c r="N585" s="1"/>
      <c r="O585" s="1"/>
      <c r="P585" s="1"/>
      <c r="Q585" s="1"/>
      <c r="R585" s="1"/>
      <c r="S585" s="1"/>
      <c r="T585" s="1"/>
      <c r="U585" s="2"/>
      <c r="V585" s="1"/>
      <c r="W585" s="1"/>
      <c r="X585" s="1"/>
      <c r="Y585" s="1"/>
      <c r="Z585" s="1"/>
    </row>
    <row r="586" spans="1:26" ht="24.75" customHeight="1">
      <c r="A586" s="1"/>
      <c r="B586" s="1"/>
      <c r="C586" s="1"/>
      <c r="D586" s="1"/>
      <c r="E586" s="1"/>
      <c r="F586" s="1"/>
      <c r="G586" s="1"/>
      <c r="H586" s="1"/>
      <c r="I586" s="1"/>
      <c r="J586" s="1"/>
      <c r="K586" s="1"/>
      <c r="L586" s="1"/>
      <c r="M586" s="1"/>
      <c r="N586" s="1"/>
      <c r="O586" s="1"/>
      <c r="P586" s="1"/>
      <c r="Q586" s="1"/>
      <c r="R586" s="1"/>
      <c r="S586" s="1"/>
      <c r="T586" s="1"/>
      <c r="U586" s="2"/>
      <c r="V586" s="1"/>
      <c r="W586" s="1"/>
      <c r="X586" s="1"/>
      <c r="Y586" s="1"/>
      <c r="Z586" s="1"/>
    </row>
    <row r="587" spans="1:26" ht="24.75" customHeight="1">
      <c r="A587" s="1"/>
      <c r="B587" s="1"/>
      <c r="C587" s="1"/>
      <c r="D587" s="1"/>
      <c r="E587" s="1"/>
      <c r="F587" s="1"/>
      <c r="G587" s="1"/>
      <c r="H587" s="1"/>
      <c r="I587" s="1"/>
      <c r="J587" s="1"/>
      <c r="K587" s="1"/>
      <c r="L587" s="1"/>
      <c r="M587" s="1"/>
      <c r="N587" s="1"/>
      <c r="O587" s="1"/>
      <c r="P587" s="1"/>
      <c r="Q587" s="1"/>
      <c r="R587" s="1"/>
      <c r="S587" s="1"/>
      <c r="T587" s="1"/>
      <c r="U587" s="2"/>
      <c r="V587" s="1"/>
      <c r="W587" s="1"/>
      <c r="X587" s="1"/>
      <c r="Y587" s="1"/>
      <c r="Z587" s="1"/>
    </row>
    <row r="588" spans="1:26" ht="24.75" customHeight="1">
      <c r="A588" s="1"/>
      <c r="B588" s="1"/>
      <c r="C588" s="1"/>
      <c r="D588" s="1"/>
      <c r="E588" s="1"/>
      <c r="F588" s="1"/>
      <c r="G588" s="1"/>
      <c r="H588" s="1"/>
      <c r="I588" s="1"/>
      <c r="J588" s="1"/>
      <c r="K588" s="1"/>
      <c r="L588" s="1"/>
      <c r="M588" s="1"/>
      <c r="N588" s="1"/>
      <c r="O588" s="1"/>
      <c r="P588" s="1"/>
      <c r="Q588" s="1"/>
      <c r="R588" s="1"/>
      <c r="S588" s="1"/>
      <c r="T588" s="1"/>
      <c r="U588" s="2"/>
      <c r="V588" s="1"/>
      <c r="W588" s="1"/>
      <c r="X588" s="1"/>
      <c r="Y588" s="1"/>
      <c r="Z588" s="1"/>
    </row>
    <row r="589" spans="1:26" ht="24.75" customHeight="1">
      <c r="A589" s="1"/>
      <c r="B589" s="1"/>
      <c r="C589" s="1"/>
      <c r="D589" s="1"/>
      <c r="E589" s="1"/>
      <c r="F589" s="1"/>
      <c r="G589" s="1"/>
      <c r="H589" s="1"/>
      <c r="I589" s="1"/>
      <c r="J589" s="1"/>
      <c r="K589" s="1"/>
      <c r="L589" s="1"/>
      <c r="M589" s="1"/>
      <c r="N589" s="1"/>
      <c r="O589" s="1"/>
      <c r="P589" s="1"/>
      <c r="Q589" s="1"/>
      <c r="R589" s="1"/>
      <c r="S589" s="1"/>
      <c r="T589" s="1"/>
      <c r="U589" s="2"/>
      <c r="V589" s="1"/>
      <c r="W589" s="1"/>
      <c r="X589" s="1"/>
      <c r="Y589" s="1"/>
      <c r="Z589" s="1"/>
    </row>
    <row r="590" spans="1:26" ht="24.75" customHeight="1">
      <c r="A590" s="1"/>
      <c r="B590" s="1"/>
      <c r="C590" s="1"/>
      <c r="D590" s="1"/>
      <c r="E590" s="1"/>
      <c r="F590" s="1"/>
      <c r="G590" s="1"/>
      <c r="H590" s="1"/>
      <c r="I590" s="1"/>
      <c r="J590" s="1"/>
      <c r="K590" s="1"/>
      <c r="L590" s="1"/>
      <c r="M590" s="1"/>
      <c r="N590" s="1"/>
      <c r="O590" s="1"/>
      <c r="P590" s="1"/>
      <c r="Q590" s="1"/>
      <c r="R590" s="1"/>
      <c r="S590" s="1"/>
      <c r="T590" s="1"/>
      <c r="U590" s="2"/>
      <c r="V590" s="1"/>
      <c r="W590" s="1"/>
      <c r="X590" s="1"/>
      <c r="Y590" s="1"/>
      <c r="Z590" s="1"/>
    </row>
    <row r="591" spans="1:26" ht="24.75" customHeight="1">
      <c r="A591" s="1"/>
      <c r="B591" s="1"/>
      <c r="C591" s="1"/>
      <c r="D591" s="1"/>
      <c r="E591" s="1"/>
      <c r="F591" s="1"/>
      <c r="G591" s="1"/>
      <c r="H591" s="1"/>
      <c r="I591" s="1"/>
      <c r="J591" s="1"/>
      <c r="K591" s="1"/>
      <c r="L591" s="1"/>
      <c r="M591" s="1"/>
      <c r="N591" s="1"/>
      <c r="O591" s="1"/>
      <c r="P591" s="1"/>
      <c r="Q591" s="1"/>
      <c r="R591" s="1"/>
      <c r="S591" s="1"/>
      <c r="T591" s="1"/>
      <c r="U591" s="2"/>
      <c r="V591" s="1"/>
      <c r="W591" s="1"/>
      <c r="X591" s="1"/>
      <c r="Y591" s="1"/>
      <c r="Z591" s="1"/>
    </row>
    <row r="592" spans="1:26" ht="24.75" customHeight="1">
      <c r="A592" s="1"/>
      <c r="B592" s="1"/>
      <c r="C592" s="1"/>
      <c r="D592" s="1"/>
      <c r="E592" s="1"/>
      <c r="F592" s="1"/>
      <c r="G592" s="1"/>
      <c r="H592" s="1"/>
      <c r="I592" s="1"/>
      <c r="J592" s="1"/>
      <c r="K592" s="1"/>
      <c r="L592" s="1"/>
      <c r="M592" s="1"/>
      <c r="N592" s="1"/>
      <c r="O592" s="1"/>
      <c r="P592" s="1"/>
      <c r="Q592" s="1"/>
      <c r="R592" s="1"/>
      <c r="S592" s="1"/>
      <c r="T592" s="1"/>
      <c r="U592" s="2"/>
      <c r="V592" s="1"/>
      <c r="W592" s="1"/>
      <c r="X592" s="1"/>
      <c r="Y592" s="1"/>
      <c r="Z592" s="1"/>
    </row>
    <row r="593" spans="1:26" ht="24.75" customHeight="1">
      <c r="A593" s="1"/>
      <c r="B593" s="1"/>
      <c r="C593" s="1"/>
      <c r="D593" s="1"/>
      <c r="E593" s="1"/>
      <c r="F593" s="1"/>
      <c r="G593" s="1"/>
      <c r="H593" s="1"/>
      <c r="I593" s="1"/>
      <c r="J593" s="1"/>
      <c r="K593" s="1"/>
      <c r="L593" s="1"/>
      <c r="M593" s="1"/>
      <c r="N593" s="1"/>
      <c r="O593" s="1"/>
      <c r="P593" s="1"/>
      <c r="Q593" s="1"/>
      <c r="R593" s="1"/>
      <c r="S593" s="1"/>
      <c r="T593" s="1"/>
      <c r="U593" s="2"/>
      <c r="V593" s="1"/>
      <c r="W593" s="1"/>
      <c r="X593" s="1"/>
      <c r="Y593" s="1"/>
      <c r="Z593" s="1"/>
    </row>
    <row r="594" spans="1:26" ht="24.75" customHeight="1">
      <c r="A594" s="1"/>
      <c r="B594" s="1"/>
      <c r="C594" s="1"/>
      <c r="D594" s="1"/>
      <c r="E594" s="1"/>
      <c r="F594" s="1"/>
      <c r="G594" s="1"/>
      <c r="H594" s="1"/>
      <c r="I594" s="1"/>
      <c r="J594" s="1"/>
      <c r="K594" s="1"/>
      <c r="L594" s="1"/>
      <c r="M594" s="1"/>
      <c r="N594" s="1"/>
      <c r="O594" s="1"/>
      <c r="P594" s="1"/>
      <c r="Q594" s="1"/>
      <c r="R594" s="1"/>
      <c r="S594" s="1"/>
      <c r="T594" s="1"/>
      <c r="U594" s="2"/>
      <c r="V594" s="1"/>
      <c r="W594" s="1"/>
      <c r="X594" s="1"/>
      <c r="Y594" s="1"/>
      <c r="Z594" s="1"/>
    </row>
    <row r="595" spans="1:26" ht="24.75" customHeight="1">
      <c r="A595" s="1"/>
      <c r="B595" s="1"/>
      <c r="C595" s="1"/>
      <c r="D595" s="1"/>
      <c r="E595" s="1"/>
      <c r="F595" s="1"/>
      <c r="G595" s="1"/>
      <c r="H595" s="1"/>
      <c r="I595" s="1"/>
      <c r="J595" s="1"/>
      <c r="K595" s="1"/>
      <c r="L595" s="1"/>
      <c r="M595" s="1"/>
      <c r="N595" s="1"/>
      <c r="O595" s="1"/>
      <c r="P595" s="1"/>
      <c r="Q595" s="1"/>
      <c r="R595" s="1"/>
      <c r="S595" s="1"/>
      <c r="T595" s="1"/>
      <c r="U595" s="2"/>
      <c r="V595" s="1"/>
      <c r="W595" s="1"/>
      <c r="X595" s="1"/>
      <c r="Y595" s="1"/>
      <c r="Z595" s="1"/>
    </row>
    <row r="596" spans="1:26" ht="24.75" customHeight="1">
      <c r="A596" s="1"/>
      <c r="B596" s="1"/>
      <c r="C596" s="1"/>
      <c r="D596" s="1"/>
      <c r="E596" s="1"/>
      <c r="F596" s="1"/>
      <c r="G596" s="1"/>
      <c r="H596" s="1"/>
      <c r="I596" s="1"/>
      <c r="J596" s="1"/>
      <c r="K596" s="1"/>
      <c r="L596" s="1"/>
      <c r="M596" s="1"/>
      <c r="N596" s="1"/>
      <c r="O596" s="1"/>
      <c r="P596" s="1"/>
      <c r="Q596" s="1"/>
      <c r="R596" s="1"/>
      <c r="S596" s="1"/>
      <c r="T596" s="1"/>
      <c r="U596" s="2"/>
      <c r="V596" s="1"/>
      <c r="W596" s="1"/>
      <c r="X596" s="1"/>
      <c r="Y596" s="1"/>
      <c r="Z596" s="1"/>
    </row>
    <row r="597" spans="1:26" ht="24.75" customHeight="1">
      <c r="A597" s="1"/>
      <c r="B597" s="1"/>
      <c r="C597" s="1"/>
      <c r="D597" s="1"/>
      <c r="E597" s="1"/>
      <c r="F597" s="1"/>
      <c r="G597" s="1"/>
      <c r="H597" s="1"/>
      <c r="I597" s="1"/>
      <c r="J597" s="1"/>
      <c r="K597" s="1"/>
      <c r="L597" s="1"/>
      <c r="M597" s="1"/>
      <c r="N597" s="1"/>
      <c r="O597" s="1"/>
      <c r="P597" s="1"/>
      <c r="Q597" s="1"/>
      <c r="R597" s="1"/>
      <c r="S597" s="1"/>
      <c r="T597" s="1"/>
      <c r="U597" s="2"/>
      <c r="V597" s="1"/>
      <c r="W597" s="1"/>
      <c r="X597" s="1"/>
      <c r="Y597" s="1"/>
      <c r="Z597" s="1"/>
    </row>
    <row r="598" spans="1:26" ht="24.75" customHeight="1">
      <c r="A598" s="1"/>
      <c r="B598" s="1"/>
      <c r="C598" s="1"/>
      <c r="D598" s="1"/>
      <c r="E598" s="1"/>
      <c r="F598" s="1"/>
      <c r="G598" s="1"/>
      <c r="H598" s="1"/>
      <c r="I598" s="1"/>
      <c r="J598" s="1"/>
      <c r="K598" s="1"/>
      <c r="L598" s="1"/>
      <c r="M598" s="1"/>
      <c r="N598" s="1"/>
      <c r="O598" s="1"/>
      <c r="P598" s="1"/>
      <c r="Q598" s="1"/>
      <c r="R598" s="1"/>
      <c r="S598" s="1"/>
      <c r="T598" s="1"/>
      <c r="U598" s="2"/>
      <c r="V598" s="1"/>
      <c r="W598" s="1"/>
      <c r="X598" s="1"/>
      <c r="Y598" s="1"/>
      <c r="Z598" s="1"/>
    </row>
    <row r="599" spans="1:26" ht="24.75" customHeight="1">
      <c r="A599" s="1"/>
      <c r="B599" s="1"/>
      <c r="C599" s="1"/>
      <c r="D599" s="1"/>
      <c r="E599" s="1"/>
      <c r="F599" s="1"/>
      <c r="G599" s="1"/>
      <c r="H599" s="1"/>
      <c r="I599" s="1"/>
      <c r="J599" s="1"/>
      <c r="K599" s="1"/>
      <c r="L599" s="1"/>
      <c r="M599" s="1"/>
      <c r="N599" s="1"/>
      <c r="O599" s="1"/>
      <c r="P599" s="1"/>
      <c r="Q599" s="1"/>
      <c r="R599" s="1"/>
      <c r="S599" s="1"/>
      <c r="T599" s="1"/>
      <c r="U599" s="2"/>
      <c r="V599" s="1"/>
      <c r="W599" s="1"/>
      <c r="X599" s="1"/>
      <c r="Y599" s="1"/>
      <c r="Z599" s="1"/>
    </row>
    <row r="600" spans="1:26" ht="24.75" customHeight="1">
      <c r="A600" s="1"/>
      <c r="B600" s="1"/>
      <c r="C600" s="1"/>
      <c r="D600" s="1"/>
      <c r="E600" s="1"/>
      <c r="F600" s="1"/>
      <c r="G600" s="1"/>
      <c r="H600" s="1"/>
      <c r="I600" s="1"/>
      <c r="J600" s="1"/>
      <c r="K600" s="1"/>
      <c r="L600" s="1"/>
      <c r="M600" s="1"/>
      <c r="N600" s="1"/>
      <c r="O600" s="1"/>
      <c r="P600" s="1"/>
      <c r="Q600" s="1"/>
      <c r="R600" s="1"/>
      <c r="S600" s="1"/>
      <c r="T600" s="1"/>
      <c r="U600" s="2"/>
      <c r="V600" s="1"/>
      <c r="W600" s="1"/>
      <c r="X600" s="1"/>
      <c r="Y600" s="1"/>
      <c r="Z600" s="1"/>
    </row>
    <row r="601" spans="1:26" ht="24.75" customHeight="1">
      <c r="A601" s="1"/>
      <c r="B601" s="1"/>
      <c r="C601" s="1"/>
      <c r="D601" s="1"/>
      <c r="E601" s="1"/>
      <c r="F601" s="1"/>
      <c r="G601" s="1"/>
      <c r="H601" s="1"/>
      <c r="I601" s="1"/>
      <c r="J601" s="1"/>
      <c r="K601" s="1"/>
      <c r="L601" s="1"/>
      <c r="M601" s="1"/>
      <c r="N601" s="1"/>
      <c r="O601" s="1"/>
      <c r="P601" s="1"/>
      <c r="Q601" s="1"/>
      <c r="R601" s="1"/>
      <c r="S601" s="1"/>
      <c r="T601" s="1"/>
      <c r="U601" s="2"/>
      <c r="V601" s="1"/>
      <c r="W601" s="1"/>
      <c r="X601" s="1"/>
      <c r="Y601" s="1"/>
      <c r="Z601" s="1"/>
    </row>
    <row r="602" spans="1:26" ht="24.75" customHeight="1">
      <c r="A602" s="1"/>
      <c r="B602" s="1"/>
      <c r="C602" s="1"/>
      <c r="D602" s="1"/>
      <c r="E602" s="1"/>
      <c r="F602" s="1"/>
      <c r="G602" s="1"/>
      <c r="H602" s="1"/>
      <c r="I602" s="1"/>
      <c r="J602" s="1"/>
      <c r="K602" s="1"/>
      <c r="L602" s="1"/>
      <c r="M602" s="1"/>
      <c r="N602" s="1"/>
      <c r="O602" s="1"/>
      <c r="P602" s="1"/>
      <c r="Q602" s="1"/>
      <c r="R602" s="1"/>
      <c r="S602" s="1"/>
      <c r="T602" s="1"/>
      <c r="U602" s="2"/>
      <c r="V602" s="1"/>
      <c r="W602" s="1"/>
      <c r="X602" s="1"/>
      <c r="Y602" s="1"/>
      <c r="Z602" s="1"/>
    </row>
    <row r="603" spans="1:26" ht="24.75" customHeight="1">
      <c r="A603" s="1"/>
      <c r="B603" s="1"/>
      <c r="C603" s="1"/>
      <c r="D603" s="1"/>
      <c r="E603" s="1"/>
      <c r="F603" s="1"/>
      <c r="G603" s="1"/>
      <c r="H603" s="1"/>
      <c r="I603" s="1"/>
      <c r="J603" s="1"/>
      <c r="K603" s="1"/>
      <c r="L603" s="1"/>
      <c r="M603" s="1"/>
      <c r="N603" s="1"/>
      <c r="O603" s="1"/>
      <c r="P603" s="1"/>
      <c r="Q603" s="1"/>
      <c r="R603" s="1"/>
      <c r="S603" s="1"/>
      <c r="T603" s="1"/>
      <c r="U603" s="2"/>
      <c r="V603" s="1"/>
      <c r="W603" s="1"/>
      <c r="X603" s="1"/>
      <c r="Y603" s="1"/>
      <c r="Z603" s="1"/>
    </row>
    <row r="604" spans="1:26" ht="24.75" customHeight="1">
      <c r="A604" s="1"/>
      <c r="B604" s="1"/>
      <c r="C604" s="1"/>
      <c r="D604" s="1"/>
      <c r="E604" s="1"/>
      <c r="F604" s="1"/>
      <c r="G604" s="1"/>
      <c r="H604" s="1"/>
      <c r="I604" s="1"/>
      <c r="J604" s="1"/>
      <c r="K604" s="1"/>
      <c r="L604" s="1"/>
      <c r="M604" s="1"/>
      <c r="N604" s="1"/>
      <c r="O604" s="1"/>
      <c r="P604" s="1"/>
      <c r="Q604" s="1"/>
      <c r="R604" s="1"/>
      <c r="S604" s="1"/>
      <c r="T604" s="1"/>
      <c r="U604" s="2"/>
      <c r="V604" s="1"/>
      <c r="W604" s="1"/>
      <c r="X604" s="1"/>
      <c r="Y604" s="1"/>
      <c r="Z604" s="1"/>
    </row>
    <row r="605" spans="1:26" ht="24.75" customHeight="1">
      <c r="A605" s="1"/>
      <c r="B605" s="1"/>
      <c r="C605" s="1"/>
      <c r="D605" s="1"/>
      <c r="E605" s="1"/>
      <c r="F605" s="1"/>
      <c r="G605" s="1"/>
      <c r="H605" s="1"/>
      <c r="I605" s="1"/>
      <c r="J605" s="1"/>
      <c r="K605" s="1"/>
      <c r="L605" s="1"/>
      <c r="M605" s="1"/>
      <c r="N605" s="1"/>
      <c r="O605" s="1"/>
      <c r="P605" s="1"/>
      <c r="Q605" s="1"/>
      <c r="R605" s="1"/>
      <c r="S605" s="1"/>
      <c r="T605" s="1"/>
      <c r="U605" s="2"/>
      <c r="V605" s="1"/>
      <c r="W605" s="1"/>
      <c r="X605" s="1"/>
      <c r="Y605" s="1"/>
      <c r="Z605" s="1"/>
    </row>
    <row r="606" spans="1:26" ht="24.75" customHeight="1">
      <c r="A606" s="1"/>
      <c r="B606" s="1"/>
      <c r="C606" s="1"/>
      <c r="D606" s="1"/>
      <c r="E606" s="1"/>
      <c r="F606" s="1"/>
      <c r="G606" s="1"/>
      <c r="H606" s="1"/>
      <c r="I606" s="1"/>
      <c r="J606" s="1"/>
      <c r="K606" s="1"/>
      <c r="L606" s="1"/>
      <c r="M606" s="1"/>
      <c r="N606" s="1"/>
      <c r="O606" s="1"/>
      <c r="P606" s="1"/>
      <c r="Q606" s="1"/>
      <c r="R606" s="1"/>
      <c r="S606" s="1"/>
      <c r="T606" s="1"/>
      <c r="U606" s="2"/>
      <c r="V606" s="1"/>
      <c r="W606" s="1"/>
      <c r="X606" s="1"/>
      <c r="Y606" s="1"/>
      <c r="Z606" s="1"/>
    </row>
    <row r="607" spans="1:26" ht="24.75" customHeight="1">
      <c r="A607" s="1"/>
      <c r="B607" s="1"/>
      <c r="C607" s="1"/>
      <c r="D607" s="1"/>
      <c r="E607" s="1"/>
      <c r="F607" s="1"/>
      <c r="G607" s="1"/>
      <c r="H607" s="1"/>
      <c r="I607" s="1"/>
      <c r="J607" s="1"/>
      <c r="K607" s="1"/>
      <c r="L607" s="1"/>
      <c r="M607" s="1"/>
      <c r="N607" s="1"/>
      <c r="O607" s="1"/>
      <c r="P607" s="1"/>
      <c r="Q607" s="1"/>
      <c r="R607" s="1"/>
      <c r="S607" s="1"/>
      <c r="T607" s="1"/>
      <c r="U607" s="2"/>
      <c r="V607" s="1"/>
      <c r="W607" s="1"/>
      <c r="X607" s="1"/>
      <c r="Y607" s="1"/>
      <c r="Z607" s="1"/>
    </row>
    <row r="608" spans="1:26" ht="24.75" customHeight="1">
      <c r="A608" s="1"/>
      <c r="B608" s="1"/>
      <c r="C608" s="1"/>
      <c r="D608" s="1"/>
      <c r="E608" s="1"/>
      <c r="F608" s="1"/>
      <c r="G608" s="1"/>
      <c r="H608" s="1"/>
      <c r="I608" s="1"/>
      <c r="J608" s="1"/>
      <c r="K608" s="1"/>
      <c r="L608" s="1"/>
      <c r="M608" s="1"/>
      <c r="N608" s="1"/>
      <c r="O608" s="1"/>
      <c r="P608" s="1"/>
      <c r="Q608" s="1"/>
      <c r="R608" s="1"/>
      <c r="S608" s="1"/>
      <c r="T608" s="1"/>
      <c r="U608" s="2"/>
      <c r="V608" s="1"/>
      <c r="W608" s="1"/>
      <c r="X608" s="1"/>
      <c r="Y608" s="1"/>
      <c r="Z608" s="1"/>
    </row>
    <row r="609" spans="1:26" ht="24.75" customHeight="1">
      <c r="A609" s="1"/>
      <c r="B609" s="1"/>
      <c r="C609" s="1"/>
      <c r="D609" s="1"/>
      <c r="E609" s="1"/>
      <c r="F609" s="1"/>
      <c r="G609" s="1"/>
      <c r="H609" s="1"/>
      <c r="I609" s="1"/>
      <c r="J609" s="1"/>
      <c r="K609" s="1"/>
      <c r="L609" s="1"/>
      <c r="M609" s="1"/>
      <c r="N609" s="1"/>
      <c r="O609" s="1"/>
      <c r="P609" s="1"/>
      <c r="Q609" s="1"/>
      <c r="R609" s="1"/>
      <c r="S609" s="1"/>
      <c r="T609" s="1"/>
      <c r="U609" s="2"/>
      <c r="V609" s="1"/>
      <c r="W609" s="1"/>
      <c r="X609" s="1"/>
      <c r="Y609" s="1"/>
      <c r="Z609" s="1"/>
    </row>
    <row r="610" spans="1:26" ht="24.75" customHeight="1">
      <c r="A610" s="1"/>
      <c r="B610" s="1"/>
      <c r="C610" s="1"/>
      <c r="D610" s="1"/>
      <c r="E610" s="1"/>
      <c r="F610" s="1"/>
      <c r="G610" s="1"/>
      <c r="H610" s="1"/>
      <c r="I610" s="1"/>
      <c r="J610" s="1"/>
      <c r="K610" s="1"/>
      <c r="L610" s="1"/>
      <c r="M610" s="1"/>
      <c r="N610" s="1"/>
      <c r="O610" s="1"/>
      <c r="P610" s="1"/>
      <c r="Q610" s="1"/>
      <c r="R610" s="1"/>
      <c r="S610" s="1"/>
      <c r="T610" s="1"/>
      <c r="U610" s="2"/>
      <c r="V610" s="1"/>
      <c r="W610" s="1"/>
      <c r="X610" s="1"/>
      <c r="Y610" s="1"/>
      <c r="Z610" s="1"/>
    </row>
    <row r="611" spans="1:26" ht="24.75" customHeight="1">
      <c r="A611" s="1"/>
      <c r="B611" s="1"/>
      <c r="C611" s="1"/>
      <c r="D611" s="1"/>
      <c r="E611" s="1"/>
      <c r="F611" s="1"/>
      <c r="G611" s="1"/>
      <c r="H611" s="1"/>
      <c r="I611" s="1"/>
      <c r="J611" s="1"/>
      <c r="K611" s="1"/>
      <c r="L611" s="1"/>
      <c r="M611" s="1"/>
      <c r="N611" s="1"/>
      <c r="O611" s="1"/>
      <c r="P611" s="1"/>
      <c r="Q611" s="1"/>
      <c r="R611" s="1"/>
      <c r="S611" s="1"/>
      <c r="T611" s="1"/>
      <c r="U611" s="2"/>
      <c r="V611" s="1"/>
      <c r="W611" s="1"/>
      <c r="X611" s="1"/>
      <c r="Y611" s="1"/>
      <c r="Z611" s="1"/>
    </row>
    <row r="612" spans="1:26" ht="24.75" customHeight="1">
      <c r="A612" s="1"/>
      <c r="B612" s="1"/>
      <c r="C612" s="1"/>
      <c r="D612" s="1"/>
      <c r="E612" s="1"/>
      <c r="F612" s="1"/>
      <c r="G612" s="1"/>
      <c r="H612" s="1"/>
      <c r="I612" s="1"/>
      <c r="J612" s="1"/>
      <c r="K612" s="1"/>
      <c r="L612" s="1"/>
      <c r="M612" s="1"/>
      <c r="N612" s="1"/>
      <c r="O612" s="1"/>
      <c r="P612" s="1"/>
      <c r="Q612" s="1"/>
      <c r="R612" s="1"/>
      <c r="S612" s="1"/>
      <c r="T612" s="1"/>
      <c r="U612" s="2"/>
      <c r="V612" s="1"/>
      <c r="W612" s="1"/>
      <c r="X612" s="1"/>
      <c r="Y612" s="1"/>
      <c r="Z612" s="1"/>
    </row>
    <row r="613" spans="1:26" ht="24.75" customHeight="1">
      <c r="A613" s="1"/>
      <c r="B613" s="1"/>
      <c r="C613" s="1"/>
      <c r="D613" s="1"/>
      <c r="E613" s="1"/>
      <c r="F613" s="1"/>
      <c r="G613" s="1"/>
      <c r="H613" s="1"/>
      <c r="I613" s="1"/>
      <c r="J613" s="1"/>
      <c r="K613" s="1"/>
      <c r="L613" s="1"/>
      <c r="M613" s="1"/>
      <c r="N613" s="1"/>
      <c r="O613" s="1"/>
      <c r="P613" s="1"/>
      <c r="Q613" s="1"/>
      <c r="R613" s="1"/>
      <c r="S613" s="1"/>
      <c r="T613" s="1"/>
      <c r="U613" s="2"/>
      <c r="V613" s="1"/>
      <c r="W613" s="1"/>
      <c r="X613" s="1"/>
      <c r="Y613" s="1"/>
      <c r="Z613" s="1"/>
    </row>
    <row r="614" spans="1:26" ht="24.75" customHeight="1">
      <c r="A614" s="1"/>
      <c r="B614" s="1"/>
      <c r="C614" s="1"/>
      <c r="D614" s="1"/>
      <c r="E614" s="1"/>
      <c r="F614" s="1"/>
      <c r="G614" s="1"/>
      <c r="H614" s="1"/>
      <c r="I614" s="1"/>
      <c r="J614" s="1"/>
      <c r="K614" s="1"/>
      <c r="L614" s="1"/>
      <c r="M614" s="1"/>
      <c r="N614" s="1"/>
      <c r="O614" s="1"/>
      <c r="P614" s="1"/>
      <c r="Q614" s="1"/>
      <c r="R614" s="1"/>
      <c r="S614" s="1"/>
      <c r="T614" s="1"/>
      <c r="U614" s="2"/>
      <c r="V614" s="1"/>
      <c r="W614" s="1"/>
      <c r="X614" s="1"/>
      <c r="Y614" s="1"/>
      <c r="Z614" s="1"/>
    </row>
    <row r="615" spans="1:26" ht="24.75" customHeight="1">
      <c r="A615" s="1"/>
      <c r="B615" s="1"/>
      <c r="C615" s="1"/>
      <c r="D615" s="1"/>
      <c r="E615" s="1"/>
      <c r="F615" s="1"/>
      <c r="G615" s="1"/>
      <c r="H615" s="1"/>
      <c r="I615" s="1"/>
      <c r="J615" s="1"/>
      <c r="K615" s="1"/>
      <c r="L615" s="1"/>
      <c r="M615" s="1"/>
      <c r="N615" s="1"/>
      <c r="O615" s="1"/>
      <c r="P615" s="1"/>
      <c r="Q615" s="1"/>
      <c r="R615" s="1"/>
      <c r="S615" s="1"/>
      <c r="T615" s="1"/>
      <c r="U615" s="2"/>
      <c r="V615" s="1"/>
      <c r="W615" s="1"/>
      <c r="X615" s="1"/>
      <c r="Y615" s="1"/>
      <c r="Z615" s="1"/>
    </row>
    <row r="616" spans="1:26" ht="24.75" customHeight="1">
      <c r="A616" s="1"/>
      <c r="B616" s="1"/>
      <c r="C616" s="1"/>
      <c r="D616" s="1"/>
      <c r="E616" s="1"/>
      <c r="F616" s="1"/>
      <c r="G616" s="1"/>
      <c r="H616" s="1"/>
      <c r="I616" s="1"/>
      <c r="J616" s="1"/>
      <c r="K616" s="1"/>
      <c r="L616" s="1"/>
      <c r="M616" s="1"/>
      <c r="N616" s="1"/>
      <c r="O616" s="1"/>
      <c r="P616" s="1"/>
      <c r="Q616" s="1"/>
      <c r="R616" s="1"/>
      <c r="S616" s="1"/>
      <c r="T616" s="1"/>
      <c r="U616" s="2"/>
      <c r="V616" s="1"/>
      <c r="W616" s="1"/>
      <c r="X616" s="1"/>
      <c r="Y616" s="1"/>
      <c r="Z616" s="1"/>
    </row>
    <row r="617" spans="1:26" ht="24.75" customHeight="1">
      <c r="A617" s="1"/>
      <c r="B617" s="1"/>
      <c r="C617" s="1"/>
      <c r="D617" s="1"/>
      <c r="E617" s="1"/>
      <c r="F617" s="1"/>
      <c r="G617" s="1"/>
      <c r="H617" s="1"/>
      <c r="I617" s="1"/>
      <c r="J617" s="1"/>
      <c r="K617" s="1"/>
      <c r="L617" s="1"/>
      <c r="M617" s="1"/>
      <c r="N617" s="1"/>
      <c r="O617" s="1"/>
      <c r="P617" s="1"/>
      <c r="Q617" s="1"/>
      <c r="R617" s="1"/>
      <c r="S617" s="1"/>
      <c r="T617" s="1"/>
      <c r="U617" s="2"/>
      <c r="V617" s="1"/>
      <c r="W617" s="1"/>
      <c r="X617" s="1"/>
      <c r="Y617" s="1"/>
      <c r="Z617" s="1"/>
    </row>
    <row r="618" spans="1:26" ht="24.75" customHeight="1">
      <c r="A618" s="1"/>
      <c r="B618" s="1"/>
      <c r="C618" s="1"/>
      <c r="D618" s="1"/>
      <c r="E618" s="1"/>
      <c r="F618" s="1"/>
      <c r="G618" s="1"/>
      <c r="H618" s="1"/>
      <c r="I618" s="1"/>
      <c r="J618" s="1"/>
      <c r="K618" s="1"/>
      <c r="L618" s="1"/>
      <c r="M618" s="1"/>
      <c r="N618" s="1"/>
      <c r="O618" s="1"/>
      <c r="P618" s="1"/>
      <c r="Q618" s="1"/>
      <c r="R618" s="1"/>
      <c r="S618" s="1"/>
      <c r="T618" s="1"/>
      <c r="U618" s="2"/>
      <c r="V618" s="1"/>
      <c r="W618" s="1"/>
      <c r="X618" s="1"/>
      <c r="Y618" s="1"/>
      <c r="Z618" s="1"/>
    </row>
    <row r="619" spans="1:26" ht="24.75" customHeight="1">
      <c r="A619" s="1"/>
      <c r="B619" s="1"/>
      <c r="C619" s="1"/>
      <c r="D619" s="1"/>
      <c r="E619" s="1"/>
      <c r="F619" s="1"/>
      <c r="G619" s="1"/>
      <c r="H619" s="1"/>
      <c r="I619" s="1"/>
      <c r="J619" s="1"/>
      <c r="K619" s="1"/>
      <c r="L619" s="1"/>
      <c r="M619" s="1"/>
      <c r="N619" s="1"/>
      <c r="O619" s="1"/>
      <c r="P619" s="1"/>
      <c r="Q619" s="1"/>
      <c r="R619" s="1"/>
      <c r="S619" s="1"/>
      <c r="T619" s="1"/>
      <c r="U619" s="2"/>
      <c r="V619" s="1"/>
      <c r="W619" s="1"/>
      <c r="X619" s="1"/>
      <c r="Y619" s="1"/>
      <c r="Z619" s="1"/>
    </row>
    <row r="620" spans="1:26" ht="24.75" customHeight="1">
      <c r="A620" s="1"/>
      <c r="B620" s="1"/>
      <c r="C620" s="1"/>
      <c r="D620" s="1"/>
      <c r="E620" s="1"/>
      <c r="F620" s="1"/>
      <c r="G620" s="1"/>
      <c r="H620" s="1"/>
      <c r="I620" s="1"/>
      <c r="J620" s="1"/>
      <c r="K620" s="1"/>
      <c r="L620" s="1"/>
      <c r="M620" s="1"/>
      <c r="N620" s="1"/>
      <c r="O620" s="1"/>
      <c r="P620" s="1"/>
      <c r="Q620" s="1"/>
      <c r="R620" s="1"/>
      <c r="S620" s="1"/>
      <c r="T620" s="1"/>
      <c r="U620" s="2"/>
      <c r="V620" s="1"/>
      <c r="W620" s="1"/>
      <c r="X620" s="1"/>
      <c r="Y620" s="1"/>
      <c r="Z620" s="1"/>
    </row>
    <row r="621" spans="1:26" ht="24.75" customHeight="1">
      <c r="A621" s="1"/>
      <c r="B621" s="1"/>
      <c r="C621" s="1"/>
      <c r="D621" s="1"/>
      <c r="E621" s="1"/>
      <c r="F621" s="1"/>
      <c r="G621" s="1"/>
      <c r="H621" s="1"/>
      <c r="I621" s="1"/>
      <c r="J621" s="1"/>
      <c r="K621" s="1"/>
      <c r="L621" s="1"/>
      <c r="M621" s="1"/>
      <c r="N621" s="1"/>
      <c r="O621" s="1"/>
      <c r="P621" s="1"/>
      <c r="Q621" s="1"/>
      <c r="R621" s="1"/>
      <c r="S621" s="1"/>
      <c r="T621" s="1"/>
      <c r="U621" s="2"/>
      <c r="V621" s="1"/>
      <c r="W621" s="1"/>
      <c r="X621" s="1"/>
      <c r="Y621" s="1"/>
      <c r="Z621" s="1"/>
    </row>
    <row r="622" spans="1:26" ht="24.75" customHeight="1">
      <c r="A622" s="1"/>
      <c r="B622" s="1"/>
      <c r="C622" s="1"/>
      <c r="D622" s="1"/>
      <c r="E622" s="1"/>
      <c r="F622" s="1"/>
      <c r="G622" s="1"/>
      <c r="H622" s="1"/>
      <c r="I622" s="1"/>
      <c r="J622" s="1"/>
      <c r="K622" s="1"/>
      <c r="L622" s="1"/>
      <c r="M622" s="1"/>
      <c r="N622" s="1"/>
      <c r="O622" s="1"/>
      <c r="P622" s="1"/>
      <c r="Q622" s="1"/>
      <c r="R622" s="1"/>
      <c r="S622" s="1"/>
      <c r="T622" s="1"/>
      <c r="U622" s="2"/>
      <c r="V622" s="1"/>
      <c r="W622" s="1"/>
      <c r="X622" s="1"/>
      <c r="Y622" s="1"/>
      <c r="Z622" s="1"/>
    </row>
    <row r="623" spans="1:26" ht="24.75" customHeight="1">
      <c r="A623" s="1"/>
      <c r="B623" s="1"/>
      <c r="C623" s="1"/>
      <c r="D623" s="1"/>
      <c r="E623" s="1"/>
      <c r="F623" s="1"/>
      <c r="G623" s="1"/>
      <c r="H623" s="1"/>
      <c r="I623" s="1"/>
      <c r="J623" s="1"/>
      <c r="K623" s="1"/>
      <c r="L623" s="1"/>
      <c r="M623" s="1"/>
      <c r="N623" s="1"/>
      <c r="O623" s="1"/>
      <c r="P623" s="1"/>
      <c r="Q623" s="1"/>
      <c r="R623" s="1"/>
      <c r="S623" s="1"/>
      <c r="T623" s="1"/>
      <c r="U623" s="2"/>
      <c r="V623" s="1"/>
      <c r="W623" s="1"/>
      <c r="X623" s="1"/>
      <c r="Y623" s="1"/>
      <c r="Z623" s="1"/>
    </row>
    <row r="624" spans="1:26" ht="24.75" customHeight="1">
      <c r="A624" s="1"/>
      <c r="B624" s="1"/>
      <c r="C624" s="1"/>
      <c r="D624" s="1"/>
      <c r="E624" s="1"/>
      <c r="F624" s="1"/>
      <c r="G624" s="1"/>
      <c r="H624" s="1"/>
      <c r="I624" s="1"/>
      <c r="J624" s="1"/>
      <c r="K624" s="1"/>
      <c r="L624" s="1"/>
      <c r="M624" s="1"/>
      <c r="N624" s="1"/>
      <c r="O624" s="1"/>
      <c r="P624" s="1"/>
      <c r="Q624" s="1"/>
      <c r="R624" s="1"/>
      <c r="S624" s="1"/>
      <c r="T624" s="1"/>
      <c r="U624" s="2"/>
      <c r="V624" s="1"/>
      <c r="W624" s="1"/>
      <c r="X624" s="1"/>
      <c r="Y624" s="1"/>
      <c r="Z624" s="1"/>
    </row>
    <row r="625" spans="1:26" ht="24.75" customHeight="1">
      <c r="A625" s="1"/>
      <c r="B625" s="1"/>
      <c r="C625" s="1"/>
      <c r="D625" s="1"/>
      <c r="E625" s="1"/>
      <c r="F625" s="1"/>
      <c r="G625" s="1"/>
      <c r="H625" s="1"/>
      <c r="I625" s="1"/>
      <c r="J625" s="1"/>
      <c r="K625" s="1"/>
      <c r="L625" s="1"/>
      <c r="M625" s="1"/>
      <c r="N625" s="1"/>
      <c r="O625" s="1"/>
      <c r="P625" s="1"/>
      <c r="Q625" s="1"/>
      <c r="R625" s="1"/>
      <c r="S625" s="1"/>
      <c r="T625" s="1"/>
      <c r="U625" s="2"/>
      <c r="V625" s="1"/>
      <c r="W625" s="1"/>
      <c r="X625" s="1"/>
      <c r="Y625" s="1"/>
      <c r="Z625" s="1"/>
    </row>
    <row r="626" spans="1:26" ht="24.75" customHeight="1">
      <c r="A626" s="1"/>
      <c r="B626" s="1"/>
      <c r="C626" s="1"/>
      <c r="D626" s="1"/>
      <c r="E626" s="1"/>
      <c r="F626" s="1"/>
      <c r="G626" s="1"/>
      <c r="H626" s="1"/>
      <c r="I626" s="1"/>
      <c r="J626" s="1"/>
      <c r="K626" s="1"/>
      <c r="L626" s="1"/>
      <c r="M626" s="1"/>
      <c r="N626" s="1"/>
      <c r="O626" s="1"/>
      <c r="P626" s="1"/>
      <c r="Q626" s="1"/>
      <c r="R626" s="1"/>
      <c r="S626" s="1"/>
      <c r="T626" s="1"/>
      <c r="U626" s="2"/>
      <c r="V626" s="1"/>
      <c r="W626" s="1"/>
      <c r="X626" s="1"/>
      <c r="Y626" s="1"/>
      <c r="Z626" s="1"/>
    </row>
    <row r="627" spans="1:26" ht="24.75" customHeight="1">
      <c r="A627" s="1"/>
      <c r="B627" s="1"/>
      <c r="C627" s="1"/>
      <c r="D627" s="1"/>
      <c r="E627" s="1"/>
      <c r="F627" s="1"/>
      <c r="G627" s="1"/>
      <c r="H627" s="1"/>
      <c r="I627" s="1"/>
      <c r="J627" s="1"/>
      <c r="K627" s="1"/>
      <c r="L627" s="1"/>
      <c r="M627" s="1"/>
      <c r="N627" s="1"/>
      <c r="O627" s="1"/>
      <c r="P627" s="1"/>
      <c r="Q627" s="1"/>
      <c r="R627" s="1"/>
      <c r="S627" s="1"/>
      <c r="T627" s="1"/>
      <c r="U627" s="2"/>
      <c r="V627" s="1"/>
      <c r="W627" s="1"/>
      <c r="X627" s="1"/>
      <c r="Y627" s="1"/>
      <c r="Z627" s="1"/>
    </row>
    <row r="628" spans="1:26" ht="24.75" customHeight="1">
      <c r="A628" s="1"/>
      <c r="B628" s="1"/>
      <c r="C628" s="1"/>
      <c r="D628" s="1"/>
      <c r="E628" s="1"/>
      <c r="F628" s="1"/>
      <c r="G628" s="1"/>
      <c r="H628" s="1"/>
      <c r="I628" s="1"/>
      <c r="J628" s="1"/>
      <c r="K628" s="1"/>
      <c r="L628" s="1"/>
      <c r="M628" s="1"/>
      <c r="N628" s="1"/>
      <c r="O628" s="1"/>
      <c r="P628" s="1"/>
      <c r="Q628" s="1"/>
      <c r="R628" s="1"/>
      <c r="S628" s="1"/>
      <c r="T628" s="1"/>
      <c r="U628" s="2"/>
      <c r="V628" s="1"/>
      <c r="W628" s="1"/>
      <c r="X628" s="1"/>
      <c r="Y628" s="1"/>
      <c r="Z628" s="1"/>
    </row>
    <row r="629" spans="1:26" ht="24.75" customHeight="1">
      <c r="A629" s="1"/>
      <c r="B629" s="1"/>
      <c r="C629" s="1"/>
      <c r="D629" s="1"/>
      <c r="E629" s="1"/>
      <c r="F629" s="1"/>
      <c r="G629" s="1"/>
      <c r="H629" s="1"/>
      <c r="I629" s="1"/>
      <c r="J629" s="1"/>
      <c r="K629" s="1"/>
      <c r="L629" s="1"/>
      <c r="M629" s="1"/>
      <c r="N629" s="1"/>
      <c r="O629" s="1"/>
      <c r="P629" s="1"/>
      <c r="Q629" s="1"/>
      <c r="R629" s="1"/>
      <c r="S629" s="1"/>
      <c r="T629" s="1"/>
      <c r="U629" s="2"/>
      <c r="V629" s="1"/>
      <c r="W629" s="1"/>
      <c r="X629" s="1"/>
      <c r="Y629" s="1"/>
      <c r="Z629" s="1"/>
    </row>
    <row r="630" spans="1:26" ht="24.75" customHeight="1">
      <c r="A630" s="1"/>
      <c r="B630" s="1"/>
      <c r="C630" s="1"/>
      <c r="D630" s="1"/>
      <c r="E630" s="1"/>
      <c r="F630" s="1"/>
      <c r="G630" s="1"/>
      <c r="H630" s="1"/>
      <c r="I630" s="1"/>
      <c r="J630" s="1"/>
      <c r="K630" s="1"/>
      <c r="L630" s="1"/>
      <c r="M630" s="1"/>
      <c r="N630" s="1"/>
      <c r="O630" s="1"/>
      <c r="P630" s="1"/>
      <c r="Q630" s="1"/>
      <c r="R630" s="1"/>
      <c r="S630" s="1"/>
      <c r="T630" s="1"/>
      <c r="U630" s="2"/>
      <c r="V630" s="1"/>
      <c r="W630" s="1"/>
      <c r="X630" s="1"/>
      <c r="Y630" s="1"/>
      <c r="Z630" s="1"/>
    </row>
    <row r="631" spans="1:26" ht="24.75" customHeight="1">
      <c r="A631" s="1"/>
      <c r="B631" s="1"/>
      <c r="C631" s="1"/>
      <c r="D631" s="1"/>
      <c r="E631" s="1"/>
      <c r="F631" s="1"/>
      <c r="G631" s="1"/>
      <c r="H631" s="1"/>
      <c r="I631" s="1"/>
      <c r="J631" s="1"/>
      <c r="K631" s="1"/>
      <c r="L631" s="1"/>
      <c r="M631" s="1"/>
      <c r="N631" s="1"/>
      <c r="O631" s="1"/>
      <c r="P631" s="1"/>
      <c r="Q631" s="1"/>
      <c r="R631" s="1"/>
      <c r="S631" s="1"/>
      <c r="T631" s="1"/>
      <c r="U631" s="2"/>
      <c r="V631" s="1"/>
      <c r="W631" s="1"/>
      <c r="X631" s="1"/>
      <c r="Y631" s="1"/>
      <c r="Z631" s="1"/>
    </row>
    <row r="632" spans="1:26" ht="24.75" customHeight="1">
      <c r="A632" s="1"/>
      <c r="B632" s="1"/>
      <c r="C632" s="1"/>
      <c r="D632" s="1"/>
      <c r="E632" s="1"/>
      <c r="F632" s="1"/>
      <c r="G632" s="1"/>
      <c r="H632" s="1"/>
      <c r="I632" s="1"/>
      <c r="J632" s="1"/>
      <c r="K632" s="1"/>
      <c r="L632" s="1"/>
      <c r="M632" s="1"/>
      <c r="N632" s="1"/>
      <c r="O632" s="1"/>
      <c r="P632" s="1"/>
      <c r="Q632" s="1"/>
      <c r="R632" s="1"/>
      <c r="S632" s="1"/>
      <c r="T632" s="1"/>
      <c r="U632" s="2"/>
      <c r="V632" s="1"/>
      <c r="W632" s="1"/>
      <c r="X632" s="1"/>
      <c r="Y632" s="1"/>
      <c r="Z632" s="1"/>
    </row>
    <row r="633" spans="1:26" ht="24.75" customHeight="1">
      <c r="A633" s="1"/>
      <c r="B633" s="1"/>
      <c r="C633" s="1"/>
      <c r="D633" s="1"/>
      <c r="E633" s="1"/>
      <c r="F633" s="1"/>
      <c r="G633" s="1"/>
      <c r="H633" s="1"/>
      <c r="I633" s="1"/>
      <c r="J633" s="1"/>
      <c r="K633" s="1"/>
      <c r="L633" s="1"/>
      <c r="M633" s="1"/>
      <c r="N633" s="1"/>
      <c r="O633" s="1"/>
      <c r="P633" s="1"/>
      <c r="Q633" s="1"/>
      <c r="R633" s="1"/>
      <c r="S633" s="1"/>
      <c r="T633" s="1"/>
      <c r="U633" s="2"/>
      <c r="V633" s="1"/>
      <c r="W633" s="1"/>
      <c r="X633" s="1"/>
      <c r="Y633" s="1"/>
      <c r="Z633" s="1"/>
    </row>
    <row r="634" spans="1:26" ht="24.75" customHeight="1">
      <c r="A634" s="1"/>
      <c r="B634" s="1"/>
      <c r="C634" s="1"/>
      <c r="D634" s="1"/>
      <c r="E634" s="1"/>
      <c r="F634" s="1"/>
      <c r="G634" s="1"/>
      <c r="H634" s="1"/>
      <c r="I634" s="1"/>
      <c r="J634" s="1"/>
      <c r="K634" s="1"/>
      <c r="L634" s="1"/>
      <c r="M634" s="1"/>
      <c r="N634" s="1"/>
      <c r="O634" s="1"/>
      <c r="P634" s="1"/>
      <c r="Q634" s="1"/>
      <c r="R634" s="1"/>
      <c r="S634" s="1"/>
      <c r="T634" s="1"/>
      <c r="U634" s="2"/>
      <c r="V634" s="1"/>
      <c r="W634" s="1"/>
      <c r="X634" s="1"/>
      <c r="Y634" s="1"/>
      <c r="Z634" s="1"/>
    </row>
    <row r="635" spans="1:26" ht="24.75" customHeight="1">
      <c r="A635" s="1"/>
      <c r="B635" s="1"/>
      <c r="C635" s="1"/>
      <c r="D635" s="1"/>
      <c r="E635" s="1"/>
      <c r="F635" s="1"/>
      <c r="G635" s="1"/>
      <c r="H635" s="1"/>
      <c r="I635" s="1"/>
      <c r="J635" s="1"/>
      <c r="K635" s="1"/>
      <c r="L635" s="1"/>
      <c r="M635" s="1"/>
      <c r="N635" s="1"/>
      <c r="O635" s="1"/>
      <c r="P635" s="1"/>
      <c r="Q635" s="1"/>
      <c r="R635" s="1"/>
      <c r="S635" s="1"/>
      <c r="T635" s="1"/>
      <c r="U635" s="2"/>
      <c r="V635" s="1"/>
      <c r="W635" s="1"/>
      <c r="X635" s="1"/>
      <c r="Y635" s="1"/>
      <c r="Z635" s="1"/>
    </row>
    <row r="636" spans="1:26" ht="24.75" customHeight="1">
      <c r="A636" s="1"/>
      <c r="B636" s="1"/>
      <c r="C636" s="1"/>
      <c r="D636" s="1"/>
      <c r="E636" s="1"/>
      <c r="F636" s="1"/>
      <c r="G636" s="1"/>
      <c r="H636" s="1"/>
      <c r="I636" s="1"/>
      <c r="J636" s="1"/>
      <c r="K636" s="1"/>
      <c r="L636" s="1"/>
      <c r="M636" s="1"/>
      <c r="N636" s="1"/>
      <c r="O636" s="1"/>
      <c r="P636" s="1"/>
      <c r="Q636" s="1"/>
      <c r="R636" s="1"/>
      <c r="S636" s="1"/>
      <c r="T636" s="1"/>
      <c r="U636" s="2"/>
      <c r="V636" s="1"/>
      <c r="W636" s="1"/>
      <c r="X636" s="1"/>
      <c r="Y636" s="1"/>
      <c r="Z636" s="1"/>
    </row>
    <row r="637" spans="1:26" ht="24.75" customHeight="1">
      <c r="A637" s="1"/>
      <c r="B637" s="1"/>
      <c r="C637" s="1"/>
      <c r="D637" s="1"/>
      <c r="E637" s="1"/>
      <c r="F637" s="1"/>
      <c r="G637" s="1"/>
      <c r="H637" s="1"/>
      <c r="I637" s="1"/>
      <c r="J637" s="1"/>
      <c r="K637" s="1"/>
      <c r="L637" s="1"/>
      <c r="M637" s="1"/>
      <c r="N637" s="1"/>
      <c r="O637" s="1"/>
      <c r="P637" s="1"/>
      <c r="Q637" s="1"/>
      <c r="R637" s="1"/>
      <c r="S637" s="1"/>
      <c r="T637" s="1"/>
      <c r="U637" s="2"/>
      <c r="V637" s="1"/>
      <c r="W637" s="1"/>
      <c r="X637" s="1"/>
      <c r="Y637" s="1"/>
      <c r="Z637" s="1"/>
    </row>
    <row r="638" spans="1:26" ht="24.75" customHeight="1">
      <c r="A638" s="1"/>
      <c r="B638" s="1"/>
      <c r="C638" s="1"/>
      <c r="D638" s="1"/>
      <c r="E638" s="1"/>
      <c r="F638" s="1"/>
      <c r="G638" s="1"/>
      <c r="H638" s="1"/>
      <c r="I638" s="1"/>
      <c r="J638" s="1"/>
      <c r="K638" s="1"/>
      <c r="L638" s="1"/>
      <c r="M638" s="1"/>
      <c r="N638" s="1"/>
      <c r="O638" s="1"/>
      <c r="P638" s="1"/>
      <c r="Q638" s="1"/>
      <c r="R638" s="1"/>
      <c r="S638" s="1"/>
      <c r="T638" s="1"/>
      <c r="U638" s="2"/>
      <c r="V638" s="1"/>
      <c r="W638" s="1"/>
      <c r="X638" s="1"/>
      <c r="Y638" s="1"/>
      <c r="Z638" s="1"/>
    </row>
    <row r="639" spans="1:26" ht="24.75" customHeight="1">
      <c r="A639" s="1"/>
      <c r="B639" s="1"/>
      <c r="C639" s="1"/>
      <c r="D639" s="1"/>
      <c r="E639" s="1"/>
      <c r="F639" s="1"/>
      <c r="G639" s="1"/>
      <c r="H639" s="1"/>
      <c r="I639" s="1"/>
      <c r="J639" s="1"/>
      <c r="K639" s="1"/>
      <c r="L639" s="1"/>
      <c r="M639" s="1"/>
      <c r="N639" s="1"/>
      <c r="O639" s="1"/>
      <c r="P639" s="1"/>
      <c r="Q639" s="1"/>
      <c r="R639" s="1"/>
      <c r="S639" s="1"/>
      <c r="T639" s="1"/>
      <c r="U639" s="2"/>
      <c r="V639" s="1"/>
      <c r="W639" s="1"/>
      <c r="X639" s="1"/>
      <c r="Y639" s="1"/>
      <c r="Z639" s="1"/>
    </row>
    <row r="640" spans="1:26" ht="24.75" customHeight="1">
      <c r="A640" s="1"/>
      <c r="B640" s="1"/>
      <c r="C640" s="1"/>
      <c r="D640" s="1"/>
      <c r="E640" s="1"/>
      <c r="F640" s="1"/>
      <c r="G640" s="1"/>
      <c r="H640" s="1"/>
      <c r="I640" s="1"/>
      <c r="J640" s="1"/>
      <c r="K640" s="1"/>
      <c r="L640" s="1"/>
      <c r="M640" s="1"/>
      <c r="N640" s="1"/>
      <c r="O640" s="1"/>
      <c r="P640" s="1"/>
      <c r="Q640" s="1"/>
      <c r="R640" s="1"/>
      <c r="S640" s="1"/>
      <c r="T640" s="1"/>
      <c r="U640" s="2"/>
      <c r="V640" s="1"/>
      <c r="W640" s="1"/>
      <c r="X640" s="1"/>
      <c r="Y640" s="1"/>
      <c r="Z640" s="1"/>
    </row>
    <row r="641" spans="1:26" ht="24.75" customHeight="1">
      <c r="A641" s="1"/>
      <c r="B641" s="1"/>
      <c r="C641" s="1"/>
      <c r="D641" s="1"/>
      <c r="E641" s="1"/>
      <c r="F641" s="1"/>
      <c r="G641" s="1"/>
      <c r="H641" s="1"/>
      <c r="I641" s="1"/>
      <c r="J641" s="1"/>
      <c r="K641" s="1"/>
      <c r="L641" s="1"/>
      <c r="M641" s="1"/>
      <c r="N641" s="1"/>
      <c r="O641" s="1"/>
      <c r="P641" s="1"/>
      <c r="Q641" s="1"/>
      <c r="R641" s="1"/>
      <c r="S641" s="1"/>
      <c r="T641" s="1"/>
      <c r="U641" s="2"/>
      <c r="V641" s="1"/>
      <c r="W641" s="1"/>
      <c r="X641" s="1"/>
      <c r="Y641" s="1"/>
      <c r="Z641" s="1"/>
    </row>
    <row r="642" spans="1:26" ht="24.75" customHeight="1">
      <c r="A642" s="1"/>
      <c r="B642" s="1"/>
      <c r="C642" s="1"/>
      <c r="D642" s="1"/>
      <c r="E642" s="1"/>
      <c r="F642" s="1"/>
      <c r="G642" s="1"/>
      <c r="H642" s="1"/>
      <c r="I642" s="1"/>
      <c r="J642" s="1"/>
      <c r="K642" s="1"/>
      <c r="L642" s="1"/>
      <c r="M642" s="1"/>
      <c r="N642" s="1"/>
      <c r="O642" s="1"/>
      <c r="P642" s="1"/>
      <c r="Q642" s="1"/>
      <c r="R642" s="1"/>
      <c r="S642" s="1"/>
      <c r="T642" s="1"/>
      <c r="U642" s="2"/>
      <c r="V642" s="1"/>
      <c r="W642" s="1"/>
      <c r="X642" s="1"/>
      <c r="Y642" s="1"/>
      <c r="Z642" s="1"/>
    </row>
    <row r="643" spans="1:26" ht="24.75" customHeight="1">
      <c r="A643" s="1"/>
      <c r="B643" s="1"/>
      <c r="C643" s="1"/>
      <c r="D643" s="1"/>
      <c r="E643" s="1"/>
      <c r="F643" s="1"/>
      <c r="G643" s="1"/>
      <c r="H643" s="1"/>
      <c r="I643" s="1"/>
      <c r="J643" s="1"/>
      <c r="K643" s="1"/>
      <c r="L643" s="1"/>
      <c r="M643" s="1"/>
      <c r="N643" s="1"/>
      <c r="O643" s="1"/>
      <c r="P643" s="1"/>
      <c r="Q643" s="1"/>
      <c r="R643" s="1"/>
      <c r="S643" s="1"/>
      <c r="T643" s="1"/>
      <c r="U643" s="2"/>
      <c r="V643" s="1"/>
      <c r="W643" s="1"/>
      <c r="X643" s="1"/>
      <c r="Y643" s="1"/>
      <c r="Z643" s="1"/>
    </row>
    <row r="644" spans="1:26" ht="24.75" customHeight="1">
      <c r="A644" s="1"/>
      <c r="B644" s="1"/>
      <c r="C644" s="1"/>
      <c r="D644" s="1"/>
      <c r="E644" s="1"/>
      <c r="F644" s="1"/>
      <c r="G644" s="1"/>
      <c r="H644" s="1"/>
      <c r="I644" s="1"/>
      <c r="J644" s="1"/>
      <c r="K644" s="1"/>
      <c r="L644" s="1"/>
      <c r="M644" s="1"/>
      <c r="N644" s="1"/>
      <c r="O644" s="1"/>
      <c r="P644" s="1"/>
      <c r="Q644" s="1"/>
      <c r="R644" s="1"/>
      <c r="S644" s="1"/>
      <c r="T644" s="1"/>
      <c r="U644" s="2"/>
      <c r="V644" s="1"/>
      <c r="W644" s="1"/>
      <c r="X644" s="1"/>
      <c r="Y644" s="1"/>
      <c r="Z644" s="1"/>
    </row>
    <row r="645" spans="1:26" ht="24.75" customHeight="1">
      <c r="A645" s="1"/>
      <c r="B645" s="1"/>
      <c r="C645" s="1"/>
      <c r="D645" s="1"/>
      <c r="E645" s="1"/>
      <c r="F645" s="1"/>
      <c r="G645" s="1"/>
      <c r="H645" s="1"/>
      <c r="I645" s="1"/>
      <c r="J645" s="1"/>
      <c r="K645" s="1"/>
      <c r="L645" s="1"/>
      <c r="M645" s="1"/>
      <c r="N645" s="1"/>
      <c r="O645" s="1"/>
      <c r="P645" s="1"/>
      <c r="Q645" s="1"/>
      <c r="R645" s="1"/>
      <c r="S645" s="1"/>
      <c r="T645" s="1"/>
      <c r="U645" s="2"/>
      <c r="V645" s="1"/>
      <c r="W645" s="1"/>
      <c r="X645" s="1"/>
      <c r="Y645" s="1"/>
      <c r="Z645" s="1"/>
    </row>
    <row r="646" spans="1:26" ht="24.75" customHeight="1">
      <c r="A646" s="1"/>
      <c r="B646" s="1"/>
      <c r="C646" s="1"/>
      <c r="D646" s="1"/>
      <c r="E646" s="1"/>
      <c r="F646" s="1"/>
      <c r="G646" s="1"/>
      <c r="H646" s="1"/>
      <c r="I646" s="1"/>
      <c r="J646" s="1"/>
      <c r="K646" s="1"/>
      <c r="L646" s="1"/>
      <c r="M646" s="1"/>
      <c r="N646" s="1"/>
      <c r="O646" s="1"/>
      <c r="P646" s="1"/>
      <c r="Q646" s="1"/>
      <c r="R646" s="1"/>
      <c r="S646" s="1"/>
      <c r="T646" s="1"/>
      <c r="U646" s="2"/>
      <c r="V646" s="1"/>
      <c r="W646" s="1"/>
      <c r="X646" s="1"/>
      <c r="Y646" s="1"/>
      <c r="Z646" s="1"/>
    </row>
    <row r="647" spans="1:26" ht="24.75" customHeight="1">
      <c r="A647" s="1"/>
      <c r="B647" s="1"/>
      <c r="C647" s="1"/>
      <c r="D647" s="1"/>
      <c r="E647" s="1"/>
      <c r="F647" s="1"/>
      <c r="G647" s="1"/>
      <c r="H647" s="1"/>
      <c r="I647" s="1"/>
      <c r="J647" s="1"/>
      <c r="K647" s="1"/>
      <c r="L647" s="1"/>
      <c r="M647" s="1"/>
      <c r="N647" s="1"/>
      <c r="O647" s="1"/>
      <c r="P647" s="1"/>
      <c r="Q647" s="1"/>
      <c r="R647" s="1"/>
      <c r="S647" s="1"/>
      <c r="T647" s="1"/>
      <c r="U647" s="2"/>
      <c r="V647" s="1"/>
      <c r="W647" s="1"/>
      <c r="X647" s="1"/>
      <c r="Y647" s="1"/>
      <c r="Z647" s="1"/>
    </row>
    <row r="648" spans="1:26" ht="24.75" customHeight="1">
      <c r="A648" s="1"/>
      <c r="B648" s="1"/>
      <c r="C648" s="1"/>
      <c r="D648" s="1"/>
      <c r="E648" s="1"/>
      <c r="F648" s="1"/>
      <c r="G648" s="1"/>
      <c r="H648" s="1"/>
      <c r="I648" s="1"/>
      <c r="J648" s="1"/>
      <c r="K648" s="1"/>
      <c r="L648" s="1"/>
      <c r="M648" s="1"/>
      <c r="N648" s="1"/>
      <c r="O648" s="1"/>
      <c r="P648" s="1"/>
      <c r="Q648" s="1"/>
      <c r="R648" s="1"/>
      <c r="S648" s="1"/>
      <c r="T648" s="1"/>
      <c r="U648" s="2"/>
      <c r="V648" s="1"/>
      <c r="W648" s="1"/>
      <c r="X648" s="1"/>
      <c r="Y648" s="1"/>
      <c r="Z648" s="1"/>
    </row>
    <row r="649" spans="1:26" ht="24.75" customHeight="1">
      <c r="A649" s="1"/>
      <c r="B649" s="1"/>
      <c r="C649" s="1"/>
      <c r="D649" s="1"/>
      <c r="E649" s="1"/>
      <c r="F649" s="1"/>
      <c r="G649" s="1"/>
      <c r="H649" s="1"/>
      <c r="I649" s="1"/>
      <c r="J649" s="1"/>
      <c r="K649" s="1"/>
      <c r="L649" s="1"/>
      <c r="M649" s="1"/>
      <c r="N649" s="1"/>
      <c r="O649" s="1"/>
      <c r="P649" s="1"/>
      <c r="Q649" s="1"/>
      <c r="R649" s="1"/>
      <c r="S649" s="1"/>
      <c r="T649" s="1"/>
      <c r="U649" s="2"/>
      <c r="V649" s="1"/>
      <c r="W649" s="1"/>
      <c r="X649" s="1"/>
      <c r="Y649" s="1"/>
      <c r="Z649" s="1"/>
    </row>
    <row r="650" spans="1:26" ht="24.75" customHeight="1">
      <c r="A650" s="1"/>
      <c r="B650" s="1"/>
      <c r="C650" s="1"/>
      <c r="D650" s="1"/>
      <c r="E650" s="1"/>
      <c r="F650" s="1"/>
      <c r="G650" s="1"/>
      <c r="H650" s="1"/>
      <c r="I650" s="1"/>
      <c r="J650" s="1"/>
      <c r="K650" s="1"/>
      <c r="L650" s="1"/>
      <c r="M650" s="1"/>
      <c r="N650" s="1"/>
      <c r="O650" s="1"/>
      <c r="P650" s="1"/>
      <c r="Q650" s="1"/>
      <c r="R650" s="1"/>
      <c r="S650" s="1"/>
      <c r="T650" s="1"/>
      <c r="U650" s="2"/>
      <c r="V650" s="1"/>
      <c r="W650" s="1"/>
      <c r="X650" s="1"/>
      <c r="Y650" s="1"/>
      <c r="Z650" s="1"/>
    </row>
    <row r="651" spans="1:26" ht="24.75" customHeight="1">
      <c r="A651" s="1"/>
      <c r="B651" s="1"/>
      <c r="C651" s="1"/>
      <c r="D651" s="1"/>
      <c r="E651" s="1"/>
      <c r="F651" s="1"/>
      <c r="G651" s="1"/>
      <c r="H651" s="1"/>
      <c r="I651" s="1"/>
      <c r="J651" s="1"/>
      <c r="K651" s="1"/>
      <c r="L651" s="1"/>
      <c r="M651" s="1"/>
      <c r="N651" s="1"/>
      <c r="O651" s="1"/>
      <c r="P651" s="1"/>
      <c r="Q651" s="1"/>
      <c r="R651" s="1"/>
      <c r="S651" s="1"/>
      <c r="T651" s="1"/>
      <c r="U651" s="2"/>
      <c r="V651" s="1"/>
      <c r="W651" s="1"/>
      <c r="X651" s="1"/>
      <c r="Y651" s="1"/>
      <c r="Z651" s="1"/>
    </row>
    <row r="652" spans="1:26" ht="24.75" customHeight="1">
      <c r="A652" s="1"/>
      <c r="B652" s="1"/>
      <c r="C652" s="1"/>
      <c r="D652" s="1"/>
      <c r="E652" s="1"/>
      <c r="F652" s="1"/>
      <c r="G652" s="1"/>
      <c r="H652" s="1"/>
      <c r="I652" s="1"/>
      <c r="J652" s="1"/>
      <c r="K652" s="1"/>
      <c r="L652" s="1"/>
      <c r="M652" s="1"/>
      <c r="N652" s="1"/>
      <c r="O652" s="1"/>
      <c r="P652" s="1"/>
      <c r="Q652" s="1"/>
      <c r="R652" s="1"/>
      <c r="S652" s="1"/>
      <c r="T652" s="1"/>
      <c r="U652" s="2"/>
      <c r="V652" s="1"/>
      <c r="W652" s="1"/>
      <c r="X652" s="1"/>
      <c r="Y652" s="1"/>
      <c r="Z652" s="1"/>
    </row>
    <row r="653" spans="1:26" ht="24.75" customHeight="1">
      <c r="A653" s="1"/>
      <c r="B653" s="1"/>
      <c r="C653" s="1"/>
      <c r="D653" s="1"/>
      <c r="E653" s="1"/>
      <c r="F653" s="1"/>
      <c r="G653" s="1"/>
      <c r="H653" s="1"/>
      <c r="I653" s="1"/>
      <c r="J653" s="1"/>
      <c r="K653" s="1"/>
      <c r="L653" s="1"/>
      <c r="M653" s="1"/>
      <c r="N653" s="1"/>
      <c r="O653" s="1"/>
      <c r="P653" s="1"/>
      <c r="Q653" s="1"/>
      <c r="R653" s="1"/>
      <c r="S653" s="1"/>
      <c r="T653" s="1"/>
      <c r="U653" s="2"/>
      <c r="V653" s="1"/>
      <c r="W653" s="1"/>
      <c r="X653" s="1"/>
      <c r="Y653" s="1"/>
      <c r="Z653" s="1"/>
    </row>
    <row r="654" spans="1:26" ht="24.75" customHeight="1">
      <c r="A654" s="1"/>
      <c r="B654" s="1"/>
      <c r="C654" s="1"/>
      <c r="D654" s="1"/>
      <c r="E654" s="1"/>
      <c r="F654" s="1"/>
      <c r="G654" s="1"/>
      <c r="H654" s="1"/>
      <c r="I654" s="1"/>
      <c r="J654" s="1"/>
      <c r="K654" s="1"/>
      <c r="L654" s="1"/>
      <c r="M654" s="1"/>
      <c r="N654" s="1"/>
      <c r="O654" s="1"/>
      <c r="P654" s="1"/>
      <c r="Q654" s="1"/>
      <c r="R654" s="1"/>
      <c r="S654" s="1"/>
      <c r="T654" s="1"/>
      <c r="U654" s="2"/>
      <c r="V654" s="1"/>
      <c r="W654" s="1"/>
      <c r="X654" s="1"/>
      <c r="Y654" s="1"/>
      <c r="Z654" s="1"/>
    </row>
    <row r="655" spans="1:26" ht="24.75" customHeight="1">
      <c r="A655" s="1"/>
      <c r="B655" s="1"/>
      <c r="C655" s="1"/>
      <c r="D655" s="1"/>
      <c r="E655" s="1"/>
      <c r="F655" s="1"/>
      <c r="G655" s="1"/>
      <c r="H655" s="1"/>
      <c r="I655" s="1"/>
      <c r="J655" s="1"/>
      <c r="K655" s="1"/>
      <c r="L655" s="1"/>
      <c r="M655" s="1"/>
      <c r="N655" s="1"/>
      <c r="O655" s="1"/>
      <c r="P655" s="1"/>
      <c r="Q655" s="1"/>
      <c r="R655" s="1"/>
      <c r="S655" s="1"/>
      <c r="T655" s="1"/>
      <c r="U655" s="2"/>
      <c r="V655" s="1"/>
      <c r="W655" s="1"/>
      <c r="X655" s="1"/>
      <c r="Y655" s="1"/>
      <c r="Z655" s="1"/>
    </row>
    <row r="656" spans="1:26" ht="24.75" customHeight="1">
      <c r="A656" s="1"/>
      <c r="B656" s="1"/>
      <c r="C656" s="1"/>
      <c r="D656" s="1"/>
      <c r="E656" s="1"/>
      <c r="F656" s="1"/>
      <c r="G656" s="1"/>
      <c r="H656" s="1"/>
      <c r="I656" s="1"/>
      <c r="J656" s="1"/>
      <c r="K656" s="1"/>
      <c r="L656" s="1"/>
      <c r="M656" s="1"/>
      <c r="N656" s="1"/>
      <c r="O656" s="1"/>
      <c r="P656" s="1"/>
      <c r="Q656" s="1"/>
      <c r="R656" s="1"/>
      <c r="S656" s="1"/>
      <c r="T656" s="1"/>
      <c r="U656" s="2"/>
      <c r="V656" s="1"/>
      <c r="W656" s="1"/>
      <c r="X656" s="1"/>
      <c r="Y656" s="1"/>
      <c r="Z656" s="1"/>
    </row>
    <row r="657" spans="1:26" ht="24.75" customHeight="1">
      <c r="A657" s="1"/>
      <c r="B657" s="1"/>
      <c r="C657" s="1"/>
      <c r="D657" s="1"/>
      <c r="E657" s="1"/>
      <c r="F657" s="1"/>
      <c r="G657" s="1"/>
      <c r="H657" s="1"/>
      <c r="I657" s="1"/>
      <c r="J657" s="1"/>
      <c r="K657" s="1"/>
      <c r="L657" s="1"/>
      <c r="M657" s="1"/>
      <c r="N657" s="1"/>
      <c r="O657" s="1"/>
      <c r="P657" s="1"/>
      <c r="Q657" s="1"/>
      <c r="R657" s="1"/>
      <c r="S657" s="1"/>
      <c r="T657" s="1"/>
      <c r="U657" s="2"/>
      <c r="V657" s="1"/>
      <c r="W657" s="1"/>
      <c r="X657" s="1"/>
      <c r="Y657" s="1"/>
      <c r="Z657" s="1"/>
    </row>
    <row r="658" spans="1:26" ht="24.75" customHeight="1">
      <c r="A658" s="1"/>
      <c r="B658" s="1"/>
      <c r="C658" s="1"/>
      <c r="D658" s="1"/>
      <c r="E658" s="1"/>
      <c r="F658" s="1"/>
      <c r="G658" s="1"/>
      <c r="H658" s="1"/>
      <c r="I658" s="1"/>
      <c r="J658" s="1"/>
      <c r="K658" s="1"/>
      <c r="L658" s="1"/>
      <c r="M658" s="1"/>
      <c r="N658" s="1"/>
      <c r="O658" s="1"/>
      <c r="P658" s="1"/>
      <c r="Q658" s="1"/>
      <c r="R658" s="1"/>
      <c r="S658" s="1"/>
      <c r="T658" s="1"/>
      <c r="U658" s="2"/>
      <c r="V658" s="1"/>
      <c r="W658" s="1"/>
      <c r="X658" s="1"/>
      <c r="Y658" s="1"/>
      <c r="Z658" s="1"/>
    </row>
    <row r="659" spans="1:26" ht="24.75" customHeight="1">
      <c r="A659" s="1"/>
      <c r="B659" s="1"/>
      <c r="C659" s="1"/>
      <c r="D659" s="1"/>
      <c r="E659" s="1"/>
      <c r="F659" s="1"/>
      <c r="G659" s="1"/>
      <c r="H659" s="1"/>
      <c r="I659" s="1"/>
      <c r="J659" s="1"/>
      <c r="K659" s="1"/>
      <c r="L659" s="1"/>
      <c r="M659" s="1"/>
      <c r="N659" s="1"/>
      <c r="O659" s="1"/>
      <c r="P659" s="1"/>
      <c r="Q659" s="1"/>
      <c r="R659" s="1"/>
      <c r="S659" s="1"/>
      <c r="T659" s="1"/>
      <c r="U659" s="2"/>
      <c r="V659" s="1"/>
      <c r="W659" s="1"/>
      <c r="X659" s="1"/>
      <c r="Y659" s="1"/>
      <c r="Z659" s="1"/>
    </row>
    <row r="660" spans="1:26" ht="24.75" customHeight="1">
      <c r="A660" s="1"/>
      <c r="B660" s="1"/>
      <c r="C660" s="1"/>
      <c r="D660" s="1"/>
      <c r="E660" s="1"/>
      <c r="F660" s="1"/>
      <c r="G660" s="1"/>
      <c r="H660" s="1"/>
      <c r="I660" s="1"/>
      <c r="J660" s="1"/>
      <c r="K660" s="1"/>
      <c r="L660" s="1"/>
      <c r="M660" s="1"/>
      <c r="N660" s="1"/>
      <c r="O660" s="1"/>
      <c r="P660" s="1"/>
      <c r="Q660" s="1"/>
      <c r="R660" s="1"/>
      <c r="S660" s="1"/>
      <c r="T660" s="1"/>
      <c r="U660" s="2"/>
      <c r="V660" s="1"/>
      <c r="W660" s="1"/>
      <c r="X660" s="1"/>
      <c r="Y660" s="1"/>
      <c r="Z660" s="1"/>
    </row>
    <row r="661" spans="1:26" ht="24.75" customHeight="1">
      <c r="A661" s="1"/>
      <c r="B661" s="1"/>
      <c r="C661" s="1"/>
      <c r="D661" s="1"/>
      <c r="E661" s="1"/>
      <c r="F661" s="1"/>
      <c r="G661" s="1"/>
      <c r="H661" s="1"/>
      <c r="I661" s="1"/>
      <c r="J661" s="1"/>
      <c r="K661" s="1"/>
      <c r="L661" s="1"/>
      <c r="M661" s="1"/>
      <c r="N661" s="1"/>
      <c r="O661" s="1"/>
      <c r="P661" s="1"/>
      <c r="Q661" s="1"/>
      <c r="R661" s="1"/>
      <c r="S661" s="1"/>
      <c r="T661" s="1"/>
      <c r="U661" s="2"/>
      <c r="V661" s="1"/>
      <c r="W661" s="1"/>
      <c r="X661" s="1"/>
      <c r="Y661" s="1"/>
      <c r="Z661" s="1"/>
    </row>
    <row r="662" spans="1:26" ht="24.75" customHeight="1">
      <c r="A662" s="1"/>
      <c r="B662" s="1"/>
      <c r="C662" s="1"/>
      <c r="D662" s="1"/>
      <c r="E662" s="1"/>
      <c r="F662" s="1"/>
      <c r="G662" s="1"/>
      <c r="H662" s="1"/>
      <c r="I662" s="1"/>
      <c r="J662" s="1"/>
      <c r="K662" s="1"/>
      <c r="L662" s="1"/>
      <c r="M662" s="1"/>
      <c r="N662" s="1"/>
      <c r="O662" s="1"/>
      <c r="P662" s="1"/>
      <c r="Q662" s="1"/>
      <c r="R662" s="1"/>
      <c r="S662" s="1"/>
      <c r="T662" s="1"/>
      <c r="U662" s="2"/>
      <c r="V662" s="1"/>
      <c r="W662" s="1"/>
      <c r="X662" s="1"/>
      <c r="Y662" s="1"/>
      <c r="Z662" s="1"/>
    </row>
    <row r="663" spans="1:26" ht="24.75" customHeight="1">
      <c r="A663" s="1"/>
      <c r="B663" s="1"/>
      <c r="C663" s="1"/>
      <c r="D663" s="1"/>
      <c r="E663" s="1"/>
      <c r="F663" s="1"/>
      <c r="G663" s="1"/>
      <c r="H663" s="1"/>
      <c r="I663" s="1"/>
      <c r="J663" s="1"/>
      <c r="K663" s="1"/>
      <c r="L663" s="1"/>
      <c r="M663" s="1"/>
      <c r="N663" s="1"/>
      <c r="O663" s="1"/>
      <c r="P663" s="1"/>
      <c r="Q663" s="1"/>
      <c r="R663" s="1"/>
      <c r="S663" s="1"/>
      <c r="T663" s="1"/>
      <c r="U663" s="2"/>
      <c r="V663" s="1"/>
      <c r="W663" s="1"/>
      <c r="X663" s="1"/>
      <c r="Y663" s="1"/>
      <c r="Z663" s="1"/>
    </row>
    <row r="664" spans="1:26" ht="24.75" customHeight="1">
      <c r="A664" s="1"/>
      <c r="B664" s="1"/>
      <c r="C664" s="1"/>
      <c r="D664" s="1"/>
      <c r="E664" s="1"/>
      <c r="F664" s="1"/>
      <c r="G664" s="1"/>
      <c r="H664" s="1"/>
      <c r="I664" s="1"/>
      <c r="J664" s="1"/>
      <c r="K664" s="1"/>
      <c r="L664" s="1"/>
      <c r="M664" s="1"/>
      <c r="N664" s="1"/>
      <c r="O664" s="1"/>
      <c r="P664" s="1"/>
      <c r="Q664" s="1"/>
      <c r="R664" s="1"/>
      <c r="S664" s="1"/>
      <c r="T664" s="1"/>
      <c r="U664" s="2"/>
      <c r="V664" s="1"/>
      <c r="W664" s="1"/>
      <c r="X664" s="1"/>
      <c r="Y664" s="1"/>
      <c r="Z664" s="1"/>
    </row>
    <row r="665" spans="1:26" ht="24.75" customHeight="1">
      <c r="A665" s="1"/>
      <c r="B665" s="1"/>
      <c r="C665" s="1"/>
      <c r="D665" s="1"/>
      <c r="E665" s="1"/>
      <c r="F665" s="1"/>
      <c r="G665" s="1"/>
      <c r="H665" s="1"/>
      <c r="I665" s="1"/>
      <c r="J665" s="1"/>
      <c r="K665" s="1"/>
      <c r="L665" s="1"/>
      <c r="M665" s="1"/>
      <c r="N665" s="1"/>
      <c r="O665" s="1"/>
      <c r="P665" s="1"/>
      <c r="Q665" s="1"/>
      <c r="R665" s="1"/>
      <c r="S665" s="1"/>
      <c r="T665" s="1"/>
      <c r="U665" s="2"/>
      <c r="V665" s="1"/>
      <c r="W665" s="1"/>
      <c r="X665" s="1"/>
      <c r="Y665" s="1"/>
      <c r="Z665" s="1"/>
    </row>
    <row r="666" spans="1:26" ht="24.75" customHeight="1">
      <c r="A666" s="1"/>
      <c r="B666" s="1"/>
      <c r="C666" s="1"/>
      <c r="D666" s="1"/>
      <c r="E666" s="1"/>
      <c r="F666" s="1"/>
      <c r="G666" s="1"/>
      <c r="H666" s="1"/>
      <c r="I666" s="1"/>
      <c r="J666" s="1"/>
      <c r="K666" s="1"/>
      <c r="L666" s="1"/>
      <c r="M666" s="1"/>
      <c r="N666" s="1"/>
      <c r="O666" s="1"/>
      <c r="P666" s="1"/>
      <c r="Q666" s="1"/>
      <c r="R666" s="1"/>
      <c r="S666" s="1"/>
      <c r="T666" s="1"/>
      <c r="U666" s="2"/>
      <c r="V666" s="1"/>
      <c r="W666" s="1"/>
      <c r="X666" s="1"/>
      <c r="Y666" s="1"/>
      <c r="Z666" s="1"/>
    </row>
    <row r="667" spans="1:26" ht="24.75" customHeight="1">
      <c r="A667" s="1"/>
      <c r="B667" s="1"/>
      <c r="C667" s="1"/>
      <c r="D667" s="1"/>
      <c r="E667" s="1"/>
      <c r="F667" s="1"/>
      <c r="G667" s="1"/>
      <c r="H667" s="1"/>
      <c r="I667" s="1"/>
      <c r="J667" s="1"/>
      <c r="K667" s="1"/>
      <c r="L667" s="1"/>
      <c r="M667" s="1"/>
      <c r="N667" s="1"/>
      <c r="O667" s="1"/>
      <c r="P667" s="1"/>
      <c r="Q667" s="1"/>
      <c r="R667" s="1"/>
      <c r="S667" s="1"/>
      <c r="T667" s="1"/>
      <c r="U667" s="2"/>
      <c r="V667" s="1"/>
      <c r="W667" s="1"/>
      <c r="X667" s="1"/>
      <c r="Y667" s="1"/>
      <c r="Z667" s="1"/>
    </row>
    <row r="668" spans="1:26" ht="24.75" customHeight="1">
      <c r="A668" s="1"/>
      <c r="B668" s="1"/>
      <c r="C668" s="1"/>
      <c r="D668" s="1"/>
      <c r="E668" s="1"/>
      <c r="F668" s="1"/>
      <c r="G668" s="1"/>
      <c r="H668" s="1"/>
      <c r="I668" s="1"/>
      <c r="J668" s="1"/>
      <c r="K668" s="1"/>
      <c r="L668" s="1"/>
      <c r="M668" s="1"/>
      <c r="N668" s="1"/>
      <c r="O668" s="1"/>
      <c r="P668" s="1"/>
      <c r="Q668" s="1"/>
      <c r="R668" s="1"/>
      <c r="S668" s="1"/>
      <c r="T668" s="1"/>
      <c r="U668" s="2"/>
      <c r="V668" s="1"/>
      <c r="W668" s="1"/>
      <c r="X668" s="1"/>
      <c r="Y668" s="1"/>
      <c r="Z668" s="1"/>
    </row>
    <row r="669" spans="1:26" ht="24.75" customHeight="1">
      <c r="A669" s="1"/>
      <c r="B669" s="1"/>
      <c r="C669" s="1"/>
      <c r="D669" s="1"/>
      <c r="E669" s="1"/>
      <c r="F669" s="1"/>
      <c r="G669" s="1"/>
      <c r="H669" s="1"/>
      <c r="I669" s="1"/>
      <c r="J669" s="1"/>
      <c r="K669" s="1"/>
      <c r="L669" s="1"/>
      <c r="M669" s="1"/>
      <c r="N669" s="1"/>
      <c r="O669" s="1"/>
      <c r="P669" s="1"/>
      <c r="Q669" s="1"/>
      <c r="R669" s="1"/>
      <c r="S669" s="1"/>
      <c r="T669" s="1"/>
      <c r="U669" s="2"/>
      <c r="V669" s="1"/>
      <c r="W669" s="1"/>
      <c r="X669" s="1"/>
      <c r="Y669" s="1"/>
      <c r="Z669" s="1"/>
    </row>
    <row r="670" spans="1:26" ht="24.75" customHeight="1">
      <c r="A670" s="1"/>
      <c r="B670" s="1"/>
      <c r="C670" s="1"/>
      <c r="D670" s="1"/>
      <c r="E670" s="1"/>
      <c r="F670" s="1"/>
      <c r="G670" s="1"/>
      <c r="H670" s="1"/>
      <c r="I670" s="1"/>
      <c r="J670" s="1"/>
      <c r="K670" s="1"/>
      <c r="L670" s="1"/>
      <c r="M670" s="1"/>
      <c r="N670" s="1"/>
      <c r="O670" s="1"/>
      <c r="P670" s="1"/>
      <c r="Q670" s="1"/>
      <c r="R670" s="1"/>
      <c r="S670" s="1"/>
      <c r="T670" s="1"/>
      <c r="U670" s="2"/>
      <c r="V670" s="1"/>
      <c r="W670" s="1"/>
      <c r="X670" s="1"/>
      <c r="Y670" s="1"/>
      <c r="Z670" s="1"/>
    </row>
    <row r="671" spans="1:26" ht="24.75" customHeight="1">
      <c r="A671" s="1"/>
      <c r="B671" s="1"/>
      <c r="C671" s="1"/>
      <c r="D671" s="1"/>
      <c r="E671" s="1"/>
      <c r="F671" s="1"/>
      <c r="G671" s="1"/>
      <c r="H671" s="1"/>
      <c r="I671" s="1"/>
      <c r="J671" s="1"/>
      <c r="K671" s="1"/>
      <c r="L671" s="1"/>
      <c r="M671" s="1"/>
      <c r="N671" s="1"/>
      <c r="O671" s="1"/>
      <c r="P671" s="1"/>
      <c r="Q671" s="1"/>
      <c r="R671" s="1"/>
      <c r="S671" s="1"/>
      <c r="T671" s="1"/>
      <c r="U671" s="2"/>
      <c r="V671" s="1"/>
      <c r="W671" s="1"/>
      <c r="X671" s="1"/>
      <c r="Y671" s="1"/>
      <c r="Z671" s="1"/>
    </row>
    <row r="672" spans="1:26" ht="24.75" customHeight="1">
      <c r="A672" s="1"/>
      <c r="B672" s="1"/>
      <c r="C672" s="1"/>
      <c r="D672" s="1"/>
      <c r="E672" s="1"/>
      <c r="F672" s="1"/>
      <c r="G672" s="1"/>
      <c r="H672" s="1"/>
      <c r="I672" s="1"/>
      <c r="J672" s="1"/>
      <c r="K672" s="1"/>
      <c r="L672" s="1"/>
      <c r="M672" s="1"/>
      <c r="N672" s="1"/>
      <c r="O672" s="1"/>
      <c r="P672" s="1"/>
      <c r="Q672" s="1"/>
      <c r="R672" s="1"/>
      <c r="S672" s="1"/>
      <c r="T672" s="1"/>
      <c r="U672" s="2"/>
      <c r="V672" s="1"/>
      <c r="W672" s="1"/>
      <c r="X672" s="1"/>
      <c r="Y672" s="1"/>
      <c r="Z672" s="1"/>
    </row>
    <row r="673" spans="1:26" ht="24.75" customHeight="1">
      <c r="A673" s="1"/>
      <c r="B673" s="1"/>
      <c r="C673" s="1"/>
      <c r="D673" s="1"/>
      <c r="E673" s="1"/>
      <c r="F673" s="1"/>
      <c r="G673" s="1"/>
      <c r="H673" s="1"/>
      <c r="I673" s="1"/>
      <c r="J673" s="1"/>
      <c r="K673" s="1"/>
      <c r="L673" s="1"/>
      <c r="M673" s="1"/>
      <c r="N673" s="1"/>
      <c r="O673" s="1"/>
      <c r="P673" s="1"/>
      <c r="Q673" s="1"/>
      <c r="R673" s="1"/>
      <c r="S673" s="1"/>
      <c r="T673" s="1"/>
      <c r="U673" s="2"/>
      <c r="V673" s="1"/>
      <c r="W673" s="1"/>
      <c r="X673" s="1"/>
      <c r="Y673" s="1"/>
      <c r="Z673" s="1"/>
    </row>
    <row r="674" spans="1:26" ht="24.75" customHeight="1">
      <c r="A674" s="1"/>
      <c r="B674" s="1"/>
      <c r="C674" s="1"/>
      <c r="D674" s="1"/>
      <c r="E674" s="1"/>
      <c r="F674" s="1"/>
      <c r="G674" s="1"/>
      <c r="H674" s="1"/>
      <c r="I674" s="1"/>
      <c r="J674" s="1"/>
      <c r="K674" s="1"/>
      <c r="L674" s="1"/>
      <c r="M674" s="1"/>
      <c r="N674" s="1"/>
      <c r="O674" s="1"/>
      <c r="P674" s="1"/>
      <c r="Q674" s="1"/>
      <c r="R674" s="1"/>
      <c r="S674" s="1"/>
      <c r="T674" s="1"/>
      <c r="U674" s="2"/>
      <c r="V674" s="1"/>
      <c r="W674" s="1"/>
      <c r="X674" s="1"/>
      <c r="Y674" s="1"/>
      <c r="Z674" s="1"/>
    </row>
    <row r="675" spans="1:26" ht="24.75" customHeight="1">
      <c r="A675" s="1"/>
      <c r="B675" s="1"/>
      <c r="C675" s="1"/>
      <c r="D675" s="1"/>
      <c r="E675" s="1"/>
      <c r="F675" s="1"/>
      <c r="G675" s="1"/>
      <c r="H675" s="1"/>
      <c r="I675" s="1"/>
      <c r="J675" s="1"/>
      <c r="K675" s="1"/>
      <c r="L675" s="1"/>
      <c r="M675" s="1"/>
      <c r="N675" s="1"/>
      <c r="O675" s="1"/>
      <c r="P675" s="1"/>
      <c r="Q675" s="1"/>
      <c r="R675" s="1"/>
      <c r="S675" s="1"/>
      <c r="T675" s="1"/>
      <c r="U675" s="2"/>
      <c r="V675" s="1"/>
      <c r="W675" s="1"/>
      <c r="X675" s="1"/>
      <c r="Y675" s="1"/>
      <c r="Z675" s="1"/>
    </row>
    <row r="676" spans="1:26" ht="24.75" customHeight="1">
      <c r="A676" s="1"/>
      <c r="B676" s="1"/>
      <c r="C676" s="1"/>
      <c r="D676" s="1"/>
      <c r="E676" s="1"/>
      <c r="F676" s="1"/>
      <c r="G676" s="1"/>
      <c r="H676" s="1"/>
      <c r="I676" s="1"/>
      <c r="J676" s="1"/>
      <c r="K676" s="1"/>
      <c r="L676" s="1"/>
      <c r="M676" s="1"/>
      <c r="N676" s="1"/>
      <c r="O676" s="1"/>
      <c r="P676" s="1"/>
      <c r="Q676" s="1"/>
      <c r="R676" s="1"/>
      <c r="S676" s="1"/>
      <c r="T676" s="1"/>
      <c r="U676" s="2"/>
      <c r="V676" s="1"/>
      <c r="W676" s="1"/>
      <c r="X676" s="1"/>
      <c r="Y676" s="1"/>
      <c r="Z676" s="1"/>
    </row>
    <row r="677" spans="1:26" ht="24.75" customHeight="1">
      <c r="A677" s="1"/>
      <c r="B677" s="1"/>
      <c r="C677" s="1"/>
      <c r="D677" s="1"/>
      <c r="E677" s="1"/>
      <c r="F677" s="1"/>
      <c r="G677" s="1"/>
      <c r="H677" s="1"/>
      <c r="I677" s="1"/>
      <c r="J677" s="1"/>
      <c r="K677" s="1"/>
      <c r="L677" s="1"/>
      <c r="M677" s="1"/>
      <c r="N677" s="1"/>
      <c r="O677" s="1"/>
      <c r="P677" s="1"/>
      <c r="Q677" s="1"/>
      <c r="R677" s="1"/>
      <c r="S677" s="1"/>
      <c r="T677" s="1"/>
      <c r="U677" s="2"/>
      <c r="V677" s="1"/>
      <c r="W677" s="1"/>
      <c r="X677" s="1"/>
      <c r="Y677" s="1"/>
      <c r="Z677" s="1"/>
    </row>
    <row r="678" spans="1:26" ht="24.75" customHeight="1">
      <c r="A678" s="1"/>
      <c r="B678" s="1"/>
      <c r="C678" s="1"/>
      <c r="D678" s="1"/>
      <c r="E678" s="1"/>
      <c r="F678" s="1"/>
      <c r="G678" s="1"/>
      <c r="H678" s="1"/>
      <c r="I678" s="1"/>
      <c r="J678" s="1"/>
      <c r="K678" s="1"/>
      <c r="L678" s="1"/>
      <c r="M678" s="1"/>
      <c r="N678" s="1"/>
      <c r="O678" s="1"/>
      <c r="P678" s="1"/>
      <c r="Q678" s="1"/>
      <c r="R678" s="1"/>
      <c r="S678" s="1"/>
      <c r="T678" s="1"/>
      <c r="U678" s="2"/>
      <c r="V678" s="1"/>
      <c r="W678" s="1"/>
      <c r="X678" s="1"/>
      <c r="Y678" s="1"/>
      <c r="Z678" s="1"/>
    </row>
    <row r="679" spans="1:26" ht="24.75" customHeight="1">
      <c r="A679" s="1"/>
      <c r="B679" s="1"/>
      <c r="C679" s="1"/>
      <c r="D679" s="1"/>
      <c r="E679" s="1"/>
      <c r="F679" s="1"/>
      <c r="G679" s="1"/>
      <c r="H679" s="1"/>
      <c r="I679" s="1"/>
      <c r="J679" s="1"/>
      <c r="K679" s="1"/>
      <c r="L679" s="1"/>
      <c r="M679" s="1"/>
      <c r="N679" s="1"/>
      <c r="O679" s="1"/>
      <c r="P679" s="1"/>
      <c r="Q679" s="1"/>
      <c r="R679" s="1"/>
      <c r="S679" s="1"/>
      <c r="T679" s="1"/>
      <c r="U679" s="2"/>
      <c r="V679" s="1"/>
      <c r="W679" s="1"/>
      <c r="X679" s="1"/>
      <c r="Y679" s="1"/>
      <c r="Z679" s="1"/>
    </row>
    <row r="680" spans="1:26" ht="24.75" customHeight="1">
      <c r="A680" s="1"/>
      <c r="B680" s="1"/>
      <c r="C680" s="1"/>
      <c r="D680" s="1"/>
      <c r="E680" s="1"/>
      <c r="F680" s="1"/>
      <c r="G680" s="1"/>
      <c r="H680" s="1"/>
      <c r="I680" s="1"/>
      <c r="J680" s="1"/>
      <c r="K680" s="1"/>
      <c r="L680" s="1"/>
      <c r="M680" s="1"/>
      <c r="N680" s="1"/>
      <c r="O680" s="1"/>
      <c r="P680" s="1"/>
      <c r="Q680" s="1"/>
      <c r="R680" s="1"/>
      <c r="S680" s="1"/>
      <c r="T680" s="1"/>
      <c r="U680" s="2"/>
      <c r="V680" s="1"/>
      <c r="W680" s="1"/>
      <c r="X680" s="1"/>
      <c r="Y680" s="1"/>
      <c r="Z680" s="1"/>
    </row>
    <row r="681" spans="1:26" ht="24.75" customHeight="1">
      <c r="A681" s="1"/>
      <c r="B681" s="1"/>
      <c r="C681" s="1"/>
      <c r="D681" s="1"/>
      <c r="E681" s="1"/>
      <c r="F681" s="1"/>
      <c r="G681" s="1"/>
      <c r="H681" s="1"/>
      <c r="I681" s="1"/>
      <c r="J681" s="1"/>
      <c r="K681" s="1"/>
      <c r="L681" s="1"/>
      <c r="M681" s="1"/>
      <c r="N681" s="1"/>
      <c r="O681" s="1"/>
      <c r="P681" s="1"/>
      <c r="Q681" s="1"/>
      <c r="R681" s="1"/>
      <c r="S681" s="1"/>
      <c r="T681" s="1"/>
      <c r="U681" s="2"/>
      <c r="V681" s="1"/>
      <c r="W681" s="1"/>
      <c r="X681" s="1"/>
      <c r="Y681" s="1"/>
      <c r="Z681" s="1"/>
    </row>
    <row r="682" spans="1:26" ht="24.75" customHeight="1">
      <c r="A682" s="1"/>
      <c r="B682" s="1"/>
      <c r="C682" s="1"/>
      <c r="D682" s="1"/>
      <c r="E682" s="1"/>
      <c r="F682" s="1"/>
      <c r="G682" s="1"/>
      <c r="H682" s="1"/>
      <c r="I682" s="1"/>
      <c r="J682" s="1"/>
      <c r="K682" s="1"/>
      <c r="L682" s="1"/>
      <c r="M682" s="1"/>
      <c r="N682" s="1"/>
      <c r="O682" s="1"/>
      <c r="P682" s="1"/>
      <c r="Q682" s="1"/>
      <c r="R682" s="1"/>
      <c r="S682" s="1"/>
      <c r="T682" s="1"/>
      <c r="U682" s="2"/>
      <c r="V682" s="1"/>
      <c r="W682" s="1"/>
      <c r="X682" s="1"/>
      <c r="Y682" s="1"/>
      <c r="Z682" s="1"/>
    </row>
    <row r="683" spans="1:26" ht="24.75" customHeight="1">
      <c r="A683" s="1"/>
      <c r="B683" s="1"/>
      <c r="C683" s="1"/>
      <c r="D683" s="1"/>
      <c r="E683" s="1"/>
      <c r="F683" s="1"/>
      <c r="G683" s="1"/>
      <c r="H683" s="1"/>
      <c r="I683" s="1"/>
      <c r="J683" s="1"/>
      <c r="K683" s="1"/>
      <c r="L683" s="1"/>
      <c r="M683" s="1"/>
      <c r="N683" s="1"/>
      <c r="O683" s="1"/>
      <c r="P683" s="1"/>
      <c r="Q683" s="1"/>
      <c r="R683" s="1"/>
      <c r="S683" s="1"/>
      <c r="T683" s="1"/>
      <c r="U683" s="2"/>
      <c r="V683" s="1"/>
      <c r="W683" s="1"/>
      <c r="X683" s="1"/>
      <c r="Y683" s="1"/>
      <c r="Z683" s="1"/>
    </row>
    <row r="684" spans="1:26" ht="24.75" customHeight="1">
      <c r="A684" s="1"/>
      <c r="B684" s="1"/>
      <c r="C684" s="1"/>
      <c r="D684" s="1"/>
      <c r="E684" s="1"/>
      <c r="F684" s="1"/>
      <c r="G684" s="1"/>
      <c r="H684" s="1"/>
      <c r="I684" s="1"/>
      <c r="J684" s="1"/>
      <c r="K684" s="1"/>
      <c r="L684" s="1"/>
      <c r="M684" s="1"/>
      <c r="N684" s="1"/>
      <c r="O684" s="1"/>
      <c r="P684" s="1"/>
      <c r="Q684" s="1"/>
      <c r="R684" s="1"/>
      <c r="S684" s="1"/>
      <c r="T684" s="1"/>
      <c r="U684" s="2"/>
      <c r="V684" s="1"/>
      <c r="W684" s="1"/>
      <c r="X684" s="1"/>
      <c r="Y684" s="1"/>
      <c r="Z684" s="1"/>
    </row>
    <row r="685" spans="1:26" ht="24.75" customHeight="1">
      <c r="A685" s="1"/>
      <c r="B685" s="1"/>
      <c r="C685" s="1"/>
      <c r="D685" s="1"/>
      <c r="E685" s="1"/>
      <c r="F685" s="1"/>
      <c r="G685" s="1"/>
      <c r="H685" s="1"/>
      <c r="I685" s="1"/>
      <c r="J685" s="1"/>
      <c r="K685" s="1"/>
      <c r="L685" s="1"/>
      <c r="M685" s="1"/>
      <c r="N685" s="1"/>
      <c r="O685" s="1"/>
      <c r="P685" s="1"/>
      <c r="Q685" s="1"/>
      <c r="R685" s="1"/>
      <c r="S685" s="1"/>
      <c r="T685" s="1"/>
      <c r="U685" s="2"/>
      <c r="V685" s="1"/>
      <c r="W685" s="1"/>
      <c r="X685" s="1"/>
      <c r="Y685" s="1"/>
      <c r="Z685" s="1"/>
    </row>
    <row r="686" spans="1:26" ht="24.75" customHeight="1">
      <c r="A686" s="1"/>
      <c r="B686" s="1"/>
      <c r="C686" s="1"/>
      <c r="D686" s="1"/>
      <c r="E686" s="1"/>
      <c r="F686" s="1"/>
      <c r="G686" s="1"/>
      <c r="H686" s="1"/>
      <c r="I686" s="1"/>
      <c r="J686" s="1"/>
      <c r="K686" s="1"/>
      <c r="L686" s="1"/>
      <c r="M686" s="1"/>
      <c r="N686" s="1"/>
      <c r="O686" s="1"/>
      <c r="P686" s="1"/>
      <c r="Q686" s="1"/>
      <c r="R686" s="1"/>
      <c r="S686" s="1"/>
      <c r="T686" s="1"/>
      <c r="U686" s="2"/>
      <c r="V686" s="1"/>
      <c r="W686" s="1"/>
      <c r="X686" s="1"/>
      <c r="Y686" s="1"/>
      <c r="Z686" s="1"/>
    </row>
    <row r="687" spans="1:26" ht="24.75" customHeight="1">
      <c r="A687" s="1"/>
      <c r="B687" s="1"/>
      <c r="C687" s="1"/>
      <c r="D687" s="1"/>
      <c r="E687" s="1"/>
      <c r="F687" s="1"/>
      <c r="G687" s="1"/>
      <c r="H687" s="1"/>
      <c r="I687" s="1"/>
      <c r="J687" s="1"/>
      <c r="K687" s="1"/>
      <c r="L687" s="1"/>
      <c r="M687" s="1"/>
      <c r="N687" s="1"/>
      <c r="O687" s="1"/>
      <c r="P687" s="1"/>
      <c r="Q687" s="1"/>
      <c r="R687" s="1"/>
      <c r="S687" s="1"/>
      <c r="T687" s="1"/>
      <c r="U687" s="2"/>
      <c r="V687" s="1"/>
      <c r="W687" s="1"/>
      <c r="X687" s="1"/>
      <c r="Y687" s="1"/>
      <c r="Z687" s="1"/>
    </row>
    <row r="688" spans="1:26" ht="24.75" customHeight="1">
      <c r="A688" s="1"/>
      <c r="B688" s="1"/>
      <c r="C688" s="1"/>
      <c r="D688" s="1"/>
      <c r="E688" s="1"/>
      <c r="F688" s="1"/>
      <c r="G688" s="1"/>
      <c r="H688" s="1"/>
      <c r="I688" s="1"/>
      <c r="J688" s="1"/>
      <c r="K688" s="1"/>
      <c r="L688" s="1"/>
      <c r="M688" s="1"/>
      <c r="N688" s="1"/>
      <c r="O688" s="1"/>
      <c r="P688" s="1"/>
      <c r="Q688" s="1"/>
      <c r="R688" s="1"/>
      <c r="S688" s="1"/>
      <c r="T688" s="1"/>
      <c r="U688" s="2"/>
      <c r="V688" s="1"/>
      <c r="W688" s="1"/>
      <c r="X688" s="1"/>
      <c r="Y688" s="1"/>
      <c r="Z688" s="1"/>
    </row>
    <row r="689" spans="1:26" ht="24.75" customHeight="1">
      <c r="A689" s="1"/>
      <c r="B689" s="1"/>
      <c r="C689" s="1"/>
      <c r="D689" s="1"/>
      <c r="E689" s="1"/>
      <c r="F689" s="1"/>
      <c r="G689" s="1"/>
      <c r="H689" s="1"/>
      <c r="I689" s="1"/>
      <c r="J689" s="1"/>
      <c r="K689" s="1"/>
      <c r="L689" s="1"/>
      <c r="M689" s="1"/>
      <c r="N689" s="1"/>
      <c r="O689" s="1"/>
      <c r="P689" s="1"/>
      <c r="Q689" s="1"/>
      <c r="R689" s="1"/>
      <c r="S689" s="1"/>
      <c r="T689" s="1"/>
      <c r="U689" s="2"/>
      <c r="V689" s="1"/>
      <c r="W689" s="1"/>
      <c r="X689" s="1"/>
      <c r="Y689" s="1"/>
      <c r="Z689" s="1"/>
    </row>
    <row r="690" spans="1:26" ht="24.75" customHeight="1">
      <c r="A690" s="1"/>
      <c r="B690" s="1"/>
      <c r="C690" s="1"/>
      <c r="D690" s="1"/>
      <c r="E690" s="1"/>
      <c r="F690" s="1"/>
      <c r="G690" s="1"/>
      <c r="H690" s="1"/>
      <c r="I690" s="1"/>
      <c r="J690" s="1"/>
      <c r="K690" s="1"/>
      <c r="L690" s="1"/>
      <c r="M690" s="1"/>
      <c r="N690" s="1"/>
      <c r="O690" s="1"/>
      <c r="P690" s="1"/>
      <c r="Q690" s="1"/>
      <c r="R690" s="1"/>
      <c r="S690" s="1"/>
      <c r="T690" s="1"/>
      <c r="U690" s="2"/>
      <c r="V690" s="1"/>
      <c r="W690" s="1"/>
      <c r="X690" s="1"/>
      <c r="Y690" s="1"/>
      <c r="Z690" s="1"/>
    </row>
    <row r="691" spans="1:26" ht="24.75" customHeight="1">
      <c r="A691" s="1"/>
      <c r="B691" s="1"/>
      <c r="C691" s="1"/>
      <c r="D691" s="1"/>
      <c r="E691" s="1"/>
      <c r="F691" s="1"/>
      <c r="G691" s="1"/>
      <c r="H691" s="1"/>
      <c r="I691" s="1"/>
      <c r="J691" s="1"/>
      <c r="K691" s="1"/>
      <c r="L691" s="1"/>
      <c r="M691" s="1"/>
      <c r="N691" s="1"/>
      <c r="O691" s="1"/>
      <c r="P691" s="1"/>
      <c r="Q691" s="1"/>
      <c r="R691" s="1"/>
      <c r="S691" s="1"/>
      <c r="T691" s="1"/>
      <c r="U691" s="2"/>
      <c r="V691" s="1"/>
      <c r="W691" s="1"/>
      <c r="X691" s="1"/>
      <c r="Y691" s="1"/>
      <c r="Z691" s="1"/>
    </row>
    <row r="692" spans="1:26" ht="24.75" customHeight="1">
      <c r="A692" s="1"/>
      <c r="B692" s="1"/>
      <c r="C692" s="1"/>
      <c r="D692" s="1"/>
      <c r="E692" s="1"/>
      <c r="F692" s="1"/>
      <c r="G692" s="1"/>
      <c r="H692" s="1"/>
      <c r="I692" s="1"/>
      <c r="J692" s="1"/>
      <c r="K692" s="1"/>
      <c r="L692" s="1"/>
      <c r="M692" s="1"/>
      <c r="N692" s="1"/>
      <c r="O692" s="1"/>
      <c r="P692" s="1"/>
      <c r="Q692" s="1"/>
      <c r="R692" s="1"/>
      <c r="S692" s="1"/>
      <c r="T692" s="1"/>
      <c r="U692" s="2"/>
      <c r="V692" s="1"/>
      <c r="W692" s="1"/>
      <c r="X692" s="1"/>
      <c r="Y692" s="1"/>
      <c r="Z692" s="1"/>
    </row>
    <row r="693" spans="1:26" ht="24.75" customHeight="1">
      <c r="A693" s="1"/>
      <c r="B693" s="1"/>
      <c r="C693" s="1"/>
      <c r="D693" s="1"/>
      <c r="E693" s="1"/>
      <c r="F693" s="1"/>
      <c r="G693" s="1"/>
      <c r="H693" s="1"/>
      <c r="I693" s="1"/>
      <c r="J693" s="1"/>
      <c r="K693" s="1"/>
      <c r="L693" s="1"/>
      <c r="M693" s="1"/>
      <c r="N693" s="1"/>
      <c r="O693" s="1"/>
      <c r="P693" s="1"/>
      <c r="Q693" s="1"/>
      <c r="R693" s="1"/>
      <c r="S693" s="1"/>
      <c r="T693" s="1"/>
      <c r="U693" s="2"/>
      <c r="V693" s="1"/>
      <c r="W693" s="1"/>
      <c r="X693" s="1"/>
      <c r="Y693" s="1"/>
      <c r="Z693" s="1"/>
    </row>
    <row r="694" spans="1:26" ht="24.75" customHeight="1">
      <c r="A694" s="1"/>
      <c r="B694" s="1"/>
      <c r="C694" s="1"/>
      <c r="D694" s="1"/>
      <c r="E694" s="1"/>
      <c r="F694" s="1"/>
      <c r="G694" s="1"/>
      <c r="H694" s="1"/>
      <c r="I694" s="1"/>
      <c r="J694" s="1"/>
      <c r="K694" s="1"/>
      <c r="L694" s="1"/>
      <c r="M694" s="1"/>
      <c r="N694" s="1"/>
      <c r="O694" s="1"/>
      <c r="P694" s="1"/>
      <c r="Q694" s="1"/>
      <c r="R694" s="1"/>
      <c r="S694" s="1"/>
      <c r="T694" s="1"/>
      <c r="U694" s="2"/>
      <c r="V694" s="1"/>
      <c r="W694" s="1"/>
      <c r="X694" s="1"/>
      <c r="Y694" s="1"/>
      <c r="Z694" s="1"/>
    </row>
    <row r="695" spans="1:26" ht="24.75" customHeight="1">
      <c r="A695" s="1"/>
      <c r="B695" s="1"/>
      <c r="C695" s="1"/>
      <c r="D695" s="1"/>
      <c r="E695" s="1"/>
      <c r="F695" s="1"/>
      <c r="G695" s="1"/>
      <c r="H695" s="1"/>
      <c r="I695" s="1"/>
      <c r="J695" s="1"/>
      <c r="K695" s="1"/>
      <c r="L695" s="1"/>
      <c r="M695" s="1"/>
      <c r="N695" s="1"/>
      <c r="O695" s="1"/>
      <c r="P695" s="1"/>
      <c r="Q695" s="1"/>
      <c r="R695" s="1"/>
      <c r="S695" s="1"/>
      <c r="T695" s="1"/>
      <c r="U695" s="2"/>
      <c r="V695" s="1"/>
      <c r="W695" s="1"/>
      <c r="X695" s="1"/>
      <c r="Y695" s="1"/>
      <c r="Z695" s="1"/>
    </row>
    <row r="696" spans="1:26" ht="24.75" customHeight="1">
      <c r="A696" s="1"/>
      <c r="B696" s="1"/>
      <c r="C696" s="1"/>
      <c r="D696" s="1"/>
      <c r="E696" s="1"/>
      <c r="F696" s="1"/>
      <c r="G696" s="1"/>
      <c r="H696" s="1"/>
      <c r="I696" s="1"/>
      <c r="J696" s="1"/>
      <c r="K696" s="1"/>
      <c r="L696" s="1"/>
      <c r="M696" s="1"/>
      <c r="N696" s="1"/>
      <c r="O696" s="1"/>
      <c r="P696" s="1"/>
      <c r="Q696" s="1"/>
      <c r="R696" s="1"/>
      <c r="S696" s="1"/>
      <c r="T696" s="1"/>
      <c r="U696" s="2"/>
      <c r="V696" s="1"/>
      <c r="W696" s="1"/>
      <c r="X696" s="1"/>
      <c r="Y696" s="1"/>
      <c r="Z696" s="1"/>
    </row>
    <row r="697" spans="1:26" ht="24.75" customHeight="1">
      <c r="A697" s="1"/>
      <c r="B697" s="1"/>
      <c r="C697" s="1"/>
      <c r="D697" s="1"/>
      <c r="E697" s="1"/>
      <c r="F697" s="1"/>
      <c r="G697" s="1"/>
      <c r="H697" s="1"/>
      <c r="I697" s="1"/>
      <c r="J697" s="1"/>
      <c r="K697" s="1"/>
      <c r="L697" s="1"/>
      <c r="M697" s="1"/>
      <c r="N697" s="1"/>
      <c r="O697" s="1"/>
      <c r="P697" s="1"/>
      <c r="Q697" s="1"/>
      <c r="R697" s="1"/>
      <c r="S697" s="1"/>
      <c r="T697" s="1"/>
      <c r="U697" s="2"/>
      <c r="V697" s="1"/>
      <c r="W697" s="1"/>
      <c r="X697" s="1"/>
      <c r="Y697" s="1"/>
      <c r="Z697" s="1"/>
    </row>
    <row r="698" spans="1:26" ht="24.75" customHeight="1">
      <c r="A698" s="1"/>
      <c r="B698" s="1"/>
      <c r="C698" s="1"/>
      <c r="D698" s="1"/>
      <c r="E698" s="1"/>
      <c r="F698" s="1"/>
      <c r="G698" s="1"/>
      <c r="H698" s="1"/>
      <c r="I698" s="1"/>
      <c r="J698" s="1"/>
      <c r="K698" s="1"/>
      <c r="L698" s="1"/>
      <c r="M698" s="1"/>
      <c r="N698" s="1"/>
      <c r="O698" s="1"/>
      <c r="P698" s="1"/>
      <c r="Q698" s="1"/>
      <c r="R698" s="1"/>
      <c r="S698" s="1"/>
      <c r="T698" s="1"/>
      <c r="U698" s="2"/>
      <c r="V698" s="1"/>
      <c r="W698" s="1"/>
      <c r="X698" s="1"/>
      <c r="Y698" s="1"/>
      <c r="Z698" s="1"/>
    </row>
    <row r="699" spans="1:26" ht="24.75" customHeight="1">
      <c r="A699" s="1"/>
      <c r="B699" s="1"/>
      <c r="C699" s="1"/>
      <c r="D699" s="1"/>
      <c r="E699" s="1"/>
      <c r="F699" s="1"/>
      <c r="G699" s="1"/>
      <c r="H699" s="1"/>
      <c r="I699" s="1"/>
      <c r="J699" s="1"/>
      <c r="K699" s="1"/>
      <c r="L699" s="1"/>
      <c r="M699" s="1"/>
      <c r="N699" s="1"/>
      <c r="O699" s="1"/>
      <c r="P699" s="1"/>
      <c r="Q699" s="1"/>
      <c r="R699" s="1"/>
      <c r="S699" s="1"/>
      <c r="T699" s="1"/>
      <c r="U699" s="2"/>
      <c r="V699" s="1"/>
      <c r="W699" s="1"/>
      <c r="X699" s="1"/>
      <c r="Y699" s="1"/>
      <c r="Z699" s="1"/>
    </row>
    <row r="700" spans="1:26" ht="24.75" customHeight="1">
      <c r="A700" s="1"/>
      <c r="B700" s="1"/>
      <c r="C700" s="1"/>
      <c r="D700" s="1"/>
      <c r="E700" s="1"/>
      <c r="F700" s="1"/>
      <c r="G700" s="1"/>
      <c r="H700" s="1"/>
      <c r="I700" s="1"/>
      <c r="J700" s="1"/>
      <c r="K700" s="1"/>
      <c r="L700" s="1"/>
      <c r="M700" s="1"/>
      <c r="N700" s="1"/>
      <c r="O700" s="1"/>
      <c r="P700" s="1"/>
      <c r="Q700" s="1"/>
      <c r="R700" s="1"/>
      <c r="S700" s="1"/>
      <c r="T700" s="1"/>
      <c r="U700" s="2"/>
      <c r="V700" s="1"/>
      <c r="W700" s="1"/>
      <c r="X700" s="1"/>
      <c r="Y700" s="1"/>
      <c r="Z700" s="1"/>
    </row>
    <row r="701" spans="1:26" ht="24.75" customHeight="1">
      <c r="A701" s="1"/>
      <c r="B701" s="1"/>
      <c r="C701" s="1"/>
      <c r="D701" s="1"/>
      <c r="E701" s="1"/>
      <c r="F701" s="1"/>
      <c r="G701" s="1"/>
      <c r="H701" s="1"/>
      <c r="I701" s="1"/>
      <c r="J701" s="1"/>
      <c r="K701" s="1"/>
      <c r="L701" s="1"/>
      <c r="M701" s="1"/>
      <c r="N701" s="1"/>
      <c r="O701" s="1"/>
      <c r="P701" s="1"/>
      <c r="Q701" s="1"/>
      <c r="R701" s="1"/>
      <c r="S701" s="1"/>
      <c r="T701" s="1"/>
      <c r="U701" s="2"/>
      <c r="V701" s="1"/>
      <c r="W701" s="1"/>
      <c r="X701" s="1"/>
      <c r="Y701" s="1"/>
      <c r="Z701" s="1"/>
    </row>
    <row r="702" spans="1:26" ht="24.75" customHeight="1">
      <c r="A702" s="1"/>
      <c r="B702" s="1"/>
      <c r="C702" s="1"/>
      <c r="D702" s="1"/>
      <c r="E702" s="1"/>
      <c r="F702" s="1"/>
      <c r="G702" s="1"/>
      <c r="H702" s="1"/>
      <c r="I702" s="1"/>
      <c r="J702" s="1"/>
      <c r="K702" s="1"/>
      <c r="L702" s="1"/>
      <c r="M702" s="1"/>
      <c r="N702" s="1"/>
      <c r="O702" s="1"/>
      <c r="P702" s="1"/>
      <c r="Q702" s="1"/>
      <c r="R702" s="1"/>
      <c r="S702" s="1"/>
      <c r="T702" s="1"/>
      <c r="U702" s="2"/>
      <c r="V702" s="1"/>
      <c r="W702" s="1"/>
      <c r="X702" s="1"/>
      <c r="Y702" s="1"/>
      <c r="Z702" s="1"/>
    </row>
    <row r="703" spans="1:26" ht="24.75" customHeight="1">
      <c r="A703" s="1"/>
      <c r="B703" s="1"/>
      <c r="C703" s="1"/>
      <c r="D703" s="1"/>
      <c r="E703" s="1"/>
      <c r="F703" s="1"/>
      <c r="G703" s="1"/>
      <c r="H703" s="1"/>
      <c r="I703" s="1"/>
      <c r="J703" s="1"/>
      <c r="K703" s="1"/>
      <c r="L703" s="1"/>
      <c r="M703" s="1"/>
      <c r="N703" s="1"/>
      <c r="O703" s="1"/>
      <c r="P703" s="1"/>
      <c r="Q703" s="1"/>
      <c r="R703" s="1"/>
      <c r="S703" s="1"/>
      <c r="T703" s="1"/>
      <c r="U703" s="2"/>
      <c r="V703" s="1"/>
      <c r="W703" s="1"/>
      <c r="X703" s="1"/>
      <c r="Y703" s="1"/>
      <c r="Z703" s="1"/>
    </row>
    <row r="704" spans="1:26" ht="24.75" customHeight="1">
      <c r="A704" s="1"/>
      <c r="B704" s="1"/>
      <c r="C704" s="1"/>
      <c r="D704" s="1"/>
      <c r="E704" s="1"/>
      <c r="F704" s="1"/>
      <c r="G704" s="1"/>
      <c r="H704" s="1"/>
      <c r="I704" s="1"/>
      <c r="J704" s="1"/>
      <c r="K704" s="1"/>
      <c r="L704" s="1"/>
      <c r="M704" s="1"/>
      <c r="N704" s="1"/>
      <c r="O704" s="1"/>
      <c r="P704" s="1"/>
      <c r="Q704" s="1"/>
      <c r="R704" s="1"/>
      <c r="S704" s="1"/>
      <c r="T704" s="1"/>
      <c r="U704" s="2"/>
      <c r="V704" s="1"/>
      <c r="W704" s="1"/>
      <c r="X704" s="1"/>
      <c r="Y704" s="1"/>
      <c r="Z704" s="1"/>
    </row>
    <row r="705" spans="1:26" ht="24.75" customHeight="1">
      <c r="A705" s="1"/>
      <c r="B705" s="1"/>
      <c r="C705" s="1"/>
      <c r="D705" s="1"/>
      <c r="E705" s="1"/>
      <c r="F705" s="1"/>
      <c r="G705" s="1"/>
      <c r="H705" s="1"/>
      <c r="I705" s="1"/>
      <c r="J705" s="1"/>
      <c r="K705" s="1"/>
      <c r="L705" s="1"/>
      <c r="M705" s="1"/>
      <c r="N705" s="1"/>
      <c r="O705" s="1"/>
      <c r="P705" s="1"/>
      <c r="Q705" s="1"/>
      <c r="R705" s="1"/>
      <c r="S705" s="1"/>
      <c r="T705" s="1"/>
      <c r="U705" s="2"/>
      <c r="V705" s="1"/>
      <c r="W705" s="1"/>
      <c r="X705" s="1"/>
      <c r="Y705" s="1"/>
      <c r="Z705" s="1"/>
    </row>
    <row r="706" spans="1:26" ht="24.75" customHeight="1">
      <c r="A706" s="1"/>
      <c r="B706" s="1"/>
      <c r="C706" s="1"/>
      <c r="D706" s="1"/>
      <c r="E706" s="1"/>
      <c r="F706" s="1"/>
      <c r="G706" s="1"/>
      <c r="H706" s="1"/>
      <c r="I706" s="1"/>
      <c r="J706" s="1"/>
      <c r="K706" s="1"/>
      <c r="L706" s="1"/>
      <c r="M706" s="1"/>
      <c r="N706" s="1"/>
      <c r="O706" s="1"/>
      <c r="P706" s="1"/>
      <c r="Q706" s="1"/>
      <c r="R706" s="1"/>
      <c r="S706" s="1"/>
      <c r="T706" s="1"/>
      <c r="U706" s="2"/>
      <c r="V706" s="1"/>
      <c r="W706" s="1"/>
      <c r="X706" s="1"/>
      <c r="Y706" s="1"/>
      <c r="Z706" s="1"/>
    </row>
    <row r="707" spans="1:26" ht="24.75" customHeight="1">
      <c r="A707" s="1"/>
      <c r="B707" s="1"/>
      <c r="C707" s="1"/>
      <c r="D707" s="1"/>
      <c r="E707" s="1"/>
      <c r="F707" s="1"/>
      <c r="G707" s="1"/>
      <c r="H707" s="1"/>
      <c r="I707" s="1"/>
      <c r="J707" s="1"/>
      <c r="K707" s="1"/>
      <c r="L707" s="1"/>
      <c r="M707" s="1"/>
      <c r="N707" s="1"/>
      <c r="O707" s="1"/>
      <c r="P707" s="1"/>
      <c r="Q707" s="1"/>
      <c r="R707" s="1"/>
      <c r="S707" s="1"/>
      <c r="T707" s="1"/>
      <c r="U707" s="2"/>
      <c r="V707" s="1"/>
      <c r="W707" s="1"/>
      <c r="X707" s="1"/>
      <c r="Y707" s="1"/>
      <c r="Z707" s="1"/>
    </row>
    <row r="708" spans="1:26" ht="24.75" customHeight="1">
      <c r="A708" s="1"/>
      <c r="B708" s="1"/>
      <c r="C708" s="1"/>
      <c r="D708" s="1"/>
      <c r="E708" s="1"/>
      <c r="F708" s="1"/>
      <c r="G708" s="1"/>
      <c r="H708" s="1"/>
      <c r="I708" s="1"/>
      <c r="J708" s="1"/>
      <c r="K708" s="1"/>
      <c r="L708" s="1"/>
      <c r="M708" s="1"/>
      <c r="N708" s="1"/>
      <c r="O708" s="1"/>
      <c r="P708" s="1"/>
      <c r="Q708" s="1"/>
      <c r="R708" s="1"/>
      <c r="S708" s="1"/>
      <c r="T708" s="1"/>
      <c r="U708" s="2"/>
      <c r="V708" s="1"/>
      <c r="W708" s="1"/>
      <c r="X708" s="1"/>
      <c r="Y708" s="1"/>
      <c r="Z708" s="1"/>
    </row>
    <row r="709" spans="1:26" ht="24.75" customHeight="1">
      <c r="A709" s="1"/>
      <c r="B709" s="1"/>
      <c r="C709" s="1"/>
      <c r="D709" s="1"/>
      <c r="E709" s="1"/>
      <c r="F709" s="1"/>
      <c r="G709" s="1"/>
      <c r="H709" s="1"/>
      <c r="I709" s="1"/>
      <c r="J709" s="1"/>
      <c r="K709" s="1"/>
      <c r="L709" s="1"/>
      <c r="M709" s="1"/>
      <c r="N709" s="1"/>
      <c r="O709" s="1"/>
      <c r="P709" s="1"/>
      <c r="Q709" s="1"/>
      <c r="R709" s="1"/>
      <c r="S709" s="1"/>
      <c r="T709" s="1"/>
      <c r="U709" s="2"/>
      <c r="V709" s="1"/>
      <c r="W709" s="1"/>
      <c r="X709" s="1"/>
      <c r="Y709" s="1"/>
      <c r="Z709" s="1"/>
    </row>
    <row r="710" spans="1:26" ht="24.75" customHeight="1">
      <c r="A710" s="1"/>
      <c r="B710" s="1"/>
      <c r="C710" s="1"/>
      <c r="D710" s="1"/>
      <c r="E710" s="1"/>
      <c r="F710" s="1"/>
      <c r="G710" s="1"/>
      <c r="H710" s="1"/>
      <c r="I710" s="1"/>
      <c r="J710" s="1"/>
      <c r="K710" s="1"/>
      <c r="L710" s="1"/>
      <c r="M710" s="1"/>
      <c r="N710" s="1"/>
      <c r="O710" s="1"/>
      <c r="P710" s="1"/>
      <c r="Q710" s="1"/>
      <c r="R710" s="1"/>
      <c r="S710" s="1"/>
      <c r="T710" s="1"/>
      <c r="U710" s="2"/>
      <c r="V710" s="1"/>
      <c r="W710" s="1"/>
      <c r="X710" s="1"/>
      <c r="Y710" s="1"/>
      <c r="Z710" s="1"/>
    </row>
    <row r="711" spans="1:26" ht="24.75" customHeight="1">
      <c r="A711" s="1"/>
      <c r="B711" s="1"/>
      <c r="C711" s="1"/>
      <c r="D711" s="1"/>
      <c r="E711" s="1"/>
      <c r="F711" s="1"/>
      <c r="G711" s="1"/>
      <c r="H711" s="1"/>
      <c r="I711" s="1"/>
      <c r="J711" s="1"/>
      <c r="K711" s="1"/>
      <c r="L711" s="1"/>
      <c r="M711" s="1"/>
      <c r="N711" s="1"/>
      <c r="O711" s="1"/>
      <c r="P711" s="1"/>
      <c r="Q711" s="1"/>
      <c r="R711" s="1"/>
      <c r="S711" s="1"/>
      <c r="T711" s="1"/>
      <c r="U711" s="2"/>
      <c r="V711" s="1"/>
      <c r="W711" s="1"/>
      <c r="X711" s="1"/>
      <c r="Y711" s="1"/>
      <c r="Z711" s="1"/>
    </row>
    <row r="712" spans="1:26" ht="24.75" customHeight="1">
      <c r="A712" s="1"/>
      <c r="B712" s="1"/>
      <c r="C712" s="1"/>
      <c r="D712" s="1"/>
      <c r="E712" s="1"/>
      <c r="F712" s="1"/>
      <c r="G712" s="1"/>
      <c r="H712" s="1"/>
      <c r="I712" s="1"/>
      <c r="J712" s="1"/>
      <c r="K712" s="1"/>
      <c r="L712" s="1"/>
      <c r="M712" s="1"/>
      <c r="N712" s="1"/>
      <c r="O712" s="1"/>
      <c r="P712" s="1"/>
      <c r="Q712" s="1"/>
      <c r="R712" s="1"/>
      <c r="S712" s="1"/>
      <c r="T712" s="1"/>
      <c r="U712" s="2"/>
      <c r="V712" s="1"/>
      <c r="W712" s="1"/>
      <c r="X712" s="1"/>
      <c r="Y712" s="1"/>
      <c r="Z712" s="1"/>
    </row>
    <row r="713" spans="1:26" ht="24.75" customHeight="1">
      <c r="A713" s="1"/>
      <c r="B713" s="1"/>
      <c r="C713" s="1"/>
      <c r="D713" s="1"/>
      <c r="E713" s="1"/>
      <c r="F713" s="1"/>
      <c r="G713" s="1"/>
      <c r="H713" s="1"/>
      <c r="I713" s="1"/>
      <c r="J713" s="1"/>
      <c r="K713" s="1"/>
      <c r="L713" s="1"/>
      <c r="M713" s="1"/>
      <c r="N713" s="1"/>
      <c r="O713" s="1"/>
      <c r="P713" s="1"/>
      <c r="Q713" s="1"/>
      <c r="R713" s="1"/>
      <c r="S713" s="1"/>
      <c r="T713" s="1"/>
      <c r="U713" s="2"/>
      <c r="V713" s="1"/>
      <c r="W713" s="1"/>
      <c r="X713" s="1"/>
      <c r="Y713" s="1"/>
      <c r="Z713" s="1"/>
    </row>
    <row r="714" spans="1:26" ht="24.75" customHeight="1">
      <c r="A714" s="1"/>
      <c r="B714" s="1"/>
      <c r="C714" s="1"/>
      <c r="D714" s="1"/>
      <c r="E714" s="1"/>
      <c r="F714" s="1"/>
      <c r="G714" s="1"/>
      <c r="H714" s="1"/>
      <c r="I714" s="1"/>
      <c r="J714" s="1"/>
      <c r="K714" s="1"/>
      <c r="L714" s="1"/>
      <c r="M714" s="1"/>
      <c r="N714" s="1"/>
      <c r="O714" s="1"/>
      <c r="P714" s="1"/>
      <c r="Q714" s="1"/>
      <c r="R714" s="1"/>
      <c r="S714" s="1"/>
      <c r="T714" s="1"/>
      <c r="U714" s="2"/>
      <c r="V714" s="1"/>
      <c r="W714" s="1"/>
      <c r="X714" s="1"/>
      <c r="Y714" s="1"/>
      <c r="Z714" s="1"/>
    </row>
    <row r="715" spans="1:26" ht="24.75" customHeight="1">
      <c r="A715" s="1"/>
      <c r="B715" s="1"/>
      <c r="C715" s="1"/>
      <c r="D715" s="1"/>
      <c r="E715" s="1"/>
      <c r="F715" s="1"/>
      <c r="G715" s="1"/>
      <c r="H715" s="1"/>
      <c r="I715" s="1"/>
      <c r="J715" s="1"/>
      <c r="K715" s="1"/>
      <c r="L715" s="1"/>
      <c r="M715" s="1"/>
      <c r="N715" s="1"/>
      <c r="O715" s="1"/>
      <c r="P715" s="1"/>
      <c r="Q715" s="1"/>
      <c r="R715" s="1"/>
      <c r="S715" s="1"/>
      <c r="T715" s="1"/>
      <c r="U715" s="2"/>
      <c r="V715" s="1"/>
      <c r="W715" s="1"/>
      <c r="X715" s="1"/>
      <c r="Y715" s="1"/>
      <c r="Z715" s="1"/>
    </row>
    <row r="716" spans="1:26" ht="24.75" customHeight="1">
      <c r="A716" s="1"/>
      <c r="B716" s="1"/>
      <c r="C716" s="1"/>
      <c r="D716" s="1"/>
      <c r="E716" s="1"/>
      <c r="F716" s="1"/>
      <c r="G716" s="1"/>
      <c r="H716" s="1"/>
      <c r="I716" s="1"/>
      <c r="J716" s="1"/>
      <c r="K716" s="1"/>
      <c r="L716" s="1"/>
      <c r="M716" s="1"/>
      <c r="N716" s="1"/>
      <c r="O716" s="1"/>
      <c r="P716" s="1"/>
      <c r="Q716" s="1"/>
      <c r="R716" s="1"/>
      <c r="S716" s="1"/>
      <c r="T716" s="1"/>
      <c r="U716" s="2"/>
      <c r="V716" s="1"/>
      <c r="W716" s="1"/>
      <c r="X716" s="1"/>
      <c r="Y716" s="1"/>
      <c r="Z716" s="1"/>
    </row>
    <row r="717" spans="1:26" ht="24.75" customHeight="1">
      <c r="A717" s="1"/>
      <c r="B717" s="1"/>
      <c r="C717" s="1"/>
      <c r="D717" s="1"/>
      <c r="E717" s="1"/>
      <c r="F717" s="1"/>
      <c r="G717" s="1"/>
      <c r="H717" s="1"/>
      <c r="I717" s="1"/>
      <c r="J717" s="1"/>
      <c r="K717" s="1"/>
      <c r="L717" s="1"/>
      <c r="M717" s="1"/>
      <c r="N717" s="1"/>
      <c r="O717" s="1"/>
      <c r="P717" s="1"/>
      <c r="Q717" s="1"/>
      <c r="R717" s="1"/>
      <c r="S717" s="1"/>
      <c r="T717" s="1"/>
      <c r="U717" s="2"/>
      <c r="V717" s="1"/>
      <c r="W717" s="1"/>
      <c r="X717" s="1"/>
      <c r="Y717" s="1"/>
      <c r="Z717" s="1"/>
    </row>
    <row r="718" spans="1:26" ht="24.75" customHeight="1">
      <c r="A718" s="1"/>
      <c r="B718" s="1"/>
      <c r="C718" s="1"/>
      <c r="D718" s="1"/>
      <c r="E718" s="1"/>
      <c r="F718" s="1"/>
      <c r="G718" s="1"/>
      <c r="H718" s="1"/>
      <c r="I718" s="1"/>
      <c r="J718" s="1"/>
      <c r="K718" s="1"/>
      <c r="L718" s="1"/>
      <c r="M718" s="1"/>
      <c r="N718" s="1"/>
      <c r="O718" s="1"/>
      <c r="P718" s="1"/>
      <c r="Q718" s="1"/>
      <c r="R718" s="1"/>
      <c r="S718" s="1"/>
      <c r="T718" s="1"/>
      <c r="U718" s="2"/>
      <c r="V718" s="1"/>
      <c r="W718" s="1"/>
      <c r="X718" s="1"/>
      <c r="Y718" s="1"/>
      <c r="Z718" s="1"/>
    </row>
    <row r="719" spans="1:26" ht="24.75" customHeight="1">
      <c r="A719" s="1"/>
      <c r="B719" s="1"/>
      <c r="C719" s="1"/>
      <c r="D719" s="1"/>
      <c r="E719" s="1"/>
      <c r="F719" s="1"/>
      <c r="G719" s="1"/>
      <c r="H719" s="1"/>
      <c r="I719" s="1"/>
      <c r="J719" s="1"/>
      <c r="K719" s="1"/>
      <c r="L719" s="1"/>
      <c r="M719" s="1"/>
      <c r="N719" s="1"/>
      <c r="O719" s="1"/>
      <c r="P719" s="1"/>
      <c r="Q719" s="1"/>
      <c r="R719" s="1"/>
      <c r="S719" s="1"/>
      <c r="T719" s="1"/>
      <c r="U719" s="2"/>
      <c r="V719" s="1"/>
      <c r="W719" s="1"/>
      <c r="X719" s="1"/>
      <c r="Y719" s="1"/>
      <c r="Z719" s="1"/>
    </row>
    <row r="720" spans="1:26" ht="24.75" customHeight="1">
      <c r="A720" s="1"/>
      <c r="B720" s="1"/>
      <c r="C720" s="1"/>
      <c r="D720" s="1"/>
      <c r="E720" s="1"/>
      <c r="F720" s="1"/>
      <c r="G720" s="1"/>
      <c r="H720" s="1"/>
      <c r="I720" s="1"/>
      <c r="J720" s="1"/>
      <c r="K720" s="1"/>
      <c r="L720" s="1"/>
      <c r="M720" s="1"/>
      <c r="N720" s="1"/>
      <c r="O720" s="1"/>
      <c r="P720" s="1"/>
      <c r="Q720" s="1"/>
      <c r="R720" s="1"/>
      <c r="S720" s="1"/>
      <c r="T720" s="1"/>
      <c r="U720" s="2"/>
      <c r="V720" s="1"/>
      <c r="W720" s="1"/>
      <c r="X720" s="1"/>
      <c r="Y720" s="1"/>
      <c r="Z720" s="1"/>
    </row>
    <row r="721" spans="1:26" ht="24.75" customHeight="1">
      <c r="A721" s="1"/>
      <c r="B721" s="1"/>
      <c r="C721" s="1"/>
      <c r="D721" s="1"/>
      <c r="E721" s="1"/>
      <c r="F721" s="1"/>
      <c r="G721" s="1"/>
      <c r="H721" s="1"/>
      <c r="I721" s="1"/>
      <c r="J721" s="1"/>
      <c r="K721" s="1"/>
      <c r="L721" s="1"/>
      <c r="M721" s="1"/>
      <c r="N721" s="1"/>
      <c r="O721" s="1"/>
      <c r="P721" s="1"/>
      <c r="Q721" s="1"/>
      <c r="R721" s="1"/>
      <c r="S721" s="1"/>
      <c r="T721" s="1"/>
      <c r="U721" s="2"/>
      <c r="V721" s="1"/>
      <c r="W721" s="1"/>
      <c r="X721" s="1"/>
      <c r="Y721" s="1"/>
      <c r="Z721" s="1"/>
    </row>
    <row r="722" spans="1:26" ht="24.75" customHeight="1">
      <c r="A722" s="1"/>
      <c r="B722" s="1"/>
      <c r="C722" s="1"/>
      <c r="D722" s="1"/>
      <c r="E722" s="1"/>
      <c r="F722" s="1"/>
      <c r="G722" s="1"/>
      <c r="H722" s="1"/>
      <c r="I722" s="1"/>
      <c r="J722" s="1"/>
      <c r="K722" s="1"/>
      <c r="L722" s="1"/>
      <c r="M722" s="1"/>
      <c r="N722" s="1"/>
      <c r="O722" s="1"/>
      <c r="P722" s="1"/>
      <c r="Q722" s="1"/>
      <c r="R722" s="1"/>
      <c r="S722" s="1"/>
      <c r="T722" s="1"/>
      <c r="U722" s="2"/>
      <c r="V722" s="1"/>
      <c r="W722" s="1"/>
      <c r="X722" s="1"/>
      <c r="Y722" s="1"/>
      <c r="Z722" s="1"/>
    </row>
    <row r="723" spans="1:26" ht="24.75" customHeight="1">
      <c r="A723" s="1"/>
      <c r="B723" s="1"/>
      <c r="C723" s="1"/>
      <c r="D723" s="1"/>
      <c r="E723" s="1"/>
      <c r="F723" s="1"/>
      <c r="G723" s="1"/>
      <c r="H723" s="1"/>
      <c r="I723" s="1"/>
      <c r="J723" s="1"/>
      <c r="K723" s="1"/>
      <c r="L723" s="1"/>
      <c r="M723" s="1"/>
      <c r="N723" s="1"/>
      <c r="O723" s="1"/>
      <c r="P723" s="1"/>
      <c r="Q723" s="1"/>
      <c r="R723" s="1"/>
      <c r="S723" s="1"/>
      <c r="T723" s="1"/>
      <c r="U723" s="2"/>
      <c r="V723" s="1"/>
      <c r="W723" s="1"/>
      <c r="X723" s="1"/>
      <c r="Y723" s="1"/>
      <c r="Z723" s="1"/>
    </row>
    <row r="724" spans="1:26" ht="24.75" customHeight="1">
      <c r="A724" s="1"/>
      <c r="B724" s="1"/>
      <c r="C724" s="1"/>
      <c r="D724" s="1"/>
      <c r="E724" s="1"/>
      <c r="F724" s="1"/>
      <c r="G724" s="1"/>
      <c r="H724" s="1"/>
      <c r="I724" s="1"/>
      <c r="J724" s="1"/>
      <c r="K724" s="1"/>
      <c r="L724" s="1"/>
      <c r="M724" s="1"/>
      <c r="N724" s="1"/>
      <c r="O724" s="1"/>
      <c r="P724" s="1"/>
      <c r="Q724" s="1"/>
      <c r="R724" s="1"/>
      <c r="S724" s="1"/>
      <c r="T724" s="1"/>
      <c r="U724" s="2"/>
      <c r="V724" s="1"/>
      <c r="W724" s="1"/>
      <c r="X724" s="1"/>
      <c r="Y724" s="1"/>
      <c r="Z724" s="1"/>
    </row>
    <row r="725" spans="1:26" ht="24.75" customHeight="1">
      <c r="A725" s="1"/>
      <c r="B725" s="1"/>
      <c r="C725" s="1"/>
      <c r="D725" s="1"/>
      <c r="E725" s="1"/>
      <c r="F725" s="1"/>
      <c r="G725" s="1"/>
      <c r="H725" s="1"/>
      <c r="I725" s="1"/>
      <c r="J725" s="1"/>
      <c r="K725" s="1"/>
      <c r="L725" s="1"/>
      <c r="M725" s="1"/>
      <c r="N725" s="1"/>
      <c r="O725" s="1"/>
      <c r="P725" s="1"/>
      <c r="Q725" s="1"/>
      <c r="R725" s="1"/>
      <c r="S725" s="1"/>
      <c r="T725" s="1"/>
      <c r="U725" s="2"/>
      <c r="V725" s="1"/>
      <c r="W725" s="1"/>
      <c r="X725" s="1"/>
      <c r="Y725" s="1"/>
      <c r="Z725" s="1"/>
    </row>
    <row r="726" spans="1:26" ht="24.75" customHeight="1">
      <c r="A726" s="1"/>
      <c r="B726" s="1"/>
      <c r="C726" s="1"/>
      <c r="D726" s="1"/>
      <c r="E726" s="1"/>
      <c r="F726" s="1"/>
      <c r="G726" s="1"/>
      <c r="H726" s="1"/>
      <c r="I726" s="1"/>
      <c r="J726" s="1"/>
      <c r="K726" s="1"/>
      <c r="L726" s="1"/>
      <c r="M726" s="1"/>
      <c r="N726" s="1"/>
      <c r="O726" s="1"/>
      <c r="P726" s="1"/>
      <c r="Q726" s="1"/>
      <c r="R726" s="1"/>
      <c r="S726" s="1"/>
      <c r="T726" s="1"/>
      <c r="U726" s="2"/>
      <c r="V726" s="1"/>
      <c r="W726" s="1"/>
      <c r="X726" s="1"/>
      <c r="Y726" s="1"/>
      <c r="Z726" s="1"/>
    </row>
    <row r="727" spans="1:26" ht="24.75" customHeight="1">
      <c r="A727" s="1"/>
      <c r="B727" s="1"/>
      <c r="C727" s="1"/>
      <c r="D727" s="1"/>
      <c r="E727" s="1"/>
      <c r="F727" s="1"/>
      <c r="G727" s="1"/>
      <c r="H727" s="1"/>
      <c r="I727" s="1"/>
      <c r="J727" s="1"/>
      <c r="K727" s="1"/>
      <c r="L727" s="1"/>
      <c r="M727" s="1"/>
      <c r="N727" s="1"/>
      <c r="O727" s="1"/>
      <c r="P727" s="1"/>
      <c r="Q727" s="1"/>
      <c r="R727" s="1"/>
      <c r="S727" s="1"/>
      <c r="T727" s="1"/>
      <c r="U727" s="2"/>
      <c r="V727" s="1"/>
      <c r="W727" s="1"/>
      <c r="X727" s="1"/>
      <c r="Y727" s="1"/>
      <c r="Z727" s="1"/>
    </row>
    <row r="728" spans="1:26" ht="24.75" customHeight="1">
      <c r="A728" s="1"/>
      <c r="B728" s="1"/>
      <c r="C728" s="1"/>
      <c r="D728" s="1"/>
      <c r="E728" s="1"/>
      <c r="F728" s="1"/>
      <c r="G728" s="1"/>
      <c r="H728" s="1"/>
      <c r="I728" s="1"/>
      <c r="J728" s="1"/>
      <c r="K728" s="1"/>
      <c r="L728" s="1"/>
      <c r="M728" s="1"/>
      <c r="N728" s="1"/>
      <c r="O728" s="1"/>
      <c r="P728" s="1"/>
      <c r="Q728" s="1"/>
      <c r="R728" s="1"/>
      <c r="S728" s="1"/>
      <c r="T728" s="1"/>
      <c r="U728" s="2"/>
      <c r="V728" s="1"/>
      <c r="W728" s="1"/>
      <c r="X728" s="1"/>
      <c r="Y728" s="1"/>
      <c r="Z728" s="1"/>
    </row>
    <row r="729" spans="1:26" ht="24.75" customHeight="1">
      <c r="A729" s="1"/>
      <c r="B729" s="1"/>
      <c r="C729" s="1"/>
      <c r="D729" s="1"/>
      <c r="E729" s="1"/>
      <c r="F729" s="1"/>
      <c r="G729" s="1"/>
      <c r="H729" s="1"/>
      <c r="I729" s="1"/>
      <c r="J729" s="1"/>
      <c r="K729" s="1"/>
      <c r="L729" s="1"/>
      <c r="M729" s="1"/>
      <c r="N729" s="1"/>
      <c r="O729" s="1"/>
      <c r="P729" s="1"/>
      <c r="Q729" s="1"/>
      <c r="R729" s="1"/>
      <c r="S729" s="1"/>
      <c r="T729" s="1"/>
      <c r="U729" s="2"/>
      <c r="V729" s="1"/>
      <c r="W729" s="1"/>
      <c r="X729" s="1"/>
      <c r="Y729" s="1"/>
      <c r="Z729" s="1"/>
    </row>
    <row r="730" spans="1:26" ht="24.75" customHeight="1">
      <c r="A730" s="1"/>
      <c r="B730" s="1"/>
      <c r="C730" s="1"/>
      <c r="D730" s="1"/>
      <c r="E730" s="1"/>
      <c r="F730" s="1"/>
      <c r="G730" s="1"/>
      <c r="H730" s="1"/>
      <c r="I730" s="1"/>
      <c r="J730" s="1"/>
      <c r="K730" s="1"/>
      <c r="L730" s="1"/>
      <c r="M730" s="1"/>
      <c r="N730" s="1"/>
      <c r="O730" s="1"/>
      <c r="P730" s="1"/>
      <c r="Q730" s="1"/>
      <c r="R730" s="1"/>
      <c r="S730" s="1"/>
      <c r="T730" s="1"/>
      <c r="U730" s="2"/>
      <c r="V730" s="1"/>
      <c r="W730" s="1"/>
      <c r="X730" s="1"/>
      <c r="Y730" s="1"/>
      <c r="Z730" s="1"/>
    </row>
    <row r="731" spans="1:26" ht="24.75" customHeight="1">
      <c r="A731" s="1"/>
      <c r="B731" s="1"/>
      <c r="C731" s="1"/>
      <c r="D731" s="1"/>
      <c r="E731" s="1"/>
      <c r="F731" s="1"/>
      <c r="G731" s="1"/>
      <c r="H731" s="1"/>
      <c r="I731" s="1"/>
      <c r="J731" s="1"/>
      <c r="K731" s="1"/>
      <c r="L731" s="1"/>
      <c r="M731" s="1"/>
      <c r="N731" s="1"/>
      <c r="O731" s="1"/>
      <c r="P731" s="1"/>
      <c r="Q731" s="1"/>
      <c r="R731" s="1"/>
      <c r="S731" s="1"/>
      <c r="T731" s="1"/>
      <c r="U731" s="2"/>
      <c r="V731" s="1"/>
      <c r="W731" s="1"/>
      <c r="X731" s="1"/>
      <c r="Y731" s="1"/>
      <c r="Z731" s="1"/>
    </row>
    <row r="732" spans="1:26" ht="24.75" customHeight="1">
      <c r="A732" s="1"/>
      <c r="B732" s="1"/>
      <c r="C732" s="1"/>
      <c r="D732" s="1"/>
      <c r="E732" s="1"/>
      <c r="F732" s="1"/>
      <c r="G732" s="1"/>
      <c r="H732" s="1"/>
      <c r="I732" s="1"/>
      <c r="J732" s="1"/>
      <c r="K732" s="1"/>
      <c r="L732" s="1"/>
      <c r="M732" s="1"/>
      <c r="N732" s="1"/>
      <c r="O732" s="1"/>
      <c r="P732" s="1"/>
      <c r="Q732" s="1"/>
      <c r="R732" s="1"/>
      <c r="S732" s="1"/>
      <c r="T732" s="1"/>
      <c r="U732" s="2"/>
      <c r="V732" s="1"/>
      <c r="W732" s="1"/>
      <c r="X732" s="1"/>
      <c r="Y732" s="1"/>
      <c r="Z732" s="1"/>
    </row>
    <row r="733" spans="1:26" ht="24.75" customHeight="1">
      <c r="A733" s="1"/>
      <c r="B733" s="1"/>
      <c r="C733" s="1"/>
      <c r="D733" s="1"/>
      <c r="E733" s="1"/>
      <c r="F733" s="1"/>
      <c r="G733" s="1"/>
      <c r="H733" s="1"/>
      <c r="I733" s="1"/>
      <c r="J733" s="1"/>
      <c r="K733" s="1"/>
      <c r="L733" s="1"/>
      <c r="M733" s="1"/>
      <c r="N733" s="1"/>
      <c r="O733" s="1"/>
      <c r="P733" s="1"/>
      <c r="Q733" s="1"/>
      <c r="R733" s="1"/>
      <c r="S733" s="1"/>
      <c r="T733" s="1"/>
      <c r="U733" s="2"/>
      <c r="V733" s="1"/>
      <c r="W733" s="1"/>
      <c r="X733" s="1"/>
      <c r="Y733" s="1"/>
      <c r="Z733" s="1"/>
    </row>
    <row r="734" spans="1:26" ht="24.75" customHeight="1">
      <c r="A734" s="1"/>
      <c r="B734" s="1"/>
      <c r="C734" s="1"/>
      <c r="D734" s="1"/>
      <c r="E734" s="1"/>
      <c r="F734" s="1"/>
      <c r="G734" s="1"/>
      <c r="H734" s="1"/>
      <c r="I734" s="1"/>
      <c r="J734" s="1"/>
      <c r="K734" s="1"/>
      <c r="L734" s="1"/>
      <c r="M734" s="1"/>
      <c r="N734" s="1"/>
      <c r="O734" s="1"/>
      <c r="P734" s="1"/>
      <c r="Q734" s="1"/>
      <c r="R734" s="1"/>
      <c r="S734" s="1"/>
      <c r="T734" s="1"/>
      <c r="U734" s="2"/>
      <c r="V734" s="1"/>
      <c r="W734" s="1"/>
      <c r="X734" s="1"/>
      <c r="Y734" s="1"/>
      <c r="Z734" s="1"/>
    </row>
    <row r="735" spans="1:26" ht="24.75" customHeight="1">
      <c r="A735" s="1"/>
      <c r="B735" s="1"/>
      <c r="C735" s="1"/>
      <c r="D735" s="1"/>
      <c r="E735" s="1"/>
      <c r="F735" s="1"/>
      <c r="G735" s="1"/>
      <c r="H735" s="1"/>
      <c r="I735" s="1"/>
      <c r="J735" s="1"/>
      <c r="K735" s="1"/>
      <c r="L735" s="1"/>
      <c r="M735" s="1"/>
      <c r="N735" s="1"/>
      <c r="O735" s="1"/>
      <c r="P735" s="1"/>
      <c r="Q735" s="1"/>
      <c r="R735" s="1"/>
      <c r="S735" s="1"/>
      <c r="T735" s="1"/>
      <c r="U735" s="2"/>
      <c r="V735" s="1"/>
      <c r="W735" s="1"/>
      <c r="X735" s="1"/>
      <c r="Y735" s="1"/>
      <c r="Z735" s="1"/>
    </row>
    <row r="736" spans="1:26" ht="24.75" customHeight="1">
      <c r="A736" s="1"/>
      <c r="B736" s="1"/>
      <c r="C736" s="1"/>
      <c r="D736" s="1"/>
      <c r="E736" s="1"/>
      <c r="F736" s="1"/>
      <c r="G736" s="1"/>
      <c r="H736" s="1"/>
      <c r="I736" s="1"/>
      <c r="J736" s="1"/>
      <c r="K736" s="1"/>
      <c r="L736" s="1"/>
      <c r="M736" s="1"/>
      <c r="N736" s="1"/>
      <c r="O736" s="1"/>
      <c r="P736" s="1"/>
      <c r="Q736" s="1"/>
      <c r="R736" s="1"/>
      <c r="S736" s="1"/>
      <c r="T736" s="1"/>
      <c r="U736" s="2"/>
      <c r="V736" s="1"/>
      <c r="W736" s="1"/>
      <c r="X736" s="1"/>
      <c r="Y736" s="1"/>
      <c r="Z736" s="1"/>
    </row>
    <row r="737" spans="1:26" ht="24.75" customHeight="1">
      <c r="A737" s="1"/>
      <c r="B737" s="1"/>
      <c r="C737" s="1"/>
      <c r="D737" s="1"/>
      <c r="E737" s="1"/>
      <c r="F737" s="1"/>
      <c r="G737" s="1"/>
      <c r="H737" s="1"/>
      <c r="I737" s="1"/>
      <c r="J737" s="1"/>
      <c r="K737" s="1"/>
      <c r="L737" s="1"/>
      <c r="M737" s="1"/>
      <c r="N737" s="1"/>
      <c r="O737" s="1"/>
      <c r="P737" s="1"/>
      <c r="Q737" s="1"/>
      <c r="R737" s="1"/>
      <c r="S737" s="1"/>
      <c r="T737" s="1"/>
      <c r="U737" s="2"/>
      <c r="V737" s="1"/>
      <c r="W737" s="1"/>
      <c r="X737" s="1"/>
      <c r="Y737" s="1"/>
      <c r="Z737" s="1"/>
    </row>
    <row r="738" spans="1:26" ht="24.75" customHeight="1">
      <c r="A738" s="1"/>
      <c r="B738" s="1"/>
      <c r="C738" s="1"/>
      <c r="D738" s="1"/>
      <c r="E738" s="1"/>
      <c r="F738" s="1"/>
      <c r="G738" s="1"/>
      <c r="H738" s="1"/>
      <c r="I738" s="1"/>
      <c r="J738" s="1"/>
      <c r="K738" s="1"/>
      <c r="L738" s="1"/>
      <c r="M738" s="1"/>
      <c r="N738" s="1"/>
      <c r="O738" s="1"/>
      <c r="P738" s="1"/>
      <c r="Q738" s="1"/>
      <c r="R738" s="1"/>
      <c r="S738" s="1"/>
      <c r="T738" s="1"/>
      <c r="U738" s="2"/>
      <c r="V738" s="1"/>
      <c r="W738" s="1"/>
      <c r="X738" s="1"/>
      <c r="Y738" s="1"/>
      <c r="Z738" s="1"/>
    </row>
    <row r="739" spans="1:26" ht="24.75" customHeight="1">
      <c r="A739" s="1"/>
      <c r="B739" s="1"/>
      <c r="C739" s="1"/>
      <c r="D739" s="1"/>
      <c r="E739" s="1"/>
      <c r="F739" s="1"/>
      <c r="G739" s="1"/>
      <c r="H739" s="1"/>
      <c r="I739" s="1"/>
      <c r="J739" s="1"/>
      <c r="K739" s="1"/>
      <c r="L739" s="1"/>
      <c r="M739" s="1"/>
      <c r="N739" s="1"/>
      <c r="O739" s="1"/>
      <c r="P739" s="1"/>
      <c r="Q739" s="1"/>
      <c r="R739" s="1"/>
      <c r="S739" s="1"/>
      <c r="T739" s="1"/>
      <c r="U739" s="2"/>
      <c r="V739" s="1"/>
      <c r="W739" s="1"/>
      <c r="X739" s="1"/>
      <c r="Y739" s="1"/>
      <c r="Z739" s="1"/>
    </row>
    <row r="740" spans="1:26" ht="24.75" customHeight="1">
      <c r="A740" s="1"/>
      <c r="B740" s="1"/>
      <c r="C740" s="1"/>
      <c r="D740" s="1"/>
      <c r="E740" s="1"/>
      <c r="F740" s="1"/>
      <c r="G740" s="1"/>
      <c r="H740" s="1"/>
      <c r="I740" s="1"/>
      <c r="J740" s="1"/>
      <c r="K740" s="1"/>
      <c r="L740" s="1"/>
      <c r="M740" s="1"/>
      <c r="N740" s="1"/>
      <c r="O740" s="1"/>
      <c r="P740" s="1"/>
      <c r="Q740" s="1"/>
      <c r="R740" s="1"/>
      <c r="S740" s="1"/>
      <c r="T740" s="1"/>
      <c r="U740" s="2"/>
      <c r="V740" s="1"/>
      <c r="W740" s="1"/>
      <c r="X740" s="1"/>
      <c r="Y740" s="1"/>
      <c r="Z740" s="1"/>
    </row>
    <row r="741" spans="1:26" ht="24.75" customHeight="1">
      <c r="A741" s="1"/>
      <c r="B741" s="1"/>
      <c r="C741" s="1"/>
      <c r="D741" s="1"/>
      <c r="E741" s="1"/>
      <c r="F741" s="1"/>
      <c r="G741" s="1"/>
      <c r="H741" s="1"/>
      <c r="I741" s="1"/>
      <c r="J741" s="1"/>
      <c r="K741" s="1"/>
      <c r="L741" s="1"/>
      <c r="M741" s="1"/>
      <c r="N741" s="1"/>
      <c r="O741" s="1"/>
      <c r="P741" s="1"/>
      <c r="Q741" s="1"/>
      <c r="R741" s="1"/>
      <c r="S741" s="1"/>
      <c r="T741" s="1"/>
      <c r="U741" s="2"/>
      <c r="V741" s="1"/>
      <c r="W741" s="1"/>
      <c r="X741" s="1"/>
      <c r="Y741" s="1"/>
      <c r="Z741" s="1"/>
    </row>
    <row r="742" spans="1:26" ht="24.75" customHeight="1">
      <c r="A742" s="1"/>
      <c r="B742" s="1"/>
      <c r="C742" s="1"/>
      <c r="D742" s="1"/>
      <c r="E742" s="1"/>
      <c r="F742" s="1"/>
      <c r="G742" s="1"/>
      <c r="H742" s="1"/>
      <c r="I742" s="1"/>
      <c r="J742" s="1"/>
      <c r="K742" s="1"/>
      <c r="L742" s="1"/>
      <c r="M742" s="1"/>
      <c r="N742" s="1"/>
      <c r="O742" s="1"/>
      <c r="P742" s="1"/>
      <c r="Q742" s="1"/>
      <c r="R742" s="1"/>
      <c r="S742" s="1"/>
      <c r="T742" s="1"/>
      <c r="U742" s="2"/>
      <c r="V742" s="1"/>
      <c r="W742" s="1"/>
      <c r="X742" s="1"/>
      <c r="Y742" s="1"/>
      <c r="Z742" s="1"/>
    </row>
    <row r="743" spans="1:26" ht="24.75" customHeight="1">
      <c r="A743" s="1"/>
      <c r="B743" s="1"/>
      <c r="C743" s="1"/>
      <c r="D743" s="1"/>
      <c r="E743" s="1"/>
      <c r="F743" s="1"/>
      <c r="G743" s="1"/>
      <c r="H743" s="1"/>
      <c r="I743" s="1"/>
      <c r="J743" s="1"/>
      <c r="K743" s="1"/>
      <c r="L743" s="1"/>
      <c r="M743" s="1"/>
      <c r="N743" s="1"/>
      <c r="O743" s="1"/>
      <c r="P743" s="1"/>
      <c r="Q743" s="1"/>
      <c r="R743" s="1"/>
      <c r="S743" s="1"/>
      <c r="T743" s="1"/>
      <c r="U743" s="2"/>
      <c r="V743" s="1"/>
      <c r="W743" s="1"/>
      <c r="X743" s="1"/>
      <c r="Y743" s="1"/>
      <c r="Z743" s="1"/>
    </row>
    <row r="744" spans="1:26" ht="24.75" customHeight="1">
      <c r="A744" s="1"/>
      <c r="B744" s="1"/>
      <c r="C744" s="1"/>
      <c r="D744" s="1"/>
      <c r="E744" s="1"/>
      <c r="F744" s="1"/>
      <c r="G744" s="1"/>
      <c r="H744" s="1"/>
      <c r="I744" s="1"/>
      <c r="J744" s="1"/>
      <c r="K744" s="1"/>
      <c r="L744" s="1"/>
      <c r="M744" s="1"/>
      <c r="N744" s="1"/>
      <c r="O744" s="1"/>
      <c r="P744" s="1"/>
      <c r="Q744" s="1"/>
      <c r="R744" s="1"/>
      <c r="S744" s="1"/>
      <c r="T744" s="1"/>
      <c r="U744" s="2"/>
      <c r="V744" s="1"/>
      <c r="W744" s="1"/>
      <c r="X744" s="1"/>
      <c r="Y744" s="1"/>
      <c r="Z744" s="1"/>
    </row>
    <row r="745" spans="1:26" ht="24.75" customHeight="1">
      <c r="A745" s="1"/>
      <c r="B745" s="1"/>
      <c r="C745" s="1"/>
      <c r="D745" s="1"/>
      <c r="E745" s="1"/>
      <c r="F745" s="1"/>
      <c r="G745" s="1"/>
      <c r="H745" s="1"/>
      <c r="I745" s="1"/>
      <c r="J745" s="1"/>
      <c r="K745" s="1"/>
      <c r="L745" s="1"/>
      <c r="M745" s="1"/>
      <c r="N745" s="1"/>
      <c r="O745" s="1"/>
      <c r="P745" s="1"/>
      <c r="Q745" s="1"/>
      <c r="R745" s="1"/>
      <c r="S745" s="1"/>
      <c r="T745" s="1"/>
      <c r="U745" s="2"/>
      <c r="V745" s="1"/>
      <c r="W745" s="1"/>
      <c r="X745" s="1"/>
      <c r="Y745" s="1"/>
      <c r="Z745" s="1"/>
    </row>
    <row r="746" spans="1:26" ht="24.75" customHeight="1">
      <c r="A746" s="1"/>
      <c r="B746" s="1"/>
      <c r="C746" s="1"/>
      <c r="D746" s="1"/>
      <c r="E746" s="1"/>
      <c r="F746" s="1"/>
      <c r="G746" s="1"/>
      <c r="H746" s="1"/>
      <c r="I746" s="1"/>
      <c r="J746" s="1"/>
      <c r="K746" s="1"/>
      <c r="L746" s="1"/>
      <c r="M746" s="1"/>
      <c r="N746" s="1"/>
      <c r="O746" s="1"/>
      <c r="P746" s="1"/>
      <c r="Q746" s="1"/>
      <c r="R746" s="1"/>
      <c r="S746" s="1"/>
      <c r="T746" s="1"/>
      <c r="U746" s="2"/>
      <c r="V746" s="1"/>
      <c r="W746" s="1"/>
      <c r="X746" s="1"/>
      <c r="Y746" s="1"/>
      <c r="Z746" s="1"/>
    </row>
    <row r="747" spans="1:26" ht="24.75" customHeight="1">
      <c r="A747" s="1"/>
      <c r="B747" s="1"/>
      <c r="C747" s="1"/>
      <c r="D747" s="1"/>
      <c r="E747" s="1"/>
      <c r="F747" s="1"/>
      <c r="G747" s="1"/>
      <c r="H747" s="1"/>
      <c r="I747" s="1"/>
      <c r="J747" s="1"/>
      <c r="K747" s="1"/>
      <c r="L747" s="1"/>
      <c r="M747" s="1"/>
      <c r="N747" s="1"/>
      <c r="O747" s="1"/>
      <c r="P747" s="1"/>
      <c r="Q747" s="1"/>
      <c r="R747" s="1"/>
      <c r="S747" s="1"/>
      <c r="T747" s="1"/>
      <c r="U747" s="2"/>
      <c r="V747" s="1"/>
      <c r="W747" s="1"/>
      <c r="X747" s="1"/>
      <c r="Y747" s="1"/>
      <c r="Z747" s="1"/>
    </row>
    <row r="748" spans="1:26" ht="24.75" customHeight="1">
      <c r="A748" s="1"/>
      <c r="B748" s="1"/>
      <c r="C748" s="1"/>
      <c r="D748" s="1"/>
      <c r="E748" s="1"/>
      <c r="F748" s="1"/>
      <c r="G748" s="1"/>
      <c r="H748" s="1"/>
      <c r="I748" s="1"/>
      <c r="J748" s="1"/>
      <c r="K748" s="1"/>
      <c r="L748" s="1"/>
      <c r="M748" s="1"/>
      <c r="N748" s="1"/>
      <c r="O748" s="1"/>
      <c r="P748" s="1"/>
      <c r="Q748" s="1"/>
      <c r="R748" s="1"/>
      <c r="S748" s="1"/>
      <c r="T748" s="1"/>
      <c r="U748" s="2"/>
      <c r="V748" s="1"/>
      <c r="W748" s="1"/>
      <c r="X748" s="1"/>
      <c r="Y748" s="1"/>
      <c r="Z748" s="1"/>
    </row>
    <row r="749" spans="1:26" ht="24.75" customHeight="1">
      <c r="A749" s="1"/>
      <c r="B749" s="1"/>
      <c r="C749" s="1"/>
      <c r="D749" s="1"/>
      <c r="E749" s="1"/>
      <c r="F749" s="1"/>
      <c r="G749" s="1"/>
      <c r="H749" s="1"/>
      <c r="I749" s="1"/>
      <c r="J749" s="1"/>
      <c r="K749" s="1"/>
      <c r="L749" s="1"/>
      <c r="M749" s="1"/>
      <c r="N749" s="1"/>
      <c r="O749" s="1"/>
      <c r="P749" s="1"/>
      <c r="Q749" s="1"/>
      <c r="R749" s="1"/>
      <c r="S749" s="1"/>
      <c r="T749" s="1"/>
      <c r="U749" s="2"/>
      <c r="V749" s="1"/>
      <c r="W749" s="1"/>
      <c r="X749" s="1"/>
      <c r="Y749" s="1"/>
      <c r="Z749" s="1"/>
    </row>
    <row r="750" spans="1:26" ht="24.75" customHeight="1">
      <c r="A750" s="1"/>
      <c r="B750" s="1"/>
      <c r="C750" s="1"/>
      <c r="D750" s="1"/>
      <c r="E750" s="1"/>
      <c r="F750" s="1"/>
      <c r="G750" s="1"/>
      <c r="H750" s="1"/>
      <c r="I750" s="1"/>
      <c r="J750" s="1"/>
      <c r="K750" s="1"/>
      <c r="L750" s="1"/>
      <c r="M750" s="1"/>
      <c r="N750" s="1"/>
      <c r="O750" s="1"/>
      <c r="P750" s="1"/>
      <c r="Q750" s="1"/>
      <c r="R750" s="1"/>
      <c r="S750" s="1"/>
      <c r="T750" s="1"/>
      <c r="U750" s="2"/>
      <c r="V750" s="1"/>
      <c r="W750" s="1"/>
      <c r="X750" s="1"/>
      <c r="Y750" s="1"/>
      <c r="Z750" s="1"/>
    </row>
    <row r="751" spans="1:26" ht="24.75" customHeight="1">
      <c r="A751" s="1"/>
      <c r="B751" s="1"/>
      <c r="C751" s="1"/>
      <c r="D751" s="1"/>
      <c r="E751" s="1"/>
      <c r="F751" s="1"/>
      <c r="G751" s="1"/>
      <c r="H751" s="1"/>
      <c r="I751" s="1"/>
      <c r="J751" s="1"/>
      <c r="K751" s="1"/>
      <c r="L751" s="1"/>
      <c r="M751" s="1"/>
      <c r="N751" s="1"/>
      <c r="O751" s="1"/>
      <c r="P751" s="1"/>
      <c r="Q751" s="1"/>
      <c r="R751" s="1"/>
      <c r="S751" s="1"/>
      <c r="T751" s="1"/>
      <c r="U751" s="2"/>
      <c r="V751" s="1"/>
      <c r="W751" s="1"/>
      <c r="X751" s="1"/>
      <c r="Y751" s="1"/>
      <c r="Z751" s="1"/>
    </row>
    <row r="752" spans="1:26" ht="24.75" customHeight="1">
      <c r="A752" s="1"/>
      <c r="B752" s="1"/>
      <c r="C752" s="1"/>
      <c r="D752" s="1"/>
      <c r="E752" s="1"/>
      <c r="F752" s="1"/>
      <c r="G752" s="1"/>
      <c r="H752" s="1"/>
      <c r="I752" s="1"/>
      <c r="J752" s="1"/>
      <c r="K752" s="1"/>
      <c r="L752" s="1"/>
      <c r="M752" s="1"/>
      <c r="N752" s="1"/>
      <c r="O752" s="1"/>
      <c r="P752" s="1"/>
      <c r="Q752" s="1"/>
      <c r="R752" s="1"/>
      <c r="S752" s="1"/>
      <c r="T752" s="1"/>
      <c r="U752" s="2"/>
      <c r="V752" s="1"/>
      <c r="W752" s="1"/>
      <c r="X752" s="1"/>
      <c r="Y752" s="1"/>
      <c r="Z752" s="1"/>
    </row>
    <row r="753" spans="1:26" ht="24.75" customHeight="1">
      <c r="A753" s="1"/>
      <c r="B753" s="1"/>
      <c r="C753" s="1"/>
      <c r="D753" s="1"/>
      <c r="E753" s="1"/>
      <c r="F753" s="1"/>
      <c r="G753" s="1"/>
      <c r="H753" s="1"/>
      <c r="I753" s="1"/>
      <c r="J753" s="1"/>
      <c r="K753" s="1"/>
      <c r="L753" s="1"/>
      <c r="M753" s="1"/>
      <c r="N753" s="1"/>
      <c r="O753" s="1"/>
      <c r="P753" s="1"/>
      <c r="Q753" s="1"/>
      <c r="R753" s="1"/>
      <c r="S753" s="1"/>
      <c r="T753" s="1"/>
      <c r="U753" s="2"/>
      <c r="V753" s="1"/>
      <c r="W753" s="1"/>
      <c r="X753" s="1"/>
      <c r="Y753" s="1"/>
      <c r="Z753" s="1"/>
    </row>
    <row r="754" spans="1:26" ht="24.75" customHeight="1">
      <c r="A754" s="1"/>
      <c r="B754" s="1"/>
      <c r="C754" s="1"/>
      <c r="D754" s="1"/>
      <c r="E754" s="1"/>
      <c r="F754" s="1"/>
      <c r="G754" s="1"/>
      <c r="H754" s="1"/>
      <c r="I754" s="1"/>
      <c r="J754" s="1"/>
      <c r="K754" s="1"/>
      <c r="L754" s="1"/>
      <c r="M754" s="1"/>
      <c r="N754" s="1"/>
      <c r="O754" s="1"/>
      <c r="P754" s="1"/>
      <c r="Q754" s="1"/>
      <c r="R754" s="1"/>
      <c r="S754" s="1"/>
      <c r="T754" s="1"/>
      <c r="U754" s="2"/>
      <c r="V754" s="1"/>
      <c r="W754" s="1"/>
      <c r="X754" s="1"/>
      <c r="Y754" s="1"/>
      <c r="Z754" s="1"/>
    </row>
    <row r="755" spans="1:26" ht="24.75" customHeight="1">
      <c r="A755" s="1"/>
      <c r="B755" s="1"/>
      <c r="C755" s="1"/>
      <c r="D755" s="1"/>
      <c r="E755" s="1"/>
      <c r="F755" s="1"/>
      <c r="G755" s="1"/>
      <c r="H755" s="1"/>
      <c r="I755" s="1"/>
      <c r="J755" s="1"/>
      <c r="K755" s="1"/>
      <c r="L755" s="1"/>
      <c r="M755" s="1"/>
      <c r="N755" s="1"/>
      <c r="O755" s="1"/>
      <c r="P755" s="1"/>
      <c r="Q755" s="1"/>
      <c r="R755" s="1"/>
      <c r="S755" s="1"/>
      <c r="T755" s="1"/>
      <c r="U755" s="2"/>
      <c r="V755" s="1"/>
      <c r="W755" s="1"/>
      <c r="X755" s="1"/>
      <c r="Y755" s="1"/>
      <c r="Z755" s="1"/>
    </row>
    <row r="756" spans="1:26" ht="24.75" customHeight="1">
      <c r="A756" s="1"/>
      <c r="B756" s="1"/>
      <c r="C756" s="1"/>
      <c r="D756" s="1"/>
      <c r="E756" s="1"/>
      <c r="F756" s="1"/>
      <c r="G756" s="1"/>
      <c r="H756" s="1"/>
      <c r="I756" s="1"/>
      <c r="J756" s="1"/>
      <c r="K756" s="1"/>
      <c r="L756" s="1"/>
      <c r="M756" s="1"/>
      <c r="N756" s="1"/>
      <c r="O756" s="1"/>
      <c r="P756" s="1"/>
      <c r="Q756" s="1"/>
      <c r="R756" s="1"/>
      <c r="S756" s="1"/>
      <c r="T756" s="1"/>
      <c r="U756" s="2"/>
      <c r="V756" s="1"/>
      <c r="W756" s="1"/>
      <c r="X756" s="1"/>
      <c r="Y756" s="1"/>
      <c r="Z756" s="1"/>
    </row>
    <row r="757" spans="1:26" ht="24.75" customHeight="1">
      <c r="A757" s="1"/>
      <c r="B757" s="1"/>
      <c r="C757" s="1"/>
      <c r="D757" s="1"/>
      <c r="E757" s="1"/>
      <c r="F757" s="1"/>
      <c r="G757" s="1"/>
      <c r="H757" s="1"/>
      <c r="I757" s="1"/>
      <c r="J757" s="1"/>
      <c r="K757" s="1"/>
      <c r="L757" s="1"/>
      <c r="M757" s="1"/>
      <c r="N757" s="1"/>
      <c r="O757" s="1"/>
      <c r="P757" s="1"/>
      <c r="Q757" s="1"/>
      <c r="R757" s="1"/>
      <c r="S757" s="1"/>
      <c r="T757" s="1"/>
      <c r="U757" s="2"/>
      <c r="V757" s="1"/>
      <c r="W757" s="1"/>
      <c r="X757" s="1"/>
      <c r="Y757" s="1"/>
      <c r="Z757" s="1"/>
    </row>
    <row r="758" spans="1:26" ht="24.75" customHeight="1">
      <c r="A758" s="1"/>
      <c r="B758" s="1"/>
      <c r="C758" s="1"/>
      <c r="D758" s="1"/>
      <c r="E758" s="1"/>
      <c r="F758" s="1"/>
      <c r="G758" s="1"/>
      <c r="H758" s="1"/>
      <c r="I758" s="1"/>
      <c r="J758" s="1"/>
      <c r="K758" s="1"/>
      <c r="L758" s="1"/>
      <c r="M758" s="1"/>
      <c r="N758" s="1"/>
      <c r="O758" s="1"/>
      <c r="P758" s="1"/>
      <c r="Q758" s="1"/>
      <c r="R758" s="1"/>
      <c r="S758" s="1"/>
      <c r="T758" s="1"/>
      <c r="U758" s="2"/>
      <c r="V758" s="1"/>
      <c r="W758" s="1"/>
      <c r="X758" s="1"/>
      <c r="Y758" s="1"/>
      <c r="Z758" s="1"/>
    </row>
    <row r="759" spans="1:26" ht="24.75" customHeight="1">
      <c r="A759" s="1"/>
      <c r="B759" s="1"/>
      <c r="C759" s="1"/>
      <c r="D759" s="1"/>
      <c r="E759" s="1"/>
      <c r="F759" s="1"/>
      <c r="G759" s="1"/>
      <c r="H759" s="1"/>
      <c r="I759" s="1"/>
      <c r="J759" s="1"/>
      <c r="K759" s="1"/>
      <c r="L759" s="1"/>
      <c r="M759" s="1"/>
      <c r="N759" s="1"/>
      <c r="O759" s="1"/>
      <c r="P759" s="1"/>
      <c r="Q759" s="1"/>
      <c r="R759" s="1"/>
      <c r="S759" s="1"/>
      <c r="T759" s="1"/>
      <c r="U759" s="2"/>
      <c r="V759" s="1"/>
      <c r="W759" s="1"/>
      <c r="X759" s="1"/>
      <c r="Y759" s="1"/>
      <c r="Z759" s="1"/>
    </row>
    <row r="760" spans="1:26" ht="24.75" customHeight="1">
      <c r="A760" s="1"/>
      <c r="B760" s="1"/>
      <c r="C760" s="1"/>
      <c r="D760" s="1"/>
      <c r="E760" s="1"/>
      <c r="F760" s="1"/>
      <c r="G760" s="1"/>
      <c r="H760" s="1"/>
      <c r="I760" s="1"/>
      <c r="J760" s="1"/>
      <c r="K760" s="1"/>
      <c r="L760" s="1"/>
      <c r="M760" s="1"/>
      <c r="N760" s="1"/>
      <c r="O760" s="1"/>
      <c r="P760" s="1"/>
      <c r="Q760" s="1"/>
      <c r="R760" s="1"/>
      <c r="S760" s="1"/>
      <c r="T760" s="1"/>
      <c r="U760" s="2"/>
      <c r="V760" s="1"/>
      <c r="W760" s="1"/>
      <c r="X760" s="1"/>
      <c r="Y760" s="1"/>
      <c r="Z760" s="1"/>
    </row>
    <row r="761" spans="1:26" ht="24.75" customHeight="1">
      <c r="A761" s="1"/>
      <c r="B761" s="1"/>
      <c r="C761" s="1"/>
      <c r="D761" s="1"/>
      <c r="E761" s="1"/>
      <c r="F761" s="1"/>
      <c r="G761" s="1"/>
      <c r="H761" s="1"/>
      <c r="I761" s="1"/>
      <c r="J761" s="1"/>
      <c r="K761" s="1"/>
      <c r="L761" s="1"/>
      <c r="M761" s="1"/>
      <c r="N761" s="1"/>
      <c r="O761" s="1"/>
      <c r="P761" s="1"/>
      <c r="Q761" s="1"/>
      <c r="R761" s="1"/>
      <c r="S761" s="1"/>
      <c r="T761" s="1"/>
      <c r="U761" s="2"/>
      <c r="V761" s="1"/>
      <c r="W761" s="1"/>
      <c r="X761" s="1"/>
      <c r="Y761" s="1"/>
      <c r="Z761" s="1"/>
    </row>
    <row r="762" spans="1:26" ht="24.75" customHeight="1">
      <c r="A762" s="1"/>
      <c r="B762" s="1"/>
      <c r="C762" s="1"/>
      <c r="D762" s="1"/>
      <c r="E762" s="1"/>
      <c r="F762" s="1"/>
      <c r="G762" s="1"/>
      <c r="H762" s="1"/>
      <c r="I762" s="1"/>
      <c r="J762" s="1"/>
      <c r="K762" s="1"/>
      <c r="L762" s="1"/>
      <c r="M762" s="1"/>
      <c r="N762" s="1"/>
      <c r="O762" s="1"/>
      <c r="P762" s="1"/>
      <c r="Q762" s="1"/>
      <c r="R762" s="1"/>
      <c r="S762" s="1"/>
      <c r="T762" s="1"/>
      <c r="U762" s="2"/>
      <c r="V762" s="1"/>
      <c r="W762" s="1"/>
      <c r="X762" s="1"/>
      <c r="Y762" s="1"/>
      <c r="Z762" s="1"/>
    </row>
    <row r="763" spans="1:26" ht="24.75" customHeight="1">
      <c r="A763" s="1"/>
      <c r="B763" s="1"/>
      <c r="C763" s="1"/>
      <c r="D763" s="1"/>
      <c r="E763" s="1"/>
      <c r="F763" s="1"/>
      <c r="G763" s="1"/>
      <c r="H763" s="1"/>
      <c r="I763" s="1"/>
      <c r="J763" s="1"/>
      <c r="K763" s="1"/>
      <c r="L763" s="1"/>
      <c r="M763" s="1"/>
      <c r="N763" s="1"/>
      <c r="O763" s="1"/>
      <c r="P763" s="1"/>
      <c r="Q763" s="1"/>
      <c r="R763" s="1"/>
      <c r="S763" s="1"/>
      <c r="T763" s="1"/>
      <c r="U763" s="2"/>
      <c r="V763" s="1"/>
      <c r="W763" s="1"/>
      <c r="X763" s="1"/>
      <c r="Y763" s="1"/>
      <c r="Z763" s="1"/>
    </row>
    <row r="764" spans="1:26" ht="24.75" customHeight="1">
      <c r="A764" s="1"/>
      <c r="B764" s="1"/>
      <c r="C764" s="1"/>
      <c r="D764" s="1"/>
      <c r="E764" s="1"/>
      <c r="F764" s="1"/>
      <c r="G764" s="1"/>
      <c r="H764" s="1"/>
      <c r="I764" s="1"/>
      <c r="J764" s="1"/>
      <c r="K764" s="1"/>
      <c r="L764" s="1"/>
      <c r="M764" s="1"/>
      <c r="N764" s="1"/>
      <c r="O764" s="1"/>
      <c r="P764" s="1"/>
      <c r="Q764" s="1"/>
      <c r="R764" s="1"/>
      <c r="S764" s="1"/>
      <c r="T764" s="1"/>
      <c r="U764" s="2"/>
      <c r="V764" s="1"/>
      <c r="W764" s="1"/>
      <c r="X764" s="1"/>
      <c r="Y764" s="1"/>
      <c r="Z764" s="1"/>
    </row>
    <row r="765" spans="1:26" ht="24.75" customHeight="1">
      <c r="A765" s="1"/>
      <c r="B765" s="1"/>
      <c r="C765" s="1"/>
      <c r="D765" s="1"/>
      <c r="E765" s="1"/>
      <c r="F765" s="1"/>
      <c r="G765" s="1"/>
      <c r="H765" s="1"/>
      <c r="I765" s="1"/>
      <c r="J765" s="1"/>
      <c r="K765" s="1"/>
      <c r="L765" s="1"/>
      <c r="M765" s="1"/>
      <c r="N765" s="1"/>
      <c r="O765" s="1"/>
      <c r="P765" s="1"/>
      <c r="Q765" s="1"/>
      <c r="R765" s="1"/>
      <c r="S765" s="1"/>
      <c r="T765" s="1"/>
      <c r="U765" s="2"/>
      <c r="V765" s="1"/>
      <c r="W765" s="1"/>
      <c r="X765" s="1"/>
      <c r="Y765" s="1"/>
      <c r="Z765" s="1"/>
    </row>
    <row r="766" spans="1:26" ht="24.75" customHeight="1">
      <c r="A766" s="1"/>
      <c r="B766" s="1"/>
      <c r="C766" s="1"/>
      <c r="D766" s="1"/>
      <c r="E766" s="1"/>
      <c r="F766" s="1"/>
      <c r="G766" s="1"/>
      <c r="H766" s="1"/>
      <c r="I766" s="1"/>
      <c r="J766" s="1"/>
      <c r="K766" s="1"/>
      <c r="L766" s="1"/>
      <c r="M766" s="1"/>
      <c r="N766" s="1"/>
      <c r="O766" s="1"/>
      <c r="P766" s="1"/>
      <c r="Q766" s="1"/>
      <c r="R766" s="1"/>
      <c r="S766" s="1"/>
      <c r="T766" s="1"/>
      <c r="U766" s="2"/>
      <c r="V766" s="1"/>
      <c r="W766" s="1"/>
      <c r="X766" s="1"/>
      <c r="Y766" s="1"/>
      <c r="Z766" s="1"/>
    </row>
    <row r="767" spans="1:26" ht="24.75" customHeight="1">
      <c r="A767" s="1"/>
      <c r="B767" s="1"/>
      <c r="C767" s="1"/>
      <c r="D767" s="1"/>
      <c r="E767" s="1"/>
      <c r="F767" s="1"/>
      <c r="G767" s="1"/>
      <c r="H767" s="1"/>
      <c r="I767" s="1"/>
      <c r="J767" s="1"/>
      <c r="K767" s="1"/>
      <c r="L767" s="1"/>
      <c r="M767" s="1"/>
      <c r="N767" s="1"/>
      <c r="O767" s="1"/>
      <c r="P767" s="1"/>
      <c r="Q767" s="1"/>
      <c r="R767" s="1"/>
      <c r="S767" s="1"/>
      <c r="T767" s="1"/>
      <c r="U767" s="2"/>
      <c r="V767" s="1"/>
      <c r="W767" s="1"/>
      <c r="X767" s="1"/>
      <c r="Y767" s="1"/>
      <c r="Z767" s="1"/>
    </row>
    <row r="768" spans="1:26" ht="24.75" customHeight="1">
      <c r="A768" s="1"/>
      <c r="B768" s="1"/>
      <c r="C768" s="1"/>
      <c r="D768" s="1"/>
      <c r="E768" s="1"/>
      <c r="F768" s="1"/>
      <c r="G768" s="1"/>
      <c r="H768" s="1"/>
      <c r="I768" s="1"/>
      <c r="J768" s="1"/>
      <c r="K768" s="1"/>
      <c r="L768" s="1"/>
      <c r="M768" s="1"/>
      <c r="N768" s="1"/>
      <c r="O768" s="1"/>
      <c r="P768" s="1"/>
      <c r="Q768" s="1"/>
      <c r="R768" s="1"/>
      <c r="S768" s="1"/>
      <c r="T768" s="1"/>
      <c r="U768" s="2"/>
      <c r="V768" s="1"/>
      <c r="W768" s="1"/>
      <c r="X768" s="1"/>
      <c r="Y768" s="1"/>
      <c r="Z768" s="1"/>
    </row>
    <row r="769" spans="1:26" ht="24.75" customHeight="1">
      <c r="A769" s="1"/>
      <c r="B769" s="1"/>
      <c r="C769" s="1"/>
      <c r="D769" s="1"/>
      <c r="E769" s="1"/>
      <c r="F769" s="1"/>
      <c r="G769" s="1"/>
      <c r="H769" s="1"/>
      <c r="I769" s="1"/>
      <c r="J769" s="1"/>
      <c r="K769" s="1"/>
      <c r="L769" s="1"/>
      <c r="M769" s="1"/>
      <c r="N769" s="1"/>
      <c r="O769" s="1"/>
      <c r="P769" s="1"/>
      <c r="Q769" s="1"/>
      <c r="R769" s="1"/>
      <c r="S769" s="1"/>
      <c r="T769" s="1"/>
      <c r="U769" s="2"/>
      <c r="V769" s="1"/>
      <c r="W769" s="1"/>
      <c r="X769" s="1"/>
      <c r="Y769" s="1"/>
      <c r="Z769" s="1"/>
    </row>
    <row r="770" spans="1:26" ht="24.75" customHeight="1">
      <c r="A770" s="1"/>
      <c r="B770" s="1"/>
      <c r="C770" s="1"/>
      <c r="D770" s="1"/>
      <c r="E770" s="1"/>
      <c r="F770" s="1"/>
      <c r="G770" s="1"/>
      <c r="H770" s="1"/>
      <c r="I770" s="1"/>
      <c r="J770" s="1"/>
      <c r="K770" s="1"/>
      <c r="L770" s="1"/>
      <c r="M770" s="1"/>
      <c r="N770" s="1"/>
      <c r="O770" s="1"/>
      <c r="P770" s="1"/>
      <c r="Q770" s="1"/>
      <c r="R770" s="1"/>
      <c r="S770" s="1"/>
      <c r="T770" s="1"/>
      <c r="U770" s="2"/>
      <c r="V770" s="1"/>
      <c r="W770" s="1"/>
      <c r="X770" s="1"/>
      <c r="Y770" s="1"/>
      <c r="Z770" s="1"/>
    </row>
    <row r="771" spans="1:26" ht="24.75" customHeight="1">
      <c r="A771" s="1"/>
      <c r="B771" s="1"/>
      <c r="C771" s="1"/>
      <c r="D771" s="1"/>
      <c r="E771" s="1"/>
      <c r="F771" s="1"/>
      <c r="G771" s="1"/>
      <c r="H771" s="1"/>
      <c r="I771" s="1"/>
      <c r="J771" s="1"/>
      <c r="K771" s="1"/>
      <c r="L771" s="1"/>
      <c r="M771" s="1"/>
      <c r="N771" s="1"/>
      <c r="O771" s="1"/>
      <c r="P771" s="1"/>
      <c r="Q771" s="1"/>
      <c r="R771" s="1"/>
      <c r="S771" s="1"/>
      <c r="T771" s="1"/>
      <c r="U771" s="2"/>
      <c r="V771" s="1"/>
      <c r="W771" s="1"/>
      <c r="X771" s="1"/>
      <c r="Y771" s="1"/>
      <c r="Z771" s="1"/>
    </row>
    <row r="772" spans="1:26" ht="24.75" customHeight="1">
      <c r="A772" s="1"/>
      <c r="B772" s="1"/>
      <c r="C772" s="1"/>
      <c r="D772" s="1"/>
      <c r="E772" s="1"/>
      <c r="F772" s="1"/>
      <c r="G772" s="1"/>
      <c r="H772" s="1"/>
      <c r="I772" s="1"/>
      <c r="J772" s="1"/>
      <c r="K772" s="1"/>
      <c r="L772" s="1"/>
      <c r="M772" s="1"/>
      <c r="N772" s="1"/>
      <c r="O772" s="1"/>
      <c r="P772" s="1"/>
      <c r="Q772" s="1"/>
      <c r="R772" s="1"/>
      <c r="S772" s="1"/>
      <c r="T772" s="1"/>
      <c r="U772" s="2"/>
      <c r="V772" s="1"/>
      <c r="W772" s="1"/>
      <c r="X772" s="1"/>
      <c r="Y772" s="1"/>
      <c r="Z772" s="1"/>
    </row>
    <row r="773" spans="1:26" ht="24.75" customHeight="1">
      <c r="A773" s="1"/>
      <c r="B773" s="1"/>
      <c r="C773" s="1"/>
      <c r="D773" s="1"/>
      <c r="E773" s="1"/>
      <c r="F773" s="1"/>
      <c r="G773" s="1"/>
      <c r="H773" s="1"/>
      <c r="I773" s="1"/>
      <c r="J773" s="1"/>
      <c r="K773" s="1"/>
      <c r="L773" s="1"/>
      <c r="M773" s="1"/>
      <c r="N773" s="1"/>
      <c r="O773" s="1"/>
      <c r="P773" s="1"/>
      <c r="Q773" s="1"/>
      <c r="R773" s="1"/>
      <c r="S773" s="1"/>
      <c r="T773" s="1"/>
      <c r="U773" s="2"/>
      <c r="V773" s="1"/>
      <c r="W773" s="1"/>
      <c r="X773" s="1"/>
      <c r="Y773" s="1"/>
      <c r="Z773" s="1"/>
    </row>
    <row r="774" spans="1:26" ht="24.75" customHeight="1">
      <c r="A774" s="1"/>
      <c r="B774" s="1"/>
      <c r="C774" s="1"/>
      <c r="D774" s="1"/>
      <c r="E774" s="1"/>
      <c r="F774" s="1"/>
      <c r="G774" s="1"/>
      <c r="H774" s="1"/>
      <c r="I774" s="1"/>
      <c r="J774" s="1"/>
      <c r="K774" s="1"/>
      <c r="L774" s="1"/>
      <c r="M774" s="1"/>
      <c r="N774" s="1"/>
      <c r="O774" s="1"/>
      <c r="P774" s="1"/>
      <c r="Q774" s="1"/>
      <c r="R774" s="1"/>
      <c r="S774" s="1"/>
      <c r="T774" s="1"/>
      <c r="U774" s="2"/>
      <c r="V774" s="1"/>
      <c r="W774" s="1"/>
      <c r="X774" s="1"/>
      <c r="Y774" s="1"/>
      <c r="Z774" s="1"/>
    </row>
    <row r="775" spans="1:26" ht="24.75" customHeight="1">
      <c r="A775" s="1"/>
      <c r="B775" s="1"/>
      <c r="C775" s="1"/>
      <c r="D775" s="1"/>
      <c r="E775" s="1"/>
      <c r="F775" s="1"/>
      <c r="G775" s="1"/>
      <c r="H775" s="1"/>
      <c r="I775" s="1"/>
      <c r="J775" s="1"/>
      <c r="K775" s="1"/>
      <c r="L775" s="1"/>
      <c r="M775" s="1"/>
      <c r="N775" s="1"/>
      <c r="O775" s="1"/>
      <c r="P775" s="1"/>
      <c r="Q775" s="1"/>
      <c r="R775" s="1"/>
      <c r="S775" s="1"/>
      <c r="T775" s="1"/>
      <c r="U775" s="2"/>
      <c r="V775" s="1"/>
      <c r="W775" s="1"/>
      <c r="X775" s="1"/>
      <c r="Y775" s="1"/>
      <c r="Z775" s="1"/>
    </row>
    <row r="776" spans="1:26" ht="24.75" customHeight="1">
      <c r="A776" s="1"/>
      <c r="B776" s="1"/>
      <c r="C776" s="1"/>
      <c r="D776" s="1"/>
      <c r="E776" s="1"/>
      <c r="F776" s="1"/>
      <c r="G776" s="1"/>
      <c r="H776" s="1"/>
      <c r="I776" s="1"/>
      <c r="J776" s="1"/>
      <c r="K776" s="1"/>
      <c r="L776" s="1"/>
      <c r="M776" s="1"/>
      <c r="N776" s="1"/>
      <c r="O776" s="1"/>
      <c r="P776" s="1"/>
      <c r="Q776" s="1"/>
      <c r="R776" s="1"/>
      <c r="S776" s="1"/>
      <c r="T776" s="1"/>
      <c r="U776" s="2"/>
      <c r="V776" s="1"/>
      <c r="W776" s="1"/>
      <c r="X776" s="1"/>
      <c r="Y776" s="1"/>
      <c r="Z776" s="1"/>
    </row>
    <row r="777" spans="1:26" ht="24.75" customHeight="1">
      <c r="A777" s="1"/>
      <c r="B777" s="1"/>
      <c r="C777" s="1"/>
      <c r="D777" s="1"/>
      <c r="E777" s="1"/>
      <c r="F777" s="1"/>
      <c r="G777" s="1"/>
      <c r="H777" s="1"/>
      <c r="I777" s="1"/>
      <c r="J777" s="1"/>
      <c r="K777" s="1"/>
      <c r="L777" s="1"/>
      <c r="M777" s="1"/>
      <c r="N777" s="1"/>
      <c r="O777" s="1"/>
      <c r="P777" s="1"/>
      <c r="Q777" s="1"/>
      <c r="R777" s="1"/>
      <c r="S777" s="1"/>
      <c r="T777" s="1"/>
      <c r="U777" s="2"/>
      <c r="V777" s="1"/>
      <c r="W777" s="1"/>
      <c r="X777" s="1"/>
      <c r="Y777" s="1"/>
      <c r="Z777" s="1"/>
    </row>
    <row r="778" spans="1:26" ht="24.75" customHeight="1">
      <c r="A778" s="1"/>
      <c r="B778" s="1"/>
      <c r="C778" s="1"/>
      <c r="D778" s="1"/>
      <c r="E778" s="1"/>
      <c r="F778" s="1"/>
      <c r="G778" s="1"/>
      <c r="H778" s="1"/>
      <c r="I778" s="1"/>
      <c r="J778" s="1"/>
      <c r="K778" s="1"/>
      <c r="L778" s="1"/>
      <c r="M778" s="1"/>
      <c r="N778" s="1"/>
      <c r="O778" s="1"/>
      <c r="P778" s="1"/>
      <c r="Q778" s="1"/>
      <c r="R778" s="1"/>
      <c r="S778" s="1"/>
      <c r="T778" s="1"/>
      <c r="U778" s="2"/>
      <c r="V778" s="1"/>
      <c r="W778" s="1"/>
      <c r="X778" s="1"/>
      <c r="Y778" s="1"/>
      <c r="Z778" s="1"/>
    </row>
    <row r="779" spans="1:26" ht="24.75" customHeight="1">
      <c r="A779" s="1"/>
      <c r="B779" s="1"/>
      <c r="C779" s="1"/>
      <c r="D779" s="1"/>
      <c r="E779" s="1"/>
      <c r="F779" s="1"/>
      <c r="G779" s="1"/>
      <c r="H779" s="1"/>
      <c r="I779" s="1"/>
      <c r="J779" s="1"/>
      <c r="K779" s="1"/>
      <c r="L779" s="1"/>
      <c r="M779" s="1"/>
      <c r="N779" s="1"/>
      <c r="O779" s="1"/>
      <c r="P779" s="1"/>
      <c r="Q779" s="1"/>
      <c r="R779" s="1"/>
      <c r="S779" s="1"/>
      <c r="T779" s="1"/>
      <c r="U779" s="2"/>
      <c r="V779" s="1"/>
      <c r="W779" s="1"/>
      <c r="X779" s="1"/>
      <c r="Y779" s="1"/>
      <c r="Z779" s="1"/>
    </row>
    <row r="780" spans="1:26" ht="24.75" customHeight="1">
      <c r="A780" s="1"/>
      <c r="B780" s="1"/>
      <c r="C780" s="1"/>
      <c r="D780" s="1"/>
      <c r="E780" s="1"/>
      <c r="F780" s="1"/>
      <c r="G780" s="1"/>
      <c r="H780" s="1"/>
      <c r="I780" s="1"/>
      <c r="J780" s="1"/>
      <c r="K780" s="1"/>
      <c r="L780" s="1"/>
      <c r="M780" s="1"/>
      <c r="N780" s="1"/>
      <c r="O780" s="1"/>
      <c r="P780" s="1"/>
      <c r="Q780" s="1"/>
      <c r="R780" s="1"/>
      <c r="S780" s="1"/>
      <c r="T780" s="1"/>
      <c r="U780" s="2"/>
      <c r="V780" s="1"/>
      <c r="W780" s="1"/>
      <c r="X780" s="1"/>
      <c r="Y780" s="1"/>
      <c r="Z780" s="1"/>
    </row>
    <row r="781" spans="1:26" ht="24.75" customHeight="1">
      <c r="A781" s="1"/>
      <c r="B781" s="1"/>
      <c r="C781" s="1"/>
      <c r="D781" s="1"/>
      <c r="E781" s="1"/>
      <c r="F781" s="1"/>
      <c r="G781" s="1"/>
      <c r="H781" s="1"/>
      <c r="I781" s="1"/>
      <c r="J781" s="1"/>
      <c r="K781" s="1"/>
      <c r="L781" s="1"/>
      <c r="M781" s="1"/>
      <c r="N781" s="1"/>
      <c r="O781" s="1"/>
      <c r="P781" s="1"/>
      <c r="Q781" s="1"/>
      <c r="R781" s="1"/>
      <c r="S781" s="1"/>
      <c r="T781" s="1"/>
      <c r="U781" s="2"/>
      <c r="V781" s="1"/>
      <c r="W781" s="1"/>
      <c r="X781" s="1"/>
      <c r="Y781" s="1"/>
      <c r="Z781" s="1"/>
    </row>
    <row r="782" spans="1:26" ht="24.75" customHeight="1">
      <c r="A782" s="1"/>
      <c r="B782" s="1"/>
      <c r="C782" s="1"/>
      <c r="D782" s="1"/>
      <c r="E782" s="1"/>
      <c r="F782" s="1"/>
      <c r="G782" s="1"/>
      <c r="H782" s="1"/>
      <c r="I782" s="1"/>
      <c r="J782" s="1"/>
      <c r="K782" s="1"/>
      <c r="L782" s="1"/>
      <c r="M782" s="1"/>
      <c r="N782" s="1"/>
      <c r="O782" s="1"/>
      <c r="P782" s="1"/>
      <c r="Q782" s="1"/>
      <c r="R782" s="1"/>
      <c r="S782" s="1"/>
      <c r="T782" s="1"/>
      <c r="U782" s="2"/>
      <c r="V782" s="1"/>
      <c r="W782" s="1"/>
      <c r="X782" s="1"/>
      <c r="Y782" s="1"/>
      <c r="Z782" s="1"/>
    </row>
    <row r="783" spans="1:26" ht="24.75" customHeight="1">
      <c r="A783" s="1"/>
      <c r="B783" s="1"/>
      <c r="C783" s="1"/>
      <c r="D783" s="1"/>
      <c r="E783" s="1"/>
      <c r="F783" s="1"/>
      <c r="G783" s="1"/>
      <c r="H783" s="1"/>
      <c r="I783" s="1"/>
      <c r="J783" s="1"/>
      <c r="K783" s="1"/>
      <c r="L783" s="1"/>
      <c r="M783" s="1"/>
      <c r="N783" s="1"/>
      <c r="O783" s="1"/>
      <c r="P783" s="1"/>
      <c r="Q783" s="1"/>
      <c r="R783" s="1"/>
      <c r="S783" s="1"/>
      <c r="T783" s="1"/>
      <c r="U783" s="2"/>
      <c r="V783" s="1"/>
      <c r="W783" s="1"/>
      <c r="X783" s="1"/>
      <c r="Y783" s="1"/>
      <c r="Z783" s="1"/>
    </row>
    <row r="784" spans="1:26" ht="24.75" customHeight="1">
      <c r="A784" s="1"/>
      <c r="B784" s="1"/>
      <c r="C784" s="1"/>
      <c r="D784" s="1"/>
      <c r="E784" s="1"/>
      <c r="F784" s="1"/>
      <c r="G784" s="1"/>
      <c r="H784" s="1"/>
      <c r="I784" s="1"/>
      <c r="J784" s="1"/>
      <c r="K784" s="1"/>
      <c r="L784" s="1"/>
      <c r="M784" s="1"/>
      <c r="N784" s="1"/>
      <c r="O784" s="1"/>
      <c r="P784" s="1"/>
      <c r="Q784" s="1"/>
      <c r="R784" s="1"/>
      <c r="S784" s="1"/>
      <c r="T784" s="1"/>
      <c r="U784" s="2"/>
      <c r="V784" s="1"/>
      <c r="W784" s="1"/>
      <c r="X784" s="1"/>
      <c r="Y784" s="1"/>
      <c r="Z784" s="1"/>
    </row>
    <row r="785" spans="1:26" ht="24.75" customHeight="1">
      <c r="A785" s="1"/>
      <c r="B785" s="1"/>
      <c r="C785" s="1"/>
      <c r="D785" s="1"/>
      <c r="E785" s="1"/>
      <c r="F785" s="1"/>
      <c r="G785" s="1"/>
      <c r="H785" s="1"/>
      <c r="I785" s="1"/>
      <c r="J785" s="1"/>
      <c r="K785" s="1"/>
      <c r="L785" s="1"/>
      <c r="M785" s="1"/>
      <c r="N785" s="1"/>
      <c r="O785" s="1"/>
      <c r="P785" s="1"/>
      <c r="Q785" s="1"/>
      <c r="R785" s="1"/>
      <c r="S785" s="1"/>
      <c r="T785" s="1"/>
      <c r="U785" s="2"/>
      <c r="V785" s="1"/>
      <c r="W785" s="1"/>
      <c r="X785" s="1"/>
      <c r="Y785" s="1"/>
      <c r="Z785" s="1"/>
    </row>
    <row r="786" spans="1:26" ht="24.75" customHeight="1">
      <c r="A786" s="1"/>
      <c r="B786" s="1"/>
      <c r="C786" s="1"/>
      <c r="D786" s="1"/>
      <c r="E786" s="1"/>
      <c r="F786" s="1"/>
      <c r="G786" s="1"/>
      <c r="H786" s="1"/>
      <c r="I786" s="1"/>
      <c r="J786" s="1"/>
      <c r="K786" s="1"/>
      <c r="L786" s="1"/>
      <c r="M786" s="1"/>
      <c r="N786" s="1"/>
      <c r="O786" s="1"/>
      <c r="P786" s="1"/>
      <c r="Q786" s="1"/>
      <c r="R786" s="1"/>
      <c r="S786" s="1"/>
      <c r="T786" s="1"/>
      <c r="U786" s="2"/>
      <c r="V786" s="1"/>
      <c r="W786" s="1"/>
      <c r="X786" s="1"/>
      <c r="Y786" s="1"/>
      <c r="Z786" s="1"/>
    </row>
    <row r="787" spans="1:26" ht="24.75" customHeight="1">
      <c r="A787" s="1"/>
      <c r="B787" s="1"/>
      <c r="C787" s="1"/>
      <c r="D787" s="1"/>
      <c r="E787" s="1"/>
      <c r="F787" s="1"/>
      <c r="G787" s="1"/>
      <c r="H787" s="1"/>
      <c r="I787" s="1"/>
      <c r="J787" s="1"/>
      <c r="K787" s="1"/>
      <c r="L787" s="1"/>
      <c r="M787" s="1"/>
      <c r="N787" s="1"/>
      <c r="O787" s="1"/>
      <c r="P787" s="1"/>
      <c r="Q787" s="1"/>
      <c r="R787" s="1"/>
      <c r="S787" s="1"/>
      <c r="T787" s="1"/>
      <c r="U787" s="2"/>
      <c r="V787" s="1"/>
      <c r="W787" s="1"/>
      <c r="X787" s="1"/>
      <c r="Y787" s="1"/>
      <c r="Z787" s="1"/>
    </row>
    <row r="788" spans="1:26" ht="24.75" customHeight="1">
      <c r="A788" s="1"/>
      <c r="B788" s="1"/>
      <c r="C788" s="1"/>
      <c r="D788" s="1"/>
      <c r="E788" s="1"/>
      <c r="F788" s="1"/>
      <c r="G788" s="1"/>
      <c r="H788" s="1"/>
      <c r="I788" s="1"/>
      <c r="J788" s="1"/>
      <c r="K788" s="1"/>
      <c r="L788" s="1"/>
      <c r="M788" s="1"/>
      <c r="N788" s="1"/>
      <c r="O788" s="1"/>
      <c r="P788" s="1"/>
      <c r="Q788" s="1"/>
      <c r="R788" s="1"/>
      <c r="S788" s="1"/>
      <c r="T788" s="1"/>
      <c r="U788" s="2"/>
      <c r="V788" s="1"/>
      <c r="W788" s="1"/>
      <c r="X788" s="1"/>
      <c r="Y788" s="1"/>
      <c r="Z788" s="1"/>
    </row>
    <row r="789" spans="1:26" ht="24.75" customHeight="1">
      <c r="A789" s="1"/>
      <c r="B789" s="1"/>
      <c r="C789" s="1"/>
      <c r="D789" s="1"/>
      <c r="E789" s="1"/>
      <c r="F789" s="1"/>
      <c r="G789" s="1"/>
      <c r="H789" s="1"/>
      <c r="I789" s="1"/>
      <c r="J789" s="1"/>
      <c r="K789" s="1"/>
      <c r="L789" s="1"/>
      <c r="M789" s="1"/>
      <c r="N789" s="1"/>
      <c r="O789" s="1"/>
      <c r="P789" s="1"/>
      <c r="Q789" s="1"/>
      <c r="R789" s="1"/>
      <c r="S789" s="1"/>
      <c r="T789" s="1"/>
      <c r="U789" s="2"/>
      <c r="V789" s="1"/>
      <c r="W789" s="1"/>
      <c r="X789" s="1"/>
      <c r="Y789" s="1"/>
      <c r="Z789" s="1"/>
    </row>
    <row r="790" spans="1:26" ht="24.75" customHeight="1">
      <c r="A790" s="1"/>
      <c r="B790" s="1"/>
      <c r="C790" s="1"/>
      <c r="D790" s="1"/>
      <c r="E790" s="1"/>
      <c r="F790" s="1"/>
      <c r="G790" s="1"/>
      <c r="H790" s="1"/>
      <c r="I790" s="1"/>
      <c r="J790" s="1"/>
      <c r="K790" s="1"/>
      <c r="L790" s="1"/>
      <c r="M790" s="1"/>
      <c r="N790" s="1"/>
      <c r="O790" s="1"/>
      <c r="P790" s="1"/>
      <c r="Q790" s="1"/>
      <c r="R790" s="1"/>
      <c r="S790" s="1"/>
      <c r="T790" s="1"/>
      <c r="U790" s="2"/>
      <c r="V790" s="1"/>
      <c r="W790" s="1"/>
      <c r="X790" s="1"/>
      <c r="Y790" s="1"/>
      <c r="Z790" s="1"/>
    </row>
    <row r="791" spans="1:26" ht="24.75" customHeight="1">
      <c r="A791" s="1"/>
      <c r="B791" s="1"/>
      <c r="C791" s="1"/>
      <c r="D791" s="1"/>
      <c r="E791" s="1"/>
      <c r="F791" s="1"/>
      <c r="G791" s="1"/>
      <c r="H791" s="1"/>
      <c r="I791" s="1"/>
      <c r="J791" s="1"/>
      <c r="K791" s="1"/>
      <c r="L791" s="1"/>
      <c r="M791" s="1"/>
      <c r="N791" s="1"/>
      <c r="O791" s="1"/>
      <c r="P791" s="1"/>
      <c r="Q791" s="1"/>
      <c r="R791" s="1"/>
      <c r="S791" s="1"/>
      <c r="T791" s="1"/>
      <c r="U791" s="2"/>
      <c r="V791" s="1"/>
      <c r="W791" s="1"/>
      <c r="X791" s="1"/>
      <c r="Y791" s="1"/>
      <c r="Z791" s="1"/>
    </row>
    <row r="792" spans="1:26" ht="24.75" customHeight="1">
      <c r="A792" s="1"/>
      <c r="B792" s="1"/>
      <c r="C792" s="1"/>
      <c r="D792" s="1"/>
      <c r="E792" s="1"/>
      <c r="F792" s="1"/>
      <c r="G792" s="1"/>
      <c r="H792" s="1"/>
      <c r="I792" s="1"/>
      <c r="J792" s="1"/>
      <c r="K792" s="1"/>
      <c r="L792" s="1"/>
      <c r="M792" s="1"/>
      <c r="N792" s="1"/>
      <c r="O792" s="1"/>
      <c r="P792" s="1"/>
      <c r="Q792" s="1"/>
      <c r="R792" s="1"/>
      <c r="S792" s="1"/>
      <c r="T792" s="1"/>
      <c r="U792" s="2"/>
      <c r="V792" s="1"/>
      <c r="W792" s="1"/>
      <c r="X792" s="1"/>
      <c r="Y792" s="1"/>
      <c r="Z792" s="1"/>
    </row>
    <row r="793" spans="1:26" ht="24.75" customHeight="1">
      <c r="A793" s="1"/>
      <c r="B793" s="1"/>
      <c r="C793" s="1"/>
      <c r="D793" s="1"/>
      <c r="E793" s="1"/>
      <c r="F793" s="1"/>
      <c r="G793" s="1"/>
      <c r="H793" s="1"/>
      <c r="I793" s="1"/>
      <c r="J793" s="1"/>
      <c r="K793" s="1"/>
      <c r="L793" s="1"/>
      <c r="M793" s="1"/>
      <c r="N793" s="1"/>
      <c r="O793" s="1"/>
      <c r="P793" s="1"/>
      <c r="Q793" s="1"/>
      <c r="R793" s="1"/>
      <c r="S793" s="1"/>
      <c r="T793" s="1"/>
      <c r="U793" s="2"/>
      <c r="V793" s="1"/>
      <c r="W793" s="1"/>
      <c r="X793" s="1"/>
      <c r="Y793" s="1"/>
      <c r="Z793" s="1"/>
    </row>
    <row r="794" spans="1:26" ht="24.75" customHeight="1">
      <c r="A794" s="1"/>
      <c r="B794" s="1"/>
      <c r="C794" s="1"/>
      <c r="D794" s="1"/>
      <c r="E794" s="1"/>
      <c r="F794" s="1"/>
      <c r="G794" s="1"/>
      <c r="H794" s="1"/>
      <c r="I794" s="1"/>
      <c r="J794" s="1"/>
      <c r="K794" s="1"/>
      <c r="L794" s="1"/>
      <c r="M794" s="1"/>
      <c r="N794" s="1"/>
      <c r="O794" s="1"/>
      <c r="P794" s="1"/>
      <c r="Q794" s="1"/>
      <c r="R794" s="1"/>
      <c r="S794" s="1"/>
      <c r="T794" s="1"/>
      <c r="U794" s="2"/>
      <c r="V794" s="1"/>
      <c r="W794" s="1"/>
      <c r="X794" s="1"/>
      <c r="Y794" s="1"/>
      <c r="Z794" s="1"/>
    </row>
    <row r="795" spans="1:26" ht="24.75" customHeight="1">
      <c r="A795" s="1"/>
      <c r="B795" s="1"/>
      <c r="C795" s="1"/>
      <c r="D795" s="1"/>
      <c r="E795" s="1"/>
      <c r="F795" s="1"/>
      <c r="G795" s="1"/>
      <c r="H795" s="1"/>
      <c r="I795" s="1"/>
      <c r="J795" s="1"/>
      <c r="K795" s="1"/>
      <c r="L795" s="1"/>
      <c r="M795" s="1"/>
      <c r="N795" s="1"/>
      <c r="O795" s="1"/>
      <c r="P795" s="1"/>
      <c r="Q795" s="1"/>
      <c r="R795" s="1"/>
      <c r="S795" s="1"/>
      <c r="T795" s="1"/>
      <c r="U795" s="2"/>
      <c r="V795" s="1"/>
      <c r="W795" s="1"/>
      <c r="X795" s="1"/>
      <c r="Y795" s="1"/>
      <c r="Z795" s="1"/>
    </row>
    <row r="796" spans="1:26" ht="24.75" customHeight="1">
      <c r="A796" s="1"/>
      <c r="B796" s="1"/>
      <c r="C796" s="1"/>
      <c r="D796" s="1"/>
      <c r="E796" s="1"/>
      <c r="F796" s="1"/>
      <c r="G796" s="1"/>
      <c r="H796" s="1"/>
      <c r="I796" s="1"/>
      <c r="J796" s="1"/>
      <c r="K796" s="1"/>
      <c r="L796" s="1"/>
      <c r="M796" s="1"/>
      <c r="N796" s="1"/>
      <c r="O796" s="1"/>
      <c r="P796" s="1"/>
      <c r="Q796" s="1"/>
      <c r="R796" s="1"/>
      <c r="S796" s="1"/>
      <c r="T796" s="1"/>
      <c r="U796" s="2"/>
      <c r="V796" s="1"/>
      <c r="W796" s="1"/>
      <c r="X796" s="1"/>
      <c r="Y796" s="1"/>
      <c r="Z796" s="1"/>
    </row>
    <row r="797" spans="1:26" ht="24.75" customHeight="1">
      <c r="A797" s="1"/>
      <c r="B797" s="1"/>
      <c r="C797" s="1"/>
      <c r="D797" s="1"/>
      <c r="E797" s="1"/>
      <c r="F797" s="1"/>
      <c r="G797" s="1"/>
      <c r="H797" s="1"/>
      <c r="I797" s="1"/>
      <c r="J797" s="1"/>
      <c r="K797" s="1"/>
      <c r="L797" s="1"/>
      <c r="M797" s="1"/>
      <c r="N797" s="1"/>
      <c r="O797" s="1"/>
      <c r="P797" s="1"/>
      <c r="Q797" s="1"/>
      <c r="R797" s="1"/>
      <c r="S797" s="1"/>
      <c r="T797" s="1"/>
      <c r="U797" s="2"/>
      <c r="V797" s="1"/>
      <c r="W797" s="1"/>
      <c r="X797" s="1"/>
      <c r="Y797" s="1"/>
      <c r="Z797" s="1"/>
    </row>
    <row r="798" spans="1:26" ht="24.75" customHeight="1">
      <c r="A798" s="1"/>
      <c r="B798" s="1"/>
      <c r="C798" s="1"/>
      <c r="D798" s="1"/>
      <c r="E798" s="1"/>
      <c r="F798" s="1"/>
      <c r="G798" s="1"/>
      <c r="H798" s="1"/>
      <c r="I798" s="1"/>
      <c r="J798" s="1"/>
      <c r="K798" s="1"/>
      <c r="L798" s="1"/>
      <c r="M798" s="1"/>
      <c r="N798" s="1"/>
      <c r="O798" s="1"/>
      <c r="P798" s="1"/>
      <c r="Q798" s="1"/>
      <c r="R798" s="1"/>
      <c r="S798" s="1"/>
      <c r="T798" s="1"/>
      <c r="U798" s="2"/>
      <c r="V798" s="1"/>
      <c r="W798" s="1"/>
      <c r="X798" s="1"/>
      <c r="Y798" s="1"/>
      <c r="Z798" s="1"/>
    </row>
    <row r="799" spans="1:26" ht="24.75" customHeight="1">
      <c r="A799" s="1"/>
      <c r="B799" s="1"/>
      <c r="C799" s="1"/>
      <c r="D799" s="1"/>
      <c r="E799" s="1"/>
      <c r="F799" s="1"/>
      <c r="G799" s="1"/>
      <c r="H799" s="1"/>
      <c r="I799" s="1"/>
      <c r="J799" s="1"/>
      <c r="K799" s="1"/>
      <c r="L799" s="1"/>
      <c r="M799" s="1"/>
      <c r="N799" s="1"/>
      <c r="O799" s="1"/>
      <c r="P799" s="1"/>
      <c r="Q799" s="1"/>
      <c r="R799" s="1"/>
      <c r="S799" s="1"/>
      <c r="T799" s="1"/>
      <c r="U799" s="2"/>
      <c r="V799" s="1"/>
      <c r="W799" s="1"/>
      <c r="X799" s="1"/>
      <c r="Y799" s="1"/>
      <c r="Z799" s="1"/>
    </row>
    <row r="800" spans="1:26" ht="24.75" customHeight="1">
      <c r="A800" s="1"/>
      <c r="B800" s="1"/>
      <c r="C800" s="1"/>
      <c r="D800" s="1"/>
      <c r="E800" s="1"/>
      <c r="F800" s="1"/>
      <c r="G800" s="1"/>
      <c r="H800" s="1"/>
      <c r="I800" s="1"/>
      <c r="J800" s="1"/>
      <c r="K800" s="1"/>
      <c r="L800" s="1"/>
      <c r="M800" s="1"/>
      <c r="N800" s="1"/>
      <c r="O800" s="1"/>
      <c r="P800" s="1"/>
      <c r="Q800" s="1"/>
      <c r="R800" s="1"/>
      <c r="S800" s="1"/>
      <c r="T800" s="1"/>
      <c r="U800" s="2"/>
      <c r="V800" s="1"/>
      <c r="W800" s="1"/>
      <c r="X800" s="1"/>
      <c r="Y800" s="1"/>
      <c r="Z800" s="1"/>
    </row>
    <row r="801" spans="1:26" ht="24.75" customHeight="1">
      <c r="A801" s="1"/>
      <c r="B801" s="1"/>
      <c r="C801" s="1"/>
      <c r="D801" s="1"/>
      <c r="E801" s="1"/>
      <c r="F801" s="1"/>
      <c r="G801" s="1"/>
      <c r="H801" s="1"/>
      <c r="I801" s="1"/>
      <c r="J801" s="1"/>
      <c r="K801" s="1"/>
      <c r="L801" s="1"/>
      <c r="M801" s="1"/>
      <c r="N801" s="1"/>
      <c r="O801" s="1"/>
      <c r="P801" s="1"/>
      <c r="Q801" s="1"/>
      <c r="R801" s="1"/>
      <c r="S801" s="1"/>
      <c r="T801" s="1"/>
      <c r="U801" s="2"/>
      <c r="V801" s="1"/>
      <c r="W801" s="1"/>
      <c r="X801" s="1"/>
      <c r="Y801" s="1"/>
      <c r="Z801" s="1"/>
    </row>
    <row r="802" spans="1:26" ht="24.75" customHeight="1">
      <c r="A802" s="1"/>
      <c r="B802" s="1"/>
      <c r="C802" s="1"/>
      <c r="D802" s="1"/>
      <c r="E802" s="1"/>
      <c r="F802" s="1"/>
      <c r="G802" s="1"/>
      <c r="H802" s="1"/>
      <c r="I802" s="1"/>
      <c r="J802" s="1"/>
      <c r="K802" s="1"/>
      <c r="L802" s="1"/>
      <c r="M802" s="1"/>
      <c r="N802" s="1"/>
      <c r="O802" s="1"/>
      <c r="P802" s="1"/>
      <c r="Q802" s="1"/>
      <c r="R802" s="1"/>
      <c r="S802" s="1"/>
      <c r="T802" s="1"/>
      <c r="U802" s="2"/>
      <c r="V802" s="1"/>
      <c r="W802" s="1"/>
      <c r="X802" s="1"/>
      <c r="Y802" s="1"/>
      <c r="Z802" s="1"/>
    </row>
    <row r="803" spans="1:26" ht="24.75" customHeight="1">
      <c r="A803" s="1"/>
      <c r="B803" s="1"/>
      <c r="C803" s="1"/>
      <c r="D803" s="1"/>
      <c r="E803" s="1"/>
      <c r="F803" s="1"/>
      <c r="G803" s="1"/>
      <c r="H803" s="1"/>
      <c r="I803" s="1"/>
      <c r="J803" s="1"/>
      <c r="K803" s="1"/>
      <c r="L803" s="1"/>
      <c r="M803" s="1"/>
      <c r="N803" s="1"/>
      <c r="O803" s="1"/>
      <c r="P803" s="1"/>
      <c r="Q803" s="1"/>
      <c r="R803" s="1"/>
      <c r="S803" s="1"/>
      <c r="T803" s="1"/>
      <c r="U803" s="2"/>
      <c r="V803" s="1"/>
      <c r="W803" s="1"/>
      <c r="X803" s="1"/>
      <c r="Y803" s="1"/>
      <c r="Z803" s="1"/>
    </row>
    <row r="804" spans="1:26" ht="24.75" customHeight="1">
      <c r="A804" s="1"/>
      <c r="B804" s="1"/>
      <c r="C804" s="1"/>
      <c r="D804" s="1"/>
      <c r="E804" s="1"/>
      <c r="F804" s="1"/>
      <c r="G804" s="1"/>
      <c r="H804" s="1"/>
      <c r="I804" s="1"/>
      <c r="J804" s="1"/>
      <c r="K804" s="1"/>
      <c r="L804" s="1"/>
      <c r="M804" s="1"/>
      <c r="N804" s="1"/>
      <c r="O804" s="1"/>
      <c r="P804" s="1"/>
      <c r="Q804" s="1"/>
      <c r="R804" s="1"/>
      <c r="S804" s="1"/>
      <c r="T804" s="1"/>
      <c r="U804" s="2"/>
      <c r="V804" s="1"/>
      <c r="W804" s="1"/>
      <c r="X804" s="1"/>
      <c r="Y804" s="1"/>
      <c r="Z804" s="1"/>
    </row>
    <row r="805" spans="1:26" ht="24.75" customHeight="1">
      <c r="A805" s="1"/>
      <c r="B805" s="1"/>
      <c r="C805" s="1"/>
      <c r="D805" s="1"/>
      <c r="E805" s="1"/>
      <c r="F805" s="1"/>
      <c r="G805" s="1"/>
      <c r="H805" s="1"/>
      <c r="I805" s="1"/>
      <c r="J805" s="1"/>
      <c r="K805" s="1"/>
      <c r="L805" s="1"/>
      <c r="M805" s="1"/>
      <c r="N805" s="1"/>
      <c r="O805" s="1"/>
      <c r="P805" s="1"/>
      <c r="Q805" s="1"/>
      <c r="R805" s="1"/>
      <c r="S805" s="1"/>
      <c r="T805" s="1"/>
      <c r="U805" s="2"/>
      <c r="V805" s="1"/>
      <c r="W805" s="1"/>
      <c r="X805" s="1"/>
      <c r="Y805" s="1"/>
      <c r="Z805" s="1"/>
    </row>
    <row r="806" spans="1:26" ht="24.75" customHeight="1">
      <c r="A806" s="1"/>
      <c r="B806" s="1"/>
      <c r="C806" s="1"/>
      <c r="D806" s="1"/>
      <c r="E806" s="1"/>
      <c r="F806" s="1"/>
      <c r="G806" s="1"/>
      <c r="H806" s="1"/>
      <c r="I806" s="1"/>
      <c r="J806" s="1"/>
      <c r="K806" s="1"/>
      <c r="L806" s="1"/>
      <c r="M806" s="1"/>
      <c r="N806" s="1"/>
      <c r="O806" s="1"/>
      <c r="P806" s="1"/>
      <c r="Q806" s="1"/>
      <c r="R806" s="1"/>
      <c r="S806" s="1"/>
      <c r="T806" s="1"/>
      <c r="U806" s="2"/>
      <c r="V806" s="1"/>
      <c r="W806" s="1"/>
      <c r="X806" s="1"/>
      <c r="Y806" s="1"/>
      <c r="Z806" s="1"/>
    </row>
    <row r="807" spans="1:26" ht="24.75" customHeight="1">
      <c r="A807" s="1"/>
      <c r="B807" s="1"/>
      <c r="C807" s="1"/>
      <c r="D807" s="1"/>
      <c r="E807" s="1"/>
      <c r="F807" s="1"/>
      <c r="G807" s="1"/>
      <c r="H807" s="1"/>
      <c r="I807" s="1"/>
      <c r="J807" s="1"/>
      <c r="K807" s="1"/>
      <c r="L807" s="1"/>
      <c r="M807" s="1"/>
      <c r="N807" s="1"/>
      <c r="O807" s="1"/>
      <c r="P807" s="1"/>
      <c r="Q807" s="1"/>
      <c r="R807" s="1"/>
      <c r="S807" s="1"/>
      <c r="T807" s="1"/>
      <c r="U807" s="2"/>
      <c r="V807" s="1"/>
      <c r="W807" s="1"/>
      <c r="X807" s="1"/>
      <c r="Y807" s="1"/>
      <c r="Z807" s="1"/>
    </row>
    <row r="808" spans="1:26" ht="24.75" customHeight="1">
      <c r="A808" s="1"/>
      <c r="B808" s="1"/>
      <c r="C808" s="1"/>
      <c r="D808" s="1"/>
      <c r="E808" s="1"/>
      <c r="F808" s="1"/>
      <c r="G808" s="1"/>
      <c r="H808" s="1"/>
      <c r="I808" s="1"/>
      <c r="J808" s="1"/>
      <c r="K808" s="1"/>
      <c r="L808" s="1"/>
      <c r="M808" s="1"/>
      <c r="N808" s="1"/>
      <c r="O808" s="1"/>
      <c r="P808" s="1"/>
      <c r="Q808" s="1"/>
      <c r="R808" s="1"/>
      <c r="S808" s="1"/>
      <c r="T808" s="1"/>
      <c r="U808" s="2"/>
      <c r="V808" s="1"/>
      <c r="W808" s="1"/>
      <c r="X808" s="1"/>
      <c r="Y808" s="1"/>
      <c r="Z808" s="1"/>
    </row>
    <row r="809" spans="1:26" ht="24.75" customHeight="1">
      <c r="A809" s="1"/>
      <c r="B809" s="1"/>
      <c r="C809" s="1"/>
      <c r="D809" s="1"/>
      <c r="E809" s="1"/>
      <c r="F809" s="1"/>
      <c r="G809" s="1"/>
      <c r="H809" s="1"/>
      <c r="I809" s="1"/>
      <c r="J809" s="1"/>
      <c r="K809" s="1"/>
      <c r="L809" s="1"/>
      <c r="M809" s="1"/>
      <c r="N809" s="1"/>
      <c r="O809" s="1"/>
      <c r="P809" s="1"/>
      <c r="Q809" s="1"/>
      <c r="R809" s="1"/>
      <c r="S809" s="1"/>
      <c r="T809" s="1"/>
      <c r="U809" s="2"/>
      <c r="V809" s="1"/>
      <c r="W809" s="1"/>
      <c r="X809" s="1"/>
      <c r="Y809" s="1"/>
      <c r="Z809" s="1"/>
    </row>
    <row r="810" spans="1:26" ht="24.75" customHeight="1">
      <c r="A810" s="1"/>
      <c r="B810" s="1"/>
      <c r="C810" s="1"/>
      <c r="D810" s="1"/>
      <c r="E810" s="1"/>
      <c r="F810" s="1"/>
      <c r="G810" s="1"/>
      <c r="H810" s="1"/>
      <c r="I810" s="1"/>
      <c r="J810" s="1"/>
      <c r="K810" s="1"/>
      <c r="L810" s="1"/>
      <c r="M810" s="1"/>
      <c r="N810" s="1"/>
      <c r="O810" s="1"/>
      <c r="P810" s="1"/>
      <c r="Q810" s="1"/>
      <c r="R810" s="1"/>
      <c r="S810" s="1"/>
      <c r="T810" s="1"/>
      <c r="U810" s="2"/>
      <c r="V810" s="1"/>
      <c r="W810" s="1"/>
      <c r="X810" s="1"/>
      <c r="Y810" s="1"/>
      <c r="Z810" s="1"/>
    </row>
    <row r="811" spans="1:26" ht="24.75" customHeight="1">
      <c r="A811" s="1"/>
      <c r="B811" s="1"/>
      <c r="C811" s="1"/>
      <c r="D811" s="1"/>
      <c r="E811" s="1"/>
      <c r="F811" s="1"/>
      <c r="G811" s="1"/>
      <c r="H811" s="1"/>
      <c r="I811" s="1"/>
      <c r="J811" s="1"/>
      <c r="K811" s="1"/>
      <c r="L811" s="1"/>
      <c r="M811" s="1"/>
      <c r="N811" s="1"/>
      <c r="O811" s="1"/>
      <c r="P811" s="1"/>
      <c r="Q811" s="1"/>
      <c r="R811" s="1"/>
      <c r="S811" s="1"/>
      <c r="T811" s="1"/>
      <c r="U811" s="2"/>
      <c r="V811" s="1"/>
      <c r="W811" s="1"/>
      <c r="X811" s="1"/>
      <c r="Y811" s="1"/>
      <c r="Z811" s="1"/>
    </row>
    <row r="812" spans="1:26" ht="24.75" customHeight="1">
      <c r="A812" s="1"/>
      <c r="B812" s="1"/>
      <c r="C812" s="1"/>
      <c r="D812" s="1"/>
      <c r="E812" s="1"/>
      <c r="F812" s="1"/>
      <c r="G812" s="1"/>
      <c r="H812" s="1"/>
      <c r="I812" s="1"/>
      <c r="J812" s="1"/>
      <c r="K812" s="1"/>
      <c r="L812" s="1"/>
      <c r="M812" s="1"/>
      <c r="N812" s="1"/>
      <c r="O812" s="1"/>
      <c r="P812" s="1"/>
      <c r="Q812" s="1"/>
      <c r="R812" s="1"/>
      <c r="S812" s="1"/>
      <c r="T812" s="1"/>
      <c r="U812" s="2"/>
      <c r="V812" s="1"/>
      <c r="W812" s="1"/>
      <c r="X812" s="1"/>
      <c r="Y812" s="1"/>
      <c r="Z812" s="1"/>
    </row>
    <row r="813" spans="1:26" ht="24.75" customHeight="1">
      <c r="A813" s="1"/>
      <c r="B813" s="1"/>
      <c r="C813" s="1"/>
      <c r="D813" s="1"/>
      <c r="E813" s="1"/>
      <c r="F813" s="1"/>
      <c r="G813" s="1"/>
      <c r="H813" s="1"/>
      <c r="I813" s="1"/>
      <c r="J813" s="1"/>
      <c r="K813" s="1"/>
      <c r="L813" s="1"/>
      <c r="M813" s="1"/>
      <c r="N813" s="1"/>
      <c r="O813" s="1"/>
      <c r="P813" s="1"/>
      <c r="Q813" s="1"/>
      <c r="R813" s="1"/>
      <c r="S813" s="1"/>
      <c r="T813" s="1"/>
      <c r="U813" s="2"/>
      <c r="V813" s="1"/>
      <c r="W813" s="1"/>
      <c r="X813" s="1"/>
      <c r="Y813" s="1"/>
      <c r="Z813" s="1"/>
    </row>
    <row r="814" spans="1:26" ht="24.75" customHeight="1">
      <c r="A814" s="1"/>
      <c r="B814" s="1"/>
      <c r="C814" s="1"/>
      <c r="D814" s="1"/>
      <c r="E814" s="1"/>
      <c r="F814" s="1"/>
      <c r="G814" s="1"/>
      <c r="H814" s="1"/>
      <c r="I814" s="1"/>
      <c r="J814" s="1"/>
      <c r="K814" s="1"/>
      <c r="L814" s="1"/>
      <c r="M814" s="1"/>
      <c r="N814" s="1"/>
      <c r="O814" s="1"/>
      <c r="P814" s="1"/>
      <c r="Q814" s="1"/>
      <c r="R814" s="1"/>
      <c r="S814" s="1"/>
      <c r="T814" s="1"/>
      <c r="U814" s="2"/>
      <c r="V814" s="1"/>
      <c r="W814" s="1"/>
      <c r="X814" s="1"/>
      <c r="Y814" s="1"/>
      <c r="Z814" s="1"/>
    </row>
    <row r="815" spans="1:26" ht="24.75" customHeight="1">
      <c r="A815" s="1"/>
      <c r="B815" s="1"/>
      <c r="C815" s="1"/>
      <c r="D815" s="1"/>
      <c r="E815" s="1"/>
      <c r="F815" s="1"/>
      <c r="G815" s="1"/>
      <c r="H815" s="1"/>
      <c r="I815" s="1"/>
      <c r="J815" s="1"/>
      <c r="K815" s="1"/>
      <c r="L815" s="1"/>
      <c r="M815" s="1"/>
      <c r="N815" s="1"/>
      <c r="O815" s="1"/>
      <c r="P815" s="1"/>
      <c r="Q815" s="1"/>
      <c r="R815" s="1"/>
      <c r="S815" s="1"/>
      <c r="T815" s="1"/>
      <c r="U815" s="2"/>
      <c r="V815" s="1"/>
      <c r="W815" s="1"/>
      <c r="X815" s="1"/>
      <c r="Y815" s="1"/>
      <c r="Z815" s="1"/>
    </row>
    <row r="816" spans="1:26" ht="24.75" customHeight="1">
      <c r="A816" s="1"/>
      <c r="B816" s="1"/>
      <c r="C816" s="1"/>
      <c r="D816" s="1"/>
      <c r="E816" s="1"/>
      <c r="F816" s="1"/>
      <c r="G816" s="1"/>
      <c r="H816" s="1"/>
      <c r="I816" s="1"/>
      <c r="J816" s="1"/>
      <c r="K816" s="1"/>
      <c r="L816" s="1"/>
      <c r="M816" s="1"/>
      <c r="N816" s="1"/>
      <c r="O816" s="1"/>
      <c r="P816" s="1"/>
      <c r="Q816" s="1"/>
      <c r="R816" s="1"/>
      <c r="S816" s="1"/>
      <c r="T816" s="1"/>
      <c r="U816" s="2"/>
      <c r="V816" s="1"/>
      <c r="W816" s="1"/>
      <c r="X816" s="1"/>
      <c r="Y816" s="1"/>
      <c r="Z816" s="1"/>
    </row>
    <row r="817" spans="1:26" ht="24.75" customHeight="1">
      <c r="A817" s="1"/>
      <c r="B817" s="1"/>
      <c r="C817" s="1"/>
      <c r="D817" s="1"/>
      <c r="E817" s="1"/>
      <c r="F817" s="1"/>
      <c r="G817" s="1"/>
      <c r="H817" s="1"/>
      <c r="I817" s="1"/>
      <c r="J817" s="1"/>
      <c r="K817" s="1"/>
      <c r="L817" s="1"/>
      <c r="M817" s="1"/>
      <c r="N817" s="1"/>
      <c r="O817" s="1"/>
      <c r="P817" s="1"/>
      <c r="Q817" s="1"/>
      <c r="R817" s="1"/>
      <c r="S817" s="1"/>
      <c r="T817" s="1"/>
      <c r="U817" s="2"/>
      <c r="V817" s="1"/>
      <c r="W817" s="1"/>
      <c r="X817" s="1"/>
      <c r="Y817" s="1"/>
      <c r="Z817" s="1"/>
    </row>
    <row r="818" spans="1:26" ht="24.75" customHeight="1">
      <c r="A818" s="1"/>
      <c r="B818" s="1"/>
      <c r="C818" s="1"/>
      <c r="D818" s="1"/>
      <c r="E818" s="1"/>
      <c r="F818" s="1"/>
      <c r="G818" s="1"/>
      <c r="H818" s="1"/>
      <c r="I818" s="1"/>
      <c r="J818" s="1"/>
      <c r="K818" s="1"/>
      <c r="L818" s="1"/>
      <c r="M818" s="1"/>
      <c r="N818" s="1"/>
      <c r="O818" s="1"/>
      <c r="P818" s="1"/>
      <c r="Q818" s="1"/>
      <c r="R818" s="1"/>
      <c r="S818" s="1"/>
      <c r="T818" s="1"/>
      <c r="U818" s="2"/>
      <c r="V818" s="1"/>
      <c r="W818" s="1"/>
      <c r="X818" s="1"/>
      <c r="Y818" s="1"/>
      <c r="Z818" s="1"/>
    </row>
    <row r="819" spans="1:26" ht="24.75" customHeight="1">
      <c r="A819" s="1"/>
      <c r="B819" s="1"/>
      <c r="C819" s="1"/>
      <c r="D819" s="1"/>
      <c r="E819" s="1"/>
      <c r="F819" s="1"/>
      <c r="G819" s="1"/>
      <c r="H819" s="1"/>
      <c r="I819" s="1"/>
      <c r="J819" s="1"/>
      <c r="K819" s="1"/>
      <c r="L819" s="1"/>
      <c r="M819" s="1"/>
      <c r="N819" s="1"/>
      <c r="O819" s="1"/>
      <c r="P819" s="1"/>
      <c r="Q819" s="1"/>
      <c r="R819" s="1"/>
      <c r="S819" s="1"/>
      <c r="T819" s="1"/>
      <c r="U819" s="2"/>
      <c r="V819" s="1"/>
      <c r="W819" s="1"/>
      <c r="X819" s="1"/>
      <c r="Y819" s="1"/>
      <c r="Z819" s="1"/>
    </row>
    <row r="820" spans="1:26" ht="24.75" customHeight="1">
      <c r="A820" s="1"/>
      <c r="B820" s="1"/>
      <c r="C820" s="1"/>
      <c r="D820" s="1"/>
      <c r="E820" s="1"/>
      <c r="F820" s="1"/>
      <c r="G820" s="1"/>
      <c r="H820" s="1"/>
      <c r="I820" s="1"/>
      <c r="J820" s="1"/>
      <c r="K820" s="1"/>
      <c r="L820" s="1"/>
      <c r="M820" s="1"/>
      <c r="N820" s="1"/>
      <c r="O820" s="1"/>
      <c r="P820" s="1"/>
      <c r="Q820" s="1"/>
      <c r="R820" s="1"/>
      <c r="S820" s="1"/>
      <c r="T820" s="1"/>
      <c r="U820" s="2"/>
      <c r="V820" s="1"/>
      <c r="W820" s="1"/>
      <c r="X820" s="1"/>
      <c r="Y820" s="1"/>
      <c r="Z820" s="1"/>
    </row>
    <row r="821" spans="1:26" ht="24.75" customHeight="1">
      <c r="A821" s="1"/>
      <c r="B821" s="1"/>
      <c r="C821" s="1"/>
      <c r="D821" s="1"/>
      <c r="E821" s="1"/>
      <c r="F821" s="1"/>
      <c r="G821" s="1"/>
      <c r="H821" s="1"/>
      <c r="I821" s="1"/>
      <c r="J821" s="1"/>
      <c r="K821" s="1"/>
      <c r="L821" s="1"/>
      <c r="M821" s="1"/>
      <c r="N821" s="1"/>
      <c r="O821" s="1"/>
      <c r="P821" s="1"/>
      <c r="Q821" s="1"/>
      <c r="R821" s="1"/>
      <c r="S821" s="1"/>
      <c r="T821" s="1"/>
      <c r="U821" s="2"/>
      <c r="V821" s="1"/>
      <c r="W821" s="1"/>
      <c r="X821" s="1"/>
      <c r="Y821" s="1"/>
      <c r="Z821" s="1"/>
    </row>
    <row r="822" spans="1:26" ht="24.75" customHeight="1">
      <c r="A822" s="1"/>
      <c r="B822" s="1"/>
      <c r="C822" s="1"/>
      <c r="D822" s="1"/>
      <c r="E822" s="1"/>
      <c r="F822" s="1"/>
      <c r="G822" s="1"/>
      <c r="H822" s="1"/>
      <c r="I822" s="1"/>
      <c r="J822" s="1"/>
      <c r="K822" s="1"/>
      <c r="L822" s="1"/>
      <c r="M822" s="1"/>
      <c r="N822" s="1"/>
      <c r="O822" s="1"/>
      <c r="P822" s="1"/>
      <c r="Q822" s="1"/>
      <c r="R822" s="1"/>
      <c r="S822" s="1"/>
      <c r="T822" s="1"/>
      <c r="U822" s="2"/>
      <c r="V822" s="1"/>
      <c r="W822" s="1"/>
      <c r="X822" s="1"/>
      <c r="Y822" s="1"/>
      <c r="Z822" s="1"/>
    </row>
    <row r="823" spans="1:26" ht="24.75" customHeight="1">
      <c r="A823" s="1"/>
      <c r="B823" s="1"/>
      <c r="C823" s="1"/>
      <c r="D823" s="1"/>
      <c r="E823" s="1"/>
      <c r="F823" s="1"/>
      <c r="G823" s="1"/>
      <c r="H823" s="1"/>
      <c r="I823" s="1"/>
      <c r="J823" s="1"/>
      <c r="K823" s="1"/>
      <c r="L823" s="1"/>
      <c r="M823" s="1"/>
      <c r="N823" s="1"/>
      <c r="O823" s="1"/>
      <c r="P823" s="1"/>
      <c r="Q823" s="1"/>
      <c r="R823" s="1"/>
      <c r="S823" s="1"/>
      <c r="T823" s="1"/>
      <c r="U823" s="2"/>
      <c r="V823" s="1"/>
      <c r="W823" s="1"/>
      <c r="X823" s="1"/>
      <c r="Y823" s="1"/>
      <c r="Z823" s="1"/>
    </row>
    <row r="824" spans="1:26" ht="24.75" customHeight="1">
      <c r="A824" s="1"/>
      <c r="B824" s="1"/>
      <c r="C824" s="1"/>
      <c r="D824" s="1"/>
      <c r="E824" s="1"/>
      <c r="F824" s="1"/>
      <c r="G824" s="1"/>
      <c r="H824" s="1"/>
      <c r="I824" s="1"/>
      <c r="J824" s="1"/>
      <c r="K824" s="1"/>
      <c r="L824" s="1"/>
      <c r="M824" s="1"/>
      <c r="N824" s="1"/>
      <c r="O824" s="1"/>
      <c r="P824" s="1"/>
      <c r="Q824" s="1"/>
      <c r="R824" s="1"/>
      <c r="S824" s="1"/>
      <c r="T824" s="1"/>
      <c r="U824" s="2"/>
      <c r="V824" s="1"/>
      <c r="W824" s="1"/>
      <c r="X824" s="1"/>
      <c r="Y824" s="1"/>
      <c r="Z824" s="1"/>
    </row>
    <row r="825" spans="1:26" ht="24.75" customHeight="1">
      <c r="A825" s="1"/>
      <c r="B825" s="1"/>
      <c r="C825" s="1"/>
      <c r="D825" s="1"/>
      <c r="E825" s="1"/>
      <c r="F825" s="1"/>
      <c r="G825" s="1"/>
      <c r="H825" s="1"/>
      <c r="I825" s="1"/>
      <c r="J825" s="1"/>
      <c r="K825" s="1"/>
      <c r="L825" s="1"/>
      <c r="M825" s="1"/>
      <c r="N825" s="1"/>
      <c r="O825" s="1"/>
      <c r="P825" s="1"/>
      <c r="Q825" s="1"/>
      <c r="R825" s="1"/>
      <c r="S825" s="1"/>
      <c r="T825" s="1"/>
      <c r="U825" s="2"/>
      <c r="V825" s="1"/>
      <c r="W825" s="1"/>
      <c r="X825" s="1"/>
      <c r="Y825" s="1"/>
      <c r="Z825" s="1"/>
    </row>
    <row r="826" spans="1:26" ht="24.75" customHeight="1">
      <c r="A826" s="1"/>
      <c r="B826" s="1"/>
      <c r="C826" s="1"/>
      <c r="D826" s="1"/>
      <c r="E826" s="1"/>
      <c r="F826" s="1"/>
      <c r="G826" s="1"/>
      <c r="H826" s="1"/>
      <c r="I826" s="1"/>
      <c r="J826" s="1"/>
      <c r="K826" s="1"/>
      <c r="L826" s="1"/>
      <c r="M826" s="1"/>
      <c r="N826" s="1"/>
      <c r="O826" s="1"/>
      <c r="P826" s="1"/>
      <c r="Q826" s="1"/>
      <c r="R826" s="1"/>
      <c r="S826" s="1"/>
      <c r="T826" s="1"/>
      <c r="U826" s="2"/>
      <c r="V826" s="1"/>
      <c r="W826" s="1"/>
      <c r="X826" s="1"/>
      <c r="Y826" s="1"/>
      <c r="Z826" s="1"/>
    </row>
    <row r="827" spans="1:26" ht="24.75" customHeight="1">
      <c r="A827" s="1"/>
      <c r="B827" s="1"/>
      <c r="C827" s="1"/>
      <c r="D827" s="1"/>
      <c r="E827" s="1"/>
      <c r="F827" s="1"/>
      <c r="G827" s="1"/>
      <c r="H827" s="1"/>
      <c r="I827" s="1"/>
      <c r="J827" s="1"/>
      <c r="K827" s="1"/>
      <c r="L827" s="1"/>
      <c r="M827" s="1"/>
      <c r="N827" s="1"/>
      <c r="O827" s="1"/>
      <c r="P827" s="1"/>
      <c r="Q827" s="1"/>
      <c r="R827" s="1"/>
      <c r="S827" s="1"/>
      <c r="T827" s="1"/>
      <c r="U827" s="2"/>
      <c r="V827" s="1"/>
      <c r="W827" s="1"/>
      <c r="X827" s="1"/>
      <c r="Y827" s="1"/>
      <c r="Z827" s="1"/>
    </row>
    <row r="828" spans="1:26" ht="24.75" customHeight="1">
      <c r="A828" s="1"/>
      <c r="B828" s="1"/>
      <c r="C828" s="1"/>
      <c r="D828" s="1"/>
      <c r="E828" s="1"/>
      <c r="F828" s="1"/>
      <c r="G828" s="1"/>
      <c r="H828" s="1"/>
      <c r="I828" s="1"/>
      <c r="J828" s="1"/>
      <c r="K828" s="1"/>
      <c r="L828" s="1"/>
      <c r="M828" s="1"/>
      <c r="N828" s="1"/>
      <c r="O828" s="1"/>
      <c r="P828" s="1"/>
      <c r="Q828" s="1"/>
      <c r="R828" s="1"/>
      <c r="S828" s="1"/>
      <c r="T828" s="1"/>
      <c r="U828" s="2"/>
      <c r="V828" s="1"/>
      <c r="W828" s="1"/>
      <c r="X828" s="1"/>
      <c r="Y828" s="1"/>
      <c r="Z828" s="1"/>
    </row>
    <row r="829" spans="1:26" ht="24.75" customHeight="1">
      <c r="A829" s="1"/>
      <c r="B829" s="1"/>
      <c r="C829" s="1"/>
      <c r="D829" s="1"/>
      <c r="E829" s="1"/>
      <c r="F829" s="1"/>
      <c r="G829" s="1"/>
      <c r="H829" s="1"/>
      <c r="I829" s="1"/>
      <c r="J829" s="1"/>
      <c r="K829" s="1"/>
      <c r="L829" s="1"/>
      <c r="M829" s="1"/>
      <c r="N829" s="1"/>
      <c r="O829" s="1"/>
      <c r="P829" s="1"/>
      <c r="Q829" s="1"/>
      <c r="R829" s="1"/>
      <c r="S829" s="1"/>
      <c r="T829" s="1"/>
      <c r="U829" s="2"/>
      <c r="V829" s="1"/>
      <c r="W829" s="1"/>
      <c r="X829" s="1"/>
      <c r="Y829" s="1"/>
      <c r="Z829" s="1"/>
    </row>
    <row r="830" spans="1:26" ht="24.75" customHeight="1">
      <c r="A830" s="1"/>
      <c r="B830" s="1"/>
      <c r="C830" s="1"/>
      <c r="D830" s="1"/>
      <c r="E830" s="1"/>
      <c r="F830" s="1"/>
      <c r="G830" s="1"/>
      <c r="H830" s="1"/>
      <c r="I830" s="1"/>
      <c r="J830" s="1"/>
      <c r="K830" s="1"/>
      <c r="L830" s="1"/>
      <c r="M830" s="1"/>
      <c r="N830" s="1"/>
      <c r="O830" s="1"/>
      <c r="P830" s="1"/>
      <c r="Q830" s="1"/>
      <c r="R830" s="1"/>
      <c r="S830" s="1"/>
      <c r="T830" s="1"/>
      <c r="U830" s="2"/>
      <c r="V830" s="1"/>
      <c r="W830" s="1"/>
      <c r="X830" s="1"/>
      <c r="Y830" s="1"/>
      <c r="Z830" s="1"/>
    </row>
    <row r="831" spans="1:26" ht="24.75" customHeight="1">
      <c r="A831" s="1"/>
      <c r="B831" s="1"/>
      <c r="C831" s="1"/>
      <c r="D831" s="1"/>
      <c r="E831" s="1"/>
      <c r="F831" s="1"/>
      <c r="G831" s="1"/>
      <c r="H831" s="1"/>
      <c r="I831" s="1"/>
      <c r="J831" s="1"/>
      <c r="K831" s="1"/>
      <c r="L831" s="1"/>
      <c r="M831" s="1"/>
      <c r="N831" s="1"/>
      <c r="O831" s="1"/>
      <c r="P831" s="1"/>
      <c r="Q831" s="1"/>
      <c r="R831" s="1"/>
      <c r="S831" s="1"/>
      <c r="T831" s="1"/>
      <c r="U831" s="2"/>
      <c r="V831" s="1"/>
      <c r="W831" s="1"/>
      <c r="X831" s="1"/>
      <c r="Y831" s="1"/>
      <c r="Z831" s="1"/>
    </row>
    <row r="832" spans="1:26" ht="24.75" customHeight="1">
      <c r="A832" s="1"/>
      <c r="B832" s="1"/>
      <c r="C832" s="1"/>
      <c r="D832" s="1"/>
      <c r="E832" s="1"/>
      <c r="F832" s="1"/>
      <c r="G832" s="1"/>
      <c r="H832" s="1"/>
      <c r="I832" s="1"/>
      <c r="J832" s="1"/>
      <c r="K832" s="1"/>
      <c r="L832" s="1"/>
      <c r="M832" s="1"/>
      <c r="N832" s="1"/>
      <c r="O832" s="1"/>
      <c r="P832" s="1"/>
      <c r="Q832" s="1"/>
      <c r="R832" s="1"/>
      <c r="S832" s="1"/>
      <c r="T832" s="1"/>
      <c r="U832" s="2"/>
      <c r="V832" s="1"/>
      <c r="W832" s="1"/>
      <c r="X832" s="1"/>
      <c r="Y832" s="1"/>
      <c r="Z832" s="1"/>
    </row>
    <row r="833" spans="1:26" ht="24.75" customHeight="1">
      <c r="A833" s="1"/>
      <c r="B833" s="1"/>
      <c r="C833" s="1"/>
      <c r="D833" s="1"/>
      <c r="E833" s="1"/>
      <c r="F833" s="1"/>
      <c r="G833" s="1"/>
      <c r="H833" s="1"/>
      <c r="I833" s="1"/>
      <c r="J833" s="1"/>
      <c r="K833" s="1"/>
      <c r="L833" s="1"/>
      <c r="M833" s="1"/>
      <c r="N833" s="1"/>
      <c r="O833" s="1"/>
      <c r="P833" s="1"/>
      <c r="Q833" s="1"/>
      <c r="R833" s="1"/>
      <c r="S833" s="1"/>
      <c r="T833" s="1"/>
      <c r="U833" s="2"/>
      <c r="V833" s="1"/>
      <c r="W833" s="1"/>
      <c r="X833" s="1"/>
      <c r="Y833" s="1"/>
      <c r="Z833" s="1"/>
    </row>
    <row r="834" spans="1:26" ht="24.75" customHeight="1">
      <c r="A834" s="1"/>
      <c r="B834" s="1"/>
      <c r="C834" s="1"/>
      <c r="D834" s="1"/>
      <c r="E834" s="1"/>
      <c r="F834" s="1"/>
      <c r="G834" s="1"/>
      <c r="H834" s="1"/>
      <c r="I834" s="1"/>
      <c r="J834" s="1"/>
      <c r="K834" s="1"/>
      <c r="L834" s="1"/>
      <c r="M834" s="1"/>
      <c r="N834" s="1"/>
      <c r="O834" s="1"/>
      <c r="P834" s="1"/>
      <c r="Q834" s="1"/>
      <c r="R834" s="1"/>
      <c r="S834" s="1"/>
      <c r="T834" s="1"/>
      <c r="U834" s="2"/>
      <c r="V834" s="1"/>
      <c r="W834" s="1"/>
      <c r="X834" s="1"/>
      <c r="Y834" s="1"/>
      <c r="Z834" s="1"/>
    </row>
    <row r="835" spans="1:26" ht="24.75" customHeight="1">
      <c r="A835" s="1"/>
      <c r="B835" s="1"/>
      <c r="C835" s="1"/>
      <c r="D835" s="1"/>
      <c r="E835" s="1"/>
      <c r="F835" s="1"/>
      <c r="G835" s="1"/>
      <c r="H835" s="1"/>
      <c r="I835" s="1"/>
      <c r="J835" s="1"/>
      <c r="K835" s="1"/>
      <c r="L835" s="1"/>
      <c r="M835" s="1"/>
      <c r="N835" s="1"/>
      <c r="O835" s="1"/>
      <c r="P835" s="1"/>
      <c r="Q835" s="1"/>
      <c r="R835" s="1"/>
      <c r="S835" s="1"/>
      <c r="T835" s="1"/>
      <c r="U835" s="2"/>
      <c r="V835" s="1"/>
      <c r="W835" s="1"/>
      <c r="X835" s="1"/>
      <c r="Y835" s="1"/>
      <c r="Z835" s="1"/>
    </row>
    <row r="836" spans="1:26" ht="24.75" customHeight="1">
      <c r="A836" s="1"/>
      <c r="B836" s="1"/>
      <c r="C836" s="1"/>
      <c r="D836" s="1"/>
      <c r="E836" s="1"/>
      <c r="F836" s="1"/>
      <c r="G836" s="1"/>
      <c r="H836" s="1"/>
      <c r="I836" s="1"/>
      <c r="J836" s="1"/>
      <c r="K836" s="1"/>
      <c r="L836" s="1"/>
      <c r="M836" s="1"/>
      <c r="N836" s="1"/>
      <c r="O836" s="1"/>
      <c r="P836" s="1"/>
      <c r="Q836" s="1"/>
      <c r="R836" s="1"/>
      <c r="S836" s="1"/>
      <c r="T836" s="1"/>
      <c r="U836" s="2"/>
      <c r="V836" s="1"/>
      <c r="W836" s="1"/>
      <c r="X836" s="1"/>
      <c r="Y836" s="1"/>
      <c r="Z836" s="1"/>
    </row>
    <row r="837" spans="1:26" ht="24.75" customHeight="1">
      <c r="A837" s="1"/>
      <c r="B837" s="1"/>
      <c r="C837" s="1"/>
      <c r="D837" s="1"/>
      <c r="E837" s="1"/>
      <c r="F837" s="1"/>
      <c r="G837" s="1"/>
      <c r="H837" s="1"/>
      <c r="I837" s="1"/>
      <c r="J837" s="1"/>
      <c r="K837" s="1"/>
      <c r="L837" s="1"/>
      <c r="M837" s="1"/>
      <c r="N837" s="1"/>
      <c r="O837" s="1"/>
      <c r="P837" s="1"/>
      <c r="Q837" s="1"/>
      <c r="R837" s="1"/>
      <c r="S837" s="1"/>
      <c r="T837" s="1"/>
      <c r="U837" s="2"/>
      <c r="V837" s="1"/>
      <c r="W837" s="1"/>
      <c r="X837" s="1"/>
      <c r="Y837" s="1"/>
      <c r="Z837" s="1"/>
    </row>
    <row r="838" spans="1:26" ht="24.75" customHeight="1">
      <c r="A838" s="1"/>
      <c r="B838" s="1"/>
      <c r="C838" s="1"/>
      <c r="D838" s="1"/>
      <c r="E838" s="1"/>
      <c r="F838" s="1"/>
      <c r="G838" s="1"/>
      <c r="H838" s="1"/>
      <c r="I838" s="1"/>
      <c r="J838" s="1"/>
      <c r="K838" s="1"/>
      <c r="L838" s="1"/>
      <c r="M838" s="1"/>
      <c r="N838" s="1"/>
      <c r="O838" s="1"/>
      <c r="P838" s="1"/>
      <c r="Q838" s="1"/>
      <c r="R838" s="1"/>
      <c r="S838" s="1"/>
      <c r="T838" s="1"/>
      <c r="U838" s="2"/>
      <c r="V838" s="1"/>
      <c r="W838" s="1"/>
      <c r="X838" s="1"/>
      <c r="Y838" s="1"/>
      <c r="Z838" s="1"/>
    </row>
    <row r="839" spans="1:26" ht="24.75" customHeight="1">
      <c r="A839" s="1"/>
      <c r="B839" s="1"/>
      <c r="C839" s="1"/>
      <c r="D839" s="1"/>
      <c r="E839" s="1"/>
      <c r="F839" s="1"/>
      <c r="G839" s="1"/>
      <c r="H839" s="1"/>
      <c r="I839" s="1"/>
      <c r="J839" s="1"/>
      <c r="K839" s="1"/>
      <c r="L839" s="1"/>
      <c r="M839" s="1"/>
      <c r="N839" s="1"/>
      <c r="O839" s="1"/>
      <c r="P839" s="1"/>
      <c r="Q839" s="1"/>
      <c r="R839" s="1"/>
      <c r="S839" s="1"/>
      <c r="T839" s="1"/>
      <c r="U839" s="2"/>
      <c r="V839" s="1"/>
      <c r="W839" s="1"/>
      <c r="X839" s="1"/>
      <c r="Y839" s="1"/>
      <c r="Z839" s="1"/>
    </row>
    <row r="840" spans="1:26" ht="24.75" customHeight="1">
      <c r="A840" s="1"/>
      <c r="B840" s="1"/>
      <c r="C840" s="1"/>
      <c r="D840" s="1"/>
      <c r="E840" s="1"/>
      <c r="F840" s="1"/>
      <c r="G840" s="1"/>
      <c r="H840" s="1"/>
      <c r="I840" s="1"/>
      <c r="J840" s="1"/>
      <c r="K840" s="1"/>
      <c r="L840" s="1"/>
      <c r="M840" s="1"/>
      <c r="N840" s="1"/>
      <c r="O840" s="1"/>
      <c r="P840" s="1"/>
      <c r="Q840" s="1"/>
      <c r="R840" s="1"/>
      <c r="S840" s="1"/>
      <c r="T840" s="1"/>
      <c r="U840" s="2"/>
      <c r="V840" s="1"/>
      <c r="W840" s="1"/>
      <c r="X840" s="1"/>
      <c r="Y840" s="1"/>
      <c r="Z840" s="1"/>
    </row>
    <row r="841" spans="1:26" ht="24.75" customHeight="1">
      <c r="A841" s="1"/>
      <c r="B841" s="1"/>
      <c r="C841" s="1"/>
      <c r="D841" s="1"/>
      <c r="E841" s="1"/>
      <c r="F841" s="1"/>
      <c r="G841" s="1"/>
      <c r="H841" s="1"/>
      <c r="I841" s="1"/>
      <c r="J841" s="1"/>
      <c r="K841" s="1"/>
      <c r="L841" s="1"/>
      <c r="M841" s="1"/>
      <c r="N841" s="1"/>
      <c r="O841" s="1"/>
      <c r="P841" s="1"/>
      <c r="Q841" s="1"/>
      <c r="R841" s="1"/>
      <c r="S841" s="1"/>
      <c r="T841" s="1"/>
      <c r="U841" s="2"/>
      <c r="V841" s="1"/>
      <c r="W841" s="1"/>
      <c r="X841" s="1"/>
      <c r="Y841" s="1"/>
      <c r="Z841" s="1"/>
    </row>
    <row r="842" spans="1:26" ht="24.75" customHeight="1">
      <c r="A842" s="1"/>
      <c r="B842" s="1"/>
      <c r="C842" s="1"/>
      <c r="D842" s="1"/>
      <c r="E842" s="1"/>
      <c r="F842" s="1"/>
      <c r="G842" s="1"/>
      <c r="H842" s="1"/>
      <c r="I842" s="1"/>
      <c r="J842" s="1"/>
      <c r="K842" s="1"/>
      <c r="L842" s="1"/>
      <c r="M842" s="1"/>
      <c r="N842" s="1"/>
      <c r="O842" s="1"/>
      <c r="P842" s="1"/>
      <c r="Q842" s="1"/>
      <c r="R842" s="1"/>
      <c r="S842" s="1"/>
      <c r="T842" s="1"/>
      <c r="U842" s="2"/>
      <c r="V842" s="1"/>
      <c r="W842" s="1"/>
      <c r="X842" s="1"/>
      <c r="Y842" s="1"/>
      <c r="Z842" s="1"/>
    </row>
    <row r="843" spans="1:26" ht="24.75" customHeight="1">
      <c r="A843" s="1"/>
      <c r="B843" s="1"/>
      <c r="C843" s="1"/>
      <c r="D843" s="1"/>
      <c r="E843" s="1"/>
      <c r="F843" s="1"/>
      <c r="G843" s="1"/>
      <c r="H843" s="1"/>
      <c r="I843" s="1"/>
      <c r="J843" s="1"/>
      <c r="K843" s="1"/>
      <c r="L843" s="1"/>
      <c r="M843" s="1"/>
      <c r="N843" s="1"/>
      <c r="O843" s="1"/>
      <c r="P843" s="1"/>
      <c r="Q843" s="1"/>
      <c r="R843" s="1"/>
      <c r="S843" s="1"/>
      <c r="T843" s="1"/>
      <c r="U843" s="2"/>
      <c r="V843" s="1"/>
      <c r="W843" s="1"/>
      <c r="X843" s="1"/>
      <c r="Y843" s="1"/>
      <c r="Z843" s="1"/>
    </row>
    <row r="844" spans="1:26" ht="24.75" customHeight="1">
      <c r="A844" s="1"/>
      <c r="B844" s="1"/>
      <c r="C844" s="1"/>
      <c r="D844" s="1"/>
      <c r="E844" s="1"/>
      <c r="F844" s="1"/>
      <c r="G844" s="1"/>
      <c r="H844" s="1"/>
      <c r="I844" s="1"/>
      <c r="J844" s="1"/>
      <c r="K844" s="1"/>
      <c r="L844" s="1"/>
      <c r="M844" s="1"/>
      <c r="N844" s="1"/>
      <c r="O844" s="1"/>
      <c r="P844" s="1"/>
      <c r="Q844" s="1"/>
      <c r="R844" s="1"/>
      <c r="S844" s="1"/>
      <c r="T844" s="1"/>
      <c r="U844" s="2"/>
      <c r="V844" s="1"/>
      <c r="W844" s="1"/>
      <c r="X844" s="1"/>
      <c r="Y844" s="1"/>
      <c r="Z844" s="1"/>
    </row>
    <row r="845" spans="1:26" ht="24.75" customHeight="1">
      <c r="A845" s="1"/>
      <c r="B845" s="1"/>
      <c r="C845" s="1"/>
      <c r="D845" s="1"/>
      <c r="E845" s="1"/>
      <c r="F845" s="1"/>
      <c r="G845" s="1"/>
      <c r="H845" s="1"/>
      <c r="I845" s="1"/>
      <c r="J845" s="1"/>
      <c r="K845" s="1"/>
      <c r="L845" s="1"/>
      <c r="M845" s="1"/>
      <c r="N845" s="1"/>
      <c r="O845" s="1"/>
      <c r="P845" s="1"/>
      <c r="Q845" s="1"/>
      <c r="R845" s="1"/>
      <c r="S845" s="1"/>
      <c r="T845" s="1"/>
      <c r="U845" s="2"/>
      <c r="V845" s="1"/>
      <c r="W845" s="1"/>
      <c r="X845" s="1"/>
      <c r="Y845" s="1"/>
      <c r="Z845" s="1"/>
    </row>
    <row r="846" spans="1:26" ht="24.75" customHeight="1">
      <c r="A846" s="1"/>
      <c r="B846" s="1"/>
      <c r="C846" s="1"/>
      <c r="D846" s="1"/>
      <c r="E846" s="1"/>
      <c r="F846" s="1"/>
      <c r="G846" s="1"/>
      <c r="H846" s="1"/>
      <c r="I846" s="1"/>
      <c r="J846" s="1"/>
      <c r="K846" s="1"/>
      <c r="L846" s="1"/>
      <c r="M846" s="1"/>
      <c r="N846" s="1"/>
      <c r="O846" s="1"/>
      <c r="P846" s="1"/>
      <c r="Q846" s="1"/>
      <c r="R846" s="1"/>
      <c r="S846" s="1"/>
      <c r="T846" s="1"/>
      <c r="U846" s="2"/>
      <c r="V846" s="1"/>
      <c r="W846" s="1"/>
      <c r="X846" s="1"/>
      <c r="Y846" s="1"/>
      <c r="Z846" s="1"/>
    </row>
    <row r="847" spans="1:26" ht="24.75" customHeight="1">
      <c r="A847" s="1"/>
      <c r="B847" s="1"/>
      <c r="C847" s="1"/>
      <c r="D847" s="1"/>
      <c r="E847" s="1"/>
      <c r="F847" s="1"/>
      <c r="G847" s="1"/>
      <c r="H847" s="1"/>
      <c r="I847" s="1"/>
      <c r="J847" s="1"/>
      <c r="K847" s="1"/>
      <c r="L847" s="1"/>
      <c r="M847" s="1"/>
      <c r="N847" s="1"/>
      <c r="O847" s="1"/>
      <c r="P847" s="1"/>
      <c r="Q847" s="1"/>
      <c r="R847" s="1"/>
      <c r="S847" s="1"/>
      <c r="T847" s="1"/>
      <c r="U847" s="2"/>
      <c r="V847" s="1"/>
      <c r="W847" s="1"/>
      <c r="X847" s="1"/>
      <c r="Y847" s="1"/>
      <c r="Z847" s="1"/>
    </row>
    <row r="848" spans="1:26" ht="24.75" customHeight="1">
      <c r="A848" s="1"/>
      <c r="B848" s="1"/>
      <c r="C848" s="1"/>
      <c r="D848" s="1"/>
      <c r="E848" s="1"/>
      <c r="F848" s="1"/>
      <c r="G848" s="1"/>
      <c r="H848" s="1"/>
      <c r="I848" s="1"/>
      <c r="J848" s="1"/>
      <c r="K848" s="1"/>
      <c r="L848" s="1"/>
      <c r="M848" s="1"/>
      <c r="N848" s="1"/>
      <c r="O848" s="1"/>
      <c r="P848" s="1"/>
      <c r="Q848" s="1"/>
      <c r="R848" s="1"/>
      <c r="S848" s="1"/>
      <c r="T848" s="1"/>
      <c r="U848" s="2"/>
      <c r="V848" s="1"/>
      <c r="W848" s="1"/>
      <c r="X848" s="1"/>
      <c r="Y848" s="1"/>
      <c r="Z848" s="1"/>
    </row>
    <row r="849" spans="1:26" ht="24.75" customHeight="1">
      <c r="A849" s="1"/>
      <c r="B849" s="1"/>
      <c r="C849" s="1"/>
      <c r="D849" s="1"/>
      <c r="E849" s="1"/>
      <c r="F849" s="1"/>
      <c r="G849" s="1"/>
      <c r="H849" s="1"/>
      <c r="I849" s="1"/>
      <c r="J849" s="1"/>
      <c r="K849" s="1"/>
      <c r="L849" s="1"/>
      <c r="M849" s="1"/>
      <c r="N849" s="1"/>
      <c r="O849" s="1"/>
      <c r="P849" s="1"/>
      <c r="Q849" s="1"/>
      <c r="R849" s="1"/>
      <c r="S849" s="1"/>
      <c r="T849" s="1"/>
      <c r="U849" s="2"/>
      <c r="V849" s="1"/>
      <c r="W849" s="1"/>
      <c r="X849" s="1"/>
      <c r="Y849" s="1"/>
      <c r="Z849" s="1"/>
    </row>
    <row r="850" spans="1:26" ht="24.75" customHeight="1">
      <c r="A850" s="1"/>
      <c r="B850" s="1"/>
      <c r="C850" s="1"/>
      <c r="D850" s="1"/>
      <c r="E850" s="1"/>
      <c r="F850" s="1"/>
      <c r="G850" s="1"/>
      <c r="H850" s="1"/>
      <c r="I850" s="1"/>
      <c r="J850" s="1"/>
      <c r="K850" s="1"/>
      <c r="L850" s="1"/>
      <c r="M850" s="1"/>
      <c r="N850" s="1"/>
      <c r="O850" s="1"/>
      <c r="P850" s="1"/>
      <c r="Q850" s="1"/>
      <c r="R850" s="1"/>
      <c r="S850" s="1"/>
      <c r="T850" s="1"/>
      <c r="U850" s="2"/>
      <c r="V850" s="1"/>
      <c r="W850" s="1"/>
      <c r="X850" s="1"/>
      <c r="Y850" s="1"/>
      <c r="Z850" s="1"/>
    </row>
    <row r="851" spans="1:26" ht="24.75" customHeight="1">
      <c r="A851" s="1"/>
      <c r="B851" s="1"/>
      <c r="C851" s="1"/>
      <c r="D851" s="1"/>
      <c r="E851" s="1"/>
      <c r="F851" s="1"/>
      <c r="G851" s="1"/>
      <c r="H851" s="1"/>
      <c r="I851" s="1"/>
      <c r="J851" s="1"/>
      <c r="K851" s="1"/>
      <c r="L851" s="1"/>
      <c r="M851" s="1"/>
      <c r="N851" s="1"/>
      <c r="O851" s="1"/>
      <c r="P851" s="1"/>
      <c r="Q851" s="1"/>
      <c r="R851" s="1"/>
      <c r="S851" s="1"/>
      <c r="T851" s="1"/>
      <c r="U851" s="2"/>
      <c r="V851" s="1"/>
      <c r="W851" s="1"/>
      <c r="X851" s="1"/>
      <c r="Y851" s="1"/>
      <c r="Z851" s="1"/>
    </row>
    <row r="852" spans="1:26" ht="24.75" customHeight="1">
      <c r="A852" s="1"/>
      <c r="B852" s="1"/>
      <c r="C852" s="1"/>
      <c r="D852" s="1"/>
      <c r="E852" s="1"/>
      <c r="F852" s="1"/>
      <c r="G852" s="1"/>
      <c r="H852" s="1"/>
      <c r="I852" s="1"/>
      <c r="J852" s="1"/>
      <c r="K852" s="1"/>
      <c r="L852" s="1"/>
      <c r="M852" s="1"/>
      <c r="N852" s="1"/>
      <c r="O852" s="1"/>
      <c r="P852" s="1"/>
      <c r="Q852" s="1"/>
      <c r="R852" s="1"/>
      <c r="S852" s="1"/>
      <c r="T852" s="1"/>
      <c r="U852" s="2"/>
      <c r="V852" s="1"/>
      <c r="W852" s="1"/>
      <c r="X852" s="1"/>
      <c r="Y852" s="1"/>
      <c r="Z852" s="1"/>
    </row>
    <row r="853" spans="1:26" ht="24.75" customHeight="1">
      <c r="A853" s="1"/>
      <c r="B853" s="1"/>
      <c r="C853" s="1"/>
      <c r="D853" s="1"/>
      <c r="E853" s="1"/>
      <c r="F853" s="1"/>
      <c r="G853" s="1"/>
      <c r="H853" s="1"/>
      <c r="I853" s="1"/>
      <c r="J853" s="1"/>
      <c r="K853" s="1"/>
      <c r="L853" s="1"/>
      <c r="M853" s="1"/>
      <c r="N853" s="1"/>
      <c r="O853" s="1"/>
      <c r="P853" s="1"/>
      <c r="Q853" s="1"/>
      <c r="R853" s="1"/>
      <c r="S853" s="1"/>
      <c r="T853" s="1"/>
      <c r="U853" s="2"/>
      <c r="V853" s="1"/>
      <c r="W853" s="1"/>
      <c r="X853" s="1"/>
      <c r="Y853" s="1"/>
      <c r="Z853" s="1"/>
    </row>
    <row r="854" spans="1:26" ht="24.75" customHeight="1">
      <c r="A854" s="1"/>
      <c r="B854" s="1"/>
      <c r="C854" s="1"/>
      <c r="D854" s="1"/>
      <c r="E854" s="1"/>
      <c r="F854" s="1"/>
      <c r="G854" s="1"/>
      <c r="H854" s="1"/>
      <c r="I854" s="1"/>
      <c r="J854" s="1"/>
      <c r="K854" s="1"/>
      <c r="L854" s="1"/>
      <c r="M854" s="1"/>
      <c r="N854" s="1"/>
      <c r="O854" s="1"/>
      <c r="P854" s="1"/>
      <c r="Q854" s="1"/>
      <c r="R854" s="1"/>
      <c r="S854" s="1"/>
      <c r="T854" s="1"/>
      <c r="U854" s="2"/>
      <c r="V854" s="1"/>
      <c r="W854" s="1"/>
      <c r="X854" s="1"/>
      <c r="Y854" s="1"/>
      <c r="Z854" s="1"/>
    </row>
    <row r="855" spans="1:26" ht="24.75" customHeight="1">
      <c r="A855" s="1"/>
      <c r="B855" s="1"/>
      <c r="C855" s="1"/>
      <c r="D855" s="1"/>
      <c r="E855" s="1"/>
      <c r="F855" s="1"/>
      <c r="G855" s="1"/>
      <c r="H855" s="1"/>
      <c r="I855" s="1"/>
      <c r="J855" s="1"/>
      <c r="K855" s="1"/>
      <c r="L855" s="1"/>
      <c r="M855" s="1"/>
      <c r="N855" s="1"/>
      <c r="O855" s="1"/>
      <c r="P855" s="1"/>
      <c r="Q855" s="1"/>
      <c r="R855" s="1"/>
      <c r="S855" s="1"/>
      <c r="T855" s="1"/>
      <c r="U855" s="2"/>
      <c r="V855" s="1"/>
      <c r="W855" s="1"/>
      <c r="X855" s="1"/>
      <c r="Y855" s="1"/>
      <c r="Z855" s="1"/>
    </row>
    <row r="856" spans="1:26" ht="24.75" customHeight="1">
      <c r="A856" s="1"/>
      <c r="B856" s="1"/>
      <c r="C856" s="1"/>
      <c r="D856" s="1"/>
      <c r="E856" s="1"/>
      <c r="F856" s="1"/>
      <c r="G856" s="1"/>
      <c r="H856" s="1"/>
      <c r="I856" s="1"/>
      <c r="J856" s="1"/>
      <c r="K856" s="1"/>
      <c r="L856" s="1"/>
      <c r="M856" s="1"/>
      <c r="N856" s="1"/>
      <c r="O856" s="1"/>
      <c r="P856" s="1"/>
      <c r="Q856" s="1"/>
      <c r="R856" s="1"/>
      <c r="S856" s="1"/>
      <c r="T856" s="1"/>
      <c r="U856" s="2"/>
      <c r="V856" s="1"/>
      <c r="W856" s="1"/>
      <c r="X856" s="1"/>
      <c r="Y856" s="1"/>
      <c r="Z856" s="1"/>
    </row>
    <row r="857" spans="1:26" ht="24.75" customHeight="1">
      <c r="A857" s="1"/>
      <c r="B857" s="1"/>
      <c r="C857" s="1"/>
      <c r="D857" s="1"/>
      <c r="E857" s="1"/>
      <c r="F857" s="1"/>
      <c r="G857" s="1"/>
      <c r="H857" s="1"/>
      <c r="I857" s="1"/>
      <c r="J857" s="1"/>
      <c r="K857" s="1"/>
      <c r="L857" s="1"/>
      <c r="M857" s="1"/>
      <c r="N857" s="1"/>
      <c r="O857" s="1"/>
      <c r="P857" s="1"/>
      <c r="Q857" s="1"/>
      <c r="R857" s="1"/>
      <c r="S857" s="1"/>
      <c r="T857" s="1"/>
      <c r="U857" s="2"/>
      <c r="V857" s="1"/>
      <c r="W857" s="1"/>
      <c r="X857" s="1"/>
      <c r="Y857" s="1"/>
      <c r="Z857" s="1"/>
    </row>
    <row r="858" spans="1:26" ht="24.75" customHeight="1">
      <c r="A858" s="1"/>
      <c r="B858" s="1"/>
      <c r="C858" s="1"/>
      <c r="D858" s="1"/>
      <c r="E858" s="1"/>
      <c r="F858" s="1"/>
      <c r="G858" s="1"/>
      <c r="H858" s="1"/>
      <c r="I858" s="1"/>
      <c r="J858" s="1"/>
      <c r="K858" s="1"/>
      <c r="L858" s="1"/>
      <c r="M858" s="1"/>
      <c r="N858" s="1"/>
      <c r="O858" s="1"/>
      <c r="P858" s="1"/>
      <c r="Q858" s="1"/>
      <c r="R858" s="1"/>
      <c r="S858" s="1"/>
      <c r="T858" s="1"/>
      <c r="U858" s="2"/>
      <c r="V858" s="1"/>
      <c r="W858" s="1"/>
      <c r="X858" s="1"/>
      <c r="Y858" s="1"/>
      <c r="Z858" s="1"/>
    </row>
    <row r="859" spans="1:26" ht="24.75" customHeight="1">
      <c r="A859" s="1"/>
      <c r="B859" s="1"/>
      <c r="C859" s="1"/>
      <c r="D859" s="1"/>
      <c r="E859" s="1"/>
      <c r="F859" s="1"/>
      <c r="G859" s="1"/>
      <c r="H859" s="1"/>
      <c r="I859" s="1"/>
      <c r="J859" s="1"/>
      <c r="K859" s="1"/>
      <c r="L859" s="1"/>
      <c r="M859" s="1"/>
      <c r="N859" s="1"/>
      <c r="O859" s="1"/>
      <c r="P859" s="1"/>
      <c r="Q859" s="1"/>
      <c r="R859" s="1"/>
      <c r="S859" s="1"/>
      <c r="T859" s="1"/>
      <c r="U859" s="2"/>
      <c r="V859" s="1"/>
      <c r="W859" s="1"/>
      <c r="X859" s="1"/>
      <c r="Y859" s="1"/>
      <c r="Z859" s="1"/>
    </row>
    <row r="860" spans="1:26" ht="24.75" customHeight="1">
      <c r="A860" s="1"/>
      <c r="B860" s="1"/>
      <c r="C860" s="1"/>
      <c r="D860" s="1"/>
      <c r="E860" s="1"/>
      <c r="F860" s="1"/>
      <c r="G860" s="1"/>
      <c r="H860" s="1"/>
      <c r="I860" s="1"/>
      <c r="J860" s="1"/>
      <c r="K860" s="1"/>
      <c r="L860" s="1"/>
      <c r="M860" s="1"/>
      <c r="N860" s="1"/>
      <c r="O860" s="1"/>
      <c r="P860" s="1"/>
      <c r="Q860" s="1"/>
      <c r="R860" s="1"/>
      <c r="S860" s="1"/>
      <c r="T860" s="1"/>
      <c r="U860" s="2"/>
      <c r="V860" s="1"/>
      <c r="W860" s="1"/>
      <c r="X860" s="1"/>
      <c r="Y860" s="1"/>
      <c r="Z860" s="1"/>
    </row>
    <row r="861" spans="1:26" ht="24.75" customHeight="1">
      <c r="A861" s="1"/>
      <c r="B861" s="1"/>
      <c r="C861" s="1"/>
      <c r="D861" s="1"/>
      <c r="E861" s="1"/>
      <c r="F861" s="1"/>
      <c r="G861" s="1"/>
      <c r="H861" s="1"/>
      <c r="I861" s="1"/>
      <c r="J861" s="1"/>
      <c r="K861" s="1"/>
      <c r="L861" s="1"/>
      <c r="M861" s="1"/>
      <c r="N861" s="1"/>
      <c r="O861" s="1"/>
      <c r="P861" s="1"/>
      <c r="Q861" s="1"/>
      <c r="R861" s="1"/>
      <c r="S861" s="1"/>
      <c r="T861" s="1"/>
      <c r="U861" s="2"/>
      <c r="V861" s="1"/>
      <c r="W861" s="1"/>
      <c r="X861" s="1"/>
      <c r="Y861" s="1"/>
      <c r="Z861" s="1"/>
    </row>
    <row r="862" spans="1:26" ht="24.75" customHeight="1">
      <c r="A862" s="1"/>
      <c r="B862" s="1"/>
      <c r="C862" s="1"/>
      <c r="D862" s="1"/>
      <c r="E862" s="1"/>
      <c r="F862" s="1"/>
      <c r="G862" s="1"/>
      <c r="H862" s="1"/>
      <c r="I862" s="1"/>
      <c r="J862" s="1"/>
      <c r="K862" s="1"/>
      <c r="L862" s="1"/>
      <c r="M862" s="1"/>
      <c r="N862" s="1"/>
      <c r="O862" s="1"/>
      <c r="P862" s="1"/>
      <c r="Q862" s="1"/>
      <c r="R862" s="1"/>
      <c r="S862" s="1"/>
      <c r="T862" s="1"/>
      <c r="U862" s="2"/>
      <c r="V862" s="1"/>
      <c r="W862" s="1"/>
      <c r="X862" s="1"/>
      <c r="Y862" s="1"/>
      <c r="Z862" s="1"/>
    </row>
    <row r="863" spans="1:26" ht="24.75" customHeight="1">
      <c r="A863" s="1"/>
      <c r="B863" s="1"/>
      <c r="C863" s="1"/>
      <c r="D863" s="1"/>
      <c r="E863" s="1"/>
      <c r="F863" s="1"/>
      <c r="G863" s="1"/>
      <c r="H863" s="1"/>
      <c r="I863" s="1"/>
      <c r="J863" s="1"/>
      <c r="K863" s="1"/>
      <c r="L863" s="1"/>
      <c r="M863" s="1"/>
      <c r="N863" s="1"/>
      <c r="O863" s="1"/>
      <c r="P863" s="1"/>
      <c r="Q863" s="1"/>
      <c r="R863" s="1"/>
      <c r="S863" s="1"/>
      <c r="T863" s="1"/>
      <c r="U863" s="2"/>
      <c r="V863" s="1"/>
      <c r="W863" s="1"/>
      <c r="X863" s="1"/>
      <c r="Y863" s="1"/>
      <c r="Z863" s="1"/>
    </row>
    <row r="864" spans="1:26" ht="24.75" customHeight="1">
      <c r="A864" s="1"/>
      <c r="B864" s="1"/>
      <c r="C864" s="1"/>
      <c r="D864" s="1"/>
      <c r="E864" s="1"/>
      <c r="F864" s="1"/>
      <c r="G864" s="1"/>
      <c r="H864" s="1"/>
      <c r="I864" s="1"/>
      <c r="J864" s="1"/>
      <c r="K864" s="1"/>
      <c r="L864" s="1"/>
      <c r="M864" s="1"/>
      <c r="N864" s="1"/>
      <c r="O864" s="1"/>
      <c r="P864" s="1"/>
      <c r="Q864" s="1"/>
      <c r="R864" s="1"/>
      <c r="S864" s="1"/>
      <c r="T864" s="1"/>
      <c r="U864" s="2"/>
      <c r="V864" s="1"/>
      <c r="W864" s="1"/>
      <c r="X864" s="1"/>
      <c r="Y864" s="1"/>
      <c r="Z864" s="1"/>
    </row>
    <row r="865" spans="1:26" ht="24.75" customHeight="1">
      <c r="A865" s="1"/>
      <c r="B865" s="1"/>
      <c r="C865" s="1"/>
      <c r="D865" s="1"/>
      <c r="E865" s="1"/>
      <c r="F865" s="1"/>
      <c r="G865" s="1"/>
      <c r="H865" s="1"/>
      <c r="I865" s="1"/>
      <c r="J865" s="1"/>
      <c r="K865" s="1"/>
      <c r="L865" s="1"/>
      <c r="M865" s="1"/>
      <c r="N865" s="1"/>
      <c r="O865" s="1"/>
      <c r="P865" s="1"/>
      <c r="Q865" s="1"/>
      <c r="R865" s="1"/>
      <c r="S865" s="1"/>
      <c r="T865" s="1"/>
      <c r="U865" s="2"/>
      <c r="V865" s="1"/>
      <c r="W865" s="1"/>
      <c r="X865" s="1"/>
      <c r="Y865" s="1"/>
      <c r="Z865" s="1"/>
    </row>
    <row r="866" spans="1:26" ht="24.75" customHeight="1">
      <c r="A866" s="1"/>
      <c r="B866" s="1"/>
      <c r="C866" s="1"/>
      <c r="D866" s="1"/>
      <c r="E866" s="1"/>
      <c r="F866" s="1"/>
      <c r="G866" s="1"/>
      <c r="H866" s="1"/>
      <c r="I866" s="1"/>
      <c r="J866" s="1"/>
      <c r="K866" s="1"/>
      <c r="L866" s="1"/>
      <c r="M866" s="1"/>
      <c r="N866" s="1"/>
      <c r="O866" s="1"/>
      <c r="P866" s="1"/>
      <c r="Q866" s="1"/>
      <c r="R866" s="1"/>
      <c r="S866" s="1"/>
      <c r="T866" s="1"/>
      <c r="U866" s="2"/>
      <c r="V866" s="1"/>
      <c r="W866" s="1"/>
      <c r="X866" s="1"/>
      <c r="Y866" s="1"/>
      <c r="Z866" s="1"/>
    </row>
    <row r="867" spans="1:26" ht="24.75" customHeight="1">
      <c r="A867" s="1"/>
      <c r="B867" s="1"/>
      <c r="C867" s="1"/>
      <c r="D867" s="1"/>
      <c r="E867" s="1"/>
      <c r="F867" s="1"/>
      <c r="G867" s="1"/>
      <c r="H867" s="1"/>
      <c r="I867" s="1"/>
      <c r="J867" s="1"/>
      <c r="K867" s="1"/>
      <c r="L867" s="1"/>
      <c r="M867" s="1"/>
      <c r="N867" s="1"/>
      <c r="O867" s="1"/>
      <c r="P867" s="1"/>
      <c r="Q867" s="1"/>
      <c r="R867" s="1"/>
      <c r="S867" s="1"/>
      <c r="T867" s="1"/>
      <c r="U867" s="2"/>
      <c r="V867" s="1"/>
      <c r="W867" s="1"/>
      <c r="X867" s="1"/>
      <c r="Y867" s="1"/>
      <c r="Z867" s="1"/>
    </row>
    <row r="868" spans="1:26" ht="24.75" customHeight="1">
      <c r="A868" s="1"/>
      <c r="B868" s="1"/>
      <c r="C868" s="1"/>
      <c r="D868" s="1"/>
      <c r="E868" s="1"/>
      <c r="F868" s="1"/>
      <c r="G868" s="1"/>
      <c r="H868" s="1"/>
      <c r="I868" s="1"/>
      <c r="J868" s="1"/>
      <c r="K868" s="1"/>
      <c r="L868" s="1"/>
      <c r="M868" s="1"/>
      <c r="N868" s="1"/>
      <c r="O868" s="1"/>
      <c r="P868" s="1"/>
      <c r="Q868" s="1"/>
      <c r="R868" s="1"/>
      <c r="S868" s="1"/>
      <c r="T868" s="1"/>
      <c r="U868" s="2"/>
      <c r="V868" s="1"/>
      <c r="W868" s="1"/>
      <c r="X868" s="1"/>
      <c r="Y868" s="1"/>
      <c r="Z868" s="1"/>
    </row>
    <row r="869" spans="1:26" ht="24.75" customHeight="1">
      <c r="A869" s="1"/>
      <c r="B869" s="1"/>
      <c r="C869" s="1"/>
      <c r="D869" s="1"/>
      <c r="E869" s="1"/>
      <c r="F869" s="1"/>
      <c r="G869" s="1"/>
      <c r="H869" s="1"/>
      <c r="I869" s="1"/>
      <c r="J869" s="1"/>
      <c r="K869" s="1"/>
      <c r="L869" s="1"/>
      <c r="M869" s="1"/>
      <c r="N869" s="1"/>
      <c r="O869" s="1"/>
      <c r="P869" s="1"/>
      <c r="Q869" s="1"/>
      <c r="R869" s="1"/>
      <c r="S869" s="1"/>
      <c r="T869" s="1"/>
      <c r="U869" s="2"/>
      <c r="V869" s="1"/>
      <c r="W869" s="1"/>
      <c r="X869" s="1"/>
      <c r="Y869" s="1"/>
      <c r="Z869" s="1"/>
    </row>
    <row r="870" spans="1:26" ht="24.75" customHeight="1">
      <c r="A870" s="1"/>
      <c r="B870" s="1"/>
      <c r="C870" s="1"/>
      <c r="D870" s="1"/>
      <c r="E870" s="1"/>
      <c r="F870" s="1"/>
      <c r="G870" s="1"/>
      <c r="H870" s="1"/>
      <c r="I870" s="1"/>
      <c r="J870" s="1"/>
      <c r="K870" s="1"/>
      <c r="L870" s="1"/>
      <c r="M870" s="1"/>
      <c r="N870" s="1"/>
      <c r="O870" s="1"/>
      <c r="P870" s="1"/>
      <c r="Q870" s="1"/>
      <c r="R870" s="1"/>
      <c r="S870" s="1"/>
      <c r="T870" s="1"/>
      <c r="U870" s="2"/>
      <c r="V870" s="1"/>
      <c r="W870" s="1"/>
      <c r="X870" s="1"/>
      <c r="Y870" s="1"/>
      <c r="Z870" s="1"/>
    </row>
    <row r="871" spans="1:26" ht="24.75" customHeight="1">
      <c r="A871" s="1"/>
      <c r="B871" s="1"/>
      <c r="C871" s="1"/>
      <c r="D871" s="1"/>
      <c r="E871" s="1"/>
      <c r="F871" s="1"/>
      <c r="G871" s="1"/>
      <c r="H871" s="1"/>
      <c r="I871" s="1"/>
      <c r="J871" s="1"/>
      <c r="K871" s="1"/>
      <c r="L871" s="1"/>
      <c r="M871" s="1"/>
      <c r="N871" s="1"/>
      <c r="O871" s="1"/>
      <c r="P871" s="1"/>
      <c r="Q871" s="1"/>
      <c r="R871" s="1"/>
      <c r="S871" s="1"/>
      <c r="T871" s="1"/>
      <c r="U871" s="2"/>
      <c r="V871" s="1"/>
      <c r="W871" s="1"/>
      <c r="X871" s="1"/>
      <c r="Y871" s="1"/>
      <c r="Z871" s="1"/>
    </row>
    <row r="872" spans="1:26" ht="24.75" customHeight="1">
      <c r="A872" s="1"/>
      <c r="B872" s="1"/>
      <c r="C872" s="1"/>
      <c r="D872" s="1"/>
      <c r="E872" s="1"/>
      <c r="F872" s="1"/>
      <c r="G872" s="1"/>
      <c r="H872" s="1"/>
      <c r="I872" s="1"/>
      <c r="J872" s="1"/>
      <c r="K872" s="1"/>
      <c r="L872" s="1"/>
      <c r="M872" s="1"/>
      <c r="N872" s="1"/>
      <c r="O872" s="1"/>
      <c r="P872" s="1"/>
      <c r="Q872" s="1"/>
      <c r="R872" s="1"/>
      <c r="S872" s="1"/>
      <c r="T872" s="1"/>
      <c r="U872" s="2"/>
      <c r="V872" s="1"/>
      <c r="W872" s="1"/>
      <c r="X872" s="1"/>
      <c r="Y872" s="1"/>
      <c r="Z872" s="1"/>
    </row>
    <row r="873" spans="1:26" ht="24.75" customHeight="1">
      <c r="A873" s="1"/>
      <c r="B873" s="1"/>
      <c r="C873" s="1"/>
      <c r="D873" s="1"/>
      <c r="E873" s="1"/>
      <c r="F873" s="1"/>
      <c r="G873" s="1"/>
      <c r="H873" s="1"/>
      <c r="I873" s="1"/>
      <c r="J873" s="1"/>
      <c r="K873" s="1"/>
      <c r="L873" s="1"/>
      <c r="M873" s="1"/>
      <c r="N873" s="1"/>
      <c r="O873" s="1"/>
      <c r="P873" s="1"/>
      <c r="Q873" s="1"/>
      <c r="R873" s="1"/>
      <c r="S873" s="1"/>
      <c r="T873" s="1"/>
      <c r="U873" s="2"/>
      <c r="V873" s="1"/>
      <c r="W873" s="1"/>
      <c r="X873" s="1"/>
      <c r="Y873" s="1"/>
      <c r="Z873" s="1"/>
    </row>
    <row r="874" spans="1:26" ht="24.75" customHeight="1">
      <c r="A874" s="1"/>
      <c r="B874" s="1"/>
      <c r="C874" s="1"/>
      <c r="D874" s="1"/>
      <c r="E874" s="1"/>
      <c r="F874" s="1"/>
      <c r="G874" s="1"/>
      <c r="H874" s="1"/>
      <c r="I874" s="1"/>
      <c r="J874" s="1"/>
      <c r="K874" s="1"/>
      <c r="L874" s="1"/>
      <c r="M874" s="1"/>
      <c r="N874" s="1"/>
      <c r="O874" s="1"/>
      <c r="P874" s="1"/>
      <c r="Q874" s="1"/>
      <c r="R874" s="1"/>
      <c r="S874" s="1"/>
      <c r="T874" s="1"/>
      <c r="U874" s="2"/>
      <c r="V874" s="1"/>
      <c r="W874" s="1"/>
      <c r="X874" s="1"/>
      <c r="Y874" s="1"/>
      <c r="Z874" s="1"/>
    </row>
    <row r="875" spans="1:26" ht="24.75" customHeight="1">
      <c r="A875" s="1"/>
      <c r="B875" s="1"/>
      <c r="C875" s="1"/>
      <c r="D875" s="1"/>
      <c r="E875" s="1"/>
      <c r="F875" s="1"/>
      <c r="G875" s="1"/>
      <c r="H875" s="1"/>
      <c r="I875" s="1"/>
      <c r="J875" s="1"/>
      <c r="K875" s="1"/>
      <c r="L875" s="1"/>
      <c r="M875" s="1"/>
      <c r="N875" s="1"/>
      <c r="O875" s="1"/>
      <c r="P875" s="1"/>
      <c r="Q875" s="1"/>
      <c r="R875" s="1"/>
      <c r="S875" s="1"/>
      <c r="T875" s="1"/>
      <c r="U875" s="2"/>
      <c r="V875" s="1"/>
      <c r="W875" s="1"/>
      <c r="X875" s="1"/>
      <c r="Y875" s="1"/>
      <c r="Z875" s="1"/>
    </row>
    <row r="876" spans="1:26" ht="24.75" customHeight="1">
      <c r="A876" s="1"/>
      <c r="B876" s="1"/>
      <c r="C876" s="1"/>
      <c r="D876" s="1"/>
      <c r="E876" s="1"/>
      <c r="F876" s="1"/>
      <c r="G876" s="1"/>
      <c r="H876" s="1"/>
      <c r="I876" s="1"/>
      <c r="J876" s="1"/>
      <c r="K876" s="1"/>
      <c r="L876" s="1"/>
      <c r="M876" s="1"/>
      <c r="N876" s="1"/>
      <c r="O876" s="1"/>
      <c r="P876" s="1"/>
      <c r="Q876" s="1"/>
      <c r="R876" s="1"/>
      <c r="S876" s="1"/>
      <c r="T876" s="1"/>
      <c r="U876" s="2"/>
      <c r="V876" s="1"/>
      <c r="W876" s="1"/>
      <c r="X876" s="1"/>
      <c r="Y876" s="1"/>
      <c r="Z876" s="1"/>
    </row>
    <row r="877" spans="1:26" ht="24.75" customHeight="1">
      <c r="A877" s="1"/>
      <c r="B877" s="1"/>
      <c r="C877" s="1"/>
      <c r="D877" s="1"/>
      <c r="E877" s="1"/>
      <c r="F877" s="1"/>
      <c r="G877" s="1"/>
      <c r="H877" s="1"/>
      <c r="I877" s="1"/>
      <c r="J877" s="1"/>
      <c r="K877" s="1"/>
      <c r="L877" s="1"/>
      <c r="M877" s="1"/>
      <c r="N877" s="1"/>
      <c r="O877" s="1"/>
      <c r="P877" s="1"/>
      <c r="Q877" s="1"/>
      <c r="R877" s="1"/>
      <c r="S877" s="1"/>
      <c r="T877" s="1"/>
      <c r="U877" s="2"/>
      <c r="V877" s="1"/>
      <c r="W877" s="1"/>
      <c r="X877" s="1"/>
      <c r="Y877" s="1"/>
      <c r="Z877" s="1"/>
    </row>
    <row r="878" spans="1:26" ht="24.75" customHeight="1">
      <c r="A878" s="1"/>
      <c r="B878" s="1"/>
      <c r="C878" s="1"/>
      <c r="D878" s="1"/>
      <c r="E878" s="1"/>
      <c r="F878" s="1"/>
      <c r="G878" s="1"/>
      <c r="H878" s="1"/>
      <c r="I878" s="1"/>
      <c r="J878" s="1"/>
      <c r="K878" s="1"/>
      <c r="L878" s="1"/>
      <c r="M878" s="1"/>
      <c r="N878" s="1"/>
      <c r="O878" s="1"/>
      <c r="P878" s="1"/>
      <c r="Q878" s="1"/>
      <c r="R878" s="1"/>
      <c r="S878" s="1"/>
      <c r="T878" s="1"/>
      <c r="U878" s="2"/>
      <c r="V878" s="1"/>
      <c r="W878" s="1"/>
      <c r="X878" s="1"/>
      <c r="Y878" s="1"/>
      <c r="Z878" s="1"/>
    </row>
    <row r="879" spans="1:26" ht="24.75" customHeight="1">
      <c r="A879" s="1"/>
      <c r="B879" s="1"/>
      <c r="C879" s="1"/>
      <c r="D879" s="1"/>
      <c r="E879" s="1"/>
      <c r="F879" s="1"/>
      <c r="G879" s="1"/>
      <c r="H879" s="1"/>
      <c r="I879" s="1"/>
      <c r="J879" s="1"/>
      <c r="K879" s="1"/>
      <c r="L879" s="1"/>
      <c r="M879" s="1"/>
      <c r="N879" s="1"/>
      <c r="O879" s="1"/>
      <c r="P879" s="1"/>
      <c r="Q879" s="1"/>
      <c r="R879" s="1"/>
      <c r="S879" s="1"/>
      <c r="T879" s="1"/>
      <c r="U879" s="2"/>
      <c r="V879" s="1"/>
      <c r="W879" s="1"/>
      <c r="X879" s="1"/>
      <c r="Y879" s="1"/>
      <c r="Z879" s="1"/>
    </row>
    <row r="880" spans="1:26" ht="24.75" customHeight="1">
      <c r="A880" s="1"/>
      <c r="B880" s="1"/>
      <c r="C880" s="1"/>
      <c r="D880" s="1"/>
      <c r="E880" s="1"/>
      <c r="F880" s="1"/>
      <c r="G880" s="1"/>
      <c r="H880" s="1"/>
      <c r="I880" s="1"/>
      <c r="J880" s="1"/>
      <c r="K880" s="1"/>
      <c r="L880" s="1"/>
      <c r="M880" s="1"/>
      <c r="N880" s="1"/>
      <c r="O880" s="1"/>
      <c r="P880" s="1"/>
      <c r="Q880" s="1"/>
      <c r="R880" s="1"/>
      <c r="S880" s="1"/>
      <c r="T880" s="1"/>
      <c r="U880" s="2"/>
      <c r="V880" s="1"/>
      <c r="W880" s="1"/>
      <c r="X880" s="1"/>
      <c r="Y880" s="1"/>
      <c r="Z880" s="1"/>
    </row>
    <row r="881" spans="1:26" ht="24.75" customHeight="1">
      <c r="A881" s="1"/>
      <c r="B881" s="1"/>
      <c r="C881" s="1"/>
      <c r="D881" s="1"/>
      <c r="E881" s="1"/>
      <c r="F881" s="1"/>
      <c r="G881" s="1"/>
      <c r="H881" s="1"/>
      <c r="I881" s="1"/>
      <c r="J881" s="1"/>
      <c r="K881" s="1"/>
      <c r="L881" s="1"/>
      <c r="M881" s="1"/>
      <c r="N881" s="1"/>
      <c r="O881" s="1"/>
      <c r="P881" s="1"/>
      <c r="Q881" s="1"/>
      <c r="R881" s="1"/>
      <c r="S881" s="1"/>
      <c r="T881" s="1"/>
      <c r="U881" s="2"/>
      <c r="V881" s="1"/>
      <c r="W881" s="1"/>
      <c r="X881" s="1"/>
      <c r="Y881" s="1"/>
      <c r="Z881" s="1"/>
    </row>
    <row r="882" spans="1:26" ht="24.75" customHeight="1">
      <c r="A882" s="1"/>
      <c r="B882" s="1"/>
      <c r="C882" s="1"/>
      <c r="D882" s="1"/>
      <c r="E882" s="1"/>
      <c r="F882" s="1"/>
      <c r="G882" s="1"/>
      <c r="H882" s="1"/>
      <c r="I882" s="1"/>
      <c r="J882" s="1"/>
      <c r="K882" s="1"/>
      <c r="L882" s="1"/>
      <c r="M882" s="1"/>
      <c r="N882" s="1"/>
      <c r="O882" s="1"/>
      <c r="P882" s="1"/>
      <c r="Q882" s="1"/>
      <c r="R882" s="1"/>
      <c r="S882" s="1"/>
      <c r="T882" s="1"/>
      <c r="U882" s="2"/>
      <c r="V882" s="1"/>
      <c r="W882" s="1"/>
      <c r="X882" s="1"/>
      <c r="Y882" s="1"/>
      <c r="Z882" s="1"/>
    </row>
    <row r="883" spans="1:26" ht="24.75" customHeight="1">
      <c r="A883" s="1"/>
      <c r="B883" s="1"/>
      <c r="C883" s="1"/>
      <c r="D883" s="1"/>
      <c r="E883" s="1"/>
      <c r="F883" s="1"/>
      <c r="G883" s="1"/>
      <c r="H883" s="1"/>
      <c r="I883" s="1"/>
      <c r="J883" s="1"/>
      <c r="K883" s="1"/>
      <c r="L883" s="1"/>
      <c r="M883" s="1"/>
      <c r="N883" s="1"/>
      <c r="O883" s="1"/>
      <c r="P883" s="1"/>
      <c r="Q883" s="1"/>
      <c r="R883" s="1"/>
      <c r="S883" s="1"/>
      <c r="T883" s="1"/>
      <c r="U883" s="2"/>
      <c r="V883" s="1"/>
      <c r="W883" s="1"/>
      <c r="X883" s="1"/>
      <c r="Y883" s="1"/>
      <c r="Z883" s="1"/>
    </row>
    <row r="884" spans="1:26" ht="24.75" customHeight="1">
      <c r="A884" s="1"/>
      <c r="B884" s="1"/>
      <c r="C884" s="1"/>
      <c r="D884" s="1"/>
      <c r="E884" s="1"/>
      <c r="F884" s="1"/>
      <c r="G884" s="1"/>
      <c r="H884" s="1"/>
      <c r="I884" s="1"/>
      <c r="J884" s="1"/>
      <c r="K884" s="1"/>
      <c r="L884" s="1"/>
      <c r="M884" s="1"/>
      <c r="N884" s="1"/>
      <c r="O884" s="1"/>
      <c r="P884" s="1"/>
      <c r="Q884" s="1"/>
      <c r="R884" s="1"/>
      <c r="S884" s="1"/>
      <c r="T884" s="1"/>
      <c r="U884" s="2"/>
      <c r="V884" s="1"/>
      <c r="W884" s="1"/>
      <c r="X884" s="1"/>
      <c r="Y884" s="1"/>
      <c r="Z884" s="1"/>
    </row>
    <row r="885" spans="1:26" ht="24.75" customHeight="1">
      <c r="A885" s="1"/>
      <c r="B885" s="1"/>
      <c r="C885" s="1"/>
      <c r="D885" s="1"/>
      <c r="E885" s="1"/>
      <c r="F885" s="1"/>
      <c r="G885" s="1"/>
      <c r="H885" s="1"/>
      <c r="I885" s="1"/>
      <c r="J885" s="1"/>
      <c r="K885" s="1"/>
      <c r="L885" s="1"/>
      <c r="M885" s="1"/>
      <c r="N885" s="1"/>
      <c r="O885" s="1"/>
      <c r="P885" s="1"/>
      <c r="Q885" s="1"/>
      <c r="R885" s="1"/>
      <c r="S885" s="1"/>
      <c r="T885" s="1"/>
      <c r="U885" s="2"/>
      <c r="V885" s="1"/>
      <c r="W885" s="1"/>
      <c r="X885" s="1"/>
      <c r="Y885" s="1"/>
      <c r="Z885" s="1"/>
    </row>
    <row r="886" spans="1:26" ht="24.75" customHeight="1">
      <c r="A886" s="1"/>
      <c r="B886" s="1"/>
      <c r="C886" s="1"/>
      <c r="D886" s="1"/>
      <c r="E886" s="1"/>
      <c r="F886" s="1"/>
      <c r="G886" s="1"/>
      <c r="H886" s="1"/>
      <c r="I886" s="1"/>
      <c r="J886" s="1"/>
      <c r="K886" s="1"/>
      <c r="L886" s="1"/>
      <c r="M886" s="1"/>
      <c r="N886" s="1"/>
      <c r="O886" s="1"/>
      <c r="P886" s="1"/>
      <c r="Q886" s="1"/>
      <c r="R886" s="1"/>
      <c r="S886" s="1"/>
      <c r="T886" s="1"/>
      <c r="U886" s="2"/>
      <c r="V886" s="1"/>
      <c r="W886" s="1"/>
      <c r="X886" s="1"/>
      <c r="Y886" s="1"/>
      <c r="Z886" s="1"/>
    </row>
    <row r="887" spans="1:26" ht="24.75" customHeight="1">
      <c r="A887" s="1"/>
      <c r="B887" s="1"/>
      <c r="C887" s="1"/>
      <c r="D887" s="1"/>
      <c r="E887" s="1"/>
      <c r="F887" s="1"/>
      <c r="G887" s="1"/>
      <c r="H887" s="1"/>
      <c r="I887" s="1"/>
      <c r="J887" s="1"/>
      <c r="K887" s="1"/>
      <c r="L887" s="1"/>
      <c r="M887" s="1"/>
      <c r="N887" s="1"/>
      <c r="O887" s="1"/>
      <c r="P887" s="1"/>
      <c r="Q887" s="1"/>
      <c r="R887" s="1"/>
      <c r="S887" s="1"/>
      <c r="T887" s="1"/>
      <c r="U887" s="2"/>
      <c r="V887" s="1"/>
      <c r="W887" s="1"/>
      <c r="X887" s="1"/>
      <c r="Y887" s="1"/>
      <c r="Z887" s="1"/>
    </row>
    <row r="888" spans="1:26" ht="24.75" customHeight="1">
      <c r="A888" s="1"/>
      <c r="B888" s="1"/>
      <c r="C888" s="1"/>
      <c r="D888" s="1"/>
      <c r="E888" s="1"/>
      <c r="F888" s="1"/>
      <c r="G888" s="1"/>
      <c r="H888" s="1"/>
      <c r="I888" s="1"/>
      <c r="J888" s="1"/>
      <c r="K888" s="1"/>
      <c r="L888" s="1"/>
      <c r="M888" s="1"/>
      <c r="N888" s="1"/>
      <c r="O888" s="1"/>
      <c r="P888" s="1"/>
      <c r="Q888" s="1"/>
      <c r="R888" s="1"/>
      <c r="S888" s="1"/>
      <c r="T888" s="1"/>
      <c r="U888" s="2"/>
      <c r="V888" s="1"/>
      <c r="W888" s="1"/>
      <c r="X888" s="1"/>
      <c r="Y888" s="1"/>
      <c r="Z888" s="1"/>
    </row>
    <row r="889" spans="1:26" ht="24.75" customHeight="1">
      <c r="A889" s="1"/>
      <c r="B889" s="1"/>
      <c r="C889" s="1"/>
      <c r="D889" s="1"/>
      <c r="E889" s="1"/>
      <c r="F889" s="1"/>
      <c r="G889" s="1"/>
      <c r="H889" s="1"/>
      <c r="I889" s="1"/>
      <c r="J889" s="1"/>
      <c r="K889" s="1"/>
      <c r="L889" s="1"/>
      <c r="M889" s="1"/>
      <c r="N889" s="1"/>
      <c r="O889" s="1"/>
      <c r="P889" s="1"/>
      <c r="Q889" s="1"/>
      <c r="R889" s="1"/>
      <c r="S889" s="1"/>
      <c r="T889" s="1"/>
      <c r="U889" s="2"/>
      <c r="V889" s="1"/>
      <c r="W889" s="1"/>
      <c r="X889" s="1"/>
      <c r="Y889" s="1"/>
      <c r="Z889" s="1"/>
    </row>
    <row r="890" spans="1:26" ht="24.75" customHeight="1">
      <c r="A890" s="1"/>
      <c r="B890" s="1"/>
      <c r="C890" s="1"/>
      <c r="D890" s="1"/>
      <c r="E890" s="1"/>
      <c r="F890" s="1"/>
      <c r="G890" s="1"/>
      <c r="H890" s="1"/>
      <c r="I890" s="1"/>
      <c r="J890" s="1"/>
      <c r="K890" s="1"/>
      <c r="L890" s="1"/>
      <c r="M890" s="1"/>
      <c r="N890" s="1"/>
      <c r="O890" s="1"/>
      <c r="P890" s="1"/>
      <c r="Q890" s="1"/>
      <c r="R890" s="1"/>
      <c r="S890" s="1"/>
      <c r="T890" s="1"/>
      <c r="U890" s="2"/>
      <c r="V890" s="1"/>
      <c r="W890" s="1"/>
      <c r="X890" s="1"/>
      <c r="Y890" s="1"/>
      <c r="Z890" s="1"/>
    </row>
    <row r="891" spans="1:26" ht="24.75" customHeight="1">
      <c r="A891" s="1"/>
      <c r="B891" s="1"/>
      <c r="C891" s="1"/>
      <c r="D891" s="1"/>
      <c r="E891" s="1"/>
      <c r="F891" s="1"/>
      <c r="G891" s="1"/>
      <c r="H891" s="1"/>
      <c r="I891" s="1"/>
      <c r="J891" s="1"/>
      <c r="K891" s="1"/>
      <c r="L891" s="1"/>
      <c r="M891" s="1"/>
      <c r="N891" s="1"/>
      <c r="O891" s="1"/>
      <c r="P891" s="1"/>
      <c r="Q891" s="1"/>
      <c r="R891" s="1"/>
      <c r="S891" s="1"/>
      <c r="T891" s="1"/>
      <c r="U891" s="2"/>
      <c r="V891" s="1"/>
      <c r="W891" s="1"/>
      <c r="X891" s="1"/>
      <c r="Y891" s="1"/>
      <c r="Z891" s="1"/>
    </row>
    <row r="892" spans="1:26" ht="24.75" customHeight="1">
      <c r="A892" s="1"/>
      <c r="B892" s="1"/>
      <c r="C892" s="1"/>
      <c r="D892" s="1"/>
      <c r="E892" s="1"/>
      <c r="F892" s="1"/>
      <c r="G892" s="1"/>
      <c r="H892" s="1"/>
      <c r="I892" s="1"/>
      <c r="J892" s="1"/>
      <c r="K892" s="1"/>
      <c r="L892" s="1"/>
      <c r="M892" s="1"/>
      <c r="N892" s="1"/>
      <c r="O892" s="1"/>
      <c r="P892" s="1"/>
      <c r="Q892" s="1"/>
      <c r="R892" s="1"/>
      <c r="S892" s="1"/>
      <c r="T892" s="1"/>
      <c r="U892" s="2"/>
      <c r="V892" s="1"/>
      <c r="W892" s="1"/>
      <c r="X892" s="1"/>
      <c r="Y892" s="1"/>
      <c r="Z892" s="1"/>
    </row>
    <row r="893" spans="1:26" ht="24.75" customHeight="1">
      <c r="A893" s="1"/>
      <c r="B893" s="1"/>
      <c r="C893" s="1"/>
      <c r="D893" s="1"/>
      <c r="E893" s="1"/>
      <c r="F893" s="1"/>
      <c r="G893" s="1"/>
      <c r="H893" s="1"/>
      <c r="I893" s="1"/>
      <c r="J893" s="1"/>
      <c r="K893" s="1"/>
      <c r="L893" s="1"/>
      <c r="M893" s="1"/>
      <c r="N893" s="1"/>
      <c r="O893" s="1"/>
      <c r="P893" s="1"/>
      <c r="Q893" s="1"/>
      <c r="R893" s="1"/>
      <c r="S893" s="1"/>
      <c r="T893" s="1"/>
      <c r="U893" s="2"/>
      <c r="V893" s="1"/>
      <c r="W893" s="1"/>
      <c r="X893" s="1"/>
      <c r="Y893" s="1"/>
      <c r="Z893" s="1"/>
    </row>
    <row r="894" spans="1:26" ht="24.75" customHeight="1">
      <c r="A894" s="1"/>
      <c r="B894" s="1"/>
      <c r="C894" s="1"/>
      <c r="D894" s="1"/>
      <c r="E894" s="1"/>
      <c r="F894" s="1"/>
      <c r="G894" s="1"/>
      <c r="H894" s="1"/>
      <c r="I894" s="1"/>
      <c r="J894" s="1"/>
      <c r="K894" s="1"/>
      <c r="L894" s="1"/>
      <c r="M894" s="1"/>
      <c r="N894" s="1"/>
      <c r="O894" s="1"/>
      <c r="P894" s="1"/>
      <c r="Q894" s="1"/>
      <c r="R894" s="1"/>
      <c r="S894" s="1"/>
      <c r="T894" s="1"/>
      <c r="U894" s="2"/>
      <c r="V894" s="1"/>
      <c r="W894" s="1"/>
      <c r="X894" s="1"/>
      <c r="Y894" s="1"/>
      <c r="Z894" s="1"/>
    </row>
    <row r="895" spans="1:26" ht="24.75" customHeight="1">
      <c r="A895" s="1"/>
      <c r="B895" s="1"/>
      <c r="C895" s="1"/>
      <c r="D895" s="1"/>
      <c r="E895" s="1"/>
      <c r="F895" s="1"/>
      <c r="G895" s="1"/>
      <c r="H895" s="1"/>
      <c r="I895" s="1"/>
      <c r="J895" s="1"/>
      <c r="K895" s="1"/>
      <c r="L895" s="1"/>
      <c r="M895" s="1"/>
      <c r="N895" s="1"/>
      <c r="O895" s="1"/>
      <c r="P895" s="1"/>
      <c r="Q895" s="1"/>
      <c r="R895" s="1"/>
      <c r="S895" s="1"/>
      <c r="T895" s="1"/>
      <c r="U895" s="2"/>
      <c r="V895" s="1"/>
      <c r="W895" s="1"/>
      <c r="X895" s="1"/>
      <c r="Y895" s="1"/>
      <c r="Z895" s="1"/>
    </row>
    <row r="896" spans="1:26" ht="24.75" customHeight="1">
      <c r="A896" s="1"/>
      <c r="B896" s="1"/>
      <c r="C896" s="1"/>
      <c r="D896" s="1"/>
      <c r="E896" s="1"/>
      <c r="F896" s="1"/>
      <c r="G896" s="1"/>
      <c r="H896" s="1"/>
      <c r="I896" s="1"/>
      <c r="J896" s="1"/>
      <c r="K896" s="1"/>
      <c r="L896" s="1"/>
      <c r="M896" s="1"/>
      <c r="N896" s="1"/>
      <c r="O896" s="1"/>
      <c r="P896" s="1"/>
      <c r="Q896" s="1"/>
      <c r="R896" s="1"/>
      <c r="S896" s="1"/>
      <c r="T896" s="1"/>
      <c r="U896" s="2"/>
      <c r="V896" s="1"/>
      <c r="W896" s="1"/>
      <c r="X896" s="1"/>
      <c r="Y896" s="1"/>
      <c r="Z896" s="1"/>
    </row>
    <row r="897" spans="1:26" ht="24.75" customHeight="1">
      <c r="A897" s="1"/>
      <c r="B897" s="1"/>
      <c r="C897" s="1"/>
      <c r="D897" s="1"/>
      <c r="E897" s="1"/>
      <c r="F897" s="1"/>
      <c r="G897" s="1"/>
      <c r="H897" s="1"/>
      <c r="I897" s="1"/>
      <c r="J897" s="1"/>
      <c r="K897" s="1"/>
      <c r="L897" s="1"/>
      <c r="M897" s="1"/>
      <c r="N897" s="1"/>
      <c r="O897" s="1"/>
      <c r="P897" s="1"/>
      <c r="Q897" s="1"/>
      <c r="R897" s="1"/>
      <c r="S897" s="1"/>
      <c r="T897" s="1"/>
      <c r="U897" s="2"/>
      <c r="V897" s="1"/>
      <c r="W897" s="1"/>
      <c r="X897" s="1"/>
      <c r="Y897" s="1"/>
      <c r="Z897" s="1"/>
    </row>
    <row r="898" spans="1:26" ht="24.75" customHeight="1">
      <c r="A898" s="1"/>
      <c r="B898" s="1"/>
      <c r="C898" s="1"/>
      <c r="D898" s="1"/>
      <c r="E898" s="1"/>
      <c r="F898" s="1"/>
      <c r="G898" s="1"/>
      <c r="H898" s="1"/>
      <c r="I898" s="1"/>
      <c r="J898" s="1"/>
      <c r="K898" s="1"/>
      <c r="L898" s="1"/>
      <c r="M898" s="1"/>
      <c r="N898" s="1"/>
      <c r="O898" s="1"/>
      <c r="P898" s="1"/>
      <c r="Q898" s="1"/>
      <c r="R898" s="1"/>
      <c r="S898" s="1"/>
      <c r="T898" s="1"/>
      <c r="U898" s="2"/>
      <c r="V898" s="1"/>
      <c r="W898" s="1"/>
      <c r="X898" s="1"/>
      <c r="Y898" s="1"/>
      <c r="Z898" s="1"/>
    </row>
    <row r="899" spans="1:26" ht="24.75" customHeight="1">
      <c r="A899" s="1"/>
      <c r="B899" s="1"/>
      <c r="C899" s="1"/>
      <c r="D899" s="1"/>
      <c r="E899" s="1"/>
      <c r="F899" s="1"/>
      <c r="G899" s="1"/>
      <c r="H899" s="1"/>
      <c r="I899" s="1"/>
      <c r="J899" s="1"/>
      <c r="K899" s="1"/>
      <c r="L899" s="1"/>
      <c r="M899" s="1"/>
      <c r="N899" s="1"/>
      <c r="O899" s="1"/>
      <c r="P899" s="1"/>
      <c r="Q899" s="1"/>
      <c r="R899" s="1"/>
      <c r="S899" s="1"/>
      <c r="T899" s="1"/>
      <c r="U899" s="2"/>
      <c r="V899" s="1"/>
      <c r="W899" s="1"/>
      <c r="X899" s="1"/>
      <c r="Y899" s="1"/>
      <c r="Z899" s="1"/>
    </row>
    <row r="900" spans="1:26" ht="24.75" customHeight="1">
      <c r="A900" s="1"/>
      <c r="B900" s="1"/>
      <c r="C900" s="1"/>
      <c r="D900" s="1"/>
      <c r="E900" s="1"/>
      <c r="F900" s="1"/>
      <c r="G900" s="1"/>
      <c r="H900" s="1"/>
      <c r="I900" s="1"/>
      <c r="J900" s="1"/>
      <c r="K900" s="1"/>
      <c r="L900" s="1"/>
      <c r="M900" s="1"/>
      <c r="N900" s="1"/>
      <c r="O900" s="1"/>
      <c r="P900" s="1"/>
      <c r="Q900" s="1"/>
      <c r="R900" s="1"/>
      <c r="S900" s="1"/>
      <c r="T900" s="1"/>
      <c r="U900" s="2"/>
      <c r="V900" s="1"/>
      <c r="W900" s="1"/>
      <c r="X900" s="1"/>
      <c r="Y900" s="1"/>
      <c r="Z900" s="1"/>
    </row>
    <row r="901" spans="1:26" ht="24.75" customHeight="1">
      <c r="A901" s="1"/>
      <c r="B901" s="1"/>
      <c r="C901" s="1"/>
      <c r="D901" s="1"/>
      <c r="E901" s="1"/>
      <c r="F901" s="1"/>
      <c r="G901" s="1"/>
      <c r="H901" s="1"/>
      <c r="I901" s="1"/>
      <c r="J901" s="1"/>
      <c r="K901" s="1"/>
      <c r="L901" s="1"/>
      <c r="M901" s="1"/>
      <c r="N901" s="1"/>
      <c r="O901" s="1"/>
      <c r="P901" s="1"/>
      <c r="Q901" s="1"/>
      <c r="R901" s="1"/>
      <c r="S901" s="1"/>
      <c r="T901" s="1"/>
      <c r="U901" s="2"/>
      <c r="V901" s="1"/>
      <c r="W901" s="1"/>
      <c r="X901" s="1"/>
      <c r="Y901" s="1"/>
      <c r="Z901" s="1"/>
    </row>
    <row r="902" spans="1:26" ht="24.75" customHeight="1">
      <c r="A902" s="1"/>
      <c r="B902" s="1"/>
      <c r="C902" s="1"/>
      <c r="D902" s="1"/>
      <c r="E902" s="1"/>
      <c r="F902" s="1"/>
      <c r="G902" s="1"/>
      <c r="H902" s="1"/>
      <c r="I902" s="1"/>
      <c r="J902" s="1"/>
      <c r="K902" s="1"/>
      <c r="L902" s="1"/>
      <c r="M902" s="1"/>
      <c r="N902" s="1"/>
      <c r="O902" s="1"/>
      <c r="P902" s="1"/>
      <c r="Q902" s="1"/>
      <c r="R902" s="1"/>
      <c r="S902" s="1"/>
      <c r="T902" s="1"/>
      <c r="U902" s="2"/>
      <c r="V902" s="1"/>
      <c r="W902" s="1"/>
      <c r="X902" s="1"/>
      <c r="Y902" s="1"/>
      <c r="Z902" s="1"/>
    </row>
    <row r="903" spans="1:26" ht="24.75" customHeight="1">
      <c r="A903" s="1"/>
      <c r="B903" s="1"/>
      <c r="C903" s="1"/>
      <c r="D903" s="1"/>
      <c r="E903" s="1"/>
      <c r="F903" s="1"/>
      <c r="G903" s="1"/>
      <c r="H903" s="1"/>
      <c r="I903" s="1"/>
      <c r="J903" s="1"/>
      <c r="K903" s="1"/>
      <c r="L903" s="1"/>
      <c r="M903" s="1"/>
      <c r="N903" s="1"/>
      <c r="O903" s="1"/>
      <c r="P903" s="1"/>
      <c r="Q903" s="1"/>
      <c r="R903" s="1"/>
      <c r="S903" s="1"/>
      <c r="T903" s="1"/>
      <c r="U903" s="2"/>
      <c r="V903" s="1"/>
      <c r="W903" s="1"/>
      <c r="X903" s="1"/>
      <c r="Y903" s="1"/>
      <c r="Z903" s="1"/>
    </row>
    <row r="904" spans="1:26" ht="24.75" customHeight="1">
      <c r="A904" s="1"/>
      <c r="B904" s="1"/>
      <c r="C904" s="1"/>
      <c r="D904" s="1"/>
      <c r="E904" s="1"/>
      <c r="F904" s="1"/>
      <c r="G904" s="1"/>
      <c r="H904" s="1"/>
      <c r="I904" s="1"/>
      <c r="J904" s="1"/>
      <c r="K904" s="1"/>
      <c r="L904" s="1"/>
      <c r="M904" s="1"/>
      <c r="N904" s="1"/>
      <c r="O904" s="1"/>
      <c r="P904" s="1"/>
      <c r="Q904" s="1"/>
      <c r="R904" s="1"/>
      <c r="S904" s="1"/>
      <c r="T904" s="1"/>
      <c r="U904" s="2"/>
      <c r="V904" s="1"/>
      <c r="W904" s="1"/>
      <c r="X904" s="1"/>
      <c r="Y904" s="1"/>
      <c r="Z904" s="1"/>
    </row>
    <row r="905" spans="1:26" ht="24.75" customHeight="1">
      <c r="A905" s="1"/>
      <c r="B905" s="1"/>
      <c r="C905" s="1"/>
      <c r="D905" s="1"/>
      <c r="E905" s="1"/>
      <c r="F905" s="1"/>
      <c r="G905" s="1"/>
      <c r="H905" s="1"/>
      <c r="I905" s="1"/>
      <c r="J905" s="1"/>
      <c r="K905" s="1"/>
      <c r="L905" s="1"/>
      <c r="M905" s="1"/>
      <c r="N905" s="1"/>
      <c r="O905" s="1"/>
      <c r="P905" s="1"/>
      <c r="Q905" s="1"/>
      <c r="R905" s="1"/>
      <c r="S905" s="1"/>
      <c r="T905" s="1"/>
      <c r="U905" s="2"/>
      <c r="V905" s="1"/>
      <c r="W905" s="1"/>
      <c r="X905" s="1"/>
      <c r="Y905" s="1"/>
      <c r="Z905" s="1"/>
    </row>
    <row r="906" spans="1:26" ht="24.75" customHeight="1">
      <c r="A906" s="1"/>
      <c r="B906" s="1"/>
      <c r="C906" s="1"/>
      <c r="D906" s="1"/>
      <c r="E906" s="1"/>
      <c r="F906" s="1"/>
      <c r="G906" s="1"/>
      <c r="H906" s="1"/>
      <c r="I906" s="1"/>
      <c r="J906" s="1"/>
      <c r="K906" s="1"/>
      <c r="L906" s="1"/>
      <c r="M906" s="1"/>
      <c r="N906" s="1"/>
      <c r="O906" s="1"/>
      <c r="P906" s="1"/>
      <c r="Q906" s="1"/>
      <c r="R906" s="1"/>
      <c r="S906" s="1"/>
      <c r="T906" s="1"/>
      <c r="U906" s="2"/>
      <c r="V906" s="1"/>
      <c r="W906" s="1"/>
      <c r="X906" s="1"/>
      <c r="Y906" s="1"/>
      <c r="Z906" s="1"/>
    </row>
    <row r="907" spans="1:26" ht="24.75" customHeight="1">
      <c r="A907" s="1"/>
      <c r="B907" s="1"/>
      <c r="C907" s="1"/>
      <c r="D907" s="1"/>
      <c r="E907" s="1"/>
      <c r="F907" s="1"/>
      <c r="G907" s="1"/>
      <c r="H907" s="1"/>
      <c r="I907" s="1"/>
      <c r="J907" s="1"/>
      <c r="K907" s="1"/>
      <c r="L907" s="1"/>
      <c r="M907" s="1"/>
      <c r="N907" s="1"/>
      <c r="O907" s="1"/>
      <c r="P907" s="1"/>
      <c r="Q907" s="1"/>
      <c r="R907" s="1"/>
      <c r="S907" s="1"/>
      <c r="T907" s="1"/>
      <c r="U907" s="2"/>
      <c r="V907" s="1"/>
      <c r="W907" s="1"/>
      <c r="X907" s="1"/>
      <c r="Y907" s="1"/>
      <c r="Z907" s="1"/>
    </row>
    <row r="908" spans="1:26" ht="24.75" customHeight="1">
      <c r="A908" s="1"/>
      <c r="B908" s="1"/>
      <c r="C908" s="1"/>
      <c r="D908" s="1"/>
      <c r="E908" s="1"/>
      <c r="F908" s="1"/>
      <c r="G908" s="1"/>
      <c r="H908" s="1"/>
      <c r="I908" s="1"/>
      <c r="J908" s="1"/>
      <c r="K908" s="1"/>
      <c r="L908" s="1"/>
      <c r="M908" s="1"/>
      <c r="N908" s="1"/>
      <c r="O908" s="1"/>
      <c r="P908" s="1"/>
      <c r="Q908" s="1"/>
      <c r="R908" s="1"/>
      <c r="S908" s="1"/>
      <c r="T908" s="1"/>
      <c r="U908" s="2"/>
      <c r="V908" s="1"/>
      <c r="W908" s="1"/>
      <c r="X908" s="1"/>
      <c r="Y908" s="1"/>
      <c r="Z908" s="1"/>
    </row>
    <row r="909" spans="1:26" ht="24.75" customHeight="1">
      <c r="A909" s="1"/>
      <c r="B909" s="1"/>
      <c r="C909" s="1"/>
      <c r="D909" s="1"/>
      <c r="E909" s="1"/>
      <c r="F909" s="1"/>
      <c r="G909" s="1"/>
      <c r="H909" s="1"/>
      <c r="I909" s="1"/>
      <c r="J909" s="1"/>
      <c r="K909" s="1"/>
      <c r="L909" s="1"/>
      <c r="M909" s="1"/>
      <c r="N909" s="1"/>
      <c r="O909" s="1"/>
      <c r="P909" s="1"/>
      <c r="Q909" s="1"/>
      <c r="R909" s="1"/>
      <c r="S909" s="1"/>
      <c r="T909" s="1"/>
      <c r="U909" s="2"/>
      <c r="V909" s="1"/>
      <c r="W909" s="1"/>
      <c r="X909" s="1"/>
      <c r="Y909" s="1"/>
      <c r="Z909" s="1"/>
    </row>
    <row r="910" spans="1:26" ht="24.75" customHeight="1">
      <c r="A910" s="1"/>
      <c r="B910" s="1"/>
      <c r="C910" s="1"/>
      <c r="D910" s="1"/>
      <c r="E910" s="1"/>
      <c r="F910" s="1"/>
      <c r="G910" s="1"/>
      <c r="H910" s="1"/>
      <c r="I910" s="1"/>
      <c r="J910" s="1"/>
      <c r="K910" s="1"/>
      <c r="L910" s="1"/>
      <c r="M910" s="1"/>
      <c r="N910" s="1"/>
      <c r="O910" s="1"/>
      <c r="P910" s="1"/>
      <c r="Q910" s="1"/>
      <c r="R910" s="1"/>
      <c r="S910" s="1"/>
      <c r="T910" s="1"/>
      <c r="U910" s="2"/>
      <c r="V910" s="1"/>
      <c r="W910" s="1"/>
      <c r="X910" s="1"/>
      <c r="Y910" s="1"/>
      <c r="Z910" s="1"/>
    </row>
    <row r="911" spans="1:26" ht="24.75" customHeight="1">
      <c r="A911" s="1"/>
      <c r="B911" s="1"/>
      <c r="C911" s="1"/>
      <c r="D911" s="1"/>
      <c r="E911" s="1"/>
      <c r="F911" s="1"/>
      <c r="G911" s="1"/>
      <c r="H911" s="1"/>
      <c r="I911" s="1"/>
      <c r="J911" s="1"/>
      <c r="K911" s="1"/>
      <c r="L911" s="1"/>
      <c r="M911" s="1"/>
      <c r="N911" s="1"/>
      <c r="O911" s="1"/>
      <c r="P911" s="1"/>
      <c r="Q911" s="1"/>
      <c r="R911" s="1"/>
      <c r="S911" s="1"/>
      <c r="T911" s="1"/>
      <c r="U911" s="2"/>
      <c r="V911" s="1"/>
      <c r="W911" s="1"/>
      <c r="X911" s="1"/>
      <c r="Y911" s="1"/>
      <c r="Z911" s="1"/>
    </row>
    <row r="912" spans="1:26" ht="24.75" customHeight="1">
      <c r="A912" s="1"/>
      <c r="B912" s="1"/>
      <c r="C912" s="1"/>
      <c r="D912" s="1"/>
      <c r="E912" s="1"/>
      <c r="F912" s="1"/>
      <c r="G912" s="1"/>
      <c r="H912" s="1"/>
      <c r="I912" s="1"/>
      <c r="J912" s="1"/>
      <c r="K912" s="1"/>
      <c r="L912" s="1"/>
      <c r="M912" s="1"/>
      <c r="N912" s="1"/>
      <c r="O912" s="1"/>
      <c r="P912" s="1"/>
      <c r="Q912" s="1"/>
      <c r="R912" s="1"/>
      <c r="S912" s="1"/>
      <c r="T912" s="1"/>
      <c r="U912" s="2"/>
      <c r="V912" s="1"/>
      <c r="W912" s="1"/>
      <c r="X912" s="1"/>
      <c r="Y912" s="1"/>
      <c r="Z912" s="1"/>
    </row>
    <row r="913" spans="1:26" ht="24.75" customHeight="1">
      <c r="A913" s="1"/>
      <c r="B913" s="1"/>
      <c r="C913" s="1"/>
      <c r="D913" s="1"/>
      <c r="E913" s="1"/>
      <c r="F913" s="1"/>
      <c r="G913" s="1"/>
      <c r="H913" s="1"/>
      <c r="I913" s="1"/>
      <c r="J913" s="1"/>
      <c r="K913" s="1"/>
      <c r="L913" s="1"/>
      <c r="M913" s="1"/>
      <c r="N913" s="1"/>
      <c r="O913" s="1"/>
      <c r="P913" s="1"/>
      <c r="Q913" s="1"/>
      <c r="R913" s="1"/>
      <c r="S913" s="1"/>
      <c r="T913" s="1"/>
      <c r="U913" s="2"/>
      <c r="V913" s="1"/>
      <c r="W913" s="1"/>
      <c r="X913" s="1"/>
      <c r="Y913" s="1"/>
      <c r="Z913" s="1"/>
    </row>
    <row r="914" spans="1:26" ht="24.75" customHeight="1">
      <c r="A914" s="1"/>
      <c r="B914" s="1"/>
      <c r="C914" s="1"/>
      <c r="D914" s="1"/>
      <c r="E914" s="1"/>
      <c r="F914" s="1"/>
      <c r="G914" s="1"/>
      <c r="H914" s="1"/>
      <c r="I914" s="1"/>
      <c r="J914" s="1"/>
      <c r="K914" s="1"/>
      <c r="L914" s="1"/>
      <c r="M914" s="1"/>
      <c r="N914" s="1"/>
      <c r="O914" s="1"/>
      <c r="P914" s="1"/>
      <c r="Q914" s="1"/>
      <c r="R914" s="1"/>
      <c r="S914" s="1"/>
      <c r="T914" s="1"/>
      <c r="U914" s="2"/>
      <c r="V914" s="1"/>
      <c r="W914" s="1"/>
      <c r="X914" s="1"/>
      <c r="Y914" s="1"/>
      <c r="Z914" s="1"/>
    </row>
    <row r="915" spans="1:26" ht="24.75" customHeight="1">
      <c r="A915" s="1"/>
      <c r="B915" s="1"/>
      <c r="C915" s="1"/>
      <c r="D915" s="1"/>
      <c r="E915" s="1"/>
      <c r="F915" s="1"/>
      <c r="G915" s="1"/>
      <c r="H915" s="1"/>
      <c r="I915" s="1"/>
      <c r="J915" s="1"/>
      <c r="K915" s="1"/>
      <c r="L915" s="1"/>
      <c r="M915" s="1"/>
      <c r="N915" s="1"/>
      <c r="O915" s="1"/>
      <c r="P915" s="1"/>
      <c r="Q915" s="1"/>
      <c r="R915" s="1"/>
      <c r="S915" s="1"/>
      <c r="T915" s="1"/>
      <c r="U915" s="2"/>
      <c r="V915" s="1"/>
      <c r="W915" s="1"/>
      <c r="X915" s="1"/>
      <c r="Y915" s="1"/>
      <c r="Z915" s="1"/>
    </row>
    <row r="916" spans="1:26" ht="24.75" customHeight="1">
      <c r="A916" s="1"/>
      <c r="B916" s="1"/>
      <c r="C916" s="1"/>
      <c r="D916" s="1"/>
      <c r="E916" s="1"/>
      <c r="F916" s="1"/>
      <c r="G916" s="1"/>
      <c r="H916" s="1"/>
      <c r="I916" s="1"/>
      <c r="J916" s="1"/>
      <c r="K916" s="1"/>
      <c r="L916" s="1"/>
      <c r="M916" s="1"/>
      <c r="N916" s="1"/>
      <c r="O916" s="1"/>
      <c r="P916" s="1"/>
      <c r="Q916" s="1"/>
      <c r="R916" s="1"/>
      <c r="S916" s="1"/>
      <c r="T916" s="1"/>
      <c r="U916" s="2"/>
      <c r="V916" s="1"/>
      <c r="W916" s="1"/>
      <c r="X916" s="1"/>
      <c r="Y916" s="1"/>
      <c r="Z916" s="1"/>
    </row>
    <row r="917" spans="1:26" ht="24.75" customHeight="1">
      <c r="A917" s="1"/>
      <c r="B917" s="1"/>
      <c r="C917" s="1"/>
      <c r="D917" s="1"/>
      <c r="E917" s="1"/>
      <c r="F917" s="1"/>
      <c r="G917" s="1"/>
      <c r="H917" s="1"/>
      <c r="I917" s="1"/>
      <c r="J917" s="1"/>
      <c r="K917" s="1"/>
      <c r="L917" s="1"/>
      <c r="M917" s="1"/>
      <c r="N917" s="1"/>
      <c r="O917" s="1"/>
      <c r="P917" s="1"/>
      <c r="Q917" s="1"/>
      <c r="R917" s="1"/>
      <c r="S917" s="1"/>
      <c r="T917" s="1"/>
      <c r="U917" s="2"/>
      <c r="V917" s="1"/>
      <c r="W917" s="1"/>
      <c r="X917" s="1"/>
      <c r="Y917" s="1"/>
      <c r="Z917" s="1"/>
    </row>
    <row r="918" spans="1:26" ht="24.75" customHeight="1">
      <c r="A918" s="1"/>
      <c r="B918" s="1"/>
      <c r="C918" s="1"/>
      <c r="D918" s="1"/>
      <c r="E918" s="1"/>
      <c r="F918" s="1"/>
      <c r="G918" s="1"/>
      <c r="H918" s="1"/>
      <c r="I918" s="1"/>
      <c r="J918" s="1"/>
      <c r="K918" s="1"/>
      <c r="L918" s="1"/>
      <c r="M918" s="1"/>
      <c r="N918" s="1"/>
      <c r="O918" s="1"/>
      <c r="P918" s="1"/>
      <c r="Q918" s="1"/>
      <c r="R918" s="1"/>
      <c r="S918" s="1"/>
      <c r="T918" s="1"/>
      <c r="U918" s="2"/>
      <c r="V918" s="1"/>
      <c r="W918" s="1"/>
      <c r="X918" s="1"/>
      <c r="Y918" s="1"/>
      <c r="Z918" s="1"/>
    </row>
    <row r="919" spans="1:26" ht="24.75" customHeight="1">
      <c r="A919" s="1"/>
      <c r="B919" s="1"/>
      <c r="C919" s="1"/>
      <c r="D919" s="1"/>
      <c r="E919" s="1"/>
      <c r="F919" s="1"/>
      <c r="G919" s="1"/>
      <c r="H919" s="1"/>
      <c r="I919" s="1"/>
      <c r="J919" s="1"/>
      <c r="K919" s="1"/>
      <c r="L919" s="1"/>
      <c r="M919" s="1"/>
      <c r="N919" s="1"/>
      <c r="O919" s="1"/>
      <c r="P919" s="1"/>
      <c r="Q919" s="1"/>
      <c r="R919" s="1"/>
      <c r="S919" s="1"/>
      <c r="T919" s="1"/>
      <c r="U919" s="2"/>
      <c r="V919" s="1"/>
      <c r="W919" s="1"/>
      <c r="X919" s="1"/>
      <c r="Y919" s="1"/>
      <c r="Z919" s="1"/>
    </row>
    <row r="920" spans="1:26" ht="24.75" customHeight="1">
      <c r="A920" s="1"/>
      <c r="B920" s="1"/>
      <c r="C920" s="1"/>
      <c r="D920" s="1"/>
      <c r="E920" s="1"/>
      <c r="F920" s="1"/>
      <c r="G920" s="1"/>
      <c r="H920" s="1"/>
      <c r="I920" s="1"/>
      <c r="J920" s="1"/>
      <c r="K920" s="1"/>
      <c r="L920" s="1"/>
      <c r="M920" s="1"/>
      <c r="N920" s="1"/>
      <c r="O920" s="1"/>
      <c r="P920" s="1"/>
      <c r="Q920" s="1"/>
      <c r="R920" s="1"/>
      <c r="S920" s="1"/>
      <c r="T920" s="1"/>
      <c r="U920" s="2"/>
      <c r="V920" s="1"/>
      <c r="W920" s="1"/>
      <c r="X920" s="1"/>
      <c r="Y920" s="1"/>
      <c r="Z920" s="1"/>
    </row>
    <row r="921" spans="1:26" ht="24.75" customHeight="1">
      <c r="A921" s="1"/>
      <c r="B921" s="1"/>
      <c r="C921" s="1"/>
      <c r="D921" s="1"/>
      <c r="E921" s="1"/>
      <c r="F921" s="1"/>
      <c r="G921" s="1"/>
      <c r="H921" s="1"/>
      <c r="I921" s="1"/>
      <c r="J921" s="1"/>
      <c r="K921" s="1"/>
      <c r="L921" s="1"/>
      <c r="M921" s="1"/>
      <c r="N921" s="1"/>
      <c r="O921" s="1"/>
      <c r="P921" s="1"/>
      <c r="Q921" s="1"/>
      <c r="R921" s="1"/>
      <c r="S921" s="1"/>
      <c r="T921" s="1"/>
      <c r="U921" s="2"/>
      <c r="V921" s="1"/>
      <c r="W921" s="1"/>
      <c r="X921" s="1"/>
      <c r="Y921" s="1"/>
      <c r="Z921" s="1"/>
    </row>
    <row r="922" spans="1:26" ht="24.75" customHeight="1">
      <c r="A922" s="1"/>
      <c r="B922" s="1"/>
      <c r="C922" s="1"/>
      <c r="D922" s="1"/>
      <c r="E922" s="1"/>
      <c r="F922" s="1"/>
      <c r="G922" s="1"/>
      <c r="H922" s="1"/>
      <c r="I922" s="1"/>
      <c r="J922" s="1"/>
      <c r="K922" s="1"/>
      <c r="L922" s="1"/>
      <c r="M922" s="1"/>
      <c r="N922" s="1"/>
      <c r="O922" s="1"/>
      <c r="P922" s="1"/>
      <c r="Q922" s="1"/>
      <c r="R922" s="1"/>
      <c r="S922" s="1"/>
      <c r="T922" s="1"/>
      <c r="U922" s="2"/>
      <c r="V922" s="1"/>
      <c r="W922" s="1"/>
      <c r="X922" s="1"/>
      <c r="Y922" s="1"/>
      <c r="Z922" s="1"/>
    </row>
    <row r="923" spans="1:26" ht="24.75" customHeight="1">
      <c r="A923" s="1"/>
      <c r="B923" s="1"/>
      <c r="C923" s="1"/>
      <c r="D923" s="1"/>
      <c r="E923" s="1"/>
      <c r="F923" s="1"/>
      <c r="G923" s="1"/>
      <c r="H923" s="1"/>
      <c r="I923" s="1"/>
      <c r="J923" s="1"/>
      <c r="K923" s="1"/>
      <c r="L923" s="1"/>
      <c r="M923" s="1"/>
      <c r="N923" s="1"/>
      <c r="O923" s="1"/>
      <c r="P923" s="1"/>
      <c r="Q923" s="1"/>
      <c r="R923" s="1"/>
      <c r="S923" s="1"/>
      <c r="T923" s="1"/>
      <c r="U923" s="2"/>
      <c r="V923" s="1"/>
      <c r="W923" s="1"/>
      <c r="X923" s="1"/>
      <c r="Y923" s="1"/>
      <c r="Z923" s="1"/>
    </row>
    <row r="924" spans="1:26" ht="24.75" customHeight="1">
      <c r="A924" s="1"/>
      <c r="B924" s="1"/>
      <c r="C924" s="1"/>
      <c r="D924" s="1"/>
      <c r="E924" s="1"/>
      <c r="F924" s="1"/>
      <c r="G924" s="1"/>
      <c r="H924" s="1"/>
      <c r="I924" s="1"/>
      <c r="J924" s="1"/>
      <c r="K924" s="1"/>
      <c r="L924" s="1"/>
      <c r="M924" s="1"/>
      <c r="N924" s="1"/>
      <c r="O924" s="1"/>
      <c r="P924" s="1"/>
      <c r="Q924" s="1"/>
      <c r="R924" s="1"/>
      <c r="S924" s="1"/>
      <c r="T924" s="1"/>
      <c r="U924" s="2"/>
      <c r="V924" s="1"/>
      <c r="W924" s="1"/>
      <c r="X924" s="1"/>
      <c r="Y924" s="1"/>
      <c r="Z924" s="1"/>
    </row>
    <row r="925" spans="1:26" ht="24.75" customHeight="1">
      <c r="A925" s="1"/>
      <c r="B925" s="1"/>
      <c r="C925" s="1"/>
      <c r="D925" s="1"/>
      <c r="E925" s="1"/>
      <c r="F925" s="1"/>
      <c r="G925" s="1"/>
      <c r="H925" s="1"/>
      <c r="I925" s="1"/>
      <c r="J925" s="1"/>
      <c r="K925" s="1"/>
      <c r="L925" s="1"/>
      <c r="M925" s="1"/>
      <c r="N925" s="1"/>
      <c r="O925" s="1"/>
      <c r="P925" s="1"/>
      <c r="Q925" s="1"/>
      <c r="R925" s="1"/>
      <c r="S925" s="1"/>
      <c r="T925" s="1"/>
      <c r="U925" s="2"/>
      <c r="V925" s="1"/>
      <c r="W925" s="1"/>
      <c r="X925" s="1"/>
      <c r="Y925" s="1"/>
      <c r="Z925" s="1"/>
    </row>
    <row r="926" spans="1:26" ht="24.75" customHeight="1">
      <c r="A926" s="1"/>
      <c r="B926" s="1"/>
      <c r="C926" s="1"/>
      <c r="D926" s="1"/>
      <c r="E926" s="1"/>
      <c r="F926" s="1"/>
      <c r="G926" s="1"/>
      <c r="H926" s="1"/>
      <c r="I926" s="1"/>
      <c r="J926" s="1"/>
      <c r="K926" s="1"/>
      <c r="L926" s="1"/>
      <c r="M926" s="1"/>
      <c r="N926" s="1"/>
      <c r="O926" s="1"/>
      <c r="P926" s="1"/>
      <c r="Q926" s="1"/>
      <c r="R926" s="1"/>
      <c r="S926" s="1"/>
      <c r="T926" s="1"/>
      <c r="U926" s="2"/>
      <c r="V926" s="1"/>
      <c r="W926" s="1"/>
      <c r="X926" s="1"/>
      <c r="Y926" s="1"/>
      <c r="Z926" s="1"/>
    </row>
    <row r="927" spans="1:26" ht="24.75" customHeight="1">
      <c r="A927" s="1"/>
      <c r="B927" s="1"/>
      <c r="C927" s="1"/>
      <c r="D927" s="1"/>
      <c r="E927" s="1"/>
      <c r="F927" s="1"/>
      <c r="G927" s="1"/>
      <c r="H927" s="1"/>
      <c r="I927" s="1"/>
      <c r="J927" s="1"/>
      <c r="K927" s="1"/>
      <c r="L927" s="1"/>
      <c r="M927" s="1"/>
      <c r="N927" s="1"/>
      <c r="O927" s="1"/>
      <c r="P927" s="1"/>
      <c r="Q927" s="1"/>
      <c r="R927" s="1"/>
      <c r="S927" s="1"/>
      <c r="T927" s="1"/>
      <c r="U927" s="2"/>
      <c r="V927" s="1"/>
      <c r="W927" s="1"/>
      <c r="X927" s="1"/>
      <c r="Y927" s="1"/>
      <c r="Z927" s="1"/>
    </row>
    <row r="928" spans="1:26" ht="24.75" customHeight="1">
      <c r="A928" s="1"/>
      <c r="B928" s="1"/>
      <c r="C928" s="1"/>
      <c r="D928" s="1"/>
      <c r="E928" s="1"/>
      <c r="F928" s="1"/>
      <c r="G928" s="1"/>
      <c r="H928" s="1"/>
      <c r="I928" s="1"/>
      <c r="J928" s="1"/>
      <c r="K928" s="1"/>
      <c r="L928" s="1"/>
      <c r="M928" s="1"/>
      <c r="N928" s="1"/>
      <c r="O928" s="1"/>
      <c r="P928" s="1"/>
      <c r="Q928" s="1"/>
      <c r="R928" s="1"/>
      <c r="S928" s="1"/>
      <c r="T928" s="1"/>
      <c r="U928" s="2"/>
      <c r="V928" s="1"/>
      <c r="W928" s="1"/>
      <c r="X928" s="1"/>
      <c r="Y928" s="1"/>
      <c r="Z928" s="1"/>
    </row>
    <row r="929" spans="1:26" ht="24.75" customHeight="1">
      <c r="A929" s="1"/>
      <c r="B929" s="1"/>
      <c r="C929" s="1"/>
      <c r="D929" s="1"/>
      <c r="E929" s="1"/>
      <c r="F929" s="1"/>
      <c r="G929" s="1"/>
      <c r="H929" s="1"/>
      <c r="I929" s="1"/>
      <c r="J929" s="1"/>
      <c r="K929" s="1"/>
      <c r="L929" s="1"/>
      <c r="M929" s="1"/>
      <c r="N929" s="1"/>
      <c r="O929" s="1"/>
      <c r="P929" s="1"/>
      <c r="Q929" s="1"/>
      <c r="R929" s="1"/>
      <c r="S929" s="1"/>
      <c r="T929" s="1"/>
      <c r="U929" s="2"/>
      <c r="V929" s="1"/>
      <c r="W929" s="1"/>
      <c r="X929" s="1"/>
      <c r="Y929" s="1"/>
      <c r="Z929" s="1"/>
    </row>
    <row r="930" spans="1:26" ht="24.75" customHeight="1">
      <c r="A930" s="1"/>
      <c r="B930" s="1"/>
      <c r="C930" s="1"/>
      <c r="D930" s="1"/>
      <c r="E930" s="1"/>
      <c r="F930" s="1"/>
      <c r="G930" s="1"/>
      <c r="H930" s="1"/>
      <c r="I930" s="1"/>
      <c r="J930" s="1"/>
      <c r="K930" s="1"/>
      <c r="L930" s="1"/>
      <c r="M930" s="1"/>
      <c r="N930" s="1"/>
      <c r="O930" s="1"/>
      <c r="P930" s="1"/>
      <c r="Q930" s="1"/>
      <c r="R930" s="1"/>
      <c r="S930" s="1"/>
      <c r="T930" s="1"/>
      <c r="U930" s="2"/>
      <c r="V930" s="1"/>
      <c r="W930" s="1"/>
      <c r="X930" s="1"/>
      <c r="Y930" s="1"/>
      <c r="Z930" s="1"/>
    </row>
    <row r="931" spans="1:26" ht="24.75" customHeight="1">
      <c r="A931" s="1"/>
      <c r="B931" s="1"/>
      <c r="C931" s="1"/>
      <c r="D931" s="1"/>
      <c r="E931" s="1"/>
      <c r="F931" s="1"/>
      <c r="G931" s="1"/>
      <c r="H931" s="1"/>
      <c r="I931" s="1"/>
      <c r="J931" s="1"/>
      <c r="K931" s="1"/>
      <c r="L931" s="1"/>
      <c r="M931" s="1"/>
      <c r="N931" s="1"/>
      <c r="O931" s="1"/>
      <c r="P931" s="1"/>
      <c r="Q931" s="1"/>
      <c r="R931" s="1"/>
      <c r="S931" s="1"/>
      <c r="T931" s="1"/>
      <c r="U931" s="2"/>
      <c r="V931" s="1"/>
      <c r="W931" s="1"/>
      <c r="X931" s="1"/>
      <c r="Y931" s="1"/>
      <c r="Z931" s="1"/>
    </row>
    <row r="932" spans="1:26" ht="24.75" customHeight="1">
      <c r="A932" s="1"/>
      <c r="B932" s="1"/>
      <c r="C932" s="1"/>
      <c r="D932" s="1"/>
      <c r="E932" s="1"/>
      <c r="F932" s="1"/>
      <c r="G932" s="1"/>
      <c r="H932" s="1"/>
      <c r="I932" s="1"/>
      <c r="J932" s="1"/>
      <c r="K932" s="1"/>
      <c r="L932" s="1"/>
      <c r="M932" s="1"/>
      <c r="N932" s="1"/>
      <c r="O932" s="1"/>
      <c r="P932" s="1"/>
      <c r="Q932" s="1"/>
      <c r="R932" s="1"/>
      <c r="S932" s="1"/>
      <c r="T932" s="1"/>
      <c r="U932" s="2"/>
      <c r="V932" s="1"/>
      <c r="W932" s="1"/>
      <c r="X932" s="1"/>
      <c r="Y932" s="1"/>
      <c r="Z932" s="1"/>
    </row>
    <row r="933" spans="1:26" ht="24.75" customHeight="1">
      <c r="A933" s="1"/>
      <c r="B933" s="1"/>
      <c r="C933" s="1"/>
      <c r="D933" s="1"/>
      <c r="E933" s="1"/>
      <c r="F933" s="1"/>
      <c r="G933" s="1"/>
      <c r="H933" s="1"/>
      <c r="I933" s="1"/>
      <c r="J933" s="1"/>
      <c r="K933" s="1"/>
      <c r="L933" s="1"/>
      <c r="M933" s="1"/>
      <c r="N933" s="1"/>
      <c r="O933" s="1"/>
      <c r="P933" s="1"/>
      <c r="Q933" s="1"/>
      <c r="R933" s="1"/>
      <c r="S933" s="1"/>
      <c r="T933" s="1"/>
      <c r="U933" s="2"/>
      <c r="V933" s="1"/>
      <c r="W933" s="1"/>
      <c r="X933" s="1"/>
      <c r="Y933" s="1"/>
      <c r="Z933" s="1"/>
    </row>
    <row r="934" spans="1:26" ht="24.75" customHeight="1">
      <c r="A934" s="1"/>
      <c r="B934" s="1"/>
      <c r="C934" s="1"/>
      <c r="D934" s="1"/>
      <c r="E934" s="1"/>
      <c r="F934" s="1"/>
      <c r="G934" s="1"/>
      <c r="H934" s="1"/>
      <c r="I934" s="1"/>
      <c r="J934" s="1"/>
      <c r="K934" s="1"/>
      <c r="L934" s="1"/>
      <c r="M934" s="1"/>
      <c r="N934" s="1"/>
      <c r="O934" s="1"/>
      <c r="P934" s="1"/>
      <c r="Q934" s="1"/>
      <c r="R934" s="1"/>
      <c r="S934" s="1"/>
      <c r="T934" s="1"/>
      <c r="U934" s="2"/>
      <c r="V934" s="1"/>
      <c r="W934" s="1"/>
      <c r="X934" s="1"/>
      <c r="Y934" s="1"/>
      <c r="Z934" s="1"/>
    </row>
    <row r="935" spans="1:26" ht="24.75" customHeight="1">
      <c r="A935" s="1"/>
      <c r="B935" s="1"/>
      <c r="C935" s="1"/>
      <c r="D935" s="1"/>
      <c r="E935" s="1"/>
      <c r="F935" s="1"/>
      <c r="G935" s="1"/>
      <c r="H935" s="1"/>
      <c r="I935" s="1"/>
      <c r="J935" s="1"/>
      <c r="K935" s="1"/>
      <c r="L935" s="1"/>
      <c r="M935" s="1"/>
      <c r="N935" s="1"/>
      <c r="O935" s="1"/>
      <c r="P935" s="1"/>
      <c r="Q935" s="1"/>
      <c r="R935" s="1"/>
      <c r="S935" s="1"/>
      <c r="T935" s="1"/>
      <c r="U935" s="2"/>
      <c r="V935" s="1"/>
      <c r="W935" s="1"/>
      <c r="X935" s="1"/>
      <c r="Y935" s="1"/>
      <c r="Z935" s="1"/>
    </row>
    <row r="936" spans="1:26" ht="24.75" customHeight="1">
      <c r="A936" s="1"/>
      <c r="B936" s="1"/>
      <c r="C936" s="1"/>
      <c r="D936" s="1"/>
      <c r="E936" s="1"/>
      <c r="F936" s="1"/>
      <c r="G936" s="1"/>
      <c r="H936" s="1"/>
      <c r="I936" s="1"/>
      <c r="J936" s="1"/>
      <c r="K936" s="1"/>
      <c r="L936" s="1"/>
      <c r="M936" s="1"/>
      <c r="N936" s="1"/>
      <c r="O936" s="1"/>
      <c r="P936" s="1"/>
      <c r="Q936" s="1"/>
      <c r="R936" s="1"/>
      <c r="S936" s="1"/>
      <c r="T936" s="1"/>
      <c r="U936" s="2"/>
      <c r="V936" s="1"/>
      <c r="W936" s="1"/>
      <c r="X936" s="1"/>
      <c r="Y936" s="1"/>
      <c r="Z936" s="1"/>
    </row>
    <row r="937" spans="1:26" ht="24.75" customHeight="1">
      <c r="A937" s="1"/>
      <c r="B937" s="1"/>
      <c r="C937" s="1"/>
      <c r="D937" s="1"/>
      <c r="E937" s="1"/>
      <c r="F937" s="1"/>
      <c r="G937" s="1"/>
      <c r="H937" s="1"/>
      <c r="I937" s="1"/>
      <c r="J937" s="1"/>
      <c r="K937" s="1"/>
      <c r="L937" s="1"/>
      <c r="M937" s="1"/>
      <c r="N937" s="1"/>
      <c r="O937" s="1"/>
      <c r="P937" s="1"/>
      <c r="Q937" s="1"/>
      <c r="R937" s="1"/>
      <c r="S937" s="1"/>
      <c r="T937" s="1"/>
      <c r="U937" s="2"/>
      <c r="V937" s="1"/>
      <c r="W937" s="1"/>
      <c r="X937" s="1"/>
      <c r="Y937" s="1"/>
      <c r="Z937" s="1"/>
    </row>
    <row r="938" spans="1:26" ht="24.75" customHeight="1">
      <c r="A938" s="1"/>
      <c r="B938" s="1"/>
      <c r="C938" s="1"/>
      <c r="D938" s="1"/>
      <c r="E938" s="1"/>
      <c r="F938" s="1"/>
      <c r="G938" s="1"/>
      <c r="H938" s="1"/>
      <c r="I938" s="1"/>
      <c r="J938" s="1"/>
      <c r="K938" s="1"/>
      <c r="L938" s="1"/>
      <c r="M938" s="1"/>
      <c r="N938" s="1"/>
      <c r="O938" s="1"/>
      <c r="P938" s="1"/>
      <c r="Q938" s="1"/>
      <c r="R938" s="1"/>
      <c r="S938" s="1"/>
      <c r="T938" s="1"/>
      <c r="U938" s="2"/>
      <c r="V938" s="1"/>
      <c r="W938" s="1"/>
      <c r="X938" s="1"/>
      <c r="Y938" s="1"/>
      <c r="Z938" s="1"/>
    </row>
    <row r="939" spans="1:26" ht="24.75" customHeight="1">
      <c r="A939" s="1"/>
      <c r="B939" s="1"/>
      <c r="C939" s="1"/>
      <c r="D939" s="1"/>
      <c r="E939" s="1"/>
      <c r="F939" s="1"/>
      <c r="G939" s="1"/>
      <c r="H939" s="1"/>
      <c r="I939" s="1"/>
      <c r="J939" s="1"/>
      <c r="K939" s="1"/>
      <c r="L939" s="1"/>
      <c r="M939" s="1"/>
      <c r="N939" s="1"/>
      <c r="O939" s="1"/>
      <c r="P939" s="1"/>
      <c r="Q939" s="1"/>
      <c r="R939" s="1"/>
      <c r="S939" s="1"/>
      <c r="T939" s="1"/>
      <c r="U939" s="2"/>
      <c r="V939" s="1"/>
      <c r="W939" s="1"/>
      <c r="X939" s="1"/>
      <c r="Y939" s="1"/>
      <c r="Z939" s="1"/>
    </row>
    <row r="940" spans="1:26" ht="24.75" customHeight="1">
      <c r="A940" s="1"/>
      <c r="B940" s="1"/>
      <c r="C940" s="1"/>
      <c r="D940" s="1"/>
      <c r="E940" s="1"/>
      <c r="F940" s="1"/>
      <c r="G940" s="1"/>
      <c r="H940" s="1"/>
      <c r="I940" s="1"/>
      <c r="J940" s="1"/>
      <c r="K940" s="1"/>
      <c r="L940" s="1"/>
      <c r="M940" s="1"/>
      <c r="N940" s="1"/>
      <c r="O940" s="1"/>
      <c r="P940" s="1"/>
      <c r="Q940" s="1"/>
      <c r="R940" s="1"/>
      <c r="S940" s="1"/>
      <c r="T940" s="1"/>
      <c r="U940" s="2"/>
      <c r="V940" s="1"/>
      <c r="W940" s="1"/>
      <c r="X940" s="1"/>
      <c r="Y940" s="1"/>
      <c r="Z940" s="1"/>
    </row>
    <row r="941" spans="1:26" ht="24.75" customHeight="1">
      <c r="A941" s="1"/>
      <c r="B941" s="1"/>
      <c r="C941" s="1"/>
      <c r="D941" s="1"/>
      <c r="E941" s="1"/>
      <c r="F941" s="1"/>
      <c r="G941" s="1"/>
      <c r="H941" s="1"/>
      <c r="I941" s="1"/>
      <c r="J941" s="1"/>
      <c r="K941" s="1"/>
      <c r="L941" s="1"/>
      <c r="M941" s="1"/>
      <c r="N941" s="1"/>
      <c r="O941" s="1"/>
      <c r="P941" s="1"/>
      <c r="Q941" s="1"/>
      <c r="R941" s="1"/>
      <c r="S941" s="1"/>
      <c r="T941" s="1"/>
      <c r="U941" s="2"/>
      <c r="V941" s="1"/>
      <c r="W941" s="1"/>
      <c r="X941" s="1"/>
      <c r="Y941" s="1"/>
      <c r="Z941" s="1"/>
    </row>
    <row r="942" spans="1:26" ht="24.75" customHeight="1">
      <c r="A942" s="1"/>
      <c r="B942" s="1"/>
      <c r="C942" s="1"/>
      <c r="D942" s="1"/>
      <c r="E942" s="1"/>
      <c r="F942" s="1"/>
      <c r="G942" s="1"/>
      <c r="H942" s="1"/>
      <c r="I942" s="1"/>
      <c r="J942" s="1"/>
      <c r="K942" s="1"/>
      <c r="L942" s="1"/>
      <c r="M942" s="1"/>
      <c r="N942" s="1"/>
      <c r="O942" s="1"/>
      <c r="P942" s="1"/>
      <c r="Q942" s="1"/>
      <c r="R942" s="1"/>
      <c r="S942" s="1"/>
      <c r="T942" s="1"/>
      <c r="U942" s="2"/>
      <c r="V942" s="1"/>
      <c r="W942" s="1"/>
      <c r="X942" s="1"/>
      <c r="Y942" s="1"/>
      <c r="Z942" s="1"/>
    </row>
    <row r="943" spans="1:26" ht="24.75" customHeight="1">
      <c r="A943" s="1"/>
      <c r="B943" s="1"/>
      <c r="C943" s="1"/>
      <c r="D943" s="1"/>
      <c r="E943" s="1"/>
      <c r="F943" s="1"/>
      <c r="G943" s="1"/>
      <c r="H943" s="1"/>
      <c r="I943" s="1"/>
      <c r="J943" s="1"/>
      <c r="K943" s="1"/>
      <c r="L943" s="1"/>
      <c r="M943" s="1"/>
      <c r="N943" s="1"/>
      <c r="O943" s="1"/>
      <c r="P943" s="1"/>
      <c r="Q943" s="1"/>
      <c r="R943" s="1"/>
      <c r="S943" s="1"/>
      <c r="T943" s="1"/>
      <c r="U943" s="2"/>
      <c r="V943" s="1"/>
      <c r="W943" s="1"/>
      <c r="X943" s="1"/>
      <c r="Y943" s="1"/>
      <c r="Z943" s="1"/>
    </row>
    <row r="944" spans="1:26" ht="24.75" customHeight="1">
      <c r="A944" s="1"/>
      <c r="B944" s="1"/>
      <c r="C944" s="1"/>
      <c r="D944" s="1"/>
      <c r="E944" s="1"/>
      <c r="F944" s="1"/>
      <c r="G944" s="1"/>
      <c r="H944" s="1"/>
      <c r="I944" s="1"/>
      <c r="J944" s="1"/>
      <c r="K944" s="1"/>
      <c r="L944" s="1"/>
      <c r="M944" s="1"/>
      <c r="N944" s="1"/>
      <c r="O944" s="1"/>
      <c r="P944" s="1"/>
      <c r="Q944" s="1"/>
      <c r="R944" s="1"/>
      <c r="S944" s="1"/>
      <c r="T944" s="1"/>
      <c r="U944" s="2"/>
      <c r="V944" s="1"/>
      <c r="W944" s="1"/>
      <c r="X944" s="1"/>
      <c r="Y944" s="1"/>
      <c r="Z944" s="1"/>
    </row>
    <row r="945" spans="1:26" ht="24.75" customHeight="1">
      <c r="A945" s="1"/>
      <c r="B945" s="1"/>
      <c r="C945" s="1"/>
      <c r="D945" s="1"/>
      <c r="E945" s="1"/>
      <c r="F945" s="1"/>
      <c r="G945" s="1"/>
      <c r="H945" s="1"/>
      <c r="I945" s="1"/>
      <c r="J945" s="1"/>
      <c r="K945" s="1"/>
      <c r="L945" s="1"/>
      <c r="M945" s="1"/>
      <c r="N945" s="1"/>
      <c r="O945" s="1"/>
      <c r="P945" s="1"/>
      <c r="Q945" s="1"/>
      <c r="R945" s="1"/>
      <c r="S945" s="1"/>
      <c r="T945" s="1"/>
      <c r="U945" s="2"/>
      <c r="V945" s="1"/>
      <c r="W945" s="1"/>
      <c r="X945" s="1"/>
      <c r="Y945" s="1"/>
      <c r="Z945" s="1"/>
    </row>
    <row r="946" spans="1:26" ht="24.75" customHeight="1">
      <c r="A946" s="1"/>
      <c r="B946" s="1"/>
      <c r="C946" s="1"/>
      <c r="D946" s="1"/>
      <c r="E946" s="1"/>
      <c r="F946" s="1"/>
      <c r="G946" s="1"/>
      <c r="H946" s="1"/>
      <c r="I946" s="1"/>
      <c r="J946" s="1"/>
      <c r="K946" s="1"/>
      <c r="L946" s="1"/>
      <c r="M946" s="1"/>
      <c r="N946" s="1"/>
      <c r="O946" s="1"/>
      <c r="P946" s="1"/>
      <c r="Q946" s="1"/>
      <c r="R946" s="1"/>
      <c r="S946" s="1"/>
      <c r="T946" s="1"/>
      <c r="U946" s="2"/>
      <c r="V946" s="1"/>
      <c r="W946" s="1"/>
      <c r="X946" s="1"/>
      <c r="Y946" s="1"/>
      <c r="Z946" s="1"/>
    </row>
    <row r="947" spans="1:26" ht="24.75" customHeight="1">
      <c r="A947" s="1"/>
      <c r="B947" s="1"/>
      <c r="C947" s="1"/>
      <c r="D947" s="1"/>
      <c r="E947" s="1"/>
      <c r="F947" s="1"/>
      <c r="G947" s="1"/>
      <c r="H947" s="1"/>
      <c r="I947" s="1"/>
      <c r="J947" s="1"/>
      <c r="K947" s="1"/>
      <c r="L947" s="1"/>
      <c r="M947" s="1"/>
      <c r="N947" s="1"/>
      <c r="O947" s="1"/>
      <c r="P947" s="1"/>
      <c r="Q947" s="1"/>
      <c r="R947" s="1"/>
      <c r="S947" s="1"/>
      <c r="T947" s="1"/>
      <c r="U947" s="2"/>
      <c r="V947" s="1"/>
      <c r="W947" s="1"/>
      <c r="X947" s="1"/>
      <c r="Y947" s="1"/>
      <c r="Z947" s="1"/>
    </row>
    <row r="948" spans="1:26" ht="24.75" customHeight="1">
      <c r="A948" s="1"/>
      <c r="B948" s="1"/>
      <c r="C948" s="1"/>
      <c r="D948" s="1"/>
      <c r="E948" s="1"/>
      <c r="F948" s="1"/>
      <c r="G948" s="1"/>
      <c r="H948" s="1"/>
      <c r="I948" s="1"/>
      <c r="J948" s="1"/>
      <c r="K948" s="1"/>
      <c r="L948" s="1"/>
      <c r="M948" s="1"/>
      <c r="N948" s="1"/>
      <c r="O948" s="1"/>
      <c r="P948" s="1"/>
      <c r="Q948" s="1"/>
      <c r="R948" s="1"/>
      <c r="S948" s="1"/>
      <c r="T948" s="1"/>
      <c r="U948" s="2"/>
      <c r="V948" s="1"/>
      <c r="W948" s="1"/>
      <c r="X948" s="1"/>
      <c r="Y948" s="1"/>
      <c r="Z948" s="1"/>
    </row>
    <row r="949" spans="1:26" ht="24.75" customHeight="1">
      <c r="A949" s="1"/>
      <c r="B949" s="1"/>
      <c r="C949" s="1"/>
      <c r="D949" s="1"/>
      <c r="E949" s="1"/>
      <c r="F949" s="1"/>
      <c r="G949" s="1"/>
      <c r="H949" s="1"/>
      <c r="I949" s="1"/>
      <c r="J949" s="1"/>
      <c r="K949" s="1"/>
      <c r="L949" s="1"/>
      <c r="M949" s="1"/>
      <c r="N949" s="1"/>
      <c r="O949" s="1"/>
      <c r="P949" s="1"/>
      <c r="Q949" s="1"/>
      <c r="R949" s="1"/>
      <c r="S949" s="1"/>
      <c r="T949" s="1"/>
      <c r="U949" s="2"/>
      <c r="V949" s="1"/>
      <c r="W949" s="1"/>
      <c r="X949" s="1"/>
      <c r="Y949" s="1"/>
      <c r="Z949" s="1"/>
    </row>
    <row r="950" spans="1:26" ht="24.75" customHeight="1">
      <c r="A950" s="1"/>
      <c r="B950" s="1"/>
      <c r="C950" s="1"/>
      <c r="D950" s="1"/>
      <c r="E950" s="1"/>
      <c r="F950" s="1"/>
      <c r="G950" s="1"/>
      <c r="H950" s="1"/>
      <c r="I950" s="1"/>
      <c r="J950" s="1"/>
      <c r="K950" s="1"/>
      <c r="L950" s="1"/>
      <c r="M950" s="1"/>
      <c r="N950" s="1"/>
      <c r="O950" s="1"/>
      <c r="P950" s="1"/>
      <c r="Q950" s="1"/>
      <c r="R950" s="1"/>
      <c r="S950" s="1"/>
      <c r="T950" s="1"/>
      <c r="U950" s="2"/>
      <c r="V950" s="1"/>
      <c r="W950" s="1"/>
      <c r="X950" s="1"/>
      <c r="Y950" s="1"/>
      <c r="Z950" s="1"/>
    </row>
    <row r="951" spans="1:26" ht="24.75" customHeight="1">
      <c r="A951" s="1"/>
      <c r="B951" s="1"/>
      <c r="C951" s="1"/>
      <c r="D951" s="1"/>
      <c r="E951" s="1"/>
      <c r="F951" s="1"/>
      <c r="G951" s="1"/>
      <c r="H951" s="1"/>
      <c r="I951" s="1"/>
      <c r="J951" s="1"/>
      <c r="K951" s="1"/>
      <c r="L951" s="1"/>
      <c r="M951" s="1"/>
      <c r="N951" s="1"/>
      <c r="O951" s="1"/>
      <c r="P951" s="1"/>
      <c r="Q951" s="1"/>
      <c r="R951" s="1"/>
      <c r="S951" s="1"/>
      <c r="T951" s="1"/>
      <c r="U951" s="2"/>
      <c r="V951" s="1"/>
      <c r="W951" s="1"/>
      <c r="X951" s="1"/>
      <c r="Y951" s="1"/>
      <c r="Z951" s="1"/>
    </row>
    <row r="952" spans="1:26" ht="24.75" customHeight="1">
      <c r="A952" s="1"/>
      <c r="B952" s="1"/>
      <c r="C952" s="1"/>
      <c r="D952" s="1"/>
      <c r="E952" s="1"/>
      <c r="F952" s="1"/>
      <c r="G952" s="1"/>
      <c r="H952" s="1"/>
      <c r="I952" s="1"/>
      <c r="J952" s="1"/>
      <c r="K952" s="1"/>
      <c r="L952" s="1"/>
      <c r="M952" s="1"/>
      <c r="N952" s="1"/>
      <c r="O952" s="1"/>
      <c r="P952" s="1"/>
      <c r="Q952" s="1"/>
      <c r="R952" s="1"/>
      <c r="S952" s="1"/>
      <c r="T952" s="1"/>
      <c r="U952" s="2"/>
      <c r="V952" s="1"/>
      <c r="W952" s="1"/>
      <c r="X952" s="1"/>
      <c r="Y952" s="1"/>
      <c r="Z952" s="1"/>
    </row>
    <row r="953" spans="1:26" ht="24.75" customHeight="1">
      <c r="A953" s="1"/>
      <c r="B953" s="1"/>
      <c r="C953" s="1"/>
      <c r="D953" s="1"/>
      <c r="E953" s="1"/>
      <c r="F953" s="1"/>
      <c r="G953" s="1"/>
      <c r="H953" s="1"/>
      <c r="I953" s="1"/>
      <c r="J953" s="1"/>
      <c r="K953" s="1"/>
      <c r="L953" s="1"/>
      <c r="M953" s="1"/>
      <c r="N953" s="1"/>
      <c r="O953" s="1"/>
      <c r="P953" s="1"/>
      <c r="Q953" s="1"/>
      <c r="R953" s="1"/>
      <c r="S953" s="1"/>
      <c r="T953" s="1"/>
      <c r="U953" s="2"/>
      <c r="V953" s="1"/>
      <c r="W953" s="1"/>
      <c r="X953" s="1"/>
      <c r="Y953" s="1"/>
      <c r="Z953" s="1"/>
    </row>
    <row r="954" spans="1:26" ht="24.75" customHeight="1">
      <c r="A954" s="1"/>
      <c r="B954" s="1"/>
      <c r="C954" s="1"/>
      <c r="D954" s="1"/>
      <c r="E954" s="1"/>
      <c r="F954" s="1"/>
      <c r="G954" s="1"/>
      <c r="H954" s="1"/>
      <c r="I954" s="1"/>
      <c r="J954" s="1"/>
      <c r="K954" s="1"/>
      <c r="L954" s="1"/>
      <c r="M954" s="1"/>
      <c r="N954" s="1"/>
      <c r="O954" s="1"/>
      <c r="P954" s="1"/>
      <c r="Q954" s="1"/>
      <c r="R954" s="1"/>
      <c r="S954" s="1"/>
      <c r="T954" s="1"/>
      <c r="U954" s="2"/>
      <c r="V954" s="1"/>
      <c r="W954" s="1"/>
      <c r="X954" s="1"/>
      <c r="Y954" s="1"/>
      <c r="Z954" s="1"/>
    </row>
    <row r="955" spans="1:26" ht="24.75" customHeight="1">
      <c r="A955" s="1"/>
      <c r="B955" s="1"/>
      <c r="C955" s="1"/>
      <c r="D955" s="1"/>
      <c r="E955" s="1"/>
      <c r="F955" s="1"/>
      <c r="G955" s="1"/>
      <c r="H955" s="1"/>
      <c r="I955" s="1"/>
      <c r="J955" s="1"/>
      <c r="K955" s="1"/>
      <c r="L955" s="1"/>
      <c r="M955" s="1"/>
      <c r="N955" s="1"/>
      <c r="O955" s="1"/>
      <c r="P955" s="1"/>
      <c r="Q955" s="1"/>
      <c r="R955" s="1"/>
      <c r="S955" s="1"/>
      <c r="T955" s="1"/>
      <c r="U955" s="2"/>
      <c r="V955" s="1"/>
      <c r="W955" s="1"/>
      <c r="X955" s="1"/>
      <c r="Y955" s="1"/>
      <c r="Z955" s="1"/>
    </row>
    <row r="956" spans="1:26" ht="24.75" customHeight="1">
      <c r="A956" s="1"/>
      <c r="B956" s="1"/>
      <c r="C956" s="1"/>
      <c r="D956" s="1"/>
      <c r="E956" s="1"/>
      <c r="F956" s="1"/>
      <c r="G956" s="1"/>
      <c r="H956" s="1"/>
      <c r="I956" s="1"/>
      <c r="J956" s="1"/>
      <c r="K956" s="1"/>
      <c r="L956" s="1"/>
      <c r="M956" s="1"/>
      <c r="N956" s="1"/>
      <c r="O956" s="1"/>
      <c r="P956" s="1"/>
      <c r="Q956" s="1"/>
      <c r="R956" s="1"/>
      <c r="S956" s="1"/>
      <c r="T956" s="1"/>
      <c r="U956" s="2"/>
      <c r="V956" s="1"/>
      <c r="W956" s="1"/>
      <c r="X956" s="1"/>
      <c r="Y956" s="1"/>
      <c r="Z956" s="1"/>
    </row>
    <row r="957" spans="1:26" ht="24.75" customHeight="1">
      <c r="A957" s="1"/>
      <c r="B957" s="1"/>
      <c r="C957" s="1"/>
      <c r="D957" s="1"/>
      <c r="E957" s="1"/>
      <c r="F957" s="1"/>
      <c r="G957" s="1"/>
      <c r="H957" s="1"/>
      <c r="I957" s="1"/>
      <c r="J957" s="1"/>
      <c r="K957" s="1"/>
      <c r="L957" s="1"/>
      <c r="M957" s="1"/>
      <c r="N957" s="1"/>
      <c r="O957" s="1"/>
      <c r="P957" s="1"/>
      <c r="Q957" s="1"/>
      <c r="R957" s="1"/>
      <c r="S957" s="1"/>
      <c r="T957" s="1"/>
      <c r="U957" s="2"/>
      <c r="V957" s="1"/>
      <c r="W957" s="1"/>
      <c r="X957" s="1"/>
      <c r="Y957" s="1"/>
      <c r="Z957" s="1"/>
    </row>
    <row r="958" spans="1:26" ht="24.75" customHeight="1">
      <c r="A958" s="1"/>
      <c r="B958" s="1"/>
      <c r="C958" s="1"/>
      <c r="D958" s="1"/>
      <c r="E958" s="1"/>
      <c r="F958" s="1"/>
      <c r="G958" s="1"/>
      <c r="H958" s="1"/>
      <c r="I958" s="1"/>
      <c r="J958" s="1"/>
      <c r="K958" s="1"/>
      <c r="L958" s="1"/>
      <c r="M958" s="1"/>
      <c r="N958" s="1"/>
      <c r="O958" s="1"/>
      <c r="P958" s="1"/>
      <c r="Q958" s="1"/>
      <c r="R958" s="1"/>
      <c r="S958" s="1"/>
      <c r="T958" s="1"/>
      <c r="U958" s="2"/>
      <c r="V958" s="1"/>
      <c r="W958" s="1"/>
      <c r="X958" s="1"/>
      <c r="Y958" s="1"/>
      <c r="Z958" s="1"/>
    </row>
    <row r="959" spans="1:26" ht="24.75" customHeight="1">
      <c r="A959" s="1"/>
      <c r="B959" s="1"/>
      <c r="C959" s="1"/>
      <c r="D959" s="1"/>
      <c r="E959" s="1"/>
      <c r="F959" s="1"/>
      <c r="G959" s="1"/>
      <c r="H959" s="1"/>
      <c r="I959" s="1"/>
      <c r="J959" s="1"/>
      <c r="K959" s="1"/>
      <c r="L959" s="1"/>
      <c r="M959" s="1"/>
      <c r="N959" s="1"/>
      <c r="O959" s="1"/>
      <c r="P959" s="1"/>
      <c r="Q959" s="1"/>
      <c r="R959" s="1"/>
      <c r="S959" s="1"/>
      <c r="T959" s="1"/>
      <c r="U959" s="2"/>
      <c r="V959" s="1"/>
      <c r="W959" s="1"/>
      <c r="X959" s="1"/>
      <c r="Y959" s="1"/>
      <c r="Z959" s="1"/>
    </row>
    <row r="960" spans="1:26" ht="24.75" customHeight="1">
      <c r="A960" s="1"/>
      <c r="B960" s="1"/>
      <c r="C960" s="1"/>
      <c r="D960" s="1"/>
      <c r="E960" s="1"/>
      <c r="F960" s="1"/>
      <c r="G960" s="1"/>
      <c r="H960" s="1"/>
      <c r="I960" s="1"/>
      <c r="J960" s="1"/>
      <c r="K960" s="1"/>
      <c r="L960" s="1"/>
      <c r="M960" s="1"/>
      <c r="N960" s="1"/>
      <c r="O960" s="1"/>
      <c r="P960" s="1"/>
      <c r="Q960" s="1"/>
      <c r="R960" s="1"/>
      <c r="S960" s="1"/>
      <c r="T960" s="1"/>
      <c r="U960" s="2"/>
      <c r="V960" s="1"/>
      <c r="W960" s="1"/>
      <c r="X960" s="1"/>
      <c r="Y960" s="1"/>
      <c r="Z960" s="1"/>
    </row>
    <row r="961" spans="1:26" ht="24.75" customHeight="1">
      <c r="A961" s="1"/>
      <c r="B961" s="1"/>
      <c r="C961" s="1"/>
      <c r="D961" s="1"/>
      <c r="E961" s="1"/>
      <c r="F961" s="1"/>
      <c r="G961" s="1"/>
      <c r="H961" s="1"/>
      <c r="I961" s="1"/>
      <c r="J961" s="1"/>
      <c r="K961" s="1"/>
      <c r="L961" s="1"/>
      <c r="M961" s="1"/>
      <c r="N961" s="1"/>
      <c r="O961" s="1"/>
      <c r="P961" s="1"/>
      <c r="Q961" s="1"/>
      <c r="R961" s="1"/>
      <c r="S961" s="1"/>
      <c r="T961" s="1"/>
      <c r="U961" s="2"/>
      <c r="V961" s="1"/>
      <c r="W961" s="1"/>
      <c r="X961" s="1"/>
      <c r="Y961" s="1"/>
      <c r="Z961" s="1"/>
    </row>
    <row r="962" spans="1:26" ht="24.75" customHeight="1">
      <c r="A962" s="1"/>
      <c r="B962" s="1"/>
      <c r="C962" s="1"/>
      <c r="D962" s="1"/>
      <c r="E962" s="1"/>
      <c r="F962" s="1"/>
      <c r="G962" s="1"/>
      <c r="H962" s="1"/>
      <c r="I962" s="1"/>
      <c r="J962" s="1"/>
      <c r="K962" s="1"/>
      <c r="L962" s="1"/>
      <c r="M962" s="1"/>
      <c r="N962" s="1"/>
      <c r="O962" s="1"/>
      <c r="P962" s="1"/>
      <c r="Q962" s="1"/>
      <c r="R962" s="1"/>
      <c r="S962" s="1"/>
      <c r="T962" s="1"/>
      <c r="U962" s="2"/>
      <c r="V962" s="1"/>
      <c r="W962" s="1"/>
      <c r="X962" s="1"/>
      <c r="Y962" s="1"/>
      <c r="Z962" s="1"/>
    </row>
    <row r="963" spans="1:26" ht="24.75" customHeight="1">
      <c r="A963" s="1"/>
      <c r="B963" s="1"/>
      <c r="C963" s="1"/>
      <c r="D963" s="1"/>
      <c r="E963" s="1"/>
      <c r="F963" s="1"/>
      <c r="G963" s="1"/>
      <c r="H963" s="1"/>
      <c r="I963" s="1"/>
      <c r="J963" s="1"/>
      <c r="K963" s="1"/>
      <c r="L963" s="1"/>
      <c r="M963" s="1"/>
      <c r="N963" s="1"/>
      <c r="O963" s="1"/>
      <c r="P963" s="1"/>
      <c r="Q963" s="1"/>
      <c r="R963" s="1"/>
      <c r="S963" s="1"/>
      <c r="T963" s="1"/>
      <c r="U963" s="2"/>
      <c r="V963" s="1"/>
      <c r="W963" s="1"/>
      <c r="X963" s="1"/>
      <c r="Y963" s="1"/>
      <c r="Z963" s="1"/>
    </row>
    <row r="964" spans="1:26" ht="24.75" customHeight="1">
      <c r="A964" s="1"/>
      <c r="B964" s="1"/>
      <c r="C964" s="1"/>
      <c r="D964" s="1"/>
      <c r="E964" s="1"/>
      <c r="F964" s="1"/>
      <c r="G964" s="1"/>
      <c r="H964" s="1"/>
      <c r="I964" s="1"/>
      <c r="J964" s="1"/>
      <c r="K964" s="1"/>
      <c r="L964" s="1"/>
      <c r="M964" s="1"/>
      <c r="N964" s="1"/>
      <c r="O964" s="1"/>
      <c r="P964" s="1"/>
      <c r="Q964" s="1"/>
      <c r="R964" s="1"/>
      <c r="S964" s="1"/>
      <c r="T964" s="1"/>
      <c r="U964" s="2"/>
      <c r="V964" s="1"/>
      <c r="W964" s="1"/>
      <c r="X964" s="1"/>
      <c r="Y964" s="1"/>
      <c r="Z964" s="1"/>
    </row>
    <row r="965" spans="1:26" ht="24.75" customHeight="1">
      <c r="A965" s="1"/>
      <c r="B965" s="1"/>
      <c r="C965" s="1"/>
      <c r="D965" s="1"/>
      <c r="E965" s="1"/>
      <c r="F965" s="1"/>
      <c r="G965" s="1"/>
      <c r="H965" s="1"/>
      <c r="I965" s="1"/>
      <c r="J965" s="1"/>
      <c r="K965" s="1"/>
      <c r="L965" s="1"/>
      <c r="M965" s="1"/>
      <c r="N965" s="1"/>
      <c r="O965" s="1"/>
      <c r="P965" s="1"/>
      <c r="Q965" s="1"/>
      <c r="R965" s="1"/>
      <c r="S965" s="1"/>
      <c r="T965" s="1"/>
      <c r="U965" s="2"/>
      <c r="V965" s="1"/>
      <c r="W965" s="1"/>
      <c r="X965" s="1"/>
      <c r="Y965" s="1"/>
      <c r="Z965" s="1"/>
    </row>
    <row r="966" spans="1:26" ht="24.75" customHeight="1">
      <c r="A966" s="1"/>
      <c r="B966" s="1"/>
      <c r="C966" s="1"/>
      <c r="D966" s="1"/>
      <c r="E966" s="1"/>
      <c r="F966" s="1"/>
      <c r="G966" s="1"/>
      <c r="H966" s="1"/>
      <c r="I966" s="1"/>
      <c r="J966" s="1"/>
      <c r="K966" s="1"/>
      <c r="L966" s="1"/>
      <c r="M966" s="1"/>
      <c r="N966" s="1"/>
      <c r="O966" s="1"/>
      <c r="P966" s="1"/>
      <c r="Q966" s="1"/>
      <c r="R966" s="1"/>
      <c r="S966" s="1"/>
      <c r="T966" s="1"/>
      <c r="U966" s="2"/>
      <c r="V966" s="1"/>
      <c r="W966" s="1"/>
      <c r="X966" s="1"/>
      <c r="Y966" s="1"/>
      <c r="Z966" s="1"/>
    </row>
    <row r="967" spans="1:26" ht="24.75" customHeight="1">
      <c r="A967" s="1"/>
      <c r="B967" s="1"/>
      <c r="C967" s="1"/>
      <c r="D967" s="1"/>
      <c r="E967" s="1"/>
      <c r="F967" s="1"/>
      <c r="G967" s="1"/>
      <c r="H967" s="1"/>
      <c r="I967" s="1"/>
      <c r="J967" s="1"/>
      <c r="K967" s="1"/>
      <c r="L967" s="1"/>
      <c r="M967" s="1"/>
      <c r="N967" s="1"/>
      <c r="O967" s="1"/>
      <c r="P967" s="1"/>
      <c r="Q967" s="1"/>
      <c r="R967" s="1"/>
      <c r="S967" s="1"/>
      <c r="T967" s="1"/>
      <c r="U967" s="2"/>
      <c r="V967" s="1"/>
      <c r="W967" s="1"/>
      <c r="X967" s="1"/>
      <c r="Y967" s="1"/>
      <c r="Z967" s="1"/>
    </row>
    <row r="968" spans="1:26" ht="24.75" customHeight="1">
      <c r="A968" s="1"/>
      <c r="B968" s="1"/>
      <c r="C968" s="1"/>
      <c r="D968" s="1"/>
      <c r="E968" s="1"/>
      <c r="F968" s="1"/>
      <c r="G968" s="1"/>
      <c r="H968" s="1"/>
      <c r="I968" s="1"/>
      <c r="J968" s="1"/>
      <c r="K968" s="1"/>
      <c r="L968" s="1"/>
      <c r="M968" s="1"/>
      <c r="N968" s="1"/>
      <c r="O968" s="1"/>
      <c r="P968" s="1"/>
      <c r="Q968" s="1"/>
      <c r="R968" s="1"/>
      <c r="S968" s="1"/>
      <c r="T968" s="1"/>
      <c r="U968" s="2"/>
      <c r="V968" s="1"/>
      <c r="W968" s="1"/>
      <c r="X968" s="1"/>
      <c r="Y968" s="1"/>
      <c r="Z968" s="1"/>
    </row>
    <row r="969" spans="1:26" ht="24.75" customHeight="1">
      <c r="A969" s="1"/>
      <c r="B969" s="1"/>
      <c r="C969" s="1"/>
      <c r="D969" s="1"/>
      <c r="E969" s="1"/>
      <c r="F969" s="1"/>
      <c r="G969" s="1"/>
      <c r="H969" s="1"/>
      <c r="I969" s="1"/>
      <c r="J969" s="1"/>
      <c r="K969" s="1"/>
      <c r="L969" s="1"/>
      <c r="M969" s="1"/>
      <c r="N969" s="1"/>
      <c r="O969" s="1"/>
      <c r="P969" s="1"/>
      <c r="Q969" s="1"/>
      <c r="R969" s="1"/>
      <c r="S969" s="1"/>
      <c r="T969" s="1"/>
      <c r="U969" s="2"/>
      <c r="V969" s="1"/>
      <c r="W969" s="1"/>
      <c r="X969" s="1"/>
      <c r="Y969" s="1"/>
      <c r="Z969" s="1"/>
    </row>
    <row r="970" spans="1:26" ht="24.75" customHeight="1">
      <c r="A970" s="1"/>
      <c r="B970" s="1"/>
      <c r="C970" s="1"/>
      <c r="D970" s="1"/>
      <c r="E970" s="1"/>
      <c r="F970" s="1"/>
      <c r="G970" s="1"/>
      <c r="H970" s="1"/>
      <c r="I970" s="1"/>
      <c r="J970" s="1"/>
      <c r="K970" s="1"/>
      <c r="L970" s="1"/>
      <c r="M970" s="1"/>
      <c r="N970" s="1"/>
      <c r="O970" s="1"/>
      <c r="P970" s="1"/>
      <c r="Q970" s="1"/>
      <c r="R970" s="1"/>
      <c r="S970" s="1"/>
      <c r="T970" s="1"/>
      <c r="U970" s="2"/>
      <c r="V970" s="1"/>
      <c r="W970" s="1"/>
      <c r="X970" s="1"/>
      <c r="Y970" s="1"/>
      <c r="Z970" s="1"/>
    </row>
    <row r="971" spans="1:26" ht="24.75" customHeight="1">
      <c r="A971" s="1"/>
      <c r="B971" s="1"/>
      <c r="C971" s="1"/>
      <c r="D971" s="1"/>
      <c r="E971" s="1"/>
      <c r="F971" s="1"/>
      <c r="G971" s="1"/>
      <c r="H971" s="1"/>
      <c r="I971" s="1"/>
      <c r="J971" s="1"/>
      <c r="K971" s="1"/>
      <c r="L971" s="1"/>
      <c r="M971" s="1"/>
      <c r="N971" s="1"/>
      <c r="O971" s="1"/>
      <c r="P971" s="1"/>
      <c r="Q971" s="1"/>
      <c r="R971" s="1"/>
      <c r="S971" s="1"/>
      <c r="T971" s="1"/>
      <c r="U971" s="2"/>
      <c r="V971" s="1"/>
      <c r="W971" s="1"/>
      <c r="X971" s="1"/>
      <c r="Y971" s="1"/>
      <c r="Z971" s="1"/>
    </row>
    <row r="972" spans="1:26" ht="24.75" customHeight="1">
      <c r="A972" s="1"/>
      <c r="B972" s="1"/>
      <c r="C972" s="1"/>
      <c r="D972" s="1"/>
      <c r="E972" s="1"/>
      <c r="F972" s="1"/>
      <c r="G972" s="1"/>
      <c r="H972" s="1"/>
      <c r="I972" s="1"/>
      <c r="J972" s="1"/>
      <c r="K972" s="1"/>
      <c r="L972" s="1"/>
      <c r="M972" s="1"/>
      <c r="N972" s="1"/>
      <c r="O972" s="1"/>
      <c r="P972" s="1"/>
      <c r="Q972" s="1"/>
      <c r="R972" s="1"/>
      <c r="S972" s="1"/>
      <c r="T972" s="1"/>
      <c r="U972" s="2"/>
      <c r="V972" s="1"/>
      <c r="W972" s="1"/>
      <c r="X972" s="1"/>
      <c r="Y972" s="1"/>
      <c r="Z972" s="1"/>
    </row>
    <row r="973" spans="1:26" ht="24.75" customHeight="1">
      <c r="A973" s="1"/>
      <c r="B973" s="1"/>
      <c r="C973" s="1"/>
      <c r="D973" s="1"/>
      <c r="E973" s="1"/>
      <c r="F973" s="1"/>
      <c r="G973" s="1"/>
      <c r="H973" s="1"/>
      <c r="I973" s="1"/>
      <c r="J973" s="1"/>
      <c r="K973" s="1"/>
      <c r="L973" s="1"/>
      <c r="M973" s="1"/>
      <c r="N973" s="1"/>
      <c r="O973" s="1"/>
      <c r="P973" s="1"/>
      <c r="Q973" s="1"/>
      <c r="R973" s="1"/>
      <c r="S973" s="1"/>
      <c r="T973" s="1"/>
      <c r="U973" s="2"/>
      <c r="V973" s="1"/>
      <c r="W973" s="1"/>
      <c r="X973" s="1"/>
      <c r="Y973" s="1"/>
      <c r="Z973" s="1"/>
    </row>
    <row r="974" spans="1:26" ht="24.75" customHeight="1">
      <c r="A974" s="1"/>
      <c r="B974" s="1"/>
      <c r="C974" s="1"/>
      <c r="D974" s="1"/>
      <c r="E974" s="1"/>
      <c r="F974" s="1"/>
      <c r="G974" s="1"/>
      <c r="H974" s="1"/>
      <c r="I974" s="1"/>
      <c r="J974" s="1"/>
      <c r="K974" s="1"/>
      <c r="L974" s="1"/>
      <c r="M974" s="1"/>
      <c r="N974" s="1"/>
      <c r="O974" s="1"/>
      <c r="P974" s="1"/>
      <c r="Q974" s="1"/>
      <c r="R974" s="1"/>
      <c r="S974" s="1"/>
      <c r="T974" s="1"/>
      <c r="U974" s="2"/>
      <c r="V974" s="1"/>
      <c r="W974" s="1"/>
      <c r="X974" s="1"/>
      <c r="Y974" s="1"/>
      <c r="Z974" s="1"/>
    </row>
    <row r="975" spans="1:26" ht="24.75" customHeight="1">
      <c r="A975" s="1"/>
      <c r="B975" s="1"/>
      <c r="C975" s="1"/>
      <c r="D975" s="1"/>
      <c r="E975" s="1"/>
      <c r="F975" s="1"/>
      <c r="G975" s="1"/>
      <c r="H975" s="1"/>
      <c r="I975" s="1"/>
      <c r="J975" s="1"/>
      <c r="K975" s="1"/>
      <c r="L975" s="1"/>
      <c r="M975" s="1"/>
      <c r="N975" s="1"/>
      <c r="O975" s="1"/>
      <c r="P975" s="1"/>
      <c r="Q975" s="1"/>
      <c r="R975" s="1"/>
      <c r="S975" s="1"/>
      <c r="T975" s="1"/>
      <c r="U975" s="2"/>
      <c r="V975" s="1"/>
      <c r="W975" s="1"/>
      <c r="X975" s="1"/>
      <c r="Y975" s="1"/>
      <c r="Z975" s="1"/>
    </row>
    <row r="976" spans="1:26" ht="24.75" customHeight="1">
      <c r="A976" s="1"/>
      <c r="B976" s="1"/>
      <c r="C976" s="1"/>
      <c r="D976" s="1"/>
      <c r="E976" s="1"/>
      <c r="F976" s="1"/>
      <c r="G976" s="1"/>
      <c r="H976" s="1"/>
      <c r="I976" s="1"/>
      <c r="J976" s="1"/>
      <c r="K976" s="1"/>
      <c r="L976" s="1"/>
      <c r="M976" s="1"/>
      <c r="N976" s="1"/>
      <c r="O976" s="1"/>
      <c r="P976" s="1"/>
      <c r="Q976" s="1"/>
      <c r="R976" s="1"/>
      <c r="S976" s="1"/>
      <c r="T976" s="1"/>
      <c r="U976" s="2"/>
      <c r="V976" s="1"/>
      <c r="W976" s="1"/>
      <c r="X976" s="1"/>
      <c r="Y976" s="1"/>
      <c r="Z976" s="1"/>
    </row>
    <row r="977" spans="1:26" ht="24.75" customHeight="1">
      <c r="A977" s="1"/>
      <c r="B977" s="1"/>
      <c r="C977" s="1"/>
      <c r="D977" s="1"/>
      <c r="E977" s="1"/>
      <c r="F977" s="1"/>
      <c r="G977" s="1"/>
      <c r="H977" s="1"/>
      <c r="I977" s="1"/>
      <c r="J977" s="1"/>
      <c r="K977" s="1"/>
      <c r="L977" s="1"/>
      <c r="M977" s="1"/>
      <c r="N977" s="1"/>
      <c r="O977" s="1"/>
      <c r="P977" s="1"/>
      <c r="Q977" s="1"/>
      <c r="R977" s="1"/>
      <c r="S977" s="1"/>
      <c r="T977" s="1"/>
      <c r="U977" s="2"/>
      <c r="V977" s="1"/>
      <c r="W977" s="1"/>
      <c r="X977" s="1"/>
      <c r="Y977" s="1"/>
      <c r="Z977" s="1"/>
    </row>
    <row r="978" spans="1:26" ht="24.75" customHeight="1">
      <c r="A978" s="1"/>
      <c r="B978" s="1"/>
      <c r="C978" s="1"/>
      <c r="D978" s="1"/>
      <c r="E978" s="1"/>
      <c r="F978" s="1"/>
      <c r="G978" s="1"/>
      <c r="H978" s="1"/>
      <c r="I978" s="1"/>
      <c r="J978" s="1"/>
      <c r="K978" s="1"/>
      <c r="L978" s="1"/>
      <c r="M978" s="1"/>
      <c r="N978" s="1"/>
      <c r="O978" s="1"/>
      <c r="P978" s="1"/>
      <c r="Q978" s="1"/>
      <c r="R978" s="1"/>
      <c r="S978" s="1"/>
      <c r="T978" s="1"/>
      <c r="U978" s="2"/>
      <c r="V978" s="1"/>
      <c r="W978" s="1"/>
      <c r="X978" s="1"/>
      <c r="Y978" s="1"/>
      <c r="Z978" s="1"/>
    </row>
    <row r="979" spans="1:26" ht="24.75" customHeight="1">
      <c r="A979" s="1"/>
      <c r="B979" s="1"/>
      <c r="C979" s="1"/>
      <c r="D979" s="1"/>
      <c r="E979" s="1"/>
      <c r="F979" s="1"/>
      <c r="G979" s="1"/>
      <c r="H979" s="1"/>
      <c r="I979" s="1"/>
      <c r="J979" s="1"/>
      <c r="K979" s="1"/>
      <c r="L979" s="1"/>
      <c r="M979" s="1"/>
      <c r="N979" s="1"/>
      <c r="O979" s="1"/>
      <c r="P979" s="1"/>
      <c r="Q979" s="1"/>
      <c r="R979" s="1"/>
      <c r="S979" s="1"/>
      <c r="T979" s="1"/>
      <c r="U979" s="2"/>
      <c r="V979" s="1"/>
      <c r="W979" s="1"/>
      <c r="X979" s="1"/>
      <c r="Y979" s="1"/>
      <c r="Z979" s="1"/>
    </row>
    <row r="980" spans="1:26" ht="24.75" customHeight="1">
      <c r="A980" s="1"/>
      <c r="B980" s="1"/>
      <c r="C980" s="1"/>
      <c r="D980" s="1"/>
      <c r="E980" s="1"/>
      <c r="F980" s="1"/>
      <c r="G980" s="1"/>
      <c r="H980" s="1"/>
      <c r="I980" s="1"/>
      <c r="J980" s="1"/>
      <c r="K980" s="1"/>
      <c r="L980" s="1"/>
      <c r="M980" s="1"/>
      <c r="N980" s="1"/>
      <c r="O980" s="1"/>
      <c r="P980" s="1"/>
      <c r="Q980" s="1"/>
      <c r="R980" s="1"/>
      <c r="S980" s="1"/>
      <c r="T980" s="1"/>
      <c r="U980" s="2"/>
      <c r="V980" s="1"/>
      <c r="W980" s="1"/>
      <c r="X980" s="1"/>
      <c r="Y980" s="1"/>
      <c r="Z980" s="1"/>
    </row>
    <row r="981" spans="1:26" ht="24.75" customHeight="1">
      <c r="A981" s="1"/>
      <c r="B981" s="1"/>
      <c r="C981" s="1"/>
      <c r="D981" s="1"/>
      <c r="E981" s="1"/>
      <c r="F981" s="1"/>
      <c r="G981" s="1"/>
      <c r="H981" s="1"/>
      <c r="I981" s="1"/>
      <c r="J981" s="1"/>
      <c r="K981" s="1"/>
      <c r="L981" s="1"/>
      <c r="M981" s="1"/>
      <c r="N981" s="1"/>
      <c r="O981" s="1"/>
      <c r="P981" s="1"/>
      <c r="Q981" s="1"/>
      <c r="R981" s="1"/>
      <c r="S981" s="1"/>
      <c r="T981" s="1"/>
      <c r="U981" s="2"/>
      <c r="V981" s="1"/>
      <c r="W981" s="1"/>
      <c r="X981" s="1"/>
      <c r="Y981" s="1"/>
      <c r="Z981" s="1"/>
    </row>
    <row r="982" spans="1:26" ht="24.75" customHeight="1">
      <c r="A982" s="1"/>
      <c r="B982" s="1"/>
      <c r="C982" s="1"/>
      <c r="D982" s="1"/>
      <c r="E982" s="1"/>
      <c r="F982" s="1"/>
      <c r="G982" s="1"/>
      <c r="H982" s="1"/>
      <c r="I982" s="1"/>
      <c r="J982" s="1"/>
      <c r="K982" s="1"/>
      <c r="L982" s="1"/>
      <c r="M982" s="1"/>
      <c r="N982" s="1"/>
      <c r="O982" s="1"/>
      <c r="P982" s="1"/>
      <c r="Q982" s="1"/>
      <c r="R982" s="1"/>
      <c r="S982" s="1"/>
      <c r="T982" s="1"/>
      <c r="U982" s="2"/>
      <c r="V982" s="1"/>
      <c r="W982" s="1"/>
      <c r="X982" s="1"/>
      <c r="Y982" s="1"/>
      <c r="Z982" s="1"/>
    </row>
    <row r="983" spans="1:26" ht="24.75" customHeight="1">
      <c r="A983" s="1"/>
      <c r="B983" s="1"/>
      <c r="C983" s="1"/>
      <c r="D983" s="1"/>
      <c r="E983" s="1"/>
      <c r="F983" s="1"/>
      <c r="G983" s="1"/>
      <c r="H983" s="1"/>
      <c r="I983" s="1"/>
      <c r="J983" s="1"/>
      <c r="K983" s="1"/>
      <c r="L983" s="1"/>
      <c r="M983" s="1"/>
      <c r="N983" s="1"/>
      <c r="O983" s="1"/>
      <c r="P983" s="1"/>
      <c r="Q983" s="1"/>
      <c r="R983" s="1"/>
      <c r="S983" s="1"/>
      <c r="T983" s="1"/>
      <c r="U983" s="2"/>
      <c r="V983" s="1"/>
      <c r="W983" s="1"/>
      <c r="X983" s="1"/>
      <c r="Y983" s="1"/>
      <c r="Z983" s="1"/>
    </row>
    <row r="984" spans="1:26" ht="24.75" customHeight="1">
      <c r="A984" s="1"/>
      <c r="B984" s="1"/>
      <c r="C984" s="1"/>
      <c r="D984" s="1"/>
      <c r="E984" s="1"/>
      <c r="F984" s="1"/>
      <c r="G984" s="1"/>
      <c r="H984" s="1"/>
      <c r="I984" s="1"/>
      <c r="J984" s="1"/>
      <c r="K984" s="1"/>
      <c r="L984" s="1"/>
      <c r="M984" s="1"/>
      <c r="N984" s="1"/>
      <c r="O984" s="1"/>
      <c r="P984" s="1"/>
      <c r="Q984" s="1"/>
      <c r="R984" s="1"/>
      <c r="S984" s="1"/>
      <c r="T984" s="1"/>
      <c r="U984" s="2"/>
      <c r="V984" s="1"/>
      <c r="W984" s="1"/>
      <c r="X984" s="1"/>
      <c r="Y984" s="1"/>
      <c r="Z984" s="1"/>
    </row>
    <row r="985" spans="1:26" ht="24.75" customHeight="1">
      <c r="A985" s="1"/>
      <c r="B985" s="1"/>
      <c r="C985" s="1"/>
      <c r="D985" s="1"/>
      <c r="E985" s="1"/>
      <c r="F985" s="1"/>
      <c r="G985" s="1"/>
      <c r="H985" s="1"/>
      <c r="I985" s="1"/>
      <c r="J985" s="1"/>
      <c r="K985" s="1"/>
      <c r="L985" s="1"/>
      <c r="M985" s="1"/>
      <c r="N985" s="1"/>
      <c r="O985" s="1"/>
      <c r="P985" s="1"/>
      <c r="Q985" s="1"/>
      <c r="R985" s="1"/>
      <c r="S985" s="1"/>
      <c r="T985" s="1"/>
      <c r="U985" s="2"/>
      <c r="V985" s="1"/>
      <c r="W985" s="1"/>
      <c r="X985" s="1"/>
      <c r="Y985" s="1"/>
      <c r="Z985" s="1"/>
    </row>
    <row r="986" spans="1:26" ht="24.75" customHeight="1">
      <c r="A986" s="1"/>
      <c r="B986" s="1"/>
      <c r="C986" s="1"/>
      <c r="D986" s="1"/>
      <c r="E986" s="1"/>
      <c r="F986" s="1"/>
      <c r="G986" s="1"/>
      <c r="H986" s="1"/>
      <c r="I986" s="1"/>
      <c r="J986" s="1"/>
      <c r="K986" s="1"/>
      <c r="L986" s="1"/>
      <c r="M986" s="1"/>
      <c r="N986" s="1"/>
      <c r="O986" s="1"/>
      <c r="P986" s="1"/>
      <c r="Q986" s="1"/>
      <c r="R986" s="1"/>
      <c r="S986" s="1"/>
      <c r="T986" s="1"/>
      <c r="U986" s="2"/>
      <c r="V986" s="1"/>
      <c r="W986" s="1"/>
      <c r="X986" s="1"/>
      <c r="Y986" s="1"/>
      <c r="Z986" s="1"/>
    </row>
    <row r="987" spans="1:26" ht="24.75" customHeight="1">
      <c r="A987" s="1"/>
      <c r="B987" s="1"/>
      <c r="C987" s="1"/>
      <c r="D987" s="1"/>
      <c r="E987" s="1"/>
      <c r="F987" s="1"/>
      <c r="G987" s="1"/>
      <c r="H987" s="1"/>
      <c r="I987" s="1"/>
      <c r="J987" s="1"/>
      <c r="K987" s="1"/>
      <c r="L987" s="1"/>
      <c r="M987" s="1"/>
      <c r="N987" s="1"/>
      <c r="O987" s="1"/>
      <c r="P987" s="1"/>
      <c r="Q987" s="1"/>
      <c r="R987" s="1"/>
      <c r="S987" s="1"/>
      <c r="T987" s="1"/>
      <c r="U987" s="2"/>
      <c r="V987" s="1"/>
      <c r="W987" s="1"/>
      <c r="X987" s="1"/>
      <c r="Y987" s="1"/>
      <c r="Z987" s="1"/>
    </row>
    <row r="988" spans="1:26" ht="24.75" customHeight="1">
      <c r="A988" s="1"/>
      <c r="B988" s="1"/>
      <c r="C988" s="1"/>
      <c r="D988" s="1"/>
      <c r="E988" s="1"/>
      <c r="F988" s="1"/>
      <c r="G988" s="1"/>
      <c r="H988" s="1"/>
      <c r="I988" s="1"/>
      <c r="J988" s="1"/>
      <c r="K988" s="1"/>
      <c r="L988" s="1"/>
      <c r="M988" s="1"/>
      <c r="N988" s="1"/>
      <c r="O988" s="1"/>
      <c r="P988" s="1"/>
      <c r="Q988" s="1"/>
      <c r="R988" s="1"/>
      <c r="S988" s="1"/>
      <c r="T988" s="1"/>
      <c r="U988" s="2"/>
      <c r="V988" s="1"/>
      <c r="W988" s="1"/>
      <c r="X988" s="1"/>
      <c r="Y988" s="1"/>
      <c r="Z988" s="1"/>
    </row>
    <row r="989" spans="1:26" ht="24.75" customHeight="1">
      <c r="A989" s="1"/>
      <c r="B989" s="1"/>
      <c r="C989" s="1"/>
      <c r="D989" s="1"/>
      <c r="E989" s="1"/>
      <c r="F989" s="1"/>
      <c r="G989" s="1"/>
      <c r="H989" s="1"/>
      <c r="I989" s="1"/>
      <c r="J989" s="1"/>
      <c r="K989" s="1"/>
      <c r="L989" s="1"/>
      <c r="M989" s="1"/>
      <c r="N989" s="1"/>
      <c r="O989" s="1"/>
      <c r="P989" s="1"/>
      <c r="Q989" s="1"/>
      <c r="R989" s="1"/>
      <c r="S989" s="1"/>
      <c r="T989" s="1"/>
      <c r="U989" s="2"/>
      <c r="V989" s="1"/>
      <c r="W989" s="1"/>
      <c r="X989" s="1"/>
      <c r="Y989" s="1"/>
      <c r="Z989" s="1"/>
    </row>
    <row r="990" spans="1:26" ht="24.75" customHeight="1">
      <c r="A990" s="1"/>
      <c r="B990" s="1"/>
      <c r="C990" s="1"/>
      <c r="D990" s="1"/>
      <c r="E990" s="1"/>
      <c r="F990" s="1"/>
      <c r="G990" s="1"/>
      <c r="H990" s="1"/>
      <c r="I990" s="1"/>
      <c r="J990" s="1"/>
      <c r="K990" s="1"/>
      <c r="L990" s="1"/>
      <c r="M990" s="1"/>
      <c r="N990" s="1"/>
      <c r="O990" s="1"/>
      <c r="P990" s="1"/>
      <c r="Q990" s="1"/>
      <c r="R990" s="1"/>
      <c r="S990" s="1"/>
      <c r="T990" s="1"/>
      <c r="U990" s="2"/>
      <c r="V990" s="1"/>
      <c r="W990" s="1"/>
      <c r="X990" s="1"/>
      <c r="Y990" s="1"/>
      <c r="Z990" s="1"/>
    </row>
    <row r="991" spans="1:26" ht="24.75" customHeight="1">
      <c r="A991" s="1"/>
      <c r="B991" s="1"/>
      <c r="C991" s="1"/>
      <c r="D991" s="1"/>
      <c r="E991" s="1"/>
      <c r="F991" s="1"/>
      <c r="G991" s="1"/>
      <c r="H991" s="1"/>
      <c r="I991" s="1"/>
      <c r="J991" s="1"/>
      <c r="K991" s="1"/>
      <c r="L991" s="1"/>
      <c r="M991" s="1"/>
      <c r="N991" s="1"/>
      <c r="O991" s="1"/>
      <c r="P991" s="1"/>
      <c r="Q991" s="1"/>
      <c r="R991" s="1"/>
      <c r="S991" s="1"/>
      <c r="T991" s="1"/>
      <c r="U991" s="2"/>
      <c r="V991" s="1"/>
      <c r="W991" s="1"/>
      <c r="X991" s="1"/>
      <c r="Y991" s="1"/>
      <c r="Z991" s="1"/>
    </row>
    <row r="992" spans="1:26" ht="24.75" customHeight="1">
      <c r="A992" s="1"/>
      <c r="B992" s="1"/>
      <c r="C992" s="1"/>
      <c r="D992" s="1"/>
      <c r="E992" s="1"/>
      <c r="F992" s="1"/>
      <c r="G992" s="1"/>
      <c r="H992" s="1"/>
      <c r="I992" s="1"/>
      <c r="J992" s="1"/>
      <c r="K992" s="1"/>
      <c r="L992" s="1"/>
      <c r="M992" s="1"/>
      <c r="N992" s="1"/>
      <c r="O992" s="1"/>
      <c r="P992" s="1"/>
      <c r="Q992" s="1"/>
      <c r="R992" s="1"/>
      <c r="S992" s="1"/>
      <c r="T992" s="1"/>
      <c r="U992" s="2"/>
      <c r="V992" s="1"/>
      <c r="W992" s="1"/>
      <c r="X992" s="1"/>
      <c r="Y992" s="1"/>
      <c r="Z992" s="1"/>
    </row>
    <row r="993" spans="1:26" ht="24.75" customHeight="1">
      <c r="A993" s="1"/>
      <c r="B993" s="1"/>
      <c r="C993" s="1"/>
      <c r="D993" s="1"/>
      <c r="E993" s="1"/>
      <c r="F993" s="1"/>
      <c r="G993" s="1"/>
      <c r="H993" s="1"/>
      <c r="I993" s="1"/>
      <c r="J993" s="1"/>
      <c r="K993" s="1"/>
      <c r="L993" s="1"/>
      <c r="M993" s="1"/>
      <c r="N993" s="1"/>
      <c r="O993" s="1"/>
      <c r="P993" s="1"/>
      <c r="Q993" s="1"/>
      <c r="R993" s="1"/>
      <c r="S993" s="1"/>
      <c r="T993" s="1"/>
      <c r="U993" s="2"/>
      <c r="V993" s="1"/>
      <c r="W993" s="1"/>
      <c r="X993" s="1"/>
      <c r="Y993" s="1"/>
      <c r="Z993" s="1"/>
    </row>
    <row r="994" spans="1:26" ht="24.75" customHeight="1">
      <c r="A994" s="1"/>
      <c r="B994" s="1"/>
      <c r="C994" s="1"/>
      <c r="D994" s="1"/>
      <c r="E994" s="1"/>
      <c r="F994" s="1"/>
      <c r="G994" s="1"/>
      <c r="H994" s="1"/>
      <c r="I994" s="1"/>
      <c r="J994" s="1"/>
      <c r="K994" s="1"/>
      <c r="L994" s="1"/>
      <c r="M994" s="1"/>
      <c r="N994" s="1"/>
      <c r="O994" s="1"/>
      <c r="P994" s="1"/>
      <c r="Q994" s="1"/>
      <c r="R994" s="1"/>
      <c r="S994" s="1"/>
      <c r="T994" s="1"/>
      <c r="U994" s="2"/>
      <c r="V994" s="1"/>
      <c r="W994" s="1"/>
      <c r="X994" s="1"/>
      <c r="Y994" s="1"/>
      <c r="Z994" s="1"/>
    </row>
    <row r="995" spans="1:26" ht="24.75" customHeight="1">
      <c r="A995" s="1"/>
      <c r="B995" s="1"/>
      <c r="C995" s="1"/>
      <c r="D995" s="1"/>
      <c r="E995" s="1"/>
      <c r="F995" s="1"/>
      <c r="G995" s="1"/>
      <c r="H995" s="1"/>
      <c r="I995" s="1"/>
      <c r="J995" s="1"/>
      <c r="K995" s="1"/>
      <c r="L995" s="1"/>
      <c r="M995" s="1"/>
      <c r="N995" s="1"/>
      <c r="O995" s="1"/>
      <c r="P995" s="1"/>
      <c r="Q995" s="1"/>
      <c r="R995" s="1"/>
      <c r="S995" s="1"/>
      <c r="T995" s="1"/>
      <c r="U995" s="2"/>
      <c r="V995" s="1"/>
      <c r="W995" s="1"/>
      <c r="X995" s="1"/>
      <c r="Y995" s="1"/>
      <c r="Z995" s="1"/>
    </row>
    <row r="996" spans="1:26" ht="24.75" customHeight="1">
      <c r="A996" s="1"/>
      <c r="B996" s="1"/>
      <c r="C996" s="1"/>
      <c r="D996" s="1"/>
      <c r="E996" s="1"/>
      <c r="F996" s="1"/>
      <c r="G996" s="1"/>
      <c r="H996" s="1"/>
      <c r="I996" s="1"/>
      <c r="J996" s="1"/>
      <c r="K996" s="1"/>
      <c r="L996" s="1"/>
      <c r="M996" s="1"/>
      <c r="N996" s="1"/>
      <c r="O996" s="1"/>
      <c r="P996" s="1"/>
      <c r="Q996" s="1"/>
      <c r="R996" s="1"/>
      <c r="S996" s="1"/>
      <c r="T996" s="1"/>
      <c r="U996" s="2"/>
      <c r="V996" s="1"/>
      <c r="W996" s="1"/>
      <c r="X996" s="1"/>
      <c r="Y996" s="1"/>
      <c r="Z996" s="1"/>
    </row>
    <row r="997" spans="1:26" ht="24.75" customHeight="1">
      <c r="A997" s="1"/>
      <c r="B997" s="1"/>
      <c r="C997" s="1"/>
      <c r="D997" s="1"/>
      <c r="E997" s="1"/>
      <c r="F997" s="1"/>
      <c r="G997" s="1"/>
      <c r="H997" s="1"/>
      <c r="I997" s="1"/>
      <c r="J997" s="1"/>
      <c r="K997" s="1"/>
      <c r="L997" s="1"/>
      <c r="M997" s="1"/>
      <c r="N997" s="1"/>
      <c r="O997" s="1"/>
      <c r="P997" s="1"/>
      <c r="Q997" s="1"/>
      <c r="R997" s="1"/>
      <c r="S997" s="1"/>
      <c r="T997" s="1"/>
      <c r="U997" s="2"/>
      <c r="V997" s="1"/>
      <c r="W997" s="1"/>
      <c r="X997" s="1"/>
      <c r="Y997" s="1"/>
      <c r="Z997" s="1"/>
    </row>
    <row r="998" spans="1:26" ht="24.75" customHeight="1">
      <c r="A998" s="1"/>
      <c r="B998" s="1"/>
      <c r="C998" s="1"/>
      <c r="D998" s="1"/>
      <c r="E998" s="1"/>
      <c r="F998" s="1"/>
      <c r="G998" s="1"/>
      <c r="H998" s="1"/>
      <c r="I998" s="1"/>
      <c r="J998" s="1"/>
      <c r="K998" s="1"/>
      <c r="L998" s="1"/>
      <c r="M998" s="1"/>
      <c r="N998" s="1"/>
      <c r="O998" s="1"/>
      <c r="P998" s="1"/>
      <c r="Q998" s="1"/>
      <c r="R998" s="1"/>
      <c r="S998" s="1"/>
      <c r="T998" s="1"/>
      <c r="U998" s="2"/>
      <c r="V998" s="1"/>
      <c r="W998" s="1"/>
      <c r="X998" s="1"/>
      <c r="Y998" s="1"/>
      <c r="Z998" s="1"/>
    </row>
    <row r="999" spans="1:26" ht="24.75" customHeight="1">
      <c r="A999" s="1"/>
      <c r="B999" s="1"/>
      <c r="C999" s="1"/>
      <c r="D999" s="1"/>
      <c r="E999" s="1"/>
      <c r="F999" s="1"/>
      <c r="G999" s="1"/>
      <c r="H999" s="1"/>
      <c r="I999" s="1"/>
      <c r="J999" s="1"/>
      <c r="K999" s="1"/>
      <c r="L999" s="1"/>
      <c r="M999" s="1"/>
      <c r="N999" s="1"/>
      <c r="O999" s="1"/>
      <c r="P999" s="1"/>
      <c r="Q999" s="1"/>
      <c r="R999" s="1"/>
      <c r="S999" s="1"/>
      <c r="T999" s="1"/>
      <c r="U999" s="2"/>
      <c r="V999" s="1"/>
      <c r="W999" s="1"/>
      <c r="X999" s="1"/>
      <c r="Y999" s="1"/>
      <c r="Z999" s="1"/>
    </row>
    <row r="1000" spans="1:26" ht="24.75" customHeight="1">
      <c r="A1000" s="1"/>
      <c r="B1000" s="1"/>
      <c r="C1000" s="1"/>
      <c r="D1000" s="1"/>
      <c r="E1000" s="1"/>
      <c r="F1000" s="1"/>
      <c r="G1000" s="1"/>
      <c r="H1000" s="1"/>
      <c r="I1000" s="1"/>
      <c r="J1000" s="1"/>
      <c r="K1000" s="1"/>
      <c r="L1000" s="1"/>
      <c r="M1000" s="1"/>
      <c r="N1000" s="1"/>
      <c r="O1000" s="1"/>
      <c r="P1000" s="1"/>
      <c r="Q1000" s="1"/>
      <c r="R1000" s="1"/>
      <c r="S1000" s="1"/>
      <c r="T1000" s="1"/>
      <c r="U1000" s="2"/>
      <c r="V1000" s="1"/>
      <c r="W1000" s="1"/>
      <c r="X1000" s="1"/>
      <c r="Y1000" s="1"/>
      <c r="Z1000" s="1"/>
    </row>
  </sheetData>
  <mergeCells count="101">
    <mergeCell ref="B204:B206"/>
    <mergeCell ref="C204:C206"/>
    <mergeCell ref="B209:D209"/>
    <mergeCell ref="A210:D210"/>
    <mergeCell ref="A135:A158"/>
    <mergeCell ref="B135:B136"/>
    <mergeCell ref="B138:B144"/>
    <mergeCell ref="B145:B146"/>
    <mergeCell ref="B147:B149"/>
    <mergeCell ref="B158:D158"/>
    <mergeCell ref="A159:A209"/>
    <mergeCell ref="C135:C136"/>
    <mergeCell ref="C138:C144"/>
    <mergeCell ref="C145:C146"/>
    <mergeCell ref="C147:C149"/>
    <mergeCell ref="C150:C153"/>
    <mergeCell ref="B173:B179"/>
    <mergeCell ref="C173:C179"/>
    <mergeCell ref="B180:B183"/>
    <mergeCell ref="C180:C183"/>
    <mergeCell ref="B184:B186"/>
    <mergeCell ref="C184:C186"/>
    <mergeCell ref="B187:B192"/>
    <mergeCell ref="C187:C192"/>
    <mergeCell ref="B150:B153"/>
    <mergeCell ref="B159:B162"/>
    <mergeCell ref="C159:C162"/>
    <mergeCell ref="B163:B167"/>
    <mergeCell ref="C163:C167"/>
    <mergeCell ref="B168:B172"/>
    <mergeCell ref="C168:C172"/>
    <mergeCell ref="B202:B203"/>
    <mergeCell ref="C202:C203"/>
    <mergeCell ref="B194:B199"/>
    <mergeCell ref="C194:C199"/>
    <mergeCell ref="B200:B201"/>
    <mergeCell ref="C200:C201"/>
    <mergeCell ref="C94:C103"/>
    <mergeCell ref="B104:B105"/>
    <mergeCell ref="C104:C105"/>
    <mergeCell ref="B106:B110"/>
    <mergeCell ref="C106:C110"/>
    <mergeCell ref="B111:B113"/>
    <mergeCell ref="C111:C113"/>
    <mergeCell ref="B94:B103"/>
    <mergeCell ref="A94:A134"/>
    <mergeCell ref="B114:B118"/>
    <mergeCell ref="C114:C118"/>
    <mergeCell ref="B119:B120"/>
    <mergeCell ref="C119:C120"/>
    <mergeCell ref="B122:B125"/>
    <mergeCell ref="C122:C125"/>
    <mergeCell ref="B128:B130"/>
    <mergeCell ref="C128:C130"/>
    <mergeCell ref="B131:B132"/>
    <mergeCell ref="C131:C132"/>
    <mergeCell ref="B134:D134"/>
    <mergeCell ref="B79:B85"/>
    <mergeCell ref="C79:C85"/>
    <mergeCell ref="B75:B78"/>
    <mergeCell ref="B57:B66"/>
    <mergeCell ref="C57:C66"/>
    <mergeCell ref="A69:A93"/>
    <mergeCell ref="B70:B74"/>
    <mergeCell ref="C70:C74"/>
    <mergeCell ref="C75:C78"/>
    <mergeCell ref="B86:B89"/>
    <mergeCell ref="C86:C89"/>
    <mergeCell ref="B93:D93"/>
    <mergeCell ref="B47:B56"/>
    <mergeCell ref="C47:C56"/>
    <mergeCell ref="C6:C23"/>
    <mergeCell ref="B24:B25"/>
    <mergeCell ref="C24:C25"/>
    <mergeCell ref="Q4:Q5"/>
    <mergeCell ref="R4:R5"/>
    <mergeCell ref="S4:S5"/>
    <mergeCell ref="A1:E1"/>
    <mergeCell ref="A4:A5"/>
    <mergeCell ref="C4:C5"/>
    <mergeCell ref="D4:D5"/>
    <mergeCell ref="E4:E5"/>
    <mergeCell ref="F4:F5"/>
    <mergeCell ref="A6:A68"/>
    <mergeCell ref="B68:D68"/>
    <mergeCell ref="B4:B5"/>
    <mergeCell ref="B6:B23"/>
    <mergeCell ref="B26:B36"/>
    <mergeCell ref="C26:C36"/>
    <mergeCell ref="B37:B39"/>
    <mergeCell ref="C37:C39"/>
    <mergeCell ref="B40:B46"/>
    <mergeCell ref="U4:U5"/>
    <mergeCell ref="G4:H4"/>
    <mergeCell ref="I4:I5"/>
    <mergeCell ref="J4:L4"/>
    <mergeCell ref="M4:M5"/>
    <mergeCell ref="N4:N5"/>
    <mergeCell ref="O4:O5"/>
    <mergeCell ref="P4:P5"/>
    <mergeCell ref="C40:C46"/>
  </mergeCell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dimension ref="A1:Z1000"/>
  <sheetViews>
    <sheetView workbookViewId="0">
      <pane xSplit="3" ySplit="5" topLeftCell="D82" activePane="bottomRight" state="frozen"/>
      <selection pane="topRight" activeCell="D1" sqref="D1"/>
      <selection pane="bottomLeft" activeCell="A6" sqref="A6"/>
      <selection pane="bottomRight" activeCell="U87" sqref="U87"/>
    </sheetView>
  </sheetViews>
  <sheetFormatPr defaultColWidth="14.42578125" defaultRowHeight="15" customHeight="1"/>
  <cols>
    <col min="1" max="1" width="6.7109375" style="3" customWidth="1"/>
    <col min="2" max="2" width="7.28515625" style="3" customWidth="1"/>
    <col min="3" max="3" width="11.28515625" style="3" customWidth="1"/>
    <col min="4" max="4" width="5.85546875" style="3" customWidth="1"/>
    <col min="5" max="5" width="35.85546875" style="3" customWidth="1"/>
    <col min="6" max="6" width="7.42578125" style="3" customWidth="1"/>
    <col min="7" max="7" width="10.7109375" style="3" customWidth="1"/>
    <col min="8" max="8" width="8.28515625" style="3" customWidth="1"/>
    <col min="9" max="9" width="10.5703125" style="3" customWidth="1"/>
    <col min="10" max="10" width="11.85546875" style="3" customWidth="1"/>
    <col min="11" max="11" width="9.28515625" style="3" customWidth="1"/>
    <col min="12" max="12" width="6.7109375" style="3" customWidth="1"/>
    <col min="13" max="13" width="9" style="3" customWidth="1"/>
    <col min="14" max="14" width="9.7109375" style="3" customWidth="1"/>
    <col min="15" max="15" width="8.28515625" style="3" customWidth="1"/>
    <col min="16" max="16" width="9" style="3" customWidth="1"/>
    <col min="17" max="17" width="8.28515625" style="3" customWidth="1"/>
    <col min="18" max="18" width="10.5703125" style="3" customWidth="1"/>
    <col min="19" max="19" width="10.42578125" style="3" customWidth="1"/>
    <col min="20" max="20" width="15.7109375" style="3" customWidth="1"/>
    <col min="21" max="21" width="49.42578125" style="61" customWidth="1"/>
    <col min="22" max="16384" width="14.42578125" style="3"/>
  </cols>
  <sheetData>
    <row r="1" spans="1:26" ht="24.75" customHeight="1">
      <c r="A1" s="172" t="s">
        <v>379</v>
      </c>
      <c r="B1" s="173"/>
      <c r="C1" s="173"/>
      <c r="D1" s="173"/>
      <c r="E1" s="174"/>
      <c r="F1" s="1"/>
      <c r="G1" s="1"/>
      <c r="H1" s="1"/>
      <c r="I1" s="1"/>
      <c r="J1" s="1"/>
      <c r="K1" s="1"/>
      <c r="L1" s="1"/>
      <c r="M1" s="1"/>
      <c r="N1" s="1"/>
      <c r="O1" s="1"/>
      <c r="P1" s="1"/>
      <c r="Q1" s="1"/>
      <c r="R1" s="1"/>
      <c r="S1" s="1"/>
      <c r="T1" s="1"/>
      <c r="U1" s="2"/>
      <c r="V1" s="1"/>
      <c r="W1" s="1"/>
      <c r="X1" s="1"/>
      <c r="Y1" s="1"/>
      <c r="Z1" s="1"/>
    </row>
    <row r="2" spans="1:26" ht="24.75" hidden="1" customHeight="1">
      <c r="A2" s="1"/>
      <c r="B2" s="1"/>
      <c r="C2" s="1"/>
      <c r="D2" s="1"/>
      <c r="E2" s="1"/>
      <c r="F2" s="1"/>
      <c r="G2" s="1"/>
      <c r="H2" s="1"/>
      <c r="I2" s="1"/>
      <c r="J2" s="1"/>
      <c r="K2" s="1"/>
      <c r="L2" s="1"/>
      <c r="M2" s="1"/>
      <c r="N2" s="1"/>
      <c r="O2" s="1"/>
      <c r="P2" s="1"/>
      <c r="Q2" s="1"/>
      <c r="R2" s="1"/>
      <c r="S2" s="1"/>
      <c r="T2" s="1"/>
      <c r="U2" s="2"/>
      <c r="V2" s="1"/>
      <c r="W2" s="1"/>
      <c r="X2" s="1"/>
      <c r="Y2" s="1"/>
      <c r="Z2" s="1"/>
    </row>
    <row r="3" spans="1:26" ht="24.75" hidden="1" customHeight="1">
      <c r="A3" s="1"/>
      <c r="B3" s="4"/>
      <c r="C3" s="4"/>
      <c r="D3" s="4"/>
      <c r="E3" s="4"/>
      <c r="F3" s="4"/>
      <c r="G3" s="4"/>
      <c r="H3" s="4"/>
      <c r="I3" s="4"/>
      <c r="J3" s="4"/>
      <c r="K3" s="4"/>
      <c r="L3" s="4"/>
      <c r="M3" s="4"/>
      <c r="N3" s="4"/>
      <c r="O3" s="4"/>
      <c r="P3" s="4"/>
      <c r="Q3" s="4"/>
      <c r="R3" s="4"/>
      <c r="S3" s="4"/>
      <c r="T3" s="4"/>
      <c r="U3" s="60" t="s">
        <v>1</v>
      </c>
      <c r="V3" s="1"/>
      <c r="W3" s="1"/>
      <c r="X3" s="1"/>
      <c r="Y3" s="1"/>
      <c r="Z3" s="1"/>
    </row>
    <row r="4" spans="1:26" ht="24.75" customHeight="1">
      <c r="A4" s="168" t="s">
        <v>2</v>
      </c>
      <c r="B4" s="168" t="s">
        <v>3</v>
      </c>
      <c r="C4" s="168" t="s">
        <v>4</v>
      </c>
      <c r="D4" s="168" t="s">
        <v>5</v>
      </c>
      <c r="E4" s="168" t="s">
        <v>6</v>
      </c>
      <c r="F4" s="168" t="s">
        <v>7</v>
      </c>
      <c r="G4" s="166" t="s">
        <v>8</v>
      </c>
      <c r="H4" s="167"/>
      <c r="I4" s="168" t="s">
        <v>9</v>
      </c>
      <c r="J4" s="166" t="s">
        <v>10</v>
      </c>
      <c r="K4" s="170"/>
      <c r="L4" s="167"/>
      <c r="M4" s="168" t="s">
        <v>570</v>
      </c>
      <c r="N4" s="168" t="s">
        <v>11</v>
      </c>
      <c r="O4" s="168" t="s">
        <v>12</v>
      </c>
      <c r="P4" s="168" t="s">
        <v>380</v>
      </c>
      <c r="Q4" s="168" t="s">
        <v>14</v>
      </c>
      <c r="R4" s="168" t="s">
        <v>15</v>
      </c>
      <c r="S4" s="168" t="s">
        <v>16</v>
      </c>
      <c r="T4" s="5" t="s">
        <v>597</v>
      </c>
      <c r="U4" s="164" t="s">
        <v>17</v>
      </c>
      <c r="V4" s="1"/>
      <c r="W4" s="1"/>
      <c r="X4" s="1"/>
      <c r="Y4" s="1"/>
      <c r="Z4" s="1"/>
    </row>
    <row r="5" spans="1:26" ht="24.75" customHeight="1">
      <c r="A5" s="169"/>
      <c r="B5" s="169"/>
      <c r="C5" s="169"/>
      <c r="D5" s="169"/>
      <c r="E5" s="169"/>
      <c r="F5" s="169"/>
      <c r="G5" s="5" t="s">
        <v>18</v>
      </c>
      <c r="H5" s="5" t="s">
        <v>19</v>
      </c>
      <c r="I5" s="169"/>
      <c r="J5" s="5" t="s">
        <v>571</v>
      </c>
      <c r="K5" s="5" t="s">
        <v>20</v>
      </c>
      <c r="L5" s="5" t="s">
        <v>21</v>
      </c>
      <c r="M5" s="169"/>
      <c r="N5" s="169"/>
      <c r="O5" s="169"/>
      <c r="P5" s="169"/>
      <c r="Q5" s="169"/>
      <c r="R5" s="169"/>
      <c r="S5" s="169"/>
      <c r="T5" s="5" t="s">
        <v>22</v>
      </c>
      <c r="U5" s="165"/>
      <c r="V5" s="1"/>
      <c r="W5" s="1"/>
      <c r="X5" s="1"/>
      <c r="Y5" s="1"/>
      <c r="Z5" s="1"/>
    </row>
    <row r="6" spans="1:26" ht="24.75" customHeight="1">
      <c r="A6" s="175" t="s">
        <v>23</v>
      </c>
      <c r="B6" s="168" t="s">
        <v>24</v>
      </c>
      <c r="C6" s="168" t="s">
        <v>25</v>
      </c>
      <c r="D6" s="5">
        <v>1</v>
      </c>
      <c r="E6" s="5" t="s">
        <v>26</v>
      </c>
      <c r="F6" s="5"/>
      <c r="G6" s="5"/>
      <c r="H6" s="5"/>
      <c r="I6" s="5"/>
      <c r="J6" s="5"/>
      <c r="K6" s="5"/>
      <c r="L6" s="5"/>
      <c r="M6" s="5"/>
      <c r="N6" s="5"/>
      <c r="O6" s="5"/>
      <c r="P6" s="5"/>
      <c r="Q6" s="5"/>
      <c r="R6" s="5"/>
      <c r="S6" s="5"/>
      <c r="T6" s="6">
        <f t="shared" ref="T6:T69" si="0">SUM(F6:S6)</f>
        <v>0</v>
      </c>
      <c r="U6" s="9"/>
      <c r="V6" s="1"/>
      <c r="W6" s="1"/>
      <c r="X6" s="1"/>
      <c r="Y6" s="1"/>
      <c r="Z6" s="1"/>
    </row>
    <row r="7" spans="1:26" ht="24.75" customHeight="1">
      <c r="A7" s="171"/>
      <c r="B7" s="171"/>
      <c r="C7" s="171"/>
      <c r="D7" s="5">
        <v>2</v>
      </c>
      <c r="E7" s="5" t="s">
        <v>27</v>
      </c>
      <c r="F7" s="5"/>
      <c r="G7" s="5"/>
      <c r="H7" s="5"/>
      <c r="I7" s="5"/>
      <c r="J7" s="5"/>
      <c r="K7" s="6">
        <v>73.05</v>
      </c>
      <c r="L7" s="5"/>
      <c r="M7" s="5"/>
      <c r="N7" s="5"/>
      <c r="O7" s="5"/>
      <c r="P7" s="8">
        <v>1.75</v>
      </c>
      <c r="Q7" s="5"/>
      <c r="R7" s="5"/>
      <c r="S7" s="5"/>
      <c r="T7" s="6">
        <f t="shared" si="0"/>
        <v>74.8</v>
      </c>
      <c r="U7" s="9" t="s">
        <v>28</v>
      </c>
      <c r="V7" s="1"/>
      <c r="W7" s="1"/>
      <c r="X7" s="1"/>
      <c r="Y7" s="1"/>
      <c r="Z7" s="1"/>
    </row>
    <row r="8" spans="1:26" ht="24.75" customHeight="1">
      <c r="A8" s="171"/>
      <c r="B8" s="171"/>
      <c r="C8" s="171"/>
      <c r="D8" s="5">
        <v>3</v>
      </c>
      <c r="E8" s="5" t="s">
        <v>29</v>
      </c>
      <c r="F8" s="8">
        <v>49.65</v>
      </c>
      <c r="G8" s="5"/>
      <c r="H8" s="5"/>
      <c r="I8" s="5"/>
      <c r="J8" s="5"/>
      <c r="K8" s="5"/>
      <c r="L8" s="5"/>
      <c r="M8" s="5"/>
      <c r="N8" s="5"/>
      <c r="O8" s="8">
        <v>39.64</v>
      </c>
      <c r="P8" s="5"/>
      <c r="Q8" s="5"/>
      <c r="R8" s="8">
        <v>2.2799999999999998</v>
      </c>
      <c r="S8" s="5"/>
      <c r="T8" s="6">
        <f t="shared" si="0"/>
        <v>91.57</v>
      </c>
      <c r="U8" s="9" t="s">
        <v>30</v>
      </c>
      <c r="V8" s="1"/>
      <c r="W8" s="1"/>
      <c r="X8" s="1"/>
      <c r="Y8" s="1"/>
      <c r="Z8" s="1"/>
    </row>
    <row r="9" spans="1:26" ht="24.75" customHeight="1">
      <c r="A9" s="171"/>
      <c r="B9" s="171"/>
      <c r="C9" s="171"/>
      <c r="D9" s="5">
        <v>4</v>
      </c>
      <c r="E9" s="5" t="s">
        <v>31</v>
      </c>
      <c r="F9" s="5"/>
      <c r="G9" s="5"/>
      <c r="H9" s="5"/>
      <c r="I9" s="5"/>
      <c r="J9" s="5"/>
      <c r="K9" s="5"/>
      <c r="L9" s="5"/>
      <c r="M9" s="6">
        <v>24.91</v>
      </c>
      <c r="N9" s="5"/>
      <c r="O9" s="5"/>
      <c r="P9" s="8">
        <v>1.25</v>
      </c>
      <c r="Q9" s="5"/>
      <c r="R9" s="5"/>
      <c r="S9" s="5"/>
      <c r="T9" s="6">
        <f t="shared" si="0"/>
        <v>26.16</v>
      </c>
      <c r="U9" s="9" t="s">
        <v>32</v>
      </c>
      <c r="V9" s="1"/>
      <c r="W9" s="1"/>
      <c r="X9" s="1"/>
      <c r="Y9" s="1"/>
      <c r="Z9" s="1"/>
    </row>
    <row r="10" spans="1:26" ht="24.75" customHeight="1">
      <c r="A10" s="171"/>
      <c r="B10" s="171"/>
      <c r="C10" s="171"/>
      <c r="D10" s="5">
        <v>5</v>
      </c>
      <c r="E10" s="5" t="s">
        <v>33</v>
      </c>
      <c r="F10" s="5"/>
      <c r="G10" s="5"/>
      <c r="H10" s="5"/>
      <c r="I10" s="5"/>
      <c r="J10" s="5"/>
      <c r="K10" s="5"/>
      <c r="L10" s="5"/>
      <c r="M10" s="5"/>
      <c r="N10" s="5"/>
      <c r="O10" s="5"/>
      <c r="P10" s="6">
        <v>41.51</v>
      </c>
      <c r="Q10" s="5"/>
      <c r="R10" s="5"/>
      <c r="S10" s="5"/>
      <c r="T10" s="6">
        <f t="shared" si="0"/>
        <v>41.51</v>
      </c>
      <c r="U10" s="9" t="s">
        <v>34</v>
      </c>
      <c r="V10" s="1"/>
      <c r="W10" s="1"/>
      <c r="X10" s="1"/>
      <c r="Y10" s="1"/>
      <c r="Z10" s="1"/>
    </row>
    <row r="11" spans="1:26" ht="24.75" customHeight="1">
      <c r="A11" s="171"/>
      <c r="B11" s="171"/>
      <c r="C11" s="171"/>
      <c r="D11" s="5">
        <v>6</v>
      </c>
      <c r="E11" s="5" t="s">
        <v>35</v>
      </c>
      <c r="F11" s="5"/>
      <c r="G11" s="5"/>
      <c r="H11" s="5"/>
      <c r="I11" s="5"/>
      <c r="J11" s="5"/>
      <c r="K11" s="5"/>
      <c r="L11" s="5"/>
      <c r="M11" s="5"/>
      <c r="N11" s="8"/>
      <c r="O11" s="5"/>
      <c r="P11" s="8">
        <v>1</v>
      </c>
      <c r="Q11" s="5"/>
      <c r="R11" s="5"/>
      <c r="S11" s="5"/>
      <c r="T11" s="6">
        <f t="shared" si="0"/>
        <v>1</v>
      </c>
      <c r="U11" s="9" t="s">
        <v>36</v>
      </c>
      <c r="V11" s="1"/>
      <c r="W11" s="1"/>
      <c r="X11" s="1"/>
      <c r="Y11" s="1"/>
      <c r="Z11" s="1"/>
    </row>
    <row r="12" spans="1:26" ht="24.75" customHeight="1">
      <c r="A12" s="171"/>
      <c r="B12" s="171"/>
      <c r="C12" s="171"/>
      <c r="D12" s="5">
        <v>7</v>
      </c>
      <c r="E12" s="5" t="s">
        <v>37</v>
      </c>
      <c r="F12" s="5"/>
      <c r="G12" s="5"/>
      <c r="H12" s="5"/>
      <c r="I12" s="5"/>
      <c r="J12" s="5"/>
      <c r="K12" s="5"/>
      <c r="L12" s="5"/>
      <c r="M12" s="5"/>
      <c r="N12" s="5"/>
      <c r="O12" s="5"/>
      <c r="P12" s="8">
        <v>0.06</v>
      </c>
      <c r="Q12" s="8"/>
      <c r="R12" s="5"/>
      <c r="S12" s="5"/>
      <c r="T12" s="6">
        <f t="shared" si="0"/>
        <v>0.06</v>
      </c>
      <c r="U12" s="9" t="s">
        <v>38</v>
      </c>
      <c r="V12" s="1"/>
      <c r="W12" s="1"/>
      <c r="X12" s="1"/>
      <c r="Y12" s="1"/>
      <c r="Z12" s="1"/>
    </row>
    <row r="13" spans="1:26" ht="24.75" customHeight="1">
      <c r="A13" s="171"/>
      <c r="B13" s="171"/>
      <c r="C13" s="171"/>
      <c r="D13" s="5">
        <v>8</v>
      </c>
      <c r="E13" s="5" t="s">
        <v>39</v>
      </c>
      <c r="F13" s="5"/>
      <c r="G13" s="5"/>
      <c r="H13" s="5"/>
      <c r="I13" s="5"/>
      <c r="J13" s="5"/>
      <c r="K13" s="5"/>
      <c r="L13" s="5"/>
      <c r="M13" s="5"/>
      <c r="N13" s="6"/>
      <c r="O13" s="5"/>
      <c r="P13" s="5"/>
      <c r="Q13" s="5"/>
      <c r="R13" s="5"/>
      <c r="S13" s="5"/>
      <c r="T13" s="6">
        <f t="shared" si="0"/>
        <v>0</v>
      </c>
      <c r="U13" s="9"/>
      <c r="V13" s="1"/>
      <c r="W13" s="1"/>
      <c r="X13" s="1"/>
      <c r="Y13" s="1"/>
      <c r="Z13" s="1"/>
    </row>
    <row r="14" spans="1:26" ht="24.75" customHeight="1">
      <c r="A14" s="171"/>
      <c r="B14" s="171"/>
      <c r="C14" s="171"/>
      <c r="D14" s="5">
        <v>9</v>
      </c>
      <c r="E14" s="5" t="s">
        <v>40</v>
      </c>
      <c r="F14" s="5"/>
      <c r="G14" s="5"/>
      <c r="H14" s="5"/>
      <c r="I14" s="5"/>
      <c r="J14" s="5"/>
      <c r="K14" s="5"/>
      <c r="L14" s="5"/>
      <c r="M14" s="5"/>
      <c r="N14" s="6">
        <v>0.18</v>
      </c>
      <c r="O14" s="5"/>
      <c r="P14" s="5"/>
      <c r="Q14" s="8"/>
      <c r="R14" s="5"/>
      <c r="S14" s="8">
        <v>0.35</v>
      </c>
      <c r="T14" s="6">
        <f t="shared" si="0"/>
        <v>0.53</v>
      </c>
      <c r="U14" s="9" t="s">
        <v>41</v>
      </c>
      <c r="V14" s="1"/>
      <c r="W14" s="1"/>
      <c r="X14" s="1"/>
      <c r="Y14" s="1"/>
      <c r="Z14" s="1"/>
    </row>
    <row r="15" spans="1:26" ht="24.75" customHeight="1">
      <c r="A15" s="171"/>
      <c r="B15" s="171"/>
      <c r="C15" s="171"/>
      <c r="D15" s="5">
        <v>10</v>
      </c>
      <c r="E15" s="5" t="s">
        <v>42</v>
      </c>
      <c r="F15" s="5"/>
      <c r="G15" s="5"/>
      <c r="H15" s="5"/>
      <c r="I15" s="6"/>
      <c r="J15" s="5"/>
      <c r="K15" s="5"/>
      <c r="L15" s="5"/>
      <c r="M15" s="5"/>
      <c r="N15" s="6">
        <v>0.45750000000000002</v>
      </c>
      <c r="O15" s="5"/>
      <c r="P15" s="5"/>
      <c r="Q15" s="5"/>
      <c r="R15" s="5"/>
      <c r="S15" s="5"/>
      <c r="T15" s="6">
        <f t="shared" si="0"/>
        <v>0.45750000000000002</v>
      </c>
      <c r="U15" s="10" t="s">
        <v>43</v>
      </c>
      <c r="V15" s="1"/>
      <c r="W15" s="1"/>
      <c r="X15" s="1"/>
      <c r="Y15" s="1"/>
      <c r="Z15" s="1"/>
    </row>
    <row r="16" spans="1:26" ht="24.75" customHeight="1">
      <c r="A16" s="171"/>
      <c r="B16" s="171"/>
      <c r="C16" s="171"/>
      <c r="D16" s="5">
        <v>11</v>
      </c>
      <c r="E16" s="5" t="s">
        <v>44</v>
      </c>
      <c r="F16" s="5"/>
      <c r="G16" s="8"/>
      <c r="H16" s="8"/>
      <c r="I16" s="5"/>
      <c r="J16" s="5"/>
      <c r="K16" s="5"/>
      <c r="L16" s="5"/>
      <c r="M16" s="5"/>
      <c r="N16" s="5"/>
      <c r="O16" s="5"/>
      <c r="P16" s="5"/>
      <c r="Q16" s="5"/>
      <c r="R16" s="5"/>
      <c r="S16" s="5"/>
      <c r="T16" s="6">
        <f t="shared" si="0"/>
        <v>0</v>
      </c>
      <c r="U16" s="9"/>
      <c r="V16" s="1"/>
      <c r="W16" s="1"/>
      <c r="X16" s="1"/>
      <c r="Y16" s="1"/>
      <c r="Z16" s="1"/>
    </row>
    <row r="17" spans="1:26" ht="24.75" customHeight="1">
      <c r="A17" s="171"/>
      <c r="B17" s="171"/>
      <c r="C17" s="171"/>
      <c r="D17" s="5">
        <v>12</v>
      </c>
      <c r="E17" s="5" t="s">
        <v>45</v>
      </c>
      <c r="F17" s="5"/>
      <c r="G17" s="5"/>
      <c r="H17" s="5"/>
      <c r="I17" s="5"/>
      <c r="J17" s="5"/>
      <c r="K17" s="5"/>
      <c r="L17" s="5"/>
      <c r="M17" s="5"/>
      <c r="N17" s="6">
        <v>3.4950000000000001</v>
      </c>
      <c r="O17" s="5"/>
      <c r="P17" s="5"/>
      <c r="Q17" s="5"/>
      <c r="R17" s="5"/>
      <c r="S17" s="5"/>
      <c r="T17" s="6">
        <f t="shared" si="0"/>
        <v>3.4950000000000001</v>
      </c>
      <c r="U17" s="9" t="s">
        <v>46</v>
      </c>
      <c r="V17" s="1"/>
      <c r="W17" s="1"/>
      <c r="X17" s="1"/>
      <c r="Y17" s="1"/>
      <c r="Z17" s="1"/>
    </row>
    <row r="18" spans="1:26" ht="24.75" customHeight="1">
      <c r="A18" s="171"/>
      <c r="B18" s="171"/>
      <c r="C18" s="171"/>
      <c r="D18" s="5">
        <v>13</v>
      </c>
      <c r="E18" s="5" t="s">
        <v>47</v>
      </c>
      <c r="F18" s="5"/>
      <c r="G18" s="5"/>
      <c r="H18" s="5"/>
      <c r="I18" s="5"/>
      <c r="J18" s="5"/>
      <c r="K18" s="5"/>
      <c r="L18" s="5"/>
      <c r="M18" s="5"/>
      <c r="N18" s="5"/>
      <c r="O18" s="5"/>
      <c r="P18" s="8"/>
      <c r="Q18" s="5"/>
      <c r="R18" s="5"/>
      <c r="S18" s="5"/>
      <c r="T18" s="6">
        <f t="shared" si="0"/>
        <v>0</v>
      </c>
      <c r="U18" s="9"/>
      <c r="V18" s="1"/>
      <c r="W18" s="1"/>
      <c r="X18" s="1"/>
      <c r="Y18" s="1"/>
      <c r="Z18" s="1"/>
    </row>
    <row r="19" spans="1:26" ht="24.75" customHeight="1">
      <c r="A19" s="171"/>
      <c r="B19" s="171"/>
      <c r="C19" s="171"/>
      <c r="D19" s="5">
        <v>14</v>
      </c>
      <c r="E19" s="5" t="s">
        <v>48</v>
      </c>
      <c r="F19" s="5"/>
      <c r="G19" s="5"/>
      <c r="H19" s="5"/>
      <c r="I19" s="5"/>
      <c r="J19" s="5"/>
      <c r="K19" s="5"/>
      <c r="L19" s="5"/>
      <c r="M19" s="5"/>
      <c r="N19" s="5"/>
      <c r="O19" s="5"/>
      <c r="P19" s="5"/>
      <c r="Q19" s="5"/>
      <c r="R19" s="5"/>
      <c r="S19" s="5"/>
      <c r="T19" s="6">
        <f t="shared" si="0"/>
        <v>0</v>
      </c>
      <c r="U19" s="9"/>
      <c r="V19" s="1"/>
      <c r="W19" s="1"/>
      <c r="X19" s="1"/>
      <c r="Y19" s="1"/>
      <c r="Z19" s="1"/>
    </row>
    <row r="20" spans="1:26" ht="24.75" customHeight="1">
      <c r="A20" s="171"/>
      <c r="B20" s="171"/>
      <c r="C20" s="171"/>
      <c r="D20" s="5">
        <v>15</v>
      </c>
      <c r="E20" s="5" t="s">
        <v>49</v>
      </c>
      <c r="F20" s="5"/>
      <c r="G20" s="5"/>
      <c r="H20" s="5"/>
      <c r="I20" s="8">
        <v>8</v>
      </c>
      <c r="J20" s="5"/>
      <c r="K20" s="5"/>
      <c r="L20" s="5"/>
      <c r="M20" s="5"/>
      <c r="N20" s="6">
        <v>0.74785000000000001</v>
      </c>
      <c r="O20" s="5"/>
      <c r="P20" s="8"/>
      <c r="Q20" s="8"/>
      <c r="R20" s="5"/>
      <c r="S20" s="5"/>
      <c r="T20" s="6">
        <f t="shared" si="0"/>
        <v>8.7478499999999997</v>
      </c>
      <c r="U20" s="9" t="s">
        <v>50</v>
      </c>
      <c r="V20" s="1"/>
      <c r="W20" s="1"/>
      <c r="X20" s="1"/>
      <c r="Y20" s="1"/>
      <c r="Z20" s="1"/>
    </row>
    <row r="21" spans="1:26" ht="24.75" customHeight="1">
      <c r="A21" s="171"/>
      <c r="B21" s="171"/>
      <c r="C21" s="171"/>
      <c r="D21" s="5">
        <v>16</v>
      </c>
      <c r="E21" s="5" t="s">
        <v>51</v>
      </c>
      <c r="F21" s="5"/>
      <c r="G21" s="5"/>
      <c r="H21" s="5"/>
      <c r="I21" s="5"/>
      <c r="J21" s="5"/>
      <c r="K21" s="5"/>
      <c r="L21" s="5"/>
      <c r="M21" s="5"/>
      <c r="N21" s="5"/>
      <c r="O21" s="5"/>
      <c r="P21" s="5"/>
      <c r="Q21" s="5"/>
      <c r="R21" s="5"/>
      <c r="S21" s="5"/>
      <c r="T21" s="6">
        <f t="shared" si="0"/>
        <v>0</v>
      </c>
      <c r="U21" s="9"/>
      <c r="V21" s="1"/>
      <c r="W21" s="1"/>
      <c r="X21" s="1"/>
      <c r="Y21" s="1"/>
      <c r="Z21" s="1"/>
    </row>
    <row r="22" spans="1:26" ht="24.75" customHeight="1">
      <c r="A22" s="171"/>
      <c r="B22" s="171"/>
      <c r="C22" s="171"/>
      <c r="D22" s="5">
        <v>17</v>
      </c>
      <c r="E22" s="5" t="s">
        <v>52</v>
      </c>
      <c r="F22" s="5"/>
      <c r="G22" s="5"/>
      <c r="H22" s="5"/>
      <c r="I22" s="6"/>
      <c r="J22" s="5"/>
      <c r="K22" s="5"/>
      <c r="L22" s="5"/>
      <c r="M22" s="5"/>
      <c r="N22" s="6">
        <v>1.179</v>
      </c>
      <c r="O22" s="5"/>
      <c r="P22" s="8"/>
      <c r="Q22" s="6">
        <v>3.5</v>
      </c>
      <c r="R22" s="5"/>
      <c r="S22" s="8"/>
      <c r="T22" s="6">
        <f t="shared" si="0"/>
        <v>4.6790000000000003</v>
      </c>
      <c r="U22" s="9" t="s">
        <v>358</v>
      </c>
      <c r="V22" s="1"/>
      <c r="W22" s="1"/>
      <c r="X22" s="1"/>
      <c r="Y22" s="1"/>
      <c r="Z22" s="1"/>
    </row>
    <row r="23" spans="1:26" ht="24.75" customHeight="1">
      <c r="A23" s="171"/>
      <c r="B23" s="169"/>
      <c r="C23" s="169"/>
      <c r="D23" s="5">
        <v>18</v>
      </c>
      <c r="E23" s="5" t="s">
        <v>54</v>
      </c>
      <c r="F23" s="5"/>
      <c r="G23" s="5"/>
      <c r="H23" s="5"/>
      <c r="I23" s="5"/>
      <c r="J23" s="5"/>
      <c r="K23" s="5"/>
      <c r="L23" s="5"/>
      <c r="M23" s="5"/>
      <c r="N23" s="5"/>
      <c r="O23" s="5"/>
      <c r="P23" s="8">
        <f>2.125+0.3</f>
        <v>2.4249999999999998</v>
      </c>
      <c r="Q23" s="8"/>
      <c r="R23" s="5"/>
      <c r="S23" s="8"/>
      <c r="T23" s="6">
        <f t="shared" si="0"/>
        <v>2.4249999999999998</v>
      </c>
      <c r="U23" s="9" t="s">
        <v>55</v>
      </c>
      <c r="V23" s="1"/>
      <c r="W23" s="1"/>
      <c r="X23" s="1"/>
      <c r="Y23" s="1"/>
      <c r="Z23" s="1"/>
    </row>
    <row r="24" spans="1:26" ht="24.75" customHeight="1">
      <c r="A24" s="171"/>
      <c r="B24" s="168" t="s">
        <v>56</v>
      </c>
      <c r="C24" s="168" t="s">
        <v>57</v>
      </c>
      <c r="D24" s="5">
        <v>19</v>
      </c>
      <c r="E24" s="5" t="s">
        <v>57</v>
      </c>
      <c r="F24" s="5"/>
      <c r="G24" s="5"/>
      <c r="H24" s="5"/>
      <c r="I24" s="5"/>
      <c r="J24" s="5"/>
      <c r="K24" s="5"/>
      <c r="L24" s="5"/>
      <c r="M24" s="5"/>
      <c r="N24" s="5"/>
      <c r="O24" s="5"/>
      <c r="P24" s="5"/>
      <c r="Q24" s="5"/>
      <c r="R24" s="5"/>
      <c r="S24" s="5"/>
      <c r="T24" s="6">
        <f t="shared" si="0"/>
        <v>0</v>
      </c>
      <c r="U24" s="9"/>
      <c r="V24" s="1"/>
      <c r="W24" s="1"/>
      <c r="X24" s="1"/>
      <c r="Y24" s="1"/>
      <c r="Z24" s="1"/>
    </row>
    <row r="25" spans="1:26" ht="24.75" customHeight="1">
      <c r="A25" s="171"/>
      <c r="B25" s="169"/>
      <c r="C25" s="169"/>
      <c r="D25" s="5">
        <v>20</v>
      </c>
      <c r="E25" s="5" t="s">
        <v>58</v>
      </c>
      <c r="F25" s="5"/>
      <c r="G25" s="5"/>
      <c r="H25" s="5"/>
      <c r="I25" s="5"/>
      <c r="J25" s="5"/>
      <c r="K25" s="5"/>
      <c r="L25" s="5"/>
      <c r="M25" s="5"/>
      <c r="N25" s="5"/>
      <c r="O25" s="5"/>
      <c r="P25" s="5"/>
      <c r="Q25" s="6">
        <v>0.8</v>
      </c>
      <c r="R25" s="5"/>
      <c r="S25" s="5"/>
      <c r="T25" s="6">
        <f t="shared" si="0"/>
        <v>0.8</v>
      </c>
      <c r="U25" s="9" t="s">
        <v>359</v>
      </c>
      <c r="V25" s="1"/>
      <c r="W25" s="1"/>
      <c r="X25" s="1"/>
      <c r="Y25" s="1"/>
      <c r="Z25" s="1"/>
    </row>
    <row r="26" spans="1:26" ht="24.75" customHeight="1">
      <c r="A26" s="171"/>
      <c r="B26" s="168" t="s">
        <v>60</v>
      </c>
      <c r="C26" s="168" t="s">
        <v>61</v>
      </c>
      <c r="D26" s="5">
        <v>21</v>
      </c>
      <c r="E26" s="5" t="s">
        <v>62</v>
      </c>
      <c r="F26" s="123"/>
      <c r="G26" s="123"/>
      <c r="H26" s="124"/>
      <c r="I26" s="125">
        <v>3.5</v>
      </c>
      <c r="J26" s="123"/>
      <c r="K26" s="125"/>
      <c r="L26" s="123"/>
      <c r="M26" s="123"/>
      <c r="N26" s="125">
        <f>0.992+0.4565+0.475+1</f>
        <v>2.9235000000000002</v>
      </c>
      <c r="O26" s="123"/>
      <c r="P26" s="124">
        <f>17.28+3.78</f>
        <v>21.060000000000002</v>
      </c>
      <c r="Q26" s="124">
        <f>0.25</f>
        <v>0.25</v>
      </c>
      <c r="R26" s="125">
        <f>0.5+0.35</f>
        <v>0.85</v>
      </c>
      <c r="S26" s="123"/>
      <c r="T26" s="125">
        <f t="shared" ref="T26:T36" si="1">SUM(F26:S26)</f>
        <v>28.583500000000004</v>
      </c>
      <c r="U26" s="9" t="s">
        <v>65</v>
      </c>
      <c r="V26" s="1"/>
      <c r="W26" s="1"/>
      <c r="X26" s="1"/>
      <c r="Y26" s="1"/>
      <c r="Z26" s="1"/>
    </row>
    <row r="27" spans="1:26" ht="24.75" customHeight="1">
      <c r="A27" s="171"/>
      <c r="B27" s="171"/>
      <c r="C27" s="171"/>
      <c r="D27" s="5">
        <v>22</v>
      </c>
      <c r="E27" s="5" t="s">
        <v>64</v>
      </c>
      <c r="F27" s="124"/>
      <c r="G27" s="123"/>
      <c r="H27" s="124"/>
      <c r="I27" s="125"/>
      <c r="J27" s="123"/>
      <c r="K27" s="123"/>
      <c r="L27" s="123"/>
      <c r="M27" s="124">
        <v>0.75</v>
      </c>
      <c r="N27" s="123"/>
      <c r="O27" s="123"/>
      <c r="P27" s="124">
        <v>401.2</v>
      </c>
      <c r="Q27" s="124"/>
      <c r="R27" s="125"/>
      <c r="S27" s="123"/>
      <c r="T27" s="125">
        <f t="shared" si="1"/>
        <v>401.95</v>
      </c>
      <c r="U27" s="9" t="s">
        <v>65</v>
      </c>
      <c r="V27" s="1"/>
      <c r="W27" s="1"/>
      <c r="X27" s="1"/>
      <c r="Y27" s="1"/>
      <c r="Z27" s="1"/>
    </row>
    <row r="28" spans="1:26" ht="24.75" customHeight="1">
      <c r="A28" s="171"/>
      <c r="B28" s="171"/>
      <c r="C28" s="171"/>
      <c r="D28" s="5">
        <v>23</v>
      </c>
      <c r="E28" s="5" t="s">
        <v>66</v>
      </c>
      <c r="F28" s="123"/>
      <c r="G28" s="123"/>
      <c r="H28" s="123"/>
      <c r="I28" s="123"/>
      <c r="J28" s="123"/>
      <c r="K28" s="125"/>
      <c r="L28" s="123"/>
      <c r="M28" s="123"/>
      <c r="N28" s="123"/>
      <c r="O28" s="124">
        <f>47.5355+2.25</f>
        <v>49.785499999999999</v>
      </c>
      <c r="P28" s="123"/>
      <c r="Q28" s="124"/>
      <c r="R28" s="123"/>
      <c r="S28" s="123"/>
      <c r="T28" s="125">
        <f t="shared" si="1"/>
        <v>49.785499999999999</v>
      </c>
      <c r="U28" s="9" t="s">
        <v>65</v>
      </c>
      <c r="V28" s="1"/>
      <c r="W28" s="1"/>
      <c r="X28" s="1"/>
      <c r="Y28" s="1"/>
      <c r="Z28" s="1"/>
    </row>
    <row r="29" spans="1:26" ht="24.75" customHeight="1">
      <c r="A29" s="171"/>
      <c r="B29" s="171"/>
      <c r="C29" s="171"/>
      <c r="D29" s="5">
        <v>24</v>
      </c>
      <c r="E29" s="5" t="s">
        <v>67</v>
      </c>
      <c r="F29" s="123"/>
      <c r="G29" s="123"/>
      <c r="H29" s="124"/>
      <c r="I29" s="123"/>
      <c r="J29" s="123"/>
      <c r="K29" s="123"/>
      <c r="L29" s="123"/>
      <c r="M29" s="123"/>
      <c r="N29" s="125">
        <f>1.72+1.72+1+1</f>
        <v>5.4399999999999995</v>
      </c>
      <c r="O29" s="124"/>
      <c r="P29" s="123">
        <f>2+10+0.9+12.25</f>
        <v>25.15</v>
      </c>
      <c r="Q29" s="125"/>
      <c r="R29" s="123"/>
      <c r="S29" s="123"/>
      <c r="T29" s="125">
        <f t="shared" si="1"/>
        <v>30.589999999999996</v>
      </c>
      <c r="U29" s="9" t="s">
        <v>360</v>
      </c>
      <c r="V29" s="1"/>
      <c r="W29" s="1"/>
      <c r="X29" s="1"/>
      <c r="Y29" s="1"/>
      <c r="Z29" s="1"/>
    </row>
    <row r="30" spans="1:26" ht="24.75" customHeight="1">
      <c r="A30" s="171"/>
      <c r="B30" s="171"/>
      <c r="C30" s="171"/>
      <c r="D30" s="5">
        <v>25</v>
      </c>
      <c r="E30" s="5" t="s">
        <v>69</v>
      </c>
      <c r="F30" s="123"/>
      <c r="G30" s="123"/>
      <c r="H30" s="123"/>
      <c r="I30" s="123"/>
      <c r="J30" s="123"/>
      <c r="K30" s="123"/>
      <c r="L30" s="123"/>
      <c r="M30" s="123"/>
      <c r="N30" s="125">
        <v>0.5</v>
      </c>
      <c r="O30" s="123"/>
      <c r="P30" s="123"/>
      <c r="Q30" s="123"/>
      <c r="R30" s="123"/>
      <c r="S30" s="123"/>
      <c r="T30" s="125">
        <f t="shared" si="1"/>
        <v>0.5</v>
      </c>
      <c r="U30" s="9" t="s">
        <v>65</v>
      </c>
      <c r="V30" s="1"/>
      <c r="W30" s="1"/>
      <c r="X30" s="1"/>
      <c r="Y30" s="1"/>
      <c r="Z30" s="1"/>
    </row>
    <row r="31" spans="1:26" ht="24.75" customHeight="1">
      <c r="A31" s="171"/>
      <c r="B31" s="171"/>
      <c r="C31" s="171"/>
      <c r="D31" s="5">
        <v>26</v>
      </c>
      <c r="E31" s="5" t="s">
        <v>70</v>
      </c>
      <c r="F31" s="123"/>
      <c r="G31" s="123"/>
      <c r="H31" s="123"/>
      <c r="I31" s="125"/>
      <c r="J31" s="123"/>
      <c r="K31" s="123"/>
      <c r="L31" s="123"/>
      <c r="M31" s="123"/>
      <c r="N31" s="125">
        <v>3.87</v>
      </c>
      <c r="O31" s="123"/>
      <c r="P31" s="123"/>
      <c r="Q31" s="125">
        <v>1</v>
      </c>
      <c r="R31" s="124"/>
      <c r="S31" s="123"/>
      <c r="T31" s="125">
        <f t="shared" si="1"/>
        <v>4.87</v>
      </c>
      <c r="U31" s="9" t="s">
        <v>360</v>
      </c>
      <c r="V31" s="1"/>
      <c r="W31" s="1"/>
      <c r="X31" s="1"/>
      <c r="Y31" s="1"/>
      <c r="Z31" s="1"/>
    </row>
    <row r="32" spans="1:26" ht="24.75" customHeight="1">
      <c r="A32" s="171"/>
      <c r="B32" s="171"/>
      <c r="C32" s="171"/>
      <c r="D32" s="5">
        <v>27</v>
      </c>
      <c r="E32" s="5" t="s">
        <v>72</v>
      </c>
      <c r="F32" s="123"/>
      <c r="G32" s="123"/>
      <c r="H32" s="124"/>
      <c r="I32" s="125"/>
      <c r="J32" s="123"/>
      <c r="K32" s="123"/>
      <c r="L32" s="123"/>
      <c r="M32" s="123"/>
      <c r="N32" s="125"/>
      <c r="O32" s="124"/>
      <c r="P32" s="124"/>
      <c r="Q32" s="123"/>
      <c r="R32" s="123"/>
      <c r="S32" s="123"/>
      <c r="T32" s="125">
        <f t="shared" si="1"/>
        <v>0</v>
      </c>
      <c r="U32" s="9"/>
      <c r="V32" s="1"/>
      <c r="W32" s="1"/>
      <c r="X32" s="1"/>
      <c r="Y32" s="1"/>
      <c r="Z32" s="1"/>
    </row>
    <row r="33" spans="1:26" ht="24.75" customHeight="1">
      <c r="A33" s="171"/>
      <c r="B33" s="171"/>
      <c r="C33" s="171"/>
      <c r="D33" s="5">
        <v>28</v>
      </c>
      <c r="E33" s="5" t="s">
        <v>31</v>
      </c>
      <c r="F33" s="123"/>
      <c r="G33" s="123"/>
      <c r="H33" s="123"/>
      <c r="I33" s="123"/>
      <c r="J33" s="123"/>
      <c r="K33" s="125">
        <v>2.4900000000000002</v>
      </c>
      <c r="L33" s="123"/>
      <c r="M33" s="125">
        <v>2.4900000000000002</v>
      </c>
      <c r="N33" s="123"/>
      <c r="O33" s="123"/>
      <c r="P33" s="123"/>
      <c r="Q33" s="123"/>
      <c r="R33" s="123"/>
      <c r="S33" s="123"/>
      <c r="T33" s="125">
        <f t="shared" si="1"/>
        <v>4.9800000000000004</v>
      </c>
      <c r="U33" s="9" t="s">
        <v>65</v>
      </c>
      <c r="V33" s="1"/>
      <c r="W33" s="1"/>
      <c r="X33" s="1"/>
      <c r="Y33" s="1"/>
      <c r="Z33" s="1"/>
    </row>
    <row r="34" spans="1:26" ht="24.75" customHeight="1">
      <c r="A34" s="171"/>
      <c r="B34" s="171"/>
      <c r="C34" s="171"/>
      <c r="D34" s="5">
        <v>29</v>
      </c>
      <c r="E34" s="5" t="s">
        <v>33</v>
      </c>
      <c r="F34" s="123"/>
      <c r="G34" s="123"/>
      <c r="H34" s="123"/>
      <c r="I34" s="123"/>
      <c r="J34" s="123"/>
      <c r="K34" s="123"/>
      <c r="L34" s="123"/>
      <c r="M34" s="123"/>
      <c r="N34" s="123"/>
      <c r="O34" s="123"/>
      <c r="P34" s="125">
        <v>6.2249999999999996</v>
      </c>
      <c r="Q34" s="123"/>
      <c r="R34" s="123"/>
      <c r="S34" s="123"/>
      <c r="T34" s="125">
        <f t="shared" si="1"/>
        <v>6.2249999999999996</v>
      </c>
      <c r="U34" s="9" t="s">
        <v>65</v>
      </c>
      <c r="V34" s="1"/>
      <c r="W34" s="1"/>
      <c r="X34" s="1"/>
      <c r="Y34" s="1"/>
      <c r="Z34" s="1"/>
    </row>
    <row r="35" spans="1:26" ht="24.75" customHeight="1">
      <c r="A35" s="171"/>
      <c r="B35" s="171"/>
      <c r="C35" s="171"/>
      <c r="D35" s="5">
        <v>30</v>
      </c>
      <c r="E35" s="5" t="s">
        <v>73</v>
      </c>
      <c r="F35" s="123"/>
      <c r="G35" s="123"/>
      <c r="H35" s="123"/>
      <c r="I35" s="125"/>
      <c r="J35" s="123"/>
      <c r="K35" s="123"/>
      <c r="L35" s="123"/>
      <c r="M35" s="123"/>
      <c r="N35" s="123"/>
      <c r="O35" s="123"/>
      <c r="P35" s="123"/>
      <c r="Q35" s="125">
        <v>3.5</v>
      </c>
      <c r="R35" s="124">
        <v>1.66</v>
      </c>
      <c r="S35" s="123"/>
      <c r="T35" s="125">
        <f t="shared" si="1"/>
        <v>5.16</v>
      </c>
      <c r="U35" s="9" t="s">
        <v>423</v>
      </c>
      <c r="V35" s="1"/>
      <c r="W35" s="1"/>
      <c r="X35" s="1"/>
      <c r="Y35" s="1"/>
      <c r="Z35" s="1"/>
    </row>
    <row r="36" spans="1:26" ht="24.75" customHeight="1">
      <c r="A36" s="171"/>
      <c r="B36" s="169"/>
      <c r="C36" s="169"/>
      <c r="D36" s="5">
        <v>31</v>
      </c>
      <c r="E36" s="5" t="s">
        <v>54</v>
      </c>
      <c r="F36" s="123"/>
      <c r="G36" s="123"/>
      <c r="H36" s="123"/>
      <c r="I36" s="123"/>
      <c r="J36" s="123"/>
      <c r="K36" s="123"/>
      <c r="L36" s="123"/>
      <c r="M36" s="123"/>
      <c r="N36" s="123"/>
      <c r="O36" s="123"/>
      <c r="P36" s="123"/>
      <c r="Q36" s="123"/>
      <c r="R36" s="123"/>
      <c r="S36" s="123"/>
      <c r="T36" s="125">
        <f t="shared" si="1"/>
        <v>0</v>
      </c>
      <c r="U36" s="9"/>
      <c r="V36" s="1"/>
      <c r="W36" s="1"/>
      <c r="X36" s="1"/>
      <c r="Y36" s="1"/>
      <c r="Z36" s="1"/>
    </row>
    <row r="37" spans="1:26" ht="24.75" customHeight="1">
      <c r="A37" s="171"/>
      <c r="B37" s="168" t="s">
        <v>75</v>
      </c>
      <c r="C37" s="168" t="s">
        <v>76</v>
      </c>
      <c r="D37" s="5">
        <v>32</v>
      </c>
      <c r="E37" s="5" t="s">
        <v>77</v>
      </c>
      <c r="F37" s="5"/>
      <c r="G37" s="5"/>
      <c r="H37" s="5"/>
      <c r="I37" s="6"/>
      <c r="J37" s="5"/>
      <c r="K37" s="5"/>
      <c r="L37" s="5"/>
      <c r="M37" s="6"/>
      <c r="N37" s="6">
        <v>2.37</v>
      </c>
      <c r="O37" s="8">
        <v>52.97</v>
      </c>
      <c r="P37" s="8">
        <v>15.58</v>
      </c>
      <c r="Q37" s="6">
        <v>1.3</v>
      </c>
      <c r="R37" s="8">
        <v>5.35</v>
      </c>
      <c r="S37" s="5"/>
      <c r="T37" s="6">
        <f t="shared" si="0"/>
        <v>77.569999999999993</v>
      </c>
      <c r="U37" s="9" t="s">
        <v>361</v>
      </c>
      <c r="V37" s="1"/>
      <c r="W37" s="1"/>
      <c r="X37" s="1"/>
      <c r="Y37" s="1"/>
      <c r="Z37" s="1"/>
    </row>
    <row r="38" spans="1:26" ht="24.75" customHeight="1">
      <c r="A38" s="171"/>
      <c r="B38" s="171"/>
      <c r="C38" s="171"/>
      <c r="D38" s="5">
        <v>33</v>
      </c>
      <c r="E38" s="5" t="s">
        <v>79</v>
      </c>
      <c r="F38" s="5"/>
      <c r="G38" s="5"/>
      <c r="H38" s="5"/>
      <c r="I38" s="5"/>
      <c r="J38" s="5"/>
      <c r="K38" s="5"/>
      <c r="L38" s="5"/>
      <c r="M38" s="5"/>
      <c r="N38" s="5"/>
      <c r="O38" s="5"/>
      <c r="P38" s="5"/>
      <c r="Q38" s="5"/>
      <c r="R38" s="5"/>
      <c r="S38" s="5"/>
      <c r="T38" s="6">
        <f t="shared" si="0"/>
        <v>0</v>
      </c>
      <c r="U38" s="9"/>
      <c r="V38" s="1"/>
      <c r="W38" s="1"/>
      <c r="X38" s="1"/>
      <c r="Y38" s="1"/>
      <c r="Z38" s="1"/>
    </row>
    <row r="39" spans="1:26" ht="24.75" customHeight="1">
      <c r="A39" s="171"/>
      <c r="B39" s="169"/>
      <c r="C39" s="169"/>
      <c r="D39" s="5">
        <v>34</v>
      </c>
      <c r="E39" s="5" t="s">
        <v>80</v>
      </c>
      <c r="F39" s="5"/>
      <c r="G39" s="5"/>
      <c r="H39" s="5"/>
      <c r="I39" s="5"/>
      <c r="J39" s="5"/>
      <c r="K39" s="5"/>
      <c r="L39" s="5"/>
      <c r="M39" s="5"/>
      <c r="N39" s="6"/>
      <c r="O39" s="5"/>
      <c r="P39" s="8"/>
      <c r="Q39" s="5"/>
      <c r="R39" s="5"/>
      <c r="S39" s="5"/>
      <c r="T39" s="6">
        <f t="shared" si="0"/>
        <v>0</v>
      </c>
      <c r="U39" s="9"/>
      <c r="V39" s="1"/>
      <c r="W39" s="1"/>
      <c r="X39" s="1"/>
      <c r="Y39" s="1"/>
      <c r="Z39" s="1"/>
    </row>
    <row r="40" spans="1:26" ht="24.75" customHeight="1">
      <c r="A40" s="171"/>
      <c r="B40" s="168" t="s">
        <v>81</v>
      </c>
      <c r="C40" s="168" t="s">
        <v>82</v>
      </c>
      <c r="D40" s="5">
        <v>35</v>
      </c>
      <c r="E40" s="5" t="s">
        <v>83</v>
      </c>
      <c r="F40" s="5"/>
      <c r="G40" s="5"/>
      <c r="H40" s="5"/>
      <c r="I40" s="6"/>
      <c r="J40" s="5"/>
      <c r="K40" s="5"/>
      <c r="L40" s="5"/>
      <c r="M40" s="5"/>
      <c r="N40" s="6">
        <v>2.75</v>
      </c>
      <c r="O40" s="5"/>
      <c r="P40" s="8">
        <v>2.04</v>
      </c>
      <c r="Q40" s="8"/>
      <c r="R40" s="5">
        <v>0.1</v>
      </c>
      <c r="S40" s="5"/>
      <c r="T40" s="6">
        <f t="shared" si="0"/>
        <v>4.8899999999999997</v>
      </c>
      <c r="U40" s="9" t="s">
        <v>598</v>
      </c>
      <c r="V40" s="1"/>
      <c r="W40" s="1"/>
      <c r="X40" s="1"/>
      <c r="Y40" s="1"/>
      <c r="Z40" s="1"/>
    </row>
    <row r="41" spans="1:26" ht="24.75" customHeight="1">
      <c r="A41" s="171"/>
      <c r="B41" s="171"/>
      <c r="C41" s="171"/>
      <c r="D41" s="5">
        <v>36</v>
      </c>
      <c r="E41" s="5" t="s">
        <v>84</v>
      </c>
      <c r="F41" s="5"/>
      <c r="G41" s="5"/>
      <c r="H41" s="5"/>
      <c r="I41" s="5"/>
      <c r="J41" s="5"/>
      <c r="K41" s="6"/>
      <c r="L41" s="5"/>
      <c r="M41" s="5"/>
      <c r="N41" s="6">
        <v>0.95</v>
      </c>
      <c r="O41" s="5"/>
      <c r="P41" s="5"/>
      <c r="Q41" s="5"/>
      <c r="R41" s="5"/>
      <c r="S41" s="5"/>
      <c r="T41" s="6">
        <f t="shared" si="0"/>
        <v>0.95</v>
      </c>
      <c r="U41" s="9" t="s">
        <v>424</v>
      </c>
      <c r="V41" s="1"/>
      <c r="W41" s="1"/>
      <c r="X41" s="1"/>
      <c r="Y41" s="1"/>
      <c r="Z41" s="1"/>
    </row>
    <row r="42" spans="1:26" ht="24.75" customHeight="1">
      <c r="A42" s="171"/>
      <c r="B42" s="171"/>
      <c r="C42" s="171"/>
      <c r="D42" s="5">
        <v>37</v>
      </c>
      <c r="E42" s="5" t="s">
        <v>86</v>
      </c>
      <c r="F42" s="5"/>
      <c r="G42" s="5"/>
      <c r="H42" s="5"/>
      <c r="I42" s="5"/>
      <c r="J42" s="5"/>
      <c r="K42" s="6"/>
      <c r="L42" s="5"/>
      <c r="M42" s="5"/>
      <c r="N42" s="5"/>
      <c r="O42" s="5"/>
      <c r="P42" s="5"/>
      <c r="Q42" s="5"/>
      <c r="R42" s="5"/>
      <c r="S42" s="5"/>
      <c r="T42" s="6">
        <f t="shared" si="0"/>
        <v>0</v>
      </c>
      <c r="U42" s="9"/>
      <c r="V42" s="1"/>
      <c r="W42" s="1"/>
      <c r="X42" s="1"/>
      <c r="Y42" s="1"/>
      <c r="Z42" s="1"/>
    </row>
    <row r="43" spans="1:26" ht="24.75" customHeight="1">
      <c r="A43" s="171"/>
      <c r="B43" s="171"/>
      <c r="C43" s="171"/>
      <c r="D43" s="5">
        <v>38</v>
      </c>
      <c r="E43" s="5" t="s">
        <v>87</v>
      </c>
      <c r="F43" s="5"/>
      <c r="G43" s="5"/>
      <c r="H43" s="5"/>
      <c r="I43" s="5"/>
      <c r="J43" s="5"/>
      <c r="K43" s="5"/>
      <c r="L43" s="5"/>
      <c r="M43" s="5"/>
      <c r="N43" s="6">
        <v>3.9249999999999998</v>
      </c>
      <c r="O43" s="8">
        <v>0.16</v>
      </c>
      <c r="P43" s="8">
        <v>6.8</v>
      </c>
      <c r="Q43" s="8">
        <v>0.7</v>
      </c>
      <c r="R43" s="5">
        <v>1</v>
      </c>
      <c r="S43" s="5"/>
      <c r="T43" s="6">
        <f t="shared" si="0"/>
        <v>12.584999999999999</v>
      </c>
      <c r="U43" s="9" t="s">
        <v>599</v>
      </c>
      <c r="V43" s="1"/>
      <c r="W43" s="1"/>
      <c r="X43" s="1"/>
      <c r="Y43" s="1"/>
      <c r="Z43" s="1"/>
    </row>
    <row r="44" spans="1:26" ht="24.75" customHeight="1">
      <c r="A44" s="171"/>
      <c r="B44" s="171"/>
      <c r="C44" s="171"/>
      <c r="D44" s="5">
        <v>39</v>
      </c>
      <c r="E44" s="5" t="s">
        <v>88</v>
      </c>
      <c r="F44" s="5"/>
      <c r="G44" s="5"/>
      <c r="H44" s="5"/>
      <c r="I44" s="5"/>
      <c r="J44" s="5"/>
      <c r="K44" s="5"/>
      <c r="L44" s="5"/>
      <c r="M44" s="5"/>
      <c r="N44" s="5"/>
      <c r="O44" s="5"/>
      <c r="P44" s="8">
        <v>0.87</v>
      </c>
      <c r="Q44" s="8">
        <v>15.5</v>
      </c>
      <c r="R44" s="5"/>
      <c r="S44" s="5"/>
      <c r="T44" s="6">
        <f t="shared" si="0"/>
        <v>16.37</v>
      </c>
      <c r="U44" s="9" t="s">
        <v>600</v>
      </c>
      <c r="V44" s="1"/>
      <c r="W44" s="1"/>
      <c r="X44" s="1"/>
      <c r="Y44" s="1"/>
      <c r="Z44" s="1"/>
    </row>
    <row r="45" spans="1:26" ht="24.75" customHeight="1">
      <c r="A45" s="171"/>
      <c r="B45" s="171"/>
      <c r="C45" s="171"/>
      <c r="D45" s="5">
        <v>40</v>
      </c>
      <c r="E45" s="5" t="s">
        <v>89</v>
      </c>
      <c r="F45" s="5"/>
      <c r="G45" s="5"/>
      <c r="H45" s="5"/>
      <c r="I45" s="5"/>
      <c r="J45" s="5"/>
      <c r="K45" s="5"/>
      <c r="L45" s="5"/>
      <c r="M45" s="5"/>
      <c r="N45" s="6">
        <v>0.10920000000000001</v>
      </c>
      <c r="O45" s="5"/>
      <c r="P45" s="8">
        <v>0.15</v>
      </c>
      <c r="Q45" s="6">
        <v>0.32</v>
      </c>
      <c r="R45" s="8">
        <v>2</v>
      </c>
      <c r="S45" s="5"/>
      <c r="T45" s="6">
        <f t="shared" si="0"/>
        <v>2.5792000000000002</v>
      </c>
      <c r="U45" s="9" t="s">
        <v>828</v>
      </c>
      <c r="V45" s="1"/>
      <c r="W45" s="1"/>
      <c r="X45" s="1"/>
      <c r="Y45" s="1"/>
      <c r="Z45" s="1"/>
    </row>
    <row r="46" spans="1:26" ht="24.75" customHeight="1">
      <c r="A46" s="171"/>
      <c r="B46" s="169"/>
      <c r="C46" s="169"/>
      <c r="D46" s="5">
        <v>41</v>
      </c>
      <c r="E46" s="5" t="s">
        <v>54</v>
      </c>
      <c r="F46" s="5"/>
      <c r="G46" s="5"/>
      <c r="H46" s="5"/>
      <c r="I46" s="5"/>
      <c r="J46" s="5"/>
      <c r="K46" s="5"/>
      <c r="L46" s="5"/>
      <c r="M46" s="5"/>
      <c r="N46" s="5"/>
      <c r="O46" s="5"/>
      <c r="P46" s="5"/>
      <c r="Q46" s="5"/>
      <c r="R46" s="5"/>
      <c r="S46" s="5"/>
      <c r="T46" s="6">
        <f t="shared" si="0"/>
        <v>0</v>
      </c>
      <c r="U46" s="9"/>
      <c r="V46" s="1"/>
      <c r="W46" s="1"/>
      <c r="X46" s="1"/>
      <c r="Y46" s="1"/>
      <c r="Z46" s="1"/>
    </row>
    <row r="47" spans="1:26" ht="24.75" customHeight="1">
      <c r="A47" s="171"/>
      <c r="B47" s="168" t="s">
        <v>90</v>
      </c>
      <c r="C47" s="168" t="s">
        <v>91</v>
      </c>
      <c r="D47" s="5">
        <v>42</v>
      </c>
      <c r="E47" s="5" t="s">
        <v>92</v>
      </c>
      <c r="F47" s="8">
        <v>9.44</v>
      </c>
      <c r="G47" s="5"/>
      <c r="H47" s="5"/>
      <c r="I47" s="6"/>
      <c r="J47" s="5"/>
      <c r="K47" s="5"/>
      <c r="L47" s="5"/>
      <c r="M47" s="5"/>
      <c r="N47" s="6">
        <v>1.37</v>
      </c>
      <c r="O47" s="5"/>
      <c r="P47" s="8">
        <v>1.5</v>
      </c>
      <c r="Q47" s="5"/>
      <c r="R47" s="5"/>
      <c r="S47" s="5"/>
      <c r="T47" s="6">
        <f t="shared" si="0"/>
        <v>12.309999999999999</v>
      </c>
      <c r="U47" s="9"/>
      <c r="V47" s="1"/>
      <c r="W47" s="1"/>
      <c r="X47" s="1"/>
      <c r="Y47" s="1"/>
      <c r="Z47" s="1"/>
    </row>
    <row r="48" spans="1:26" ht="24.75" customHeight="1">
      <c r="A48" s="171"/>
      <c r="B48" s="171"/>
      <c r="C48" s="171"/>
      <c r="D48" s="5">
        <v>43</v>
      </c>
      <c r="E48" s="5" t="s">
        <v>93</v>
      </c>
      <c r="F48" s="8">
        <v>0.47</v>
      </c>
      <c r="G48" s="5"/>
      <c r="H48" s="5"/>
      <c r="I48" s="6"/>
      <c r="J48" s="5"/>
      <c r="K48" s="5"/>
      <c r="L48" s="5"/>
      <c r="M48" s="5"/>
      <c r="N48" s="6">
        <v>0.45750000000000002</v>
      </c>
      <c r="O48" s="5"/>
      <c r="P48" s="8">
        <v>1.4</v>
      </c>
      <c r="Q48" s="5"/>
      <c r="R48" s="5"/>
      <c r="S48" s="5"/>
      <c r="T48" s="6">
        <f t="shared" si="0"/>
        <v>2.3274999999999997</v>
      </c>
      <c r="U48" s="9"/>
      <c r="V48" s="1"/>
      <c r="W48" s="1"/>
      <c r="X48" s="1"/>
      <c r="Y48" s="1"/>
      <c r="Z48" s="1"/>
    </row>
    <row r="49" spans="1:26" ht="24.75" customHeight="1">
      <c r="A49" s="171"/>
      <c r="B49" s="171"/>
      <c r="C49" s="171"/>
      <c r="D49" s="5">
        <v>44</v>
      </c>
      <c r="E49" s="5" t="s">
        <v>94</v>
      </c>
      <c r="F49" s="8">
        <v>0.53</v>
      </c>
      <c r="G49" s="5"/>
      <c r="H49" s="5"/>
      <c r="I49" s="6"/>
      <c r="J49" s="5"/>
      <c r="K49" s="5"/>
      <c r="L49" s="5"/>
      <c r="M49" s="5"/>
      <c r="N49" s="6">
        <v>3.28</v>
      </c>
      <c r="O49" s="8">
        <v>0.37</v>
      </c>
      <c r="P49" s="8">
        <v>0.49</v>
      </c>
      <c r="Q49" s="5"/>
      <c r="R49" s="5"/>
      <c r="S49" s="5"/>
      <c r="T49" s="6">
        <f t="shared" si="0"/>
        <v>4.67</v>
      </c>
      <c r="U49" s="9" t="s">
        <v>425</v>
      </c>
      <c r="V49" s="1"/>
      <c r="W49" s="1"/>
      <c r="X49" s="1"/>
      <c r="Y49" s="1"/>
      <c r="Z49" s="1"/>
    </row>
    <row r="50" spans="1:26" ht="24.75" customHeight="1">
      <c r="A50" s="171"/>
      <c r="B50" s="171"/>
      <c r="C50" s="171"/>
      <c r="D50" s="5">
        <v>45</v>
      </c>
      <c r="E50" s="5" t="s">
        <v>96</v>
      </c>
      <c r="F50" s="8">
        <v>0.12</v>
      </c>
      <c r="G50" s="5"/>
      <c r="H50" s="5"/>
      <c r="I50" s="5"/>
      <c r="J50" s="5"/>
      <c r="K50" s="5"/>
      <c r="L50" s="5"/>
      <c r="M50" s="5"/>
      <c r="N50" s="6">
        <v>1</v>
      </c>
      <c r="O50" s="8">
        <v>0.12</v>
      </c>
      <c r="P50" s="5"/>
      <c r="Q50" s="5"/>
      <c r="R50" s="5"/>
      <c r="S50" s="5"/>
      <c r="T50" s="6">
        <f t="shared" si="0"/>
        <v>1.2400000000000002</v>
      </c>
      <c r="U50" s="9"/>
      <c r="V50" s="1"/>
      <c r="W50" s="1"/>
      <c r="X50" s="1"/>
      <c r="Y50" s="1"/>
      <c r="Z50" s="1"/>
    </row>
    <row r="51" spans="1:26" ht="24.75" customHeight="1">
      <c r="A51" s="171"/>
      <c r="B51" s="171"/>
      <c r="C51" s="171"/>
      <c r="D51" s="5">
        <v>46</v>
      </c>
      <c r="E51" s="5" t="s">
        <v>97</v>
      </c>
      <c r="F51" s="5"/>
      <c r="G51" s="5"/>
      <c r="H51" s="5"/>
      <c r="I51" s="5"/>
      <c r="J51" s="5"/>
      <c r="K51" s="5"/>
      <c r="L51" s="5"/>
      <c r="M51" s="5"/>
      <c r="N51" s="5"/>
      <c r="O51" s="5"/>
      <c r="P51" s="5"/>
      <c r="Q51" s="5"/>
      <c r="R51" s="5"/>
      <c r="S51" s="5"/>
      <c r="T51" s="6">
        <f t="shared" si="0"/>
        <v>0</v>
      </c>
      <c r="U51" s="9"/>
      <c r="V51" s="1"/>
      <c r="W51" s="1"/>
      <c r="X51" s="1"/>
      <c r="Y51" s="1"/>
      <c r="Z51" s="1"/>
    </row>
    <row r="52" spans="1:26" ht="24.75" customHeight="1">
      <c r="A52" s="171"/>
      <c r="B52" s="171"/>
      <c r="C52" s="171"/>
      <c r="D52" s="5">
        <v>47</v>
      </c>
      <c r="E52" s="5" t="s">
        <v>98</v>
      </c>
      <c r="F52" s="8">
        <v>3.4</v>
      </c>
      <c r="G52" s="5"/>
      <c r="H52" s="5"/>
      <c r="I52" s="5"/>
      <c r="J52" s="5"/>
      <c r="K52" s="5"/>
      <c r="L52" s="5"/>
      <c r="M52" s="5"/>
      <c r="N52" s="5"/>
      <c r="O52" s="5"/>
      <c r="P52" s="5"/>
      <c r="Q52" s="5"/>
      <c r="R52" s="5"/>
      <c r="S52" s="5"/>
      <c r="T52" s="6">
        <f t="shared" si="0"/>
        <v>3.4</v>
      </c>
      <c r="U52" s="9"/>
      <c r="V52" s="1"/>
      <c r="W52" s="1"/>
      <c r="X52" s="1"/>
      <c r="Y52" s="1"/>
      <c r="Z52" s="1"/>
    </row>
    <row r="53" spans="1:26" ht="24.75" customHeight="1">
      <c r="A53" s="171"/>
      <c r="B53" s="171"/>
      <c r="C53" s="171"/>
      <c r="D53" s="5">
        <v>48</v>
      </c>
      <c r="E53" s="5" t="s">
        <v>99</v>
      </c>
      <c r="F53" s="5"/>
      <c r="G53" s="5"/>
      <c r="H53" s="5"/>
      <c r="I53" s="5"/>
      <c r="J53" s="5"/>
      <c r="K53" s="5"/>
      <c r="L53" s="5"/>
      <c r="M53" s="5"/>
      <c r="N53" s="6">
        <v>0.1</v>
      </c>
      <c r="O53" s="5"/>
      <c r="P53" s="8"/>
      <c r="Q53" s="5"/>
      <c r="R53" s="5"/>
      <c r="S53" s="5"/>
      <c r="T53" s="6">
        <f t="shared" si="0"/>
        <v>0.1</v>
      </c>
      <c r="U53" s="9"/>
      <c r="V53" s="1"/>
      <c r="W53" s="1"/>
      <c r="X53" s="1"/>
      <c r="Y53" s="1"/>
      <c r="Z53" s="1"/>
    </row>
    <row r="54" spans="1:26" ht="24.75" customHeight="1">
      <c r="A54" s="171"/>
      <c r="B54" s="171"/>
      <c r="C54" s="171"/>
      <c r="D54" s="5">
        <v>49</v>
      </c>
      <c r="E54" s="5" t="s">
        <v>100</v>
      </c>
      <c r="F54" s="5"/>
      <c r="G54" s="5"/>
      <c r="H54" s="5"/>
      <c r="I54" s="5"/>
      <c r="J54" s="5"/>
      <c r="K54" s="5"/>
      <c r="L54" s="5"/>
      <c r="M54" s="5"/>
      <c r="N54" s="5"/>
      <c r="O54" s="5"/>
      <c r="P54" s="5"/>
      <c r="Q54" s="6">
        <v>1.5</v>
      </c>
      <c r="R54" s="8">
        <v>1.76</v>
      </c>
      <c r="S54" s="5"/>
      <c r="T54" s="6">
        <f t="shared" si="0"/>
        <v>3.26</v>
      </c>
      <c r="U54" s="9" t="s">
        <v>310</v>
      </c>
      <c r="V54" s="1"/>
      <c r="W54" s="1"/>
      <c r="X54" s="1"/>
      <c r="Y54" s="1"/>
      <c r="Z54" s="1"/>
    </row>
    <row r="55" spans="1:26" ht="24.75" customHeight="1">
      <c r="A55" s="171"/>
      <c r="B55" s="171"/>
      <c r="C55" s="171"/>
      <c r="D55" s="5">
        <v>50</v>
      </c>
      <c r="E55" s="5" t="s">
        <v>102</v>
      </c>
      <c r="F55" s="5"/>
      <c r="G55" s="5"/>
      <c r="H55" s="5"/>
      <c r="I55" s="6"/>
      <c r="J55" s="5"/>
      <c r="K55" s="5"/>
      <c r="L55" s="5"/>
      <c r="M55" s="5"/>
      <c r="N55" s="6">
        <v>1.1299999999999999</v>
      </c>
      <c r="O55" s="5"/>
      <c r="P55" s="8">
        <v>0.92</v>
      </c>
      <c r="Q55" s="6">
        <v>0.8</v>
      </c>
      <c r="R55" s="8">
        <v>0.113</v>
      </c>
      <c r="S55" s="5"/>
      <c r="T55" s="6">
        <f t="shared" si="0"/>
        <v>2.9629999999999996</v>
      </c>
      <c r="U55" s="9" t="s">
        <v>310</v>
      </c>
      <c r="V55" s="1"/>
      <c r="W55" s="1"/>
      <c r="X55" s="1"/>
      <c r="Y55" s="1"/>
      <c r="Z55" s="1"/>
    </row>
    <row r="56" spans="1:26" ht="24.75" customHeight="1">
      <c r="A56" s="171"/>
      <c r="B56" s="169"/>
      <c r="C56" s="169"/>
      <c r="D56" s="5">
        <v>51</v>
      </c>
      <c r="E56" s="5" t="s">
        <v>54</v>
      </c>
      <c r="F56" s="5"/>
      <c r="G56" s="5"/>
      <c r="H56" s="5"/>
      <c r="I56" s="5"/>
      <c r="J56" s="5"/>
      <c r="K56" s="5"/>
      <c r="L56" s="5"/>
      <c r="M56" s="5"/>
      <c r="N56" s="8"/>
      <c r="O56" s="5"/>
      <c r="P56" s="5">
        <v>1</v>
      </c>
      <c r="Q56" s="5"/>
      <c r="R56" s="5"/>
      <c r="S56" s="5"/>
      <c r="T56" s="6">
        <f t="shared" si="0"/>
        <v>1</v>
      </c>
      <c r="U56" s="9"/>
      <c r="V56" s="1"/>
      <c r="W56" s="1"/>
      <c r="X56" s="1"/>
      <c r="Y56" s="1"/>
      <c r="Z56" s="1"/>
    </row>
    <row r="57" spans="1:26" ht="24.75" customHeight="1">
      <c r="A57" s="171"/>
      <c r="B57" s="168" t="s">
        <v>103</v>
      </c>
      <c r="C57" s="168" t="s">
        <v>104</v>
      </c>
      <c r="D57" s="5">
        <v>52</v>
      </c>
      <c r="E57" s="5" t="s">
        <v>105</v>
      </c>
      <c r="F57" s="123"/>
      <c r="G57" s="123"/>
      <c r="H57" s="123"/>
      <c r="I57" s="125"/>
      <c r="J57" s="123"/>
      <c r="K57" s="125"/>
      <c r="L57" s="123"/>
      <c r="M57" s="123"/>
      <c r="N57" s="125">
        <v>2</v>
      </c>
      <c r="O57" s="124">
        <v>41.994</v>
      </c>
      <c r="P57" s="123"/>
      <c r="Q57" s="123"/>
      <c r="R57" s="123"/>
      <c r="S57" s="123"/>
      <c r="T57" s="125">
        <f t="shared" ref="T57:T66" si="2">SUM(F57:S57)</f>
        <v>43.994</v>
      </c>
      <c r="U57" s="9" t="s">
        <v>65</v>
      </c>
      <c r="V57" s="1"/>
      <c r="W57" s="1"/>
      <c r="X57" s="1"/>
      <c r="Y57" s="1"/>
      <c r="Z57" s="1"/>
    </row>
    <row r="58" spans="1:26" ht="24.75" customHeight="1">
      <c r="A58" s="171"/>
      <c r="B58" s="171"/>
      <c r="C58" s="171"/>
      <c r="D58" s="5">
        <v>53</v>
      </c>
      <c r="E58" s="5" t="s">
        <v>106</v>
      </c>
      <c r="F58" s="123"/>
      <c r="G58" s="123"/>
      <c r="H58" s="123"/>
      <c r="I58" s="123"/>
      <c r="J58" s="123"/>
      <c r="K58" s="125"/>
      <c r="L58" s="123"/>
      <c r="M58" s="123"/>
      <c r="N58" s="125"/>
      <c r="O58" s="124">
        <v>4.67</v>
      </c>
      <c r="P58" s="123"/>
      <c r="Q58" s="124">
        <v>3</v>
      </c>
      <c r="R58" s="123"/>
      <c r="S58" s="123"/>
      <c r="T58" s="125">
        <f t="shared" si="2"/>
        <v>7.67</v>
      </c>
      <c r="U58" s="9" t="s">
        <v>65</v>
      </c>
      <c r="V58" s="1"/>
      <c r="W58" s="1"/>
      <c r="X58" s="1"/>
      <c r="Y58" s="1"/>
      <c r="Z58" s="1"/>
    </row>
    <row r="59" spans="1:26" ht="24.75" customHeight="1">
      <c r="A59" s="171"/>
      <c r="B59" s="171"/>
      <c r="C59" s="171"/>
      <c r="D59" s="5">
        <v>54</v>
      </c>
      <c r="E59" s="5" t="s">
        <v>107</v>
      </c>
      <c r="F59" s="123"/>
      <c r="G59" s="123"/>
      <c r="H59" s="124"/>
      <c r="I59" s="123"/>
      <c r="J59" s="123"/>
      <c r="K59" s="123"/>
      <c r="L59" s="123"/>
      <c r="M59" s="123"/>
      <c r="N59" s="123"/>
      <c r="O59" s="124"/>
      <c r="P59" s="124"/>
      <c r="Q59" s="123"/>
      <c r="R59" s="123"/>
      <c r="S59" s="123"/>
      <c r="T59" s="125">
        <f t="shared" si="2"/>
        <v>0</v>
      </c>
      <c r="U59" s="9"/>
      <c r="V59" s="1"/>
      <c r="W59" s="1"/>
      <c r="X59" s="1"/>
      <c r="Y59" s="1"/>
      <c r="Z59" s="1"/>
    </row>
    <row r="60" spans="1:26" ht="24.75" customHeight="1">
      <c r="A60" s="171"/>
      <c r="B60" s="171"/>
      <c r="C60" s="171"/>
      <c r="D60" s="5">
        <v>55</v>
      </c>
      <c r="E60" s="5" t="s">
        <v>108</v>
      </c>
      <c r="F60" s="123"/>
      <c r="G60" s="123"/>
      <c r="H60" s="123"/>
      <c r="I60" s="123"/>
      <c r="J60" s="123"/>
      <c r="K60" s="125"/>
      <c r="L60" s="123"/>
      <c r="M60" s="123"/>
      <c r="N60" s="123"/>
      <c r="O60" s="123"/>
      <c r="P60" s="123"/>
      <c r="Q60" s="123"/>
      <c r="R60" s="123"/>
      <c r="S60" s="123"/>
      <c r="T60" s="125">
        <f t="shared" si="2"/>
        <v>0</v>
      </c>
      <c r="U60" s="9"/>
      <c r="V60" s="1"/>
      <c r="W60" s="1"/>
      <c r="X60" s="1"/>
      <c r="Y60" s="1"/>
      <c r="Z60" s="1"/>
    </row>
    <row r="61" spans="1:26" ht="24.75" customHeight="1">
      <c r="A61" s="171"/>
      <c r="B61" s="171"/>
      <c r="C61" s="171"/>
      <c r="D61" s="5">
        <v>56</v>
      </c>
      <c r="E61" s="5" t="s">
        <v>109</v>
      </c>
      <c r="F61" s="123"/>
      <c r="G61" s="123"/>
      <c r="H61" s="123"/>
      <c r="I61" s="123"/>
      <c r="J61" s="123"/>
      <c r="K61" s="123"/>
      <c r="L61" s="123"/>
      <c r="M61" s="123"/>
      <c r="N61" s="123"/>
      <c r="O61" s="124">
        <v>4.17</v>
      </c>
      <c r="P61" s="123"/>
      <c r="Q61" s="123"/>
      <c r="R61" s="123"/>
      <c r="S61" s="123"/>
      <c r="T61" s="125">
        <f t="shared" si="2"/>
        <v>4.17</v>
      </c>
      <c r="U61" s="9" t="s">
        <v>65</v>
      </c>
      <c r="V61" s="1"/>
      <c r="W61" s="1"/>
      <c r="X61" s="1"/>
      <c r="Y61" s="1"/>
      <c r="Z61" s="1"/>
    </row>
    <row r="62" spans="1:26" ht="24.75" customHeight="1">
      <c r="A62" s="171"/>
      <c r="B62" s="171"/>
      <c r="C62" s="171"/>
      <c r="D62" s="5">
        <v>57</v>
      </c>
      <c r="E62" s="5" t="s">
        <v>110</v>
      </c>
      <c r="F62" s="123"/>
      <c r="G62" s="123"/>
      <c r="H62" s="124"/>
      <c r="I62" s="123"/>
      <c r="J62" s="123"/>
      <c r="K62" s="123"/>
      <c r="L62" s="123"/>
      <c r="M62" s="124">
        <f>1.05*1</f>
        <v>1.05</v>
      </c>
      <c r="N62" s="123"/>
      <c r="O62" s="123"/>
      <c r="P62" s="123"/>
      <c r="Q62" s="123"/>
      <c r="R62" s="123"/>
      <c r="S62" s="123"/>
      <c r="T62" s="125">
        <f t="shared" si="2"/>
        <v>1.05</v>
      </c>
      <c r="U62" s="9" t="s">
        <v>65</v>
      </c>
      <c r="V62" s="1"/>
      <c r="W62" s="1"/>
      <c r="X62" s="1"/>
      <c r="Y62" s="1"/>
      <c r="Z62" s="1"/>
    </row>
    <row r="63" spans="1:26" ht="24.75" customHeight="1">
      <c r="A63" s="171"/>
      <c r="B63" s="171"/>
      <c r="C63" s="171"/>
      <c r="D63" s="5">
        <v>58</v>
      </c>
      <c r="E63" s="5" t="s">
        <v>111</v>
      </c>
      <c r="F63" s="123"/>
      <c r="G63" s="123"/>
      <c r="H63" s="123"/>
      <c r="I63" s="123"/>
      <c r="J63" s="123"/>
      <c r="K63" s="125"/>
      <c r="L63" s="123"/>
      <c r="M63" s="123"/>
      <c r="N63" s="123"/>
      <c r="O63" s="124">
        <v>2.33</v>
      </c>
      <c r="P63" s="123"/>
      <c r="Q63" s="124">
        <v>0.75</v>
      </c>
      <c r="R63" s="123"/>
      <c r="S63" s="123"/>
      <c r="T63" s="125">
        <f t="shared" si="2"/>
        <v>3.08</v>
      </c>
      <c r="U63" s="9" t="s">
        <v>65</v>
      </c>
      <c r="V63" s="1"/>
      <c r="W63" s="1"/>
      <c r="X63" s="1"/>
      <c r="Y63" s="1"/>
      <c r="Z63" s="1"/>
    </row>
    <row r="64" spans="1:26" ht="24.75" customHeight="1">
      <c r="A64" s="171"/>
      <c r="B64" s="171"/>
      <c r="C64" s="171"/>
      <c r="D64" s="5">
        <v>59</v>
      </c>
      <c r="E64" s="5" t="s">
        <v>112</v>
      </c>
      <c r="F64" s="123"/>
      <c r="G64" s="123"/>
      <c r="H64" s="123"/>
      <c r="I64" s="123"/>
      <c r="J64" s="123"/>
      <c r="K64" s="123"/>
      <c r="L64" s="123"/>
      <c r="M64" s="123"/>
      <c r="N64" s="123"/>
      <c r="O64" s="123"/>
      <c r="P64" s="123"/>
      <c r="Q64" s="123"/>
      <c r="R64" s="123"/>
      <c r="S64" s="123"/>
      <c r="T64" s="125">
        <f t="shared" si="2"/>
        <v>0</v>
      </c>
      <c r="U64" s="9"/>
      <c r="V64" s="1"/>
      <c r="W64" s="1"/>
      <c r="X64" s="1"/>
      <c r="Y64" s="1"/>
      <c r="Z64" s="1"/>
    </row>
    <row r="65" spans="1:26" ht="24.75" customHeight="1">
      <c r="A65" s="171"/>
      <c r="B65" s="171"/>
      <c r="C65" s="171"/>
      <c r="D65" s="5">
        <v>60</v>
      </c>
      <c r="E65" s="5" t="s">
        <v>113</v>
      </c>
      <c r="F65" s="123"/>
      <c r="G65" s="123"/>
      <c r="H65" s="123"/>
      <c r="I65" s="123"/>
      <c r="J65" s="123"/>
      <c r="K65" s="123"/>
      <c r="L65" s="123"/>
      <c r="M65" s="123"/>
      <c r="N65" s="123"/>
      <c r="O65" s="123"/>
      <c r="P65" s="123"/>
      <c r="Q65" s="123"/>
      <c r="R65" s="123"/>
      <c r="S65" s="123"/>
      <c r="T65" s="125">
        <f t="shared" si="2"/>
        <v>0</v>
      </c>
      <c r="U65" s="9"/>
      <c r="V65" s="1"/>
      <c r="W65" s="1"/>
      <c r="X65" s="1"/>
      <c r="Y65" s="1"/>
      <c r="Z65" s="1"/>
    </row>
    <row r="66" spans="1:26" ht="24.75" customHeight="1">
      <c r="A66" s="171"/>
      <c r="B66" s="169"/>
      <c r="C66" s="169"/>
      <c r="D66" s="5">
        <v>61</v>
      </c>
      <c r="E66" s="5" t="s">
        <v>54</v>
      </c>
      <c r="F66" s="123"/>
      <c r="G66" s="123"/>
      <c r="H66" s="123"/>
      <c r="I66" s="123"/>
      <c r="J66" s="123"/>
      <c r="K66" s="123"/>
      <c r="L66" s="123"/>
      <c r="M66" s="123"/>
      <c r="N66" s="123"/>
      <c r="O66" s="123"/>
      <c r="P66" s="123"/>
      <c r="Q66" s="123"/>
      <c r="R66" s="123"/>
      <c r="S66" s="123"/>
      <c r="T66" s="125">
        <f t="shared" si="2"/>
        <v>0</v>
      </c>
      <c r="U66" s="9"/>
      <c r="V66" s="1"/>
      <c r="W66" s="1"/>
      <c r="X66" s="1"/>
      <c r="Y66" s="1"/>
      <c r="Z66" s="1"/>
    </row>
    <row r="67" spans="1:26" ht="24.75" customHeight="1">
      <c r="A67" s="171"/>
      <c r="B67" s="5" t="s">
        <v>114</v>
      </c>
      <c r="C67" s="5" t="s">
        <v>115</v>
      </c>
      <c r="D67" s="5">
        <v>62</v>
      </c>
      <c r="E67" s="5" t="s">
        <v>116</v>
      </c>
      <c r="F67" s="5"/>
      <c r="G67" s="5"/>
      <c r="H67" s="5"/>
      <c r="I67" s="5"/>
      <c r="J67" s="5"/>
      <c r="K67" s="5"/>
      <c r="L67" s="5"/>
      <c r="M67" s="6"/>
      <c r="N67" s="5"/>
      <c r="O67" s="8">
        <v>1</v>
      </c>
      <c r="P67" s="8"/>
      <c r="Q67" s="6">
        <v>0.25</v>
      </c>
      <c r="R67" s="5"/>
      <c r="S67" s="8"/>
      <c r="T67" s="6">
        <f t="shared" si="0"/>
        <v>1.25</v>
      </c>
      <c r="U67" s="61" t="s">
        <v>577</v>
      </c>
      <c r="V67" s="1"/>
      <c r="W67" s="1"/>
      <c r="X67" s="1"/>
      <c r="Y67" s="1"/>
      <c r="Z67" s="1"/>
    </row>
    <row r="68" spans="1:26" ht="24.75" customHeight="1">
      <c r="A68" s="169"/>
      <c r="B68" s="176" t="s">
        <v>117</v>
      </c>
      <c r="C68" s="177"/>
      <c r="D68" s="178"/>
      <c r="E68" s="51"/>
      <c r="F68" s="51">
        <f t="shared" ref="F68:S68" si="3">SUM(F6:F67)</f>
        <v>63.609999999999992</v>
      </c>
      <c r="G68" s="51">
        <f t="shared" si="3"/>
        <v>0</v>
      </c>
      <c r="H68" s="51">
        <f t="shared" si="3"/>
        <v>0</v>
      </c>
      <c r="I68" s="51">
        <f t="shared" si="3"/>
        <v>11.5</v>
      </c>
      <c r="J68" s="51">
        <f t="shared" si="3"/>
        <v>0</v>
      </c>
      <c r="K68" s="51">
        <f t="shared" si="3"/>
        <v>75.539999999999992</v>
      </c>
      <c r="L68" s="51">
        <f t="shared" si="3"/>
        <v>0</v>
      </c>
      <c r="M68" s="51">
        <f t="shared" si="3"/>
        <v>29.2</v>
      </c>
      <c r="N68" s="51">
        <f t="shared" si="3"/>
        <v>38.234550000000006</v>
      </c>
      <c r="O68" s="51">
        <f t="shared" si="3"/>
        <v>197.20949999999999</v>
      </c>
      <c r="P68" s="51">
        <f t="shared" si="3"/>
        <v>532.37999999999988</v>
      </c>
      <c r="Q68" s="51">
        <f t="shared" si="3"/>
        <v>33.17</v>
      </c>
      <c r="R68" s="51">
        <f t="shared" si="3"/>
        <v>15.113</v>
      </c>
      <c r="S68" s="51">
        <f t="shared" si="3"/>
        <v>0.35</v>
      </c>
      <c r="T68" s="6">
        <f t="shared" si="0"/>
        <v>996.30704999999978</v>
      </c>
      <c r="U68" s="9"/>
      <c r="V68" s="1"/>
      <c r="W68" s="1"/>
      <c r="X68" s="1"/>
      <c r="Y68" s="1"/>
      <c r="Z68" s="1"/>
    </row>
    <row r="69" spans="1:26" ht="39.75" customHeight="1">
      <c r="A69" s="175" t="s">
        <v>118</v>
      </c>
      <c r="B69" s="5" t="s">
        <v>119</v>
      </c>
      <c r="C69" s="5" t="s">
        <v>120</v>
      </c>
      <c r="D69" s="5">
        <v>63</v>
      </c>
      <c r="E69" s="5" t="s">
        <v>121</v>
      </c>
      <c r="F69" s="5"/>
      <c r="G69" s="5"/>
      <c r="H69" s="5"/>
      <c r="I69" s="5"/>
      <c r="J69" s="5"/>
      <c r="K69" s="5"/>
      <c r="L69" s="5"/>
      <c r="M69" s="8"/>
      <c r="N69" s="6">
        <v>10.55</v>
      </c>
      <c r="O69" s="5"/>
      <c r="P69" s="6"/>
      <c r="Q69" s="5"/>
      <c r="R69" s="8">
        <v>5</v>
      </c>
      <c r="S69" s="8">
        <v>2</v>
      </c>
      <c r="T69" s="6">
        <f t="shared" si="0"/>
        <v>17.55</v>
      </c>
      <c r="U69" s="9" t="s">
        <v>426</v>
      </c>
      <c r="V69" s="1"/>
      <c r="W69" s="1"/>
      <c r="X69" s="1"/>
      <c r="Y69" s="1"/>
      <c r="Z69" s="1"/>
    </row>
    <row r="70" spans="1:26" ht="39.75" customHeight="1">
      <c r="A70" s="171"/>
      <c r="B70" s="168" t="s">
        <v>122</v>
      </c>
      <c r="C70" s="168" t="s">
        <v>123</v>
      </c>
      <c r="D70" s="5">
        <v>64</v>
      </c>
      <c r="E70" s="5" t="s">
        <v>124</v>
      </c>
      <c r="F70" s="15"/>
      <c r="G70" s="15"/>
      <c r="H70" s="16"/>
      <c r="I70" s="17"/>
      <c r="J70" s="15"/>
      <c r="K70" s="17"/>
      <c r="L70" s="15"/>
      <c r="M70" s="15"/>
      <c r="N70" s="17">
        <v>0.8</v>
      </c>
      <c r="O70" s="16">
        <v>0.5625</v>
      </c>
      <c r="P70" s="17">
        <f>70.9673+2.48</f>
        <v>73.447299999999998</v>
      </c>
      <c r="Q70" s="17">
        <v>0.75</v>
      </c>
      <c r="R70" s="16">
        <v>3</v>
      </c>
      <c r="S70" s="16"/>
      <c r="T70" s="6">
        <f t="shared" ref="T70:T133" si="4">SUM(F70:S70)</f>
        <v>78.559799999999996</v>
      </c>
      <c r="U70" s="9" t="s">
        <v>396</v>
      </c>
      <c r="V70" s="1"/>
      <c r="W70" s="1"/>
      <c r="X70" s="1"/>
      <c r="Y70" s="1"/>
      <c r="Z70" s="1"/>
    </row>
    <row r="71" spans="1:26" ht="39.75" customHeight="1">
      <c r="A71" s="171"/>
      <c r="B71" s="171"/>
      <c r="C71" s="171"/>
      <c r="D71" s="5">
        <v>65</v>
      </c>
      <c r="E71" s="5" t="s">
        <v>126</v>
      </c>
      <c r="F71" s="15"/>
      <c r="G71" s="15"/>
      <c r="H71" s="15"/>
      <c r="I71" s="15"/>
      <c r="J71" s="15"/>
      <c r="K71" s="15"/>
      <c r="L71" s="15"/>
      <c r="M71" s="15"/>
      <c r="N71" s="17"/>
      <c r="O71" s="15"/>
      <c r="P71" s="16">
        <v>0.17</v>
      </c>
      <c r="Q71" s="15"/>
      <c r="R71" s="15"/>
      <c r="S71" s="16"/>
      <c r="T71" s="6">
        <f t="shared" si="4"/>
        <v>0.17</v>
      </c>
      <c r="U71" s="9" t="s">
        <v>366</v>
      </c>
      <c r="V71" s="1"/>
      <c r="W71" s="1"/>
      <c r="X71" s="1"/>
      <c r="Y71" s="1"/>
      <c r="Z71" s="1"/>
    </row>
    <row r="72" spans="1:26" ht="39.75" customHeight="1">
      <c r="A72" s="171"/>
      <c r="B72" s="171"/>
      <c r="C72" s="171"/>
      <c r="D72" s="5">
        <v>66</v>
      </c>
      <c r="E72" s="5" t="s">
        <v>128</v>
      </c>
      <c r="F72" s="15"/>
      <c r="G72" s="15"/>
      <c r="H72" s="15"/>
      <c r="I72" s="15"/>
      <c r="J72" s="15"/>
      <c r="K72" s="17"/>
      <c r="L72" s="15"/>
      <c r="M72" s="15"/>
      <c r="N72" s="17">
        <v>0.2</v>
      </c>
      <c r="O72" s="15"/>
      <c r="P72" s="16"/>
      <c r="Q72" s="17">
        <v>0.05</v>
      </c>
      <c r="R72" s="34">
        <v>0.15</v>
      </c>
      <c r="S72" s="15"/>
      <c r="T72" s="6">
        <f t="shared" si="4"/>
        <v>0.4</v>
      </c>
      <c r="U72" s="9" t="s">
        <v>129</v>
      </c>
      <c r="V72" s="1"/>
      <c r="W72" s="1"/>
      <c r="X72" s="1"/>
      <c r="Y72" s="1"/>
      <c r="Z72" s="1"/>
    </row>
    <row r="73" spans="1:26" ht="39.75" customHeight="1">
      <c r="A73" s="171"/>
      <c r="B73" s="171"/>
      <c r="C73" s="171"/>
      <c r="D73" s="5">
        <v>67</v>
      </c>
      <c r="E73" s="5" t="s">
        <v>131</v>
      </c>
      <c r="F73" s="15"/>
      <c r="G73" s="15"/>
      <c r="H73" s="15"/>
      <c r="I73" s="15">
        <v>1.53</v>
      </c>
      <c r="J73" s="15"/>
      <c r="K73" s="17"/>
      <c r="L73" s="15"/>
      <c r="M73" s="15"/>
      <c r="N73" s="17">
        <v>0.6</v>
      </c>
      <c r="O73" s="15">
        <v>1.75</v>
      </c>
      <c r="P73" s="16">
        <v>2</v>
      </c>
      <c r="Q73" s="17">
        <v>1.145</v>
      </c>
      <c r="R73" s="16">
        <v>3.75</v>
      </c>
      <c r="S73" s="16"/>
      <c r="T73" s="6">
        <f t="shared" si="4"/>
        <v>10.775</v>
      </c>
      <c r="U73" s="9" t="s">
        <v>367</v>
      </c>
      <c r="V73" s="1"/>
      <c r="W73" s="1"/>
      <c r="X73" s="1"/>
      <c r="Y73" s="1"/>
      <c r="Z73" s="1"/>
    </row>
    <row r="74" spans="1:26" ht="39.75" customHeight="1">
      <c r="A74" s="171"/>
      <c r="B74" s="169"/>
      <c r="C74" s="169"/>
      <c r="D74" s="5">
        <v>68</v>
      </c>
      <c r="E74" s="5" t="s">
        <v>133</v>
      </c>
      <c r="F74" s="16"/>
      <c r="G74" s="15"/>
      <c r="H74" s="15"/>
      <c r="I74" s="17"/>
      <c r="J74" s="15"/>
      <c r="K74" s="17"/>
      <c r="L74" s="15"/>
      <c r="M74" s="15"/>
      <c r="N74" s="17">
        <v>1.1000000000000001</v>
      </c>
      <c r="O74" s="16"/>
      <c r="P74" s="16">
        <v>4.41</v>
      </c>
      <c r="Q74" s="17">
        <v>3.5</v>
      </c>
      <c r="R74" s="16">
        <v>10.4</v>
      </c>
      <c r="S74" s="16">
        <v>6.4</v>
      </c>
      <c r="T74" s="6">
        <f t="shared" si="4"/>
        <v>25.810000000000002</v>
      </c>
      <c r="U74" s="9" t="s">
        <v>427</v>
      </c>
      <c r="V74" s="1"/>
      <c r="W74" s="1"/>
      <c r="X74" s="1"/>
      <c r="Y74" s="1"/>
      <c r="Z74" s="1"/>
    </row>
    <row r="75" spans="1:26" ht="39.75" customHeight="1">
      <c r="A75" s="171"/>
      <c r="B75" s="168" t="s">
        <v>136</v>
      </c>
      <c r="C75" s="168" t="s">
        <v>137</v>
      </c>
      <c r="D75" s="5">
        <v>69</v>
      </c>
      <c r="E75" s="5" t="s">
        <v>138</v>
      </c>
      <c r="F75" s="20"/>
      <c r="G75" s="20"/>
      <c r="H75" s="20"/>
      <c r="I75" s="20"/>
      <c r="J75" s="20"/>
      <c r="K75" s="20"/>
      <c r="L75" s="20"/>
      <c r="M75" s="20">
        <v>0.68</v>
      </c>
      <c r="N75" s="20"/>
      <c r="O75" s="20">
        <v>93.012</v>
      </c>
      <c r="P75" s="20">
        <v>2.25</v>
      </c>
      <c r="Q75" s="20"/>
      <c r="R75" s="20"/>
      <c r="S75" s="20"/>
      <c r="T75" s="6">
        <f t="shared" si="4"/>
        <v>95.942000000000007</v>
      </c>
      <c r="U75" s="10" t="s">
        <v>428</v>
      </c>
      <c r="V75" s="18"/>
      <c r="W75" s="1"/>
      <c r="X75" s="1"/>
      <c r="Y75" s="1"/>
      <c r="Z75" s="1"/>
    </row>
    <row r="76" spans="1:26" ht="39.75" customHeight="1">
      <c r="A76" s="171"/>
      <c r="B76" s="171"/>
      <c r="C76" s="171"/>
      <c r="D76" s="5">
        <v>70</v>
      </c>
      <c r="E76" s="5" t="s">
        <v>140</v>
      </c>
      <c r="F76" s="20"/>
      <c r="G76" s="20"/>
      <c r="H76" s="20"/>
      <c r="I76" s="22">
        <v>0.24399999999999999</v>
      </c>
      <c r="J76" s="20"/>
      <c r="K76" s="20"/>
      <c r="L76" s="20"/>
      <c r="M76" s="20"/>
      <c r="N76" s="20"/>
      <c r="O76" s="20"/>
      <c r="P76" s="20">
        <v>0.3</v>
      </c>
      <c r="Q76" s="20"/>
      <c r="R76" s="20"/>
      <c r="S76" s="20"/>
      <c r="T76" s="6">
        <f t="shared" si="4"/>
        <v>0.54400000000000004</v>
      </c>
      <c r="U76" s="10" t="s">
        <v>429</v>
      </c>
      <c r="V76" s="18"/>
      <c r="W76" s="1"/>
      <c r="X76" s="1"/>
      <c r="Y76" s="1"/>
      <c r="Z76" s="1"/>
    </row>
    <row r="77" spans="1:26" ht="39.75" customHeight="1">
      <c r="A77" s="171"/>
      <c r="B77" s="171"/>
      <c r="C77" s="171"/>
      <c r="D77" s="5">
        <v>71</v>
      </c>
      <c r="E77" s="5" t="s">
        <v>142</v>
      </c>
      <c r="F77" s="20"/>
      <c r="G77" s="20"/>
      <c r="H77" s="20"/>
      <c r="I77" s="20"/>
      <c r="J77" s="20"/>
      <c r="K77" s="20"/>
      <c r="L77" s="20"/>
      <c r="M77" s="20"/>
      <c r="N77" s="20"/>
      <c r="O77" s="20"/>
      <c r="P77" s="20"/>
      <c r="Q77" s="20"/>
      <c r="R77" s="20"/>
      <c r="S77" s="20"/>
      <c r="T77" s="6">
        <f t="shared" si="4"/>
        <v>0</v>
      </c>
      <c r="U77" s="10"/>
      <c r="V77" s="18"/>
      <c r="W77" s="1"/>
      <c r="X77" s="1"/>
      <c r="Y77" s="1"/>
      <c r="Z77" s="1"/>
    </row>
    <row r="78" spans="1:26" ht="39.75" customHeight="1">
      <c r="A78" s="171"/>
      <c r="B78" s="169"/>
      <c r="C78" s="169"/>
      <c r="D78" s="5">
        <v>72</v>
      </c>
      <c r="E78" s="5" t="s">
        <v>143</v>
      </c>
      <c r="F78" s="23"/>
      <c r="G78" s="23"/>
      <c r="H78" s="23"/>
      <c r="I78" s="23"/>
      <c r="J78" s="23"/>
      <c r="K78" s="23"/>
      <c r="L78" s="23"/>
      <c r="M78" s="23"/>
      <c r="N78" s="23">
        <v>5.4619999999999997</v>
      </c>
      <c r="O78" s="23"/>
      <c r="P78" s="23"/>
      <c r="Q78" s="23">
        <v>3.5190000000000001</v>
      </c>
      <c r="R78" s="23">
        <v>2.9159999999999999</v>
      </c>
      <c r="S78" s="23"/>
      <c r="T78" s="6">
        <f t="shared" si="4"/>
        <v>11.897</v>
      </c>
      <c r="U78" s="10" t="s">
        <v>430</v>
      </c>
      <c r="V78" s="18"/>
      <c r="W78" s="1"/>
      <c r="X78" s="1"/>
      <c r="Y78" s="1"/>
      <c r="Z78" s="1"/>
    </row>
    <row r="79" spans="1:26" ht="39.75" customHeight="1">
      <c r="A79" s="171"/>
      <c r="B79" s="168" t="s">
        <v>145</v>
      </c>
      <c r="C79" s="168" t="s">
        <v>146</v>
      </c>
      <c r="D79" s="5">
        <v>73</v>
      </c>
      <c r="E79" s="5" t="s">
        <v>147</v>
      </c>
      <c r="F79" s="128">
        <v>6.7</v>
      </c>
      <c r="G79" s="128"/>
      <c r="H79" s="128">
        <f>2.5</f>
        <v>2.5</v>
      </c>
      <c r="I79" s="128">
        <f>2.5+2.4+2+1.5</f>
        <v>8.4</v>
      </c>
      <c r="J79" s="112"/>
      <c r="K79" s="128">
        <f>3.2</f>
        <v>3.2</v>
      </c>
      <c r="L79" s="112"/>
      <c r="M79" s="128">
        <f>5.8+5.9</f>
        <v>11.7</v>
      </c>
      <c r="N79" s="128">
        <f>4.3+2.4+1</f>
        <v>7.6999999999999993</v>
      </c>
      <c r="O79" s="128"/>
      <c r="P79" s="128">
        <f>1.4+0.25+1.7</f>
        <v>3.3499999999999996</v>
      </c>
      <c r="Q79" s="112"/>
      <c r="R79" s="128">
        <f>5.8+3+8+2+3.6+1</f>
        <v>23.400000000000002</v>
      </c>
      <c r="S79" s="128">
        <f>0.9</f>
        <v>0.9</v>
      </c>
      <c r="T79" s="129">
        <f>SUM(F79:S79)</f>
        <v>67.850000000000009</v>
      </c>
      <c r="U79" s="130" t="s">
        <v>772</v>
      </c>
      <c r="V79" s="1"/>
      <c r="W79" s="1"/>
      <c r="X79" s="1"/>
      <c r="Y79" s="1"/>
      <c r="Z79" s="1"/>
    </row>
    <row r="80" spans="1:26" ht="39.75" customHeight="1">
      <c r="A80" s="171"/>
      <c r="B80" s="171"/>
      <c r="C80" s="171"/>
      <c r="D80" s="5">
        <v>74</v>
      </c>
      <c r="E80" s="5" t="s">
        <v>148</v>
      </c>
      <c r="F80" s="128">
        <f>62+4.4</f>
        <v>66.400000000000006</v>
      </c>
      <c r="G80" s="128"/>
      <c r="H80" s="112"/>
      <c r="I80" s="112"/>
      <c r="J80" s="112"/>
      <c r="K80" s="112"/>
      <c r="L80" s="112"/>
      <c r="M80" s="112"/>
      <c r="N80" s="112"/>
      <c r="O80" s="112"/>
      <c r="P80" s="112"/>
      <c r="Q80" s="112"/>
      <c r="R80" s="112"/>
      <c r="S80" s="112"/>
      <c r="T80" s="129">
        <f t="shared" ref="T80:T90" si="5">SUM(F80:S80)</f>
        <v>66.400000000000006</v>
      </c>
      <c r="U80" s="130" t="s">
        <v>773</v>
      </c>
      <c r="V80" s="1"/>
      <c r="W80" s="1"/>
      <c r="X80" s="1"/>
      <c r="Y80" s="1"/>
      <c r="Z80" s="1"/>
    </row>
    <row r="81" spans="1:26" ht="39.75" customHeight="1">
      <c r="A81" s="171"/>
      <c r="B81" s="171"/>
      <c r="C81" s="171"/>
      <c r="D81" s="5">
        <v>75</v>
      </c>
      <c r="E81" s="5" t="s">
        <v>149</v>
      </c>
      <c r="F81" s="128">
        <f>5.6+2.4</f>
        <v>8</v>
      </c>
      <c r="G81" s="128"/>
      <c r="H81" s="112"/>
      <c r="I81" s="112"/>
      <c r="J81" s="112"/>
      <c r="K81" s="112"/>
      <c r="L81" s="112"/>
      <c r="M81" s="112"/>
      <c r="N81" s="112"/>
      <c r="O81" s="112"/>
      <c r="P81" s="128">
        <f>6.5</f>
        <v>6.5</v>
      </c>
      <c r="Q81" s="112"/>
      <c r="R81" s="112"/>
      <c r="S81" s="112"/>
      <c r="T81" s="129">
        <f t="shared" si="5"/>
        <v>14.5</v>
      </c>
      <c r="U81" s="130" t="s">
        <v>774</v>
      </c>
      <c r="V81" s="1"/>
      <c r="W81" s="1"/>
      <c r="X81" s="1"/>
      <c r="Y81" s="1"/>
      <c r="Z81" s="1"/>
    </row>
    <row r="82" spans="1:26" ht="39.75" customHeight="1">
      <c r="A82" s="171"/>
      <c r="B82" s="171"/>
      <c r="C82" s="171"/>
      <c r="D82" s="5">
        <v>76</v>
      </c>
      <c r="E82" s="5" t="s">
        <v>150</v>
      </c>
      <c r="F82" s="112"/>
      <c r="G82" s="112"/>
      <c r="H82" s="112"/>
      <c r="I82" s="112"/>
      <c r="J82" s="112"/>
      <c r="K82" s="128"/>
      <c r="L82" s="112"/>
      <c r="M82" s="128">
        <v>2.4</v>
      </c>
      <c r="N82" s="112"/>
      <c r="O82" s="112"/>
      <c r="P82" s="112"/>
      <c r="Q82" s="112"/>
      <c r="R82" s="112"/>
      <c r="S82" s="112"/>
      <c r="T82" s="129">
        <f t="shared" si="5"/>
        <v>2.4</v>
      </c>
      <c r="U82" s="131" t="s">
        <v>775</v>
      </c>
      <c r="V82" s="1"/>
      <c r="W82" s="1"/>
      <c r="X82" s="1"/>
      <c r="Y82" s="1"/>
      <c r="Z82" s="1"/>
    </row>
    <row r="83" spans="1:26" ht="39.75" customHeight="1">
      <c r="A83" s="171"/>
      <c r="B83" s="171"/>
      <c r="C83" s="171"/>
      <c r="D83" s="5">
        <v>77</v>
      </c>
      <c r="E83" s="5" t="s">
        <v>151</v>
      </c>
      <c r="F83" s="128">
        <v>2.2999999999999998</v>
      </c>
      <c r="G83" s="128"/>
      <c r="H83" s="128">
        <v>1.5</v>
      </c>
      <c r="I83" s="128">
        <f>1+1</f>
        <v>2</v>
      </c>
      <c r="J83" s="112"/>
      <c r="K83" s="128">
        <f>2.4</f>
        <v>2.4</v>
      </c>
      <c r="L83" s="112"/>
      <c r="M83" s="128"/>
      <c r="N83" s="128">
        <f>0.4</f>
        <v>0.4</v>
      </c>
      <c r="O83" s="112"/>
      <c r="P83" s="112"/>
      <c r="Q83" s="112"/>
      <c r="R83" s="112"/>
      <c r="S83" s="128">
        <f>0.5</f>
        <v>0.5</v>
      </c>
      <c r="T83" s="129">
        <f t="shared" si="5"/>
        <v>9.1</v>
      </c>
      <c r="U83" s="130" t="s">
        <v>776</v>
      </c>
      <c r="V83" s="1"/>
      <c r="W83" s="1"/>
      <c r="X83" s="1"/>
      <c r="Y83" s="1"/>
      <c r="Z83" s="1"/>
    </row>
    <row r="84" spans="1:26" ht="39.75" customHeight="1">
      <c r="A84" s="171"/>
      <c r="B84" s="171"/>
      <c r="C84" s="171"/>
      <c r="D84" s="5">
        <v>78</v>
      </c>
      <c r="E84" s="5" t="s">
        <v>152</v>
      </c>
      <c r="F84" s="112"/>
      <c r="G84" s="112"/>
      <c r="H84" s="112"/>
      <c r="I84" s="112"/>
      <c r="J84" s="112"/>
      <c r="K84" s="112"/>
      <c r="L84" s="112"/>
      <c r="M84" s="112"/>
      <c r="N84" s="112"/>
      <c r="O84" s="112"/>
      <c r="P84" s="112"/>
      <c r="Q84" s="128">
        <f>10.8+1.4</f>
        <v>12.200000000000001</v>
      </c>
      <c r="R84" s="112"/>
      <c r="S84" s="112"/>
      <c r="T84" s="129">
        <f t="shared" si="5"/>
        <v>12.200000000000001</v>
      </c>
      <c r="U84" s="130" t="s">
        <v>777</v>
      </c>
      <c r="V84" s="1"/>
      <c r="W84" s="1"/>
      <c r="X84" s="1"/>
      <c r="Y84" s="1"/>
      <c r="Z84" s="1"/>
    </row>
    <row r="85" spans="1:26" ht="39.75" customHeight="1">
      <c r="A85" s="171"/>
      <c r="B85" s="169"/>
      <c r="C85" s="169"/>
      <c r="D85" s="5">
        <v>79</v>
      </c>
      <c r="E85" s="5" t="s">
        <v>54</v>
      </c>
      <c r="F85" s="112"/>
      <c r="G85" s="112"/>
      <c r="H85" s="112"/>
      <c r="I85" s="112"/>
      <c r="J85" s="112"/>
      <c r="K85" s="112"/>
      <c r="L85" s="112"/>
      <c r="M85" s="112"/>
      <c r="N85" s="112"/>
      <c r="O85" s="112"/>
      <c r="P85" s="112"/>
      <c r="Q85" s="112"/>
      <c r="R85" s="112"/>
      <c r="S85" s="112"/>
      <c r="T85" s="129">
        <f t="shared" si="5"/>
        <v>0</v>
      </c>
      <c r="U85" s="112"/>
      <c r="V85" s="1"/>
      <c r="W85" s="1"/>
      <c r="X85" s="1"/>
      <c r="Y85" s="1"/>
      <c r="Z85" s="1"/>
    </row>
    <row r="86" spans="1:26" ht="39.75" customHeight="1">
      <c r="A86" s="171"/>
      <c r="B86" s="168" t="s">
        <v>153</v>
      </c>
      <c r="C86" s="168" t="s">
        <v>154</v>
      </c>
      <c r="D86" s="5">
        <v>80</v>
      </c>
      <c r="E86" s="5" t="s">
        <v>155</v>
      </c>
      <c r="F86" s="132"/>
      <c r="G86" s="132"/>
      <c r="H86" s="132"/>
      <c r="I86" s="132"/>
      <c r="J86" s="132"/>
      <c r="K86" s="132"/>
      <c r="L86" s="132"/>
      <c r="M86" s="132"/>
      <c r="N86" s="132"/>
      <c r="O86" s="132"/>
      <c r="P86" s="132">
        <v>3.6</v>
      </c>
      <c r="Q86" s="132">
        <v>1</v>
      </c>
      <c r="R86" s="132"/>
      <c r="S86" s="132"/>
      <c r="T86" s="129">
        <f t="shared" si="5"/>
        <v>4.5999999999999996</v>
      </c>
      <c r="U86" s="148" t="s">
        <v>874</v>
      </c>
      <c r="V86" s="1"/>
      <c r="W86" s="1"/>
      <c r="X86" s="1"/>
      <c r="Y86" s="1"/>
      <c r="Z86" s="1"/>
    </row>
    <row r="87" spans="1:26" ht="39.75" customHeight="1">
      <c r="A87" s="171"/>
      <c r="B87" s="171"/>
      <c r="C87" s="171"/>
      <c r="D87" s="5">
        <v>81</v>
      </c>
      <c r="E87" s="5" t="s">
        <v>156</v>
      </c>
      <c r="F87" s="5"/>
      <c r="G87" s="5"/>
      <c r="H87" s="5"/>
      <c r="I87" s="5"/>
      <c r="J87" s="5"/>
      <c r="K87" s="5"/>
      <c r="L87" s="5"/>
      <c r="M87" s="6"/>
      <c r="N87" s="6"/>
      <c r="O87" s="5"/>
      <c r="P87" s="8"/>
      <c r="Q87" s="8"/>
      <c r="R87" s="5"/>
      <c r="S87" s="5"/>
      <c r="T87" s="129">
        <f t="shared" si="5"/>
        <v>0</v>
      </c>
      <c r="U87" s="36"/>
      <c r="V87" s="1"/>
      <c r="W87" s="1"/>
      <c r="X87" s="1"/>
      <c r="Y87" s="1"/>
      <c r="Z87" s="1"/>
    </row>
    <row r="88" spans="1:26" ht="39.75" customHeight="1">
      <c r="A88" s="171"/>
      <c r="B88" s="171"/>
      <c r="C88" s="171"/>
      <c r="D88" s="5">
        <v>82</v>
      </c>
      <c r="E88" s="5" t="s">
        <v>157</v>
      </c>
      <c r="F88" s="5"/>
      <c r="G88" s="5"/>
      <c r="H88" s="5"/>
      <c r="I88" s="5"/>
      <c r="J88" s="5"/>
      <c r="K88" s="5"/>
      <c r="L88" s="5"/>
      <c r="M88" s="5"/>
      <c r="N88" s="5"/>
      <c r="O88" s="5"/>
      <c r="P88" s="8"/>
      <c r="Q88" s="5"/>
      <c r="R88" s="5"/>
      <c r="S88" s="5"/>
      <c r="T88" s="129">
        <f t="shared" si="5"/>
        <v>0</v>
      </c>
      <c r="U88" s="36"/>
      <c r="V88" s="1"/>
      <c r="W88" s="1"/>
      <c r="X88" s="1"/>
      <c r="Y88" s="1"/>
      <c r="Z88" s="1"/>
    </row>
    <row r="89" spans="1:26" ht="39.75" customHeight="1">
      <c r="A89" s="171"/>
      <c r="B89" s="169"/>
      <c r="C89" s="169"/>
      <c r="D89" s="5">
        <v>83</v>
      </c>
      <c r="E89" s="5" t="s">
        <v>158</v>
      </c>
      <c r="F89" s="5"/>
      <c r="G89" s="5"/>
      <c r="H89" s="5"/>
      <c r="I89" s="5"/>
      <c r="J89" s="5"/>
      <c r="K89" s="6">
        <v>3</v>
      </c>
      <c r="L89" s="5"/>
      <c r="M89" s="8"/>
      <c r="N89" s="6"/>
      <c r="O89" s="5"/>
      <c r="P89" s="8">
        <v>1.54</v>
      </c>
      <c r="Q89" s="6"/>
      <c r="R89" s="8"/>
      <c r="S89" s="5"/>
      <c r="T89" s="129">
        <f t="shared" si="5"/>
        <v>4.54</v>
      </c>
      <c r="U89" s="36" t="s">
        <v>431</v>
      </c>
      <c r="V89" s="1"/>
      <c r="W89" s="1"/>
      <c r="X89" s="1"/>
      <c r="Y89" s="1"/>
      <c r="Z89" s="1"/>
    </row>
    <row r="90" spans="1:26" ht="39.75" customHeight="1">
      <c r="A90" s="171"/>
      <c r="B90" s="5" t="s">
        <v>159</v>
      </c>
      <c r="C90" s="5" t="s">
        <v>160</v>
      </c>
      <c r="D90" s="5">
        <v>84</v>
      </c>
      <c r="E90" s="5" t="s">
        <v>161</v>
      </c>
      <c r="F90" s="5"/>
      <c r="G90" s="5"/>
      <c r="H90" s="5"/>
      <c r="I90" s="6"/>
      <c r="J90" s="5"/>
      <c r="K90" s="6"/>
      <c r="L90" s="5"/>
      <c r="M90" s="5"/>
      <c r="N90" s="6">
        <v>0.78</v>
      </c>
      <c r="O90" s="5"/>
      <c r="P90" s="5"/>
      <c r="Q90" s="6">
        <v>2.5</v>
      </c>
      <c r="R90" s="8">
        <v>0.2</v>
      </c>
      <c r="S90" s="5"/>
      <c r="T90" s="129">
        <f t="shared" si="5"/>
        <v>3.4800000000000004</v>
      </c>
      <c r="U90" s="9" t="s">
        <v>581</v>
      </c>
      <c r="V90" s="1"/>
      <c r="W90" s="1"/>
      <c r="X90" s="1"/>
      <c r="Y90" s="1"/>
      <c r="Z90" s="1"/>
    </row>
    <row r="91" spans="1:26" ht="39.75" customHeight="1">
      <c r="A91" s="171"/>
      <c r="B91" s="5" t="s">
        <v>162</v>
      </c>
      <c r="C91" s="5" t="s">
        <v>163</v>
      </c>
      <c r="D91" s="5">
        <v>85</v>
      </c>
      <c r="E91" s="5" t="s">
        <v>164</v>
      </c>
      <c r="F91" s="5"/>
      <c r="G91" s="5"/>
      <c r="H91" s="5"/>
      <c r="I91" s="5"/>
      <c r="J91" s="5"/>
      <c r="K91" s="6"/>
      <c r="L91" s="5"/>
      <c r="M91" s="5"/>
      <c r="N91" s="6">
        <v>0.25</v>
      </c>
      <c r="O91" s="5"/>
      <c r="P91" s="5"/>
      <c r="Q91" s="6">
        <v>1</v>
      </c>
      <c r="R91" s="8"/>
      <c r="S91" s="5"/>
      <c r="T91" s="6">
        <f t="shared" si="4"/>
        <v>1.25</v>
      </c>
      <c r="U91" s="9" t="s">
        <v>165</v>
      </c>
      <c r="V91" s="1"/>
      <c r="W91" s="1"/>
      <c r="X91" s="1"/>
      <c r="Y91" s="1"/>
      <c r="Z91" s="1"/>
    </row>
    <row r="92" spans="1:26" ht="39.75" customHeight="1">
      <c r="A92" s="171"/>
      <c r="B92" s="5" t="s">
        <v>166</v>
      </c>
      <c r="C92" s="5" t="s">
        <v>54</v>
      </c>
      <c r="D92" s="5">
        <v>86</v>
      </c>
      <c r="E92" s="5" t="s">
        <v>167</v>
      </c>
      <c r="F92" s="5"/>
      <c r="G92" s="5"/>
      <c r="H92" s="5"/>
      <c r="I92" s="5"/>
      <c r="J92" s="5"/>
      <c r="K92" s="5"/>
      <c r="L92" s="5"/>
      <c r="M92" s="5"/>
      <c r="N92" s="5"/>
      <c r="O92" s="5"/>
      <c r="P92" s="5"/>
      <c r="Q92" s="5"/>
      <c r="R92" s="5"/>
      <c r="S92" s="5"/>
      <c r="T92" s="6">
        <f t="shared" si="4"/>
        <v>0</v>
      </c>
      <c r="U92" s="9"/>
      <c r="V92" s="1"/>
      <c r="W92" s="1"/>
      <c r="X92" s="1"/>
      <c r="Y92" s="1"/>
      <c r="Z92" s="1"/>
    </row>
    <row r="93" spans="1:26" ht="39.75" customHeight="1">
      <c r="A93" s="169"/>
      <c r="B93" s="176" t="s">
        <v>168</v>
      </c>
      <c r="C93" s="177"/>
      <c r="D93" s="178"/>
      <c r="E93" s="51"/>
      <c r="F93" s="51">
        <f t="shared" ref="F93:S93" si="6">SUM(F69:F92)</f>
        <v>83.4</v>
      </c>
      <c r="G93" s="51">
        <f t="shared" si="6"/>
        <v>0</v>
      </c>
      <c r="H93" s="51">
        <f t="shared" si="6"/>
        <v>4</v>
      </c>
      <c r="I93" s="51">
        <f t="shared" si="6"/>
        <v>12.173999999999999</v>
      </c>
      <c r="J93" s="51">
        <f t="shared" si="6"/>
        <v>0</v>
      </c>
      <c r="K93" s="51">
        <f t="shared" si="6"/>
        <v>8.6</v>
      </c>
      <c r="L93" s="51">
        <f t="shared" si="6"/>
        <v>0</v>
      </c>
      <c r="M93" s="56">
        <f t="shared" si="6"/>
        <v>14.78</v>
      </c>
      <c r="N93" s="52">
        <f t="shared" si="6"/>
        <v>27.841999999999999</v>
      </c>
      <c r="O93" s="51">
        <f t="shared" si="6"/>
        <v>95.3245</v>
      </c>
      <c r="P93" s="52">
        <f t="shared" si="6"/>
        <v>97.567299999999989</v>
      </c>
      <c r="Q93" s="51">
        <f t="shared" si="6"/>
        <v>25.664000000000001</v>
      </c>
      <c r="R93" s="56">
        <f t="shared" si="6"/>
        <v>48.816000000000003</v>
      </c>
      <c r="S93" s="56">
        <f t="shared" si="6"/>
        <v>9.8000000000000007</v>
      </c>
      <c r="T93" s="6">
        <f t="shared" si="4"/>
        <v>427.96779999999995</v>
      </c>
      <c r="U93" s="9"/>
      <c r="V93" s="1"/>
      <c r="W93" s="1"/>
      <c r="X93" s="1"/>
      <c r="Y93" s="1"/>
      <c r="Z93" s="1"/>
    </row>
    <row r="94" spans="1:26" ht="39.75" customHeight="1">
      <c r="A94" s="175" t="s">
        <v>169</v>
      </c>
      <c r="B94" s="168" t="s">
        <v>170</v>
      </c>
      <c r="C94" s="168" t="s">
        <v>171</v>
      </c>
      <c r="D94" s="5">
        <v>87</v>
      </c>
      <c r="E94" s="5" t="s">
        <v>172</v>
      </c>
      <c r="F94" s="114"/>
      <c r="G94" s="114"/>
      <c r="H94" s="114"/>
      <c r="I94" s="114"/>
      <c r="J94" s="114"/>
      <c r="K94" s="115">
        <v>15</v>
      </c>
      <c r="L94" s="114"/>
      <c r="M94" s="114"/>
      <c r="N94" s="114"/>
      <c r="O94" s="114"/>
      <c r="P94" s="114"/>
      <c r="Q94" s="114"/>
      <c r="R94" s="114"/>
      <c r="S94" s="116"/>
      <c r="T94" s="117">
        <f>SUM(F94:S94)</f>
        <v>15</v>
      </c>
      <c r="U94" s="88" t="s">
        <v>714</v>
      </c>
      <c r="V94" s="18"/>
      <c r="W94" s="1"/>
      <c r="X94" s="1"/>
      <c r="Y94" s="1"/>
      <c r="Z94" s="1"/>
    </row>
    <row r="95" spans="1:26" ht="39.75" customHeight="1">
      <c r="A95" s="171"/>
      <c r="B95" s="171"/>
      <c r="C95" s="171"/>
      <c r="D95" s="5">
        <v>88</v>
      </c>
      <c r="E95" s="5" t="s">
        <v>173</v>
      </c>
      <c r="F95" s="114"/>
      <c r="G95" s="114"/>
      <c r="H95" s="114"/>
      <c r="I95" s="114"/>
      <c r="J95" s="114"/>
      <c r="K95" s="114"/>
      <c r="L95" s="114"/>
      <c r="M95" s="114"/>
      <c r="N95" s="114"/>
      <c r="O95" s="114"/>
      <c r="P95" s="118">
        <v>32</v>
      </c>
      <c r="Q95" s="114"/>
      <c r="R95" s="114"/>
      <c r="S95" s="116"/>
      <c r="T95" s="117">
        <f t="shared" ref="T95:T103" si="7">SUM(F95:S95)</f>
        <v>32</v>
      </c>
      <c r="U95" s="88" t="s">
        <v>715</v>
      </c>
      <c r="V95" s="18"/>
      <c r="W95" s="1"/>
      <c r="X95" s="1"/>
      <c r="Y95" s="1"/>
      <c r="Z95" s="1"/>
    </row>
    <row r="96" spans="1:26" ht="39.75" customHeight="1">
      <c r="A96" s="171"/>
      <c r="B96" s="171"/>
      <c r="C96" s="171"/>
      <c r="D96" s="5">
        <v>89</v>
      </c>
      <c r="E96" s="5" t="s">
        <v>174</v>
      </c>
      <c r="F96" s="114"/>
      <c r="G96" s="114"/>
      <c r="H96" s="114"/>
      <c r="I96" s="114"/>
      <c r="J96" s="114"/>
      <c r="K96" s="114"/>
      <c r="L96" s="114"/>
      <c r="M96" s="114"/>
      <c r="N96" s="114"/>
      <c r="O96" s="114"/>
      <c r="P96" s="114"/>
      <c r="Q96" s="114"/>
      <c r="R96" s="114"/>
      <c r="S96" s="116"/>
      <c r="T96" s="117">
        <f t="shared" si="7"/>
        <v>0</v>
      </c>
      <c r="U96" s="88"/>
      <c r="V96" s="18"/>
      <c r="W96" s="1"/>
      <c r="X96" s="1"/>
      <c r="Y96" s="1"/>
      <c r="Z96" s="1"/>
    </row>
    <row r="97" spans="1:26" ht="39.75" customHeight="1">
      <c r="A97" s="171"/>
      <c r="B97" s="171"/>
      <c r="C97" s="171"/>
      <c r="D97" s="5">
        <v>90</v>
      </c>
      <c r="E97" s="5" t="s">
        <v>175</v>
      </c>
      <c r="F97" s="114"/>
      <c r="G97" s="114"/>
      <c r="H97" s="114"/>
      <c r="I97" s="114"/>
      <c r="J97" s="114"/>
      <c r="K97" s="114"/>
      <c r="L97" s="114"/>
      <c r="M97" s="114"/>
      <c r="N97" s="114"/>
      <c r="O97" s="114"/>
      <c r="P97" s="118">
        <v>1.38</v>
      </c>
      <c r="Q97" s="114"/>
      <c r="R97" s="114"/>
      <c r="S97" s="116"/>
      <c r="T97" s="117">
        <f t="shared" si="7"/>
        <v>1.38</v>
      </c>
      <c r="U97" s="88" t="s">
        <v>716</v>
      </c>
      <c r="V97" s="18"/>
      <c r="W97" s="1"/>
      <c r="X97" s="1"/>
      <c r="Y97" s="1"/>
      <c r="Z97" s="1"/>
    </row>
    <row r="98" spans="1:26" ht="39.75" customHeight="1">
      <c r="A98" s="171"/>
      <c r="B98" s="171"/>
      <c r="C98" s="171"/>
      <c r="D98" s="5">
        <v>91</v>
      </c>
      <c r="E98" s="5" t="s">
        <v>176</v>
      </c>
      <c r="F98" s="114"/>
      <c r="G98" s="114"/>
      <c r="H98" s="114"/>
      <c r="I98" s="114"/>
      <c r="J98" s="114"/>
      <c r="K98" s="115">
        <v>0</v>
      </c>
      <c r="L98" s="114"/>
      <c r="M98" s="114"/>
      <c r="N98" s="114"/>
      <c r="O98" s="114"/>
      <c r="P98" s="118">
        <v>2</v>
      </c>
      <c r="Q98" s="114"/>
      <c r="R98" s="114"/>
      <c r="S98" s="116"/>
      <c r="T98" s="117">
        <f t="shared" si="7"/>
        <v>2</v>
      </c>
      <c r="U98" s="119" t="s">
        <v>710</v>
      </c>
      <c r="V98" s="18"/>
      <c r="W98" s="1"/>
      <c r="X98" s="1"/>
      <c r="Y98" s="1"/>
      <c r="Z98" s="1"/>
    </row>
    <row r="99" spans="1:26" ht="39.75" customHeight="1">
      <c r="A99" s="171"/>
      <c r="B99" s="171"/>
      <c r="C99" s="171"/>
      <c r="D99" s="5">
        <v>92</v>
      </c>
      <c r="E99" s="5" t="s">
        <v>178</v>
      </c>
      <c r="F99" s="114"/>
      <c r="G99" s="114"/>
      <c r="H99" s="114"/>
      <c r="I99" s="114"/>
      <c r="J99" s="114"/>
      <c r="K99" s="114"/>
      <c r="L99" s="114"/>
      <c r="M99" s="114"/>
      <c r="N99" s="114"/>
      <c r="O99" s="114"/>
      <c r="P99" s="118">
        <v>38.299999999999997</v>
      </c>
      <c r="Q99" s="114"/>
      <c r="R99" s="114"/>
      <c r="S99" s="116"/>
      <c r="T99" s="117">
        <f t="shared" si="7"/>
        <v>38.299999999999997</v>
      </c>
      <c r="U99" s="120" t="s">
        <v>432</v>
      </c>
      <c r="V99" s="18"/>
      <c r="W99" s="1"/>
      <c r="X99" s="1"/>
      <c r="Y99" s="1"/>
      <c r="Z99" s="1"/>
    </row>
    <row r="100" spans="1:26" ht="39.75" customHeight="1">
      <c r="A100" s="171"/>
      <c r="B100" s="171"/>
      <c r="C100" s="171"/>
      <c r="D100" s="5">
        <v>93</v>
      </c>
      <c r="E100" s="5" t="s">
        <v>180</v>
      </c>
      <c r="F100" s="114"/>
      <c r="G100" s="114"/>
      <c r="H100" s="114"/>
      <c r="I100" s="118"/>
      <c r="J100" s="114"/>
      <c r="K100" s="114"/>
      <c r="L100" s="114"/>
      <c r="M100" s="114"/>
      <c r="N100" s="114"/>
      <c r="O100" s="114"/>
      <c r="P100" s="114"/>
      <c r="Q100" s="114"/>
      <c r="R100" s="114"/>
      <c r="S100" s="116"/>
      <c r="T100" s="117">
        <f t="shared" si="7"/>
        <v>0</v>
      </c>
      <c r="U100" s="119"/>
      <c r="V100" s="18"/>
      <c r="W100" s="1"/>
      <c r="X100" s="1"/>
      <c r="Y100" s="1"/>
      <c r="Z100" s="1"/>
    </row>
    <row r="101" spans="1:26" ht="39.75" customHeight="1">
      <c r="A101" s="171"/>
      <c r="B101" s="171"/>
      <c r="C101" s="171"/>
      <c r="D101" s="5">
        <v>94</v>
      </c>
      <c r="E101" s="5" t="s">
        <v>181</v>
      </c>
      <c r="F101" s="114"/>
      <c r="G101" s="114"/>
      <c r="H101" s="114"/>
      <c r="I101" s="118"/>
      <c r="J101" s="114"/>
      <c r="K101" s="114"/>
      <c r="L101" s="114"/>
      <c r="M101" s="114"/>
      <c r="N101" s="114"/>
      <c r="O101" s="114"/>
      <c r="P101" s="114"/>
      <c r="Q101" s="114"/>
      <c r="R101" s="114"/>
      <c r="S101" s="116"/>
      <c r="T101" s="117">
        <f t="shared" si="7"/>
        <v>0</v>
      </c>
      <c r="U101" s="120"/>
      <c r="V101" s="18"/>
      <c r="W101" s="1"/>
      <c r="X101" s="1"/>
      <c r="Y101" s="1"/>
      <c r="Z101" s="1"/>
    </row>
    <row r="102" spans="1:26" ht="39.75" customHeight="1">
      <c r="A102" s="171"/>
      <c r="B102" s="171"/>
      <c r="C102" s="171"/>
      <c r="D102" s="5">
        <v>95</v>
      </c>
      <c r="E102" s="5" t="s">
        <v>182</v>
      </c>
      <c r="F102" s="114"/>
      <c r="G102" s="114"/>
      <c r="H102" s="118"/>
      <c r="I102" s="115">
        <v>4</v>
      </c>
      <c r="J102" s="114"/>
      <c r="K102" s="114"/>
      <c r="L102" s="114"/>
      <c r="M102" s="114"/>
      <c r="N102" s="114"/>
      <c r="O102" s="114"/>
      <c r="P102" s="114"/>
      <c r="Q102" s="114"/>
      <c r="R102" s="114"/>
      <c r="S102" s="116"/>
      <c r="T102" s="117">
        <f t="shared" si="7"/>
        <v>4</v>
      </c>
      <c r="U102" s="88" t="s">
        <v>717</v>
      </c>
      <c r="V102" s="18"/>
      <c r="W102" s="1"/>
      <c r="X102" s="1"/>
      <c r="Y102" s="1"/>
      <c r="Z102" s="1"/>
    </row>
    <row r="103" spans="1:26" ht="39.75" customHeight="1">
      <c r="A103" s="171"/>
      <c r="B103" s="169"/>
      <c r="C103" s="169"/>
      <c r="D103" s="5">
        <v>96</v>
      </c>
      <c r="E103" s="5" t="s">
        <v>183</v>
      </c>
      <c r="F103" s="114"/>
      <c r="G103" s="114"/>
      <c r="H103" s="114"/>
      <c r="I103" s="114"/>
      <c r="J103" s="114"/>
      <c r="K103" s="114"/>
      <c r="L103" s="114"/>
      <c r="M103" s="114"/>
      <c r="N103" s="115">
        <v>0</v>
      </c>
      <c r="O103" s="114"/>
      <c r="P103" s="114"/>
      <c r="Q103" s="115">
        <v>1</v>
      </c>
      <c r="R103" s="118">
        <v>1</v>
      </c>
      <c r="S103" s="116"/>
      <c r="T103" s="117">
        <f t="shared" si="7"/>
        <v>2</v>
      </c>
      <c r="U103" s="88" t="s">
        <v>421</v>
      </c>
      <c r="V103" s="18"/>
      <c r="W103" s="1"/>
      <c r="X103" s="1"/>
      <c r="Y103" s="1"/>
      <c r="Z103" s="1"/>
    </row>
    <row r="104" spans="1:26" ht="39.75" customHeight="1">
      <c r="A104" s="171"/>
      <c r="B104" s="168" t="s">
        <v>184</v>
      </c>
      <c r="C104" s="168" t="s">
        <v>185</v>
      </c>
      <c r="D104" s="5">
        <v>97</v>
      </c>
      <c r="E104" s="5" t="s">
        <v>186</v>
      </c>
      <c r="F104" s="5"/>
      <c r="G104" s="5"/>
      <c r="H104" s="5"/>
      <c r="I104" s="6"/>
      <c r="J104" s="5"/>
      <c r="K104" s="6"/>
      <c r="L104" s="5"/>
      <c r="M104" s="6">
        <v>2.85</v>
      </c>
      <c r="N104" s="6">
        <v>5.5</v>
      </c>
      <c r="O104" s="5"/>
      <c r="P104" s="8">
        <v>24</v>
      </c>
      <c r="Q104" s="6">
        <v>4</v>
      </c>
      <c r="R104" s="8">
        <v>23.55</v>
      </c>
      <c r="S104" s="5"/>
      <c r="T104" s="6">
        <f t="shared" si="4"/>
        <v>59.900000000000006</v>
      </c>
      <c r="U104" s="10" t="s">
        <v>373</v>
      </c>
      <c r="V104" s="1"/>
      <c r="W104" s="1"/>
      <c r="X104" s="1"/>
      <c r="Y104" s="1"/>
      <c r="Z104" s="1"/>
    </row>
    <row r="105" spans="1:26" ht="39.75" customHeight="1">
      <c r="A105" s="171"/>
      <c r="B105" s="169"/>
      <c r="C105" s="169"/>
      <c r="D105" s="5">
        <v>98</v>
      </c>
      <c r="E105" s="5" t="s">
        <v>54</v>
      </c>
      <c r="F105" s="5"/>
      <c r="G105" s="5"/>
      <c r="H105" s="5"/>
      <c r="I105" s="5"/>
      <c r="J105" s="5"/>
      <c r="K105" s="5"/>
      <c r="L105" s="5"/>
      <c r="M105" s="5"/>
      <c r="N105" s="5"/>
      <c r="O105" s="5"/>
      <c r="P105" s="5"/>
      <c r="Q105" s="5"/>
      <c r="R105" s="5"/>
      <c r="S105" s="5"/>
      <c r="T105" s="6">
        <f t="shared" si="4"/>
        <v>0</v>
      </c>
      <c r="U105" s="46"/>
      <c r="V105" s="1"/>
      <c r="W105" s="1"/>
      <c r="X105" s="1"/>
      <c r="Y105" s="1"/>
      <c r="Z105" s="1"/>
    </row>
    <row r="106" spans="1:26" ht="39.75" customHeight="1">
      <c r="A106" s="171"/>
      <c r="B106" s="168" t="s">
        <v>188</v>
      </c>
      <c r="C106" s="168" t="s">
        <v>189</v>
      </c>
      <c r="D106" s="5">
        <v>99</v>
      </c>
      <c r="E106" s="5" t="s">
        <v>190</v>
      </c>
      <c r="F106" s="5"/>
      <c r="G106" s="5"/>
      <c r="H106" s="8"/>
      <c r="I106" s="6">
        <v>2</v>
      </c>
      <c r="J106" s="5"/>
      <c r="K106" s="6"/>
      <c r="L106" s="5"/>
      <c r="M106" s="5"/>
      <c r="N106" s="6">
        <v>0.8</v>
      </c>
      <c r="O106" s="5"/>
      <c r="P106" s="5"/>
      <c r="Q106" s="6">
        <v>2</v>
      </c>
      <c r="R106" s="5"/>
      <c r="S106" s="5"/>
      <c r="T106" s="6">
        <f t="shared" si="4"/>
        <v>4.8</v>
      </c>
      <c r="U106" s="46" t="s">
        <v>374</v>
      </c>
      <c r="V106" s="1"/>
      <c r="W106" s="1"/>
      <c r="X106" s="1"/>
      <c r="Y106" s="1"/>
      <c r="Z106" s="1"/>
    </row>
    <row r="107" spans="1:26" ht="39.75" customHeight="1">
      <c r="A107" s="171"/>
      <c r="B107" s="171"/>
      <c r="C107" s="171"/>
      <c r="D107" s="5">
        <v>100</v>
      </c>
      <c r="E107" s="5" t="s">
        <v>192</v>
      </c>
      <c r="F107" s="5"/>
      <c r="G107" s="5"/>
      <c r="H107" s="5"/>
      <c r="I107" s="6">
        <v>1.1499999999999999</v>
      </c>
      <c r="J107" s="5"/>
      <c r="K107" s="6"/>
      <c r="L107" s="5"/>
      <c r="M107" s="5"/>
      <c r="N107" s="5"/>
      <c r="O107" s="5"/>
      <c r="P107" s="5"/>
      <c r="Q107" s="5"/>
      <c r="R107" s="5"/>
      <c r="S107" s="5"/>
      <c r="T107" s="6">
        <f t="shared" si="4"/>
        <v>1.1499999999999999</v>
      </c>
      <c r="U107" s="46" t="s">
        <v>193</v>
      </c>
      <c r="V107" s="1"/>
      <c r="W107" s="1"/>
      <c r="X107" s="1"/>
      <c r="Y107" s="1"/>
      <c r="Z107" s="1"/>
    </row>
    <row r="108" spans="1:26" ht="39.75" customHeight="1">
      <c r="A108" s="171"/>
      <c r="B108" s="171"/>
      <c r="C108" s="171"/>
      <c r="D108" s="5">
        <v>101</v>
      </c>
      <c r="E108" s="5" t="s">
        <v>194</v>
      </c>
      <c r="F108" s="5"/>
      <c r="G108" s="5"/>
      <c r="H108" s="5"/>
      <c r="I108" s="5"/>
      <c r="J108" s="5"/>
      <c r="K108" s="5"/>
      <c r="L108" s="5"/>
      <c r="M108" s="5"/>
      <c r="N108" s="5"/>
      <c r="O108" s="5"/>
      <c r="P108" s="5"/>
      <c r="Q108" s="5"/>
      <c r="R108" s="5"/>
      <c r="S108" s="5"/>
      <c r="T108" s="6">
        <f t="shared" si="4"/>
        <v>0</v>
      </c>
      <c r="U108" s="9"/>
      <c r="V108" s="1"/>
      <c r="W108" s="1"/>
      <c r="X108" s="1"/>
      <c r="Y108" s="1"/>
      <c r="Z108" s="1"/>
    </row>
    <row r="109" spans="1:26" ht="39.75" customHeight="1">
      <c r="A109" s="171"/>
      <c r="B109" s="171"/>
      <c r="C109" s="171"/>
      <c r="D109" s="5">
        <v>102</v>
      </c>
      <c r="E109" s="5" t="s">
        <v>195</v>
      </c>
      <c r="F109" s="5"/>
      <c r="G109" s="5"/>
      <c r="H109" s="5"/>
      <c r="I109" s="5"/>
      <c r="J109" s="5"/>
      <c r="K109" s="5"/>
      <c r="L109" s="5"/>
      <c r="M109" s="5"/>
      <c r="N109" s="5"/>
      <c r="O109" s="5"/>
      <c r="P109" s="5"/>
      <c r="Q109" s="6"/>
      <c r="R109" s="5"/>
      <c r="S109" s="5"/>
      <c r="T109" s="6">
        <f t="shared" si="4"/>
        <v>0</v>
      </c>
      <c r="U109" s="9"/>
      <c r="V109" s="1"/>
      <c r="W109" s="1"/>
      <c r="X109" s="1"/>
      <c r="Y109" s="1"/>
      <c r="Z109" s="1"/>
    </row>
    <row r="110" spans="1:26" ht="39.75" customHeight="1">
      <c r="A110" s="171"/>
      <c r="B110" s="169"/>
      <c r="C110" s="169"/>
      <c r="D110" s="5">
        <v>103</v>
      </c>
      <c r="E110" s="5" t="s">
        <v>54</v>
      </c>
      <c r="F110" s="5"/>
      <c r="G110" s="5"/>
      <c r="H110" s="5"/>
      <c r="I110" s="5"/>
      <c r="J110" s="5"/>
      <c r="K110" s="5"/>
      <c r="L110" s="5"/>
      <c r="M110" s="5"/>
      <c r="N110" s="5"/>
      <c r="O110" s="5"/>
      <c r="P110" s="8">
        <v>13.2</v>
      </c>
      <c r="Q110" s="5"/>
      <c r="R110" s="8"/>
      <c r="S110" s="8"/>
      <c r="T110" s="6">
        <f t="shared" si="4"/>
        <v>13.2</v>
      </c>
      <c r="U110" s="10" t="s">
        <v>196</v>
      </c>
      <c r="V110" s="1"/>
      <c r="W110" s="1"/>
      <c r="X110" s="1"/>
      <c r="Y110" s="1"/>
      <c r="Z110" s="1"/>
    </row>
    <row r="111" spans="1:26" ht="39.75" customHeight="1">
      <c r="A111" s="171"/>
      <c r="B111" s="168" t="s">
        <v>197</v>
      </c>
      <c r="C111" s="168" t="s">
        <v>198</v>
      </c>
      <c r="D111" s="5">
        <v>104</v>
      </c>
      <c r="E111" s="5" t="s">
        <v>199</v>
      </c>
      <c r="F111" s="5"/>
      <c r="G111" s="5"/>
      <c r="H111" s="5"/>
      <c r="I111" s="5"/>
      <c r="J111" s="5"/>
      <c r="K111" s="5"/>
      <c r="L111" s="5"/>
      <c r="M111" s="5"/>
      <c r="N111" s="8">
        <v>2</v>
      </c>
      <c r="O111" s="5"/>
      <c r="P111" s="8">
        <v>3</v>
      </c>
      <c r="Q111" s="8">
        <v>1</v>
      </c>
      <c r="R111" s="8"/>
      <c r="S111" s="8"/>
      <c r="T111" s="6">
        <f t="shared" si="4"/>
        <v>6</v>
      </c>
      <c r="U111" s="113" t="s">
        <v>691</v>
      </c>
      <c r="V111" s="1"/>
      <c r="W111" s="1"/>
      <c r="X111" s="1"/>
      <c r="Y111" s="1"/>
      <c r="Z111" s="1"/>
    </row>
    <row r="112" spans="1:26" ht="39.75" customHeight="1">
      <c r="A112" s="171"/>
      <c r="B112" s="171"/>
      <c r="C112" s="171"/>
      <c r="D112" s="5">
        <v>105</v>
      </c>
      <c r="E112" s="5" t="s">
        <v>200</v>
      </c>
      <c r="F112" s="5"/>
      <c r="G112" s="5"/>
      <c r="H112" s="5"/>
      <c r="I112" s="5"/>
      <c r="J112" s="5"/>
      <c r="K112" s="5"/>
      <c r="L112" s="5"/>
      <c r="M112" s="5"/>
      <c r="N112" s="5"/>
      <c r="O112" s="5"/>
      <c r="P112" s="5"/>
      <c r="Q112" s="5"/>
      <c r="R112" s="5"/>
      <c r="S112" s="5"/>
      <c r="T112" s="6">
        <f t="shared" si="4"/>
        <v>0</v>
      </c>
      <c r="U112" s="9"/>
      <c r="V112" s="1"/>
      <c r="W112" s="1"/>
      <c r="X112" s="1"/>
      <c r="Y112" s="1"/>
      <c r="Z112" s="1"/>
    </row>
    <row r="113" spans="1:26" ht="39.75" customHeight="1">
      <c r="A113" s="171"/>
      <c r="B113" s="169"/>
      <c r="C113" s="169"/>
      <c r="D113" s="5">
        <v>106</v>
      </c>
      <c r="E113" s="5" t="s">
        <v>201</v>
      </c>
      <c r="F113" s="5"/>
      <c r="G113" s="5"/>
      <c r="H113" s="5"/>
      <c r="I113" s="6"/>
      <c r="J113" s="5"/>
      <c r="K113" s="6"/>
      <c r="L113" s="5"/>
      <c r="M113" s="5"/>
      <c r="N113" s="6"/>
      <c r="O113" s="5"/>
      <c r="P113" s="8"/>
      <c r="Q113" s="6">
        <v>2</v>
      </c>
      <c r="R113" s="8">
        <v>3</v>
      </c>
      <c r="S113" s="8"/>
      <c r="T113" s="6">
        <f t="shared" si="4"/>
        <v>5</v>
      </c>
      <c r="U113" s="113" t="s">
        <v>689</v>
      </c>
      <c r="V113" s="1"/>
      <c r="W113" s="1"/>
      <c r="X113" s="1"/>
      <c r="Y113" s="1"/>
      <c r="Z113" s="1"/>
    </row>
    <row r="114" spans="1:26" ht="39.75" customHeight="1">
      <c r="A114" s="171"/>
      <c r="B114" s="168" t="s">
        <v>202</v>
      </c>
      <c r="C114" s="168" t="s">
        <v>203</v>
      </c>
      <c r="D114" s="5">
        <v>107</v>
      </c>
      <c r="E114" s="5" t="s">
        <v>204</v>
      </c>
      <c r="F114" s="5"/>
      <c r="G114" s="5"/>
      <c r="H114" s="5"/>
      <c r="I114" s="6"/>
      <c r="J114" s="5"/>
      <c r="K114" s="6"/>
      <c r="L114" s="5"/>
      <c r="M114" s="5"/>
      <c r="N114" s="6"/>
      <c r="O114" s="5"/>
      <c r="P114" s="8">
        <v>3.5</v>
      </c>
      <c r="Q114" s="5"/>
      <c r="R114" s="8"/>
      <c r="S114" s="5"/>
      <c r="T114" s="6">
        <f t="shared" si="4"/>
        <v>3.5</v>
      </c>
      <c r="U114" s="46" t="s">
        <v>205</v>
      </c>
      <c r="V114" s="1"/>
      <c r="W114" s="1"/>
      <c r="X114" s="1"/>
      <c r="Y114" s="1"/>
      <c r="Z114" s="1"/>
    </row>
    <row r="115" spans="1:26" ht="39.75" customHeight="1">
      <c r="A115" s="171"/>
      <c r="B115" s="171"/>
      <c r="C115" s="171"/>
      <c r="D115" s="5">
        <v>108</v>
      </c>
      <c r="E115" s="5" t="s">
        <v>206</v>
      </c>
      <c r="F115" s="5"/>
      <c r="G115" s="5"/>
      <c r="H115" s="5"/>
      <c r="I115" s="6"/>
      <c r="J115" s="5"/>
      <c r="K115" s="6"/>
      <c r="L115" s="5"/>
      <c r="M115" s="5"/>
      <c r="N115" s="5"/>
      <c r="O115" s="5"/>
      <c r="P115" s="8">
        <v>18.399999999999999</v>
      </c>
      <c r="Q115" s="5"/>
      <c r="R115" s="5"/>
      <c r="S115" s="5"/>
      <c r="T115" s="6">
        <f t="shared" si="4"/>
        <v>18.399999999999999</v>
      </c>
      <c r="U115" s="46" t="s">
        <v>207</v>
      </c>
      <c r="V115" s="1"/>
      <c r="W115" s="1"/>
      <c r="X115" s="1"/>
      <c r="Y115" s="1"/>
      <c r="Z115" s="1"/>
    </row>
    <row r="116" spans="1:26" ht="39.75" customHeight="1">
      <c r="A116" s="171"/>
      <c r="B116" s="171"/>
      <c r="C116" s="171"/>
      <c r="D116" s="5">
        <v>109</v>
      </c>
      <c r="E116" s="5" t="s">
        <v>208</v>
      </c>
      <c r="F116" s="5"/>
      <c r="G116" s="5"/>
      <c r="H116" s="8"/>
      <c r="I116" s="6"/>
      <c r="J116" s="5"/>
      <c r="K116" s="6"/>
      <c r="L116" s="5"/>
      <c r="M116" s="5"/>
      <c r="N116" s="5"/>
      <c r="O116" s="5"/>
      <c r="P116" s="5"/>
      <c r="Q116" s="5"/>
      <c r="R116" s="5"/>
      <c r="S116" s="5"/>
      <c r="T116" s="6">
        <f t="shared" si="4"/>
        <v>0</v>
      </c>
      <c r="U116" s="9"/>
      <c r="V116" s="1"/>
      <c r="W116" s="1"/>
      <c r="X116" s="1"/>
      <c r="Y116" s="1"/>
      <c r="Z116" s="1"/>
    </row>
    <row r="117" spans="1:26" ht="39.75" customHeight="1">
      <c r="A117" s="171"/>
      <c r="B117" s="171"/>
      <c r="C117" s="171"/>
      <c r="D117" s="5">
        <v>110</v>
      </c>
      <c r="E117" s="5" t="s">
        <v>209</v>
      </c>
      <c r="F117" s="5"/>
      <c r="G117" s="5"/>
      <c r="H117" s="5"/>
      <c r="I117" s="6"/>
      <c r="J117" s="5"/>
      <c r="K117" s="6"/>
      <c r="L117" s="5"/>
      <c r="M117" s="8"/>
      <c r="N117" s="6">
        <v>3</v>
      </c>
      <c r="O117" s="8">
        <v>13.997999999999999</v>
      </c>
      <c r="P117" s="6"/>
      <c r="Q117" s="8">
        <v>6.87</v>
      </c>
      <c r="R117" s="8">
        <v>10.5</v>
      </c>
      <c r="S117" s="5"/>
      <c r="T117" s="6">
        <f t="shared" si="4"/>
        <v>34.367999999999995</v>
      </c>
      <c r="U117" s="9" t="s">
        <v>375</v>
      </c>
      <c r="V117" s="1"/>
      <c r="W117" s="1"/>
      <c r="X117" s="1"/>
      <c r="Y117" s="1"/>
      <c r="Z117" s="1"/>
    </row>
    <row r="118" spans="1:26" ht="39.75" customHeight="1">
      <c r="A118" s="171"/>
      <c r="B118" s="169"/>
      <c r="C118" s="169"/>
      <c r="D118" s="5">
        <v>111</v>
      </c>
      <c r="E118" s="5" t="s">
        <v>54</v>
      </c>
      <c r="F118" s="5"/>
      <c r="G118" s="5"/>
      <c r="H118" s="5"/>
      <c r="I118" s="8"/>
      <c r="J118" s="5"/>
      <c r="K118" s="8"/>
      <c r="L118" s="5"/>
      <c r="M118" s="5">
        <v>6</v>
      </c>
      <c r="N118" s="5"/>
      <c r="O118" s="5"/>
      <c r="P118" s="8"/>
      <c r="Q118" s="6"/>
      <c r="R118" s="5"/>
      <c r="S118" s="8"/>
      <c r="T118" s="6">
        <f t="shared" si="4"/>
        <v>6</v>
      </c>
      <c r="U118" s="113" t="s">
        <v>683</v>
      </c>
      <c r="V118" s="1"/>
      <c r="W118" s="1"/>
      <c r="X118" s="1"/>
      <c r="Y118" s="1"/>
      <c r="Z118" s="1"/>
    </row>
    <row r="119" spans="1:26" ht="39.75" customHeight="1">
      <c r="A119" s="171"/>
      <c r="B119" s="168" t="s">
        <v>211</v>
      </c>
      <c r="C119" s="168" t="s">
        <v>212</v>
      </c>
      <c r="D119" s="5">
        <v>112</v>
      </c>
      <c r="E119" s="5" t="s">
        <v>213</v>
      </c>
      <c r="F119" s="5"/>
      <c r="G119" s="5"/>
      <c r="H119" s="5"/>
      <c r="I119" s="6"/>
      <c r="J119" s="5"/>
      <c r="K119" s="6"/>
      <c r="L119" s="5"/>
      <c r="M119" s="5"/>
      <c r="N119" s="5"/>
      <c r="O119" s="5"/>
      <c r="P119" s="5"/>
      <c r="Q119" s="6"/>
      <c r="R119" s="5"/>
      <c r="S119" s="5"/>
      <c r="T119" s="6">
        <f t="shared" si="4"/>
        <v>0</v>
      </c>
      <c r="U119" s="9"/>
      <c r="V119" s="1"/>
      <c r="W119" s="1"/>
      <c r="X119" s="1"/>
      <c r="Y119" s="1"/>
      <c r="Z119" s="1"/>
    </row>
    <row r="120" spans="1:26" ht="39.75" customHeight="1">
      <c r="A120" s="171"/>
      <c r="B120" s="169"/>
      <c r="C120" s="169"/>
      <c r="D120" s="5">
        <v>113</v>
      </c>
      <c r="E120" s="5" t="s">
        <v>214</v>
      </c>
      <c r="F120" s="5"/>
      <c r="G120" s="5"/>
      <c r="H120" s="5"/>
      <c r="I120" s="6"/>
      <c r="J120" s="5"/>
      <c r="K120" s="6"/>
      <c r="L120" s="5"/>
      <c r="M120" s="6"/>
      <c r="N120" s="6">
        <v>0.5</v>
      </c>
      <c r="O120" s="5"/>
      <c r="P120" s="5"/>
      <c r="Q120" s="6">
        <v>0.5</v>
      </c>
      <c r="R120" s="5"/>
      <c r="S120" s="5"/>
      <c r="T120" s="6">
        <f t="shared" si="4"/>
        <v>1</v>
      </c>
      <c r="U120" s="10" t="s">
        <v>215</v>
      </c>
      <c r="V120" s="1"/>
      <c r="W120" s="1"/>
      <c r="X120" s="1"/>
      <c r="Y120" s="1"/>
      <c r="Z120" s="1"/>
    </row>
    <row r="121" spans="1:26" ht="39.75" customHeight="1">
      <c r="A121" s="171"/>
      <c r="B121" s="5" t="s">
        <v>216</v>
      </c>
      <c r="C121" s="5" t="s">
        <v>217</v>
      </c>
      <c r="D121" s="5">
        <v>114</v>
      </c>
      <c r="E121" s="5" t="s">
        <v>218</v>
      </c>
      <c r="F121" s="5"/>
      <c r="G121" s="5"/>
      <c r="H121" s="8"/>
      <c r="I121" s="5"/>
      <c r="J121" s="5"/>
      <c r="K121" s="5"/>
      <c r="L121" s="5"/>
      <c r="M121" s="5"/>
      <c r="N121" s="8">
        <v>1.5</v>
      </c>
      <c r="O121" s="5"/>
      <c r="P121" s="8">
        <v>6.5</v>
      </c>
      <c r="Q121" s="6">
        <v>2</v>
      </c>
      <c r="R121" s="8">
        <v>1</v>
      </c>
      <c r="S121" s="8"/>
      <c r="T121" s="6">
        <f t="shared" si="4"/>
        <v>11</v>
      </c>
      <c r="U121" s="113" t="s">
        <v>681</v>
      </c>
      <c r="V121" s="1"/>
      <c r="W121" s="1"/>
      <c r="X121" s="1"/>
      <c r="Y121" s="1"/>
      <c r="Z121" s="1"/>
    </row>
    <row r="122" spans="1:26" ht="39.75" customHeight="1">
      <c r="A122" s="171"/>
      <c r="B122" s="168" t="s">
        <v>219</v>
      </c>
      <c r="C122" s="168" t="s">
        <v>220</v>
      </c>
      <c r="D122" s="5">
        <v>115</v>
      </c>
      <c r="E122" s="5" t="s">
        <v>221</v>
      </c>
      <c r="F122" s="5"/>
      <c r="G122" s="5"/>
      <c r="H122" s="5"/>
      <c r="I122" s="5"/>
      <c r="J122" s="5"/>
      <c r="K122" s="5"/>
      <c r="L122" s="5"/>
      <c r="M122" s="6"/>
      <c r="N122" s="5"/>
      <c r="O122" s="5"/>
      <c r="P122" s="5"/>
      <c r="Q122" s="5"/>
      <c r="R122" s="5"/>
      <c r="S122" s="5"/>
      <c r="T122" s="6">
        <f t="shared" si="4"/>
        <v>0</v>
      </c>
      <c r="U122" s="9"/>
      <c r="V122" s="1"/>
      <c r="W122" s="1"/>
      <c r="X122" s="1"/>
      <c r="Y122" s="1"/>
      <c r="Z122" s="1"/>
    </row>
    <row r="123" spans="1:26" ht="39.75" customHeight="1">
      <c r="A123" s="171"/>
      <c r="B123" s="171"/>
      <c r="C123" s="171"/>
      <c r="D123" s="5">
        <v>116</v>
      </c>
      <c r="E123" s="5" t="s">
        <v>222</v>
      </c>
      <c r="F123" s="5"/>
      <c r="G123" s="5"/>
      <c r="H123" s="5"/>
      <c r="I123" s="5"/>
      <c r="J123" s="5"/>
      <c r="K123" s="5"/>
      <c r="L123" s="5"/>
      <c r="M123" s="6">
        <v>20.27</v>
      </c>
      <c r="N123" s="5"/>
      <c r="O123" s="5"/>
      <c r="P123" s="5"/>
      <c r="Q123" s="6">
        <v>7.05</v>
      </c>
      <c r="R123" s="5"/>
      <c r="S123" s="5"/>
      <c r="T123" s="6">
        <f t="shared" si="4"/>
        <v>27.32</v>
      </c>
      <c r="U123" s="113" t="s">
        <v>679</v>
      </c>
      <c r="V123" s="1"/>
      <c r="W123" s="1"/>
      <c r="X123" s="1"/>
      <c r="Y123" s="1"/>
      <c r="Z123" s="1"/>
    </row>
    <row r="124" spans="1:26" ht="39.75" customHeight="1">
      <c r="A124" s="171"/>
      <c r="B124" s="171"/>
      <c r="C124" s="171"/>
      <c r="D124" s="5">
        <v>117</v>
      </c>
      <c r="E124" s="5" t="s">
        <v>224</v>
      </c>
      <c r="F124" s="5"/>
      <c r="G124" s="5"/>
      <c r="H124" s="5"/>
      <c r="I124" s="5"/>
      <c r="J124" s="5"/>
      <c r="K124" s="5"/>
      <c r="L124" s="5"/>
      <c r="M124" s="5"/>
      <c r="N124" s="5"/>
      <c r="O124" s="5"/>
      <c r="P124" s="5"/>
      <c r="Q124" s="5"/>
      <c r="R124" s="5"/>
      <c r="S124" s="5"/>
      <c r="T124" s="6">
        <f t="shared" si="4"/>
        <v>0</v>
      </c>
      <c r="U124" s="46"/>
      <c r="V124" s="1"/>
      <c r="W124" s="1"/>
      <c r="X124" s="1"/>
      <c r="Y124" s="1"/>
      <c r="Z124" s="1"/>
    </row>
    <row r="125" spans="1:26" ht="39.75" customHeight="1">
      <c r="A125" s="171"/>
      <c r="B125" s="169"/>
      <c r="C125" s="169"/>
      <c r="D125" s="5">
        <v>118</v>
      </c>
      <c r="E125" s="5" t="s">
        <v>54</v>
      </c>
      <c r="F125" s="5"/>
      <c r="G125" s="5"/>
      <c r="H125" s="5"/>
      <c r="I125" s="5"/>
      <c r="J125" s="5"/>
      <c r="K125" s="5"/>
      <c r="L125" s="5"/>
      <c r="M125" s="5"/>
      <c r="N125" s="5"/>
      <c r="O125" s="5"/>
      <c r="P125" s="5"/>
      <c r="Q125" s="6"/>
      <c r="R125" s="5"/>
      <c r="S125" s="5"/>
      <c r="T125" s="6">
        <f t="shared" si="4"/>
        <v>0</v>
      </c>
      <c r="U125" s="9"/>
      <c r="V125" s="1"/>
      <c r="W125" s="1"/>
      <c r="X125" s="1"/>
      <c r="Y125" s="1"/>
      <c r="Z125" s="1"/>
    </row>
    <row r="126" spans="1:26" ht="39.75" customHeight="1">
      <c r="A126" s="171"/>
      <c r="B126" s="5" t="s">
        <v>225</v>
      </c>
      <c r="C126" s="5" t="s">
        <v>226</v>
      </c>
      <c r="D126" s="5">
        <v>119</v>
      </c>
      <c r="E126" s="5" t="s">
        <v>227</v>
      </c>
      <c r="F126" s="5"/>
      <c r="G126" s="5"/>
      <c r="H126" s="8">
        <v>6</v>
      </c>
      <c r="I126" s="6">
        <v>1</v>
      </c>
      <c r="J126" s="5"/>
      <c r="K126" s="5"/>
      <c r="L126" s="5"/>
      <c r="M126" s="5"/>
      <c r="N126" s="6">
        <v>1</v>
      </c>
      <c r="O126" s="5"/>
      <c r="P126" s="8">
        <v>8</v>
      </c>
      <c r="Q126" s="6">
        <v>2</v>
      </c>
      <c r="R126" s="5"/>
      <c r="S126" s="5"/>
      <c r="T126" s="6">
        <f t="shared" si="4"/>
        <v>18</v>
      </c>
      <c r="U126" s="113" t="s">
        <v>678</v>
      </c>
      <c r="V126" s="1"/>
      <c r="W126" s="1"/>
      <c r="X126" s="1"/>
      <c r="Y126" s="1"/>
      <c r="Z126" s="1"/>
    </row>
    <row r="127" spans="1:26" ht="39.75" customHeight="1">
      <c r="A127" s="171"/>
      <c r="B127" s="5" t="s">
        <v>228</v>
      </c>
      <c r="C127" s="5" t="s">
        <v>229</v>
      </c>
      <c r="D127" s="5">
        <v>120</v>
      </c>
      <c r="E127" s="5" t="s">
        <v>230</v>
      </c>
      <c r="F127" s="5"/>
      <c r="G127" s="5"/>
      <c r="H127" s="5"/>
      <c r="I127" s="5"/>
      <c r="J127" s="5"/>
      <c r="K127" s="8"/>
      <c r="L127" s="5"/>
      <c r="M127" s="8"/>
      <c r="N127" s="6"/>
      <c r="O127" s="5"/>
      <c r="P127" s="8"/>
      <c r="Q127" s="6"/>
      <c r="R127" s="8"/>
      <c r="S127" s="5"/>
      <c r="T127" s="6">
        <f t="shared" si="4"/>
        <v>0</v>
      </c>
      <c r="U127" s="10"/>
      <c r="V127" s="18"/>
      <c r="W127" s="1"/>
      <c r="X127" s="1"/>
      <c r="Y127" s="1"/>
      <c r="Z127" s="1"/>
    </row>
    <row r="128" spans="1:26" ht="39.75" customHeight="1">
      <c r="A128" s="171"/>
      <c r="B128" s="168" t="s">
        <v>231</v>
      </c>
      <c r="C128" s="168" t="s">
        <v>232</v>
      </c>
      <c r="D128" s="5">
        <v>121</v>
      </c>
      <c r="E128" s="5" t="s">
        <v>233</v>
      </c>
      <c r="F128" s="5"/>
      <c r="G128" s="5"/>
      <c r="H128" s="5"/>
      <c r="I128" s="6"/>
      <c r="J128" s="5"/>
      <c r="K128" s="5"/>
      <c r="L128" s="5"/>
      <c r="M128" s="5"/>
      <c r="N128" s="5"/>
      <c r="O128" s="5"/>
      <c r="P128" s="5"/>
      <c r="Q128" s="5"/>
      <c r="R128" s="5"/>
      <c r="S128" s="5"/>
      <c r="T128" s="6">
        <f t="shared" si="4"/>
        <v>0</v>
      </c>
      <c r="U128" s="10"/>
      <c r="V128" s="18"/>
      <c r="W128" s="1"/>
      <c r="X128" s="1"/>
      <c r="Y128" s="1"/>
      <c r="Z128" s="1"/>
    </row>
    <row r="129" spans="1:26" ht="39.75" customHeight="1">
      <c r="A129" s="171"/>
      <c r="B129" s="171"/>
      <c r="C129" s="171"/>
      <c r="D129" s="5">
        <v>122</v>
      </c>
      <c r="E129" s="5" t="s">
        <v>234</v>
      </c>
      <c r="F129" s="5"/>
      <c r="G129" s="5"/>
      <c r="H129" s="5"/>
      <c r="I129" s="5"/>
      <c r="J129" s="5"/>
      <c r="K129" s="5"/>
      <c r="L129" s="5"/>
      <c r="M129" s="5"/>
      <c r="N129" s="5"/>
      <c r="O129" s="5"/>
      <c r="P129" s="5"/>
      <c r="Q129" s="5"/>
      <c r="R129" s="5"/>
      <c r="S129" s="5"/>
      <c r="T129" s="6">
        <f t="shared" si="4"/>
        <v>0</v>
      </c>
      <c r="U129" s="10" t="s">
        <v>236</v>
      </c>
      <c r="V129" s="18"/>
      <c r="W129" s="1"/>
      <c r="X129" s="1"/>
      <c r="Y129" s="1"/>
      <c r="Z129" s="1"/>
    </row>
    <row r="130" spans="1:26" ht="39.75" customHeight="1">
      <c r="A130" s="171"/>
      <c r="B130" s="169"/>
      <c r="C130" s="169"/>
      <c r="D130" s="5">
        <v>123</v>
      </c>
      <c r="E130" s="5" t="s">
        <v>235</v>
      </c>
      <c r="F130" s="5"/>
      <c r="G130" s="5"/>
      <c r="H130" s="5"/>
      <c r="I130" s="5"/>
      <c r="J130" s="5"/>
      <c r="K130" s="5"/>
      <c r="L130" s="5"/>
      <c r="M130" s="5"/>
      <c r="N130" s="5"/>
      <c r="O130" s="5"/>
      <c r="P130" s="8">
        <v>0</v>
      </c>
      <c r="Q130" s="6">
        <v>2</v>
      </c>
      <c r="R130" s="5"/>
      <c r="S130" s="5"/>
      <c r="T130" s="6">
        <f t="shared" si="4"/>
        <v>2</v>
      </c>
      <c r="U130" s="69"/>
      <c r="V130" s="1"/>
      <c r="W130" s="1"/>
      <c r="X130" s="1"/>
      <c r="Y130" s="1"/>
      <c r="Z130" s="1"/>
    </row>
    <row r="131" spans="1:26" ht="39.75" customHeight="1">
      <c r="A131" s="171"/>
      <c r="B131" s="168" t="s">
        <v>237</v>
      </c>
      <c r="C131" s="168" t="s">
        <v>238</v>
      </c>
      <c r="D131" s="5">
        <v>124</v>
      </c>
      <c r="E131" s="5" t="s">
        <v>239</v>
      </c>
      <c r="F131" s="5"/>
      <c r="G131" s="5"/>
      <c r="H131" s="8"/>
      <c r="I131" s="5"/>
      <c r="J131" s="5"/>
      <c r="K131" s="5"/>
      <c r="L131" s="5"/>
      <c r="M131" s="5"/>
      <c r="N131" s="5"/>
      <c r="O131" s="5"/>
      <c r="P131" s="5"/>
      <c r="Q131" s="8">
        <v>2</v>
      </c>
      <c r="R131" s="5"/>
      <c r="S131" s="5"/>
      <c r="T131" s="6">
        <f t="shared" si="4"/>
        <v>2</v>
      </c>
      <c r="U131" s="10" t="s">
        <v>240</v>
      </c>
      <c r="V131" s="1"/>
      <c r="W131" s="1"/>
      <c r="X131" s="1"/>
      <c r="Y131" s="1"/>
      <c r="Z131" s="1"/>
    </row>
    <row r="132" spans="1:26" ht="39.75" customHeight="1">
      <c r="A132" s="171"/>
      <c r="B132" s="169"/>
      <c r="C132" s="169"/>
      <c r="D132" s="5">
        <v>125</v>
      </c>
      <c r="E132" s="5" t="s">
        <v>241</v>
      </c>
      <c r="F132" s="5"/>
      <c r="G132" s="5"/>
      <c r="H132" s="8"/>
      <c r="I132" s="5"/>
      <c r="J132" s="5"/>
      <c r="K132" s="5"/>
      <c r="L132" s="5"/>
      <c r="M132" s="5"/>
      <c r="N132" s="5"/>
      <c r="O132" s="5"/>
      <c r="P132" s="5"/>
      <c r="Q132" s="5"/>
      <c r="R132" s="5"/>
      <c r="S132" s="5"/>
      <c r="T132" s="6">
        <f t="shared" si="4"/>
        <v>0</v>
      </c>
      <c r="U132" s="9"/>
      <c r="V132" s="1"/>
      <c r="W132" s="1"/>
      <c r="X132" s="1"/>
      <c r="Y132" s="1"/>
      <c r="Z132" s="1"/>
    </row>
    <row r="133" spans="1:26" ht="39.75" customHeight="1">
      <c r="A133" s="171"/>
      <c r="B133" s="5" t="s">
        <v>242</v>
      </c>
      <c r="C133" s="5" t="s">
        <v>243</v>
      </c>
      <c r="D133" s="5">
        <v>126</v>
      </c>
      <c r="E133" s="5" t="s">
        <v>167</v>
      </c>
      <c r="F133" s="5"/>
      <c r="G133" s="5"/>
      <c r="H133" s="5"/>
      <c r="I133" s="5"/>
      <c r="J133" s="5"/>
      <c r="K133" s="5"/>
      <c r="L133" s="5"/>
      <c r="M133" s="5"/>
      <c r="N133" s="5"/>
      <c r="O133" s="5"/>
      <c r="P133" s="5"/>
      <c r="Q133" s="5"/>
      <c r="R133" s="5"/>
      <c r="S133" s="5"/>
      <c r="T133" s="6">
        <f t="shared" si="4"/>
        <v>0</v>
      </c>
      <c r="U133" s="9"/>
      <c r="V133" s="1"/>
      <c r="W133" s="1"/>
      <c r="X133" s="1"/>
      <c r="Y133" s="1"/>
      <c r="Z133" s="1"/>
    </row>
    <row r="134" spans="1:26" ht="39.75" customHeight="1">
      <c r="A134" s="169"/>
      <c r="B134" s="166" t="s">
        <v>244</v>
      </c>
      <c r="C134" s="170"/>
      <c r="D134" s="167"/>
      <c r="E134" s="5"/>
      <c r="F134" s="5">
        <f t="shared" ref="F134:S134" si="8">SUM(F94:F133)</f>
        <v>0</v>
      </c>
      <c r="G134" s="5">
        <f t="shared" si="8"/>
        <v>0</v>
      </c>
      <c r="H134" s="5">
        <f t="shared" si="8"/>
        <v>6</v>
      </c>
      <c r="I134" s="5">
        <f t="shared" si="8"/>
        <v>8.15</v>
      </c>
      <c r="J134" s="5">
        <f t="shared" si="8"/>
        <v>0</v>
      </c>
      <c r="K134" s="6">
        <f t="shared" si="8"/>
        <v>15</v>
      </c>
      <c r="L134" s="5">
        <f t="shared" si="8"/>
        <v>0</v>
      </c>
      <c r="M134" s="5">
        <f t="shared" si="8"/>
        <v>29.119999999999997</v>
      </c>
      <c r="N134" s="5">
        <f t="shared" si="8"/>
        <v>14.3</v>
      </c>
      <c r="O134" s="5">
        <f t="shared" si="8"/>
        <v>13.997999999999999</v>
      </c>
      <c r="P134" s="5">
        <f t="shared" si="8"/>
        <v>150.28</v>
      </c>
      <c r="Q134" s="5">
        <f t="shared" si="8"/>
        <v>32.42</v>
      </c>
      <c r="R134" s="5">
        <f t="shared" si="8"/>
        <v>39.049999999999997</v>
      </c>
      <c r="S134" s="5">
        <f t="shared" si="8"/>
        <v>0</v>
      </c>
      <c r="T134" s="6">
        <f t="shared" ref="T134:T197" si="9">SUM(F134:S134)</f>
        <v>308.31800000000004</v>
      </c>
      <c r="U134" s="9"/>
      <c r="V134" s="1"/>
      <c r="W134" s="1"/>
      <c r="X134" s="1"/>
      <c r="Y134" s="1"/>
      <c r="Z134" s="1"/>
    </row>
    <row r="135" spans="1:26" ht="39.75" customHeight="1">
      <c r="A135" s="175" t="s">
        <v>245</v>
      </c>
      <c r="B135" s="168" t="s">
        <v>246</v>
      </c>
      <c r="C135" s="168" t="s">
        <v>247</v>
      </c>
      <c r="D135" s="5">
        <v>127</v>
      </c>
      <c r="E135" s="5" t="s">
        <v>248</v>
      </c>
      <c r="F135" s="98"/>
      <c r="G135" s="98"/>
      <c r="H135" s="98"/>
      <c r="I135" s="98"/>
      <c r="J135" s="98"/>
      <c r="K135" s="98"/>
      <c r="L135" s="98"/>
      <c r="M135" s="98"/>
      <c r="N135" s="98"/>
      <c r="O135" s="98"/>
      <c r="P135" s="98"/>
      <c r="Q135" s="98"/>
      <c r="R135" s="98"/>
      <c r="S135" s="98"/>
      <c r="T135" s="99">
        <f t="shared" ref="T135:T157" si="10">SUM(F135:S135)</f>
        <v>0</v>
      </c>
      <c r="U135" s="100"/>
      <c r="V135" s="1"/>
      <c r="W135" s="1"/>
      <c r="X135" s="1"/>
      <c r="Y135" s="1"/>
      <c r="Z135" s="1"/>
    </row>
    <row r="136" spans="1:26" ht="39.75" customHeight="1">
      <c r="A136" s="171"/>
      <c r="B136" s="169"/>
      <c r="C136" s="169"/>
      <c r="D136" s="5">
        <v>128</v>
      </c>
      <c r="E136" s="5" t="s">
        <v>249</v>
      </c>
      <c r="F136" s="98"/>
      <c r="G136" s="98"/>
      <c r="H136" s="98"/>
      <c r="I136" s="98"/>
      <c r="J136" s="98"/>
      <c r="K136" s="99"/>
      <c r="L136" s="98"/>
      <c r="M136" s="98"/>
      <c r="N136" s="99"/>
      <c r="O136" s="98"/>
      <c r="P136" s="99"/>
      <c r="Q136" s="99">
        <f>(15*0.75)+(15*0.1)</f>
        <v>12.75</v>
      </c>
      <c r="R136" s="98"/>
      <c r="S136" s="98"/>
      <c r="T136" s="99">
        <f t="shared" si="10"/>
        <v>12.75</v>
      </c>
      <c r="U136" s="101" t="s">
        <v>662</v>
      </c>
      <c r="V136" s="1"/>
      <c r="W136" s="1"/>
      <c r="X136" s="1"/>
      <c r="Y136" s="1"/>
      <c r="Z136" s="1"/>
    </row>
    <row r="137" spans="1:26" ht="39.75" customHeight="1">
      <c r="A137" s="171"/>
      <c r="B137" s="28"/>
      <c r="C137" s="28"/>
      <c r="D137" s="5">
        <v>129</v>
      </c>
      <c r="E137" s="5" t="s">
        <v>250</v>
      </c>
      <c r="F137" s="98"/>
      <c r="G137" s="98"/>
      <c r="H137" s="98"/>
      <c r="I137" s="98"/>
      <c r="J137" s="98"/>
      <c r="K137" s="98"/>
      <c r="L137" s="98"/>
      <c r="M137" s="98"/>
      <c r="N137" s="98"/>
      <c r="O137" s="98"/>
      <c r="P137" s="98"/>
      <c r="Q137" s="98"/>
      <c r="R137" s="98"/>
      <c r="S137" s="98"/>
      <c r="T137" s="99">
        <f t="shared" si="10"/>
        <v>0</v>
      </c>
      <c r="U137" s="100"/>
      <c r="V137" s="1"/>
      <c r="W137" s="1"/>
      <c r="X137" s="1"/>
      <c r="Y137" s="1"/>
      <c r="Z137" s="1"/>
    </row>
    <row r="138" spans="1:26" ht="39.75" customHeight="1">
      <c r="A138" s="171"/>
      <c r="B138" s="168" t="s">
        <v>251</v>
      </c>
      <c r="C138" s="168" t="s">
        <v>252</v>
      </c>
      <c r="D138" s="5">
        <v>130</v>
      </c>
      <c r="E138" s="5" t="s">
        <v>253</v>
      </c>
      <c r="F138" s="98"/>
      <c r="G138" s="98"/>
      <c r="H138" s="98"/>
      <c r="I138" s="98"/>
      <c r="J138" s="98"/>
      <c r="K138" s="98"/>
      <c r="L138" s="98"/>
      <c r="M138" s="98"/>
      <c r="N138" s="98"/>
      <c r="O138" s="98"/>
      <c r="P138" s="98"/>
      <c r="Q138" s="98"/>
      <c r="R138" s="98"/>
      <c r="S138" s="98"/>
      <c r="T138" s="99">
        <f t="shared" si="10"/>
        <v>0</v>
      </c>
      <c r="U138" s="100"/>
      <c r="V138" s="1"/>
      <c r="W138" s="1"/>
      <c r="X138" s="1"/>
      <c r="Y138" s="1"/>
      <c r="Z138" s="1"/>
    </row>
    <row r="139" spans="1:26" ht="39.75" customHeight="1">
      <c r="A139" s="171"/>
      <c r="B139" s="171"/>
      <c r="C139" s="171"/>
      <c r="D139" s="5">
        <v>131</v>
      </c>
      <c r="E139" s="5" t="s">
        <v>254</v>
      </c>
      <c r="F139" s="98"/>
      <c r="G139" s="98"/>
      <c r="H139" s="98"/>
      <c r="I139" s="98"/>
      <c r="J139" s="98"/>
      <c r="K139" s="98"/>
      <c r="L139" s="98"/>
      <c r="M139" s="98"/>
      <c r="N139" s="99">
        <f>0.01*96</f>
        <v>0.96</v>
      </c>
      <c r="O139" s="98"/>
      <c r="P139" s="98"/>
      <c r="Q139" s="98"/>
      <c r="R139" s="98"/>
      <c r="S139" s="98"/>
      <c r="T139" s="99">
        <f t="shared" si="10"/>
        <v>0.96</v>
      </c>
      <c r="U139" s="102" t="s">
        <v>667</v>
      </c>
      <c r="V139" s="1"/>
      <c r="W139" s="1"/>
      <c r="X139" s="1"/>
      <c r="Y139" s="1"/>
      <c r="Z139" s="1"/>
    </row>
    <row r="140" spans="1:26" ht="39.75" customHeight="1">
      <c r="A140" s="171"/>
      <c r="B140" s="171"/>
      <c r="C140" s="171"/>
      <c r="D140" s="5">
        <v>132</v>
      </c>
      <c r="E140" s="5" t="s">
        <v>255</v>
      </c>
      <c r="F140" s="98"/>
      <c r="G140" s="98"/>
      <c r="H140" s="98"/>
      <c r="I140" s="98"/>
      <c r="J140" s="98"/>
      <c r="K140" s="98"/>
      <c r="L140" s="98"/>
      <c r="M140" s="98"/>
      <c r="N140" s="98"/>
      <c r="O140" s="98"/>
      <c r="P140" s="98"/>
      <c r="Q140" s="98"/>
      <c r="R140" s="98"/>
      <c r="S140" s="98"/>
      <c r="T140" s="99">
        <f t="shared" si="10"/>
        <v>0</v>
      </c>
      <c r="U140" s="100"/>
      <c r="V140" s="1"/>
      <c r="W140" s="1"/>
      <c r="X140" s="1"/>
      <c r="Y140" s="1"/>
      <c r="Z140" s="1"/>
    </row>
    <row r="141" spans="1:26" ht="39.75" customHeight="1">
      <c r="A141" s="171"/>
      <c r="B141" s="171"/>
      <c r="C141" s="171"/>
      <c r="D141" s="5">
        <v>133</v>
      </c>
      <c r="E141" s="5" t="s">
        <v>256</v>
      </c>
      <c r="F141" s="98"/>
      <c r="G141" s="98"/>
      <c r="H141" s="98"/>
      <c r="I141" s="98"/>
      <c r="J141" s="98"/>
      <c r="K141" s="98"/>
      <c r="L141" s="98"/>
      <c r="M141" s="98"/>
      <c r="N141" s="98"/>
      <c r="O141" s="98"/>
      <c r="P141" s="98"/>
      <c r="Q141" s="98"/>
      <c r="R141" s="98"/>
      <c r="S141" s="98"/>
      <c r="T141" s="99">
        <f t="shared" si="10"/>
        <v>0</v>
      </c>
      <c r="U141" s="100"/>
      <c r="V141" s="1"/>
      <c r="W141" s="1"/>
      <c r="X141" s="1"/>
      <c r="Y141" s="1"/>
      <c r="Z141" s="1"/>
    </row>
    <row r="142" spans="1:26" ht="39.75" customHeight="1">
      <c r="A142" s="171"/>
      <c r="B142" s="171"/>
      <c r="C142" s="171"/>
      <c r="D142" s="5">
        <v>134</v>
      </c>
      <c r="E142" s="5" t="s">
        <v>257</v>
      </c>
      <c r="F142" s="98"/>
      <c r="G142" s="98"/>
      <c r="H142" s="98"/>
      <c r="I142" s="98"/>
      <c r="J142" s="98"/>
      <c r="K142" s="98"/>
      <c r="L142" s="98"/>
      <c r="M142" s="98"/>
      <c r="N142" s="98"/>
      <c r="O142" s="98"/>
      <c r="P142" s="99">
        <f>(75*0.005*12)+(75*0.0025*12)+(15*4*0.1)</f>
        <v>12.75</v>
      </c>
      <c r="Q142" s="98"/>
      <c r="R142" s="98"/>
      <c r="S142" s="98"/>
      <c r="T142" s="99">
        <f t="shared" si="10"/>
        <v>12.75</v>
      </c>
      <c r="U142" s="100" t="s">
        <v>258</v>
      </c>
      <c r="V142" s="1"/>
      <c r="W142" s="1"/>
      <c r="X142" s="1"/>
      <c r="Y142" s="1"/>
      <c r="Z142" s="1"/>
    </row>
    <row r="143" spans="1:26" ht="39.75" customHeight="1">
      <c r="A143" s="171"/>
      <c r="B143" s="171"/>
      <c r="C143" s="171"/>
      <c r="D143" s="5">
        <v>135</v>
      </c>
      <c r="E143" s="5" t="s">
        <v>259</v>
      </c>
      <c r="F143" s="98"/>
      <c r="G143" s="98"/>
      <c r="H143" s="98"/>
      <c r="I143" s="98"/>
      <c r="J143" s="98"/>
      <c r="K143" s="98"/>
      <c r="L143" s="98"/>
      <c r="M143" s="98"/>
      <c r="N143" s="98"/>
      <c r="O143" s="98"/>
      <c r="P143" s="98"/>
      <c r="Q143" s="98"/>
      <c r="R143" s="98"/>
      <c r="S143" s="98"/>
      <c r="T143" s="99">
        <f t="shared" si="10"/>
        <v>0</v>
      </c>
      <c r="U143" s="100"/>
      <c r="V143" s="1"/>
      <c r="W143" s="1"/>
      <c r="X143" s="1"/>
      <c r="Y143" s="1"/>
      <c r="Z143" s="1"/>
    </row>
    <row r="144" spans="1:26" ht="39.75" customHeight="1">
      <c r="A144" s="171"/>
      <c r="B144" s="169"/>
      <c r="C144" s="169"/>
      <c r="D144" s="5">
        <v>136</v>
      </c>
      <c r="E144" s="5" t="s">
        <v>260</v>
      </c>
      <c r="F144" s="98"/>
      <c r="G144" s="98"/>
      <c r="H144" s="98"/>
      <c r="I144" s="98"/>
      <c r="J144" s="98"/>
      <c r="K144" s="98"/>
      <c r="L144" s="98"/>
      <c r="M144" s="98"/>
      <c r="N144" s="98"/>
      <c r="O144" s="98"/>
      <c r="P144" s="99"/>
      <c r="Q144" s="98"/>
      <c r="R144" s="98"/>
      <c r="S144" s="98"/>
      <c r="T144" s="99">
        <f t="shared" si="10"/>
        <v>0</v>
      </c>
      <c r="U144" s="101"/>
      <c r="V144" s="1"/>
      <c r="W144" s="1"/>
      <c r="X144" s="1"/>
      <c r="Y144" s="1"/>
      <c r="Z144" s="1"/>
    </row>
    <row r="145" spans="1:26" ht="39.75" customHeight="1">
      <c r="A145" s="171"/>
      <c r="B145" s="168" t="s">
        <v>261</v>
      </c>
      <c r="C145" s="168" t="s">
        <v>262</v>
      </c>
      <c r="D145" s="5">
        <v>137</v>
      </c>
      <c r="E145" s="5" t="s">
        <v>263</v>
      </c>
      <c r="F145" s="98"/>
      <c r="G145" s="98"/>
      <c r="H145" s="98"/>
      <c r="I145" s="98"/>
      <c r="J145" s="98"/>
      <c r="K145" s="98"/>
      <c r="L145" s="98"/>
      <c r="M145" s="99"/>
      <c r="N145" s="98"/>
      <c r="O145" s="98"/>
      <c r="P145" s="99">
        <f>(0.24*15)</f>
        <v>3.5999999999999996</v>
      </c>
      <c r="Q145" s="98"/>
      <c r="R145" s="98"/>
      <c r="S145" s="98"/>
      <c r="T145" s="99">
        <f t="shared" si="10"/>
        <v>3.5999999999999996</v>
      </c>
      <c r="U145" s="101" t="s">
        <v>264</v>
      </c>
      <c r="V145" s="1"/>
      <c r="W145" s="1"/>
      <c r="X145" s="1"/>
      <c r="Y145" s="1"/>
      <c r="Z145" s="1"/>
    </row>
    <row r="146" spans="1:26" ht="39.75" customHeight="1">
      <c r="A146" s="171"/>
      <c r="B146" s="169"/>
      <c r="C146" s="169"/>
      <c r="D146" s="5">
        <v>138</v>
      </c>
      <c r="E146" s="5" t="s">
        <v>265</v>
      </c>
      <c r="F146" s="103"/>
      <c r="G146" s="103"/>
      <c r="H146" s="104"/>
      <c r="I146" s="104">
        <v>5</v>
      </c>
      <c r="J146" s="103"/>
      <c r="K146" s="104"/>
      <c r="L146" s="103"/>
      <c r="M146" s="104">
        <v>0.5</v>
      </c>
      <c r="N146" s="103"/>
      <c r="O146" s="103"/>
      <c r="P146" s="99">
        <v>0.24</v>
      </c>
      <c r="Q146" s="103"/>
      <c r="R146" s="103"/>
      <c r="S146" s="103"/>
      <c r="T146" s="104">
        <f t="shared" si="10"/>
        <v>5.74</v>
      </c>
      <c r="U146" s="101" t="s">
        <v>433</v>
      </c>
      <c r="V146" s="1"/>
      <c r="W146" s="1"/>
      <c r="X146" s="1"/>
      <c r="Y146" s="1"/>
      <c r="Z146" s="1"/>
    </row>
    <row r="147" spans="1:26" ht="39.75" customHeight="1">
      <c r="A147" s="171"/>
      <c r="B147" s="168" t="s">
        <v>266</v>
      </c>
      <c r="C147" s="168" t="s">
        <v>267</v>
      </c>
      <c r="D147" s="5">
        <v>139</v>
      </c>
      <c r="E147" s="5" t="s">
        <v>268</v>
      </c>
      <c r="F147" s="98"/>
      <c r="G147" s="98"/>
      <c r="H147" s="98"/>
      <c r="I147" s="98"/>
      <c r="J147" s="98"/>
      <c r="K147" s="98"/>
      <c r="L147" s="98"/>
      <c r="M147" s="98"/>
      <c r="N147" s="99"/>
      <c r="O147" s="98"/>
      <c r="P147" s="99">
        <v>15</v>
      </c>
      <c r="Q147" s="98"/>
      <c r="R147" s="99">
        <v>1.2</v>
      </c>
      <c r="S147" s="98"/>
      <c r="T147" s="99">
        <f t="shared" si="10"/>
        <v>16.2</v>
      </c>
      <c r="U147" s="101" t="s">
        <v>669</v>
      </c>
      <c r="V147" s="1"/>
      <c r="W147" s="1"/>
      <c r="X147" s="1"/>
      <c r="Y147" s="1"/>
      <c r="Z147" s="1"/>
    </row>
    <row r="148" spans="1:26" ht="39.75" customHeight="1">
      <c r="A148" s="171"/>
      <c r="B148" s="171"/>
      <c r="C148" s="171"/>
      <c r="D148" s="5">
        <v>140</v>
      </c>
      <c r="E148" s="5" t="s">
        <v>269</v>
      </c>
      <c r="F148" s="98"/>
      <c r="G148" s="98"/>
      <c r="H148" s="98"/>
      <c r="I148" s="98"/>
      <c r="J148" s="98"/>
      <c r="K148" s="98"/>
      <c r="L148" s="98"/>
      <c r="M148" s="98"/>
      <c r="N148" s="98"/>
      <c r="O148" s="98"/>
      <c r="P148" s="99">
        <f>15+(15*0.055)+(0.08*9)-0.02</f>
        <v>16.524999999999999</v>
      </c>
      <c r="Q148" s="98"/>
      <c r="R148" s="98"/>
      <c r="S148" s="98"/>
      <c r="T148" s="99">
        <f t="shared" si="10"/>
        <v>16.524999999999999</v>
      </c>
      <c r="U148" s="101" t="s">
        <v>666</v>
      </c>
      <c r="V148" s="1"/>
      <c r="W148" s="1"/>
      <c r="X148" s="1"/>
      <c r="Y148" s="1"/>
      <c r="Z148" s="1"/>
    </row>
    <row r="149" spans="1:26" ht="39.75" customHeight="1">
      <c r="A149" s="171"/>
      <c r="B149" s="169"/>
      <c r="C149" s="169"/>
      <c r="D149" s="5">
        <v>141</v>
      </c>
      <c r="E149" s="5" t="s">
        <v>270</v>
      </c>
      <c r="F149" s="98"/>
      <c r="G149" s="98"/>
      <c r="H149" s="98"/>
      <c r="I149" s="98"/>
      <c r="J149" s="98"/>
      <c r="K149" s="98"/>
      <c r="L149" s="98"/>
      <c r="M149" s="98"/>
      <c r="N149" s="98"/>
      <c r="O149" s="98"/>
      <c r="P149" s="98"/>
      <c r="Q149" s="98"/>
      <c r="R149" s="98"/>
      <c r="S149" s="98"/>
      <c r="T149" s="99">
        <f t="shared" si="10"/>
        <v>0</v>
      </c>
      <c r="U149" s="100"/>
      <c r="V149" s="1"/>
      <c r="W149" s="1"/>
      <c r="X149" s="1"/>
      <c r="Y149" s="1"/>
      <c r="Z149" s="1"/>
    </row>
    <row r="150" spans="1:26" ht="39.75" customHeight="1">
      <c r="A150" s="171"/>
      <c r="B150" s="168" t="s">
        <v>271</v>
      </c>
      <c r="C150" s="168" t="s">
        <v>272</v>
      </c>
      <c r="D150" s="5">
        <v>142</v>
      </c>
      <c r="E150" s="5" t="s">
        <v>273</v>
      </c>
      <c r="F150" s="98"/>
      <c r="G150" s="98"/>
      <c r="H150" s="98"/>
      <c r="I150" s="98"/>
      <c r="J150" s="98"/>
      <c r="K150" s="98"/>
      <c r="L150" s="98"/>
      <c r="M150" s="98"/>
      <c r="N150" s="98"/>
      <c r="O150" s="98"/>
      <c r="P150" s="98"/>
      <c r="Q150" s="98"/>
      <c r="R150" s="98">
        <v>739.21</v>
      </c>
      <c r="S150" s="98"/>
      <c r="T150" s="99">
        <f t="shared" si="10"/>
        <v>739.21</v>
      </c>
      <c r="U150" s="100"/>
      <c r="V150" s="1"/>
      <c r="W150" s="1"/>
      <c r="X150" s="1"/>
      <c r="Y150" s="1"/>
      <c r="Z150" s="1"/>
    </row>
    <row r="151" spans="1:26" ht="39.75" customHeight="1">
      <c r="A151" s="171"/>
      <c r="B151" s="171"/>
      <c r="C151" s="171"/>
      <c r="D151" s="5">
        <v>143</v>
      </c>
      <c r="E151" s="5" t="s">
        <v>274</v>
      </c>
      <c r="F151" s="98"/>
      <c r="G151" s="98"/>
      <c r="H151" s="98"/>
      <c r="I151" s="98"/>
      <c r="J151" s="98"/>
      <c r="K151" s="98"/>
      <c r="L151" s="98"/>
      <c r="M151" s="98"/>
      <c r="N151" s="98"/>
      <c r="O151" s="98"/>
      <c r="P151" s="98"/>
      <c r="Q151" s="98"/>
      <c r="R151" s="98"/>
      <c r="S151" s="98"/>
      <c r="T151" s="99">
        <f t="shared" si="10"/>
        <v>0</v>
      </c>
      <c r="U151" s="100"/>
      <c r="V151" s="1"/>
      <c r="W151" s="1"/>
      <c r="X151" s="1"/>
      <c r="Y151" s="1"/>
      <c r="Z151" s="1"/>
    </row>
    <row r="152" spans="1:26" ht="39.75" customHeight="1">
      <c r="A152" s="171"/>
      <c r="B152" s="171"/>
      <c r="C152" s="171"/>
      <c r="D152" s="5">
        <v>144</v>
      </c>
      <c r="E152" s="5" t="s">
        <v>275</v>
      </c>
      <c r="F152" s="98"/>
      <c r="G152" s="98"/>
      <c r="H152" s="98"/>
      <c r="I152" s="98"/>
      <c r="J152" s="98"/>
      <c r="K152" s="98"/>
      <c r="L152" s="98"/>
      <c r="M152" s="98"/>
      <c r="N152" s="98"/>
      <c r="O152" s="98"/>
      <c r="P152" s="98"/>
      <c r="Q152" s="98"/>
      <c r="R152" s="98"/>
      <c r="S152" s="98"/>
      <c r="T152" s="99">
        <f t="shared" si="10"/>
        <v>0</v>
      </c>
      <c r="U152" s="100"/>
      <c r="V152" s="1"/>
      <c r="W152" s="1"/>
      <c r="X152" s="1"/>
      <c r="Y152" s="1"/>
      <c r="Z152" s="1"/>
    </row>
    <row r="153" spans="1:26" ht="39.75" customHeight="1">
      <c r="A153" s="171"/>
      <c r="B153" s="169"/>
      <c r="C153" s="169"/>
      <c r="D153" s="5">
        <v>145</v>
      </c>
      <c r="E153" s="5" t="s">
        <v>276</v>
      </c>
      <c r="F153" s="98"/>
      <c r="G153" s="98"/>
      <c r="H153" s="98"/>
      <c r="I153" s="98"/>
      <c r="J153" s="98"/>
      <c r="K153" s="98"/>
      <c r="L153" s="98"/>
      <c r="M153" s="98"/>
      <c r="N153" s="98"/>
      <c r="O153" s="98"/>
      <c r="P153" s="98"/>
      <c r="Q153" s="98"/>
      <c r="R153" s="98"/>
      <c r="S153" s="98"/>
      <c r="T153" s="99">
        <f t="shared" si="10"/>
        <v>0</v>
      </c>
      <c r="U153" s="100"/>
      <c r="V153" s="1"/>
      <c r="W153" s="1"/>
      <c r="X153" s="1"/>
      <c r="Y153" s="1"/>
      <c r="Z153" s="1"/>
    </row>
    <row r="154" spans="1:26" ht="39.75" customHeight="1">
      <c r="A154" s="171"/>
      <c r="B154" s="5" t="s">
        <v>277</v>
      </c>
      <c r="C154" s="5" t="s">
        <v>278</v>
      </c>
      <c r="D154" s="5">
        <v>146</v>
      </c>
      <c r="E154" s="5" t="s">
        <v>279</v>
      </c>
      <c r="F154" s="98"/>
      <c r="G154" s="98"/>
      <c r="H154" s="98"/>
      <c r="I154" s="98"/>
      <c r="J154" s="98"/>
      <c r="K154" s="98"/>
      <c r="L154" s="98"/>
      <c r="M154" s="98"/>
      <c r="N154" s="98"/>
      <c r="O154" s="98"/>
      <c r="P154" s="98"/>
      <c r="Q154" s="98"/>
      <c r="R154" s="99">
        <v>5.4</v>
      </c>
      <c r="S154" s="98"/>
      <c r="T154" s="99">
        <f t="shared" si="10"/>
        <v>5.4</v>
      </c>
      <c r="U154" s="102" t="s">
        <v>280</v>
      </c>
      <c r="V154" s="1"/>
      <c r="W154" s="1"/>
      <c r="X154" s="1"/>
      <c r="Y154" s="1"/>
      <c r="Z154" s="1"/>
    </row>
    <row r="155" spans="1:26" ht="39.75" customHeight="1">
      <c r="A155" s="171"/>
      <c r="B155" s="5" t="s">
        <v>281</v>
      </c>
      <c r="C155" s="5" t="s">
        <v>282</v>
      </c>
      <c r="D155" s="5">
        <v>147</v>
      </c>
      <c r="E155" s="5" t="s">
        <v>149</v>
      </c>
      <c r="F155" s="98"/>
      <c r="G155" s="98"/>
      <c r="H155" s="98"/>
      <c r="I155" s="98"/>
      <c r="J155" s="98"/>
      <c r="K155" s="98"/>
      <c r="L155" s="98"/>
      <c r="M155" s="98"/>
      <c r="N155" s="98"/>
      <c r="O155" s="98"/>
      <c r="P155" s="98"/>
      <c r="Q155" s="98"/>
      <c r="R155" s="98"/>
      <c r="S155" s="98"/>
      <c r="T155" s="99">
        <f t="shared" si="10"/>
        <v>0</v>
      </c>
      <c r="U155" s="100"/>
      <c r="V155" s="1"/>
      <c r="W155" s="1"/>
      <c r="X155" s="1"/>
      <c r="Y155" s="1"/>
      <c r="Z155" s="1"/>
    </row>
    <row r="156" spans="1:26" ht="39.75" customHeight="1">
      <c r="A156" s="171"/>
      <c r="B156" s="5" t="s">
        <v>283</v>
      </c>
      <c r="C156" s="5" t="s">
        <v>284</v>
      </c>
      <c r="D156" s="5">
        <v>148</v>
      </c>
      <c r="E156" s="5" t="s">
        <v>285</v>
      </c>
      <c r="F156" s="98"/>
      <c r="G156" s="98"/>
      <c r="H156" s="98"/>
      <c r="I156" s="98"/>
      <c r="J156" s="98"/>
      <c r="K156" s="98"/>
      <c r="L156" s="98"/>
      <c r="M156" s="98"/>
      <c r="N156" s="99"/>
      <c r="O156" s="98"/>
      <c r="P156" s="99"/>
      <c r="Q156" s="98"/>
      <c r="R156" s="98"/>
      <c r="S156" s="98"/>
      <c r="T156" s="99">
        <f t="shared" si="10"/>
        <v>0</v>
      </c>
      <c r="U156" s="101"/>
      <c r="V156" s="1"/>
      <c r="W156" s="1"/>
      <c r="X156" s="1"/>
      <c r="Y156" s="1"/>
      <c r="Z156" s="1"/>
    </row>
    <row r="157" spans="1:26" ht="39.75" customHeight="1">
      <c r="A157" s="171"/>
      <c r="B157" s="5" t="s">
        <v>286</v>
      </c>
      <c r="C157" s="5" t="s">
        <v>287</v>
      </c>
      <c r="D157" s="5">
        <v>149</v>
      </c>
      <c r="E157" s="5" t="s">
        <v>288</v>
      </c>
      <c r="F157" s="106"/>
      <c r="G157" s="106"/>
      <c r="H157" s="106"/>
      <c r="I157" s="106"/>
      <c r="J157" s="106"/>
      <c r="K157" s="106"/>
      <c r="L157" s="106"/>
      <c r="M157" s="106"/>
      <c r="N157" s="106"/>
      <c r="O157" s="106"/>
      <c r="P157" s="99">
        <f>(15*1.75)+(2.5*1)+(0.05*96)</f>
        <v>33.549999999999997</v>
      </c>
      <c r="Q157" s="106"/>
      <c r="R157" s="106"/>
      <c r="S157" s="106"/>
      <c r="T157" s="99">
        <f t="shared" si="10"/>
        <v>33.549999999999997</v>
      </c>
      <c r="U157" s="101"/>
      <c r="V157" s="1"/>
      <c r="W157" s="1"/>
      <c r="X157" s="1"/>
      <c r="Y157" s="1"/>
      <c r="Z157" s="1"/>
    </row>
    <row r="158" spans="1:26" ht="39.75" customHeight="1">
      <c r="A158" s="169"/>
      <c r="B158" s="166" t="s">
        <v>289</v>
      </c>
      <c r="C158" s="170"/>
      <c r="D158" s="167"/>
      <c r="E158" s="5"/>
      <c r="F158" s="5">
        <f t="shared" ref="F158:S158" si="11">SUM(F135:F157)</f>
        <v>0</v>
      </c>
      <c r="G158" s="5">
        <f t="shared" si="11"/>
        <v>0</v>
      </c>
      <c r="H158" s="5">
        <f t="shared" si="11"/>
        <v>0</v>
      </c>
      <c r="I158" s="5">
        <f t="shared" si="11"/>
        <v>5</v>
      </c>
      <c r="J158" s="5">
        <f t="shared" si="11"/>
        <v>0</v>
      </c>
      <c r="K158" s="5">
        <f t="shared" si="11"/>
        <v>0</v>
      </c>
      <c r="L158" s="5">
        <f t="shared" si="11"/>
        <v>0</v>
      </c>
      <c r="M158" s="5">
        <f t="shared" si="11"/>
        <v>0.5</v>
      </c>
      <c r="N158" s="5">
        <f t="shared" si="11"/>
        <v>0.96</v>
      </c>
      <c r="O158" s="5">
        <f t="shared" si="11"/>
        <v>0</v>
      </c>
      <c r="P158" s="5">
        <f t="shared" si="11"/>
        <v>81.664999999999992</v>
      </c>
      <c r="Q158" s="5">
        <f t="shared" si="11"/>
        <v>12.75</v>
      </c>
      <c r="R158" s="5">
        <f t="shared" si="11"/>
        <v>745.81000000000006</v>
      </c>
      <c r="S158" s="5">
        <f t="shared" si="11"/>
        <v>0</v>
      </c>
      <c r="T158" s="6">
        <f t="shared" si="9"/>
        <v>846.68500000000006</v>
      </c>
      <c r="U158" s="9"/>
      <c r="V158" s="29"/>
      <c r="W158" s="29"/>
      <c r="X158" s="29"/>
      <c r="Y158" s="29"/>
      <c r="Z158" s="29"/>
    </row>
    <row r="159" spans="1:26" ht="39.75" customHeight="1">
      <c r="A159" s="175" t="s">
        <v>290</v>
      </c>
      <c r="B159" s="168" t="s">
        <v>291</v>
      </c>
      <c r="C159" s="168" t="s">
        <v>247</v>
      </c>
      <c r="D159" s="5">
        <v>150</v>
      </c>
      <c r="E159" s="5" t="s">
        <v>292</v>
      </c>
      <c r="F159" s="5"/>
      <c r="G159" s="8">
        <v>420</v>
      </c>
      <c r="H159" s="8">
        <v>560</v>
      </c>
      <c r="I159" s="6"/>
      <c r="J159" s="5"/>
      <c r="K159" s="5"/>
      <c r="L159" s="5"/>
      <c r="M159" s="5"/>
      <c r="N159" s="6">
        <v>2.5</v>
      </c>
      <c r="O159" s="8"/>
      <c r="P159" s="8"/>
      <c r="Q159" s="5"/>
      <c r="R159" s="5"/>
      <c r="S159" s="5"/>
      <c r="T159" s="6">
        <f t="shared" si="9"/>
        <v>982.5</v>
      </c>
      <c r="U159" s="62" t="s">
        <v>376</v>
      </c>
      <c r="V159" s="1"/>
      <c r="W159" s="1"/>
      <c r="X159" s="1"/>
      <c r="Y159" s="1"/>
      <c r="Z159" s="1"/>
    </row>
    <row r="160" spans="1:26" ht="39.75" customHeight="1">
      <c r="A160" s="171"/>
      <c r="B160" s="171"/>
      <c r="C160" s="171"/>
      <c r="D160" s="5">
        <v>151</v>
      </c>
      <c r="E160" s="5" t="s">
        <v>294</v>
      </c>
      <c r="F160" s="5"/>
      <c r="G160" s="8"/>
      <c r="H160" s="8"/>
      <c r="I160" s="6"/>
      <c r="J160" s="5"/>
      <c r="K160" s="5"/>
      <c r="L160" s="5"/>
      <c r="M160" s="5"/>
      <c r="N160" s="6"/>
      <c r="O160" s="8"/>
      <c r="P160" s="8"/>
      <c r="Q160" s="6"/>
      <c r="R160" s="8">
        <v>6</v>
      </c>
      <c r="S160" s="5"/>
      <c r="T160" s="6">
        <f t="shared" si="9"/>
        <v>6</v>
      </c>
      <c r="U160" s="9" t="s">
        <v>640</v>
      </c>
      <c r="V160" s="1"/>
      <c r="W160" s="1"/>
      <c r="X160" s="1"/>
      <c r="Y160" s="1"/>
      <c r="Z160" s="1"/>
    </row>
    <row r="161" spans="1:26" ht="39.75" customHeight="1">
      <c r="A161" s="171"/>
      <c r="B161" s="171"/>
      <c r="C161" s="171"/>
      <c r="D161" s="5">
        <v>152</v>
      </c>
      <c r="E161" s="5" t="s">
        <v>295</v>
      </c>
      <c r="F161" s="5"/>
      <c r="G161" s="5"/>
      <c r="H161" s="5"/>
      <c r="I161" s="5"/>
      <c r="J161" s="5"/>
      <c r="K161" s="5"/>
      <c r="L161" s="5"/>
      <c r="M161" s="5"/>
      <c r="N161" s="5"/>
      <c r="O161" s="5"/>
      <c r="P161" s="8">
        <v>15</v>
      </c>
      <c r="Q161" s="5"/>
      <c r="R161" s="5"/>
      <c r="S161" s="5"/>
      <c r="T161" s="6">
        <f t="shared" si="9"/>
        <v>15</v>
      </c>
      <c r="U161" s="9" t="s">
        <v>296</v>
      </c>
      <c r="V161" s="1"/>
      <c r="W161" s="1"/>
      <c r="X161" s="1"/>
      <c r="Y161" s="1"/>
      <c r="Z161" s="1"/>
    </row>
    <row r="162" spans="1:26" ht="39.75" customHeight="1">
      <c r="A162" s="171"/>
      <c r="B162" s="179"/>
      <c r="C162" s="179"/>
      <c r="D162" s="5">
        <v>153</v>
      </c>
      <c r="E162" s="5" t="s">
        <v>297</v>
      </c>
      <c r="F162" s="24"/>
      <c r="G162" s="24"/>
      <c r="H162" s="24"/>
      <c r="I162" s="24"/>
      <c r="J162" s="24"/>
      <c r="K162" s="24"/>
      <c r="L162" s="24"/>
      <c r="M162" s="24"/>
      <c r="N162" s="6"/>
      <c r="O162" s="24"/>
      <c r="P162" s="24"/>
      <c r="Q162" s="24"/>
      <c r="R162" s="24"/>
      <c r="S162" s="24"/>
      <c r="T162" s="6">
        <f t="shared" si="9"/>
        <v>0</v>
      </c>
      <c r="U162" s="9" t="s">
        <v>298</v>
      </c>
      <c r="V162" s="1"/>
      <c r="W162" s="1"/>
      <c r="X162" s="1"/>
      <c r="Y162" s="1"/>
      <c r="Z162" s="1"/>
    </row>
    <row r="163" spans="1:26" ht="39.75" customHeight="1">
      <c r="A163" s="171"/>
      <c r="B163" s="168" t="s">
        <v>299</v>
      </c>
      <c r="C163" s="168" t="s">
        <v>300</v>
      </c>
      <c r="D163" s="5">
        <v>154</v>
      </c>
      <c r="E163" s="5" t="s">
        <v>301</v>
      </c>
      <c r="F163" s="5"/>
      <c r="G163" s="5"/>
      <c r="H163" s="5"/>
      <c r="I163" s="5"/>
      <c r="J163" s="5"/>
      <c r="K163" s="6"/>
      <c r="L163" s="5"/>
      <c r="M163" s="6"/>
      <c r="N163" s="5"/>
      <c r="O163" s="5"/>
      <c r="P163" s="5"/>
      <c r="Q163" s="8"/>
      <c r="R163" s="5"/>
      <c r="S163" s="5"/>
      <c r="T163" s="6">
        <f t="shared" si="9"/>
        <v>0</v>
      </c>
      <c r="U163" s="9"/>
      <c r="V163" s="1"/>
      <c r="W163" s="1"/>
      <c r="X163" s="1"/>
      <c r="Y163" s="1"/>
      <c r="Z163" s="1"/>
    </row>
    <row r="164" spans="1:26" ht="39.75" customHeight="1">
      <c r="A164" s="171"/>
      <c r="B164" s="171"/>
      <c r="C164" s="171"/>
      <c r="D164" s="5">
        <v>155</v>
      </c>
      <c r="E164" s="5" t="s">
        <v>302</v>
      </c>
      <c r="F164" s="5"/>
      <c r="G164" s="5"/>
      <c r="H164" s="5"/>
      <c r="I164" s="5"/>
      <c r="J164" s="5"/>
      <c r="K164" s="5"/>
      <c r="L164" s="5"/>
      <c r="M164" s="5"/>
      <c r="N164" s="5"/>
      <c r="O164" s="5"/>
      <c r="P164" s="8"/>
      <c r="Q164" s="5"/>
      <c r="R164" s="5"/>
      <c r="S164" s="5"/>
      <c r="T164" s="6">
        <f t="shared" si="9"/>
        <v>0</v>
      </c>
      <c r="U164" s="9"/>
      <c r="V164" s="1"/>
      <c r="W164" s="1"/>
      <c r="X164" s="1"/>
      <c r="Y164" s="1"/>
      <c r="Z164" s="1"/>
    </row>
    <row r="165" spans="1:26" ht="39.75" customHeight="1">
      <c r="A165" s="171"/>
      <c r="B165" s="171"/>
      <c r="C165" s="171"/>
      <c r="D165" s="5">
        <v>156</v>
      </c>
      <c r="E165" s="5" t="s">
        <v>303</v>
      </c>
      <c r="F165" s="5"/>
      <c r="G165" s="5"/>
      <c r="H165" s="8"/>
      <c r="I165" s="6"/>
      <c r="J165" s="5"/>
      <c r="K165" s="5"/>
      <c r="L165" s="5"/>
      <c r="M165" s="5"/>
      <c r="N165" s="5"/>
      <c r="O165" s="5"/>
      <c r="P165" s="8">
        <v>2.1</v>
      </c>
      <c r="Q165" s="5"/>
      <c r="R165" s="5"/>
      <c r="S165" s="5"/>
      <c r="T165" s="6">
        <f t="shared" si="9"/>
        <v>2.1</v>
      </c>
      <c r="U165" s="9"/>
      <c r="V165" s="1"/>
      <c r="W165" s="1"/>
      <c r="X165" s="1"/>
      <c r="Y165" s="1"/>
      <c r="Z165" s="1"/>
    </row>
    <row r="166" spans="1:26" ht="39.75" customHeight="1">
      <c r="A166" s="171"/>
      <c r="B166" s="171"/>
      <c r="C166" s="171"/>
      <c r="D166" s="5">
        <v>157</v>
      </c>
      <c r="E166" s="5" t="s">
        <v>304</v>
      </c>
      <c r="F166" s="5"/>
      <c r="G166" s="5"/>
      <c r="H166" s="5"/>
      <c r="I166" s="5"/>
      <c r="J166" s="5"/>
      <c r="K166" s="5"/>
      <c r="L166" s="5"/>
      <c r="M166" s="5"/>
      <c r="N166" s="5"/>
      <c r="O166" s="5"/>
      <c r="P166" s="5"/>
      <c r="Q166" s="5"/>
      <c r="R166" s="5"/>
      <c r="S166" s="5"/>
      <c r="T166" s="6">
        <f t="shared" si="9"/>
        <v>0</v>
      </c>
      <c r="U166" s="9"/>
      <c r="V166" s="1"/>
      <c r="W166" s="1"/>
      <c r="X166" s="1"/>
      <c r="Y166" s="1"/>
      <c r="Z166" s="1"/>
    </row>
    <row r="167" spans="1:26" ht="39.75" customHeight="1">
      <c r="A167" s="171"/>
      <c r="B167" s="169"/>
      <c r="C167" s="169"/>
      <c r="D167" s="5">
        <v>158</v>
      </c>
      <c r="E167" s="5" t="s">
        <v>305</v>
      </c>
      <c r="F167" s="5"/>
      <c r="G167" s="5"/>
      <c r="H167" s="5"/>
      <c r="I167" s="5"/>
      <c r="J167" s="5"/>
      <c r="K167" s="5"/>
      <c r="L167" s="5"/>
      <c r="M167" s="5"/>
      <c r="N167" s="5"/>
      <c r="O167" s="5"/>
      <c r="P167" s="5"/>
      <c r="Q167" s="6"/>
      <c r="R167" s="5"/>
      <c r="S167" s="5"/>
      <c r="T167" s="6">
        <f t="shared" si="9"/>
        <v>0</v>
      </c>
      <c r="U167" s="9"/>
      <c r="V167" s="1"/>
      <c r="W167" s="1"/>
      <c r="X167" s="1"/>
      <c r="Y167" s="1"/>
      <c r="Z167" s="1"/>
    </row>
    <row r="168" spans="1:26" ht="39.75" customHeight="1">
      <c r="A168" s="171"/>
      <c r="B168" s="168" t="s">
        <v>306</v>
      </c>
      <c r="C168" s="168" t="s">
        <v>252</v>
      </c>
      <c r="D168" s="5">
        <v>159</v>
      </c>
      <c r="E168" s="5" t="s">
        <v>253</v>
      </c>
      <c r="F168" s="5"/>
      <c r="G168" s="5"/>
      <c r="H168" s="5"/>
      <c r="I168" s="5"/>
      <c r="J168" s="5"/>
      <c r="K168" s="6"/>
      <c r="L168" s="5"/>
      <c r="M168" s="5"/>
      <c r="N168" s="8">
        <v>35.81</v>
      </c>
      <c r="O168" s="8">
        <v>615.91</v>
      </c>
      <c r="P168" s="8">
        <v>61.66</v>
      </c>
      <c r="Q168" s="6">
        <v>2.33</v>
      </c>
      <c r="R168" s="5"/>
      <c r="S168" s="5"/>
      <c r="T168" s="6">
        <f t="shared" si="9"/>
        <v>715.71</v>
      </c>
      <c r="U168" s="9" t="s">
        <v>307</v>
      </c>
      <c r="V168" s="1"/>
      <c r="W168" s="1"/>
      <c r="X168" s="1"/>
      <c r="Y168" s="1"/>
      <c r="Z168" s="1"/>
    </row>
    <row r="169" spans="1:26" ht="39.75" customHeight="1">
      <c r="A169" s="171"/>
      <c r="B169" s="171"/>
      <c r="C169" s="171"/>
      <c r="D169" s="5">
        <v>160</v>
      </c>
      <c r="E169" s="5" t="s">
        <v>308</v>
      </c>
      <c r="F169" s="5"/>
      <c r="G169" s="5"/>
      <c r="H169" s="5"/>
      <c r="I169" s="5"/>
      <c r="J169" s="5"/>
      <c r="K169" s="5"/>
      <c r="L169" s="5"/>
      <c r="M169" s="5"/>
      <c r="N169" s="5"/>
      <c r="O169" s="5"/>
      <c r="P169" s="5"/>
      <c r="Q169" s="5"/>
      <c r="R169" s="5"/>
      <c r="S169" s="5"/>
      <c r="T169" s="6">
        <f t="shared" si="9"/>
        <v>0</v>
      </c>
      <c r="U169" s="9"/>
      <c r="V169" s="1"/>
      <c r="W169" s="1"/>
      <c r="X169" s="1"/>
      <c r="Y169" s="1"/>
      <c r="Z169" s="1"/>
    </row>
    <row r="170" spans="1:26" ht="39.75" customHeight="1">
      <c r="A170" s="171"/>
      <c r="B170" s="171"/>
      <c r="C170" s="171"/>
      <c r="D170" s="5">
        <v>161</v>
      </c>
      <c r="E170" s="5" t="s">
        <v>255</v>
      </c>
      <c r="F170" s="5"/>
      <c r="G170" s="5"/>
      <c r="H170" s="5"/>
      <c r="I170" s="5"/>
      <c r="J170" s="5"/>
      <c r="K170" s="5"/>
      <c r="L170" s="5"/>
      <c r="M170" s="5"/>
      <c r="N170" s="5"/>
      <c r="O170" s="5"/>
      <c r="P170" s="5"/>
      <c r="Q170" s="5"/>
      <c r="R170" s="5"/>
      <c r="S170" s="5"/>
      <c r="T170" s="6">
        <f t="shared" si="9"/>
        <v>0</v>
      </c>
      <c r="U170" s="9"/>
      <c r="V170" s="1"/>
      <c r="W170" s="1"/>
      <c r="X170" s="1"/>
      <c r="Y170" s="1"/>
      <c r="Z170" s="1"/>
    </row>
    <row r="171" spans="1:26" ht="39.75" customHeight="1">
      <c r="A171" s="171"/>
      <c r="B171" s="171"/>
      <c r="C171" s="171"/>
      <c r="D171" s="5">
        <v>162</v>
      </c>
      <c r="E171" s="5" t="s">
        <v>256</v>
      </c>
      <c r="F171" s="5"/>
      <c r="G171" s="5"/>
      <c r="H171" s="5"/>
      <c r="I171" s="5"/>
      <c r="J171" s="5"/>
      <c r="K171" s="5"/>
      <c r="L171" s="5"/>
      <c r="M171" s="5"/>
      <c r="N171" s="5"/>
      <c r="O171" s="5"/>
      <c r="P171" s="5"/>
      <c r="Q171" s="5"/>
      <c r="R171" s="5"/>
      <c r="S171" s="5"/>
      <c r="T171" s="6">
        <f t="shared" si="9"/>
        <v>0</v>
      </c>
      <c r="U171" s="9"/>
      <c r="V171" s="1"/>
      <c r="W171" s="1"/>
      <c r="X171" s="1"/>
      <c r="Y171" s="1"/>
      <c r="Z171" s="1"/>
    </row>
    <row r="172" spans="1:26" ht="39.75" customHeight="1">
      <c r="A172" s="171"/>
      <c r="B172" s="169"/>
      <c r="C172" s="169"/>
      <c r="D172" s="5">
        <v>163</v>
      </c>
      <c r="E172" s="5" t="s">
        <v>309</v>
      </c>
      <c r="F172" s="5"/>
      <c r="G172" s="5"/>
      <c r="H172" s="5"/>
      <c r="I172" s="5"/>
      <c r="J172" s="5"/>
      <c r="K172" s="5"/>
      <c r="L172" s="5"/>
      <c r="M172" s="5"/>
      <c r="N172" s="5"/>
      <c r="O172" s="8">
        <v>2.7</v>
      </c>
      <c r="P172" s="8">
        <v>2.4</v>
      </c>
      <c r="Q172" s="6">
        <v>0.75</v>
      </c>
      <c r="R172" s="5"/>
      <c r="S172" s="5"/>
      <c r="T172" s="6">
        <f t="shared" si="9"/>
        <v>5.85</v>
      </c>
      <c r="U172" s="9" t="s">
        <v>434</v>
      </c>
      <c r="V172" s="1"/>
      <c r="W172" s="1"/>
      <c r="X172" s="1"/>
      <c r="Y172" s="1"/>
      <c r="Z172" s="1"/>
    </row>
    <row r="173" spans="1:26" ht="39.75" customHeight="1">
      <c r="A173" s="171"/>
      <c r="B173" s="168" t="s">
        <v>311</v>
      </c>
      <c r="C173" s="168" t="s">
        <v>312</v>
      </c>
      <c r="D173" s="5">
        <v>164</v>
      </c>
      <c r="E173" s="5" t="s">
        <v>313</v>
      </c>
      <c r="F173" s="5"/>
      <c r="G173" s="8"/>
      <c r="H173" s="8"/>
      <c r="I173" s="5"/>
      <c r="J173" s="5"/>
      <c r="K173" s="5"/>
      <c r="L173" s="5"/>
      <c r="M173" s="5"/>
      <c r="N173" s="5"/>
      <c r="O173" s="5"/>
      <c r="P173" s="5"/>
      <c r="Q173" s="5"/>
      <c r="R173" s="5"/>
      <c r="S173" s="5"/>
      <c r="T173" s="6">
        <f t="shared" si="9"/>
        <v>0</v>
      </c>
      <c r="U173" s="9"/>
      <c r="V173" s="1"/>
      <c r="W173" s="1"/>
      <c r="X173" s="1"/>
      <c r="Y173" s="1"/>
      <c r="Z173" s="1"/>
    </row>
    <row r="174" spans="1:26" ht="39.75" customHeight="1">
      <c r="A174" s="171"/>
      <c r="B174" s="171"/>
      <c r="C174" s="171"/>
      <c r="D174" s="5">
        <v>165</v>
      </c>
      <c r="E174" s="5" t="s">
        <v>314</v>
      </c>
      <c r="F174" s="5"/>
      <c r="G174" s="8"/>
      <c r="H174" s="8"/>
      <c r="I174" s="5"/>
      <c r="J174" s="5"/>
      <c r="K174" s="5"/>
      <c r="L174" s="5"/>
      <c r="M174" s="5"/>
      <c r="N174" s="5"/>
      <c r="O174" s="5"/>
      <c r="P174" s="5"/>
      <c r="Q174" s="5"/>
      <c r="R174" s="5"/>
      <c r="S174" s="5"/>
      <c r="T174" s="6">
        <f t="shared" si="9"/>
        <v>0</v>
      </c>
      <c r="U174" s="9"/>
      <c r="V174" s="1"/>
      <c r="W174" s="1"/>
      <c r="X174" s="1"/>
      <c r="Y174" s="1"/>
      <c r="Z174" s="1"/>
    </row>
    <row r="175" spans="1:26" ht="39.75" customHeight="1">
      <c r="A175" s="171"/>
      <c r="B175" s="171"/>
      <c r="C175" s="171"/>
      <c r="D175" s="5">
        <v>166</v>
      </c>
      <c r="E175" s="5" t="s">
        <v>315</v>
      </c>
      <c r="F175" s="5"/>
      <c r="G175" s="8"/>
      <c r="H175" s="8"/>
      <c r="I175" s="5"/>
      <c r="J175" s="5"/>
      <c r="K175" s="5"/>
      <c r="L175" s="5"/>
      <c r="M175" s="5"/>
      <c r="N175" s="5"/>
      <c r="O175" s="5"/>
      <c r="P175" s="5"/>
      <c r="Q175" s="5"/>
      <c r="R175" s="5"/>
      <c r="S175" s="5"/>
      <c r="T175" s="6">
        <f t="shared" si="9"/>
        <v>0</v>
      </c>
      <c r="U175" s="9"/>
      <c r="V175" s="1"/>
      <c r="W175" s="1"/>
      <c r="X175" s="1"/>
      <c r="Y175" s="1"/>
      <c r="Z175" s="1"/>
    </row>
    <row r="176" spans="1:26" ht="39.75" customHeight="1">
      <c r="A176" s="171"/>
      <c r="B176" s="171"/>
      <c r="C176" s="171"/>
      <c r="D176" s="5">
        <v>167</v>
      </c>
      <c r="E176" s="5" t="s">
        <v>316</v>
      </c>
      <c r="F176" s="5"/>
      <c r="G176" s="8"/>
      <c r="H176" s="8"/>
      <c r="I176" s="5"/>
      <c r="J176" s="5"/>
      <c r="K176" s="5"/>
      <c r="L176" s="5"/>
      <c r="M176" s="5"/>
      <c r="N176" s="5"/>
      <c r="O176" s="5"/>
      <c r="P176" s="5"/>
      <c r="Q176" s="5"/>
      <c r="R176" s="5"/>
      <c r="S176" s="5"/>
      <c r="T176" s="6">
        <f t="shared" si="9"/>
        <v>0</v>
      </c>
      <c r="U176" s="9"/>
      <c r="V176" s="1"/>
      <c r="W176" s="1"/>
      <c r="X176" s="1"/>
      <c r="Y176" s="1"/>
      <c r="Z176" s="1"/>
    </row>
    <row r="177" spans="1:26" ht="39.75" customHeight="1">
      <c r="A177" s="171"/>
      <c r="B177" s="171"/>
      <c r="C177" s="171"/>
      <c r="D177" s="5">
        <v>168</v>
      </c>
      <c r="E177" s="5" t="s">
        <v>317</v>
      </c>
      <c r="F177" s="5"/>
      <c r="G177" s="8"/>
      <c r="H177" s="8"/>
      <c r="I177" s="5"/>
      <c r="J177" s="5"/>
      <c r="K177" s="5"/>
      <c r="L177" s="5"/>
      <c r="M177" s="5"/>
      <c r="N177" s="5"/>
      <c r="O177" s="5"/>
      <c r="P177" s="5"/>
      <c r="Q177" s="5"/>
      <c r="R177" s="5"/>
      <c r="S177" s="5"/>
      <c r="T177" s="6">
        <f t="shared" si="9"/>
        <v>0</v>
      </c>
      <c r="U177" s="9"/>
      <c r="V177" s="1"/>
      <c r="W177" s="1"/>
      <c r="X177" s="1"/>
      <c r="Y177" s="1"/>
      <c r="Z177" s="1"/>
    </row>
    <row r="178" spans="1:26" ht="39.75" customHeight="1">
      <c r="A178" s="171"/>
      <c r="B178" s="171"/>
      <c r="C178" s="171"/>
      <c r="D178" s="5">
        <v>169</v>
      </c>
      <c r="E178" s="5" t="s">
        <v>318</v>
      </c>
      <c r="F178" s="5"/>
      <c r="G178" s="8"/>
      <c r="H178" s="8"/>
      <c r="I178" s="6"/>
      <c r="J178" s="5"/>
      <c r="K178" s="5"/>
      <c r="L178" s="5"/>
      <c r="M178" s="5"/>
      <c r="N178" s="5"/>
      <c r="O178" s="5"/>
      <c r="P178" s="5"/>
      <c r="Q178" s="5"/>
      <c r="R178" s="5"/>
      <c r="S178" s="5"/>
      <c r="T178" s="6">
        <f t="shared" si="9"/>
        <v>0</v>
      </c>
      <c r="U178" s="9"/>
      <c r="V178" s="1"/>
      <c r="W178" s="1"/>
      <c r="X178" s="1"/>
      <c r="Y178" s="1"/>
      <c r="Z178" s="1"/>
    </row>
    <row r="179" spans="1:26" ht="39.75" customHeight="1">
      <c r="A179" s="171"/>
      <c r="B179" s="169"/>
      <c r="C179" s="169"/>
      <c r="D179" s="5">
        <v>170</v>
      </c>
      <c r="E179" s="5" t="s">
        <v>319</v>
      </c>
      <c r="F179" s="5"/>
      <c r="G179" s="5"/>
      <c r="H179" s="5"/>
      <c r="I179" s="5"/>
      <c r="J179" s="5"/>
      <c r="K179" s="5"/>
      <c r="L179" s="5"/>
      <c r="M179" s="5"/>
      <c r="N179" s="5"/>
      <c r="O179" s="5"/>
      <c r="P179" s="5"/>
      <c r="Q179" s="5"/>
      <c r="R179" s="5"/>
      <c r="S179" s="5"/>
      <c r="T179" s="6">
        <f t="shared" si="9"/>
        <v>0</v>
      </c>
      <c r="U179" s="9"/>
      <c r="V179" s="1"/>
      <c r="W179" s="1"/>
      <c r="X179" s="1"/>
      <c r="Y179" s="1"/>
      <c r="Z179" s="1"/>
    </row>
    <row r="180" spans="1:26" ht="39.75" customHeight="1">
      <c r="A180" s="171"/>
      <c r="B180" s="168" t="s">
        <v>320</v>
      </c>
      <c r="C180" s="168" t="s">
        <v>321</v>
      </c>
      <c r="D180" s="5">
        <v>171</v>
      </c>
      <c r="E180" s="5" t="s">
        <v>322</v>
      </c>
      <c r="F180" s="5"/>
      <c r="G180" s="5"/>
      <c r="H180" s="5"/>
      <c r="I180" s="5"/>
      <c r="J180" s="5"/>
      <c r="K180" s="5"/>
      <c r="L180" s="5"/>
      <c r="M180" s="5"/>
      <c r="N180" s="5"/>
      <c r="O180" s="5"/>
      <c r="P180" s="5"/>
      <c r="Q180" s="5"/>
      <c r="R180" s="5"/>
      <c r="S180" s="5"/>
      <c r="T180" s="6">
        <f t="shared" si="9"/>
        <v>0</v>
      </c>
      <c r="U180" s="9"/>
      <c r="V180" s="1"/>
      <c r="W180" s="1"/>
      <c r="X180" s="1"/>
      <c r="Y180" s="1"/>
      <c r="Z180" s="1"/>
    </row>
    <row r="181" spans="1:26" ht="39.75" customHeight="1">
      <c r="A181" s="171"/>
      <c r="B181" s="171"/>
      <c r="C181" s="171"/>
      <c r="D181" s="5">
        <v>172</v>
      </c>
      <c r="E181" s="5" t="s">
        <v>323</v>
      </c>
      <c r="F181" s="5"/>
      <c r="G181" s="5"/>
      <c r="H181" s="5"/>
      <c r="I181" s="5"/>
      <c r="J181" s="5"/>
      <c r="K181" s="5"/>
      <c r="L181" s="5"/>
      <c r="M181" s="5"/>
      <c r="N181" s="5"/>
      <c r="O181" s="5"/>
      <c r="P181" s="6"/>
      <c r="Q181" s="5"/>
      <c r="R181" s="5"/>
      <c r="S181" s="5"/>
      <c r="T181" s="6">
        <f t="shared" si="9"/>
        <v>0</v>
      </c>
      <c r="U181" s="9"/>
      <c r="V181" s="1"/>
      <c r="W181" s="1"/>
      <c r="X181" s="1"/>
      <c r="Y181" s="1"/>
      <c r="Z181" s="1"/>
    </row>
    <row r="182" spans="1:26" ht="39.75" customHeight="1">
      <c r="A182" s="171"/>
      <c r="B182" s="171"/>
      <c r="C182" s="171"/>
      <c r="D182" s="5">
        <v>173</v>
      </c>
      <c r="E182" s="5" t="s">
        <v>324</v>
      </c>
      <c r="F182" s="5"/>
      <c r="G182" s="5"/>
      <c r="H182" s="5"/>
      <c r="I182" s="5"/>
      <c r="J182" s="5"/>
      <c r="K182" s="5"/>
      <c r="L182" s="5"/>
      <c r="M182" s="5"/>
      <c r="N182" s="5"/>
      <c r="O182" s="5"/>
      <c r="P182" s="5"/>
      <c r="Q182" s="5"/>
      <c r="R182" s="5"/>
      <c r="S182" s="5"/>
      <c r="T182" s="6">
        <f t="shared" si="9"/>
        <v>0</v>
      </c>
      <c r="U182" s="9"/>
      <c r="V182" s="1"/>
      <c r="W182" s="1"/>
      <c r="X182" s="1"/>
      <c r="Y182" s="1"/>
      <c r="Z182" s="1"/>
    </row>
    <row r="183" spans="1:26" ht="39.75" customHeight="1">
      <c r="A183" s="171"/>
      <c r="B183" s="169"/>
      <c r="C183" s="169"/>
      <c r="D183" s="5">
        <v>174</v>
      </c>
      <c r="E183" s="5" t="s">
        <v>325</v>
      </c>
      <c r="F183" s="5"/>
      <c r="G183" s="5"/>
      <c r="H183" s="5"/>
      <c r="I183" s="5"/>
      <c r="J183" s="5"/>
      <c r="K183" s="5"/>
      <c r="L183" s="5"/>
      <c r="M183" s="5"/>
      <c r="N183" s="5"/>
      <c r="O183" s="5"/>
      <c r="P183" s="6"/>
      <c r="Q183" s="5"/>
      <c r="R183" s="5"/>
      <c r="S183" s="5"/>
      <c r="T183" s="6">
        <f t="shared" si="9"/>
        <v>0</v>
      </c>
      <c r="U183" s="9"/>
      <c r="V183" s="1"/>
      <c r="W183" s="1"/>
      <c r="X183" s="1"/>
      <c r="Y183" s="1"/>
      <c r="Z183" s="1"/>
    </row>
    <row r="184" spans="1:26" ht="39.75" customHeight="1">
      <c r="A184" s="171"/>
      <c r="B184" s="168" t="s">
        <v>326</v>
      </c>
      <c r="C184" s="168" t="s">
        <v>267</v>
      </c>
      <c r="D184" s="5">
        <v>175</v>
      </c>
      <c r="E184" s="5" t="s">
        <v>268</v>
      </c>
      <c r="F184" s="134"/>
      <c r="G184" s="134"/>
      <c r="H184" s="134"/>
      <c r="I184" s="135">
        <v>12.8</v>
      </c>
      <c r="J184" s="134"/>
      <c r="K184" s="134"/>
      <c r="L184" s="134"/>
      <c r="M184" s="134"/>
      <c r="N184" s="136">
        <f>10.9+1.5</f>
        <v>12.4</v>
      </c>
      <c r="O184" s="134"/>
      <c r="P184" s="135">
        <v>4</v>
      </c>
      <c r="Q184" s="137">
        <v>4.2857000000000003</v>
      </c>
      <c r="R184" s="135">
        <f>0.504+0.252</f>
        <v>0.75600000000000001</v>
      </c>
      <c r="S184" s="135"/>
      <c r="T184" s="136">
        <f t="shared" ref="T184:T186" si="12">SUM(F184:S184)</f>
        <v>34.241700000000002</v>
      </c>
      <c r="U184" s="138" t="s">
        <v>850</v>
      </c>
      <c r="V184" s="1"/>
      <c r="W184" s="1"/>
      <c r="X184" s="1"/>
      <c r="Y184" s="1"/>
      <c r="Z184" s="1"/>
    </row>
    <row r="185" spans="1:26" ht="39.75" customHeight="1">
      <c r="A185" s="171"/>
      <c r="B185" s="171"/>
      <c r="C185" s="171"/>
      <c r="D185" s="5">
        <v>176</v>
      </c>
      <c r="E185" s="5" t="s">
        <v>269</v>
      </c>
      <c r="F185" s="134"/>
      <c r="G185" s="134"/>
      <c r="H185" s="134"/>
      <c r="I185" s="134"/>
      <c r="J185" s="134"/>
      <c r="K185" s="134"/>
      <c r="L185" s="134"/>
      <c r="M185" s="135">
        <v>39.200000000000003</v>
      </c>
      <c r="N185" s="134"/>
      <c r="O185" s="134"/>
      <c r="P185" s="135">
        <v>64.795000000000002</v>
      </c>
      <c r="Q185" s="135">
        <v>7.55</v>
      </c>
      <c r="R185" s="134"/>
      <c r="S185" s="134"/>
      <c r="T185" s="136">
        <f t="shared" si="12"/>
        <v>111.545</v>
      </c>
      <c r="U185" s="138" t="s">
        <v>851</v>
      </c>
      <c r="V185" s="1"/>
      <c r="W185" s="1"/>
      <c r="X185" s="1"/>
      <c r="Y185" s="1"/>
      <c r="Z185" s="1"/>
    </row>
    <row r="186" spans="1:26" ht="39.75" customHeight="1">
      <c r="A186" s="171"/>
      <c r="B186" s="169"/>
      <c r="C186" s="169"/>
      <c r="D186" s="5">
        <v>177</v>
      </c>
      <c r="E186" s="5" t="s">
        <v>270</v>
      </c>
      <c r="F186" s="134"/>
      <c r="G186" s="134"/>
      <c r="H186" s="134"/>
      <c r="I186" s="134"/>
      <c r="J186" s="134"/>
      <c r="K186" s="134"/>
      <c r="L186" s="134"/>
      <c r="M186" s="134"/>
      <c r="N186" s="136">
        <v>1</v>
      </c>
      <c r="O186" s="134"/>
      <c r="P186" s="134"/>
      <c r="Q186" s="134"/>
      <c r="R186" s="134"/>
      <c r="S186" s="134"/>
      <c r="T186" s="136">
        <f t="shared" si="12"/>
        <v>1</v>
      </c>
      <c r="U186" s="138" t="s">
        <v>839</v>
      </c>
      <c r="V186" s="1"/>
      <c r="W186" s="1"/>
      <c r="X186" s="1"/>
      <c r="Y186" s="1"/>
      <c r="Z186" s="1"/>
    </row>
    <row r="187" spans="1:26" ht="39.75" customHeight="1">
      <c r="A187" s="171"/>
      <c r="B187" s="168" t="s">
        <v>327</v>
      </c>
      <c r="C187" s="168" t="s">
        <v>328</v>
      </c>
      <c r="D187" s="5">
        <v>178</v>
      </c>
      <c r="E187" s="5" t="s">
        <v>329</v>
      </c>
      <c r="F187" s="5"/>
      <c r="G187" s="5"/>
      <c r="H187" s="5"/>
      <c r="I187" s="5"/>
      <c r="J187" s="5"/>
      <c r="K187" s="5"/>
      <c r="L187" s="5"/>
      <c r="M187" s="5"/>
      <c r="N187" s="5"/>
      <c r="O187" s="5"/>
      <c r="P187" s="5"/>
      <c r="Q187" s="5"/>
      <c r="R187" s="5"/>
      <c r="S187" s="5"/>
      <c r="T187" s="6">
        <f t="shared" si="9"/>
        <v>0</v>
      </c>
      <c r="U187" s="9"/>
      <c r="V187" s="1"/>
      <c r="W187" s="1"/>
      <c r="X187" s="1"/>
      <c r="Y187" s="1"/>
      <c r="Z187" s="1"/>
    </row>
    <row r="188" spans="1:26" ht="39.75" customHeight="1">
      <c r="A188" s="171"/>
      <c r="B188" s="171"/>
      <c r="C188" s="171"/>
      <c r="D188" s="5">
        <v>179</v>
      </c>
      <c r="E188" s="5" t="s">
        <v>149</v>
      </c>
      <c r="F188" s="5"/>
      <c r="G188" s="5"/>
      <c r="H188" s="5"/>
      <c r="I188" s="5"/>
      <c r="J188" s="5"/>
      <c r="K188" s="5"/>
      <c r="L188" s="5"/>
      <c r="M188" s="5"/>
      <c r="N188" s="5"/>
      <c r="O188" s="5"/>
      <c r="P188" s="5"/>
      <c r="Q188" s="5"/>
      <c r="R188" s="5"/>
      <c r="S188" s="5"/>
      <c r="T188" s="6">
        <f t="shared" si="9"/>
        <v>0</v>
      </c>
      <c r="U188" s="9"/>
      <c r="V188" s="1"/>
      <c r="W188" s="1"/>
      <c r="X188" s="1"/>
      <c r="Y188" s="1"/>
      <c r="Z188" s="1"/>
    </row>
    <row r="189" spans="1:26" ht="39.75" customHeight="1">
      <c r="A189" s="171"/>
      <c r="B189" s="171"/>
      <c r="C189" s="171"/>
      <c r="D189" s="5">
        <v>180</v>
      </c>
      <c r="E189" s="5" t="s">
        <v>330</v>
      </c>
      <c r="F189" s="5"/>
      <c r="G189" s="5"/>
      <c r="H189" s="5"/>
      <c r="I189" s="5"/>
      <c r="J189" s="5"/>
      <c r="K189" s="6"/>
      <c r="L189" s="5"/>
      <c r="M189" s="5"/>
      <c r="N189" s="5"/>
      <c r="O189" s="5"/>
      <c r="P189" s="8"/>
      <c r="Q189" s="5"/>
      <c r="R189" s="5"/>
      <c r="S189" s="5"/>
      <c r="T189" s="6">
        <f t="shared" si="9"/>
        <v>0</v>
      </c>
      <c r="U189" s="9"/>
      <c r="V189" s="1"/>
      <c r="W189" s="1"/>
      <c r="X189" s="1"/>
      <c r="Y189" s="1"/>
      <c r="Z189" s="1"/>
    </row>
    <row r="190" spans="1:26" ht="39.75" customHeight="1">
      <c r="A190" s="171"/>
      <c r="B190" s="171"/>
      <c r="C190" s="171"/>
      <c r="D190" s="5">
        <v>181</v>
      </c>
      <c r="E190" s="5" t="s">
        <v>331</v>
      </c>
      <c r="F190" s="5"/>
      <c r="G190" s="5"/>
      <c r="H190" s="5"/>
      <c r="I190" s="5"/>
      <c r="J190" s="5"/>
      <c r="K190" s="5"/>
      <c r="L190" s="5"/>
      <c r="M190" s="5"/>
      <c r="N190" s="5"/>
      <c r="O190" s="5"/>
      <c r="P190" s="5"/>
      <c r="Q190" s="5"/>
      <c r="R190" s="5"/>
      <c r="S190" s="5"/>
      <c r="T190" s="6">
        <f t="shared" si="9"/>
        <v>0</v>
      </c>
      <c r="U190" s="9"/>
      <c r="V190" s="1"/>
      <c r="W190" s="1"/>
      <c r="X190" s="1"/>
      <c r="Y190" s="1"/>
      <c r="Z190" s="1"/>
    </row>
    <row r="191" spans="1:26" ht="39.75" customHeight="1">
      <c r="A191" s="171"/>
      <c r="B191" s="171"/>
      <c r="C191" s="171"/>
      <c r="D191" s="5">
        <v>182</v>
      </c>
      <c r="E191" s="5" t="s">
        <v>332</v>
      </c>
      <c r="F191" s="5"/>
      <c r="G191" s="5"/>
      <c r="H191" s="5"/>
      <c r="I191" s="5"/>
      <c r="J191" s="5"/>
      <c r="K191" s="5"/>
      <c r="L191" s="5"/>
      <c r="M191" s="5"/>
      <c r="N191" s="5"/>
      <c r="O191" s="5"/>
      <c r="P191" s="6">
        <v>25</v>
      </c>
      <c r="Q191" s="5"/>
      <c r="R191" s="5"/>
      <c r="S191" s="5"/>
      <c r="T191" s="6">
        <f t="shared" si="9"/>
        <v>25</v>
      </c>
      <c r="U191" s="9" t="s">
        <v>333</v>
      </c>
      <c r="V191" s="1"/>
      <c r="W191" s="1"/>
      <c r="X191" s="1"/>
      <c r="Y191" s="1"/>
      <c r="Z191" s="1"/>
    </row>
    <row r="192" spans="1:26" ht="39.75" customHeight="1">
      <c r="A192" s="171"/>
      <c r="B192" s="169"/>
      <c r="C192" s="169"/>
      <c r="D192" s="5">
        <v>183</v>
      </c>
      <c r="E192" s="5" t="s">
        <v>334</v>
      </c>
      <c r="F192" s="5"/>
      <c r="G192" s="5"/>
      <c r="H192" s="5"/>
      <c r="I192" s="5"/>
      <c r="J192" s="5"/>
      <c r="K192" s="5"/>
      <c r="L192" s="5"/>
      <c r="M192" s="5"/>
      <c r="N192" s="5"/>
      <c r="O192" s="5"/>
      <c r="P192" s="8"/>
      <c r="Q192" s="5"/>
      <c r="R192" s="5"/>
      <c r="S192" s="5"/>
      <c r="T192" s="6">
        <f t="shared" si="9"/>
        <v>0</v>
      </c>
      <c r="U192" s="9"/>
      <c r="V192" s="1"/>
      <c r="W192" s="1"/>
      <c r="X192" s="1"/>
      <c r="Y192" s="1"/>
      <c r="Z192" s="1"/>
    </row>
    <row r="193" spans="1:26" ht="39.75" customHeight="1">
      <c r="A193" s="171"/>
      <c r="B193" s="5" t="s">
        <v>335</v>
      </c>
      <c r="C193" s="5" t="s">
        <v>336</v>
      </c>
      <c r="D193" s="5">
        <v>184</v>
      </c>
      <c r="E193" s="5" t="s">
        <v>337</v>
      </c>
      <c r="F193" s="5"/>
      <c r="G193" s="5"/>
      <c r="H193" s="5"/>
      <c r="I193" s="5"/>
      <c r="J193" s="5"/>
      <c r="K193" s="5"/>
      <c r="L193" s="5"/>
      <c r="M193" s="5"/>
      <c r="N193" s="5"/>
      <c r="O193" s="5"/>
      <c r="P193" s="6"/>
      <c r="Q193" s="5"/>
      <c r="R193" s="5"/>
      <c r="S193" s="5"/>
      <c r="T193" s="6">
        <f t="shared" si="9"/>
        <v>0</v>
      </c>
      <c r="U193" s="9"/>
      <c r="V193" s="1"/>
      <c r="W193" s="1"/>
      <c r="X193" s="1"/>
      <c r="Y193" s="1"/>
      <c r="Z193" s="1"/>
    </row>
    <row r="194" spans="1:26" ht="39.75" customHeight="1">
      <c r="A194" s="171"/>
      <c r="B194" s="168" t="s">
        <v>338</v>
      </c>
      <c r="C194" s="168" t="s">
        <v>272</v>
      </c>
      <c r="D194" s="5">
        <v>185</v>
      </c>
      <c r="E194" s="5" t="s">
        <v>273</v>
      </c>
      <c r="F194" s="5"/>
      <c r="G194" s="5"/>
      <c r="H194" s="5"/>
      <c r="I194" s="5"/>
      <c r="J194" s="5"/>
      <c r="K194" s="5"/>
      <c r="L194" s="5"/>
      <c r="M194" s="5"/>
      <c r="N194" s="5"/>
      <c r="O194" s="5"/>
      <c r="P194" s="5"/>
      <c r="Q194" s="5"/>
      <c r="R194" s="5">
        <v>2647.73</v>
      </c>
      <c r="S194" s="5"/>
      <c r="T194" s="6">
        <f t="shared" si="9"/>
        <v>2647.73</v>
      </c>
      <c r="U194" s="9" t="s">
        <v>639</v>
      </c>
      <c r="V194" s="1"/>
      <c r="W194" s="1"/>
      <c r="X194" s="1"/>
      <c r="Y194" s="1"/>
      <c r="Z194" s="1"/>
    </row>
    <row r="195" spans="1:26" ht="39.75" customHeight="1">
      <c r="A195" s="171"/>
      <c r="B195" s="171"/>
      <c r="C195" s="171"/>
      <c r="D195" s="5">
        <v>186</v>
      </c>
      <c r="E195" s="5" t="s">
        <v>274</v>
      </c>
      <c r="F195" s="5"/>
      <c r="G195" s="5"/>
      <c r="H195" s="5"/>
      <c r="I195" s="5"/>
      <c r="J195" s="5"/>
      <c r="K195" s="5"/>
      <c r="L195" s="5"/>
      <c r="M195" s="5"/>
      <c r="N195" s="5"/>
      <c r="O195" s="5"/>
      <c r="P195" s="8">
        <v>0.37</v>
      </c>
      <c r="Q195" s="6"/>
      <c r="R195" s="5"/>
      <c r="S195" s="5"/>
      <c r="T195" s="6">
        <f t="shared" si="9"/>
        <v>0.37</v>
      </c>
      <c r="U195" s="9" t="s">
        <v>637</v>
      </c>
      <c r="V195" s="1"/>
      <c r="W195" s="1"/>
      <c r="X195" s="1"/>
      <c r="Y195" s="1"/>
      <c r="Z195" s="1"/>
    </row>
    <row r="196" spans="1:26" ht="39.75" customHeight="1">
      <c r="A196" s="171"/>
      <c r="B196" s="171"/>
      <c r="C196" s="171"/>
      <c r="D196" s="5">
        <v>187</v>
      </c>
      <c r="E196" s="5" t="s">
        <v>339</v>
      </c>
      <c r="F196" s="5"/>
      <c r="G196" s="5"/>
      <c r="H196" s="5"/>
      <c r="I196" s="5"/>
      <c r="J196" s="5"/>
      <c r="K196" s="5"/>
      <c r="L196" s="5"/>
      <c r="M196" s="5"/>
      <c r="N196" s="5"/>
      <c r="O196" s="5"/>
      <c r="P196" s="5"/>
      <c r="Q196" s="5"/>
      <c r="R196" s="5"/>
      <c r="S196" s="5"/>
      <c r="T196" s="6">
        <f t="shared" si="9"/>
        <v>0</v>
      </c>
      <c r="U196" s="9"/>
      <c r="V196" s="1"/>
      <c r="W196" s="1"/>
      <c r="X196" s="1"/>
      <c r="Y196" s="1"/>
      <c r="Z196" s="1"/>
    </row>
    <row r="197" spans="1:26" ht="39.75" customHeight="1">
      <c r="A197" s="171"/>
      <c r="B197" s="171"/>
      <c r="C197" s="171"/>
      <c r="D197" s="5">
        <v>188</v>
      </c>
      <c r="E197" s="5" t="s">
        <v>275</v>
      </c>
      <c r="F197" s="5"/>
      <c r="G197" s="5"/>
      <c r="H197" s="5"/>
      <c r="I197" s="5"/>
      <c r="J197" s="5"/>
      <c r="K197" s="5"/>
      <c r="L197" s="5"/>
      <c r="M197" s="5"/>
      <c r="N197" s="5"/>
      <c r="O197" s="5"/>
      <c r="P197" s="5"/>
      <c r="Q197" s="5"/>
      <c r="R197" s="5"/>
      <c r="S197" s="5"/>
      <c r="T197" s="6">
        <f t="shared" si="9"/>
        <v>0</v>
      </c>
      <c r="U197" s="9"/>
      <c r="V197" s="1"/>
      <c r="W197" s="1"/>
      <c r="X197" s="1"/>
      <c r="Y197" s="1"/>
      <c r="Z197" s="1"/>
    </row>
    <row r="198" spans="1:26" ht="39.75" customHeight="1">
      <c r="A198" s="171"/>
      <c r="B198" s="171"/>
      <c r="C198" s="171"/>
      <c r="D198" s="5">
        <v>189</v>
      </c>
      <c r="E198" s="5" t="s">
        <v>276</v>
      </c>
      <c r="F198" s="5"/>
      <c r="G198" s="5"/>
      <c r="H198" s="5"/>
      <c r="I198" s="5"/>
      <c r="J198" s="5"/>
      <c r="K198" s="5"/>
      <c r="L198" s="5"/>
      <c r="M198" s="5"/>
      <c r="N198" s="5"/>
      <c r="O198" s="5"/>
      <c r="P198" s="5"/>
      <c r="Q198" s="5"/>
      <c r="R198" s="5"/>
      <c r="S198" s="5"/>
      <c r="T198" s="6">
        <f t="shared" ref="T198:T208" si="13">SUM(F198:S198)</f>
        <v>0</v>
      </c>
      <c r="U198" s="9"/>
      <c r="V198" s="1"/>
      <c r="W198" s="1"/>
      <c r="X198" s="1"/>
      <c r="Y198" s="1"/>
      <c r="Z198" s="1"/>
    </row>
    <row r="199" spans="1:26" ht="39.75" customHeight="1">
      <c r="A199" s="171"/>
      <c r="B199" s="169"/>
      <c r="C199" s="169"/>
      <c r="D199" s="5">
        <v>190</v>
      </c>
      <c r="E199" s="5" t="s">
        <v>340</v>
      </c>
      <c r="F199" s="5"/>
      <c r="G199" s="5"/>
      <c r="H199" s="5"/>
      <c r="I199" s="5"/>
      <c r="J199" s="5"/>
      <c r="K199" s="5"/>
      <c r="L199" s="5"/>
      <c r="M199" s="5"/>
      <c r="N199" s="5"/>
      <c r="O199" s="5"/>
      <c r="P199" s="8"/>
      <c r="Q199" s="5">
        <v>1</v>
      </c>
      <c r="R199" s="5"/>
      <c r="S199" s="5"/>
      <c r="T199" s="6">
        <f t="shared" si="13"/>
        <v>1</v>
      </c>
      <c r="U199" s="9" t="s">
        <v>633</v>
      </c>
      <c r="V199" s="1"/>
      <c r="W199" s="1"/>
      <c r="X199" s="1"/>
      <c r="Y199" s="1"/>
      <c r="Z199" s="1"/>
    </row>
    <row r="200" spans="1:26" ht="39.75" customHeight="1">
      <c r="A200" s="171"/>
      <c r="B200" s="168" t="s">
        <v>341</v>
      </c>
      <c r="C200" s="168" t="s">
        <v>342</v>
      </c>
      <c r="D200" s="5">
        <v>191</v>
      </c>
      <c r="E200" s="5" t="s">
        <v>343</v>
      </c>
      <c r="F200" s="5"/>
      <c r="G200" s="5"/>
      <c r="H200" s="5"/>
      <c r="I200" s="5"/>
      <c r="J200" s="5"/>
      <c r="K200" s="5"/>
      <c r="L200" s="5"/>
      <c r="M200" s="5"/>
      <c r="N200" s="6">
        <v>32.027999999999999</v>
      </c>
      <c r="O200" s="5"/>
      <c r="P200" s="5"/>
      <c r="Q200" s="5"/>
      <c r="R200" s="5"/>
      <c r="S200" s="5"/>
      <c r="T200" s="6">
        <f t="shared" si="13"/>
        <v>32.027999999999999</v>
      </c>
      <c r="U200" s="63" t="s">
        <v>435</v>
      </c>
      <c r="V200" s="30"/>
      <c r="W200" s="1"/>
      <c r="X200" s="1"/>
      <c r="Y200" s="1"/>
      <c r="Z200" s="1"/>
    </row>
    <row r="201" spans="1:26" ht="39.75" customHeight="1">
      <c r="A201" s="171"/>
      <c r="B201" s="169"/>
      <c r="C201" s="169"/>
      <c r="D201" s="5">
        <v>192</v>
      </c>
      <c r="E201" s="5" t="s">
        <v>345</v>
      </c>
      <c r="F201" s="5"/>
      <c r="G201" s="5"/>
      <c r="H201" s="8"/>
      <c r="I201" s="5"/>
      <c r="J201" s="5"/>
      <c r="K201" s="5"/>
      <c r="L201" s="5"/>
      <c r="M201" s="5"/>
      <c r="N201" s="6">
        <v>0.5</v>
      </c>
      <c r="O201" s="5"/>
      <c r="P201" s="6"/>
      <c r="Q201" s="8"/>
      <c r="R201" s="5"/>
      <c r="S201" s="5"/>
      <c r="T201" s="6">
        <f t="shared" si="13"/>
        <v>0.5</v>
      </c>
      <c r="U201" s="61" t="s">
        <v>651</v>
      </c>
      <c r="V201" s="1"/>
      <c r="W201" s="1"/>
      <c r="X201" s="1"/>
      <c r="Y201" s="1"/>
      <c r="Z201" s="1"/>
    </row>
    <row r="202" spans="1:26" ht="39.75" customHeight="1">
      <c r="A202" s="171"/>
      <c r="B202" s="168" t="s">
        <v>346</v>
      </c>
      <c r="C202" s="168" t="s">
        <v>278</v>
      </c>
      <c r="D202" s="5">
        <v>193</v>
      </c>
      <c r="E202" s="5" t="s">
        <v>347</v>
      </c>
      <c r="F202" s="5"/>
      <c r="G202" s="5"/>
      <c r="H202" s="5"/>
      <c r="I202" s="5"/>
      <c r="J202" s="5"/>
      <c r="K202" s="5"/>
      <c r="L202" s="5"/>
      <c r="M202" s="5"/>
      <c r="N202" s="5"/>
      <c r="O202" s="5"/>
      <c r="P202" s="6"/>
      <c r="Q202" s="5"/>
      <c r="R202" s="5"/>
      <c r="S202" s="8"/>
      <c r="T202" s="6">
        <f t="shared" si="13"/>
        <v>0</v>
      </c>
      <c r="U202" s="9"/>
      <c r="V202" s="1"/>
      <c r="W202" s="1"/>
      <c r="X202" s="1"/>
      <c r="Y202" s="1"/>
      <c r="Z202" s="1"/>
    </row>
    <row r="203" spans="1:26" ht="39.75" customHeight="1">
      <c r="A203" s="171"/>
      <c r="B203" s="169"/>
      <c r="C203" s="169"/>
      <c r="D203" s="5">
        <v>194</v>
      </c>
      <c r="E203" s="5" t="s">
        <v>279</v>
      </c>
      <c r="F203" s="5"/>
      <c r="G203" s="5"/>
      <c r="H203" s="5"/>
      <c r="I203" s="5"/>
      <c r="J203" s="5"/>
      <c r="K203" s="5"/>
      <c r="L203" s="5"/>
      <c r="M203" s="5"/>
      <c r="N203" s="6"/>
      <c r="O203" s="5"/>
      <c r="P203" s="5"/>
      <c r="Q203" s="6"/>
      <c r="R203" s="6">
        <v>51.65</v>
      </c>
      <c r="S203" s="5"/>
      <c r="T203" s="6">
        <f t="shared" si="13"/>
        <v>51.65</v>
      </c>
      <c r="U203" s="9" t="s">
        <v>629</v>
      </c>
      <c r="V203" s="1"/>
      <c r="W203" s="1"/>
      <c r="X203" s="1"/>
      <c r="Y203" s="1"/>
      <c r="Z203" s="1"/>
    </row>
    <row r="204" spans="1:26" ht="39.75" customHeight="1">
      <c r="A204" s="171"/>
      <c r="B204" s="168" t="s">
        <v>348</v>
      </c>
      <c r="C204" s="168" t="s">
        <v>349</v>
      </c>
      <c r="D204" s="5">
        <v>195</v>
      </c>
      <c r="E204" s="5" t="s">
        <v>350</v>
      </c>
      <c r="F204" s="5"/>
      <c r="G204" s="5"/>
      <c r="H204" s="5"/>
      <c r="I204" s="5"/>
      <c r="J204" s="5"/>
      <c r="K204" s="5"/>
      <c r="L204" s="5"/>
      <c r="M204" s="5"/>
      <c r="N204" s="5"/>
      <c r="O204" s="5"/>
      <c r="P204" s="6">
        <v>1.75</v>
      </c>
      <c r="Q204" s="8">
        <v>1.38</v>
      </c>
      <c r="R204" s="6">
        <v>2.4</v>
      </c>
      <c r="S204" s="5"/>
      <c r="T204" s="6">
        <f t="shared" si="13"/>
        <v>5.5299999999999994</v>
      </c>
      <c r="U204" s="61" t="s">
        <v>351</v>
      </c>
      <c r="V204" s="1"/>
      <c r="W204" s="1"/>
      <c r="X204" s="1"/>
      <c r="Y204" s="1"/>
      <c r="Z204" s="1"/>
    </row>
    <row r="205" spans="1:26" ht="39.75" customHeight="1">
      <c r="A205" s="171"/>
      <c r="B205" s="171"/>
      <c r="C205" s="171"/>
      <c r="D205" s="5">
        <v>196</v>
      </c>
      <c r="E205" s="5" t="s">
        <v>352</v>
      </c>
      <c r="F205" s="5"/>
      <c r="G205" s="5"/>
      <c r="H205" s="5"/>
      <c r="I205" s="5"/>
      <c r="J205" s="5"/>
      <c r="K205" s="5"/>
      <c r="L205" s="5"/>
      <c r="M205" s="5"/>
      <c r="N205" s="5"/>
      <c r="O205" s="5"/>
      <c r="P205" s="5"/>
      <c r="Q205" s="5"/>
      <c r="R205" s="5"/>
      <c r="S205" s="5"/>
      <c r="T205" s="6">
        <f t="shared" si="13"/>
        <v>0</v>
      </c>
      <c r="U205" s="9"/>
      <c r="V205" s="1"/>
      <c r="W205" s="1"/>
      <c r="X205" s="1"/>
      <c r="Y205" s="1"/>
      <c r="Z205" s="1"/>
    </row>
    <row r="206" spans="1:26" ht="39.75" customHeight="1">
      <c r="A206" s="171"/>
      <c r="B206" s="169"/>
      <c r="C206" s="169"/>
      <c r="D206" s="5">
        <v>197</v>
      </c>
      <c r="E206" s="5" t="s">
        <v>353</v>
      </c>
      <c r="F206" s="5"/>
      <c r="G206" s="5"/>
      <c r="H206" s="5"/>
      <c r="I206" s="5"/>
      <c r="J206" s="5"/>
      <c r="K206" s="5"/>
      <c r="L206" s="5"/>
      <c r="M206" s="5"/>
      <c r="N206" s="5"/>
      <c r="O206" s="5"/>
      <c r="P206" s="6"/>
      <c r="Q206" s="5"/>
      <c r="R206" s="5"/>
      <c r="S206" s="5"/>
      <c r="T206" s="6">
        <f t="shared" si="13"/>
        <v>0</v>
      </c>
      <c r="U206" s="9"/>
      <c r="V206" s="1"/>
      <c r="W206" s="1"/>
      <c r="X206" s="1"/>
      <c r="Y206" s="1"/>
      <c r="Z206" s="1"/>
    </row>
    <row r="207" spans="1:26" ht="39.75" customHeight="1">
      <c r="A207" s="171"/>
      <c r="B207" s="5" t="s">
        <v>354</v>
      </c>
      <c r="C207" s="5" t="s">
        <v>284</v>
      </c>
      <c r="D207" s="5">
        <v>198</v>
      </c>
      <c r="E207" s="5" t="s">
        <v>285</v>
      </c>
      <c r="F207" s="5"/>
      <c r="G207" s="5"/>
      <c r="H207" s="5"/>
      <c r="I207" s="5"/>
      <c r="J207" s="5"/>
      <c r="K207" s="5"/>
      <c r="L207" s="5"/>
      <c r="M207" s="5"/>
      <c r="N207" s="5"/>
      <c r="O207" s="5"/>
      <c r="P207" s="5"/>
      <c r="Q207" s="5"/>
      <c r="R207" s="5"/>
      <c r="S207" s="5"/>
      <c r="T207" s="6">
        <f t="shared" si="13"/>
        <v>0</v>
      </c>
      <c r="U207" s="9"/>
      <c r="V207" s="1"/>
      <c r="W207" s="1"/>
      <c r="X207" s="1"/>
      <c r="Y207" s="1"/>
      <c r="Z207" s="1"/>
    </row>
    <row r="208" spans="1:26" ht="39.75" customHeight="1">
      <c r="A208" s="171"/>
      <c r="B208" s="5" t="s">
        <v>355</v>
      </c>
      <c r="C208" s="5" t="s">
        <v>287</v>
      </c>
      <c r="D208" s="5">
        <v>199</v>
      </c>
      <c r="E208" s="5" t="s">
        <v>288</v>
      </c>
      <c r="F208" s="24"/>
      <c r="G208" s="24"/>
      <c r="H208" s="24"/>
      <c r="I208" s="24"/>
      <c r="J208" s="24"/>
      <c r="K208" s="24"/>
      <c r="L208" s="24"/>
      <c r="M208" s="24"/>
      <c r="N208" s="24"/>
      <c r="O208" s="24"/>
      <c r="P208" s="24">
        <v>259.05</v>
      </c>
      <c r="Q208" s="24"/>
      <c r="R208" s="24"/>
      <c r="S208" s="24"/>
      <c r="T208" s="6">
        <f t="shared" si="13"/>
        <v>259.05</v>
      </c>
      <c r="U208" s="76" t="s">
        <v>631</v>
      </c>
      <c r="V208" s="1"/>
      <c r="W208" s="1"/>
      <c r="X208" s="1"/>
      <c r="Y208" s="1"/>
      <c r="Z208" s="1"/>
    </row>
    <row r="209" spans="1:26" ht="39.75" customHeight="1">
      <c r="A209" s="169"/>
      <c r="B209" s="176" t="s">
        <v>356</v>
      </c>
      <c r="C209" s="183"/>
      <c r="D209" s="184"/>
      <c r="E209" s="51"/>
      <c r="F209" s="51">
        <f t="shared" ref="F209:T209" si="14">SUM(F159:F208)</f>
        <v>0</v>
      </c>
      <c r="G209" s="56">
        <f t="shared" si="14"/>
        <v>420</v>
      </c>
      <c r="H209" s="56">
        <f t="shared" si="14"/>
        <v>560</v>
      </c>
      <c r="I209" s="52">
        <f t="shared" si="14"/>
        <v>12.8</v>
      </c>
      <c r="J209" s="51">
        <f t="shared" si="14"/>
        <v>0</v>
      </c>
      <c r="K209" s="51">
        <f t="shared" si="14"/>
        <v>0</v>
      </c>
      <c r="L209" s="51">
        <f t="shared" si="14"/>
        <v>0</v>
      </c>
      <c r="M209" s="51">
        <f t="shared" si="14"/>
        <v>39.200000000000003</v>
      </c>
      <c r="N209" s="52">
        <f t="shared" si="14"/>
        <v>84.238</v>
      </c>
      <c r="O209" s="56">
        <f t="shared" si="14"/>
        <v>618.61</v>
      </c>
      <c r="P209" s="56">
        <f t="shared" si="14"/>
        <v>436.125</v>
      </c>
      <c r="Q209" s="51">
        <f t="shared" si="14"/>
        <v>17.2957</v>
      </c>
      <c r="R209" s="51">
        <f t="shared" si="14"/>
        <v>2708.5360000000001</v>
      </c>
      <c r="S209" s="51">
        <f t="shared" si="14"/>
        <v>0</v>
      </c>
      <c r="T209" s="52">
        <f t="shared" si="14"/>
        <v>4896.8046999999997</v>
      </c>
      <c r="U209" s="9"/>
      <c r="V209" s="1"/>
      <c r="W209" s="1"/>
      <c r="X209" s="1"/>
      <c r="Y209" s="1"/>
      <c r="Z209" s="1"/>
    </row>
    <row r="210" spans="1:26" ht="39.75" customHeight="1">
      <c r="A210" s="180" t="s">
        <v>357</v>
      </c>
      <c r="B210" s="181"/>
      <c r="C210" s="181"/>
      <c r="D210" s="182"/>
      <c r="E210" s="64"/>
      <c r="F210" s="65">
        <f t="shared" ref="F210:T210" si="15">F209+F158+F134+F93+F68</f>
        <v>147.01</v>
      </c>
      <c r="G210" s="66">
        <f t="shared" si="15"/>
        <v>420</v>
      </c>
      <c r="H210" s="66">
        <f t="shared" si="15"/>
        <v>570</v>
      </c>
      <c r="I210" s="67">
        <f t="shared" si="15"/>
        <v>49.624000000000002</v>
      </c>
      <c r="J210" s="65">
        <f t="shared" si="15"/>
        <v>0</v>
      </c>
      <c r="K210" s="67">
        <f t="shared" si="15"/>
        <v>99.139999999999986</v>
      </c>
      <c r="L210" s="65">
        <f t="shared" si="15"/>
        <v>0</v>
      </c>
      <c r="M210" s="66">
        <f t="shared" si="15"/>
        <v>112.8</v>
      </c>
      <c r="N210" s="67">
        <f t="shared" si="15"/>
        <v>165.57454999999999</v>
      </c>
      <c r="O210" s="66">
        <f t="shared" si="15"/>
        <v>925.14200000000005</v>
      </c>
      <c r="P210" s="66">
        <f t="shared" si="15"/>
        <v>1298.0172999999998</v>
      </c>
      <c r="Q210" s="65">
        <f t="shared" si="15"/>
        <v>121.2997</v>
      </c>
      <c r="R210" s="66">
        <f t="shared" si="15"/>
        <v>3557.3249999999998</v>
      </c>
      <c r="S210" s="66">
        <f t="shared" si="15"/>
        <v>10.15</v>
      </c>
      <c r="T210" s="67">
        <f t="shared" si="15"/>
        <v>7476.0825500000001</v>
      </c>
      <c r="U210" s="9"/>
      <c r="V210" s="1"/>
      <c r="W210" s="1"/>
      <c r="X210" s="1"/>
      <c r="Y210" s="1"/>
      <c r="Z210" s="1"/>
    </row>
    <row r="211" spans="1:26" ht="24.75" customHeight="1">
      <c r="A211" s="1"/>
      <c r="B211" s="1"/>
      <c r="C211" s="1"/>
      <c r="D211" s="1"/>
      <c r="E211" s="1"/>
      <c r="F211" s="1"/>
      <c r="G211" s="1"/>
      <c r="H211" s="1"/>
      <c r="I211" s="1"/>
      <c r="J211" s="1"/>
      <c r="K211" s="1"/>
      <c r="L211" s="1"/>
      <c r="M211" s="1"/>
      <c r="N211" s="1"/>
      <c r="O211" s="1"/>
      <c r="P211" s="1"/>
      <c r="Q211" s="1"/>
      <c r="R211" s="1"/>
      <c r="S211" s="1"/>
      <c r="T211" s="32"/>
      <c r="U211" s="2"/>
      <c r="V211" s="1"/>
      <c r="W211" s="1"/>
      <c r="X211" s="1"/>
      <c r="Y211" s="1"/>
      <c r="Z211" s="1"/>
    </row>
    <row r="212" spans="1:26" ht="24.75" customHeight="1">
      <c r="A212" s="1"/>
      <c r="B212" s="1"/>
      <c r="C212" s="1"/>
      <c r="D212" s="1"/>
      <c r="E212" s="1"/>
      <c r="F212" s="1"/>
      <c r="G212" s="1"/>
      <c r="H212" s="1"/>
      <c r="I212" s="1"/>
      <c r="J212" s="1"/>
      <c r="K212" s="1"/>
      <c r="L212" s="1"/>
      <c r="M212" s="1"/>
      <c r="N212" s="1"/>
      <c r="O212" s="1"/>
      <c r="P212" s="1"/>
      <c r="Q212" s="1"/>
      <c r="R212" s="1"/>
      <c r="S212" s="1"/>
      <c r="T212" s="1"/>
      <c r="U212" s="2"/>
      <c r="V212" s="1"/>
      <c r="W212" s="1"/>
      <c r="X212" s="1"/>
      <c r="Y212" s="1"/>
      <c r="Z212" s="1"/>
    </row>
    <row r="213" spans="1:26" ht="24.75" customHeight="1">
      <c r="A213" s="1"/>
      <c r="B213" s="1"/>
      <c r="C213" s="1"/>
      <c r="D213" s="1"/>
      <c r="E213" s="1"/>
      <c r="F213" s="1"/>
      <c r="G213" s="1"/>
      <c r="H213" s="1"/>
      <c r="I213" s="1"/>
      <c r="J213" s="1"/>
      <c r="K213" s="1"/>
      <c r="L213" s="1"/>
      <c r="M213" s="1"/>
      <c r="N213" s="1"/>
      <c r="O213" s="1"/>
      <c r="P213" s="1"/>
      <c r="Q213" s="1"/>
      <c r="R213" s="1"/>
      <c r="S213" s="1"/>
      <c r="T213" s="1"/>
      <c r="U213" s="2"/>
      <c r="V213" s="1"/>
      <c r="W213" s="1"/>
      <c r="X213" s="1"/>
      <c r="Y213" s="1"/>
      <c r="Z213" s="1"/>
    </row>
    <row r="214" spans="1:26" ht="24.75" customHeight="1">
      <c r="A214" s="1"/>
      <c r="B214" s="1"/>
      <c r="C214" s="1"/>
      <c r="D214" s="1"/>
      <c r="E214" s="1"/>
      <c r="F214" s="1"/>
      <c r="G214" s="1"/>
      <c r="H214" s="1"/>
      <c r="I214" s="1"/>
      <c r="J214" s="1"/>
      <c r="K214" s="1"/>
      <c r="L214" s="1"/>
      <c r="M214" s="1"/>
      <c r="N214" s="1"/>
      <c r="O214" s="1"/>
      <c r="P214" s="1"/>
      <c r="Q214" s="1"/>
      <c r="R214" s="1"/>
      <c r="S214" s="1"/>
      <c r="T214" s="1"/>
      <c r="U214" s="2"/>
      <c r="V214" s="1"/>
      <c r="W214" s="1"/>
      <c r="X214" s="1"/>
      <c r="Y214" s="1"/>
      <c r="Z214" s="1"/>
    </row>
    <row r="215" spans="1:26" ht="24.75" customHeight="1">
      <c r="A215" s="1"/>
      <c r="B215" s="1"/>
      <c r="C215" s="1"/>
      <c r="D215" s="1"/>
      <c r="E215" s="1"/>
      <c r="F215" s="1"/>
      <c r="G215" s="1"/>
      <c r="H215" s="1"/>
      <c r="I215" s="1"/>
      <c r="J215" s="1"/>
      <c r="K215" s="1"/>
      <c r="L215" s="1"/>
      <c r="M215" s="1"/>
      <c r="N215" s="1"/>
      <c r="O215" s="1"/>
      <c r="P215" s="1"/>
      <c r="Q215" s="1"/>
      <c r="R215" s="1"/>
      <c r="S215" s="1"/>
      <c r="T215" s="1"/>
      <c r="U215" s="2"/>
      <c r="V215" s="1"/>
      <c r="W215" s="1"/>
      <c r="X215" s="1"/>
      <c r="Y215" s="1"/>
      <c r="Z215" s="1"/>
    </row>
    <row r="216" spans="1:26" ht="24.75" customHeight="1">
      <c r="A216" s="1"/>
      <c r="B216" s="1"/>
      <c r="C216" s="1"/>
      <c r="D216" s="1"/>
      <c r="E216" s="1"/>
      <c r="F216" s="1"/>
      <c r="G216" s="1"/>
      <c r="H216" s="1"/>
      <c r="I216" s="1"/>
      <c r="J216" s="1"/>
      <c r="K216" s="1"/>
      <c r="L216" s="1"/>
      <c r="M216" s="1"/>
      <c r="N216" s="1"/>
      <c r="O216" s="1"/>
      <c r="P216" s="1"/>
      <c r="Q216" s="1"/>
      <c r="R216" s="1"/>
      <c r="S216" s="1"/>
      <c r="T216" s="1"/>
      <c r="U216" s="2"/>
      <c r="V216" s="1"/>
      <c r="W216" s="1"/>
      <c r="X216" s="1"/>
      <c r="Y216" s="1"/>
      <c r="Z216" s="1"/>
    </row>
    <row r="217" spans="1:26" ht="24.75" customHeight="1">
      <c r="A217" s="1"/>
      <c r="B217" s="1"/>
      <c r="C217" s="1"/>
      <c r="D217" s="1"/>
      <c r="E217" s="1"/>
      <c r="F217" s="1"/>
      <c r="G217" s="1"/>
      <c r="H217" s="1"/>
      <c r="I217" s="1"/>
      <c r="J217" s="1"/>
      <c r="K217" s="1"/>
      <c r="L217" s="1"/>
      <c r="M217" s="1"/>
      <c r="N217" s="1"/>
      <c r="O217" s="1"/>
      <c r="P217" s="1"/>
      <c r="Q217" s="1"/>
      <c r="R217" s="1"/>
      <c r="S217" s="1"/>
      <c r="T217" s="1"/>
      <c r="U217" s="2"/>
      <c r="V217" s="1"/>
      <c r="W217" s="1"/>
      <c r="X217" s="1"/>
      <c r="Y217" s="1"/>
      <c r="Z217" s="1"/>
    </row>
    <row r="218" spans="1:26" ht="24.75" customHeight="1">
      <c r="A218" s="1"/>
      <c r="B218" s="1"/>
      <c r="C218" s="1"/>
      <c r="D218" s="1"/>
      <c r="E218" s="1"/>
      <c r="F218" s="1"/>
      <c r="G218" s="1"/>
      <c r="H218" s="1"/>
      <c r="I218" s="1"/>
      <c r="J218" s="1"/>
      <c r="K218" s="1"/>
      <c r="L218" s="1"/>
      <c r="M218" s="1"/>
      <c r="N218" s="1"/>
      <c r="O218" s="1"/>
      <c r="P218" s="1"/>
      <c r="Q218" s="1"/>
      <c r="R218" s="1"/>
      <c r="S218" s="1"/>
      <c r="T218" s="1"/>
      <c r="U218" s="2"/>
      <c r="V218" s="1"/>
      <c r="W218" s="1"/>
      <c r="X218" s="1"/>
      <c r="Y218" s="1"/>
      <c r="Z218" s="1"/>
    </row>
    <row r="219" spans="1:26" ht="24.75" customHeight="1">
      <c r="A219" s="1"/>
      <c r="B219" s="1"/>
      <c r="C219" s="1"/>
      <c r="D219" s="1"/>
      <c r="E219" s="1"/>
      <c r="F219" s="1"/>
      <c r="G219" s="1"/>
      <c r="H219" s="1"/>
      <c r="I219" s="1"/>
      <c r="J219" s="1"/>
      <c r="K219" s="1"/>
      <c r="L219" s="1"/>
      <c r="M219" s="1"/>
      <c r="N219" s="1"/>
      <c r="O219" s="1"/>
      <c r="P219" s="1"/>
      <c r="Q219" s="1"/>
      <c r="R219" s="1"/>
      <c r="S219" s="1"/>
      <c r="T219" s="1"/>
      <c r="U219" s="2"/>
      <c r="V219" s="1"/>
      <c r="W219" s="1"/>
      <c r="X219" s="1"/>
      <c r="Y219" s="1"/>
      <c r="Z219" s="1"/>
    </row>
    <row r="220" spans="1:26" ht="24.75" customHeight="1">
      <c r="A220" s="1"/>
      <c r="B220" s="1"/>
      <c r="C220" s="1"/>
      <c r="D220" s="1"/>
      <c r="E220" s="1"/>
      <c r="F220" s="1"/>
      <c r="G220" s="1"/>
      <c r="H220" s="1"/>
      <c r="I220" s="1"/>
      <c r="J220" s="1"/>
      <c r="K220" s="1"/>
      <c r="L220" s="1"/>
      <c r="M220" s="1"/>
      <c r="N220" s="1"/>
      <c r="O220" s="1"/>
      <c r="P220" s="1"/>
      <c r="Q220" s="1"/>
      <c r="R220" s="1"/>
      <c r="S220" s="1"/>
      <c r="T220" s="1"/>
      <c r="U220" s="2"/>
      <c r="V220" s="1"/>
      <c r="W220" s="1"/>
      <c r="X220" s="1"/>
      <c r="Y220" s="1"/>
      <c r="Z220" s="1"/>
    </row>
    <row r="221" spans="1:26" ht="24.75" customHeight="1">
      <c r="A221" s="1"/>
      <c r="B221" s="1"/>
      <c r="C221" s="1"/>
      <c r="D221" s="1"/>
      <c r="E221" s="1"/>
      <c r="F221" s="1"/>
      <c r="G221" s="1"/>
      <c r="H221" s="1"/>
      <c r="I221" s="1"/>
      <c r="J221" s="1"/>
      <c r="K221" s="1"/>
      <c r="L221" s="1"/>
      <c r="M221" s="1"/>
      <c r="N221" s="1"/>
      <c r="O221" s="1"/>
      <c r="P221" s="1"/>
      <c r="Q221" s="1"/>
      <c r="R221" s="1"/>
      <c r="S221" s="1"/>
      <c r="T221" s="1"/>
      <c r="U221" s="2"/>
      <c r="V221" s="1"/>
      <c r="W221" s="1"/>
      <c r="X221" s="1"/>
      <c r="Y221" s="1"/>
      <c r="Z221" s="1"/>
    </row>
    <row r="222" spans="1:26" ht="24.75" customHeight="1">
      <c r="A222" s="1"/>
      <c r="B222" s="1"/>
      <c r="C222" s="1"/>
      <c r="D222" s="1"/>
      <c r="E222" s="1"/>
      <c r="F222" s="1"/>
      <c r="G222" s="1"/>
      <c r="H222" s="1"/>
      <c r="I222" s="1"/>
      <c r="J222" s="1"/>
      <c r="K222" s="1"/>
      <c r="L222" s="1"/>
      <c r="M222" s="1"/>
      <c r="N222" s="1"/>
      <c r="O222" s="1"/>
      <c r="P222" s="1"/>
      <c r="Q222" s="1"/>
      <c r="R222" s="1"/>
      <c r="S222" s="1"/>
      <c r="T222" s="1"/>
      <c r="U222" s="2"/>
      <c r="V222" s="1"/>
      <c r="W222" s="1"/>
      <c r="X222" s="1"/>
      <c r="Y222" s="1"/>
      <c r="Z222" s="1"/>
    </row>
    <row r="223" spans="1:26" ht="24.75" customHeight="1">
      <c r="A223" s="1"/>
      <c r="B223" s="1"/>
      <c r="C223" s="1"/>
      <c r="D223" s="1"/>
      <c r="E223" s="1"/>
      <c r="F223" s="1"/>
      <c r="G223" s="1"/>
      <c r="H223" s="1"/>
      <c r="I223" s="1"/>
      <c r="J223" s="1"/>
      <c r="K223" s="1"/>
      <c r="L223" s="1"/>
      <c r="M223" s="1"/>
      <c r="N223" s="1"/>
      <c r="O223" s="1"/>
      <c r="P223" s="1"/>
      <c r="Q223" s="1"/>
      <c r="R223" s="1"/>
      <c r="S223" s="1"/>
      <c r="T223" s="1"/>
      <c r="U223" s="2"/>
      <c r="V223" s="1"/>
      <c r="W223" s="1"/>
      <c r="X223" s="1"/>
      <c r="Y223" s="1"/>
      <c r="Z223" s="1"/>
    </row>
    <row r="224" spans="1:26" ht="24.75" customHeight="1">
      <c r="A224" s="1"/>
      <c r="B224" s="1"/>
      <c r="C224" s="1"/>
      <c r="D224" s="1"/>
      <c r="E224" s="1"/>
      <c r="F224" s="1"/>
      <c r="G224" s="1"/>
      <c r="H224" s="1"/>
      <c r="I224" s="1"/>
      <c r="J224" s="1"/>
      <c r="K224" s="1"/>
      <c r="L224" s="1"/>
      <c r="M224" s="1"/>
      <c r="N224" s="1"/>
      <c r="O224" s="1"/>
      <c r="P224" s="1"/>
      <c r="Q224" s="1"/>
      <c r="R224" s="1"/>
      <c r="S224" s="1"/>
      <c r="T224" s="1"/>
      <c r="U224" s="2"/>
      <c r="V224" s="1"/>
      <c r="W224" s="1"/>
      <c r="X224" s="1"/>
      <c r="Y224" s="1"/>
      <c r="Z224" s="1"/>
    </row>
    <row r="225" spans="1:26" ht="24.75" customHeight="1">
      <c r="A225" s="1"/>
      <c r="B225" s="1"/>
      <c r="C225" s="1"/>
      <c r="D225" s="1"/>
      <c r="E225" s="1"/>
      <c r="F225" s="1"/>
      <c r="G225" s="1"/>
      <c r="H225" s="1"/>
      <c r="I225" s="1"/>
      <c r="J225" s="1"/>
      <c r="K225" s="1"/>
      <c r="L225" s="1"/>
      <c r="M225" s="1"/>
      <c r="N225" s="1"/>
      <c r="O225" s="1"/>
      <c r="P225" s="1"/>
      <c r="Q225" s="1"/>
      <c r="R225" s="1"/>
      <c r="S225" s="1"/>
      <c r="T225" s="1"/>
      <c r="U225" s="2"/>
      <c r="V225" s="1"/>
      <c r="W225" s="1"/>
      <c r="X225" s="1"/>
      <c r="Y225" s="1"/>
      <c r="Z225" s="1"/>
    </row>
    <row r="226" spans="1:26" ht="24.75" customHeight="1">
      <c r="A226" s="1"/>
      <c r="B226" s="1"/>
      <c r="C226" s="1"/>
      <c r="D226" s="1"/>
      <c r="E226" s="1"/>
      <c r="F226" s="1"/>
      <c r="G226" s="1"/>
      <c r="H226" s="1"/>
      <c r="I226" s="1"/>
      <c r="J226" s="1"/>
      <c r="K226" s="1"/>
      <c r="L226" s="1"/>
      <c r="M226" s="1"/>
      <c r="N226" s="1"/>
      <c r="O226" s="1"/>
      <c r="P226" s="1"/>
      <c r="Q226" s="1"/>
      <c r="R226" s="1"/>
      <c r="S226" s="1"/>
      <c r="T226" s="1"/>
      <c r="U226" s="2"/>
      <c r="V226" s="1"/>
      <c r="W226" s="1"/>
      <c r="X226" s="1"/>
      <c r="Y226" s="1"/>
      <c r="Z226" s="1"/>
    </row>
    <row r="227" spans="1:26" ht="24.75" customHeight="1">
      <c r="A227" s="1"/>
      <c r="B227" s="1"/>
      <c r="C227" s="1"/>
      <c r="D227" s="1"/>
      <c r="E227" s="1"/>
      <c r="F227" s="1"/>
      <c r="G227" s="1"/>
      <c r="H227" s="1"/>
      <c r="I227" s="1"/>
      <c r="J227" s="1"/>
      <c r="K227" s="1"/>
      <c r="L227" s="1"/>
      <c r="M227" s="1"/>
      <c r="N227" s="1"/>
      <c r="O227" s="1"/>
      <c r="P227" s="1"/>
      <c r="Q227" s="1"/>
      <c r="R227" s="1"/>
      <c r="S227" s="1"/>
      <c r="T227" s="1"/>
      <c r="U227" s="2"/>
      <c r="V227" s="1"/>
      <c r="W227" s="1"/>
      <c r="X227" s="1"/>
      <c r="Y227" s="1"/>
      <c r="Z227" s="1"/>
    </row>
    <row r="228" spans="1:26" ht="24.75" customHeight="1">
      <c r="A228" s="1"/>
      <c r="B228" s="1"/>
      <c r="C228" s="1"/>
      <c r="D228" s="1"/>
      <c r="E228" s="1"/>
      <c r="F228" s="1"/>
      <c r="G228" s="1"/>
      <c r="H228" s="1"/>
      <c r="I228" s="1"/>
      <c r="J228" s="1"/>
      <c r="K228" s="1"/>
      <c r="L228" s="1"/>
      <c r="M228" s="1"/>
      <c r="N228" s="1"/>
      <c r="O228" s="1"/>
      <c r="P228" s="1"/>
      <c r="Q228" s="1"/>
      <c r="R228" s="1"/>
      <c r="S228" s="1"/>
      <c r="T228" s="1"/>
      <c r="U228" s="2"/>
      <c r="V228" s="1"/>
      <c r="W228" s="1"/>
      <c r="X228" s="1"/>
      <c r="Y228" s="1"/>
      <c r="Z228" s="1"/>
    </row>
    <row r="229" spans="1:26" ht="24.75" customHeight="1">
      <c r="A229" s="1"/>
      <c r="B229" s="1"/>
      <c r="C229" s="1"/>
      <c r="D229" s="1"/>
      <c r="E229" s="1"/>
      <c r="F229" s="1"/>
      <c r="G229" s="1"/>
      <c r="H229" s="1"/>
      <c r="I229" s="1"/>
      <c r="J229" s="1"/>
      <c r="K229" s="1"/>
      <c r="L229" s="1"/>
      <c r="M229" s="1"/>
      <c r="N229" s="1"/>
      <c r="O229" s="1"/>
      <c r="P229" s="1"/>
      <c r="Q229" s="1"/>
      <c r="R229" s="1"/>
      <c r="S229" s="1"/>
      <c r="T229" s="1"/>
      <c r="U229" s="2"/>
      <c r="V229" s="1"/>
      <c r="W229" s="1"/>
      <c r="X229" s="1"/>
      <c r="Y229" s="1"/>
      <c r="Z229" s="1"/>
    </row>
    <row r="230" spans="1:26" ht="24.75" customHeight="1">
      <c r="A230" s="1"/>
      <c r="B230" s="1"/>
      <c r="C230" s="1"/>
      <c r="D230" s="1"/>
      <c r="E230" s="1"/>
      <c r="F230" s="1"/>
      <c r="G230" s="1"/>
      <c r="H230" s="1"/>
      <c r="I230" s="1"/>
      <c r="J230" s="1"/>
      <c r="K230" s="1"/>
      <c r="L230" s="1"/>
      <c r="M230" s="1"/>
      <c r="N230" s="1"/>
      <c r="O230" s="1"/>
      <c r="P230" s="1"/>
      <c r="Q230" s="1"/>
      <c r="R230" s="1"/>
      <c r="S230" s="1"/>
      <c r="T230" s="1"/>
      <c r="U230" s="2"/>
      <c r="V230" s="1"/>
      <c r="W230" s="1"/>
      <c r="X230" s="1"/>
      <c r="Y230" s="1"/>
      <c r="Z230" s="1"/>
    </row>
    <row r="231" spans="1:26" ht="24.75" customHeight="1">
      <c r="A231" s="1"/>
      <c r="B231" s="1"/>
      <c r="C231" s="1"/>
      <c r="D231" s="1"/>
      <c r="E231" s="1"/>
      <c r="F231" s="1"/>
      <c r="G231" s="1"/>
      <c r="H231" s="1"/>
      <c r="I231" s="1"/>
      <c r="J231" s="1"/>
      <c r="K231" s="1"/>
      <c r="L231" s="1"/>
      <c r="M231" s="1"/>
      <c r="N231" s="1"/>
      <c r="O231" s="1"/>
      <c r="P231" s="1"/>
      <c r="Q231" s="1"/>
      <c r="R231" s="1"/>
      <c r="S231" s="1"/>
      <c r="T231" s="1"/>
      <c r="U231" s="2"/>
      <c r="V231" s="1"/>
      <c r="W231" s="1"/>
      <c r="X231" s="1"/>
      <c r="Y231" s="1"/>
      <c r="Z231" s="1"/>
    </row>
    <row r="232" spans="1:26" ht="24.75" customHeight="1">
      <c r="A232" s="1"/>
      <c r="B232" s="1"/>
      <c r="C232" s="1"/>
      <c r="D232" s="1"/>
      <c r="E232" s="1"/>
      <c r="F232" s="1"/>
      <c r="G232" s="1"/>
      <c r="H232" s="1"/>
      <c r="I232" s="1"/>
      <c r="J232" s="1"/>
      <c r="K232" s="1"/>
      <c r="L232" s="1"/>
      <c r="M232" s="1"/>
      <c r="N232" s="1"/>
      <c r="O232" s="1"/>
      <c r="P232" s="1"/>
      <c r="Q232" s="1"/>
      <c r="R232" s="1"/>
      <c r="S232" s="1"/>
      <c r="T232" s="1"/>
      <c r="U232" s="2"/>
      <c r="V232" s="1"/>
      <c r="W232" s="1"/>
      <c r="X232" s="1"/>
      <c r="Y232" s="1"/>
      <c r="Z232" s="1"/>
    </row>
    <row r="233" spans="1:26" ht="24.75" customHeight="1">
      <c r="A233" s="1"/>
      <c r="B233" s="1"/>
      <c r="C233" s="1"/>
      <c r="D233" s="1"/>
      <c r="E233" s="1"/>
      <c r="F233" s="1"/>
      <c r="G233" s="1"/>
      <c r="H233" s="1"/>
      <c r="I233" s="1"/>
      <c r="J233" s="1"/>
      <c r="K233" s="1"/>
      <c r="L233" s="1"/>
      <c r="M233" s="1"/>
      <c r="N233" s="1"/>
      <c r="O233" s="1"/>
      <c r="P233" s="1"/>
      <c r="Q233" s="1"/>
      <c r="R233" s="1"/>
      <c r="S233" s="1"/>
      <c r="T233" s="1"/>
      <c r="U233" s="2"/>
      <c r="V233" s="1"/>
      <c r="W233" s="1"/>
      <c r="X233" s="1"/>
      <c r="Y233" s="1"/>
      <c r="Z233" s="1"/>
    </row>
    <row r="234" spans="1:26" ht="24.75" customHeight="1">
      <c r="A234" s="1"/>
      <c r="B234" s="1"/>
      <c r="C234" s="1"/>
      <c r="D234" s="1"/>
      <c r="E234" s="1"/>
      <c r="F234" s="1"/>
      <c r="G234" s="1"/>
      <c r="H234" s="1"/>
      <c r="I234" s="1"/>
      <c r="J234" s="1"/>
      <c r="K234" s="1"/>
      <c r="L234" s="1"/>
      <c r="M234" s="1"/>
      <c r="N234" s="1"/>
      <c r="O234" s="1"/>
      <c r="P234" s="1"/>
      <c r="Q234" s="1"/>
      <c r="R234" s="1"/>
      <c r="S234" s="1"/>
      <c r="T234" s="1"/>
      <c r="U234" s="2"/>
      <c r="V234" s="1"/>
      <c r="W234" s="1"/>
      <c r="X234" s="1"/>
      <c r="Y234" s="1"/>
      <c r="Z234" s="1"/>
    </row>
    <row r="235" spans="1:26" ht="24.75" customHeight="1">
      <c r="A235" s="1"/>
      <c r="B235" s="1"/>
      <c r="C235" s="1"/>
      <c r="D235" s="1"/>
      <c r="E235" s="1"/>
      <c r="F235" s="1"/>
      <c r="G235" s="1"/>
      <c r="H235" s="1"/>
      <c r="I235" s="1"/>
      <c r="J235" s="1"/>
      <c r="K235" s="1"/>
      <c r="L235" s="1"/>
      <c r="M235" s="1"/>
      <c r="N235" s="1"/>
      <c r="O235" s="1"/>
      <c r="P235" s="1"/>
      <c r="Q235" s="1"/>
      <c r="R235" s="1"/>
      <c r="S235" s="1"/>
      <c r="T235" s="1"/>
      <c r="U235" s="2"/>
      <c r="V235" s="1"/>
      <c r="W235" s="1"/>
      <c r="X235" s="1"/>
      <c r="Y235" s="1"/>
      <c r="Z235" s="1"/>
    </row>
    <row r="236" spans="1:26" ht="24.75" customHeight="1">
      <c r="A236" s="1"/>
      <c r="B236" s="1"/>
      <c r="C236" s="1"/>
      <c r="D236" s="1"/>
      <c r="E236" s="1"/>
      <c r="F236" s="1"/>
      <c r="G236" s="1"/>
      <c r="H236" s="1"/>
      <c r="I236" s="1"/>
      <c r="J236" s="1"/>
      <c r="K236" s="1"/>
      <c r="L236" s="1"/>
      <c r="M236" s="1"/>
      <c r="N236" s="1"/>
      <c r="O236" s="1"/>
      <c r="P236" s="1"/>
      <c r="Q236" s="1"/>
      <c r="R236" s="1"/>
      <c r="S236" s="1"/>
      <c r="T236" s="1"/>
      <c r="U236" s="2"/>
      <c r="V236" s="1"/>
      <c r="W236" s="1"/>
      <c r="X236" s="1"/>
      <c r="Y236" s="1"/>
      <c r="Z236" s="1"/>
    </row>
    <row r="237" spans="1:26" ht="24.75" customHeight="1">
      <c r="A237" s="1"/>
      <c r="B237" s="1"/>
      <c r="C237" s="1"/>
      <c r="D237" s="1"/>
      <c r="E237" s="1"/>
      <c r="F237" s="1"/>
      <c r="G237" s="1"/>
      <c r="H237" s="1"/>
      <c r="I237" s="1"/>
      <c r="J237" s="1"/>
      <c r="K237" s="1"/>
      <c r="L237" s="1"/>
      <c r="M237" s="1"/>
      <c r="N237" s="1"/>
      <c r="O237" s="1"/>
      <c r="P237" s="1"/>
      <c r="Q237" s="1"/>
      <c r="R237" s="1"/>
      <c r="S237" s="1"/>
      <c r="T237" s="1"/>
      <c r="U237" s="2"/>
      <c r="V237" s="1"/>
      <c r="W237" s="1"/>
      <c r="X237" s="1"/>
      <c r="Y237" s="1"/>
      <c r="Z237" s="1"/>
    </row>
    <row r="238" spans="1:26" ht="24.75" customHeight="1">
      <c r="A238" s="1"/>
      <c r="B238" s="1"/>
      <c r="C238" s="1"/>
      <c r="D238" s="1"/>
      <c r="E238" s="1"/>
      <c r="F238" s="1"/>
      <c r="G238" s="1"/>
      <c r="H238" s="1"/>
      <c r="I238" s="1"/>
      <c r="J238" s="1"/>
      <c r="K238" s="1"/>
      <c r="L238" s="1"/>
      <c r="M238" s="1"/>
      <c r="N238" s="1"/>
      <c r="O238" s="1"/>
      <c r="P238" s="1"/>
      <c r="Q238" s="1"/>
      <c r="R238" s="1"/>
      <c r="S238" s="1"/>
      <c r="T238" s="1"/>
      <c r="U238" s="2"/>
      <c r="V238" s="1"/>
      <c r="W238" s="1"/>
      <c r="X238" s="1"/>
      <c r="Y238" s="1"/>
      <c r="Z238" s="1"/>
    </row>
    <row r="239" spans="1:26" ht="24.75" customHeight="1">
      <c r="A239" s="1"/>
      <c r="B239" s="1"/>
      <c r="C239" s="1"/>
      <c r="D239" s="1"/>
      <c r="E239" s="1"/>
      <c r="F239" s="1"/>
      <c r="G239" s="1"/>
      <c r="H239" s="1"/>
      <c r="I239" s="1"/>
      <c r="J239" s="1"/>
      <c r="K239" s="1"/>
      <c r="L239" s="1"/>
      <c r="M239" s="1"/>
      <c r="N239" s="1"/>
      <c r="O239" s="1"/>
      <c r="P239" s="1"/>
      <c r="Q239" s="1"/>
      <c r="R239" s="1"/>
      <c r="S239" s="1"/>
      <c r="T239" s="1"/>
      <c r="U239" s="2"/>
      <c r="V239" s="1"/>
      <c r="W239" s="1"/>
      <c r="X239" s="1"/>
      <c r="Y239" s="1"/>
      <c r="Z239" s="1"/>
    </row>
    <row r="240" spans="1:26" ht="24.75" customHeight="1">
      <c r="A240" s="1"/>
      <c r="B240" s="1"/>
      <c r="C240" s="1"/>
      <c r="D240" s="1"/>
      <c r="E240" s="1"/>
      <c r="F240" s="1"/>
      <c r="G240" s="1"/>
      <c r="H240" s="1"/>
      <c r="I240" s="1"/>
      <c r="J240" s="1"/>
      <c r="K240" s="1"/>
      <c r="L240" s="1"/>
      <c r="M240" s="1"/>
      <c r="N240" s="1"/>
      <c r="O240" s="1"/>
      <c r="P240" s="1"/>
      <c r="Q240" s="1"/>
      <c r="R240" s="1"/>
      <c r="S240" s="1"/>
      <c r="T240" s="1"/>
      <c r="U240" s="2"/>
      <c r="V240" s="1"/>
      <c r="W240" s="1"/>
      <c r="X240" s="1"/>
      <c r="Y240" s="1"/>
      <c r="Z240" s="1"/>
    </row>
    <row r="241" spans="1:26" ht="24.75" customHeight="1">
      <c r="A241" s="1"/>
      <c r="B241" s="1"/>
      <c r="C241" s="1"/>
      <c r="D241" s="1"/>
      <c r="E241" s="1"/>
      <c r="F241" s="1"/>
      <c r="G241" s="1"/>
      <c r="H241" s="1"/>
      <c r="I241" s="1"/>
      <c r="J241" s="1"/>
      <c r="K241" s="1"/>
      <c r="L241" s="1"/>
      <c r="M241" s="1"/>
      <c r="N241" s="1"/>
      <c r="O241" s="1"/>
      <c r="P241" s="1"/>
      <c r="Q241" s="1"/>
      <c r="R241" s="1"/>
      <c r="S241" s="1"/>
      <c r="T241" s="1"/>
      <c r="U241" s="2"/>
      <c r="V241" s="1"/>
      <c r="W241" s="1"/>
      <c r="X241" s="1"/>
      <c r="Y241" s="1"/>
      <c r="Z241" s="1"/>
    </row>
    <row r="242" spans="1:26" ht="24.75" customHeight="1">
      <c r="A242" s="1"/>
      <c r="B242" s="1"/>
      <c r="C242" s="1"/>
      <c r="D242" s="1"/>
      <c r="E242" s="1"/>
      <c r="F242" s="1"/>
      <c r="G242" s="1"/>
      <c r="H242" s="1"/>
      <c r="I242" s="1"/>
      <c r="J242" s="1"/>
      <c r="K242" s="1"/>
      <c r="L242" s="1"/>
      <c r="M242" s="1"/>
      <c r="N242" s="1"/>
      <c r="O242" s="1"/>
      <c r="P242" s="1"/>
      <c r="Q242" s="1"/>
      <c r="R242" s="1"/>
      <c r="S242" s="1"/>
      <c r="T242" s="1"/>
      <c r="U242" s="2"/>
      <c r="V242" s="1"/>
      <c r="W242" s="1"/>
      <c r="X242" s="1"/>
      <c r="Y242" s="1"/>
      <c r="Z242" s="1"/>
    </row>
    <row r="243" spans="1:26" ht="24.75" customHeight="1">
      <c r="A243" s="1"/>
      <c r="B243" s="1"/>
      <c r="C243" s="1"/>
      <c r="D243" s="1"/>
      <c r="E243" s="1"/>
      <c r="F243" s="1"/>
      <c r="G243" s="1"/>
      <c r="H243" s="1"/>
      <c r="I243" s="1"/>
      <c r="J243" s="1"/>
      <c r="K243" s="1"/>
      <c r="L243" s="1"/>
      <c r="M243" s="1"/>
      <c r="N243" s="1"/>
      <c r="O243" s="1"/>
      <c r="P243" s="1"/>
      <c r="Q243" s="1"/>
      <c r="R243" s="1"/>
      <c r="S243" s="1"/>
      <c r="T243" s="1"/>
      <c r="U243" s="2"/>
      <c r="V243" s="1"/>
      <c r="W243" s="1"/>
      <c r="X243" s="1"/>
      <c r="Y243" s="1"/>
      <c r="Z243" s="1"/>
    </row>
    <row r="244" spans="1:26" ht="24.75" customHeight="1">
      <c r="A244" s="1"/>
      <c r="B244" s="1"/>
      <c r="C244" s="1"/>
      <c r="D244" s="1"/>
      <c r="E244" s="1"/>
      <c r="F244" s="1"/>
      <c r="G244" s="1"/>
      <c r="H244" s="1"/>
      <c r="I244" s="1"/>
      <c r="J244" s="1"/>
      <c r="K244" s="1"/>
      <c r="L244" s="1"/>
      <c r="M244" s="1"/>
      <c r="N244" s="1"/>
      <c r="O244" s="1"/>
      <c r="P244" s="1"/>
      <c r="Q244" s="1"/>
      <c r="R244" s="1"/>
      <c r="S244" s="1"/>
      <c r="T244" s="1"/>
      <c r="U244" s="2"/>
      <c r="V244" s="1"/>
      <c r="W244" s="1"/>
      <c r="X244" s="1"/>
      <c r="Y244" s="1"/>
      <c r="Z244" s="1"/>
    </row>
    <row r="245" spans="1:26" ht="24.75" customHeight="1">
      <c r="A245" s="1"/>
      <c r="B245" s="1"/>
      <c r="C245" s="1"/>
      <c r="D245" s="1"/>
      <c r="E245" s="1"/>
      <c r="F245" s="1"/>
      <c r="G245" s="1"/>
      <c r="H245" s="1"/>
      <c r="I245" s="1"/>
      <c r="J245" s="1"/>
      <c r="K245" s="1"/>
      <c r="L245" s="1"/>
      <c r="M245" s="1"/>
      <c r="N245" s="1"/>
      <c r="O245" s="1"/>
      <c r="P245" s="1"/>
      <c r="Q245" s="1"/>
      <c r="R245" s="1"/>
      <c r="S245" s="1"/>
      <c r="T245" s="1"/>
      <c r="U245" s="2"/>
      <c r="V245" s="1"/>
      <c r="W245" s="1"/>
      <c r="X245" s="1"/>
      <c r="Y245" s="1"/>
      <c r="Z245" s="1"/>
    </row>
    <row r="246" spans="1:26" ht="24.75" customHeight="1">
      <c r="A246" s="1"/>
      <c r="B246" s="1"/>
      <c r="C246" s="1"/>
      <c r="D246" s="1"/>
      <c r="E246" s="1"/>
      <c r="F246" s="1"/>
      <c r="G246" s="1"/>
      <c r="H246" s="1"/>
      <c r="I246" s="1"/>
      <c r="J246" s="1"/>
      <c r="K246" s="1"/>
      <c r="L246" s="1"/>
      <c r="M246" s="1"/>
      <c r="N246" s="1"/>
      <c r="O246" s="1"/>
      <c r="P246" s="1"/>
      <c r="Q246" s="1"/>
      <c r="R246" s="1"/>
      <c r="S246" s="1"/>
      <c r="T246" s="1"/>
      <c r="U246" s="2"/>
      <c r="V246" s="1"/>
      <c r="W246" s="1"/>
      <c r="X246" s="1"/>
      <c r="Y246" s="1"/>
      <c r="Z246" s="1"/>
    </row>
    <row r="247" spans="1:26" ht="24.75" customHeight="1">
      <c r="A247" s="1"/>
      <c r="B247" s="1"/>
      <c r="C247" s="1"/>
      <c r="D247" s="1"/>
      <c r="E247" s="1"/>
      <c r="F247" s="1"/>
      <c r="G247" s="1"/>
      <c r="H247" s="1"/>
      <c r="I247" s="1"/>
      <c r="J247" s="1"/>
      <c r="K247" s="1"/>
      <c r="L247" s="1"/>
      <c r="M247" s="1"/>
      <c r="N247" s="1"/>
      <c r="O247" s="1"/>
      <c r="P247" s="1"/>
      <c r="Q247" s="1"/>
      <c r="R247" s="1"/>
      <c r="S247" s="1"/>
      <c r="T247" s="1"/>
      <c r="U247" s="2"/>
      <c r="V247" s="1"/>
      <c r="W247" s="1"/>
      <c r="X247" s="1"/>
      <c r="Y247" s="1"/>
      <c r="Z247" s="1"/>
    </row>
    <row r="248" spans="1:26" ht="24.75" customHeight="1">
      <c r="A248" s="1"/>
      <c r="B248" s="1"/>
      <c r="C248" s="1"/>
      <c r="D248" s="1"/>
      <c r="E248" s="1"/>
      <c r="F248" s="1"/>
      <c r="G248" s="1"/>
      <c r="H248" s="1"/>
      <c r="I248" s="1"/>
      <c r="J248" s="1"/>
      <c r="K248" s="1"/>
      <c r="L248" s="1"/>
      <c r="M248" s="1"/>
      <c r="N248" s="1"/>
      <c r="O248" s="1"/>
      <c r="P248" s="1"/>
      <c r="Q248" s="1"/>
      <c r="R248" s="1"/>
      <c r="S248" s="1"/>
      <c r="T248" s="1"/>
      <c r="U248" s="2"/>
      <c r="V248" s="1"/>
      <c r="W248" s="1"/>
      <c r="X248" s="1"/>
      <c r="Y248" s="1"/>
      <c r="Z248" s="1"/>
    </row>
    <row r="249" spans="1:26" ht="24.75" customHeight="1">
      <c r="A249" s="1"/>
      <c r="B249" s="1"/>
      <c r="C249" s="1"/>
      <c r="D249" s="1"/>
      <c r="E249" s="1"/>
      <c r="F249" s="1"/>
      <c r="G249" s="1"/>
      <c r="H249" s="1"/>
      <c r="I249" s="1"/>
      <c r="J249" s="1"/>
      <c r="K249" s="1"/>
      <c r="L249" s="1"/>
      <c r="M249" s="1"/>
      <c r="N249" s="1"/>
      <c r="O249" s="1"/>
      <c r="P249" s="1"/>
      <c r="Q249" s="1"/>
      <c r="R249" s="1"/>
      <c r="S249" s="1"/>
      <c r="T249" s="1"/>
      <c r="U249" s="2"/>
      <c r="V249" s="1"/>
      <c r="W249" s="1"/>
      <c r="X249" s="1"/>
      <c r="Y249" s="1"/>
      <c r="Z249" s="1"/>
    </row>
    <row r="250" spans="1:26" ht="24.75" customHeight="1">
      <c r="A250" s="1"/>
      <c r="B250" s="1"/>
      <c r="C250" s="1"/>
      <c r="D250" s="1"/>
      <c r="E250" s="1"/>
      <c r="F250" s="1"/>
      <c r="G250" s="1"/>
      <c r="H250" s="1"/>
      <c r="I250" s="1"/>
      <c r="J250" s="1"/>
      <c r="K250" s="1"/>
      <c r="L250" s="1"/>
      <c r="M250" s="1"/>
      <c r="N250" s="1"/>
      <c r="O250" s="1"/>
      <c r="P250" s="1"/>
      <c r="Q250" s="1"/>
      <c r="R250" s="1"/>
      <c r="S250" s="1"/>
      <c r="T250" s="1"/>
      <c r="U250" s="2"/>
      <c r="V250" s="1"/>
      <c r="W250" s="1"/>
      <c r="X250" s="1"/>
      <c r="Y250" s="1"/>
      <c r="Z250" s="1"/>
    </row>
    <row r="251" spans="1:26" ht="24.75" customHeight="1">
      <c r="A251" s="1"/>
      <c r="B251" s="1"/>
      <c r="C251" s="1"/>
      <c r="D251" s="1"/>
      <c r="E251" s="1"/>
      <c r="F251" s="1"/>
      <c r="G251" s="1"/>
      <c r="H251" s="1"/>
      <c r="I251" s="1"/>
      <c r="J251" s="1"/>
      <c r="K251" s="1"/>
      <c r="L251" s="1"/>
      <c r="M251" s="1"/>
      <c r="N251" s="1"/>
      <c r="O251" s="1"/>
      <c r="P251" s="1"/>
      <c r="Q251" s="1"/>
      <c r="R251" s="1"/>
      <c r="S251" s="1"/>
      <c r="T251" s="1"/>
      <c r="U251" s="2"/>
      <c r="V251" s="1"/>
      <c r="W251" s="1"/>
      <c r="X251" s="1"/>
      <c r="Y251" s="1"/>
      <c r="Z251" s="1"/>
    </row>
    <row r="252" spans="1:26" ht="24.75" customHeight="1">
      <c r="A252" s="1"/>
      <c r="B252" s="1"/>
      <c r="C252" s="1"/>
      <c r="D252" s="1"/>
      <c r="E252" s="1"/>
      <c r="F252" s="1"/>
      <c r="G252" s="1"/>
      <c r="H252" s="1"/>
      <c r="I252" s="1"/>
      <c r="J252" s="1"/>
      <c r="K252" s="1"/>
      <c r="L252" s="1"/>
      <c r="M252" s="1"/>
      <c r="N252" s="1"/>
      <c r="O252" s="1"/>
      <c r="P252" s="1"/>
      <c r="Q252" s="1"/>
      <c r="R252" s="1"/>
      <c r="S252" s="1"/>
      <c r="T252" s="1"/>
      <c r="U252" s="2"/>
      <c r="V252" s="1"/>
      <c r="W252" s="1"/>
      <c r="X252" s="1"/>
      <c r="Y252" s="1"/>
      <c r="Z252" s="1"/>
    </row>
    <row r="253" spans="1:26" ht="24.75" customHeight="1">
      <c r="A253" s="1"/>
      <c r="B253" s="1"/>
      <c r="C253" s="1"/>
      <c r="D253" s="1"/>
      <c r="E253" s="1"/>
      <c r="F253" s="1"/>
      <c r="G253" s="1"/>
      <c r="H253" s="1"/>
      <c r="I253" s="1"/>
      <c r="J253" s="1"/>
      <c r="K253" s="1"/>
      <c r="L253" s="1"/>
      <c r="M253" s="1"/>
      <c r="N253" s="1"/>
      <c r="O253" s="1"/>
      <c r="P253" s="1"/>
      <c r="Q253" s="1"/>
      <c r="R253" s="1"/>
      <c r="S253" s="1"/>
      <c r="T253" s="1"/>
      <c r="U253" s="2"/>
      <c r="V253" s="1"/>
      <c r="W253" s="1"/>
      <c r="X253" s="1"/>
      <c r="Y253" s="1"/>
      <c r="Z253" s="1"/>
    </row>
    <row r="254" spans="1:26" ht="24.75" customHeight="1">
      <c r="A254" s="1"/>
      <c r="B254" s="1"/>
      <c r="C254" s="1"/>
      <c r="D254" s="1"/>
      <c r="E254" s="1"/>
      <c r="F254" s="1"/>
      <c r="G254" s="1"/>
      <c r="H254" s="1"/>
      <c r="I254" s="1"/>
      <c r="J254" s="1"/>
      <c r="K254" s="1"/>
      <c r="L254" s="1"/>
      <c r="M254" s="1"/>
      <c r="N254" s="1"/>
      <c r="O254" s="1"/>
      <c r="P254" s="1"/>
      <c r="Q254" s="1"/>
      <c r="R254" s="1"/>
      <c r="S254" s="1"/>
      <c r="T254" s="1"/>
      <c r="U254" s="2"/>
      <c r="V254" s="1"/>
      <c r="W254" s="1"/>
      <c r="X254" s="1"/>
      <c r="Y254" s="1"/>
      <c r="Z254" s="1"/>
    </row>
    <row r="255" spans="1:26" ht="24.75" customHeight="1">
      <c r="A255" s="1"/>
      <c r="B255" s="1"/>
      <c r="C255" s="1"/>
      <c r="D255" s="1"/>
      <c r="E255" s="1"/>
      <c r="F255" s="1"/>
      <c r="G255" s="1"/>
      <c r="H255" s="1"/>
      <c r="I255" s="1"/>
      <c r="J255" s="1"/>
      <c r="K255" s="1"/>
      <c r="L255" s="1"/>
      <c r="M255" s="1"/>
      <c r="N255" s="1"/>
      <c r="O255" s="1"/>
      <c r="P255" s="1"/>
      <c r="Q255" s="1"/>
      <c r="R255" s="1"/>
      <c r="S255" s="1"/>
      <c r="T255" s="1"/>
      <c r="U255" s="2"/>
      <c r="V255" s="1"/>
      <c r="W255" s="1"/>
      <c r="X255" s="1"/>
      <c r="Y255" s="1"/>
      <c r="Z255" s="1"/>
    </row>
    <row r="256" spans="1:26" ht="24.75" customHeight="1">
      <c r="A256" s="1"/>
      <c r="B256" s="1"/>
      <c r="C256" s="1"/>
      <c r="D256" s="1"/>
      <c r="E256" s="1"/>
      <c r="F256" s="1"/>
      <c r="G256" s="1"/>
      <c r="H256" s="1"/>
      <c r="I256" s="1"/>
      <c r="J256" s="1"/>
      <c r="K256" s="1"/>
      <c r="L256" s="1"/>
      <c r="M256" s="1"/>
      <c r="N256" s="1"/>
      <c r="O256" s="1"/>
      <c r="P256" s="1"/>
      <c r="Q256" s="1"/>
      <c r="R256" s="1"/>
      <c r="S256" s="1"/>
      <c r="T256" s="1"/>
      <c r="U256" s="2"/>
      <c r="V256" s="1"/>
      <c r="W256" s="1"/>
      <c r="X256" s="1"/>
      <c r="Y256" s="1"/>
      <c r="Z256" s="1"/>
    </row>
    <row r="257" spans="1:26" ht="24.75" customHeight="1">
      <c r="A257" s="1"/>
      <c r="B257" s="1"/>
      <c r="C257" s="1"/>
      <c r="D257" s="1"/>
      <c r="E257" s="1"/>
      <c r="F257" s="1"/>
      <c r="G257" s="1"/>
      <c r="H257" s="1"/>
      <c r="I257" s="1"/>
      <c r="J257" s="1"/>
      <c r="K257" s="1"/>
      <c r="L257" s="1"/>
      <c r="M257" s="1"/>
      <c r="N257" s="1"/>
      <c r="O257" s="1"/>
      <c r="P257" s="1"/>
      <c r="Q257" s="1"/>
      <c r="R257" s="1"/>
      <c r="S257" s="1"/>
      <c r="T257" s="1"/>
      <c r="U257" s="2"/>
      <c r="V257" s="1"/>
      <c r="W257" s="1"/>
      <c r="X257" s="1"/>
      <c r="Y257" s="1"/>
      <c r="Z257" s="1"/>
    </row>
    <row r="258" spans="1:26" ht="24.75" customHeight="1">
      <c r="A258" s="1"/>
      <c r="B258" s="1"/>
      <c r="C258" s="1"/>
      <c r="D258" s="1"/>
      <c r="E258" s="1"/>
      <c r="F258" s="1"/>
      <c r="G258" s="1"/>
      <c r="H258" s="1"/>
      <c r="I258" s="1"/>
      <c r="J258" s="1"/>
      <c r="K258" s="1"/>
      <c r="L258" s="1"/>
      <c r="M258" s="1"/>
      <c r="N258" s="1"/>
      <c r="O258" s="1"/>
      <c r="P258" s="1"/>
      <c r="Q258" s="1"/>
      <c r="R258" s="1"/>
      <c r="S258" s="1"/>
      <c r="T258" s="1"/>
      <c r="U258" s="2"/>
      <c r="V258" s="1"/>
      <c r="W258" s="1"/>
      <c r="X258" s="1"/>
      <c r="Y258" s="1"/>
      <c r="Z258" s="1"/>
    </row>
    <row r="259" spans="1:26" ht="24.75" customHeight="1">
      <c r="A259" s="1"/>
      <c r="B259" s="1"/>
      <c r="C259" s="1"/>
      <c r="D259" s="1"/>
      <c r="E259" s="1"/>
      <c r="F259" s="1"/>
      <c r="G259" s="1"/>
      <c r="H259" s="1"/>
      <c r="I259" s="1"/>
      <c r="J259" s="1"/>
      <c r="K259" s="1"/>
      <c r="L259" s="1"/>
      <c r="M259" s="1"/>
      <c r="N259" s="1"/>
      <c r="O259" s="1"/>
      <c r="P259" s="1"/>
      <c r="Q259" s="1"/>
      <c r="R259" s="1"/>
      <c r="S259" s="1"/>
      <c r="T259" s="1"/>
      <c r="U259" s="2"/>
      <c r="V259" s="1"/>
      <c r="W259" s="1"/>
      <c r="X259" s="1"/>
      <c r="Y259" s="1"/>
      <c r="Z259" s="1"/>
    </row>
    <row r="260" spans="1:26" ht="24.75" customHeight="1">
      <c r="A260" s="1"/>
      <c r="B260" s="1"/>
      <c r="C260" s="1"/>
      <c r="D260" s="1"/>
      <c r="E260" s="1"/>
      <c r="F260" s="1"/>
      <c r="G260" s="1"/>
      <c r="H260" s="1"/>
      <c r="I260" s="1"/>
      <c r="J260" s="1"/>
      <c r="K260" s="1"/>
      <c r="L260" s="1"/>
      <c r="M260" s="1"/>
      <c r="N260" s="1"/>
      <c r="O260" s="1"/>
      <c r="P260" s="1"/>
      <c r="Q260" s="1"/>
      <c r="R260" s="1"/>
      <c r="S260" s="1"/>
      <c r="T260" s="1"/>
      <c r="U260" s="2"/>
      <c r="V260" s="1"/>
      <c r="W260" s="1"/>
      <c r="X260" s="1"/>
      <c r="Y260" s="1"/>
      <c r="Z260" s="1"/>
    </row>
    <row r="261" spans="1:26" ht="24.75" customHeight="1">
      <c r="A261" s="1"/>
      <c r="B261" s="1"/>
      <c r="C261" s="1"/>
      <c r="D261" s="1"/>
      <c r="E261" s="1"/>
      <c r="F261" s="1"/>
      <c r="G261" s="1"/>
      <c r="H261" s="1"/>
      <c r="I261" s="1"/>
      <c r="J261" s="1"/>
      <c r="K261" s="1"/>
      <c r="L261" s="1"/>
      <c r="M261" s="1"/>
      <c r="N261" s="1"/>
      <c r="O261" s="1"/>
      <c r="P261" s="1"/>
      <c r="Q261" s="1"/>
      <c r="R261" s="1"/>
      <c r="S261" s="1"/>
      <c r="T261" s="1"/>
      <c r="U261" s="2"/>
      <c r="V261" s="1"/>
      <c r="W261" s="1"/>
      <c r="X261" s="1"/>
      <c r="Y261" s="1"/>
      <c r="Z261" s="1"/>
    </row>
    <row r="262" spans="1:26" ht="24.75" customHeight="1">
      <c r="A262" s="1"/>
      <c r="B262" s="1"/>
      <c r="C262" s="1"/>
      <c r="D262" s="1"/>
      <c r="E262" s="1"/>
      <c r="F262" s="1"/>
      <c r="G262" s="1"/>
      <c r="H262" s="1"/>
      <c r="I262" s="1"/>
      <c r="J262" s="1"/>
      <c r="K262" s="1"/>
      <c r="L262" s="1"/>
      <c r="M262" s="1"/>
      <c r="N262" s="1"/>
      <c r="O262" s="1"/>
      <c r="P262" s="1"/>
      <c r="Q262" s="1"/>
      <c r="R262" s="1"/>
      <c r="S262" s="1"/>
      <c r="T262" s="1"/>
      <c r="U262" s="2"/>
      <c r="V262" s="1"/>
      <c r="W262" s="1"/>
      <c r="X262" s="1"/>
      <c r="Y262" s="1"/>
      <c r="Z262" s="1"/>
    </row>
    <row r="263" spans="1:26" ht="24.75" customHeight="1">
      <c r="A263" s="1"/>
      <c r="B263" s="1"/>
      <c r="C263" s="1"/>
      <c r="D263" s="1"/>
      <c r="E263" s="1"/>
      <c r="F263" s="1"/>
      <c r="G263" s="1"/>
      <c r="H263" s="1"/>
      <c r="I263" s="1"/>
      <c r="J263" s="1"/>
      <c r="K263" s="1"/>
      <c r="L263" s="1"/>
      <c r="M263" s="1"/>
      <c r="N263" s="1"/>
      <c r="O263" s="1"/>
      <c r="P263" s="1"/>
      <c r="Q263" s="1"/>
      <c r="R263" s="1"/>
      <c r="S263" s="1"/>
      <c r="T263" s="1"/>
      <c r="U263" s="2"/>
      <c r="V263" s="1"/>
      <c r="W263" s="1"/>
      <c r="X263" s="1"/>
      <c r="Y263" s="1"/>
      <c r="Z263" s="1"/>
    </row>
    <row r="264" spans="1:26" ht="24.75" customHeight="1">
      <c r="A264" s="1"/>
      <c r="B264" s="1"/>
      <c r="C264" s="1"/>
      <c r="D264" s="1"/>
      <c r="E264" s="1"/>
      <c r="F264" s="1"/>
      <c r="G264" s="1"/>
      <c r="H264" s="1"/>
      <c r="I264" s="1"/>
      <c r="J264" s="1"/>
      <c r="K264" s="1"/>
      <c r="L264" s="1"/>
      <c r="M264" s="1"/>
      <c r="N264" s="1"/>
      <c r="O264" s="1"/>
      <c r="P264" s="1"/>
      <c r="Q264" s="1"/>
      <c r="R264" s="1"/>
      <c r="S264" s="1"/>
      <c r="T264" s="1"/>
      <c r="U264" s="2"/>
      <c r="V264" s="1"/>
      <c r="W264" s="1"/>
      <c r="X264" s="1"/>
      <c r="Y264" s="1"/>
      <c r="Z264" s="1"/>
    </row>
    <row r="265" spans="1:26" ht="24.75" customHeight="1">
      <c r="A265" s="1"/>
      <c r="B265" s="1"/>
      <c r="C265" s="1"/>
      <c r="D265" s="1"/>
      <c r="E265" s="1"/>
      <c r="F265" s="1"/>
      <c r="G265" s="1"/>
      <c r="H265" s="1"/>
      <c r="I265" s="1"/>
      <c r="J265" s="1"/>
      <c r="K265" s="1"/>
      <c r="L265" s="1"/>
      <c r="M265" s="1"/>
      <c r="N265" s="1"/>
      <c r="O265" s="1"/>
      <c r="P265" s="1"/>
      <c r="Q265" s="1"/>
      <c r="R265" s="1"/>
      <c r="S265" s="1"/>
      <c r="T265" s="1"/>
      <c r="U265" s="2"/>
      <c r="V265" s="1"/>
      <c r="W265" s="1"/>
      <c r="X265" s="1"/>
      <c r="Y265" s="1"/>
      <c r="Z265" s="1"/>
    </row>
    <row r="266" spans="1:26" ht="24.75" customHeight="1">
      <c r="A266" s="1"/>
      <c r="B266" s="1"/>
      <c r="C266" s="1"/>
      <c r="D266" s="1"/>
      <c r="E266" s="1"/>
      <c r="F266" s="1"/>
      <c r="G266" s="1"/>
      <c r="H266" s="1"/>
      <c r="I266" s="1"/>
      <c r="J266" s="1"/>
      <c r="K266" s="1"/>
      <c r="L266" s="1"/>
      <c r="M266" s="1"/>
      <c r="N266" s="1"/>
      <c r="O266" s="1"/>
      <c r="P266" s="1"/>
      <c r="Q266" s="1"/>
      <c r="R266" s="1"/>
      <c r="S266" s="1"/>
      <c r="T266" s="1"/>
      <c r="U266" s="2"/>
      <c r="V266" s="1"/>
      <c r="W266" s="1"/>
      <c r="X266" s="1"/>
      <c r="Y266" s="1"/>
      <c r="Z266" s="1"/>
    </row>
    <row r="267" spans="1:26" ht="24.75" customHeight="1">
      <c r="A267" s="1"/>
      <c r="B267" s="1"/>
      <c r="C267" s="1"/>
      <c r="D267" s="1"/>
      <c r="E267" s="1"/>
      <c r="F267" s="1"/>
      <c r="G267" s="1"/>
      <c r="H267" s="1"/>
      <c r="I267" s="1"/>
      <c r="J267" s="1"/>
      <c r="K267" s="1"/>
      <c r="L267" s="1"/>
      <c r="M267" s="1"/>
      <c r="N267" s="1"/>
      <c r="O267" s="1"/>
      <c r="P267" s="1"/>
      <c r="Q267" s="1"/>
      <c r="R267" s="1"/>
      <c r="S267" s="1"/>
      <c r="T267" s="1"/>
      <c r="U267" s="2"/>
      <c r="V267" s="1"/>
      <c r="W267" s="1"/>
      <c r="X267" s="1"/>
      <c r="Y267" s="1"/>
      <c r="Z267" s="1"/>
    </row>
    <row r="268" spans="1:26" ht="24.75" customHeight="1">
      <c r="A268" s="1"/>
      <c r="B268" s="1"/>
      <c r="C268" s="1"/>
      <c r="D268" s="1"/>
      <c r="E268" s="1"/>
      <c r="F268" s="1"/>
      <c r="G268" s="1"/>
      <c r="H268" s="1"/>
      <c r="I268" s="1"/>
      <c r="J268" s="1"/>
      <c r="K268" s="1"/>
      <c r="L268" s="1"/>
      <c r="M268" s="1"/>
      <c r="N268" s="1"/>
      <c r="O268" s="1"/>
      <c r="P268" s="1"/>
      <c r="Q268" s="1"/>
      <c r="R268" s="1"/>
      <c r="S268" s="1"/>
      <c r="T268" s="1"/>
      <c r="U268" s="2"/>
      <c r="V268" s="1"/>
      <c r="W268" s="1"/>
      <c r="X268" s="1"/>
      <c r="Y268" s="1"/>
      <c r="Z268" s="1"/>
    </row>
    <row r="269" spans="1:26" ht="24.75" customHeight="1">
      <c r="A269" s="1"/>
      <c r="B269" s="1"/>
      <c r="C269" s="1"/>
      <c r="D269" s="1"/>
      <c r="E269" s="1"/>
      <c r="F269" s="1"/>
      <c r="G269" s="1"/>
      <c r="H269" s="1"/>
      <c r="I269" s="1"/>
      <c r="J269" s="1"/>
      <c r="K269" s="1"/>
      <c r="L269" s="1"/>
      <c r="M269" s="1"/>
      <c r="N269" s="1"/>
      <c r="O269" s="1"/>
      <c r="P269" s="1"/>
      <c r="Q269" s="1"/>
      <c r="R269" s="1"/>
      <c r="S269" s="1"/>
      <c r="T269" s="1"/>
      <c r="U269" s="2"/>
      <c r="V269" s="1"/>
      <c r="W269" s="1"/>
      <c r="X269" s="1"/>
      <c r="Y269" s="1"/>
      <c r="Z269" s="1"/>
    </row>
    <row r="270" spans="1:26" ht="24.75" customHeight="1">
      <c r="A270" s="1"/>
      <c r="B270" s="1"/>
      <c r="C270" s="1"/>
      <c r="D270" s="1"/>
      <c r="E270" s="1"/>
      <c r="F270" s="1"/>
      <c r="G270" s="1"/>
      <c r="H270" s="1"/>
      <c r="I270" s="1"/>
      <c r="J270" s="1"/>
      <c r="K270" s="1"/>
      <c r="L270" s="1"/>
      <c r="M270" s="1"/>
      <c r="N270" s="1"/>
      <c r="O270" s="1"/>
      <c r="P270" s="1"/>
      <c r="Q270" s="1"/>
      <c r="R270" s="1"/>
      <c r="S270" s="1"/>
      <c r="T270" s="1"/>
      <c r="U270" s="2"/>
      <c r="V270" s="1"/>
      <c r="W270" s="1"/>
      <c r="X270" s="1"/>
      <c r="Y270" s="1"/>
      <c r="Z270" s="1"/>
    </row>
    <row r="271" spans="1:26" ht="24.75" customHeight="1">
      <c r="A271" s="1"/>
      <c r="B271" s="1"/>
      <c r="C271" s="1"/>
      <c r="D271" s="1"/>
      <c r="E271" s="1"/>
      <c r="F271" s="1"/>
      <c r="G271" s="1"/>
      <c r="H271" s="1"/>
      <c r="I271" s="1"/>
      <c r="J271" s="1"/>
      <c r="K271" s="1"/>
      <c r="L271" s="1"/>
      <c r="M271" s="1"/>
      <c r="N271" s="1"/>
      <c r="O271" s="1"/>
      <c r="P271" s="1"/>
      <c r="Q271" s="1"/>
      <c r="R271" s="1"/>
      <c r="S271" s="1"/>
      <c r="T271" s="1"/>
      <c r="U271" s="2"/>
      <c r="V271" s="1"/>
      <c r="W271" s="1"/>
      <c r="X271" s="1"/>
      <c r="Y271" s="1"/>
      <c r="Z271" s="1"/>
    </row>
    <row r="272" spans="1:26" ht="24.75" customHeight="1">
      <c r="A272" s="1"/>
      <c r="B272" s="1"/>
      <c r="C272" s="1"/>
      <c r="D272" s="1"/>
      <c r="E272" s="1"/>
      <c r="F272" s="1"/>
      <c r="G272" s="1"/>
      <c r="H272" s="1"/>
      <c r="I272" s="1"/>
      <c r="J272" s="1"/>
      <c r="K272" s="1"/>
      <c r="L272" s="1"/>
      <c r="M272" s="1"/>
      <c r="N272" s="1"/>
      <c r="O272" s="1"/>
      <c r="P272" s="1"/>
      <c r="Q272" s="1"/>
      <c r="R272" s="1"/>
      <c r="S272" s="1"/>
      <c r="T272" s="1"/>
      <c r="U272" s="2"/>
      <c r="V272" s="1"/>
      <c r="W272" s="1"/>
      <c r="X272" s="1"/>
      <c r="Y272" s="1"/>
      <c r="Z272" s="1"/>
    </row>
    <row r="273" spans="1:26" ht="24.75" customHeight="1">
      <c r="A273" s="1"/>
      <c r="B273" s="1"/>
      <c r="C273" s="1"/>
      <c r="D273" s="1"/>
      <c r="E273" s="1"/>
      <c r="F273" s="1"/>
      <c r="G273" s="1"/>
      <c r="H273" s="1"/>
      <c r="I273" s="1"/>
      <c r="J273" s="1"/>
      <c r="K273" s="1"/>
      <c r="L273" s="1"/>
      <c r="M273" s="1"/>
      <c r="N273" s="1"/>
      <c r="O273" s="1"/>
      <c r="P273" s="1"/>
      <c r="Q273" s="1"/>
      <c r="R273" s="1"/>
      <c r="S273" s="1"/>
      <c r="T273" s="1"/>
      <c r="U273" s="2"/>
      <c r="V273" s="1"/>
      <c r="W273" s="1"/>
      <c r="X273" s="1"/>
      <c r="Y273" s="1"/>
      <c r="Z273" s="1"/>
    </row>
    <row r="274" spans="1:26" ht="24.75" customHeight="1">
      <c r="A274" s="1"/>
      <c r="B274" s="1"/>
      <c r="C274" s="1"/>
      <c r="D274" s="1"/>
      <c r="E274" s="1"/>
      <c r="F274" s="1"/>
      <c r="G274" s="1"/>
      <c r="H274" s="1"/>
      <c r="I274" s="1"/>
      <c r="J274" s="1"/>
      <c r="K274" s="1"/>
      <c r="L274" s="1"/>
      <c r="M274" s="1"/>
      <c r="N274" s="1"/>
      <c r="O274" s="1"/>
      <c r="P274" s="1"/>
      <c r="Q274" s="1"/>
      <c r="R274" s="1"/>
      <c r="S274" s="1"/>
      <c r="T274" s="1"/>
      <c r="U274" s="2"/>
      <c r="V274" s="1"/>
      <c r="W274" s="1"/>
      <c r="X274" s="1"/>
      <c r="Y274" s="1"/>
      <c r="Z274" s="1"/>
    </row>
    <row r="275" spans="1:26" ht="24.75" customHeight="1">
      <c r="A275" s="1"/>
      <c r="B275" s="1"/>
      <c r="C275" s="1"/>
      <c r="D275" s="1"/>
      <c r="E275" s="1"/>
      <c r="F275" s="1"/>
      <c r="G275" s="1"/>
      <c r="H275" s="1"/>
      <c r="I275" s="1"/>
      <c r="J275" s="1"/>
      <c r="K275" s="1"/>
      <c r="L275" s="1"/>
      <c r="M275" s="1"/>
      <c r="N275" s="1"/>
      <c r="O275" s="1"/>
      <c r="P275" s="1"/>
      <c r="Q275" s="1"/>
      <c r="R275" s="1"/>
      <c r="S275" s="1"/>
      <c r="T275" s="1"/>
      <c r="U275" s="2"/>
      <c r="V275" s="1"/>
      <c r="W275" s="1"/>
      <c r="X275" s="1"/>
      <c r="Y275" s="1"/>
      <c r="Z275" s="1"/>
    </row>
    <row r="276" spans="1:26" ht="24.75" customHeight="1">
      <c r="A276" s="1"/>
      <c r="B276" s="1"/>
      <c r="C276" s="1"/>
      <c r="D276" s="1"/>
      <c r="E276" s="1"/>
      <c r="F276" s="1"/>
      <c r="G276" s="1"/>
      <c r="H276" s="1"/>
      <c r="I276" s="1"/>
      <c r="J276" s="1"/>
      <c r="K276" s="1"/>
      <c r="L276" s="1"/>
      <c r="M276" s="1"/>
      <c r="N276" s="1"/>
      <c r="O276" s="1"/>
      <c r="P276" s="1"/>
      <c r="Q276" s="1"/>
      <c r="R276" s="1"/>
      <c r="S276" s="1"/>
      <c r="T276" s="1"/>
      <c r="U276" s="2"/>
      <c r="V276" s="1"/>
      <c r="W276" s="1"/>
      <c r="X276" s="1"/>
      <c r="Y276" s="1"/>
      <c r="Z276" s="1"/>
    </row>
    <row r="277" spans="1:26" ht="24.75" customHeight="1">
      <c r="A277" s="1"/>
      <c r="B277" s="1"/>
      <c r="C277" s="1"/>
      <c r="D277" s="1"/>
      <c r="E277" s="1"/>
      <c r="F277" s="1"/>
      <c r="G277" s="1"/>
      <c r="H277" s="1"/>
      <c r="I277" s="1"/>
      <c r="J277" s="1"/>
      <c r="K277" s="1"/>
      <c r="L277" s="1"/>
      <c r="M277" s="1"/>
      <c r="N277" s="1"/>
      <c r="O277" s="1"/>
      <c r="P277" s="1"/>
      <c r="Q277" s="1"/>
      <c r="R277" s="1"/>
      <c r="S277" s="1"/>
      <c r="T277" s="1"/>
      <c r="U277" s="2"/>
      <c r="V277" s="1"/>
      <c r="W277" s="1"/>
      <c r="X277" s="1"/>
      <c r="Y277" s="1"/>
      <c r="Z277" s="1"/>
    </row>
    <row r="278" spans="1:26" ht="24.75" customHeight="1">
      <c r="A278" s="1"/>
      <c r="B278" s="1"/>
      <c r="C278" s="1"/>
      <c r="D278" s="1"/>
      <c r="E278" s="1"/>
      <c r="F278" s="1"/>
      <c r="G278" s="1"/>
      <c r="H278" s="1"/>
      <c r="I278" s="1"/>
      <c r="J278" s="1"/>
      <c r="K278" s="1"/>
      <c r="L278" s="1"/>
      <c r="M278" s="1"/>
      <c r="N278" s="1"/>
      <c r="O278" s="1"/>
      <c r="P278" s="1"/>
      <c r="Q278" s="1"/>
      <c r="R278" s="1"/>
      <c r="S278" s="1"/>
      <c r="T278" s="1"/>
      <c r="U278" s="2"/>
      <c r="V278" s="1"/>
      <c r="W278" s="1"/>
      <c r="X278" s="1"/>
      <c r="Y278" s="1"/>
      <c r="Z278" s="1"/>
    </row>
    <row r="279" spans="1:26" ht="24.75" customHeight="1">
      <c r="A279" s="1"/>
      <c r="B279" s="1"/>
      <c r="C279" s="1"/>
      <c r="D279" s="1"/>
      <c r="E279" s="1"/>
      <c r="F279" s="1"/>
      <c r="G279" s="1"/>
      <c r="H279" s="1"/>
      <c r="I279" s="1"/>
      <c r="J279" s="1"/>
      <c r="K279" s="1"/>
      <c r="L279" s="1"/>
      <c r="M279" s="1"/>
      <c r="N279" s="1"/>
      <c r="O279" s="1"/>
      <c r="P279" s="1"/>
      <c r="Q279" s="1"/>
      <c r="R279" s="1"/>
      <c r="S279" s="1"/>
      <c r="T279" s="1"/>
      <c r="U279" s="2"/>
      <c r="V279" s="1"/>
      <c r="W279" s="1"/>
      <c r="X279" s="1"/>
      <c r="Y279" s="1"/>
      <c r="Z279" s="1"/>
    </row>
    <row r="280" spans="1:26" ht="24.75" customHeight="1">
      <c r="A280" s="1"/>
      <c r="B280" s="1"/>
      <c r="C280" s="1"/>
      <c r="D280" s="1"/>
      <c r="E280" s="1"/>
      <c r="F280" s="1"/>
      <c r="G280" s="1"/>
      <c r="H280" s="1"/>
      <c r="I280" s="1"/>
      <c r="J280" s="1"/>
      <c r="K280" s="1"/>
      <c r="L280" s="1"/>
      <c r="M280" s="1"/>
      <c r="N280" s="1"/>
      <c r="O280" s="1"/>
      <c r="P280" s="1"/>
      <c r="Q280" s="1"/>
      <c r="R280" s="1"/>
      <c r="S280" s="1"/>
      <c r="T280" s="1"/>
      <c r="U280" s="2"/>
      <c r="V280" s="1"/>
      <c r="W280" s="1"/>
      <c r="X280" s="1"/>
      <c r="Y280" s="1"/>
      <c r="Z280" s="1"/>
    </row>
    <row r="281" spans="1:26" ht="24.75" customHeight="1">
      <c r="A281" s="1"/>
      <c r="B281" s="1"/>
      <c r="C281" s="1"/>
      <c r="D281" s="1"/>
      <c r="E281" s="1"/>
      <c r="F281" s="1"/>
      <c r="G281" s="1"/>
      <c r="H281" s="1"/>
      <c r="I281" s="1"/>
      <c r="J281" s="1"/>
      <c r="K281" s="1"/>
      <c r="L281" s="1"/>
      <c r="M281" s="1"/>
      <c r="N281" s="1"/>
      <c r="O281" s="1"/>
      <c r="P281" s="1"/>
      <c r="Q281" s="1"/>
      <c r="R281" s="1"/>
      <c r="S281" s="1"/>
      <c r="T281" s="1"/>
      <c r="U281" s="2"/>
      <c r="V281" s="1"/>
      <c r="W281" s="1"/>
      <c r="X281" s="1"/>
      <c r="Y281" s="1"/>
      <c r="Z281" s="1"/>
    </row>
    <row r="282" spans="1:26" ht="24.75" customHeight="1">
      <c r="A282" s="1"/>
      <c r="B282" s="1"/>
      <c r="C282" s="1"/>
      <c r="D282" s="1"/>
      <c r="E282" s="1"/>
      <c r="F282" s="1"/>
      <c r="G282" s="1"/>
      <c r="H282" s="1"/>
      <c r="I282" s="1"/>
      <c r="J282" s="1"/>
      <c r="K282" s="1"/>
      <c r="L282" s="1"/>
      <c r="M282" s="1"/>
      <c r="N282" s="1"/>
      <c r="O282" s="1"/>
      <c r="P282" s="1"/>
      <c r="Q282" s="1"/>
      <c r="R282" s="1"/>
      <c r="S282" s="1"/>
      <c r="T282" s="1"/>
      <c r="U282" s="2"/>
      <c r="V282" s="1"/>
      <c r="W282" s="1"/>
      <c r="X282" s="1"/>
      <c r="Y282" s="1"/>
      <c r="Z282" s="1"/>
    </row>
    <row r="283" spans="1:26" ht="24.75" customHeight="1">
      <c r="A283" s="1"/>
      <c r="B283" s="1"/>
      <c r="C283" s="1"/>
      <c r="D283" s="1"/>
      <c r="E283" s="1"/>
      <c r="F283" s="1"/>
      <c r="G283" s="1"/>
      <c r="H283" s="1"/>
      <c r="I283" s="1"/>
      <c r="J283" s="1"/>
      <c r="K283" s="1"/>
      <c r="L283" s="1"/>
      <c r="M283" s="1"/>
      <c r="N283" s="1"/>
      <c r="O283" s="1"/>
      <c r="P283" s="1"/>
      <c r="Q283" s="1"/>
      <c r="R283" s="1"/>
      <c r="S283" s="1"/>
      <c r="T283" s="1"/>
      <c r="U283" s="2"/>
      <c r="V283" s="1"/>
      <c r="W283" s="1"/>
      <c r="X283" s="1"/>
      <c r="Y283" s="1"/>
      <c r="Z283" s="1"/>
    </row>
    <row r="284" spans="1:26" ht="24.75" customHeight="1">
      <c r="A284" s="1"/>
      <c r="B284" s="1"/>
      <c r="C284" s="1"/>
      <c r="D284" s="1"/>
      <c r="E284" s="1"/>
      <c r="F284" s="1"/>
      <c r="G284" s="1"/>
      <c r="H284" s="1"/>
      <c r="I284" s="1"/>
      <c r="J284" s="1"/>
      <c r="K284" s="1"/>
      <c r="L284" s="1"/>
      <c r="M284" s="1"/>
      <c r="N284" s="1"/>
      <c r="O284" s="1"/>
      <c r="P284" s="1"/>
      <c r="Q284" s="1"/>
      <c r="R284" s="1"/>
      <c r="S284" s="1"/>
      <c r="T284" s="1"/>
      <c r="U284" s="2"/>
      <c r="V284" s="1"/>
      <c r="W284" s="1"/>
      <c r="X284" s="1"/>
      <c r="Y284" s="1"/>
      <c r="Z284" s="1"/>
    </row>
    <row r="285" spans="1:26" ht="24.75" customHeight="1">
      <c r="A285" s="1"/>
      <c r="B285" s="1"/>
      <c r="C285" s="1"/>
      <c r="D285" s="1"/>
      <c r="E285" s="1"/>
      <c r="F285" s="1"/>
      <c r="G285" s="1"/>
      <c r="H285" s="1"/>
      <c r="I285" s="1"/>
      <c r="J285" s="1"/>
      <c r="K285" s="1"/>
      <c r="L285" s="1"/>
      <c r="M285" s="1"/>
      <c r="N285" s="1"/>
      <c r="O285" s="1"/>
      <c r="P285" s="1"/>
      <c r="Q285" s="1"/>
      <c r="R285" s="1"/>
      <c r="S285" s="1"/>
      <c r="T285" s="1"/>
      <c r="U285" s="2"/>
      <c r="V285" s="1"/>
      <c r="W285" s="1"/>
      <c r="X285" s="1"/>
      <c r="Y285" s="1"/>
      <c r="Z285" s="1"/>
    </row>
    <row r="286" spans="1:26" ht="24.75" customHeight="1">
      <c r="A286" s="1"/>
      <c r="B286" s="1"/>
      <c r="C286" s="1"/>
      <c r="D286" s="1"/>
      <c r="E286" s="1"/>
      <c r="F286" s="1"/>
      <c r="G286" s="1"/>
      <c r="H286" s="1"/>
      <c r="I286" s="1"/>
      <c r="J286" s="1"/>
      <c r="K286" s="1"/>
      <c r="L286" s="1"/>
      <c r="M286" s="1"/>
      <c r="N286" s="1"/>
      <c r="O286" s="1"/>
      <c r="P286" s="1"/>
      <c r="Q286" s="1"/>
      <c r="R286" s="1"/>
      <c r="S286" s="1"/>
      <c r="T286" s="1"/>
      <c r="U286" s="2"/>
      <c r="V286" s="1"/>
      <c r="W286" s="1"/>
      <c r="X286" s="1"/>
      <c r="Y286" s="1"/>
      <c r="Z286" s="1"/>
    </row>
    <row r="287" spans="1:26" ht="24.75" customHeight="1">
      <c r="A287" s="1"/>
      <c r="B287" s="1"/>
      <c r="C287" s="1"/>
      <c r="D287" s="1"/>
      <c r="E287" s="1"/>
      <c r="F287" s="1"/>
      <c r="G287" s="1"/>
      <c r="H287" s="1"/>
      <c r="I287" s="1"/>
      <c r="J287" s="1"/>
      <c r="K287" s="1"/>
      <c r="L287" s="1"/>
      <c r="M287" s="1"/>
      <c r="N287" s="1"/>
      <c r="O287" s="1"/>
      <c r="P287" s="1"/>
      <c r="Q287" s="1"/>
      <c r="R287" s="1"/>
      <c r="S287" s="1"/>
      <c r="T287" s="1"/>
      <c r="U287" s="2"/>
      <c r="V287" s="1"/>
      <c r="W287" s="1"/>
      <c r="X287" s="1"/>
      <c r="Y287" s="1"/>
      <c r="Z287" s="1"/>
    </row>
    <row r="288" spans="1:26" ht="24.75" customHeight="1">
      <c r="A288" s="1"/>
      <c r="B288" s="1"/>
      <c r="C288" s="1"/>
      <c r="D288" s="1"/>
      <c r="E288" s="1"/>
      <c r="F288" s="1"/>
      <c r="G288" s="1"/>
      <c r="H288" s="1"/>
      <c r="I288" s="1"/>
      <c r="J288" s="1"/>
      <c r="K288" s="1"/>
      <c r="L288" s="1"/>
      <c r="M288" s="1"/>
      <c r="N288" s="1"/>
      <c r="O288" s="1"/>
      <c r="P288" s="1"/>
      <c r="Q288" s="1"/>
      <c r="R288" s="1"/>
      <c r="S288" s="1"/>
      <c r="T288" s="1"/>
      <c r="U288" s="2"/>
      <c r="V288" s="1"/>
      <c r="W288" s="1"/>
      <c r="X288" s="1"/>
      <c r="Y288" s="1"/>
      <c r="Z288" s="1"/>
    </row>
    <row r="289" spans="1:26" ht="24.75" customHeight="1">
      <c r="A289" s="1"/>
      <c r="B289" s="1"/>
      <c r="C289" s="1"/>
      <c r="D289" s="1"/>
      <c r="E289" s="1"/>
      <c r="F289" s="1"/>
      <c r="G289" s="1"/>
      <c r="H289" s="1"/>
      <c r="I289" s="1"/>
      <c r="J289" s="1"/>
      <c r="K289" s="1"/>
      <c r="L289" s="1"/>
      <c r="M289" s="1"/>
      <c r="N289" s="1"/>
      <c r="O289" s="1"/>
      <c r="P289" s="1"/>
      <c r="Q289" s="1"/>
      <c r="R289" s="1"/>
      <c r="S289" s="1"/>
      <c r="T289" s="1"/>
      <c r="U289" s="2"/>
      <c r="V289" s="1"/>
      <c r="W289" s="1"/>
      <c r="X289" s="1"/>
      <c r="Y289" s="1"/>
      <c r="Z289" s="1"/>
    </row>
    <row r="290" spans="1:26" ht="24.75" customHeight="1">
      <c r="A290" s="1"/>
      <c r="B290" s="1"/>
      <c r="C290" s="1"/>
      <c r="D290" s="1"/>
      <c r="E290" s="1"/>
      <c r="F290" s="1"/>
      <c r="G290" s="1"/>
      <c r="H290" s="1"/>
      <c r="I290" s="1"/>
      <c r="J290" s="1"/>
      <c r="K290" s="1"/>
      <c r="L290" s="1"/>
      <c r="M290" s="1"/>
      <c r="N290" s="1"/>
      <c r="O290" s="1"/>
      <c r="P290" s="1"/>
      <c r="Q290" s="1"/>
      <c r="R290" s="1"/>
      <c r="S290" s="1"/>
      <c r="T290" s="1"/>
      <c r="U290" s="2"/>
      <c r="V290" s="1"/>
      <c r="W290" s="1"/>
      <c r="X290" s="1"/>
      <c r="Y290" s="1"/>
      <c r="Z290" s="1"/>
    </row>
    <row r="291" spans="1:26" ht="24.75" customHeight="1">
      <c r="A291" s="1"/>
      <c r="B291" s="1"/>
      <c r="C291" s="1"/>
      <c r="D291" s="1"/>
      <c r="E291" s="1"/>
      <c r="F291" s="1"/>
      <c r="G291" s="1"/>
      <c r="H291" s="1"/>
      <c r="I291" s="1"/>
      <c r="J291" s="1"/>
      <c r="K291" s="1"/>
      <c r="L291" s="1"/>
      <c r="M291" s="1"/>
      <c r="N291" s="1"/>
      <c r="O291" s="1"/>
      <c r="P291" s="1"/>
      <c r="Q291" s="1"/>
      <c r="R291" s="1"/>
      <c r="S291" s="1"/>
      <c r="T291" s="1"/>
      <c r="U291" s="2"/>
      <c r="V291" s="1"/>
      <c r="W291" s="1"/>
      <c r="X291" s="1"/>
      <c r="Y291" s="1"/>
      <c r="Z291" s="1"/>
    </row>
    <row r="292" spans="1:26" ht="24.75" customHeight="1">
      <c r="A292" s="1"/>
      <c r="B292" s="1"/>
      <c r="C292" s="1"/>
      <c r="D292" s="1"/>
      <c r="E292" s="1"/>
      <c r="F292" s="1"/>
      <c r="G292" s="1"/>
      <c r="H292" s="1"/>
      <c r="I292" s="1"/>
      <c r="J292" s="1"/>
      <c r="K292" s="1"/>
      <c r="L292" s="1"/>
      <c r="M292" s="1"/>
      <c r="N292" s="1"/>
      <c r="O292" s="1"/>
      <c r="P292" s="1"/>
      <c r="Q292" s="1"/>
      <c r="R292" s="1"/>
      <c r="S292" s="1"/>
      <c r="T292" s="1"/>
      <c r="U292" s="2"/>
      <c r="V292" s="1"/>
      <c r="W292" s="1"/>
      <c r="X292" s="1"/>
      <c r="Y292" s="1"/>
      <c r="Z292" s="1"/>
    </row>
    <row r="293" spans="1:26" ht="24.75" customHeight="1">
      <c r="A293" s="1"/>
      <c r="B293" s="1"/>
      <c r="C293" s="1"/>
      <c r="D293" s="1"/>
      <c r="E293" s="1"/>
      <c r="F293" s="1"/>
      <c r="G293" s="1"/>
      <c r="H293" s="1"/>
      <c r="I293" s="1"/>
      <c r="J293" s="1"/>
      <c r="K293" s="1"/>
      <c r="L293" s="1"/>
      <c r="M293" s="1"/>
      <c r="N293" s="1"/>
      <c r="O293" s="1"/>
      <c r="P293" s="1"/>
      <c r="Q293" s="1"/>
      <c r="R293" s="1"/>
      <c r="S293" s="1"/>
      <c r="T293" s="1"/>
      <c r="U293" s="2"/>
      <c r="V293" s="1"/>
      <c r="W293" s="1"/>
      <c r="X293" s="1"/>
      <c r="Y293" s="1"/>
      <c r="Z293" s="1"/>
    </row>
    <row r="294" spans="1:26" ht="24.75" customHeight="1">
      <c r="A294" s="1"/>
      <c r="B294" s="1"/>
      <c r="C294" s="1"/>
      <c r="D294" s="1"/>
      <c r="E294" s="1"/>
      <c r="F294" s="1"/>
      <c r="G294" s="1"/>
      <c r="H294" s="1"/>
      <c r="I294" s="1"/>
      <c r="J294" s="1"/>
      <c r="K294" s="1"/>
      <c r="L294" s="1"/>
      <c r="M294" s="1"/>
      <c r="N294" s="1"/>
      <c r="O294" s="1"/>
      <c r="P294" s="1"/>
      <c r="Q294" s="1"/>
      <c r="R294" s="1"/>
      <c r="S294" s="1"/>
      <c r="T294" s="1"/>
      <c r="U294" s="2"/>
      <c r="V294" s="1"/>
      <c r="W294" s="1"/>
      <c r="X294" s="1"/>
      <c r="Y294" s="1"/>
      <c r="Z294" s="1"/>
    </row>
    <row r="295" spans="1:26" ht="24.75" customHeight="1">
      <c r="A295" s="1"/>
      <c r="B295" s="1"/>
      <c r="C295" s="1"/>
      <c r="D295" s="1"/>
      <c r="E295" s="1"/>
      <c r="F295" s="1"/>
      <c r="G295" s="1"/>
      <c r="H295" s="1"/>
      <c r="I295" s="1"/>
      <c r="J295" s="1"/>
      <c r="K295" s="1"/>
      <c r="L295" s="1"/>
      <c r="M295" s="1"/>
      <c r="N295" s="1"/>
      <c r="O295" s="1"/>
      <c r="P295" s="1"/>
      <c r="Q295" s="1"/>
      <c r="R295" s="1"/>
      <c r="S295" s="1"/>
      <c r="T295" s="1"/>
      <c r="U295" s="2"/>
      <c r="V295" s="1"/>
      <c r="W295" s="1"/>
      <c r="X295" s="1"/>
      <c r="Y295" s="1"/>
      <c r="Z295" s="1"/>
    </row>
    <row r="296" spans="1:26" ht="24.75" customHeight="1">
      <c r="A296" s="1"/>
      <c r="B296" s="1"/>
      <c r="C296" s="1"/>
      <c r="D296" s="1"/>
      <c r="E296" s="1"/>
      <c r="F296" s="1"/>
      <c r="G296" s="1"/>
      <c r="H296" s="1"/>
      <c r="I296" s="1"/>
      <c r="J296" s="1"/>
      <c r="K296" s="1"/>
      <c r="L296" s="1"/>
      <c r="M296" s="1"/>
      <c r="N296" s="1"/>
      <c r="O296" s="1"/>
      <c r="P296" s="1"/>
      <c r="Q296" s="1"/>
      <c r="R296" s="1"/>
      <c r="S296" s="1"/>
      <c r="T296" s="1"/>
      <c r="U296" s="2"/>
      <c r="V296" s="1"/>
      <c r="W296" s="1"/>
      <c r="X296" s="1"/>
      <c r="Y296" s="1"/>
      <c r="Z296" s="1"/>
    </row>
    <row r="297" spans="1:26" ht="24.75" customHeight="1">
      <c r="A297" s="1"/>
      <c r="B297" s="1"/>
      <c r="C297" s="1"/>
      <c r="D297" s="1"/>
      <c r="E297" s="1"/>
      <c r="F297" s="1"/>
      <c r="G297" s="1"/>
      <c r="H297" s="1"/>
      <c r="I297" s="1"/>
      <c r="J297" s="1"/>
      <c r="K297" s="1"/>
      <c r="L297" s="1"/>
      <c r="M297" s="1"/>
      <c r="N297" s="1"/>
      <c r="O297" s="1"/>
      <c r="P297" s="1"/>
      <c r="Q297" s="1"/>
      <c r="R297" s="1"/>
      <c r="S297" s="1"/>
      <c r="T297" s="1"/>
      <c r="U297" s="2"/>
      <c r="V297" s="1"/>
      <c r="W297" s="1"/>
      <c r="X297" s="1"/>
      <c r="Y297" s="1"/>
      <c r="Z297" s="1"/>
    </row>
    <row r="298" spans="1:26" ht="24.75" customHeight="1">
      <c r="A298" s="1"/>
      <c r="B298" s="1"/>
      <c r="C298" s="1"/>
      <c r="D298" s="1"/>
      <c r="E298" s="1"/>
      <c r="F298" s="1"/>
      <c r="G298" s="1"/>
      <c r="H298" s="1"/>
      <c r="I298" s="1"/>
      <c r="J298" s="1"/>
      <c r="K298" s="1"/>
      <c r="L298" s="1"/>
      <c r="M298" s="1"/>
      <c r="N298" s="1"/>
      <c r="O298" s="1"/>
      <c r="P298" s="1"/>
      <c r="Q298" s="1"/>
      <c r="R298" s="1"/>
      <c r="S298" s="1"/>
      <c r="T298" s="1"/>
      <c r="U298" s="2"/>
      <c r="V298" s="1"/>
      <c r="W298" s="1"/>
      <c r="X298" s="1"/>
      <c r="Y298" s="1"/>
      <c r="Z298" s="1"/>
    </row>
    <row r="299" spans="1:26" ht="24.75" customHeight="1">
      <c r="A299" s="1"/>
      <c r="B299" s="1"/>
      <c r="C299" s="1"/>
      <c r="D299" s="1"/>
      <c r="E299" s="1"/>
      <c r="F299" s="1"/>
      <c r="G299" s="1"/>
      <c r="H299" s="1"/>
      <c r="I299" s="1"/>
      <c r="J299" s="1"/>
      <c r="K299" s="1"/>
      <c r="L299" s="1"/>
      <c r="M299" s="1"/>
      <c r="N299" s="1"/>
      <c r="O299" s="1"/>
      <c r="P299" s="1"/>
      <c r="Q299" s="1"/>
      <c r="R299" s="1"/>
      <c r="S299" s="1"/>
      <c r="T299" s="1"/>
      <c r="U299" s="2"/>
      <c r="V299" s="1"/>
      <c r="W299" s="1"/>
      <c r="X299" s="1"/>
      <c r="Y299" s="1"/>
      <c r="Z299" s="1"/>
    </row>
    <row r="300" spans="1:26" ht="24.75" customHeight="1">
      <c r="A300" s="1"/>
      <c r="B300" s="1"/>
      <c r="C300" s="1"/>
      <c r="D300" s="1"/>
      <c r="E300" s="1"/>
      <c r="F300" s="1"/>
      <c r="G300" s="1"/>
      <c r="H300" s="1"/>
      <c r="I300" s="1"/>
      <c r="J300" s="1"/>
      <c r="K300" s="1"/>
      <c r="L300" s="1"/>
      <c r="M300" s="1"/>
      <c r="N300" s="1"/>
      <c r="O300" s="1"/>
      <c r="P300" s="1"/>
      <c r="Q300" s="1"/>
      <c r="R300" s="1"/>
      <c r="S300" s="1"/>
      <c r="T300" s="1"/>
      <c r="U300" s="2"/>
      <c r="V300" s="1"/>
      <c r="W300" s="1"/>
      <c r="X300" s="1"/>
      <c r="Y300" s="1"/>
      <c r="Z300" s="1"/>
    </row>
    <row r="301" spans="1:26" ht="24.75" customHeight="1">
      <c r="A301" s="1"/>
      <c r="B301" s="1"/>
      <c r="C301" s="1"/>
      <c r="D301" s="1"/>
      <c r="E301" s="1"/>
      <c r="F301" s="1"/>
      <c r="G301" s="1"/>
      <c r="H301" s="1"/>
      <c r="I301" s="1"/>
      <c r="J301" s="1"/>
      <c r="K301" s="1"/>
      <c r="L301" s="1"/>
      <c r="M301" s="1"/>
      <c r="N301" s="1"/>
      <c r="O301" s="1"/>
      <c r="P301" s="1"/>
      <c r="Q301" s="1"/>
      <c r="R301" s="1"/>
      <c r="S301" s="1"/>
      <c r="T301" s="1"/>
      <c r="U301" s="2"/>
      <c r="V301" s="1"/>
      <c r="W301" s="1"/>
      <c r="X301" s="1"/>
      <c r="Y301" s="1"/>
      <c r="Z301" s="1"/>
    </row>
    <row r="302" spans="1:26" ht="24.75" customHeight="1">
      <c r="A302" s="1"/>
      <c r="B302" s="1"/>
      <c r="C302" s="1"/>
      <c r="D302" s="1"/>
      <c r="E302" s="1"/>
      <c r="F302" s="1"/>
      <c r="G302" s="1"/>
      <c r="H302" s="1"/>
      <c r="I302" s="1"/>
      <c r="J302" s="1"/>
      <c r="K302" s="1"/>
      <c r="L302" s="1"/>
      <c r="M302" s="1"/>
      <c r="N302" s="1"/>
      <c r="O302" s="1"/>
      <c r="P302" s="1"/>
      <c r="Q302" s="1"/>
      <c r="R302" s="1"/>
      <c r="S302" s="1"/>
      <c r="T302" s="1"/>
      <c r="U302" s="2"/>
      <c r="V302" s="1"/>
      <c r="W302" s="1"/>
      <c r="X302" s="1"/>
      <c r="Y302" s="1"/>
      <c r="Z302" s="1"/>
    </row>
    <row r="303" spans="1:26" ht="24.75" customHeight="1">
      <c r="A303" s="1"/>
      <c r="B303" s="1"/>
      <c r="C303" s="1"/>
      <c r="D303" s="1"/>
      <c r="E303" s="1"/>
      <c r="F303" s="1"/>
      <c r="G303" s="1"/>
      <c r="H303" s="1"/>
      <c r="I303" s="1"/>
      <c r="J303" s="1"/>
      <c r="K303" s="1"/>
      <c r="L303" s="1"/>
      <c r="M303" s="1"/>
      <c r="N303" s="1"/>
      <c r="O303" s="1"/>
      <c r="P303" s="1"/>
      <c r="Q303" s="1"/>
      <c r="R303" s="1"/>
      <c r="S303" s="1"/>
      <c r="T303" s="1"/>
      <c r="U303" s="2"/>
      <c r="V303" s="1"/>
      <c r="W303" s="1"/>
      <c r="X303" s="1"/>
      <c r="Y303" s="1"/>
      <c r="Z303" s="1"/>
    </row>
    <row r="304" spans="1:26" ht="24.75" customHeight="1">
      <c r="A304" s="1"/>
      <c r="B304" s="1"/>
      <c r="C304" s="1"/>
      <c r="D304" s="1"/>
      <c r="E304" s="1"/>
      <c r="F304" s="1"/>
      <c r="G304" s="1"/>
      <c r="H304" s="1"/>
      <c r="I304" s="1"/>
      <c r="J304" s="1"/>
      <c r="K304" s="1"/>
      <c r="L304" s="1"/>
      <c r="M304" s="1"/>
      <c r="N304" s="1"/>
      <c r="O304" s="1"/>
      <c r="P304" s="1"/>
      <c r="Q304" s="1"/>
      <c r="R304" s="1"/>
      <c r="S304" s="1"/>
      <c r="T304" s="1"/>
      <c r="U304" s="2"/>
      <c r="V304" s="1"/>
      <c r="W304" s="1"/>
      <c r="X304" s="1"/>
      <c r="Y304" s="1"/>
      <c r="Z304" s="1"/>
    </row>
    <row r="305" spans="1:26" ht="24.75" customHeight="1">
      <c r="A305" s="1"/>
      <c r="B305" s="1"/>
      <c r="C305" s="1"/>
      <c r="D305" s="1"/>
      <c r="E305" s="1"/>
      <c r="F305" s="1"/>
      <c r="G305" s="1"/>
      <c r="H305" s="1"/>
      <c r="I305" s="1"/>
      <c r="J305" s="1"/>
      <c r="K305" s="1"/>
      <c r="L305" s="1"/>
      <c r="M305" s="1"/>
      <c r="N305" s="1"/>
      <c r="O305" s="1"/>
      <c r="P305" s="1"/>
      <c r="Q305" s="1"/>
      <c r="R305" s="1"/>
      <c r="S305" s="1"/>
      <c r="T305" s="1"/>
      <c r="U305" s="2"/>
      <c r="V305" s="1"/>
      <c r="W305" s="1"/>
      <c r="X305" s="1"/>
      <c r="Y305" s="1"/>
      <c r="Z305" s="1"/>
    </row>
    <row r="306" spans="1:26" ht="24.75" customHeight="1">
      <c r="A306" s="1"/>
      <c r="B306" s="1"/>
      <c r="C306" s="1"/>
      <c r="D306" s="1"/>
      <c r="E306" s="1"/>
      <c r="F306" s="1"/>
      <c r="G306" s="1"/>
      <c r="H306" s="1"/>
      <c r="I306" s="1"/>
      <c r="J306" s="1"/>
      <c r="K306" s="1"/>
      <c r="L306" s="1"/>
      <c r="M306" s="1"/>
      <c r="N306" s="1"/>
      <c r="O306" s="1"/>
      <c r="P306" s="1"/>
      <c r="Q306" s="1"/>
      <c r="R306" s="1"/>
      <c r="S306" s="1"/>
      <c r="T306" s="1"/>
      <c r="U306" s="2"/>
      <c r="V306" s="1"/>
      <c r="W306" s="1"/>
      <c r="X306" s="1"/>
      <c r="Y306" s="1"/>
      <c r="Z306" s="1"/>
    </row>
    <row r="307" spans="1:26" ht="24.75" customHeight="1">
      <c r="A307" s="1"/>
      <c r="B307" s="1"/>
      <c r="C307" s="1"/>
      <c r="D307" s="1"/>
      <c r="E307" s="1"/>
      <c r="F307" s="1"/>
      <c r="G307" s="1"/>
      <c r="H307" s="1"/>
      <c r="I307" s="1"/>
      <c r="J307" s="1"/>
      <c r="K307" s="1"/>
      <c r="L307" s="1"/>
      <c r="M307" s="1"/>
      <c r="N307" s="1"/>
      <c r="O307" s="1"/>
      <c r="P307" s="1"/>
      <c r="Q307" s="1"/>
      <c r="R307" s="1"/>
      <c r="S307" s="1"/>
      <c r="T307" s="1"/>
      <c r="U307" s="2"/>
      <c r="V307" s="1"/>
      <c r="W307" s="1"/>
      <c r="X307" s="1"/>
      <c r="Y307" s="1"/>
      <c r="Z307" s="1"/>
    </row>
    <row r="308" spans="1:26" ht="24.75" customHeight="1">
      <c r="A308" s="1"/>
      <c r="B308" s="1"/>
      <c r="C308" s="1"/>
      <c r="D308" s="1"/>
      <c r="E308" s="1"/>
      <c r="F308" s="1"/>
      <c r="G308" s="1"/>
      <c r="H308" s="1"/>
      <c r="I308" s="1"/>
      <c r="J308" s="1"/>
      <c r="K308" s="1"/>
      <c r="L308" s="1"/>
      <c r="M308" s="1"/>
      <c r="N308" s="1"/>
      <c r="O308" s="1"/>
      <c r="P308" s="1"/>
      <c r="Q308" s="1"/>
      <c r="R308" s="1"/>
      <c r="S308" s="1"/>
      <c r="T308" s="1"/>
      <c r="U308" s="2"/>
      <c r="V308" s="1"/>
      <c r="W308" s="1"/>
      <c r="X308" s="1"/>
      <c r="Y308" s="1"/>
      <c r="Z308" s="1"/>
    </row>
    <row r="309" spans="1:26" ht="24.75" customHeight="1">
      <c r="A309" s="1"/>
      <c r="B309" s="1"/>
      <c r="C309" s="1"/>
      <c r="D309" s="1"/>
      <c r="E309" s="1"/>
      <c r="F309" s="1"/>
      <c r="G309" s="1"/>
      <c r="H309" s="1"/>
      <c r="I309" s="1"/>
      <c r="J309" s="1"/>
      <c r="K309" s="1"/>
      <c r="L309" s="1"/>
      <c r="M309" s="1"/>
      <c r="N309" s="1"/>
      <c r="O309" s="1"/>
      <c r="P309" s="1"/>
      <c r="Q309" s="1"/>
      <c r="R309" s="1"/>
      <c r="S309" s="1"/>
      <c r="T309" s="1"/>
      <c r="U309" s="2"/>
      <c r="V309" s="1"/>
      <c r="W309" s="1"/>
      <c r="X309" s="1"/>
      <c r="Y309" s="1"/>
      <c r="Z309" s="1"/>
    </row>
    <row r="310" spans="1:26" ht="24.75" customHeight="1">
      <c r="A310" s="1"/>
      <c r="B310" s="1"/>
      <c r="C310" s="1"/>
      <c r="D310" s="1"/>
      <c r="E310" s="1"/>
      <c r="F310" s="1"/>
      <c r="G310" s="1"/>
      <c r="H310" s="1"/>
      <c r="I310" s="1"/>
      <c r="J310" s="1"/>
      <c r="K310" s="1"/>
      <c r="L310" s="1"/>
      <c r="M310" s="1"/>
      <c r="N310" s="1"/>
      <c r="O310" s="1"/>
      <c r="P310" s="1"/>
      <c r="Q310" s="1"/>
      <c r="R310" s="1"/>
      <c r="S310" s="1"/>
      <c r="T310" s="1"/>
      <c r="U310" s="2"/>
      <c r="V310" s="1"/>
      <c r="W310" s="1"/>
      <c r="X310" s="1"/>
      <c r="Y310" s="1"/>
      <c r="Z310" s="1"/>
    </row>
    <row r="311" spans="1:26" ht="24.75" customHeight="1">
      <c r="A311" s="1"/>
      <c r="B311" s="1"/>
      <c r="C311" s="1"/>
      <c r="D311" s="1"/>
      <c r="E311" s="1"/>
      <c r="F311" s="1"/>
      <c r="G311" s="1"/>
      <c r="H311" s="1"/>
      <c r="I311" s="1"/>
      <c r="J311" s="1"/>
      <c r="K311" s="1"/>
      <c r="L311" s="1"/>
      <c r="M311" s="1"/>
      <c r="N311" s="1"/>
      <c r="O311" s="1"/>
      <c r="P311" s="1"/>
      <c r="Q311" s="1"/>
      <c r="R311" s="1"/>
      <c r="S311" s="1"/>
      <c r="T311" s="1"/>
      <c r="U311" s="2"/>
      <c r="V311" s="1"/>
      <c r="W311" s="1"/>
      <c r="X311" s="1"/>
      <c r="Y311" s="1"/>
      <c r="Z311" s="1"/>
    </row>
    <row r="312" spans="1:26" ht="24.75" customHeight="1">
      <c r="A312" s="1"/>
      <c r="B312" s="1"/>
      <c r="C312" s="1"/>
      <c r="D312" s="1"/>
      <c r="E312" s="1"/>
      <c r="F312" s="1"/>
      <c r="G312" s="1"/>
      <c r="H312" s="1"/>
      <c r="I312" s="1"/>
      <c r="J312" s="1"/>
      <c r="K312" s="1"/>
      <c r="L312" s="1"/>
      <c r="M312" s="1"/>
      <c r="N312" s="1"/>
      <c r="O312" s="1"/>
      <c r="P312" s="1"/>
      <c r="Q312" s="1"/>
      <c r="R312" s="1"/>
      <c r="S312" s="1"/>
      <c r="T312" s="1"/>
      <c r="U312" s="2"/>
      <c r="V312" s="1"/>
      <c r="W312" s="1"/>
      <c r="X312" s="1"/>
      <c r="Y312" s="1"/>
      <c r="Z312" s="1"/>
    </row>
    <row r="313" spans="1:26" ht="24.75" customHeight="1">
      <c r="A313" s="1"/>
      <c r="B313" s="1"/>
      <c r="C313" s="1"/>
      <c r="D313" s="1"/>
      <c r="E313" s="1"/>
      <c r="F313" s="1"/>
      <c r="G313" s="1"/>
      <c r="H313" s="1"/>
      <c r="I313" s="1"/>
      <c r="J313" s="1"/>
      <c r="K313" s="1"/>
      <c r="L313" s="1"/>
      <c r="M313" s="1"/>
      <c r="N313" s="1"/>
      <c r="O313" s="1"/>
      <c r="P313" s="1"/>
      <c r="Q313" s="1"/>
      <c r="R313" s="1"/>
      <c r="S313" s="1"/>
      <c r="T313" s="1"/>
      <c r="U313" s="2"/>
      <c r="V313" s="1"/>
      <c r="W313" s="1"/>
      <c r="X313" s="1"/>
      <c r="Y313" s="1"/>
      <c r="Z313" s="1"/>
    </row>
    <row r="314" spans="1:26" ht="24.75" customHeight="1">
      <c r="A314" s="1"/>
      <c r="B314" s="1"/>
      <c r="C314" s="1"/>
      <c r="D314" s="1"/>
      <c r="E314" s="1"/>
      <c r="F314" s="1"/>
      <c r="G314" s="1"/>
      <c r="H314" s="1"/>
      <c r="I314" s="1"/>
      <c r="J314" s="1"/>
      <c r="K314" s="1"/>
      <c r="L314" s="1"/>
      <c r="M314" s="1"/>
      <c r="N314" s="1"/>
      <c r="O314" s="1"/>
      <c r="P314" s="1"/>
      <c r="Q314" s="1"/>
      <c r="R314" s="1"/>
      <c r="S314" s="1"/>
      <c r="T314" s="1"/>
      <c r="U314" s="2"/>
      <c r="V314" s="1"/>
      <c r="W314" s="1"/>
      <c r="X314" s="1"/>
      <c r="Y314" s="1"/>
      <c r="Z314" s="1"/>
    </row>
    <row r="315" spans="1:26" ht="24.75" customHeight="1">
      <c r="A315" s="1"/>
      <c r="B315" s="1"/>
      <c r="C315" s="1"/>
      <c r="D315" s="1"/>
      <c r="E315" s="1"/>
      <c r="F315" s="1"/>
      <c r="G315" s="1"/>
      <c r="H315" s="1"/>
      <c r="I315" s="1"/>
      <c r="J315" s="1"/>
      <c r="K315" s="1"/>
      <c r="L315" s="1"/>
      <c r="M315" s="1"/>
      <c r="N315" s="1"/>
      <c r="O315" s="1"/>
      <c r="P315" s="1"/>
      <c r="Q315" s="1"/>
      <c r="R315" s="1"/>
      <c r="S315" s="1"/>
      <c r="T315" s="1"/>
      <c r="U315" s="2"/>
      <c r="V315" s="1"/>
      <c r="W315" s="1"/>
      <c r="X315" s="1"/>
      <c r="Y315" s="1"/>
      <c r="Z315" s="1"/>
    </row>
    <row r="316" spans="1:26" ht="24.75" customHeight="1">
      <c r="A316" s="1"/>
      <c r="B316" s="1"/>
      <c r="C316" s="1"/>
      <c r="D316" s="1"/>
      <c r="E316" s="1"/>
      <c r="F316" s="1"/>
      <c r="G316" s="1"/>
      <c r="H316" s="1"/>
      <c r="I316" s="1"/>
      <c r="J316" s="1"/>
      <c r="K316" s="1"/>
      <c r="L316" s="1"/>
      <c r="M316" s="1"/>
      <c r="N316" s="1"/>
      <c r="O316" s="1"/>
      <c r="P316" s="1"/>
      <c r="Q316" s="1"/>
      <c r="R316" s="1"/>
      <c r="S316" s="1"/>
      <c r="T316" s="1"/>
      <c r="U316" s="2"/>
      <c r="V316" s="1"/>
      <c r="W316" s="1"/>
      <c r="X316" s="1"/>
      <c r="Y316" s="1"/>
      <c r="Z316" s="1"/>
    </row>
    <row r="317" spans="1:26" ht="24.75" customHeight="1">
      <c r="A317" s="1"/>
      <c r="B317" s="1"/>
      <c r="C317" s="1"/>
      <c r="D317" s="1"/>
      <c r="E317" s="1"/>
      <c r="F317" s="1"/>
      <c r="G317" s="1"/>
      <c r="H317" s="1"/>
      <c r="I317" s="1"/>
      <c r="J317" s="1"/>
      <c r="K317" s="1"/>
      <c r="L317" s="1"/>
      <c r="M317" s="1"/>
      <c r="N317" s="1"/>
      <c r="O317" s="1"/>
      <c r="P317" s="1"/>
      <c r="Q317" s="1"/>
      <c r="R317" s="1"/>
      <c r="S317" s="1"/>
      <c r="T317" s="1"/>
      <c r="U317" s="2"/>
      <c r="V317" s="1"/>
      <c r="W317" s="1"/>
      <c r="X317" s="1"/>
      <c r="Y317" s="1"/>
      <c r="Z317" s="1"/>
    </row>
    <row r="318" spans="1:26" ht="24.75" customHeight="1">
      <c r="A318" s="1"/>
      <c r="B318" s="1"/>
      <c r="C318" s="1"/>
      <c r="D318" s="1"/>
      <c r="E318" s="1"/>
      <c r="F318" s="1"/>
      <c r="G318" s="1"/>
      <c r="H318" s="1"/>
      <c r="I318" s="1"/>
      <c r="J318" s="1"/>
      <c r="K318" s="1"/>
      <c r="L318" s="1"/>
      <c r="M318" s="1"/>
      <c r="N318" s="1"/>
      <c r="O318" s="1"/>
      <c r="P318" s="1"/>
      <c r="Q318" s="1"/>
      <c r="R318" s="1"/>
      <c r="S318" s="1"/>
      <c r="T318" s="1"/>
      <c r="U318" s="2"/>
      <c r="V318" s="1"/>
      <c r="W318" s="1"/>
      <c r="X318" s="1"/>
      <c r="Y318" s="1"/>
      <c r="Z318" s="1"/>
    </row>
    <row r="319" spans="1:26" ht="24.75" customHeight="1">
      <c r="A319" s="1"/>
      <c r="B319" s="1"/>
      <c r="C319" s="1"/>
      <c r="D319" s="1"/>
      <c r="E319" s="1"/>
      <c r="F319" s="1"/>
      <c r="G319" s="1"/>
      <c r="H319" s="1"/>
      <c r="I319" s="1"/>
      <c r="J319" s="1"/>
      <c r="K319" s="1"/>
      <c r="L319" s="1"/>
      <c r="M319" s="1"/>
      <c r="N319" s="1"/>
      <c r="O319" s="1"/>
      <c r="P319" s="1"/>
      <c r="Q319" s="1"/>
      <c r="R319" s="1"/>
      <c r="S319" s="1"/>
      <c r="T319" s="1"/>
      <c r="U319" s="2"/>
      <c r="V319" s="1"/>
      <c r="W319" s="1"/>
      <c r="X319" s="1"/>
      <c r="Y319" s="1"/>
      <c r="Z319" s="1"/>
    </row>
    <row r="320" spans="1:26" ht="24.75" customHeight="1">
      <c r="A320" s="1"/>
      <c r="B320" s="1"/>
      <c r="C320" s="1"/>
      <c r="D320" s="1"/>
      <c r="E320" s="1"/>
      <c r="F320" s="1"/>
      <c r="G320" s="1"/>
      <c r="H320" s="1"/>
      <c r="I320" s="1"/>
      <c r="J320" s="1"/>
      <c r="K320" s="1"/>
      <c r="L320" s="1"/>
      <c r="M320" s="1"/>
      <c r="N320" s="1"/>
      <c r="O320" s="1"/>
      <c r="P320" s="1"/>
      <c r="Q320" s="1"/>
      <c r="R320" s="1"/>
      <c r="S320" s="1"/>
      <c r="T320" s="1"/>
      <c r="U320" s="2"/>
      <c r="V320" s="1"/>
      <c r="W320" s="1"/>
      <c r="X320" s="1"/>
      <c r="Y320" s="1"/>
      <c r="Z320" s="1"/>
    </row>
    <row r="321" spans="1:26" ht="24.75" customHeight="1">
      <c r="A321" s="1"/>
      <c r="B321" s="1"/>
      <c r="C321" s="1"/>
      <c r="D321" s="1"/>
      <c r="E321" s="1"/>
      <c r="F321" s="1"/>
      <c r="G321" s="1"/>
      <c r="H321" s="1"/>
      <c r="I321" s="1"/>
      <c r="J321" s="1"/>
      <c r="K321" s="1"/>
      <c r="L321" s="1"/>
      <c r="M321" s="1"/>
      <c r="N321" s="1"/>
      <c r="O321" s="1"/>
      <c r="P321" s="1"/>
      <c r="Q321" s="1"/>
      <c r="R321" s="1"/>
      <c r="S321" s="1"/>
      <c r="T321" s="1"/>
      <c r="U321" s="2"/>
      <c r="V321" s="1"/>
      <c r="W321" s="1"/>
      <c r="X321" s="1"/>
      <c r="Y321" s="1"/>
      <c r="Z321" s="1"/>
    </row>
    <row r="322" spans="1:26" ht="24.75" customHeight="1">
      <c r="A322" s="1"/>
      <c r="B322" s="1"/>
      <c r="C322" s="1"/>
      <c r="D322" s="1"/>
      <c r="E322" s="1"/>
      <c r="F322" s="1"/>
      <c r="G322" s="1"/>
      <c r="H322" s="1"/>
      <c r="I322" s="1"/>
      <c r="J322" s="1"/>
      <c r="K322" s="1"/>
      <c r="L322" s="1"/>
      <c r="M322" s="1"/>
      <c r="N322" s="1"/>
      <c r="O322" s="1"/>
      <c r="P322" s="1"/>
      <c r="Q322" s="1"/>
      <c r="R322" s="1"/>
      <c r="S322" s="1"/>
      <c r="T322" s="1"/>
      <c r="U322" s="2"/>
      <c r="V322" s="1"/>
      <c r="W322" s="1"/>
      <c r="X322" s="1"/>
      <c r="Y322" s="1"/>
      <c r="Z322" s="1"/>
    </row>
    <row r="323" spans="1:26" ht="24.75" customHeight="1">
      <c r="A323" s="1"/>
      <c r="B323" s="1"/>
      <c r="C323" s="1"/>
      <c r="D323" s="1"/>
      <c r="E323" s="1"/>
      <c r="F323" s="1"/>
      <c r="G323" s="1"/>
      <c r="H323" s="1"/>
      <c r="I323" s="1"/>
      <c r="J323" s="1"/>
      <c r="K323" s="1"/>
      <c r="L323" s="1"/>
      <c r="M323" s="1"/>
      <c r="N323" s="1"/>
      <c r="O323" s="1"/>
      <c r="P323" s="1"/>
      <c r="Q323" s="1"/>
      <c r="R323" s="1"/>
      <c r="S323" s="1"/>
      <c r="T323" s="1"/>
      <c r="U323" s="2"/>
      <c r="V323" s="1"/>
      <c r="W323" s="1"/>
      <c r="X323" s="1"/>
      <c r="Y323" s="1"/>
      <c r="Z323" s="1"/>
    </row>
    <row r="324" spans="1:26" ht="24.75" customHeight="1">
      <c r="A324" s="1"/>
      <c r="B324" s="1"/>
      <c r="C324" s="1"/>
      <c r="D324" s="1"/>
      <c r="E324" s="1"/>
      <c r="F324" s="1"/>
      <c r="G324" s="1"/>
      <c r="H324" s="1"/>
      <c r="I324" s="1"/>
      <c r="J324" s="1"/>
      <c r="K324" s="1"/>
      <c r="L324" s="1"/>
      <c r="M324" s="1"/>
      <c r="N324" s="1"/>
      <c r="O324" s="1"/>
      <c r="P324" s="1"/>
      <c r="Q324" s="1"/>
      <c r="R324" s="1"/>
      <c r="S324" s="1"/>
      <c r="T324" s="1"/>
      <c r="U324" s="2"/>
      <c r="V324" s="1"/>
      <c r="W324" s="1"/>
      <c r="X324" s="1"/>
      <c r="Y324" s="1"/>
      <c r="Z324" s="1"/>
    </row>
    <row r="325" spans="1:26" ht="24.75" customHeight="1">
      <c r="A325" s="1"/>
      <c r="B325" s="1"/>
      <c r="C325" s="1"/>
      <c r="D325" s="1"/>
      <c r="E325" s="1"/>
      <c r="F325" s="1"/>
      <c r="G325" s="1"/>
      <c r="H325" s="1"/>
      <c r="I325" s="1"/>
      <c r="J325" s="1"/>
      <c r="K325" s="1"/>
      <c r="L325" s="1"/>
      <c r="M325" s="1"/>
      <c r="N325" s="1"/>
      <c r="O325" s="1"/>
      <c r="P325" s="1"/>
      <c r="Q325" s="1"/>
      <c r="R325" s="1"/>
      <c r="S325" s="1"/>
      <c r="T325" s="1"/>
      <c r="U325" s="2"/>
      <c r="V325" s="1"/>
      <c r="W325" s="1"/>
      <c r="X325" s="1"/>
      <c r="Y325" s="1"/>
      <c r="Z325" s="1"/>
    </row>
    <row r="326" spans="1:26" ht="24.75" customHeight="1">
      <c r="A326" s="1"/>
      <c r="B326" s="1"/>
      <c r="C326" s="1"/>
      <c r="D326" s="1"/>
      <c r="E326" s="1"/>
      <c r="F326" s="1"/>
      <c r="G326" s="1"/>
      <c r="H326" s="1"/>
      <c r="I326" s="1"/>
      <c r="J326" s="1"/>
      <c r="K326" s="1"/>
      <c r="L326" s="1"/>
      <c r="M326" s="1"/>
      <c r="N326" s="1"/>
      <c r="O326" s="1"/>
      <c r="P326" s="1"/>
      <c r="Q326" s="1"/>
      <c r="R326" s="1"/>
      <c r="S326" s="1"/>
      <c r="T326" s="1"/>
      <c r="U326" s="2"/>
      <c r="V326" s="1"/>
      <c r="W326" s="1"/>
      <c r="X326" s="1"/>
      <c r="Y326" s="1"/>
      <c r="Z326" s="1"/>
    </row>
    <row r="327" spans="1:26" ht="24.75" customHeight="1">
      <c r="A327" s="1"/>
      <c r="B327" s="1"/>
      <c r="C327" s="1"/>
      <c r="D327" s="1"/>
      <c r="E327" s="1"/>
      <c r="F327" s="1"/>
      <c r="G327" s="1"/>
      <c r="H327" s="1"/>
      <c r="I327" s="1"/>
      <c r="J327" s="1"/>
      <c r="K327" s="1"/>
      <c r="L327" s="1"/>
      <c r="M327" s="1"/>
      <c r="N327" s="1"/>
      <c r="O327" s="1"/>
      <c r="P327" s="1"/>
      <c r="Q327" s="1"/>
      <c r="R327" s="1"/>
      <c r="S327" s="1"/>
      <c r="T327" s="1"/>
      <c r="U327" s="2"/>
      <c r="V327" s="1"/>
      <c r="W327" s="1"/>
      <c r="X327" s="1"/>
      <c r="Y327" s="1"/>
      <c r="Z327" s="1"/>
    </row>
    <row r="328" spans="1:26" ht="24.75" customHeight="1">
      <c r="A328" s="1"/>
      <c r="B328" s="1"/>
      <c r="C328" s="1"/>
      <c r="D328" s="1"/>
      <c r="E328" s="1"/>
      <c r="F328" s="1"/>
      <c r="G328" s="1"/>
      <c r="H328" s="1"/>
      <c r="I328" s="1"/>
      <c r="J328" s="1"/>
      <c r="K328" s="1"/>
      <c r="L328" s="1"/>
      <c r="M328" s="1"/>
      <c r="N328" s="1"/>
      <c r="O328" s="1"/>
      <c r="P328" s="1"/>
      <c r="Q328" s="1"/>
      <c r="R328" s="1"/>
      <c r="S328" s="1"/>
      <c r="T328" s="1"/>
      <c r="U328" s="2"/>
      <c r="V328" s="1"/>
      <c r="W328" s="1"/>
      <c r="X328" s="1"/>
      <c r="Y328" s="1"/>
      <c r="Z328" s="1"/>
    </row>
    <row r="329" spans="1:26" ht="24.75" customHeight="1">
      <c r="A329" s="1"/>
      <c r="B329" s="1"/>
      <c r="C329" s="1"/>
      <c r="D329" s="1"/>
      <c r="E329" s="1"/>
      <c r="F329" s="1"/>
      <c r="G329" s="1"/>
      <c r="H329" s="1"/>
      <c r="I329" s="1"/>
      <c r="J329" s="1"/>
      <c r="K329" s="1"/>
      <c r="L329" s="1"/>
      <c r="M329" s="1"/>
      <c r="N329" s="1"/>
      <c r="O329" s="1"/>
      <c r="P329" s="1"/>
      <c r="Q329" s="1"/>
      <c r="R329" s="1"/>
      <c r="S329" s="1"/>
      <c r="T329" s="1"/>
      <c r="U329" s="2"/>
      <c r="V329" s="1"/>
      <c r="W329" s="1"/>
      <c r="X329" s="1"/>
      <c r="Y329" s="1"/>
      <c r="Z329" s="1"/>
    </row>
    <row r="330" spans="1:26" ht="24.75" customHeight="1">
      <c r="A330" s="1"/>
      <c r="B330" s="1"/>
      <c r="C330" s="1"/>
      <c r="D330" s="1"/>
      <c r="E330" s="1"/>
      <c r="F330" s="1"/>
      <c r="G330" s="1"/>
      <c r="H330" s="1"/>
      <c r="I330" s="1"/>
      <c r="J330" s="1"/>
      <c r="K330" s="1"/>
      <c r="L330" s="1"/>
      <c r="M330" s="1"/>
      <c r="N330" s="1"/>
      <c r="O330" s="1"/>
      <c r="P330" s="1"/>
      <c r="Q330" s="1"/>
      <c r="R330" s="1"/>
      <c r="S330" s="1"/>
      <c r="T330" s="1"/>
      <c r="U330" s="2"/>
      <c r="V330" s="1"/>
      <c r="W330" s="1"/>
      <c r="X330" s="1"/>
      <c r="Y330" s="1"/>
      <c r="Z330" s="1"/>
    </row>
    <row r="331" spans="1:26" ht="24.75" customHeight="1">
      <c r="A331" s="1"/>
      <c r="B331" s="1"/>
      <c r="C331" s="1"/>
      <c r="D331" s="1"/>
      <c r="E331" s="1"/>
      <c r="F331" s="1"/>
      <c r="G331" s="1"/>
      <c r="H331" s="1"/>
      <c r="I331" s="1"/>
      <c r="J331" s="1"/>
      <c r="K331" s="1"/>
      <c r="L331" s="1"/>
      <c r="M331" s="1"/>
      <c r="N331" s="1"/>
      <c r="O331" s="1"/>
      <c r="P331" s="1"/>
      <c r="Q331" s="1"/>
      <c r="R331" s="1"/>
      <c r="S331" s="1"/>
      <c r="T331" s="1"/>
      <c r="U331" s="2"/>
      <c r="V331" s="1"/>
      <c r="W331" s="1"/>
      <c r="X331" s="1"/>
      <c r="Y331" s="1"/>
      <c r="Z331" s="1"/>
    </row>
    <row r="332" spans="1:26" ht="24.75" customHeight="1">
      <c r="A332" s="1"/>
      <c r="B332" s="1"/>
      <c r="C332" s="1"/>
      <c r="D332" s="1"/>
      <c r="E332" s="1"/>
      <c r="F332" s="1"/>
      <c r="G332" s="1"/>
      <c r="H332" s="1"/>
      <c r="I332" s="1"/>
      <c r="J332" s="1"/>
      <c r="K332" s="1"/>
      <c r="L332" s="1"/>
      <c r="M332" s="1"/>
      <c r="N332" s="1"/>
      <c r="O332" s="1"/>
      <c r="P332" s="1"/>
      <c r="Q332" s="1"/>
      <c r="R332" s="1"/>
      <c r="S332" s="1"/>
      <c r="T332" s="1"/>
      <c r="U332" s="2"/>
      <c r="V332" s="1"/>
      <c r="W332" s="1"/>
      <c r="X332" s="1"/>
      <c r="Y332" s="1"/>
      <c r="Z332" s="1"/>
    </row>
    <row r="333" spans="1:26" ht="24.75" customHeight="1">
      <c r="A333" s="1"/>
      <c r="B333" s="1"/>
      <c r="C333" s="1"/>
      <c r="D333" s="1"/>
      <c r="E333" s="1"/>
      <c r="F333" s="1"/>
      <c r="G333" s="1"/>
      <c r="H333" s="1"/>
      <c r="I333" s="1"/>
      <c r="J333" s="1"/>
      <c r="K333" s="1"/>
      <c r="L333" s="1"/>
      <c r="M333" s="1"/>
      <c r="N333" s="1"/>
      <c r="O333" s="1"/>
      <c r="P333" s="1"/>
      <c r="Q333" s="1"/>
      <c r="R333" s="1"/>
      <c r="S333" s="1"/>
      <c r="T333" s="1"/>
      <c r="U333" s="2"/>
      <c r="V333" s="1"/>
      <c r="W333" s="1"/>
      <c r="X333" s="1"/>
      <c r="Y333" s="1"/>
      <c r="Z333" s="1"/>
    </row>
    <row r="334" spans="1:26" ht="24.75" customHeight="1">
      <c r="A334" s="1"/>
      <c r="B334" s="1"/>
      <c r="C334" s="1"/>
      <c r="D334" s="1"/>
      <c r="E334" s="1"/>
      <c r="F334" s="1"/>
      <c r="G334" s="1"/>
      <c r="H334" s="1"/>
      <c r="I334" s="1"/>
      <c r="J334" s="1"/>
      <c r="K334" s="1"/>
      <c r="L334" s="1"/>
      <c r="M334" s="1"/>
      <c r="N334" s="1"/>
      <c r="O334" s="1"/>
      <c r="P334" s="1"/>
      <c r="Q334" s="1"/>
      <c r="R334" s="1"/>
      <c r="S334" s="1"/>
      <c r="T334" s="1"/>
      <c r="U334" s="2"/>
      <c r="V334" s="1"/>
      <c r="W334" s="1"/>
      <c r="X334" s="1"/>
      <c r="Y334" s="1"/>
      <c r="Z334" s="1"/>
    </row>
    <row r="335" spans="1:26" ht="24.75" customHeight="1">
      <c r="A335" s="1"/>
      <c r="B335" s="1"/>
      <c r="C335" s="1"/>
      <c r="D335" s="1"/>
      <c r="E335" s="1"/>
      <c r="F335" s="1"/>
      <c r="G335" s="1"/>
      <c r="H335" s="1"/>
      <c r="I335" s="1"/>
      <c r="J335" s="1"/>
      <c r="K335" s="1"/>
      <c r="L335" s="1"/>
      <c r="M335" s="1"/>
      <c r="N335" s="1"/>
      <c r="O335" s="1"/>
      <c r="P335" s="1"/>
      <c r="Q335" s="1"/>
      <c r="R335" s="1"/>
      <c r="S335" s="1"/>
      <c r="T335" s="1"/>
      <c r="U335" s="2"/>
      <c r="V335" s="1"/>
      <c r="W335" s="1"/>
      <c r="X335" s="1"/>
      <c r="Y335" s="1"/>
      <c r="Z335" s="1"/>
    </row>
    <row r="336" spans="1:26" ht="24.75" customHeight="1">
      <c r="A336" s="1"/>
      <c r="B336" s="1"/>
      <c r="C336" s="1"/>
      <c r="D336" s="1"/>
      <c r="E336" s="1"/>
      <c r="F336" s="1"/>
      <c r="G336" s="1"/>
      <c r="H336" s="1"/>
      <c r="I336" s="1"/>
      <c r="J336" s="1"/>
      <c r="K336" s="1"/>
      <c r="L336" s="1"/>
      <c r="M336" s="1"/>
      <c r="N336" s="1"/>
      <c r="O336" s="1"/>
      <c r="P336" s="1"/>
      <c r="Q336" s="1"/>
      <c r="R336" s="1"/>
      <c r="S336" s="1"/>
      <c r="T336" s="1"/>
      <c r="U336" s="2"/>
      <c r="V336" s="1"/>
      <c r="W336" s="1"/>
      <c r="X336" s="1"/>
      <c r="Y336" s="1"/>
      <c r="Z336" s="1"/>
    </row>
    <row r="337" spans="1:26" ht="24.75" customHeight="1">
      <c r="A337" s="1"/>
      <c r="B337" s="1"/>
      <c r="C337" s="1"/>
      <c r="D337" s="1"/>
      <c r="E337" s="1"/>
      <c r="F337" s="1"/>
      <c r="G337" s="1"/>
      <c r="H337" s="1"/>
      <c r="I337" s="1"/>
      <c r="J337" s="1"/>
      <c r="K337" s="1"/>
      <c r="L337" s="1"/>
      <c r="M337" s="1"/>
      <c r="N337" s="1"/>
      <c r="O337" s="1"/>
      <c r="P337" s="1"/>
      <c r="Q337" s="1"/>
      <c r="R337" s="1"/>
      <c r="S337" s="1"/>
      <c r="T337" s="1"/>
      <c r="U337" s="2"/>
      <c r="V337" s="1"/>
      <c r="W337" s="1"/>
      <c r="X337" s="1"/>
      <c r="Y337" s="1"/>
      <c r="Z337" s="1"/>
    </row>
    <row r="338" spans="1:26" ht="24.75" customHeight="1">
      <c r="A338" s="1"/>
      <c r="B338" s="1"/>
      <c r="C338" s="1"/>
      <c r="D338" s="1"/>
      <c r="E338" s="1"/>
      <c r="F338" s="1"/>
      <c r="G338" s="1"/>
      <c r="H338" s="1"/>
      <c r="I338" s="1"/>
      <c r="J338" s="1"/>
      <c r="K338" s="1"/>
      <c r="L338" s="1"/>
      <c r="M338" s="1"/>
      <c r="N338" s="1"/>
      <c r="O338" s="1"/>
      <c r="P338" s="1"/>
      <c r="Q338" s="1"/>
      <c r="R338" s="1"/>
      <c r="S338" s="1"/>
      <c r="T338" s="1"/>
      <c r="U338" s="2"/>
      <c r="V338" s="1"/>
      <c r="W338" s="1"/>
      <c r="X338" s="1"/>
      <c r="Y338" s="1"/>
      <c r="Z338" s="1"/>
    </row>
    <row r="339" spans="1:26" ht="24.75" customHeight="1">
      <c r="A339" s="1"/>
      <c r="B339" s="1"/>
      <c r="C339" s="1"/>
      <c r="D339" s="1"/>
      <c r="E339" s="1"/>
      <c r="F339" s="1"/>
      <c r="G339" s="1"/>
      <c r="H339" s="1"/>
      <c r="I339" s="1"/>
      <c r="J339" s="1"/>
      <c r="K339" s="1"/>
      <c r="L339" s="1"/>
      <c r="M339" s="1"/>
      <c r="N339" s="1"/>
      <c r="O339" s="1"/>
      <c r="P339" s="1"/>
      <c r="Q339" s="1"/>
      <c r="R339" s="1"/>
      <c r="S339" s="1"/>
      <c r="T339" s="1"/>
      <c r="U339" s="2"/>
      <c r="V339" s="1"/>
      <c r="W339" s="1"/>
      <c r="X339" s="1"/>
      <c r="Y339" s="1"/>
      <c r="Z339" s="1"/>
    </row>
    <row r="340" spans="1:26" ht="24.75" customHeight="1">
      <c r="A340" s="1"/>
      <c r="B340" s="1"/>
      <c r="C340" s="1"/>
      <c r="D340" s="1"/>
      <c r="E340" s="1"/>
      <c r="F340" s="1"/>
      <c r="G340" s="1"/>
      <c r="H340" s="1"/>
      <c r="I340" s="1"/>
      <c r="J340" s="1"/>
      <c r="K340" s="1"/>
      <c r="L340" s="1"/>
      <c r="M340" s="1"/>
      <c r="N340" s="1"/>
      <c r="O340" s="1"/>
      <c r="P340" s="1"/>
      <c r="Q340" s="1"/>
      <c r="R340" s="1"/>
      <c r="S340" s="1"/>
      <c r="T340" s="1"/>
      <c r="U340" s="2"/>
      <c r="V340" s="1"/>
      <c r="W340" s="1"/>
      <c r="X340" s="1"/>
      <c r="Y340" s="1"/>
      <c r="Z340" s="1"/>
    </row>
    <row r="341" spans="1:26" ht="24.75" customHeight="1">
      <c r="A341" s="1"/>
      <c r="B341" s="1"/>
      <c r="C341" s="1"/>
      <c r="D341" s="1"/>
      <c r="E341" s="1"/>
      <c r="F341" s="1"/>
      <c r="G341" s="1"/>
      <c r="H341" s="1"/>
      <c r="I341" s="1"/>
      <c r="J341" s="1"/>
      <c r="K341" s="1"/>
      <c r="L341" s="1"/>
      <c r="M341" s="1"/>
      <c r="N341" s="1"/>
      <c r="O341" s="1"/>
      <c r="P341" s="1"/>
      <c r="Q341" s="1"/>
      <c r="R341" s="1"/>
      <c r="S341" s="1"/>
      <c r="T341" s="1"/>
      <c r="U341" s="2"/>
      <c r="V341" s="1"/>
      <c r="W341" s="1"/>
      <c r="X341" s="1"/>
      <c r="Y341" s="1"/>
      <c r="Z341" s="1"/>
    </row>
    <row r="342" spans="1:26" ht="24.75" customHeight="1">
      <c r="A342" s="1"/>
      <c r="B342" s="1"/>
      <c r="C342" s="1"/>
      <c r="D342" s="1"/>
      <c r="E342" s="1"/>
      <c r="F342" s="1"/>
      <c r="G342" s="1"/>
      <c r="H342" s="1"/>
      <c r="I342" s="1"/>
      <c r="J342" s="1"/>
      <c r="K342" s="1"/>
      <c r="L342" s="1"/>
      <c r="M342" s="1"/>
      <c r="N342" s="1"/>
      <c r="O342" s="1"/>
      <c r="P342" s="1"/>
      <c r="Q342" s="1"/>
      <c r="R342" s="1"/>
      <c r="S342" s="1"/>
      <c r="T342" s="1"/>
      <c r="U342" s="2"/>
      <c r="V342" s="1"/>
      <c r="W342" s="1"/>
      <c r="X342" s="1"/>
      <c r="Y342" s="1"/>
      <c r="Z342" s="1"/>
    </row>
    <row r="343" spans="1:26" ht="24.75" customHeight="1">
      <c r="A343" s="1"/>
      <c r="B343" s="1"/>
      <c r="C343" s="1"/>
      <c r="D343" s="1"/>
      <c r="E343" s="1"/>
      <c r="F343" s="1"/>
      <c r="G343" s="1"/>
      <c r="H343" s="1"/>
      <c r="I343" s="1"/>
      <c r="J343" s="1"/>
      <c r="K343" s="1"/>
      <c r="L343" s="1"/>
      <c r="M343" s="1"/>
      <c r="N343" s="1"/>
      <c r="O343" s="1"/>
      <c r="P343" s="1"/>
      <c r="Q343" s="1"/>
      <c r="R343" s="1"/>
      <c r="S343" s="1"/>
      <c r="T343" s="1"/>
      <c r="U343" s="2"/>
      <c r="V343" s="1"/>
      <c r="W343" s="1"/>
      <c r="X343" s="1"/>
      <c r="Y343" s="1"/>
      <c r="Z343" s="1"/>
    </row>
    <row r="344" spans="1:26" ht="24.75" customHeight="1">
      <c r="A344" s="1"/>
      <c r="B344" s="1"/>
      <c r="C344" s="1"/>
      <c r="D344" s="1"/>
      <c r="E344" s="1"/>
      <c r="F344" s="1"/>
      <c r="G344" s="1"/>
      <c r="H344" s="1"/>
      <c r="I344" s="1"/>
      <c r="J344" s="1"/>
      <c r="K344" s="1"/>
      <c r="L344" s="1"/>
      <c r="M344" s="1"/>
      <c r="N344" s="1"/>
      <c r="O344" s="1"/>
      <c r="P344" s="1"/>
      <c r="Q344" s="1"/>
      <c r="R344" s="1"/>
      <c r="S344" s="1"/>
      <c r="T344" s="1"/>
      <c r="U344" s="2"/>
      <c r="V344" s="1"/>
      <c r="W344" s="1"/>
      <c r="X344" s="1"/>
      <c r="Y344" s="1"/>
      <c r="Z344" s="1"/>
    </row>
    <row r="345" spans="1:26" ht="24.75" customHeight="1">
      <c r="A345" s="1"/>
      <c r="B345" s="1"/>
      <c r="C345" s="1"/>
      <c r="D345" s="1"/>
      <c r="E345" s="1"/>
      <c r="F345" s="1"/>
      <c r="G345" s="1"/>
      <c r="H345" s="1"/>
      <c r="I345" s="1"/>
      <c r="J345" s="1"/>
      <c r="K345" s="1"/>
      <c r="L345" s="1"/>
      <c r="M345" s="1"/>
      <c r="N345" s="1"/>
      <c r="O345" s="1"/>
      <c r="P345" s="1"/>
      <c r="Q345" s="1"/>
      <c r="R345" s="1"/>
      <c r="S345" s="1"/>
      <c r="T345" s="1"/>
      <c r="U345" s="2"/>
      <c r="V345" s="1"/>
      <c r="W345" s="1"/>
      <c r="X345" s="1"/>
      <c r="Y345" s="1"/>
      <c r="Z345" s="1"/>
    </row>
    <row r="346" spans="1:26" ht="24.75" customHeight="1">
      <c r="A346" s="1"/>
      <c r="B346" s="1"/>
      <c r="C346" s="1"/>
      <c r="D346" s="1"/>
      <c r="E346" s="1"/>
      <c r="F346" s="1"/>
      <c r="G346" s="1"/>
      <c r="H346" s="1"/>
      <c r="I346" s="1"/>
      <c r="J346" s="1"/>
      <c r="K346" s="1"/>
      <c r="L346" s="1"/>
      <c r="M346" s="1"/>
      <c r="N346" s="1"/>
      <c r="O346" s="1"/>
      <c r="P346" s="1"/>
      <c r="Q346" s="1"/>
      <c r="R346" s="1"/>
      <c r="S346" s="1"/>
      <c r="T346" s="1"/>
      <c r="U346" s="2"/>
      <c r="V346" s="1"/>
      <c r="W346" s="1"/>
      <c r="X346" s="1"/>
      <c r="Y346" s="1"/>
      <c r="Z346" s="1"/>
    </row>
    <row r="347" spans="1:26" ht="24.75" customHeight="1">
      <c r="A347" s="1"/>
      <c r="B347" s="1"/>
      <c r="C347" s="1"/>
      <c r="D347" s="1"/>
      <c r="E347" s="1"/>
      <c r="F347" s="1"/>
      <c r="G347" s="1"/>
      <c r="H347" s="1"/>
      <c r="I347" s="1"/>
      <c r="J347" s="1"/>
      <c r="K347" s="1"/>
      <c r="L347" s="1"/>
      <c r="M347" s="1"/>
      <c r="N347" s="1"/>
      <c r="O347" s="1"/>
      <c r="P347" s="1"/>
      <c r="Q347" s="1"/>
      <c r="R347" s="1"/>
      <c r="S347" s="1"/>
      <c r="T347" s="1"/>
      <c r="U347" s="2"/>
      <c r="V347" s="1"/>
      <c r="W347" s="1"/>
      <c r="X347" s="1"/>
      <c r="Y347" s="1"/>
      <c r="Z347" s="1"/>
    </row>
    <row r="348" spans="1:26" ht="24.75" customHeight="1">
      <c r="A348" s="1"/>
      <c r="B348" s="1"/>
      <c r="C348" s="1"/>
      <c r="D348" s="1"/>
      <c r="E348" s="1"/>
      <c r="F348" s="1"/>
      <c r="G348" s="1"/>
      <c r="H348" s="1"/>
      <c r="I348" s="1"/>
      <c r="J348" s="1"/>
      <c r="K348" s="1"/>
      <c r="L348" s="1"/>
      <c r="M348" s="1"/>
      <c r="N348" s="1"/>
      <c r="O348" s="1"/>
      <c r="P348" s="1"/>
      <c r="Q348" s="1"/>
      <c r="R348" s="1"/>
      <c r="S348" s="1"/>
      <c r="T348" s="1"/>
      <c r="U348" s="2"/>
      <c r="V348" s="1"/>
      <c r="W348" s="1"/>
      <c r="X348" s="1"/>
      <c r="Y348" s="1"/>
      <c r="Z348" s="1"/>
    </row>
    <row r="349" spans="1:26" ht="24.75" customHeight="1">
      <c r="A349" s="1"/>
      <c r="B349" s="1"/>
      <c r="C349" s="1"/>
      <c r="D349" s="1"/>
      <c r="E349" s="1"/>
      <c r="F349" s="1"/>
      <c r="G349" s="1"/>
      <c r="H349" s="1"/>
      <c r="I349" s="1"/>
      <c r="J349" s="1"/>
      <c r="K349" s="1"/>
      <c r="L349" s="1"/>
      <c r="M349" s="1"/>
      <c r="N349" s="1"/>
      <c r="O349" s="1"/>
      <c r="P349" s="1"/>
      <c r="Q349" s="1"/>
      <c r="R349" s="1"/>
      <c r="S349" s="1"/>
      <c r="T349" s="1"/>
      <c r="U349" s="2"/>
      <c r="V349" s="1"/>
      <c r="W349" s="1"/>
      <c r="X349" s="1"/>
      <c r="Y349" s="1"/>
      <c r="Z349" s="1"/>
    </row>
    <row r="350" spans="1:26" ht="24.75" customHeight="1">
      <c r="A350" s="1"/>
      <c r="B350" s="1"/>
      <c r="C350" s="1"/>
      <c r="D350" s="1"/>
      <c r="E350" s="1"/>
      <c r="F350" s="1"/>
      <c r="G350" s="1"/>
      <c r="H350" s="1"/>
      <c r="I350" s="1"/>
      <c r="J350" s="1"/>
      <c r="K350" s="1"/>
      <c r="L350" s="1"/>
      <c r="M350" s="1"/>
      <c r="N350" s="1"/>
      <c r="O350" s="1"/>
      <c r="P350" s="1"/>
      <c r="Q350" s="1"/>
      <c r="R350" s="1"/>
      <c r="S350" s="1"/>
      <c r="T350" s="1"/>
      <c r="U350" s="2"/>
      <c r="V350" s="1"/>
      <c r="W350" s="1"/>
      <c r="X350" s="1"/>
      <c r="Y350" s="1"/>
      <c r="Z350" s="1"/>
    </row>
    <row r="351" spans="1:26" ht="24.75" customHeight="1">
      <c r="A351" s="1"/>
      <c r="B351" s="1"/>
      <c r="C351" s="1"/>
      <c r="D351" s="1"/>
      <c r="E351" s="1"/>
      <c r="F351" s="1"/>
      <c r="G351" s="1"/>
      <c r="H351" s="1"/>
      <c r="I351" s="1"/>
      <c r="J351" s="1"/>
      <c r="K351" s="1"/>
      <c r="L351" s="1"/>
      <c r="M351" s="1"/>
      <c r="N351" s="1"/>
      <c r="O351" s="1"/>
      <c r="P351" s="1"/>
      <c r="Q351" s="1"/>
      <c r="R351" s="1"/>
      <c r="S351" s="1"/>
      <c r="T351" s="1"/>
      <c r="U351" s="2"/>
      <c r="V351" s="1"/>
      <c r="W351" s="1"/>
      <c r="X351" s="1"/>
      <c r="Y351" s="1"/>
      <c r="Z351" s="1"/>
    </row>
    <row r="352" spans="1:26" ht="24.75" customHeight="1">
      <c r="A352" s="1"/>
      <c r="B352" s="1"/>
      <c r="C352" s="1"/>
      <c r="D352" s="1"/>
      <c r="E352" s="1"/>
      <c r="F352" s="1"/>
      <c r="G352" s="1"/>
      <c r="H352" s="1"/>
      <c r="I352" s="1"/>
      <c r="J352" s="1"/>
      <c r="K352" s="1"/>
      <c r="L352" s="1"/>
      <c r="M352" s="1"/>
      <c r="N352" s="1"/>
      <c r="O352" s="1"/>
      <c r="P352" s="1"/>
      <c r="Q352" s="1"/>
      <c r="R352" s="1"/>
      <c r="S352" s="1"/>
      <c r="T352" s="1"/>
      <c r="U352" s="2"/>
      <c r="V352" s="1"/>
      <c r="W352" s="1"/>
      <c r="X352" s="1"/>
      <c r="Y352" s="1"/>
      <c r="Z352" s="1"/>
    </row>
    <row r="353" spans="1:26" ht="24.75" customHeight="1">
      <c r="A353" s="1"/>
      <c r="B353" s="1"/>
      <c r="C353" s="1"/>
      <c r="D353" s="1"/>
      <c r="E353" s="1"/>
      <c r="F353" s="1"/>
      <c r="G353" s="1"/>
      <c r="H353" s="1"/>
      <c r="I353" s="1"/>
      <c r="J353" s="1"/>
      <c r="K353" s="1"/>
      <c r="L353" s="1"/>
      <c r="M353" s="1"/>
      <c r="N353" s="1"/>
      <c r="O353" s="1"/>
      <c r="P353" s="1"/>
      <c r="Q353" s="1"/>
      <c r="R353" s="1"/>
      <c r="S353" s="1"/>
      <c r="T353" s="1"/>
      <c r="U353" s="2"/>
      <c r="V353" s="1"/>
      <c r="W353" s="1"/>
      <c r="X353" s="1"/>
      <c r="Y353" s="1"/>
      <c r="Z353" s="1"/>
    </row>
    <row r="354" spans="1:26" ht="24.75" customHeight="1">
      <c r="A354" s="1"/>
      <c r="B354" s="1"/>
      <c r="C354" s="1"/>
      <c r="D354" s="1"/>
      <c r="E354" s="1"/>
      <c r="F354" s="1"/>
      <c r="G354" s="1"/>
      <c r="H354" s="1"/>
      <c r="I354" s="1"/>
      <c r="J354" s="1"/>
      <c r="K354" s="1"/>
      <c r="L354" s="1"/>
      <c r="M354" s="1"/>
      <c r="N354" s="1"/>
      <c r="O354" s="1"/>
      <c r="P354" s="1"/>
      <c r="Q354" s="1"/>
      <c r="R354" s="1"/>
      <c r="S354" s="1"/>
      <c r="T354" s="1"/>
      <c r="U354" s="2"/>
      <c r="V354" s="1"/>
      <c r="W354" s="1"/>
      <c r="X354" s="1"/>
      <c r="Y354" s="1"/>
      <c r="Z354" s="1"/>
    </row>
    <row r="355" spans="1:26" ht="24.75" customHeight="1">
      <c r="A355" s="1"/>
      <c r="B355" s="1"/>
      <c r="C355" s="1"/>
      <c r="D355" s="1"/>
      <c r="E355" s="1"/>
      <c r="F355" s="1"/>
      <c r="G355" s="1"/>
      <c r="H355" s="1"/>
      <c r="I355" s="1"/>
      <c r="J355" s="1"/>
      <c r="K355" s="1"/>
      <c r="L355" s="1"/>
      <c r="M355" s="1"/>
      <c r="N355" s="1"/>
      <c r="O355" s="1"/>
      <c r="P355" s="1"/>
      <c r="Q355" s="1"/>
      <c r="R355" s="1"/>
      <c r="S355" s="1"/>
      <c r="T355" s="1"/>
      <c r="U355" s="2"/>
      <c r="V355" s="1"/>
      <c r="W355" s="1"/>
      <c r="X355" s="1"/>
      <c r="Y355" s="1"/>
      <c r="Z355" s="1"/>
    </row>
    <row r="356" spans="1:26" ht="24.75" customHeight="1">
      <c r="A356" s="1"/>
      <c r="B356" s="1"/>
      <c r="C356" s="1"/>
      <c r="D356" s="1"/>
      <c r="E356" s="1"/>
      <c r="F356" s="1"/>
      <c r="G356" s="1"/>
      <c r="H356" s="1"/>
      <c r="I356" s="1"/>
      <c r="J356" s="1"/>
      <c r="K356" s="1"/>
      <c r="L356" s="1"/>
      <c r="M356" s="1"/>
      <c r="N356" s="1"/>
      <c r="O356" s="1"/>
      <c r="P356" s="1"/>
      <c r="Q356" s="1"/>
      <c r="R356" s="1"/>
      <c r="S356" s="1"/>
      <c r="T356" s="1"/>
      <c r="U356" s="2"/>
      <c r="V356" s="1"/>
      <c r="W356" s="1"/>
      <c r="X356" s="1"/>
      <c r="Y356" s="1"/>
      <c r="Z356" s="1"/>
    </row>
    <row r="357" spans="1:26" ht="24.75" customHeight="1">
      <c r="A357" s="1"/>
      <c r="B357" s="1"/>
      <c r="C357" s="1"/>
      <c r="D357" s="1"/>
      <c r="E357" s="1"/>
      <c r="F357" s="1"/>
      <c r="G357" s="1"/>
      <c r="H357" s="1"/>
      <c r="I357" s="1"/>
      <c r="J357" s="1"/>
      <c r="K357" s="1"/>
      <c r="L357" s="1"/>
      <c r="M357" s="1"/>
      <c r="N357" s="1"/>
      <c r="O357" s="1"/>
      <c r="P357" s="1"/>
      <c r="Q357" s="1"/>
      <c r="R357" s="1"/>
      <c r="S357" s="1"/>
      <c r="T357" s="1"/>
      <c r="U357" s="2"/>
      <c r="V357" s="1"/>
      <c r="W357" s="1"/>
      <c r="X357" s="1"/>
      <c r="Y357" s="1"/>
      <c r="Z357" s="1"/>
    </row>
    <row r="358" spans="1:26" ht="24.75" customHeight="1">
      <c r="A358" s="1"/>
      <c r="B358" s="1"/>
      <c r="C358" s="1"/>
      <c r="D358" s="1"/>
      <c r="E358" s="1"/>
      <c r="F358" s="1"/>
      <c r="G358" s="1"/>
      <c r="H358" s="1"/>
      <c r="I358" s="1"/>
      <c r="J358" s="1"/>
      <c r="K358" s="1"/>
      <c r="L358" s="1"/>
      <c r="M358" s="1"/>
      <c r="N358" s="1"/>
      <c r="O358" s="1"/>
      <c r="P358" s="1"/>
      <c r="Q358" s="1"/>
      <c r="R358" s="1"/>
      <c r="S358" s="1"/>
      <c r="T358" s="1"/>
      <c r="U358" s="2"/>
      <c r="V358" s="1"/>
      <c r="W358" s="1"/>
      <c r="X358" s="1"/>
      <c r="Y358" s="1"/>
      <c r="Z358" s="1"/>
    </row>
    <row r="359" spans="1:26" ht="24.75" customHeight="1">
      <c r="A359" s="1"/>
      <c r="B359" s="1"/>
      <c r="C359" s="1"/>
      <c r="D359" s="1"/>
      <c r="E359" s="1"/>
      <c r="F359" s="1"/>
      <c r="G359" s="1"/>
      <c r="H359" s="1"/>
      <c r="I359" s="1"/>
      <c r="J359" s="1"/>
      <c r="K359" s="1"/>
      <c r="L359" s="1"/>
      <c r="M359" s="1"/>
      <c r="N359" s="1"/>
      <c r="O359" s="1"/>
      <c r="P359" s="1"/>
      <c r="Q359" s="1"/>
      <c r="R359" s="1"/>
      <c r="S359" s="1"/>
      <c r="T359" s="1"/>
      <c r="U359" s="2"/>
      <c r="V359" s="1"/>
      <c r="W359" s="1"/>
      <c r="X359" s="1"/>
      <c r="Y359" s="1"/>
      <c r="Z359" s="1"/>
    </row>
    <row r="360" spans="1:26" ht="24.75" customHeight="1">
      <c r="A360" s="1"/>
      <c r="B360" s="1"/>
      <c r="C360" s="1"/>
      <c r="D360" s="1"/>
      <c r="E360" s="1"/>
      <c r="F360" s="1"/>
      <c r="G360" s="1"/>
      <c r="H360" s="1"/>
      <c r="I360" s="1"/>
      <c r="J360" s="1"/>
      <c r="K360" s="1"/>
      <c r="L360" s="1"/>
      <c r="M360" s="1"/>
      <c r="N360" s="1"/>
      <c r="O360" s="1"/>
      <c r="P360" s="1"/>
      <c r="Q360" s="1"/>
      <c r="R360" s="1"/>
      <c r="S360" s="1"/>
      <c r="T360" s="1"/>
      <c r="U360" s="2"/>
      <c r="V360" s="1"/>
      <c r="W360" s="1"/>
      <c r="X360" s="1"/>
      <c r="Y360" s="1"/>
      <c r="Z360" s="1"/>
    </row>
    <row r="361" spans="1:26" ht="24.75" customHeight="1">
      <c r="A361" s="1"/>
      <c r="B361" s="1"/>
      <c r="C361" s="1"/>
      <c r="D361" s="1"/>
      <c r="E361" s="1"/>
      <c r="F361" s="1"/>
      <c r="G361" s="1"/>
      <c r="H361" s="1"/>
      <c r="I361" s="1"/>
      <c r="J361" s="1"/>
      <c r="K361" s="1"/>
      <c r="L361" s="1"/>
      <c r="M361" s="1"/>
      <c r="N361" s="1"/>
      <c r="O361" s="1"/>
      <c r="P361" s="1"/>
      <c r="Q361" s="1"/>
      <c r="R361" s="1"/>
      <c r="S361" s="1"/>
      <c r="T361" s="1"/>
      <c r="U361" s="2"/>
      <c r="V361" s="1"/>
      <c r="W361" s="1"/>
      <c r="X361" s="1"/>
      <c r="Y361" s="1"/>
      <c r="Z361" s="1"/>
    </row>
    <row r="362" spans="1:26" ht="24.75" customHeight="1">
      <c r="A362" s="1"/>
      <c r="B362" s="1"/>
      <c r="C362" s="1"/>
      <c r="D362" s="1"/>
      <c r="E362" s="1"/>
      <c r="F362" s="1"/>
      <c r="G362" s="1"/>
      <c r="H362" s="1"/>
      <c r="I362" s="1"/>
      <c r="J362" s="1"/>
      <c r="K362" s="1"/>
      <c r="L362" s="1"/>
      <c r="M362" s="1"/>
      <c r="N362" s="1"/>
      <c r="O362" s="1"/>
      <c r="P362" s="1"/>
      <c r="Q362" s="1"/>
      <c r="R362" s="1"/>
      <c r="S362" s="1"/>
      <c r="T362" s="1"/>
      <c r="U362" s="2"/>
      <c r="V362" s="1"/>
      <c r="W362" s="1"/>
      <c r="X362" s="1"/>
      <c r="Y362" s="1"/>
      <c r="Z362" s="1"/>
    </row>
    <row r="363" spans="1:26" ht="24.75" customHeight="1">
      <c r="A363" s="1"/>
      <c r="B363" s="1"/>
      <c r="C363" s="1"/>
      <c r="D363" s="1"/>
      <c r="E363" s="1"/>
      <c r="F363" s="1"/>
      <c r="G363" s="1"/>
      <c r="H363" s="1"/>
      <c r="I363" s="1"/>
      <c r="J363" s="1"/>
      <c r="K363" s="1"/>
      <c r="L363" s="1"/>
      <c r="M363" s="1"/>
      <c r="N363" s="1"/>
      <c r="O363" s="1"/>
      <c r="P363" s="1"/>
      <c r="Q363" s="1"/>
      <c r="R363" s="1"/>
      <c r="S363" s="1"/>
      <c r="T363" s="1"/>
      <c r="U363" s="2"/>
      <c r="V363" s="1"/>
      <c r="W363" s="1"/>
      <c r="X363" s="1"/>
      <c r="Y363" s="1"/>
      <c r="Z363" s="1"/>
    </row>
    <row r="364" spans="1:26" ht="24.75" customHeight="1">
      <c r="A364" s="1"/>
      <c r="B364" s="1"/>
      <c r="C364" s="1"/>
      <c r="D364" s="1"/>
      <c r="E364" s="1"/>
      <c r="F364" s="1"/>
      <c r="G364" s="1"/>
      <c r="H364" s="1"/>
      <c r="I364" s="1"/>
      <c r="J364" s="1"/>
      <c r="K364" s="1"/>
      <c r="L364" s="1"/>
      <c r="M364" s="1"/>
      <c r="N364" s="1"/>
      <c r="O364" s="1"/>
      <c r="P364" s="1"/>
      <c r="Q364" s="1"/>
      <c r="R364" s="1"/>
      <c r="S364" s="1"/>
      <c r="T364" s="1"/>
      <c r="U364" s="2"/>
      <c r="V364" s="1"/>
      <c r="W364" s="1"/>
      <c r="X364" s="1"/>
      <c r="Y364" s="1"/>
      <c r="Z364" s="1"/>
    </row>
    <row r="365" spans="1:26" ht="24.75" customHeight="1">
      <c r="A365" s="1"/>
      <c r="B365" s="1"/>
      <c r="C365" s="1"/>
      <c r="D365" s="1"/>
      <c r="E365" s="1"/>
      <c r="F365" s="1"/>
      <c r="G365" s="1"/>
      <c r="H365" s="1"/>
      <c r="I365" s="1"/>
      <c r="J365" s="1"/>
      <c r="K365" s="1"/>
      <c r="L365" s="1"/>
      <c r="M365" s="1"/>
      <c r="N365" s="1"/>
      <c r="O365" s="1"/>
      <c r="P365" s="1"/>
      <c r="Q365" s="1"/>
      <c r="R365" s="1"/>
      <c r="S365" s="1"/>
      <c r="T365" s="1"/>
      <c r="U365" s="2"/>
      <c r="V365" s="1"/>
      <c r="W365" s="1"/>
      <c r="X365" s="1"/>
      <c r="Y365" s="1"/>
      <c r="Z365" s="1"/>
    </row>
    <row r="366" spans="1:26" ht="24.75" customHeight="1">
      <c r="A366" s="1"/>
      <c r="B366" s="1"/>
      <c r="C366" s="1"/>
      <c r="D366" s="1"/>
      <c r="E366" s="1"/>
      <c r="F366" s="1"/>
      <c r="G366" s="1"/>
      <c r="H366" s="1"/>
      <c r="I366" s="1"/>
      <c r="J366" s="1"/>
      <c r="K366" s="1"/>
      <c r="L366" s="1"/>
      <c r="M366" s="1"/>
      <c r="N366" s="1"/>
      <c r="O366" s="1"/>
      <c r="P366" s="1"/>
      <c r="Q366" s="1"/>
      <c r="R366" s="1"/>
      <c r="S366" s="1"/>
      <c r="T366" s="1"/>
      <c r="U366" s="2"/>
      <c r="V366" s="1"/>
      <c r="W366" s="1"/>
      <c r="X366" s="1"/>
      <c r="Y366" s="1"/>
      <c r="Z366" s="1"/>
    </row>
    <row r="367" spans="1:26" ht="24.75" customHeight="1">
      <c r="A367" s="1"/>
      <c r="B367" s="1"/>
      <c r="C367" s="1"/>
      <c r="D367" s="1"/>
      <c r="E367" s="1"/>
      <c r="F367" s="1"/>
      <c r="G367" s="1"/>
      <c r="H367" s="1"/>
      <c r="I367" s="1"/>
      <c r="J367" s="1"/>
      <c r="K367" s="1"/>
      <c r="L367" s="1"/>
      <c r="M367" s="1"/>
      <c r="N367" s="1"/>
      <c r="O367" s="1"/>
      <c r="P367" s="1"/>
      <c r="Q367" s="1"/>
      <c r="R367" s="1"/>
      <c r="S367" s="1"/>
      <c r="T367" s="1"/>
      <c r="U367" s="2"/>
      <c r="V367" s="1"/>
      <c r="W367" s="1"/>
      <c r="X367" s="1"/>
      <c r="Y367" s="1"/>
      <c r="Z367" s="1"/>
    </row>
    <row r="368" spans="1:26" ht="24.75" customHeight="1">
      <c r="A368" s="1"/>
      <c r="B368" s="1"/>
      <c r="C368" s="1"/>
      <c r="D368" s="1"/>
      <c r="E368" s="1"/>
      <c r="F368" s="1"/>
      <c r="G368" s="1"/>
      <c r="H368" s="1"/>
      <c r="I368" s="1"/>
      <c r="J368" s="1"/>
      <c r="K368" s="1"/>
      <c r="L368" s="1"/>
      <c r="M368" s="1"/>
      <c r="N368" s="1"/>
      <c r="O368" s="1"/>
      <c r="P368" s="1"/>
      <c r="Q368" s="1"/>
      <c r="R368" s="1"/>
      <c r="S368" s="1"/>
      <c r="T368" s="1"/>
      <c r="U368" s="2"/>
      <c r="V368" s="1"/>
      <c r="W368" s="1"/>
      <c r="X368" s="1"/>
      <c r="Y368" s="1"/>
      <c r="Z368" s="1"/>
    </row>
    <row r="369" spans="1:26" ht="24.75" customHeight="1">
      <c r="A369" s="1"/>
      <c r="B369" s="1"/>
      <c r="C369" s="1"/>
      <c r="D369" s="1"/>
      <c r="E369" s="1"/>
      <c r="F369" s="1"/>
      <c r="G369" s="1"/>
      <c r="H369" s="1"/>
      <c r="I369" s="1"/>
      <c r="J369" s="1"/>
      <c r="K369" s="1"/>
      <c r="L369" s="1"/>
      <c r="M369" s="1"/>
      <c r="N369" s="1"/>
      <c r="O369" s="1"/>
      <c r="P369" s="1"/>
      <c r="Q369" s="1"/>
      <c r="R369" s="1"/>
      <c r="S369" s="1"/>
      <c r="T369" s="1"/>
      <c r="U369" s="2"/>
      <c r="V369" s="1"/>
      <c r="W369" s="1"/>
      <c r="X369" s="1"/>
      <c r="Y369" s="1"/>
      <c r="Z369" s="1"/>
    </row>
    <row r="370" spans="1:26" ht="24.75" customHeight="1">
      <c r="A370" s="1"/>
      <c r="B370" s="1"/>
      <c r="C370" s="1"/>
      <c r="D370" s="1"/>
      <c r="E370" s="1"/>
      <c r="F370" s="1"/>
      <c r="G370" s="1"/>
      <c r="H370" s="1"/>
      <c r="I370" s="1"/>
      <c r="J370" s="1"/>
      <c r="K370" s="1"/>
      <c r="L370" s="1"/>
      <c r="M370" s="1"/>
      <c r="N370" s="1"/>
      <c r="O370" s="1"/>
      <c r="P370" s="1"/>
      <c r="Q370" s="1"/>
      <c r="R370" s="1"/>
      <c r="S370" s="1"/>
      <c r="T370" s="1"/>
      <c r="U370" s="2"/>
      <c r="V370" s="1"/>
      <c r="W370" s="1"/>
      <c r="X370" s="1"/>
      <c r="Y370" s="1"/>
      <c r="Z370" s="1"/>
    </row>
    <row r="371" spans="1:26" ht="24.75" customHeight="1">
      <c r="A371" s="1"/>
      <c r="B371" s="1"/>
      <c r="C371" s="1"/>
      <c r="D371" s="1"/>
      <c r="E371" s="1"/>
      <c r="F371" s="1"/>
      <c r="G371" s="1"/>
      <c r="H371" s="1"/>
      <c r="I371" s="1"/>
      <c r="J371" s="1"/>
      <c r="K371" s="1"/>
      <c r="L371" s="1"/>
      <c r="M371" s="1"/>
      <c r="N371" s="1"/>
      <c r="O371" s="1"/>
      <c r="P371" s="1"/>
      <c r="Q371" s="1"/>
      <c r="R371" s="1"/>
      <c r="S371" s="1"/>
      <c r="T371" s="1"/>
      <c r="U371" s="2"/>
      <c r="V371" s="1"/>
      <c r="W371" s="1"/>
      <c r="X371" s="1"/>
      <c r="Y371" s="1"/>
      <c r="Z371" s="1"/>
    </row>
    <row r="372" spans="1:26" ht="24.75" customHeight="1">
      <c r="A372" s="1"/>
      <c r="B372" s="1"/>
      <c r="C372" s="1"/>
      <c r="D372" s="1"/>
      <c r="E372" s="1"/>
      <c r="F372" s="1"/>
      <c r="G372" s="1"/>
      <c r="H372" s="1"/>
      <c r="I372" s="1"/>
      <c r="J372" s="1"/>
      <c r="K372" s="1"/>
      <c r="L372" s="1"/>
      <c r="M372" s="1"/>
      <c r="N372" s="1"/>
      <c r="O372" s="1"/>
      <c r="P372" s="1"/>
      <c r="Q372" s="1"/>
      <c r="R372" s="1"/>
      <c r="S372" s="1"/>
      <c r="T372" s="1"/>
      <c r="U372" s="2"/>
      <c r="V372" s="1"/>
      <c r="W372" s="1"/>
      <c r="X372" s="1"/>
      <c r="Y372" s="1"/>
      <c r="Z372" s="1"/>
    </row>
    <row r="373" spans="1:26" ht="24.75" customHeight="1">
      <c r="A373" s="1"/>
      <c r="B373" s="1"/>
      <c r="C373" s="1"/>
      <c r="D373" s="1"/>
      <c r="E373" s="1"/>
      <c r="F373" s="1"/>
      <c r="G373" s="1"/>
      <c r="H373" s="1"/>
      <c r="I373" s="1"/>
      <c r="J373" s="1"/>
      <c r="K373" s="1"/>
      <c r="L373" s="1"/>
      <c r="M373" s="1"/>
      <c r="N373" s="1"/>
      <c r="O373" s="1"/>
      <c r="P373" s="1"/>
      <c r="Q373" s="1"/>
      <c r="R373" s="1"/>
      <c r="S373" s="1"/>
      <c r="T373" s="1"/>
      <c r="U373" s="2"/>
      <c r="V373" s="1"/>
      <c r="W373" s="1"/>
      <c r="X373" s="1"/>
      <c r="Y373" s="1"/>
      <c r="Z373" s="1"/>
    </row>
    <row r="374" spans="1:26" ht="24.75" customHeight="1">
      <c r="A374" s="1"/>
      <c r="B374" s="1"/>
      <c r="C374" s="1"/>
      <c r="D374" s="1"/>
      <c r="E374" s="1"/>
      <c r="F374" s="1"/>
      <c r="G374" s="1"/>
      <c r="H374" s="1"/>
      <c r="I374" s="1"/>
      <c r="J374" s="1"/>
      <c r="K374" s="1"/>
      <c r="L374" s="1"/>
      <c r="M374" s="1"/>
      <c r="N374" s="1"/>
      <c r="O374" s="1"/>
      <c r="P374" s="1"/>
      <c r="Q374" s="1"/>
      <c r="R374" s="1"/>
      <c r="S374" s="1"/>
      <c r="T374" s="1"/>
      <c r="U374" s="2"/>
      <c r="V374" s="1"/>
      <c r="W374" s="1"/>
      <c r="X374" s="1"/>
      <c r="Y374" s="1"/>
      <c r="Z374" s="1"/>
    </row>
    <row r="375" spans="1:26" ht="24.75" customHeight="1">
      <c r="A375" s="1"/>
      <c r="B375" s="1"/>
      <c r="C375" s="1"/>
      <c r="D375" s="1"/>
      <c r="E375" s="1"/>
      <c r="F375" s="1"/>
      <c r="G375" s="1"/>
      <c r="H375" s="1"/>
      <c r="I375" s="1"/>
      <c r="J375" s="1"/>
      <c r="K375" s="1"/>
      <c r="L375" s="1"/>
      <c r="M375" s="1"/>
      <c r="N375" s="1"/>
      <c r="O375" s="1"/>
      <c r="P375" s="1"/>
      <c r="Q375" s="1"/>
      <c r="R375" s="1"/>
      <c r="S375" s="1"/>
      <c r="T375" s="1"/>
      <c r="U375" s="2"/>
      <c r="V375" s="1"/>
      <c r="W375" s="1"/>
      <c r="X375" s="1"/>
      <c r="Y375" s="1"/>
      <c r="Z375" s="1"/>
    </row>
    <row r="376" spans="1:26" ht="24.75" customHeight="1">
      <c r="A376" s="1"/>
      <c r="B376" s="1"/>
      <c r="C376" s="1"/>
      <c r="D376" s="1"/>
      <c r="E376" s="1"/>
      <c r="F376" s="1"/>
      <c r="G376" s="1"/>
      <c r="H376" s="1"/>
      <c r="I376" s="1"/>
      <c r="J376" s="1"/>
      <c r="K376" s="1"/>
      <c r="L376" s="1"/>
      <c r="M376" s="1"/>
      <c r="N376" s="1"/>
      <c r="O376" s="1"/>
      <c r="P376" s="1"/>
      <c r="Q376" s="1"/>
      <c r="R376" s="1"/>
      <c r="S376" s="1"/>
      <c r="T376" s="1"/>
      <c r="U376" s="2"/>
      <c r="V376" s="1"/>
      <c r="W376" s="1"/>
      <c r="X376" s="1"/>
      <c r="Y376" s="1"/>
      <c r="Z376" s="1"/>
    </row>
    <row r="377" spans="1:26" ht="24.75" customHeight="1">
      <c r="A377" s="1"/>
      <c r="B377" s="1"/>
      <c r="C377" s="1"/>
      <c r="D377" s="1"/>
      <c r="E377" s="1"/>
      <c r="F377" s="1"/>
      <c r="G377" s="1"/>
      <c r="H377" s="1"/>
      <c r="I377" s="1"/>
      <c r="J377" s="1"/>
      <c r="K377" s="1"/>
      <c r="L377" s="1"/>
      <c r="M377" s="1"/>
      <c r="N377" s="1"/>
      <c r="O377" s="1"/>
      <c r="P377" s="1"/>
      <c r="Q377" s="1"/>
      <c r="R377" s="1"/>
      <c r="S377" s="1"/>
      <c r="T377" s="1"/>
      <c r="U377" s="2"/>
      <c r="V377" s="1"/>
      <c r="W377" s="1"/>
      <c r="X377" s="1"/>
      <c r="Y377" s="1"/>
      <c r="Z377" s="1"/>
    </row>
    <row r="378" spans="1:26" ht="24.75" customHeight="1">
      <c r="A378" s="1"/>
      <c r="B378" s="1"/>
      <c r="C378" s="1"/>
      <c r="D378" s="1"/>
      <c r="E378" s="1"/>
      <c r="F378" s="1"/>
      <c r="G378" s="1"/>
      <c r="H378" s="1"/>
      <c r="I378" s="1"/>
      <c r="J378" s="1"/>
      <c r="K378" s="1"/>
      <c r="L378" s="1"/>
      <c r="M378" s="1"/>
      <c r="N378" s="1"/>
      <c r="O378" s="1"/>
      <c r="P378" s="1"/>
      <c r="Q378" s="1"/>
      <c r="R378" s="1"/>
      <c r="S378" s="1"/>
      <c r="T378" s="1"/>
      <c r="U378" s="2"/>
      <c r="V378" s="1"/>
      <c r="W378" s="1"/>
      <c r="X378" s="1"/>
      <c r="Y378" s="1"/>
      <c r="Z378" s="1"/>
    </row>
    <row r="379" spans="1:26" ht="24.75" customHeight="1">
      <c r="A379" s="1"/>
      <c r="B379" s="1"/>
      <c r="C379" s="1"/>
      <c r="D379" s="1"/>
      <c r="E379" s="1"/>
      <c r="F379" s="1"/>
      <c r="G379" s="1"/>
      <c r="H379" s="1"/>
      <c r="I379" s="1"/>
      <c r="J379" s="1"/>
      <c r="K379" s="1"/>
      <c r="L379" s="1"/>
      <c r="M379" s="1"/>
      <c r="N379" s="1"/>
      <c r="O379" s="1"/>
      <c r="P379" s="1"/>
      <c r="Q379" s="1"/>
      <c r="R379" s="1"/>
      <c r="S379" s="1"/>
      <c r="T379" s="1"/>
      <c r="U379" s="2"/>
      <c r="V379" s="1"/>
      <c r="W379" s="1"/>
      <c r="X379" s="1"/>
      <c r="Y379" s="1"/>
      <c r="Z379" s="1"/>
    </row>
    <row r="380" spans="1:26" ht="24.75" customHeight="1">
      <c r="A380" s="1"/>
      <c r="B380" s="1"/>
      <c r="C380" s="1"/>
      <c r="D380" s="1"/>
      <c r="E380" s="1"/>
      <c r="F380" s="1"/>
      <c r="G380" s="1"/>
      <c r="H380" s="1"/>
      <c r="I380" s="1"/>
      <c r="J380" s="1"/>
      <c r="K380" s="1"/>
      <c r="L380" s="1"/>
      <c r="M380" s="1"/>
      <c r="N380" s="1"/>
      <c r="O380" s="1"/>
      <c r="P380" s="1"/>
      <c r="Q380" s="1"/>
      <c r="R380" s="1"/>
      <c r="S380" s="1"/>
      <c r="T380" s="1"/>
      <c r="U380" s="2"/>
      <c r="V380" s="1"/>
      <c r="W380" s="1"/>
      <c r="X380" s="1"/>
      <c r="Y380" s="1"/>
      <c r="Z380" s="1"/>
    </row>
    <row r="381" spans="1:26" ht="24.75" customHeight="1">
      <c r="A381" s="1"/>
      <c r="B381" s="1"/>
      <c r="C381" s="1"/>
      <c r="D381" s="1"/>
      <c r="E381" s="1"/>
      <c r="F381" s="1"/>
      <c r="G381" s="1"/>
      <c r="H381" s="1"/>
      <c r="I381" s="1"/>
      <c r="J381" s="1"/>
      <c r="K381" s="1"/>
      <c r="L381" s="1"/>
      <c r="M381" s="1"/>
      <c r="N381" s="1"/>
      <c r="O381" s="1"/>
      <c r="P381" s="1"/>
      <c r="Q381" s="1"/>
      <c r="R381" s="1"/>
      <c r="S381" s="1"/>
      <c r="T381" s="1"/>
      <c r="U381" s="2"/>
      <c r="V381" s="1"/>
      <c r="W381" s="1"/>
      <c r="X381" s="1"/>
      <c r="Y381" s="1"/>
      <c r="Z381" s="1"/>
    </row>
    <row r="382" spans="1:26" ht="24.75" customHeight="1">
      <c r="A382" s="1"/>
      <c r="B382" s="1"/>
      <c r="C382" s="1"/>
      <c r="D382" s="1"/>
      <c r="E382" s="1"/>
      <c r="F382" s="1"/>
      <c r="G382" s="1"/>
      <c r="H382" s="1"/>
      <c r="I382" s="1"/>
      <c r="J382" s="1"/>
      <c r="K382" s="1"/>
      <c r="L382" s="1"/>
      <c r="M382" s="1"/>
      <c r="N382" s="1"/>
      <c r="O382" s="1"/>
      <c r="P382" s="1"/>
      <c r="Q382" s="1"/>
      <c r="R382" s="1"/>
      <c r="S382" s="1"/>
      <c r="T382" s="1"/>
      <c r="U382" s="2"/>
      <c r="V382" s="1"/>
      <c r="W382" s="1"/>
      <c r="X382" s="1"/>
      <c r="Y382" s="1"/>
      <c r="Z382" s="1"/>
    </row>
    <row r="383" spans="1:26" ht="24.75" customHeight="1">
      <c r="A383" s="1"/>
      <c r="B383" s="1"/>
      <c r="C383" s="1"/>
      <c r="D383" s="1"/>
      <c r="E383" s="1"/>
      <c r="F383" s="1"/>
      <c r="G383" s="1"/>
      <c r="H383" s="1"/>
      <c r="I383" s="1"/>
      <c r="J383" s="1"/>
      <c r="K383" s="1"/>
      <c r="L383" s="1"/>
      <c r="M383" s="1"/>
      <c r="N383" s="1"/>
      <c r="O383" s="1"/>
      <c r="P383" s="1"/>
      <c r="Q383" s="1"/>
      <c r="R383" s="1"/>
      <c r="S383" s="1"/>
      <c r="T383" s="1"/>
      <c r="U383" s="2"/>
      <c r="V383" s="1"/>
      <c r="W383" s="1"/>
      <c r="X383" s="1"/>
      <c r="Y383" s="1"/>
      <c r="Z383" s="1"/>
    </row>
    <row r="384" spans="1:26" ht="24.75" customHeight="1">
      <c r="A384" s="1"/>
      <c r="B384" s="1"/>
      <c r="C384" s="1"/>
      <c r="D384" s="1"/>
      <c r="E384" s="1"/>
      <c r="F384" s="1"/>
      <c r="G384" s="1"/>
      <c r="H384" s="1"/>
      <c r="I384" s="1"/>
      <c r="J384" s="1"/>
      <c r="K384" s="1"/>
      <c r="L384" s="1"/>
      <c r="M384" s="1"/>
      <c r="N384" s="1"/>
      <c r="O384" s="1"/>
      <c r="P384" s="1"/>
      <c r="Q384" s="1"/>
      <c r="R384" s="1"/>
      <c r="S384" s="1"/>
      <c r="T384" s="1"/>
      <c r="U384" s="2"/>
      <c r="V384" s="1"/>
      <c r="W384" s="1"/>
      <c r="X384" s="1"/>
      <c r="Y384" s="1"/>
      <c r="Z384" s="1"/>
    </row>
    <row r="385" spans="1:26" ht="24.75" customHeight="1">
      <c r="A385" s="1"/>
      <c r="B385" s="1"/>
      <c r="C385" s="1"/>
      <c r="D385" s="1"/>
      <c r="E385" s="1"/>
      <c r="F385" s="1"/>
      <c r="G385" s="1"/>
      <c r="H385" s="1"/>
      <c r="I385" s="1"/>
      <c r="J385" s="1"/>
      <c r="K385" s="1"/>
      <c r="L385" s="1"/>
      <c r="M385" s="1"/>
      <c r="N385" s="1"/>
      <c r="O385" s="1"/>
      <c r="P385" s="1"/>
      <c r="Q385" s="1"/>
      <c r="R385" s="1"/>
      <c r="S385" s="1"/>
      <c r="T385" s="1"/>
      <c r="U385" s="2"/>
      <c r="V385" s="1"/>
      <c r="W385" s="1"/>
      <c r="X385" s="1"/>
      <c r="Y385" s="1"/>
      <c r="Z385" s="1"/>
    </row>
    <row r="386" spans="1:26" ht="24.75" customHeight="1">
      <c r="A386" s="1"/>
      <c r="B386" s="1"/>
      <c r="C386" s="1"/>
      <c r="D386" s="1"/>
      <c r="E386" s="1"/>
      <c r="F386" s="1"/>
      <c r="G386" s="1"/>
      <c r="H386" s="1"/>
      <c r="I386" s="1"/>
      <c r="J386" s="1"/>
      <c r="K386" s="1"/>
      <c r="L386" s="1"/>
      <c r="M386" s="1"/>
      <c r="N386" s="1"/>
      <c r="O386" s="1"/>
      <c r="P386" s="1"/>
      <c r="Q386" s="1"/>
      <c r="R386" s="1"/>
      <c r="S386" s="1"/>
      <c r="T386" s="1"/>
      <c r="U386" s="2"/>
      <c r="V386" s="1"/>
      <c r="W386" s="1"/>
      <c r="X386" s="1"/>
      <c r="Y386" s="1"/>
      <c r="Z386" s="1"/>
    </row>
    <row r="387" spans="1:26" ht="24.75" customHeight="1">
      <c r="A387" s="1"/>
      <c r="B387" s="1"/>
      <c r="C387" s="1"/>
      <c r="D387" s="1"/>
      <c r="E387" s="1"/>
      <c r="F387" s="1"/>
      <c r="G387" s="1"/>
      <c r="H387" s="1"/>
      <c r="I387" s="1"/>
      <c r="J387" s="1"/>
      <c r="K387" s="1"/>
      <c r="L387" s="1"/>
      <c r="M387" s="1"/>
      <c r="N387" s="1"/>
      <c r="O387" s="1"/>
      <c r="P387" s="1"/>
      <c r="Q387" s="1"/>
      <c r="R387" s="1"/>
      <c r="S387" s="1"/>
      <c r="T387" s="1"/>
      <c r="U387" s="2"/>
      <c r="V387" s="1"/>
      <c r="W387" s="1"/>
      <c r="X387" s="1"/>
      <c r="Y387" s="1"/>
      <c r="Z387" s="1"/>
    </row>
    <row r="388" spans="1:26" ht="24.75" customHeight="1">
      <c r="A388" s="1"/>
      <c r="B388" s="1"/>
      <c r="C388" s="1"/>
      <c r="D388" s="1"/>
      <c r="E388" s="1"/>
      <c r="F388" s="1"/>
      <c r="G388" s="1"/>
      <c r="H388" s="1"/>
      <c r="I388" s="1"/>
      <c r="J388" s="1"/>
      <c r="K388" s="1"/>
      <c r="L388" s="1"/>
      <c r="M388" s="1"/>
      <c r="N388" s="1"/>
      <c r="O388" s="1"/>
      <c r="P388" s="1"/>
      <c r="Q388" s="1"/>
      <c r="R388" s="1"/>
      <c r="S388" s="1"/>
      <c r="T388" s="1"/>
      <c r="U388" s="2"/>
      <c r="V388" s="1"/>
      <c r="W388" s="1"/>
      <c r="X388" s="1"/>
      <c r="Y388" s="1"/>
      <c r="Z388" s="1"/>
    </row>
    <row r="389" spans="1:26" ht="24.75" customHeight="1">
      <c r="A389" s="1"/>
      <c r="B389" s="1"/>
      <c r="C389" s="1"/>
      <c r="D389" s="1"/>
      <c r="E389" s="1"/>
      <c r="F389" s="1"/>
      <c r="G389" s="1"/>
      <c r="H389" s="1"/>
      <c r="I389" s="1"/>
      <c r="J389" s="1"/>
      <c r="K389" s="1"/>
      <c r="L389" s="1"/>
      <c r="M389" s="1"/>
      <c r="N389" s="1"/>
      <c r="O389" s="1"/>
      <c r="P389" s="1"/>
      <c r="Q389" s="1"/>
      <c r="R389" s="1"/>
      <c r="S389" s="1"/>
      <c r="T389" s="1"/>
      <c r="U389" s="2"/>
      <c r="V389" s="1"/>
      <c r="W389" s="1"/>
      <c r="X389" s="1"/>
      <c r="Y389" s="1"/>
      <c r="Z389" s="1"/>
    </row>
    <row r="390" spans="1:26" ht="24.75" customHeight="1">
      <c r="A390" s="1"/>
      <c r="B390" s="1"/>
      <c r="C390" s="1"/>
      <c r="D390" s="1"/>
      <c r="E390" s="1"/>
      <c r="F390" s="1"/>
      <c r="G390" s="1"/>
      <c r="H390" s="1"/>
      <c r="I390" s="1"/>
      <c r="J390" s="1"/>
      <c r="K390" s="1"/>
      <c r="L390" s="1"/>
      <c r="M390" s="1"/>
      <c r="N390" s="1"/>
      <c r="O390" s="1"/>
      <c r="P390" s="1"/>
      <c r="Q390" s="1"/>
      <c r="R390" s="1"/>
      <c r="S390" s="1"/>
      <c r="T390" s="1"/>
      <c r="U390" s="2"/>
      <c r="V390" s="1"/>
      <c r="W390" s="1"/>
      <c r="X390" s="1"/>
      <c r="Y390" s="1"/>
      <c r="Z390" s="1"/>
    </row>
    <row r="391" spans="1:26" ht="24.75" customHeight="1">
      <c r="A391" s="1"/>
      <c r="B391" s="1"/>
      <c r="C391" s="1"/>
      <c r="D391" s="1"/>
      <c r="E391" s="1"/>
      <c r="F391" s="1"/>
      <c r="G391" s="1"/>
      <c r="H391" s="1"/>
      <c r="I391" s="1"/>
      <c r="J391" s="1"/>
      <c r="K391" s="1"/>
      <c r="L391" s="1"/>
      <c r="M391" s="1"/>
      <c r="N391" s="1"/>
      <c r="O391" s="1"/>
      <c r="P391" s="1"/>
      <c r="Q391" s="1"/>
      <c r="R391" s="1"/>
      <c r="S391" s="1"/>
      <c r="T391" s="1"/>
      <c r="U391" s="2"/>
      <c r="V391" s="1"/>
      <c r="W391" s="1"/>
      <c r="X391" s="1"/>
      <c r="Y391" s="1"/>
      <c r="Z391" s="1"/>
    </row>
    <row r="392" spans="1:26" ht="24.75" customHeight="1">
      <c r="A392" s="1"/>
      <c r="B392" s="1"/>
      <c r="C392" s="1"/>
      <c r="D392" s="1"/>
      <c r="E392" s="1"/>
      <c r="F392" s="1"/>
      <c r="G392" s="1"/>
      <c r="H392" s="1"/>
      <c r="I392" s="1"/>
      <c r="J392" s="1"/>
      <c r="K392" s="1"/>
      <c r="L392" s="1"/>
      <c r="M392" s="1"/>
      <c r="N392" s="1"/>
      <c r="O392" s="1"/>
      <c r="P392" s="1"/>
      <c r="Q392" s="1"/>
      <c r="R392" s="1"/>
      <c r="S392" s="1"/>
      <c r="T392" s="1"/>
      <c r="U392" s="2"/>
      <c r="V392" s="1"/>
      <c r="W392" s="1"/>
      <c r="X392" s="1"/>
      <c r="Y392" s="1"/>
      <c r="Z392" s="1"/>
    </row>
    <row r="393" spans="1:26" ht="24.75" customHeight="1">
      <c r="A393" s="1"/>
      <c r="B393" s="1"/>
      <c r="C393" s="1"/>
      <c r="D393" s="1"/>
      <c r="E393" s="1"/>
      <c r="F393" s="1"/>
      <c r="G393" s="1"/>
      <c r="H393" s="1"/>
      <c r="I393" s="1"/>
      <c r="J393" s="1"/>
      <c r="K393" s="1"/>
      <c r="L393" s="1"/>
      <c r="M393" s="1"/>
      <c r="N393" s="1"/>
      <c r="O393" s="1"/>
      <c r="P393" s="1"/>
      <c r="Q393" s="1"/>
      <c r="R393" s="1"/>
      <c r="S393" s="1"/>
      <c r="T393" s="1"/>
      <c r="U393" s="2"/>
      <c r="V393" s="1"/>
      <c r="W393" s="1"/>
      <c r="X393" s="1"/>
      <c r="Y393" s="1"/>
      <c r="Z393" s="1"/>
    </row>
    <row r="394" spans="1:26" ht="24.75" customHeight="1">
      <c r="A394" s="1"/>
      <c r="B394" s="1"/>
      <c r="C394" s="1"/>
      <c r="D394" s="1"/>
      <c r="E394" s="1"/>
      <c r="F394" s="1"/>
      <c r="G394" s="1"/>
      <c r="H394" s="1"/>
      <c r="I394" s="1"/>
      <c r="J394" s="1"/>
      <c r="K394" s="1"/>
      <c r="L394" s="1"/>
      <c r="M394" s="1"/>
      <c r="N394" s="1"/>
      <c r="O394" s="1"/>
      <c r="P394" s="1"/>
      <c r="Q394" s="1"/>
      <c r="R394" s="1"/>
      <c r="S394" s="1"/>
      <c r="T394" s="1"/>
      <c r="U394" s="2"/>
      <c r="V394" s="1"/>
      <c r="W394" s="1"/>
      <c r="X394" s="1"/>
      <c r="Y394" s="1"/>
      <c r="Z394" s="1"/>
    </row>
    <row r="395" spans="1:26" ht="24.75" customHeight="1">
      <c r="A395" s="1"/>
      <c r="B395" s="1"/>
      <c r="C395" s="1"/>
      <c r="D395" s="1"/>
      <c r="E395" s="1"/>
      <c r="F395" s="1"/>
      <c r="G395" s="1"/>
      <c r="H395" s="1"/>
      <c r="I395" s="1"/>
      <c r="J395" s="1"/>
      <c r="K395" s="1"/>
      <c r="L395" s="1"/>
      <c r="M395" s="1"/>
      <c r="N395" s="1"/>
      <c r="O395" s="1"/>
      <c r="P395" s="1"/>
      <c r="Q395" s="1"/>
      <c r="R395" s="1"/>
      <c r="S395" s="1"/>
      <c r="T395" s="1"/>
      <c r="U395" s="2"/>
      <c r="V395" s="1"/>
      <c r="W395" s="1"/>
      <c r="X395" s="1"/>
      <c r="Y395" s="1"/>
      <c r="Z395" s="1"/>
    </row>
    <row r="396" spans="1:26" ht="24.75" customHeight="1">
      <c r="A396" s="1"/>
      <c r="B396" s="1"/>
      <c r="C396" s="1"/>
      <c r="D396" s="1"/>
      <c r="E396" s="1"/>
      <c r="F396" s="1"/>
      <c r="G396" s="1"/>
      <c r="H396" s="1"/>
      <c r="I396" s="1"/>
      <c r="J396" s="1"/>
      <c r="K396" s="1"/>
      <c r="L396" s="1"/>
      <c r="M396" s="1"/>
      <c r="N396" s="1"/>
      <c r="O396" s="1"/>
      <c r="P396" s="1"/>
      <c r="Q396" s="1"/>
      <c r="R396" s="1"/>
      <c r="S396" s="1"/>
      <c r="T396" s="1"/>
      <c r="U396" s="2"/>
      <c r="V396" s="1"/>
      <c r="W396" s="1"/>
      <c r="X396" s="1"/>
      <c r="Y396" s="1"/>
      <c r="Z396" s="1"/>
    </row>
    <row r="397" spans="1:26" ht="24.75" customHeight="1">
      <c r="A397" s="1"/>
      <c r="B397" s="1"/>
      <c r="C397" s="1"/>
      <c r="D397" s="1"/>
      <c r="E397" s="1"/>
      <c r="F397" s="1"/>
      <c r="G397" s="1"/>
      <c r="H397" s="1"/>
      <c r="I397" s="1"/>
      <c r="J397" s="1"/>
      <c r="K397" s="1"/>
      <c r="L397" s="1"/>
      <c r="M397" s="1"/>
      <c r="N397" s="1"/>
      <c r="O397" s="1"/>
      <c r="P397" s="1"/>
      <c r="Q397" s="1"/>
      <c r="R397" s="1"/>
      <c r="S397" s="1"/>
      <c r="T397" s="1"/>
      <c r="U397" s="2"/>
      <c r="V397" s="1"/>
      <c r="W397" s="1"/>
      <c r="X397" s="1"/>
      <c r="Y397" s="1"/>
      <c r="Z397" s="1"/>
    </row>
    <row r="398" spans="1:26" ht="24.75" customHeight="1">
      <c r="A398" s="1"/>
      <c r="B398" s="1"/>
      <c r="C398" s="1"/>
      <c r="D398" s="1"/>
      <c r="E398" s="1"/>
      <c r="F398" s="1"/>
      <c r="G398" s="1"/>
      <c r="H398" s="1"/>
      <c r="I398" s="1"/>
      <c r="J398" s="1"/>
      <c r="K398" s="1"/>
      <c r="L398" s="1"/>
      <c r="M398" s="1"/>
      <c r="N398" s="1"/>
      <c r="O398" s="1"/>
      <c r="P398" s="1"/>
      <c r="Q398" s="1"/>
      <c r="R398" s="1"/>
      <c r="S398" s="1"/>
      <c r="T398" s="1"/>
      <c r="U398" s="2"/>
      <c r="V398" s="1"/>
      <c r="W398" s="1"/>
      <c r="X398" s="1"/>
      <c r="Y398" s="1"/>
      <c r="Z398" s="1"/>
    </row>
    <row r="399" spans="1:26" ht="24.75" customHeight="1">
      <c r="A399" s="1"/>
      <c r="B399" s="1"/>
      <c r="C399" s="1"/>
      <c r="D399" s="1"/>
      <c r="E399" s="1"/>
      <c r="F399" s="1"/>
      <c r="G399" s="1"/>
      <c r="H399" s="1"/>
      <c r="I399" s="1"/>
      <c r="J399" s="1"/>
      <c r="K399" s="1"/>
      <c r="L399" s="1"/>
      <c r="M399" s="1"/>
      <c r="N399" s="1"/>
      <c r="O399" s="1"/>
      <c r="P399" s="1"/>
      <c r="Q399" s="1"/>
      <c r="R399" s="1"/>
      <c r="S399" s="1"/>
      <c r="T399" s="1"/>
      <c r="U399" s="2"/>
      <c r="V399" s="1"/>
      <c r="W399" s="1"/>
      <c r="X399" s="1"/>
      <c r="Y399" s="1"/>
      <c r="Z399" s="1"/>
    </row>
    <row r="400" spans="1:26" ht="24.75" customHeight="1">
      <c r="A400" s="1"/>
      <c r="B400" s="1"/>
      <c r="C400" s="1"/>
      <c r="D400" s="1"/>
      <c r="E400" s="1"/>
      <c r="F400" s="1"/>
      <c r="G400" s="1"/>
      <c r="H400" s="1"/>
      <c r="I400" s="1"/>
      <c r="J400" s="1"/>
      <c r="K400" s="1"/>
      <c r="L400" s="1"/>
      <c r="M400" s="1"/>
      <c r="N400" s="1"/>
      <c r="O400" s="1"/>
      <c r="P400" s="1"/>
      <c r="Q400" s="1"/>
      <c r="R400" s="1"/>
      <c r="S400" s="1"/>
      <c r="T400" s="1"/>
      <c r="U400" s="2"/>
      <c r="V400" s="1"/>
      <c r="W400" s="1"/>
      <c r="X400" s="1"/>
      <c r="Y400" s="1"/>
      <c r="Z400" s="1"/>
    </row>
    <row r="401" spans="1:26" ht="24.75" customHeight="1">
      <c r="A401" s="1"/>
      <c r="B401" s="1"/>
      <c r="C401" s="1"/>
      <c r="D401" s="1"/>
      <c r="E401" s="1"/>
      <c r="F401" s="1"/>
      <c r="G401" s="1"/>
      <c r="H401" s="1"/>
      <c r="I401" s="1"/>
      <c r="J401" s="1"/>
      <c r="K401" s="1"/>
      <c r="L401" s="1"/>
      <c r="M401" s="1"/>
      <c r="N401" s="1"/>
      <c r="O401" s="1"/>
      <c r="P401" s="1"/>
      <c r="Q401" s="1"/>
      <c r="R401" s="1"/>
      <c r="S401" s="1"/>
      <c r="T401" s="1"/>
      <c r="U401" s="2"/>
      <c r="V401" s="1"/>
      <c r="W401" s="1"/>
      <c r="X401" s="1"/>
      <c r="Y401" s="1"/>
      <c r="Z401" s="1"/>
    </row>
    <row r="402" spans="1:26" ht="24.75" customHeight="1">
      <c r="A402" s="1"/>
      <c r="B402" s="1"/>
      <c r="C402" s="1"/>
      <c r="D402" s="1"/>
      <c r="E402" s="1"/>
      <c r="F402" s="1"/>
      <c r="G402" s="1"/>
      <c r="H402" s="1"/>
      <c r="I402" s="1"/>
      <c r="J402" s="1"/>
      <c r="K402" s="1"/>
      <c r="L402" s="1"/>
      <c r="M402" s="1"/>
      <c r="N402" s="1"/>
      <c r="O402" s="1"/>
      <c r="P402" s="1"/>
      <c r="Q402" s="1"/>
      <c r="R402" s="1"/>
      <c r="S402" s="1"/>
      <c r="T402" s="1"/>
      <c r="U402" s="2"/>
      <c r="V402" s="1"/>
      <c r="W402" s="1"/>
      <c r="X402" s="1"/>
      <c r="Y402" s="1"/>
      <c r="Z402" s="1"/>
    </row>
    <row r="403" spans="1:26" ht="24.75" customHeight="1">
      <c r="A403" s="1"/>
      <c r="B403" s="1"/>
      <c r="C403" s="1"/>
      <c r="D403" s="1"/>
      <c r="E403" s="1"/>
      <c r="F403" s="1"/>
      <c r="G403" s="1"/>
      <c r="H403" s="1"/>
      <c r="I403" s="1"/>
      <c r="J403" s="1"/>
      <c r="K403" s="1"/>
      <c r="L403" s="1"/>
      <c r="M403" s="1"/>
      <c r="N403" s="1"/>
      <c r="O403" s="1"/>
      <c r="P403" s="1"/>
      <c r="Q403" s="1"/>
      <c r="R403" s="1"/>
      <c r="S403" s="1"/>
      <c r="T403" s="1"/>
      <c r="U403" s="2"/>
      <c r="V403" s="1"/>
      <c r="W403" s="1"/>
      <c r="X403" s="1"/>
      <c r="Y403" s="1"/>
      <c r="Z403" s="1"/>
    </row>
    <row r="404" spans="1:26" ht="24.75" customHeight="1">
      <c r="A404" s="1"/>
      <c r="B404" s="1"/>
      <c r="C404" s="1"/>
      <c r="D404" s="1"/>
      <c r="E404" s="1"/>
      <c r="F404" s="1"/>
      <c r="G404" s="1"/>
      <c r="H404" s="1"/>
      <c r="I404" s="1"/>
      <c r="J404" s="1"/>
      <c r="K404" s="1"/>
      <c r="L404" s="1"/>
      <c r="M404" s="1"/>
      <c r="N404" s="1"/>
      <c r="O404" s="1"/>
      <c r="P404" s="1"/>
      <c r="Q404" s="1"/>
      <c r="R404" s="1"/>
      <c r="S404" s="1"/>
      <c r="T404" s="1"/>
      <c r="U404" s="2"/>
      <c r="V404" s="1"/>
      <c r="W404" s="1"/>
      <c r="X404" s="1"/>
      <c r="Y404" s="1"/>
      <c r="Z404" s="1"/>
    </row>
    <row r="405" spans="1:26" ht="24.75" customHeight="1">
      <c r="A405" s="1"/>
      <c r="B405" s="1"/>
      <c r="C405" s="1"/>
      <c r="D405" s="1"/>
      <c r="E405" s="1"/>
      <c r="F405" s="1"/>
      <c r="G405" s="1"/>
      <c r="H405" s="1"/>
      <c r="I405" s="1"/>
      <c r="J405" s="1"/>
      <c r="K405" s="1"/>
      <c r="L405" s="1"/>
      <c r="M405" s="1"/>
      <c r="N405" s="1"/>
      <c r="O405" s="1"/>
      <c r="P405" s="1"/>
      <c r="Q405" s="1"/>
      <c r="R405" s="1"/>
      <c r="S405" s="1"/>
      <c r="T405" s="1"/>
      <c r="U405" s="2"/>
      <c r="V405" s="1"/>
      <c r="W405" s="1"/>
      <c r="X405" s="1"/>
      <c r="Y405" s="1"/>
      <c r="Z405" s="1"/>
    </row>
    <row r="406" spans="1:26" ht="24.75" customHeight="1">
      <c r="A406" s="1"/>
      <c r="B406" s="1"/>
      <c r="C406" s="1"/>
      <c r="D406" s="1"/>
      <c r="E406" s="1"/>
      <c r="F406" s="1"/>
      <c r="G406" s="1"/>
      <c r="H406" s="1"/>
      <c r="I406" s="1"/>
      <c r="J406" s="1"/>
      <c r="K406" s="1"/>
      <c r="L406" s="1"/>
      <c r="M406" s="1"/>
      <c r="N406" s="1"/>
      <c r="O406" s="1"/>
      <c r="P406" s="1"/>
      <c r="Q406" s="1"/>
      <c r="R406" s="1"/>
      <c r="S406" s="1"/>
      <c r="T406" s="1"/>
      <c r="U406" s="2"/>
      <c r="V406" s="1"/>
      <c r="W406" s="1"/>
      <c r="X406" s="1"/>
      <c r="Y406" s="1"/>
      <c r="Z406" s="1"/>
    </row>
    <row r="407" spans="1:26" ht="24.75" customHeight="1">
      <c r="A407" s="1"/>
      <c r="B407" s="1"/>
      <c r="C407" s="1"/>
      <c r="D407" s="1"/>
      <c r="E407" s="1"/>
      <c r="F407" s="1"/>
      <c r="G407" s="1"/>
      <c r="H407" s="1"/>
      <c r="I407" s="1"/>
      <c r="J407" s="1"/>
      <c r="K407" s="1"/>
      <c r="L407" s="1"/>
      <c r="M407" s="1"/>
      <c r="N407" s="1"/>
      <c r="O407" s="1"/>
      <c r="P407" s="1"/>
      <c r="Q407" s="1"/>
      <c r="R407" s="1"/>
      <c r="S407" s="1"/>
      <c r="T407" s="1"/>
      <c r="U407" s="2"/>
      <c r="V407" s="1"/>
      <c r="W407" s="1"/>
      <c r="X407" s="1"/>
      <c r="Y407" s="1"/>
      <c r="Z407" s="1"/>
    </row>
    <row r="408" spans="1:26" ht="24.75" customHeight="1">
      <c r="A408" s="1"/>
      <c r="B408" s="1"/>
      <c r="C408" s="1"/>
      <c r="D408" s="1"/>
      <c r="E408" s="1"/>
      <c r="F408" s="1"/>
      <c r="G408" s="1"/>
      <c r="H408" s="1"/>
      <c r="I408" s="1"/>
      <c r="J408" s="1"/>
      <c r="K408" s="1"/>
      <c r="L408" s="1"/>
      <c r="M408" s="1"/>
      <c r="N408" s="1"/>
      <c r="O408" s="1"/>
      <c r="P408" s="1"/>
      <c r="Q408" s="1"/>
      <c r="R408" s="1"/>
      <c r="S408" s="1"/>
      <c r="T408" s="1"/>
      <c r="U408" s="2"/>
      <c r="V408" s="1"/>
      <c r="W408" s="1"/>
      <c r="X408" s="1"/>
      <c r="Y408" s="1"/>
      <c r="Z408" s="1"/>
    </row>
    <row r="409" spans="1:26" ht="24.75" customHeight="1">
      <c r="A409" s="1"/>
      <c r="B409" s="1"/>
      <c r="C409" s="1"/>
      <c r="D409" s="1"/>
      <c r="E409" s="1"/>
      <c r="F409" s="1"/>
      <c r="G409" s="1"/>
      <c r="H409" s="1"/>
      <c r="I409" s="1"/>
      <c r="J409" s="1"/>
      <c r="K409" s="1"/>
      <c r="L409" s="1"/>
      <c r="M409" s="1"/>
      <c r="N409" s="1"/>
      <c r="O409" s="1"/>
      <c r="P409" s="1"/>
      <c r="Q409" s="1"/>
      <c r="R409" s="1"/>
      <c r="S409" s="1"/>
      <c r="T409" s="1"/>
      <c r="U409" s="2"/>
      <c r="V409" s="1"/>
      <c r="W409" s="1"/>
      <c r="X409" s="1"/>
      <c r="Y409" s="1"/>
      <c r="Z409" s="1"/>
    </row>
    <row r="410" spans="1:26" ht="24.75" customHeight="1">
      <c r="A410" s="1"/>
      <c r="B410" s="1"/>
      <c r="C410" s="1"/>
      <c r="D410" s="1"/>
      <c r="E410" s="1"/>
      <c r="F410" s="1"/>
      <c r="G410" s="1"/>
      <c r="H410" s="1"/>
      <c r="I410" s="1"/>
      <c r="J410" s="1"/>
      <c r="K410" s="1"/>
      <c r="L410" s="1"/>
      <c r="M410" s="1"/>
      <c r="N410" s="1"/>
      <c r="O410" s="1"/>
      <c r="P410" s="1"/>
      <c r="Q410" s="1"/>
      <c r="R410" s="1"/>
      <c r="S410" s="1"/>
      <c r="T410" s="1"/>
      <c r="U410" s="2"/>
      <c r="V410" s="1"/>
      <c r="W410" s="1"/>
      <c r="X410" s="1"/>
      <c r="Y410" s="1"/>
      <c r="Z410" s="1"/>
    </row>
    <row r="411" spans="1:26" ht="24.75" customHeight="1">
      <c r="A411" s="1"/>
      <c r="B411" s="1"/>
      <c r="C411" s="1"/>
      <c r="D411" s="1"/>
      <c r="E411" s="1"/>
      <c r="F411" s="1"/>
      <c r="G411" s="1"/>
      <c r="H411" s="1"/>
      <c r="I411" s="1"/>
      <c r="J411" s="1"/>
      <c r="K411" s="1"/>
      <c r="L411" s="1"/>
      <c r="M411" s="1"/>
      <c r="N411" s="1"/>
      <c r="O411" s="1"/>
      <c r="P411" s="1"/>
      <c r="Q411" s="1"/>
      <c r="R411" s="1"/>
      <c r="S411" s="1"/>
      <c r="T411" s="1"/>
      <c r="U411" s="2"/>
      <c r="V411" s="1"/>
      <c r="W411" s="1"/>
      <c r="X411" s="1"/>
      <c r="Y411" s="1"/>
      <c r="Z411" s="1"/>
    </row>
    <row r="412" spans="1:26" ht="24.75" customHeight="1">
      <c r="A412" s="1"/>
      <c r="B412" s="1"/>
      <c r="C412" s="1"/>
      <c r="D412" s="1"/>
      <c r="E412" s="1"/>
      <c r="F412" s="1"/>
      <c r="G412" s="1"/>
      <c r="H412" s="1"/>
      <c r="I412" s="1"/>
      <c r="J412" s="1"/>
      <c r="K412" s="1"/>
      <c r="L412" s="1"/>
      <c r="M412" s="1"/>
      <c r="N412" s="1"/>
      <c r="O412" s="1"/>
      <c r="P412" s="1"/>
      <c r="Q412" s="1"/>
      <c r="R412" s="1"/>
      <c r="S412" s="1"/>
      <c r="T412" s="1"/>
      <c r="U412" s="2"/>
      <c r="V412" s="1"/>
      <c r="W412" s="1"/>
      <c r="X412" s="1"/>
      <c r="Y412" s="1"/>
      <c r="Z412" s="1"/>
    </row>
    <row r="413" spans="1:26" ht="24.75" customHeight="1">
      <c r="A413" s="1"/>
      <c r="B413" s="1"/>
      <c r="C413" s="1"/>
      <c r="D413" s="1"/>
      <c r="E413" s="1"/>
      <c r="F413" s="1"/>
      <c r="G413" s="1"/>
      <c r="H413" s="1"/>
      <c r="I413" s="1"/>
      <c r="J413" s="1"/>
      <c r="K413" s="1"/>
      <c r="L413" s="1"/>
      <c r="M413" s="1"/>
      <c r="N413" s="1"/>
      <c r="O413" s="1"/>
      <c r="P413" s="1"/>
      <c r="Q413" s="1"/>
      <c r="R413" s="1"/>
      <c r="S413" s="1"/>
      <c r="T413" s="1"/>
      <c r="U413" s="2"/>
      <c r="V413" s="1"/>
      <c r="W413" s="1"/>
      <c r="X413" s="1"/>
      <c r="Y413" s="1"/>
      <c r="Z413" s="1"/>
    </row>
    <row r="414" spans="1:26" ht="24.75" customHeight="1">
      <c r="A414" s="1"/>
      <c r="B414" s="1"/>
      <c r="C414" s="1"/>
      <c r="D414" s="1"/>
      <c r="E414" s="1"/>
      <c r="F414" s="1"/>
      <c r="G414" s="1"/>
      <c r="H414" s="1"/>
      <c r="I414" s="1"/>
      <c r="J414" s="1"/>
      <c r="K414" s="1"/>
      <c r="L414" s="1"/>
      <c r="M414" s="1"/>
      <c r="N414" s="1"/>
      <c r="O414" s="1"/>
      <c r="P414" s="1"/>
      <c r="Q414" s="1"/>
      <c r="R414" s="1"/>
      <c r="S414" s="1"/>
      <c r="T414" s="1"/>
      <c r="U414" s="2"/>
      <c r="V414" s="1"/>
      <c r="W414" s="1"/>
      <c r="X414" s="1"/>
      <c r="Y414" s="1"/>
      <c r="Z414" s="1"/>
    </row>
    <row r="415" spans="1:26" ht="24.75" customHeight="1">
      <c r="A415" s="1"/>
      <c r="B415" s="1"/>
      <c r="C415" s="1"/>
      <c r="D415" s="1"/>
      <c r="E415" s="1"/>
      <c r="F415" s="1"/>
      <c r="G415" s="1"/>
      <c r="H415" s="1"/>
      <c r="I415" s="1"/>
      <c r="J415" s="1"/>
      <c r="K415" s="1"/>
      <c r="L415" s="1"/>
      <c r="M415" s="1"/>
      <c r="N415" s="1"/>
      <c r="O415" s="1"/>
      <c r="P415" s="1"/>
      <c r="Q415" s="1"/>
      <c r="R415" s="1"/>
      <c r="S415" s="1"/>
      <c r="T415" s="1"/>
      <c r="U415" s="2"/>
      <c r="V415" s="1"/>
      <c r="W415" s="1"/>
      <c r="X415" s="1"/>
      <c r="Y415" s="1"/>
      <c r="Z415" s="1"/>
    </row>
    <row r="416" spans="1:26" ht="24.75" customHeight="1">
      <c r="A416" s="1"/>
      <c r="B416" s="1"/>
      <c r="C416" s="1"/>
      <c r="D416" s="1"/>
      <c r="E416" s="1"/>
      <c r="F416" s="1"/>
      <c r="G416" s="1"/>
      <c r="H416" s="1"/>
      <c r="I416" s="1"/>
      <c r="J416" s="1"/>
      <c r="K416" s="1"/>
      <c r="L416" s="1"/>
      <c r="M416" s="1"/>
      <c r="N416" s="1"/>
      <c r="O416" s="1"/>
      <c r="P416" s="1"/>
      <c r="Q416" s="1"/>
      <c r="R416" s="1"/>
      <c r="S416" s="1"/>
      <c r="T416" s="1"/>
      <c r="U416" s="2"/>
      <c r="V416" s="1"/>
      <c r="W416" s="1"/>
      <c r="X416" s="1"/>
      <c r="Y416" s="1"/>
      <c r="Z416" s="1"/>
    </row>
    <row r="417" spans="1:26" ht="24.75" customHeight="1">
      <c r="A417" s="1"/>
      <c r="B417" s="1"/>
      <c r="C417" s="1"/>
      <c r="D417" s="1"/>
      <c r="E417" s="1"/>
      <c r="F417" s="1"/>
      <c r="G417" s="1"/>
      <c r="H417" s="1"/>
      <c r="I417" s="1"/>
      <c r="J417" s="1"/>
      <c r="K417" s="1"/>
      <c r="L417" s="1"/>
      <c r="M417" s="1"/>
      <c r="N417" s="1"/>
      <c r="O417" s="1"/>
      <c r="P417" s="1"/>
      <c r="Q417" s="1"/>
      <c r="R417" s="1"/>
      <c r="S417" s="1"/>
      <c r="T417" s="1"/>
      <c r="U417" s="2"/>
      <c r="V417" s="1"/>
      <c r="W417" s="1"/>
      <c r="X417" s="1"/>
      <c r="Y417" s="1"/>
      <c r="Z417" s="1"/>
    </row>
    <row r="418" spans="1:26" ht="24.75" customHeight="1">
      <c r="A418" s="1"/>
      <c r="B418" s="1"/>
      <c r="C418" s="1"/>
      <c r="D418" s="1"/>
      <c r="E418" s="1"/>
      <c r="F418" s="1"/>
      <c r="G418" s="1"/>
      <c r="H418" s="1"/>
      <c r="I418" s="1"/>
      <c r="J418" s="1"/>
      <c r="K418" s="1"/>
      <c r="L418" s="1"/>
      <c r="M418" s="1"/>
      <c r="N418" s="1"/>
      <c r="O418" s="1"/>
      <c r="P418" s="1"/>
      <c r="Q418" s="1"/>
      <c r="R418" s="1"/>
      <c r="S418" s="1"/>
      <c r="T418" s="1"/>
      <c r="U418" s="2"/>
      <c r="V418" s="1"/>
      <c r="W418" s="1"/>
      <c r="X418" s="1"/>
      <c r="Y418" s="1"/>
      <c r="Z418" s="1"/>
    </row>
    <row r="419" spans="1:26" ht="24.75" customHeight="1">
      <c r="A419" s="1"/>
      <c r="B419" s="1"/>
      <c r="C419" s="1"/>
      <c r="D419" s="1"/>
      <c r="E419" s="1"/>
      <c r="F419" s="1"/>
      <c r="G419" s="1"/>
      <c r="H419" s="1"/>
      <c r="I419" s="1"/>
      <c r="J419" s="1"/>
      <c r="K419" s="1"/>
      <c r="L419" s="1"/>
      <c r="M419" s="1"/>
      <c r="N419" s="1"/>
      <c r="O419" s="1"/>
      <c r="P419" s="1"/>
      <c r="Q419" s="1"/>
      <c r="R419" s="1"/>
      <c r="S419" s="1"/>
      <c r="T419" s="1"/>
      <c r="U419" s="2"/>
      <c r="V419" s="1"/>
      <c r="W419" s="1"/>
      <c r="X419" s="1"/>
      <c r="Y419" s="1"/>
      <c r="Z419" s="1"/>
    </row>
    <row r="420" spans="1:26" ht="24.75" customHeight="1">
      <c r="A420" s="1"/>
      <c r="B420" s="1"/>
      <c r="C420" s="1"/>
      <c r="D420" s="1"/>
      <c r="E420" s="1"/>
      <c r="F420" s="1"/>
      <c r="G420" s="1"/>
      <c r="H420" s="1"/>
      <c r="I420" s="1"/>
      <c r="J420" s="1"/>
      <c r="K420" s="1"/>
      <c r="L420" s="1"/>
      <c r="M420" s="1"/>
      <c r="N420" s="1"/>
      <c r="O420" s="1"/>
      <c r="P420" s="1"/>
      <c r="Q420" s="1"/>
      <c r="R420" s="1"/>
      <c r="S420" s="1"/>
      <c r="T420" s="1"/>
      <c r="U420" s="2"/>
      <c r="V420" s="1"/>
      <c r="W420" s="1"/>
      <c r="X420" s="1"/>
      <c r="Y420" s="1"/>
      <c r="Z420" s="1"/>
    </row>
    <row r="421" spans="1:26" ht="24.75" customHeight="1">
      <c r="A421" s="1"/>
      <c r="B421" s="1"/>
      <c r="C421" s="1"/>
      <c r="D421" s="1"/>
      <c r="E421" s="1"/>
      <c r="F421" s="1"/>
      <c r="G421" s="1"/>
      <c r="H421" s="1"/>
      <c r="I421" s="1"/>
      <c r="J421" s="1"/>
      <c r="K421" s="1"/>
      <c r="L421" s="1"/>
      <c r="M421" s="1"/>
      <c r="N421" s="1"/>
      <c r="O421" s="1"/>
      <c r="P421" s="1"/>
      <c r="Q421" s="1"/>
      <c r="R421" s="1"/>
      <c r="S421" s="1"/>
      <c r="T421" s="1"/>
      <c r="U421" s="2"/>
      <c r="V421" s="1"/>
      <c r="W421" s="1"/>
      <c r="X421" s="1"/>
      <c r="Y421" s="1"/>
      <c r="Z421" s="1"/>
    </row>
    <row r="422" spans="1:26" ht="24.75" customHeight="1">
      <c r="A422" s="1"/>
      <c r="B422" s="1"/>
      <c r="C422" s="1"/>
      <c r="D422" s="1"/>
      <c r="E422" s="1"/>
      <c r="F422" s="1"/>
      <c r="G422" s="1"/>
      <c r="H422" s="1"/>
      <c r="I422" s="1"/>
      <c r="J422" s="1"/>
      <c r="K422" s="1"/>
      <c r="L422" s="1"/>
      <c r="M422" s="1"/>
      <c r="N422" s="1"/>
      <c r="O422" s="1"/>
      <c r="P422" s="1"/>
      <c r="Q422" s="1"/>
      <c r="R422" s="1"/>
      <c r="S422" s="1"/>
      <c r="T422" s="1"/>
      <c r="U422" s="2"/>
      <c r="V422" s="1"/>
      <c r="W422" s="1"/>
      <c r="X422" s="1"/>
      <c r="Y422" s="1"/>
      <c r="Z422" s="1"/>
    </row>
    <row r="423" spans="1:26" ht="24.75" customHeight="1">
      <c r="A423" s="1"/>
      <c r="B423" s="1"/>
      <c r="C423" s="1"/>
      <c r="D423" s="1"/>
      <c r="E423" s="1"/>
      <c r="F423" s="1"/>
      <c r="G423" s="1"/>
      <c r="H423" s="1"/>
      <c r="I423" s="1"/>
      <c r="J423" s="1"/>
      <c r="K423" s="1"/>
      <c r="L423" s="1"/>
      <c r="M423" s="1"/>
      <c r="N423" s="1"/>
      <c r="O423" s="1"/>
      <c r="P423" s="1"/>
      <c r="Q423" s="1"/>
      <c r="R423" s="1"/>
      <c r="S423" s="1"/>
      <c r="T423" s="1"/>
      <c r="U423" s="2"/>
      <c r="V423" s="1"/>
      <c r="W423" s="1"/>
      <c r="X423" s="1"/>
      <c r="Y423" s="1"/>
      <c r="Z423" s="1"/>
    </row>
    <row r="424" spans="1:26" ht="24.75" customHeight="1">
      <c r="A424" s="1"/>
      <c r="B424" s="1"/>
      <c r="C424" s="1"/>
      <c r="D424" s="1"/>
      <c r="E424" s="1"/>
      <c r="F424" s="1"/>
      <c r="G424" s="1"/>
      <c r="H424" s="1"/>
      <c r="I424" s="1"/>
      <c r="J424" s="1"/>
      <c r="K424" s="1"/>
      <c r="L424" s="1"/>
      <c r="M424" s="1"/>
      <c r="N424" s="1"/>
      <c r="O424" s="1"/>
      <c r="P424" s="1"/>
      <c r="Q424" s="1"/>
      <c r="R424" s="1"/>
      <c r="S424" s="1"/>
      <c r="T424" s="1"/>
      <c r="U424" s="2"/>
      <c r="V424" s="1"/>
      <c r="W424" s="1"/>
      <c r="X424" s="1"/>
      <c r="Y424" s="1"/>
      <c r="Z424" s="1"/>
    </row>
    <row r="425" spans="1:26" ht="24.75" customHeight="1">
      <c r="A425" s="1"/>
      <c r="B425" s="1"/>
      <c r="C425" s="1"/>
      <c r="D425" s="1"/>
      <c r="E425" s="1"/>
      <c r="F425" s="1"/>
      <c r="G425" s="1"/>
      <c r="H425" s="1"/>
      <c r="I425" s="1"/>
      <c r="J425" s="1"/>
      <c r="K425" s="1"/>
      <c r="L425" s="1"/>
      <c r="M425" s="1"/>
      <c r="N425" s="1"/>
      <c r="O425" s="1"/>
      <c r="P425" s="1"/>
      <c r="Q425" s="1"/>
      <c r="R425" s="1"/>
      <c r="S425" s="1"/>
      <c r="T425" s="1"/>
      <c r="U425" s="2"/>
      <c r="V425" s="1"/>
      <c r="W425" s="1"/>
      <c r="X425" s="1"/>
      <c r="Y425" s="1"/>
      <c r="Z425" s="1"/>
    </row>
    <row r="426" spans="1:26" ht="24.75" customHeight="1">
      <c r="A426" s="1"/>
      <c r="B426" s="1"/>
      <c r="C426" s="1"/>
      <c r="D426" s="1"/>
      <c r="E426" s="1"/>
      <c r="F426" s="1"/>
      <c r="G426" s="1"/>
      <c r="H426" s="1"/>
      <c r="I426" s="1"/>
      <c r="J426" s="1"/>
      <c r="K426" s="1"/>
      <c r="L426" s="1"/>
      <c r="M426" s="1"/>
      <c r="N426" s="1"/>
      <c r="O426" s="1"/>
      <c r="P426" s="1"/>
      <c r="Q426" s="1"/>
      <c r="R426" s="1"/>
      <c r="S426" s="1"/>
      <c r="T426" s="1"/>
      <c r="U426" s="2"/>
      <c r="V426" s="1"/>
      <c r="W426" s="1"/>
      <c r="X426" s="1"/>
      <c r="Y426" s="1"/>
      <c r="Z426" s="1"/>
    </row>
    <row r="427" spans="1:26" ht="24.75" customHeight="1">
      <c r="A427" s="1"/>
      <c r="B427" s="1"/>
      <c r="C427" s="1"/>
      <c r="D427" s="1"/>
      <c r="E427" s="1"/>
      <c r="F427" s="1"/>
      <c r="G427" s="1"/>
      <c r="H427" s="1"/>
      <c r="I427" s="1"/>
      <c r="J427" s="1"/>
      <c r="K427" s="1"/>
      <c r="L427" s="1"/>
      <c r="M427" s="1"/>
      <c r="N427" s="1"/>
      <c r="O427" s="1"/>
      <c r="P427" s="1"/>
      <c r="Q427" s="1"/>
      <c r="R427" s="1"/>
      <c r="S427" s="1"/>
      <c r="T427" s="1"/>
      <c r="U427" s="2"/>
      <c r="V427" s="1"/>
      <c r="W427" s="1"/>
      <c r="X427" s="1"/>
      <c r="Y427" s="1"/>
      <c r="Z427" s="1"/>
    </row>
    <row r="428" spans="1:26" ht="24.75" customHeight="1">
      <c r="A428" s="1"/>
      <c r="B428" s="1"/>
      <c r="C428" s="1"/>
      <c r="D428" s="1"/>
      <c r="E428" s="1"/>
      <c r="F428" s="1"/>
      <c r="G428" s="1"/>
      <c r="H428" s="1"/>
      <c r="I428" s="1"/>
      <c r="J428" s="1"/>
      <c r="K428" s="1"/>
      <c r="L428" s="1"/>
      <c r="M428" s="1"/>
      <c r="N428" s="1"/>
      <c r="O428" s="1"/>
      <c r="P428" s="1"/>
      <c r="Q428" s="1"/>
      <c r="R428" s="1"/>
      <c r="S428" s="1"/>
      <c r="T428" s="1"/>
      <c r="U428" s="2"/>
      <c r="V428" s="1"/>
      <c r="W428" s="1"/>
      <c r="X428" s="1"/>
      <c r="Y428" s="1"/>
      <c r="Z428" s="1"/>
    </row>
    <row r="429" spans="1:26" ht="24.75" customHeight="1">
      <c r="A429" s="1"/>
      <c r="B429" s="1"/>
      <c r="C429" s="1"/>
      <c r="D429" s="1"/>
      <c r="E429" s="1"/>
      <c r="F429" s="1"/>
      <c r="G429" s="1"/>
      <c r="H429" s="1"/>
      <c r="I429" s="1"/>
      <c r="J429" s="1"/>
      <c r="K429" s="1"/>
      <c r="L429" s="1"/>
      <c r="M429" s="1"/>
      <c r="N429" s="1"/>
      <c r="O429" s="1"/>
      <c r="P429" s="1"/>
      <c r="Q429" s="1"/>
      <c r="R429" s="1"/>
      <c r="S429" s="1"/>
      <c r="T429" s="1"/>
      <c r="U429" s="2"/>
      <c r="V429" s="1"/>
      <c r="W429" s="1"/>
      <c r="X429" s="1"/>
      <c r="Y429" s="1"/>
      <c r="Z429" s="1"/>
    </row>
    <row r="430" spans="1:26" ht="24.75" customHeight="1">
      <c r="A430" s="1"/>
      <c r="B430" s="1"/>
      <c r="C430" s="1"/>
      <c r="D430" s="1"/>
      <c r="E430" s="1"/>
      <c r="F430" s="1"/>
      <c r="G430" s="1"/>
      <c r="H430" s="1"/>
      <c r="I430" s="1"/>
      <c r="J430" s="1"/>
      <c r="K430" s="1"/>
      <c r="L430" s="1"/>
      <c r="M430" s="1"/>
      <c r="N430" s="1"/>
      <c r="O430" s="1"/>
      <c r="P430" s="1"/>
      <c r="Q430" s="1"/>
      <c r="R430" s="1"/>
      <c r="S430" s="1"/>
      <c r="T430" s="1"/>
      <c r="U430" s="2"/>
      <c r="V430" s="1"/>
      <c r="W430" s="1"/>
      <c r="X430" s="1"/>
      <c r="Y430" s="1"/>
      <c r="Z430" s="1"/>
    </row>
    <row r="431" spans="1:26" ht="24.75" customHeight="1">
      <c r="A431" s="1"/>
      <c r="B431" s="1"/>
      <c r="C431" s="1"/>
      <c r="D431" s="1"/>
      <c r="E431" s="1"/>
      <c r="F431" s="1"/>
      <c r="G431" s="1"/>
      <c r="H431" s="1"/>
      <c r="I431" s="1"/>
      <c r="J431" s="1"/>
      <c r="K431" s="1"/>
      <c r="L431" s="1"/>
      <c r="M431" s="1"/>
      <c r="N431" s="1"/>
      <c r="O431" s="1"/>
      <c r="P431" s="1"/>
      <c r="Q431" s="1"/>
      <c r="R431" s="1"/>
      <c r="S431" s="1"/>
      <c r="T431" s="1"/>
      <c r="U431" s="2"/>
      <c r="V431" s="1"/>
      <c r="W431" s="1"/>
      <c r="X431" s="1"/>
      <c r="Y431" s="1"/>
      <c r="Z431" s="1"/>
    </row>
    <row r="432" spans="1:26" ht="24.75" customHeight="1">
      <c r="A432" s="1"/>
      <c r="B432" s="1"/>
      <c r="C432" s="1"/>
      <c r="D432" s="1"/>
      <c r="E432" s="1"/>
      <c r="F432" s="1"/>
      <c r="G432" s="1"/>
      <c r="H432" s="1"/>
      <c r="I432" s="1"/>
      <c r="J432" s="1"/>
      <c r="K432" s="1"/>
      <c r="L432" s="1"/>
      <c r="M432" s="1"/>
      <c r="N432" s="1"/>
      <c r="O432" s="1"/>
      <c r="P432" s="1"/>
      <c r="Q432" s="1"/>
      <c r="R432" s="1"/>
      <c r="S432" s="1"/>
      <c r="T432" s="1"/>
      <c r="U432" s="2"/>
      <c r="V432" s="1"/>
      <c r="W432" s="1"/>
      <c r="X432" s="1"/>
      <c r="Y432" s="1"/>
      <c r="Z432" s="1"/>
    </row>
    <row r="433" spans="1:26" ht="24.75" customHeight="1">
      <c r="A433" s="1"/>
      <c r="B433" s="1"/>
      <c r="C433" s="1"/>
      <c r="D433" s="1"/>
      <c r="E433" s="1"/>
      <c r="F433" s="1"/>
      <c r="G433" s="1"/>
      <c r="H433" s="1"/>
      <c r="I433" s="1"/>
      <c r="J433" s="1"/>
      <c r="K433" s="1"/>
      <c r="L433" s="1"/>
      <c r="M433" s="1"/>
      <c r="N433" s="1"/>
      <c r="O433" s="1"/>
      <c r="P433" s="1"/>
      <c r="Q433" s="1"/>
      <c r="R433" s="1"/>
      <c r="S433" s="1"/>
      <c r="T433" s="1"/>
      <c r="U433" s="2"/>
      <c r="V433" s="1"/>
      <c r="W433" s="1"/>
      <c r="X433" s="1"/>
      <c r="Y433" s="1"/>
      <c r="Z433" s="1"/>
    </row>
    <row r="434" spans="1:26" ht="24.75" customHeight="1">
      <c r="A434" s="1"/>
      <c r="B434" s="1"/>
      <c r="C434" s="1"/>
      <c r="D434" s="1"/>
      <c r="E434" s="1"/>
      <c r="F434" s="1"/>
      <c r="G434" s="1"/>
      <c r="H434" s="1"/>
      <c r="I434" s="1"/>
      <c r="J434" s="1"/>
      <c r="K434" s="1"/>
      <c r="L434" s="1"/>
      <c r="M434" s="1"/>
      <c r="N434" s="1"/>
      <c r="O434" s="1"/>
      <c r="P434" s="1"/>
      <c r="Q434" s="1"/>
      <c r="R434" s="1"/>
      <c r="S434" s="1"/>
      <c r="T434" s="1"/>
      <c r="U434" s="2"/>
      <c r="V434" s="1"/>
      <c r="W434" s="1"/>
      <c r="X434" s="1"/>
      <c r="Y434" s="1"/>
      <c r="Z434" s="1"/>
    </row>
    <row r="435" spans="1:26" ht="24.75" customHeight="1">
      <c r="A435" s="1"/>
      <c r="B435" s="1"/>
      <c r="C435" s="1"/>
      <c r="D435" s="1"/>
      <c r="E435" s="1"/>
      <c r="F435" s="1"/>
      <c r="G435" s="1"/>
      <c r="H435" s="1"/>
      <c r="I435" s="1"/>
      <c r="J435" s="1"/>
      <c r="K435" s="1"/>
      <c r="L435" s="1"/>
      <c r="M435" s="1"/>
      <c r="N435" s="1"/>
      <c r="O435" s="1"/>
      <c r="P435" s="1"/>
      <c r="Q435" s="1"/>
      <c r="R435" s="1"/>
      <c r="S435" s="1"/>
      <c r="T435" s="1"/>
      <c r="U435" s="2"/>
      <c r="V435" s="1"/>
      <c r="W435" s="1"/>
      <c r="X435" s="1"/>
      <c r="Y435" s="1"/>
      <c r="Z435" s="1"/>
    </row>
    <row r="436" spans="1:26" ht="24.75" customHeight="1">
      <c r="A436" s="1"/>
      <c r="B436" s="1"/>
      <c r="C436" s="1"/>
      <c r="D436" s="1"/>
      <c r="E436" s="1"/>
      <c r="F436" s="1"/>
      <c r="G436" s="1"/>
      <c r="H436" s="1"/>
      <c r="I436" s="1"/>
      <c r="J436" s="1"/>
      <c r="K436" s="1"/>
      <c r="L436" s="1"/>
      <c r="M436" s="1"/>
      <c r="N436" s="1"/>
      <c r="O436" s="1"/>
      <c r="P436" s="1"/>
      <c r="Q436" s="1"/>
      <c r="R436" s="1"/>
      <c r="S436" s="1"/>
      <c r="T436" s="1"/>
      <c r="U436" s="2"/>
      <c r="V436" s="1"/>
      <c r="W436" s="1"/>
      <c r="X436" s="1"/>
      <c r="Y436" s="1"/>
      <c r="Z436" s="1"/>
    </row>
    <row r="437" spans="1:26" ht="24.75" customHeight="1">
      <c r="A437" s="1"/>
      <c r="B437" s="1"/>
      <c r="C437" s="1"/>
      <c r="D437" s="1"/>
      <c r="E437" s="1"/>
      <c r="F437" s="1"/>
      <c r="G437" s="1"/>
      <c r="H437" s="1"/>
      <c r="I437" s="1"/>
      <c r="J437" s="1"/>
      <c r="K437" s="1"/>
      <c r="L437" s="1"/>
      <c r="M437" s="1"/>
      <c r="N437" s="1"/>
      <c r="O437" s="1"/>
      <c r="P437" s="1"/>
      <c r="Q437" s="1"/>
      <c r="R437" s="1"/>
      <c r="S437" s="1"/>
      <c r="T437" s="1"/>
      <c r="U437" s="2"/>
      <c r="V437" s="1"/>
      <c r="W437" s="1"/>
      <c r="X437" s="1"/>
      <c r="Y437" s="1"/>
      <c r="Z437" s="1"/>
    </row>
    <row r="438" spans="1:26" ht="24.75" customHeight="1">
      <c r="A438" s="1"/>
      <c r="B438" s="1"/>
      <c r="C438" s="1"/>
      <c r="D438" s="1"/>
      <c r="E438" s="1"/>
      <c r="F438" s="1"/>
      <c r="G438" s="1"/>
      <c r="H438" s="1"/>
      <c r="I438" s="1"/>
      <c r="J438" s="1"/>
      <c r="K438" s="1"/>
      <c r="L438" s="1"/>
      <c r="M438" s="1"/>
      <c r="N438" s="1"/>
      <c r="O438" s="1"/>
      <c r="P438" s="1"/>
      <c r="Q438" s="1"/>
      <c r="R438" s="1"/>
      <c r="S438" s="1"/>
      <c r="T438" s="1"/>
      <c r="U438" s="2"/>
      <c r="V438" s="1"/>
      <c r="W438" s="1"/>
      <c r="X438" s="1"/>
      <c r="Y438" s="1"/>
      <c r="Z438" s="1"/>
    </row>
    <row r="439" spans="1:26" ht="24.75" customHeight="1">
      <c r="A439" s="1"/>
      <c r="B439" s="1"/>
      <c r="C439" s="1"/>
      <c r="D439" s="1"/>
      <c r="E439" s="1"/>
      <c r="F439" s="1"/>
      <c r="G439" s="1"/>
      <c r="H439" s="1"/>
      <c r="I439" s="1"/>
      <c r="J439" s="1"/>
      <c r="K439" s="1"/>
      <c r="L439" s="1"/>
      <c r="M439" s="1"/>
      <c r="N439" s="1"/>
      <c r="O439" s="1"/>
      <c r="P439" s="1"/>
      <c r="Q439" s="1"/>
      <c r="R439" s="1"/>
      <c r="S439" s="1"/>
      <c r="T439" s="1"/>
      <c r="U439" s="2"/>
      <c r="V439" s="1"/>
      <c r="W439" s="1"/>
      <c r="X439" s="1"/>
      <c r="Y439" s="1"/>
      <c r="Z439" s="1"/>
    </row>
    <row r="440" spans="1:26" ht="24.75" customHeight="1">
      <c r="A440" s="1"/>
      <c r="B440" s="1"/>
      <c r="C440" s="1"/>
      <c r="D440" s="1"/>
      <c r="E440" s="1"/>
      <c r="F440" s="1"/>
      <c r="G440" s="1"/>
      <c r="H440" s="1"/>
      <c r="I440" s="1"/>
      <c r="J440" s="1"/>
      <c r="K440" s="1"/>
      <c r="L440" s="1"/>
      <c r="M440" s="1"/>
      <c r="N440" s="1"/>
      <c r="O440" s="1"/>
      <c r="P440" s="1"/>
      <c r="Q440" s="1"/>
      <c r="R440" s="1"/>
      <c r="S440" s="1"/>
      <c r="T440" s="1"/>
      <c r="U440" s="2"/>
      <c r="V440" s="1"/>
      <c r="W440" s="1"/>
      <c r="X440" s="1"/>
      <c r="Y440" s="1"/>
      <c r="Z440" s="1"/>
    </row>
    <row r="441" spans="1:26" ht="24.75" customHeight="1">
      <c r="A441" s="1"/>
      <c r="B441" s="1"/>
      <c r="C441" s="1"/>
      <c r="D441" s="1"/>
      <c r="E441" s="1"/>
      <c r="F441" s="1"/>
      <c r="G441" s="1"/>
      <c r="H441" s="1"/>
      <c r="I441" s="1"/>
      <c r="J441" s="1"/>
      <c r="K441" s="1"/>
      <c r="L441" s="1"/>
      <c r="M441" s="1"/>
      <c r="N441" s="1"/>
      <c r="O441" s="1"/>
      <c r="P441" s="1"/>
      <c r="Q441" s="1"/>
      <c r="R441" s="1"/>
      <c r="S441" s="1"/>
      <c r="T441" s="1"/>
      <c r="U441" s="2"/>
      <c r="V441" s="1"/>
      <c r="W441" s="1"/>
      <c r="X441" s="1"/>
      <c r="Y441" s="1"/>
      <c r="Z441" s="1"/>
    </row>
    <row r="442" spans="1:26" ht="24.75" customHeight="1">
      <c r="A442" s="1"/>
      <c r="B442" s="1"/>
      <c r="C442" s="1"/>
      <c r="D442" s="1"/>
      <c r="E442" s="1"/>
      <c r="F442" s="1"/>
      <c r="G442" s="1"/>
      <c r="H442" s="1"/>
      <c r="I442" s="1"/>
      <c r="J442" s="1"/>
      <c r="K442" s="1"/>
      <c r="L442" s="1"/>
      <c r="M442" s="1"/>
      <c r="N442" s="1"/>
      <c r="O442" s="1"/>
      <c r="P442" s="1"/>
      <c r="Q442" s="1"/>
      <c r="R442" s="1"/>
      <c r="S442" s="1"/>
      <c r="T442" s="1"/>
      <c r="U442" s="2"/>
      <c r="V442" s="1"/>
      <c r="W442" s="1"/>
      <c r="X442" s="1"/>
      <c r="Y442" s="1"/>
      <c r="Z442" s="1"/>
    </row>
    <row r="443" spans="1:26" ht="24.75" customHeight="1">
      <c r="A443" s="1"/>
      <c r="B443" s="1"/>
      <c r="C443" s="1"/>
      <c r="D443" s="1"/>
      <c r="E443" s="1"/>
      <c r="F443" s="1"/>
      <c r="G443" s="1"/>
      <c r="H443" s="1"/>
      <c r="I443" s="1"/>
      <c r="J443" s="1"/>
      <c r="K443" s="1"/>
      <c r="L443" s="1"/>
      <c r="M443" s="1"/>
      <c r="N443" s="1"/>
      <c r="O443" s="1"/>
      <c r="P443" s="1"/>
      <c r="Q443" s="1"/>
      <c r="R443" s="1"/>
      <c r="S443" s="1"/>
      <c r="T443" s="1"/>
      <c r="U443" s="2"/>
      <c r="V443" s="1"/>
      <c r="W443" s="1"/>
      <c r="X443" s="1"/>
      <c r="Y443" s="1"/>
      <c r="Z443" s="1"/>
    </row>
    <row r="444" spans="1:26" ht="24.75" customHeight="1">
      <c r="A444" s="1"/>
      <c r="B444" s="1"/>
      <c r="C444" s="1"/>
      <c r="D444" s="1"/>
      <c r="E444" s="1"/>
      <c r="F444" s="1"/>
      <c r="G444" s="1"/>
      <c r="H444" s="1"/>
      <c r="I444" s="1"/>
      <c r="J444" s="1"/>
      <c r="K444" s="1"/>
      <c r="L444" s="1"/>
      <c r="M444" s="1"/>
      <c r="N444" s="1"/>
      <c r="O444" s="1"/>
      <c r="P444" s="1"/>
      <c r="Q444" s="1"/>
      <c r="R444" s="1"/>
      <c r="S444" s="1"/>
      <c r="T444" s="1"/>
      <c r="U444" s="2"/>
      <c r="V444" s="1"/>
      <c r="W444" s="1"/>
      <c r="X444" s="1"/>
      <c r="Y444" s="1"/>
      <c r="Z444" s="1"/>
    </row>
    <row r="445" spans="1:26" ht="24.75" customHeight="1">
      <c r="A445" s="1"/>
      <c r="B445" s="1"/>
      <c r="C445" s="1"/>
      <c r="D445" s="1"/>
      <c r="E445" s="1"/>
      <c r="F445" s="1"/>
      <c r="G445" s="1"/>
      <c r="H445" s="1"/>
      <c r="I445" s="1"/>
      <c r="J445" s="1"/>
      <c r="K445" s="1"/>
      <c r="L445" s="1"/>
      <c r="M445" s="1"/>
      <c r="N445" s="1"/>
      <c r="O445" s="1"/>
      <c r="P445" s="1"/>
      <c r="Q445" s="1"/>
      <c r="R445" s="1"/>
      <c r="S445" s="1"/>
      <c r="T445" s="1"/>
      <c r="U445" s="2"/>
      <c r="V445" s="1"/>
      <c r="W445" s="1"/>
      <c r="X445" s="1"/>
      <c r="Y445" s="1"/>
      <c r="Z445" s="1"/>
    </row>
    <row r="446" spans="1:26" ht="24.75" customHeight="1">
      <c r="A446" s="1"/>
      <c r="B446" s="1"/>
      <c r="C446" s="1"/>
      <c r="D446" s="1"/>
      <c r="E446" s="1"/>
      <c r="F446" s="1"/>
      <c r="G446" s="1"/>
      <c r="H446" s="1"/>
      <c r="I446" s="1"/>
      <c r="J446" s="1"/>
      <c r="K446" s="1"/>
      <c r="L446" s="1"/>
      <c r="M446" s="1"/>
      <c r="N446" s="1"/>
      <c r="O446" s="1"/>
      <c r="P446" s="1"/>
      <c r="Q446" s="1"/>
      <c r="R446" s="1"/>
      <c r="S446" s="1"/>
      <c r="T446" s="1"/>
      <c r="U446" s="2"/>
      <c r="V446" s="1"/>
      <c r="W446" s="1"/>
      <c r="X446" s="1"/>
      <c r="Y446" s="1"/>
      <c r="Z446" s="1"/>
    </row>
    <row r="447" spans="1:26" ht="24.75" customHeight="1">
      <c r="A447" s="1"/>
      <c r="B447" s="1"/>
      <c r="C447" s="1"/>
      <c r="D447" s="1"/>
      <c r="E447" s="1"/>
      <c r="F447" s="1"/>
      <c r="G447" s="1"/>
      <c r="H447" s="1"/>
      <c r="I447" s="1"/>
      <c r="J447" s="1"/>
      <c r="K447" s="1"/>
      <c r="L447" s="1"/>
      <c r="M447" s="1"/>
      <c r="N447" s="1"/>
      <c r="O447" s="1"/>
      <c r="P447" s="1"/>
      <c r="Q447" s="1"/>
      <c r="R447" s="1"/>
      <c r="S447" s="1"/>
      <c r="T447" s="1"/>
      <c r="U447" s="2"/>
      <c r="V447" s="1"/>
      <c r="W447" s="1"/>
      <c r="X447" s="1"/>
      <c r="Y447" s="1"/>
      <c r="Z447" s="1"/>
    </row>
    <row r="448" spans="1:26" ht="24.75" customHeight="1">
      <c r="A448" s="1"/>
      <c r="B448" s="1"/>
      <c r="C448" s="1"/>
      <c r="D448" s="1"/>
      <c r="E448" s="1"/>
      <c r="F448" s="1"/>
      <c r="G448" s="1"/>
      <c r="H448" s="1"/>
      <c r="I448" s="1"/>
      <c r="J448" s="1"/>
      <c r="K448" s="1"/>
      <c r="L448" s="1"/>
      <c r="M448" s="1"/>
      <c r="N448" s="1"/>
      <c r="O448" s="1"/>
      <c r="P448" s="1"/>
      <c r="Q448" s="1"/>
      <c r="R448" s="1"/>
      <c r="S448" s="1"/>
      <c r="T448" s="1"/>
      <c r="U448" s="2"/>
      <c r="V448" s="1"/>
      <c r="W448" s="1"/>
      <c r="X448" s="1"/>
      <c r="Y448" s="1"/>
      <c r="Z448" s="1"/>
    </row>
    <row r="449" spans="1:26" ht="24.75" customHeight="1">
      <c r="A449" s="1"/>
      <c r="B449" s="1"/>
      <c r="C449" s="1"/>
      <c r="D449" s="1"/>
      <c r="E449" s="1"/>
      <c r="F449" s="1"/>
      <c r="G449" s="1"/>
      <c r="H449" s="1"/>
      <c r="I449" s="1"/>
      <c r="J449" s="1"/>
      <c r="K449" s="1"/>
      <c r="L449" s="1"/>
      <c r="M449" s="1"/>
      <c r="N449" s="1"/>
      <c r="O449" s="1"/>
      <c r="P449" s="1"/>
      <c r="Q449" s="1"/>
      <c r="R449" s="1"/>
      <c r="S449" s="1"/>
      <c r="T449" s="1"/>
      <c r="U449" s="2"/>
      <c r="V449" s="1"/>
      <c r="W449" s="1"/>
      <c r="X449" s="1"/>
      <c r="Y449" s="1"/>
      <c r="Z449" s="1"/>
    </row>
    <row r="450" spans="1:26" ht="24.75" customHeight="1">
      <c r="A450" s="1"/>
      <c r="B450" s="1"/>
      <c r="C450" s="1"/>
      <c r="D450" s="1"/>
      <c r="E450" s="1"/>
      <c r="F450" s="1"/>
      <c r="G450" s="1"/>
      <c r="H450" s="1"/>
      <c r="I450" s="1"/>
      <c r="J450" s="1"/>
      <c r="K450" s="1"/>
      <c r="L450" s="1"/>
      <c r="M450" s="1"/>
      <c r="N450" s="1"/>
      <c r="O450" s="1"/>
      <c r="P450" s="1"/>
      <c r="Q450" s="1"/>
      <c r="R450" s="1"/>
      <c r="S450" s="1"/>
      <c r="T450" s="1"/>
      <c r="U450" s="2"/>
      <c r="V450" s="1"/>
      <c r="W450" s="1"/>
      <c r="X450" s="1"/>
      <c r="Y450" s="1"/>
      <c r="Z450" s="1"/>
    </row>
    <row r="451" spans="1:26" ht="24.75" customHeight="1">
      <c r="A451" s="1"/>
      <c r="B451" s="1"/>
      <c r="C451" s="1"/>
      <c r="D451" s="1"/>
      <c r="E451" s="1"/>
      <c r="F451" s="1"/>
      <c r="G451" s="1"/>
      <c r="H451" s="1"/>
      <c r="I451" s="1"/>
      <c r="J451" s="1"/>
      <c r="K451" s="1"/>
      <c r="L451" s="1"/>
      <c r="M451" s="1"/>
      <c r="N451" s="1"/>
      <c r="O451" s="1"/>
      <c r="P451" s="1"/>
      <c r="Q451" s="1"/>
      <c r="R451" s="1"/>
      <c r="S451" s="1"/>
      <c r="T451" s="1"/>
      <c r="U451" s="2"/>
      <c r="V451" s="1"/>
      <c r="W451" s="1"/>
      <c r="X451" s="1"/>
      <c r="Y451" s="1"/>
      <c r="Z451" s="1"/>
    </row>
    <row r="452" spans="1:26" ht="24.75" customHeight="1">
      <c r="A452" s="1"/>
      <c r="B452" s="1"/>
      <c r="C452" s="1"/>
      <c r="D452" s="1"/>
      <c r="E452" s="1"/>
      <c r="F452" s="1"/>
      <c r="G452" s="1"/>
      <c r="H452" s="1"/>
      <c r="I452" s="1"/>
      <c r="J452" s="1"/>
      <c r="K452" s="1"/>
      <c r="L452" s="1"/>
      <c r="M452" s="1"/>
      <c r="N452" s="1"/>
      <c r="O452" s="1"/>
      <c r="P452" s="1"/>
      <c r="Q452" s="1"/>
      <c r="R452" s="1"/>
      <c r="S452" s="1"/>
      <c r="T452" s="1"/>
      <c r="U452" s="2"/>
      <c r="V452" s="1"/>
      <c r="W452" s="1"/>
      <c r="X452" s="1"/>
      <c r="Y452" s="1"/>
      <c r="Z452" s="1"/>
    </row>
    <row r="453" spans="1:26" ht="24.75" customHeight="1">
      <c r="A453" s="1"/>
      <c r="B453" s="1"/>
      <c r="C453" s="1"/>
      <c r="D453" s="1"/>
      <c r="E453" s="1"/>
      <c r="F453" s="1"/>
      <c r="G453" s="1"/>
      <c r="H453" s="1"/>
      <c r="I453" s="1"/>
      <c r="J453" s="1"/>
      <c r="K453" s="1"/>
      <c r="L453" s="1"/>
      <c r="M453" s="1"/>
      <c r="N453" s="1"/>
      <c r="O453" s="1"/>
      <c r="P453" s="1"/>
      <c r="Q453" s="1"/>
      <c r="R453" s="1"/>
      <c r="S453" s="1"/>
      <c r="T453" s="1"/>
      <c r="U453" s="2"/>
      <c r="V453" s="1"/>
      <c r="W453" s="1"/>
      <c r="X453" s="1"/>
      <c r="Y453" s="1"/>
      <c r="Z453" s="1"/>
    </row>
    <row r="454" spans="1:26" ht="24.75" customHeight="1">
      <c r="A454" s="1"/>
      <c r="B454" s="1"/>
      <c r="C454" s="1"/>
      <c r="D454" s="1"/>
      <c r="E454" s="1"/>
      <c r="F454" s="1"/>
      <c r="G454" s="1"/>
      <c r="H454" s="1"/>
      <c r="I454" s="1"/>
      <c r="J454" s="1"/>
      <c r="K454" s="1"/>
      <c r="L454" s="1"/>
      <c r="M454" s="1"/>
      <c r="N454" s="1"/>
      <c r="O454" s="1"/>
      <c r="P454" s="1"/>
      <c r="Q454" s="1"/>
      <c r="R454" s="1"/>
      <c r="S454" s="1"/>
      <c r="T454" s="1"/>
      <c r="U454" s="2"/>
      <c r="V454" s="1"/>
      <c r="W454" s="1"/>
      <c r="X454" s="1"/>
      <c r="Y454" s="1"/>
      <c r="Z454" s="1"/>
    </row>
    <row r="455" spans="1:26" ht="24.75" customHeight="1">
      <c r="A455" s="1"/>
      <c r="B455" s="1"/>
      <c r="C455" s="1"/>
      <c r="D455" s="1"/>
      <c r="E455" s="1"/>
      <c r="F455" s="1"/>
      <c r="G455" s="1"/>
      <c r="H455" s="1"/>
      <c r="I455" s="1"/>
      <c r="J455" s="1"/>
      <c r="K455" s="1"/>
      <c r="L455" s="1"/>
      <c r="M455" s="1"/>
      <c r="N455" s="1"/>
      <c r="O455" s="1"/>
      <c r="P455" s="1"/>
      <c r="Q455" s="1"/>
      <c r="R455" s="1"/>
      <c r="S455" s="1"/>
      <c r="T455" s="1"/>
      <c r="U455" s="2"/>
      <c r="V455" s="1"/>
      <c r="W455" s="1"/>
      <c r="X455" s="1"/>
      <c r="Y455" s="1"/>
      <c r="Z455" s="1"/>
    </row>
    <row r="456" spans="1:26" ht="24.75" customHeight="1">
      <c r="A456" s="1"/>
      <c r="B456" s="1"/>
      <c r="C456" s="1"/>
      <c r="D456" s="1"/>
      <c r="E456" s="1"/>
      <c r="F456" s="1"/>
      <c r="G456" s="1"/>
      <c r="H456" s="1"/>
      <c r="I456" s="1"/>
      <c r="J456" s="1"/>
      <c r="K456" s="1"/>
      <c r="L456" s="1"/>
      <c r="M456" s="1"/>
      <c r="N456" s="1"/>
      <c r="O456" s="1"/>
      <c r="P456" s="1"/>
      <c r="Q456" s="1"/>
      <c r="R456" s="1"/>
      <c r="S456" s="1"/>
      <c r="T456" s="1"/>
      <c r="U456" s="2"/>
      <c r="V456" s="1"/>
      <c r="W456" s="1"/>
      <c r="X456" s="1"/>
      <c r="Y456" s="1"/>
      <c r="Z456" s="1"/>
    </row>
    <row r="457" spans="1:26" ht="24.75" customHeight="1">
      <c r="A457" s="1"/>
      <c r="B457" s="1"/>
      <c r="C457" s="1"/>
      <c r="D457" s="1"/>
      <c r="E457" s="1"/>
      <c r="F457" s="1"/>
      <c r="G457" s="1"/>
      <c r="H457" s="1"/>
      <c r="I457" s="1"/>
      <c r="J457" s="1"/>
      <c r="K457" s="1"/>
      <c r="L457" s="1"/>
      <c r="M457" s="1"/>
      <c r="N457" s="1"/>
      <c r="O457" s="1"/>
      <c r="P457" s="1"/>
      <c r="Q457" s="1"/>
      <c r="R457" s="1"/>
      <c r="S457" s="1"/>
      <c r="T457" s="1"/>
      <c r="U457" s="2"/>
      <c r="V457" s="1"/>
      <c r="W457" s="1"/>
      <c r="X457" s="1"/>
      <c r="Y457" s="1"/>
      <c r="Z457" s="1"/>
    </row>
    <row r="458" spans="1:26" ht="24.75" customHeight="1">
      <c r="A458" s="1"/>
      <c r="B458" s="1"/>
      <c r="C458" s="1"/>
      <c r="D458" s="1"/>
      <c r="E458" s="1"/>
      <c r="F458" s="1"/>
      <c r="G458" s="1"/>
      <c r="H458" s="1"/>
      <c r="I458" s="1"/>
      <c r="J458" s="1"/>
      <c r="K458" s="1"/>
      <c r="L458" s="1"/>
      <c r="M458" s="1"/>
      <c r="N458" s="1"/>
      <c r="O458" s="1"/>
      <c r="P458" s="1"/>
      <c r="Q458" s="1"/>
      <c r="R458" s="1"/>
      <c r="S458" s="1"/>
      <c r="T458" s="1"/>
      <c r="U458" s="2"/>
      <c r="V458" s="1"/>
      <c r="W458" s="1"/>
      <c r="X458" s="1"/>
      <c r="Y458" s="1"/>
      <c r="Z458" s="1"/>
    </row>
    <row r="459" spans="1:26" ht="24.75" customHeight="1">
      <c r="A459" s="1"/>
      <c r="B459" s="1"/>
      <c r="C459" s="1"/>
      <c r="D459" s="1"/>
      <c r="E459" s="1"/>
      <c r="F459" s="1"/>
      <c r="G459" s="1"/>
      <c r="H459" s="1"/>
      <c r="I459" s="1"/>
      <c r="J459" s="1"/>
      <c r="K459" s="1"/>
      <c r="L459" s="1"/>
      <c r="M459" s="1"/>
      <c r="N459" s="1"/>
      <c r="O459" s="1"/>
      <c r="P459" s="1"/>
      <c r="Q459" s="1"/>
      <c r="R459" s="1"/>
      <c r="S459" s="1"/>
      <c r="T459" s="1"/>
      <c r="U459" s="2"/>
      <c r="V459" s="1"/>
      <c r="W459" s="1"/>
      <c r="X459" s="1"/>
      <c r="Y459" s="1"/>
      <c r="Z459" s="1"/>
    </row>
    <row r="460" spans="1:26" ht="24.75" customHeight="1">
      <c r="A460" s="1"/>
      <c r="B460" s="1"/>
      <c r="C460" s="1"/>
      <c r="D460" s="1"/>
      <c r="E460" s="1"/>
      <c r="F460" s="1"/>
      <c r="G460" s="1"/>
      <c r="H460" s="1"/>
      <c r="I460" s="1"/>
      <c r="J460" s="1"/>
      <c r="K460" s="1"/>
      <c r="L460" s="1"/>
      <c r="M460" s="1"/>
      <c r="N460" s="1"/>
      <c r="O460" s="1"/>
      <c r="P460" s="1"/>
      <c r="Q460" s="1"/>
      <c r="R460" s="1"/>
      <c r="S460" s="1"/>
      <c r="T460" s="1"/>
      <c r="U460" s="2"/>
      <c r="V460" s="1"/>
      <c r="W460" s="1"/>
      <c r="X460" s="1"/>
      <c r="Y460" s="1"/>
      <c r="Z460" s="1"/>
    </row>
    <row r="461" spans="1:26" ht="24.75" customHeight="1">
      <c r="A461" s="1"/>
      <c r="B461" s="1"/>
      <c r="C461" s="1"/>
      <c r="D461" s="1"/>
      <c r="E461" s="1"/>
      <c r="F461" s="1"/>
      <c r="G461" s="1"/>
      <c r="H461" s="1"/>
      <c r="I461" s="1"/>
      <c r="J461" s="1"/>
      <c r="K461" s="1"/>
      <c r="L461" s="1"/>
      <c r="M461" s="1"/>
      <c r="N461" s="1"/>
      <c r="O461" s="1"/>
      <c r="P461" s="1"/>
      <c r="Q461" s="1"/>
      <c r="R461" s="1"/>
      <c r="S461" s="1"/>
      <c r="T461" s="1"/>
      <c r="U461" s="2"/>
      <c r="V461" s="1"/>
      <c r="W461" s="1"/>
      <c r="X461" s="1"/>
      <c r="Y461" s="1"/>
      <c r="Z461" s="1"/>
    </row>
    <row r="462" spans="1:26" ht="24.75" customHeight="1">
      <c r="A462" s="1"/>
      <c r="B462" s="1"/>
      <c r="C462" s="1"/>
      <c r="D462" s="1"/>
      <c r="E462" s="1"/>
      <c r="F462" s="1"/>
      <c r="G462" s="1"/>
      <c r="H462" s="1"/>
      <c r="I462" s="1"/>
      <c r="J462" s="1"/>
      <c r="K462" s="1"/>
      <c r="L462" s="1"/>
      <c r="M462" s="1"/>
      <c r="N462" s="1"/>
      <c r="O462" s="1"/>
      <c r="P462" s="1"/>
      <c r="Q462" s="1"/>
      <c r="R462" s="1"/>
      <c r="S462" s="1"/>
      <c r="T462" s="1"/>
      <c r="U462" s="2"/>
      <c r="V462" s="1"/>
      <c r="W462" s="1"/>
      <c r="X462" s="1"/>
      <c r="Y462" s="1"/>
      <c r="Z462" s="1"/>
    </row>
    <row r="463" spans="1:26" ht="24.75" customHeight="1">
      <c r="A463" s="1"/>
      <c r="B463" s="1"/>
      <c r="C463" s="1"/>
      <c r="D463" s="1"/>
      <c r="E463" s="1"/>
      <c r="F463" s="1"/>
      <c r="G463" s="1"/>
      <c r="H463" s="1"/>
      <c r="I463" s="1"/>
      <c r="J463" s="1"/>
      <c r="K463" s="1"/>
      <c r="L463" s="1"/>
      <c r="M463" s="1"/>
      <c r="N463" s="1"/>
      <c r="O463" s="1"/>
      <c r="P463" s="1"/>
      <c r="Q463" s="1"/>
      <c r="R463" s="1"/>
      <c r="S463" s="1"/>
      <c r="T463" s="1"/>
      <c r="U463" s="2"/>
      <c r="V463" s="1"/>
      <c r="W463" s="1"/>
      <c r="X463" s="1"/>
      <c r="Y463" s="1"/>
      <c r="Z463" s="1"/>
    </row>
    <row r="464" spans="1:26" ht="24.75" customHeight="1">
      <c r="A464" s="1"/>
      <c r="B464" s="1"/>
      <c r="C464" s="1"/>
      <c r="D464" s="1"/>
      <c r="E464" s="1"/>
      <c r="F464" s="1"/>
      <c r="G464" s="1"/>
      <c r="H464" s="1"/>
      <c r="I464" s="1"/>
      <c r="J464" s="1"/>
      <c r="K464" s="1"/>
      <c r="L464" s="1"/>
      <c r="M464" s="1"/>
      <c r="N464" s="1"/>
      <c r="O464" s="1"/>
      <c r="P464" s="1"/>
      <c r="Q464" s="1"/>
      <c r="R464" s="1"/>
      <c r="S464" s="1"/>
      <c r="T464" s="1"/>
      <c r="U464" s="2"/>
      <c r="V464" s="1"/>
      <c r="W464" s="1"/>
      <c r="X464" s="1"/>
      <c r="Y464" s="1"/>
      <c r="Z464" s="1"/>
    </row>
    <row r="465" spans="1:26" ht="24.75" customHeight="1">
      <c r="A465" s="1"/>
      <c r="B465" s="1"/>
      <c r="C465" s="1"/>
      <c r="D465" s="1"/>
      <c r="E465" s="1"/>
      <c r="F465" s="1"/>
      <c r="G465" s="1"/>
      <c r="H465" s="1"/>
      <c r="I465" s="1"/>
      <c r="J465" s="1"/>
      <c r="K465" s="1"/>
      <c r="L465" s="1"/>
      <c r="M465" s="1"/>
      <c r="N465" s="1"/>
      <c r="O465" s="1"/>
      <c r="P465" s="1"/>
      <c r="Q465" s="1"/>
      <c r="R465" s="1"/>
      <c r="S465" s="1"/>
      <c r="T465" s="1"/>
      <c r="U465" s="2"/>
      <c r="V465" s="1"/>
      <c r="W465" s="1"/>
      <c r="X465" s="1"/>
      <c r="Y465" s="1"/>
      <c r="Z465" s="1"/>
    </row>
    <row r="466" spans="1:26" ht="24.75" customHeight="1">
      <c r="A466" s="1"/>
      <c r="B466" s="1"/>
      <c r="C466" s="1"/>
      <c r="D466" s="1"/>
      <c r="E466" s="1"/>
      <c r="F466" s="1"/>
      <c r="G466" s="1"/>
      <c r="H466" s="1"/>
      <c r="I466" s="1"/>
      <c r="J466" s="1"/>
      <c r="K466" s="1"/>
      <c r="L466" s="1"/>
      <c r="M466" s="1"/>
      <c r="N466" s="1"/>
      <c r="O466" s="1"/>
      <c r="P466" s="1"/>
      <c r="Q466" s="1"/>
      <c r="R466" s="1"/>
      <c r="S466" s="1"/>
      <c r="T466" s="1"/>
      <c r="U466" s="2"/>
      <c r="V466" s="1"/>
      <c r="W466" s="1"/>
      <c r="X466" s="1"/>
      <c r="Y466" s="1"/>
      <c r="Z466" s="1"/>
    </row>
    <row r="467" spans="1:26" ht="24.75" customHeight="1">
      <c r="A467" s="1"/>
      <c r="B467" s="1"/>
      <c r="C467" s="1"/>
      <c r="D467" s="1"/>
      <c r="E467" s="1"/>
      <c r="F467" s="1"/>
      <c r="G467" s="1"/>
      <c r="H467" s="1"/>
      <c r="I467" s="1"/>
      <c r="J467" s="1"/>
      <c r="K467" s="1"/>
      <c r="L467" s="1"/>
      <c r="M467" s="1"/>
      <c r="N467" s="1"/>
      <c r="O467" s="1"/>
      <c r="P467" s="1"/>
      <c r="Q467" s="1"/>
      <c r="R467" s="1"/>
      <c r="S467" s="1"/>
      <c r="T467" s="1"/>
      <c r="U467" s="2"/>
      <c r="V467" s="1"/>
      <c r="W467" s="1"/>
      <c r="X467" s="1"/>
      <c r="Y467" s="1"/>
      <c r="Z467" s="1"/>
    </row>
    <row r="468" spans="1:26" ht="24.75" customHeight="1">
      <c r="A468" s="1"/>
      <c r="B468" s="1"/>
      <c r="C468" s="1"/>
      <c r="D468" s="1"/>
      <c r="E468" s="1"/>
      <c r="F468" s="1"/>
      <c r="G468" s="1"/>
      <c r="H468" s="1"/>
      <c r="I468" s="1"/>
      <c r="J468" s="1"/>
      <c r="K468" s="1"/>
      <c r="L468" s="1"/>
      <c r="M468" s="1"/>
      <c r="N468" s="1"/>
      <c r="O468" s="1"/>
      <c r="P468" s="1"/>
      <c r="Q468" s="1"/>
      <c r="R468" s="1"/>
      <c r="S468" s="1"/>
      <c r="T468" s="1"/>
      <c r="U468" s="2"/>
      <c r="V468" s="1"/>
      <c r="W468" s="1"/>
      <c r="X468" s="1"/>
      <c r="Y468" s="1"/>
      <c r="Z468" s="1"/>
    </row>
    <row r="469" spans="1:26" ht="24.75" customHeight="1">
      <c r="A469" s="1"/>
      <c r="B469" s="1"/>
      <c r="C469" s="1"/>
      <c r="D469" s="1"/>
      <c r="E469" s="1"/>
      <c r="F469" s="1"/>
      <c r="G469" s="1"/>
      <c r="H469" s="1"/>
      <c r="I469" s="1"/>
      <c r="J469" s="1"/>
      <c r="K469" s="1"/>
      <c r="L469" s="1"/>
      <c r="M469" s="1"/>
      <c r="N469" s="1"/>
      <c r="O469" s="1"/>
      <c r="P469" s="1"/>
      <c r="Q469" s="1"/>
      <c r="R469" s="1"/>
      <c r="S469" s="1"/>
      <c r="T469" s="1"/>
      <c r="U469" s="2"/>
      <c r="V469" s="1"/>
      <c r="W469" s="1"/>
      <c r="X469" s="1"/>
      <c r="Y469" s="1"/>
      <c r="Z469" s="1"/>
    </row>
    <row r="470" spans="1:26" ht="24.75" customHeight="1">
      <c r="A470" s="1"/>
      <c r="B470" s="1"/>
      <c r="C470" s="1"/>
      <c r="D470" s="1"/>
      <c r="E470" s="1"/>
      <c r="F470" s="1"/>
      <c r="G470" s="1"/>
      <c r="H470" s="1"/>
      <c r="I470" s="1"/>
      <c r="J470" s="1"/>
      <c r="K470" s="1"/>
      <c r="L470" s="1"/>
      <c r="M470" s="1"/>
      <c r="N470" s="1"/>
      <c r="O470" s="1"/>
      <c r="P470" s="1"/>
      <c r="Q470" s="1"/>
      <c r="R470" s="1"/>
      <c r="S470" s="1"/>
      <c r="T470" s="1"/>
      <c r="U470" s="2"/>
      <c r="V470" s="1"/>
      <c r="W470" s="1"/>
      <c r="X470" s="1"/>
      <c r="Y470" s="1"/>
      <c r="Z470" s="1"/>
    </row>
    <row r="471" spans="1:26" ht="24.75" customHeight="1">
      <c r="A471" s="1"/>
      <c r="B471" s="1"/>
      <c r="C471" s="1"/>
      <c r="D471" s="1"/>
      <c r="E471" s="1"/>
      <c r="F471" s="1"/>
      <c r="G471" s="1"/>
      <c r="H471" s="1"/>
      <c r="I471" s="1"/>
      <c r="J471" s="1"/>
      <c r="K471" s="1"/>
      <c r="L471" s="1"/>
      <c r="M471" s="1"/>
      <c r="N471" s="1"/>
      <c r="O471" s="1"/>
      <c r="P471" s="1"/>
      <c r="Q471" s="1"/>
      <c r="R471" s="1"/>
      <c r="S471" s="1"/>
      <c r="T471" s="1"/>
      <c r="U471" s="2"/>
      <c r="V471" s="1"/>
      <c r="W471" s="1"/>
      <c r="X471" s="1"/>
      <c r="Y471" s="1"/>
      <c r="Z471" s="1"/>
    </row>
    <row r="472" spans="1:26" ht="24.75" customHeight="1">
      <c r="A472" s="1"/>
      <c r="B472" s="1"/>
      <c r="C472" s="1"/>
      <c r="D472" s="1"/>
      <c r="E472" s="1"/>
      <c r="F472" s="1"/>
      <c r="G472" s="1"/>
      <c r="H472" s="1"/>
      <c r="I472" s="1"/>
      <c r="J472" s="1"/>
      <c r="K472" s="1"/>
      <c r="L472" s="1"/>
      <c r="M472" s="1"/>
      <c r="N472" s="1"/>
      <c r="O472" s="1"/>
      <c r="P472" s="1"/>
      <c r="Q472" s="1"/>
      <c r="R472" s="1"/>
      <c r="S472" s="1"/>
      <c r="T472" s="1"/>
      <c r="U472" s="2"/>
      <c r="V472" s="1"/>
      <c r="W472" s="1"/>
      <c r="X472" s="1"/>
      <c r="Y472" s="1"/>
      <c r="Z472" s="1"/>
    </row>
    <row r="473" spans="1:26" ht="24.75" customHeight="1">
      <c r="A473" s="1"/>
      <c r="B473" s="1"/>
      <c r="C473" s="1"/>
      <c r="D473" s="1"/>
      <c r="E473" s="1"/>
      <c r="F473" s="1"/>
      <c r="G473" s="1"/>
      <c r="H473" s="1"/>
      <c r="I473" s="1"/>
      <c r="J473" s="1"/>
      <c r="K473" s="1"/>
      <c r="L473" s="1"/>
      <c r="M473" s="1"/>
      <c r="N473" s="1"/>
      <c r="O473" s="1"/>
      <c r="P473" s="1"/>
      <c r="Q473" s="1"/>
      <c r="R473" s="1"/>
      <c r="S473" s="1"/>
      <c r="T473" s="1"/>
      <c r="U473" s="2"/>
      <c r="V473" s="1"/>
      <c r="W473" s="1"/>
      <c r="X473" s="1"/>
      <c r="Y473" s="1"/>
      <c r="Z473" s="1"/>
    </row>
    <row r="474" spans="1:26" ht="24.75" customHeight="1">
      <c r="A474" s="1"/>
      <c r="B474" s="1"/>
      <c r="C474" s="1"/>
      <c r="D474" s="1"/>
      <c r="E474" s="1"/>
      <c r="F474" s="1"/>
      <c r="G474" s="1"/>
      <c r="H474" s="1"/>
      <c r="I474" s="1"/>
      <c r="J474" s="1"/>
      <c r="K474" s="1"/>
      <c r="L474" s="1"/>
      <c r="M474" s="1"/>
      <c r="N474" s="1"/>
      <c r="O474" s="1"/>
      <c r="P474" s="1"/>
      <c r="Q474" s="1"/>
      <c r="R474" s="1"/>
      <c r="S474" s="1"/>
      <c r="T474" s="1"/>
      <c r="U474" s="2"/>
      <c r="V474" s="1"/>
      <c r="W474" s="1"/>
      <c r="X474" s="1"/>
      <c r="Y474" s="1"/>
      <c r="Z474" s="1"/>
    </row>
    <row r="475" spans="1:26" ht="24.75" customHeight="1">
      <c r="A475" s="1"/>
      <c r="B475" s="1"/>
      <c r="C475" s="1"/>
      <c r="D475" s="1"/>
      <c r="E475" s="1"/>
      <c r="F475" s="1"/>
      <c r="G475" s="1"/>
      <c r="H475" s="1"/>
      <c r="I475" s="1"/>
      <c r="J475" s="1"/>
      <c r="K475" s="1"/>
      <c r="L475" s="1"/>
      <c r="M475" s="1"/>
      <c r="N475" s="1"/>
      <c r="O475" s="1"/>
      <c r="P475" s="1"/>
      <c r="Q475" s="1"/>
      <c r="R475" s="1"/>
      <c r="S475" s="1"/>
      <c r="T475" s="1"/>
      <c r="U475" s="2"/>
      <c r="V475" s="1"/>
      <c r="W475" s="1"/>
      <c r="X475" s="1"/>
      <c r="Y475" s="1"/>
      <c r="Z475" s="1"/>
    </row>
    <row r="476" spans="1:26" ht="24.75" customHeight="1">
      <c r="A476" s="1"/>
      <c r="B476" s="1"/>
      <c r="C476" s="1"/>
      <c r="D476" s="1"/>
      <c r="E476" s="1"/>
      <c r="F476" s="1"/>
      <c r="G476" s="1"/>
      <c r="H476" s="1"/>
      <c r="I476" s="1"/>
      <c r="J476" s="1"/>
      <c r="K476" s="1"/>
      <c r="L476" s="1"/>
      <c r="M476" s="1"/>
      <c r="N476" s="1"/>
      <c r="O476" s="1"/>
      <c r="P476" s="1"/>
      <c r="Q476" s="1"/>
      <c r="R476" s="1"/>
      <c r="S476" s="1"/>
      <c r="T476" s="1"/>
      <c r="U476" s="2"/>
      <c r="V476" s="1"/>
      <c r="W476" s="1"/>
      <c r="X476" s="1"/>
      <c r="Y476" s="1"/>
      <c r="Z476" s="1"/>
    </row>
    <row r="477" spans="1:26" ht="24.75" customHeight="1">
      <c r="A477" s="1"/>
      <c r="B477" s="1"/>
      <c r="C477" s="1"/>
      <c r="D477" s="1"/>
      <c r="E477" s="1"/>
      <c r="F477" s="1"/>
      <c r="G477" s="1"/>
      <c r="H477" s="1"/>
      <c r="I477" s="1"/>
      <c r="J477" s="1"/>
      <c r="K477" s="1"/>
      <c r="L477" s="1"/>
      <c r="M477" s="1"/>
      <c r="N477" s="1"/>
      <c r="O477" s="1"/>
      <c r="P477" s="1"/>
      <c r="Q477" s="1"/>
      <c r="R477" s="1"/>
      <c r="S477" s="1"/>
      <c r="T477" s="1"/>
      <c r="U477" s="2"/>
      <c r="V477" s="1"/>
      <c r="W477" s="1"/>
      <c r="X477" s="1"/>
      <c r="Y477" s="1"/>
      <c r="Z477" s="1"/>
    </row>
    <row r="478" spans="1:26" ht="24.75" customHeight="1">
      <c r="A478" s="1"/>
      <c r="B478" s="1"/>
      <c r="C478" s="1"/>
      <c r="D478" s="1"/>
      <c r="E478" s="1"/>
      <c r="F478" s="1"/>
      <c r="G478" s="1"/>
      <c r="H478" s="1"/>
      <c r="I478" s="1"/>
      <c r="J478" s="1"/>
      <c r="K478" s="1"/>
      <c r="L478" s="1"/>
      <c r="M478" s="1"/>
      <c r="N478" s="1"/>
      <c r="O478" s="1"/>
      <c r="P478" s="1"/>
      <c r="Q478" s="1"/>
      <c r="R478" s="1"/>
      <c r="S478" s="1"/>
      <c r="T478" s="1"/>
      <c r="U478" s="2"/>
      <c r="V478" s="1"/>
      <c r="W478" s="1"/>
      <c r="X478" s="1"/>
      <c r="Y478" s="1"/>
      <c r="Z478" s="1"/>
    </row>
    <row r="479" spans="1:26" ht="24.75" customHeight="1">
      <c r="A479" s="1"/>
      <c r="B479" s="1"/>
      <c r="C479" s="1"/>
      <c r="D479" s="1"/>
      <c r="E479" s="1"/>
      <c r="F479" s="1"/>
      <c r="G479" s="1"/>
      <c r="H479" s="1"/>
      <c r="I479" s="1"/>
      <c r="J479" s="1"/>
      <c r="K479" s="1"/>
      <c r="L479" s="1"/>
      <c r="M479" s="1"/>
      <c r="N479" s="1"/>
      <c r="O479" s="1"/>
      <c r="P479" s="1"/>
      <c r="Q479" s="1"/>
      <c r="R479" s="1"/>
      <c r="S479" s="1"/>
      <c r="T479" s="1"/>
      <c r="U479" s="2"/>
      <c r="V479" s="1"/>
      <c r="W479" s="1"/>
      <c r="X479" s="1"/>
      <c r="Y479" s="1"/>
      <c r="Z479" s="1"/>
    </row>
    <row r="480" spans="1:26" ht="24.75" customHeight="1">
      <c r="A480" s="1"/>
      <c r="B480" s="1"/>
      <c r="C480" s="1"/>
      <c r="D480" s="1"/>
      <c r="E480" s="1"/>
      <c r="F480" s="1"/>
      <c r="G480" s="1"/>
      <c r="H480" s="1"/>
      <c r="I480" s="1"/>
      <c r="J480" s="1"/>
      <c r="K480" s="1"/>
      <c r="L480" s="1"/>
      <c r="M480" s="1"/>
      <c r="N480" s="1"/>
      <c r="O480" s="1"/>
      <c r="P480" s="1"/>
      <c r="Q480" s="1"/>
      <c r="R480" s="1"/>
      <c r="S480" s="1"/>
      <c r="T480" s="1"/>
      <c r="U480" s="2"/>
      <c r="V480" s="1"/>
      <c r="W480" s="1"/>
      <c r="X480" s="1"/>
      <c r="Y480" s="1"/>
      <c r="Z480" s="1"/>
    </row>
    <row r="481" spans="1:26" ht="24.75" customHeight="1">
      <c r="A481" s="1"/>
      <c r="B481" s="1"/>
      <c r="C481" s="1"/>
      <c r="D481" s="1"/>
      <c r="E481" s="1"/>
      <c r="F481" s="1"/>
      <c r="G481" s="1"/>
      <c r="H481" s="1"/>
      <c r="I481" s="1"/>
      <c r="J481" s="1"/>
      <c r="K481" s="1"/>
      <c r="L481" s="1"/>
      <c r="M481" s="1"/>
      <c r="N481" s="1"/>
      <c r="O481" s="1"/>
      <c r="P481" s="1"/>
      <c r="Q481" s="1"/>
      <c r="R481" s="1"/>
      <c r="S481" s="1"/>
      <c r="T481" s="1"/>
      <c r="U481" s="2"/>
      <c r="V481" s="1"/>
      <c r="W481" s="1"/>
      <c r="X481" s="1"/>
      <c r="Y481" s="1"/>
      <c r="Z481" s="1"/>
    </row>
    <row r="482" spans="1:26" ht="24.75" customHeight="1">
      <c r="A482" s="1"/>
      <c r="B482" s="1"/>
      <c r="C482" s="1"/>
      <c r="D482" s="1"/>
      <c r="E482" s="1"/>
      <c r="F482" s="1"/>
      <c r="G482" s="1"/>
      <c r="H482" s="1"/>
      <c r="I482" s="1"/>
      <c r="J482" s="1"/>
      <c r="K482" s="1"/>
      <c r="L482" s="1"/>
      <c r="M482" s="1"/>
      <c r="N482" s="1"/>
      <c r="O482" s="1"/>
      <c r="P482" s="1"/>
      <c r="Q482" s="1"/>
      <c r="R482" s="1"/>
      <c r="S482" s="1"/>
      <c r="T482" s="1"/>
      <c r="U482" s="2"/>
      <c r="V482" s="1"/>
      <c r="W482" s="1"/>
      <c r="X482" s="1"/>
      <c r="Y482" s="1"/>
      <c r="Z482" s="1"/>
    </row>
    <row r="483" spans="1:26" ht="24.75" customHeight="1">
      <c r="A483" s="1"/>
      <c r="B483" s="1"/>
      <c r="C483" s="1"/>
      <c r="D483" s="1"/>
      <c r="E483" s="1"/>
      <c r="F483" s="1"/>
      <c r="G483" s="1"/>
      <c r="H483" s="1"/>
      <c r="I483" s="1"/>
      <c r="J483" s="1"/>
      <c r="K483" s="1"/>
      <c r="L483" s="1"/>
      <c r="M483" s="1"/>
      <c r="N483" s="1"/>
      <c r="O483" s="1"/>
      <c r="P483" s="1"/>
      <c r="Q483" s="1"/>
      <c r="R483" s="1"/>
      <c r="S483" s="1"/>
      <c r="T483" s="1"/>
      <c r="U483" s="2"/>
      <c r="V483" s="1"/>
      <c r="W483" s="1"/>
      <c r="X483" s="1"/>
      <c r="Y483" s="1"/>
      <c r="Z483" s="1"/>
    </row>
    <row r="484" spans="1:26" ht="24.75" customHeight="1">
      <c r="A484" s="1"/>
      <c r="B484" s="1"/>
      <c r="C484" s="1"/>
      <c r="D484" s="1"/>
      <c r="E484" s="1"/>
      <c r="F484" s="1"/>
      <c r="G484" s="1"/>
      <c r="H484" s="1"/>
      <c r="I484" s="1"/>
      <c r="J484" s="1"/>
      <c r="K484" s="1"/>
      <c r="L484" s="1"/>
      <c r="M484" s="1"/>
      <c r="N484" s="1"/>
      <c r="O484" s="1"/>
      <c r="P484" s="1"/>
      <c r="Q484" s="1"/>
      <c r="R484" s="1"/>
      <c r="S484" s="1"/>
      <c r="T484" s="1"/>
      <c r="U484" s="2"/>
      <c r="V484" s="1"/>
      <c r="W484" s="1"/>
      <c r="X484" s="1"/>
      <c r="Y484" s="1"/>
      <c r="Z484" s="1"/>
    </row>
    <row r="485" spans="1:26" ht="24.75" customHeight="1">
      <c r="A485" s="1"/>
      <c r="B485" s="1"/>
      <c r="C485" s="1"/>
      <c r="D485" s="1"/>
      <c r="E485" s="1"/>
      <c r="F485" s="1"/>
      <c r="G485" s="1"/>
      <c r="H485" s="1"/>
      <c r="I485" s="1"/>
      <c r="J485" s="1"/>
      <c r="K485" s="1"/>
      <c r="L485" s="1"/>
      <c r="M485" s="1"/>
      <c r="N485" s="1"/>
      <c r="O485" s="1"/>
      <c r="P485" s="1"/>
      <c r="Q485" s="1"/>
      <c r="R485" s="1"/>
      <c r="S485" s="1"/>
      <c r="T485" s="1"/>
      <c r="U485" s="2"/>
      <c r="V485" s="1"/>
      <c r="W485" s="1"/>
      <c r="X485" s="1"/>
      <c r="Y485" s="1"/>
      <c r="Z485" s="1"/>
    </row>
    <row r="486" spans="1:26" ht="24.75" customHeight="1">
      <c r="A486" s="1"/>
      <c r="B486" s="1"/>
      <c r="C486" s="1"/>
      <c r="D486" s="1"/>
      <c r="E486" s="1"/>
      <c r="F486" s="1"/>
      <c r="G486" s="1"/>
      <c r="H486" s="1"/>
      <c r="I486" s="1"/>
      <c r="J486" s="1"/>
      <c r="K486" s="1"/>
      <c r="L486" s="1"/>
      <c r="M486" s="1"/>
      <c r="N486" s="1"/>
      <c r="O486" s="1"/>
      <c r="P486" s="1"/>
      <c r="Q486" s="1"/>
      <c r="R486" s="1"/>
      <c r="S486" s="1"/>
      <c r="T486" s="1"/>
      <c r="U486" s="2"/>
      <c r="V486" s="1"/>
      <c r="W486" s="1"/>
      <c r="X486" s="1"/>
      <c r="Y486" s="1"/>
      <c r="Z486" s="1"/>
    </row>
    <row r="487" spans="1:26" ht="24.75" customHeight="1">
      <c r="A487" s="1"/>
      <c r="B487" s="1"/>
      <c r="C487" s="1"/>
      <c r="D487" s="1"/>
      <c r="E487" s="1"/>
      <c r="F487" s="1"/>
      <c r="G487" s="1"/>
      <c r="H487" s="1"/>
      <c r="I487" s="1"/>
      <c r="J487" s="1"/>
      <c r="K487" s="1"/>
      <c r="L487" s="1"/>
      <c r="M487" s="1"/>
      <c r="N487" s="1"/>
      <c r="O487" s="1"/>
      <c r="P487" s="1"/>
      <c r="Q487" s="1"/>
      <c r="R487" s="1"/>
      <c r="S487" s="1"/>
      <c r="T487" s="1"/>
      <c r="U487" s="2"/>
      <c r="V487" s="1"/>
      <c r="W487" s="1"/>
      <c r="X487" s="1"/>
      <c r="Y487" s="1"/>
      <c r="Z487" s="1"/>
    </row>
    <row r="488" spans="1:26" ht="24.75" customHeight="1">
      <c r="A488" s="1"/>
      <c r="B488" s="1"/>
      <c r="C488" s="1"/>
      <c r="D488" s="1"/>
      <c r="E488" s="1"/>
      <c r="F488" s="1"/>
      <c r="G488" s="1"/>
      <c r="H488" s="1"/>
      <c r="I488" s="1"/>
      <c r="J488" s="1"/>
      <c r="K488" s="1"/>
      <c r="L488" s="1"/>
      <c r="M488" s="1"/>
      <c r="N488" s="1"/>
      <c r="O488" s="1"/>
      <c r="P488" s="1"/>
      <c r="Q488" s="1"/>
      <c r="R488" s="1"/>
      <c r="S488" s="1"/>
      <c r="T488" s="1"/>
      <c r="U488" s="2"/>
      <c r="V488" s="1"/>
      <c r="W488" s="1"/>
      <c r="X488" s="1"/>
      <c r="Y488" s="1"/>
      <c r="Z488" s="1"/>
    </row>
    <row r="489" spans="1:26" ht="24.75" customHeight="1">
      <c r="A489" s="1"/>
      <c r="B489" s="1"/>
      <c r="C489" s="1"/>
      <c r="D489" s="1"/>
      <c r="E489" s="1"/>
      <c r="F489" s="1"/>
      <c r="G489" s="1"/>
      <c r="H489" s="1"/>
      <c r="I489" s="1"/>
      <c r="J489" s="1"/>
      <c r="K489" s="1"/>
      <c r="L489" s="1"/>
      <c r="M489" s="1"/>
      <c r="N489" s="1"/>
      <c r="O489" s="1"/>
      <c r="P489" s="1"/>
      <c r="Q489" s="1"/>
      <c r="R489" s="1"/>
      <c r="S489" s="1"/>
      <c r="T489" s="1"/>
      <c r="U489" s="2"/>
      <c r="V489" s="1"/>
      <c r="W489" s="1"/>
      <c r="X489" s="1"/>
      <c r="Y489" s="1"/>
      <c r="Z489" s="1"/>
    </row>
    <row r="490" spans="1:26" ht="24.75" customHeight="1">
      <c r="A490" s="1"/>
      <c r="B490" s="1"/>
      <c r="C490" s="1"/>
      <c r="D490" s="1"/>
      <c r="E490" s="1"/>
      <c r="F490" s="1"/>
      <c r="G490" s="1"/>
      <c r="H490" s="1"/>
      <c r="I490" s="1"/>
      <c r="J490" s="1"/>
      <c r="K490" s="1"/>
      <c r="L490" s="1"/>
      <c r="M490" s="1"/>
      <c r="N490" s="1"/>
      <c r="O490" s="1"/>
      <c r="P490" s="1"/>
      <c r="Q490" s="1"/>
      <c r="R490" s="1"/>
      <c r="S490" s="1"/>
      <c r="T490" s="1"/>
      <c r="U490" s="2"/>
      <c r="V490" s="1"/>
      <c r="W490" s="1"/>
      <c r="X490" s="1"/>
      <c r="Y490" s="1"/>
      <c r="Z490" s="1"/>
    </row>
    <row r="491" spans="1:26" ht="24.75" customHeight="1">
      <c r="A491" s="1"/>
      <c r="B491" s="1"/>
      <c r="C491" s="1"/>
      <c r="D491" s="1"/>
      <c r="E491" s="1"/>
      <c r="F491" s="1"/>
      <c r="G491" s="1"/>
      <c r="H491" s="1"/>
      <c r="I491" s="1"/>
      <c r="J491" s="1"/>
      <c r="K491" s="1"/>
      <c r="L491" s="1"/>
      <c r="M491" s="1"/>
      <c r="N491" s="1"/>
      <c r="O491" s="1"/>
      <c r="P491" s="1"/>
      <c r="Q491" s="1"/>
      <c r="R491" s="1"/>
      <c r="S491" s="1"/>
      <c r="T491" s="1"/>
      <c r="U491" s="2"/>
      <c r="V491" s="1"/>
      <c r="W491" s="1"/>
      <c r="X491" s="1"/>
      <c r="Y491" s="1"/>
      <c r="Z491" s="1"/>
    </row>
    <row r="492" spans="1:26" ht="24.75" customHeight="1">
      <c r="A492" s="1"/>
      <c r="B492" s="1"/>
      <c r="C492" s="1"/>
      <c r="D492" s="1"/>
      <c r="E492" s="1"/>
      <c r="F492" s="1"/>
      <c r="G492" s="1"/>
      <c r="H492" s="1"/>
      <c r="I492" s="1"/>
      <c r="J492" s="1"/>
      <c r="K492" s="1"/>
      <c r="L492" s="1"/>
      <c r="M492" s="1"/>
      <c r="N492" s="1"/>
      <c r="O492" s="1"/>
      <c r="P492" s="1"/>
      <c r="Q492" s="1"/>
      <c r="R492" s="1"/>
      <c r="S492" s="1"/>
      <c r="T492" s="1"/>
      <c r="U492" s="2"/>
      <c r="V492" s="1"/>
      <c r="W492" s="1"/>
      <c r="X492" s="1"/>
      <c r="Y492" s="1"/>
      <c r="Z492" s="1"/>
    </row>
    <row r="493" spans="1:26" ht="24.75" customHeight="1">
      <c r="A493" s="1"/>
      <c r="B493" s="1"/>
      <c r="C493" s="1"/>
      <c r="D493" s="1"/>
      <c r="E493" s="1"/>
      <c r="F493" s="1"/>
      <c r="G493" s="1"/>
      <c r="H493" s="1"/>
      <c r="I493" s="1"/>
      <c r="J493" s="1"/>
      <c r="K493" s="1"/>
      <c r="L493" s="1"/>
      <c r="M493" s="1"/>
      <c r="N493" s="1"/>
      <c r="O493" s="1"/>
      <c r="P493" s="1"/>
      <c r="Q493" s="1"/>
      <c r="R493" s="1"/>
      <c r="S493" s="1"/>
      <c r="T493" s="1"/>
      <c r="U493" s="2"/>
      <c r="V493" s="1"/>
      <c r="W493" s="1"/>
      <c r="X493" s="1"/>
      <c r="Y493" s="1"/>
      <c r="Z493" s="1"/>
    </row>
    <row r="494" spans="1:26" ht="24.75" customHeight="1">
      <c r="A494" s="1"/>
      <c r="B494" s="1"/>
      <c r="C494" s="1"/>
      <c r="D494" s="1"/>
      <c r="E494" s="1"/>
      <c r="F494" s="1"/>
      <c r="G494" s="1"/>
      <c r="H494" s="1"/>
      <c r="I494" s="1"/>
      <c r="J494" s="1"/>
      <c r="K494" s="1"/>
      <c r="L494" s="1"/>
      <c r="M494" s="1"/>
      <c r="N494" s="1"/>
      <c r="O494" s="1"/>
      <c r="P494" s="1"/>
      <c r="Q494" s="1"/>
      <c r="R494" s="1"/>
      <c r="S494" s="1"/>
      <c r="T494" s="1"/>
      <c r="U494" s="2"/>
      <c r="V494" s="1"/>
      <c r="W494" s="1"/>
      <c r="X494" s="1"/>
      <c r="Y494" s="1"/>
      <c r="Z494" s="1"/>
    </row>
    <row r="495" spans="1:26" ht="24.75" customHeight="1">
      <c r="A495" s="1"/>
      <c r="B495" s="1"/>
      <c r="C495" s="1"/>
      <c r="D495" s="1"/>
      <c r="E495" s="1"/>
      <c r="F495" s="1"/>
      <c r="G495" s="1"/>
      <c r="H495" s="1"/>
      <c r="I495" s="1"/>
      <c r="J495" s="1"/>
      <c r="K495" s="1"/>
      <c r="L495" s="1"/>
      <c r="M495" s="1"/>
      <c r="N495" s="1"/>
      <c r="O495" s="1"/>
      <c r="P495" s="1"/>
      <c r="Q495" s="1"/>
      <c r="R495" s="1"/>
      <c r="S495" s="1"/>
      <c r="T495" s="1"/>
      <c r="U495" s="2"/>
      <c r="V495" s="1"/>
      <c r="W495" s="1"/>
      <c r="X495" s="1"/>
      <c r="Y495" s="1"/>
      <c r="Z495" s="1"/>
    </row>
    <row r="496" spans="1:26" ht="24.75" customHeight="1">
      <c r="A496" s="1"/>
      <c r="B496" s="1"/>
      <c r="C496" s="1"/>
      <c r="D496" s="1"/>
      <c r="E496" s="1"/>
      <c r="F496" s="1"/>
      <c r="G496" s="1"/>
      <c r="H496" s="1"/>
      <c r="I496" s="1"/>
      <c r="J496" s="1"/>
      <c r="K496" s="1"/>
      <c r="L496" s="1"/>
      <c r="M496" s="1"/>
      <c r="N496" s="1"/>
      <c r="O496" s="1"/>
      <c r="P496" s="1"/>
      <c r="Q496" s="1"/>
      <c r="R496" s="1"/>
      <c r="S496" s="1"/>
      <c r="T496" s="1"/>
      <c r="U496" s="2"/>
      <c r="V496" s="1"/>
      <c r="W496" s="1"/>
      <c r="X496" s="1"/>
      <c r="Y496" s="1"/>
      <c r="Z496" s="1"/>
    </row>
    <row r="497" spans="1:26" ht="24.75" customHeight="1">
      <c r="A497" s="1"/>
      <c r="B497" s="1"/>
      <c r="C497" s="1"/>
      <c r="D497" s="1"/>
      <c r="E497" s="1"/>
      <c r="F497" s="1"/>
      <c r="G497" s="1"/>
      <c r="H497" s="1"/>
      <c r="I497" s="1"/>
      <c r="J497" s="1"/>
      <c r="K497" s="1"/>
      <c r="L497" s="1"/>
      <c r="M497" s="1"/>
      <c r="N497" s="1"/>
      <c r="O497" s="1"/>
      <c r="P497" s="1"/>
      <c r="Q497" s="1"/>
      <c r="R497" s="1"/>
      <c r="S497" s="1"/>
      <c r="T497" s="1"/>
      <c r="U497" s="2"/>
      <c r="V497" s="1"/>
      <c r="W497" s="1"/>
      <c r="X497" s="1"/>
      <c r="Y497" s="1"/>
      <c r="Z497" s="1"/>
    </row>
    <row r="498" spans="1:26" ht="24.75" customHeight="1">
      <c r="A498" s="1"/>
      <c r="B498" s="1"/>
      <c r="C498" s="1"/>
      <c r="D498" s="1"/>
      <c r="E498" s="1"/>
      <c r="F498" s="1"/>
      <c r="G498" s="1"/>
      <c r="H498" s="1"/>
      <c r="I498" s="1"/>
      <c r="J498" s="1"/>
      <c r="K498" s="1"/>
      <c r="L498" s="1"/>
      <c r="M498" s="1"/>
      <c r="N498" s="1"/>
      <c r="O498" s="1"/>
      <c r="P498" s="1"/>
      <c r="Q498" s="1"/>
      <c r="R498" s="1"/>
      <c r="S498" s="1"/>
      <c r="T498" s="1"/>
      <c r="U498" s="2"/>
      <c r="V498" s="1"/>
      <c r="W498" s="1"/>
      <c r="X498" s="1"/>
      <c r="Y498" s="1"/>
      <c r="Z498" s="1"/>
    </row>
    <row r="499" spans="1:26" ht="24.75" customHeight="1">
      <c r="A499" s="1"/>
      <c r="B499" s="1"/>
      <c r="C499" s="1"/>
      <c r="D499" s="1"/>
      <c r="E499" s="1"/>
      <c r="F499" s="1"/>
      <c r="G499" s="1"/>
      <c r="H499" s="1"/>
      <c r="I499" s="1"/>
      <c r="J499" s="1"/>
      <c r="K499" s="1"/>
      <c r="L499" s="1"/>
      <c r="M499" s="1"/>
      <c r="N499" s="1"/>
      <c r="O499" s="1"/>
      <c r="P499" s="1"/>
      <c r="Q499" s="1"/>
      <c r="R499" s="1"/>
      <c r="S499" s="1"/>
      <c r="T499" s="1"/>
      <c r="U499" s="2"/>
      <c r="V499" s="1"/>
      <c r="W499" s="1"/>
      <c r="X499" s="1"/>
      <c r="Y499" s="1"/>
      <c r="Z499" s="1"/>
    </row>
    <row r="500" spans="1:26" ht="24.75" customHeight="1">
      <c r="A500" s="1"/>
      <c r="B500" s="1"/>
      <c r="C500" s="1"/>
      <c r="D500" s="1"/>
      <c r="E500" s="1"/>
      <c r="F500" s="1"/>
      <c r="G500" s="1"/>
      <c r="H500" s="1"/>
      <c r="I500" s="1"/>
      <c r="J500" s="1"/>
      <c r="K500" s="1"/>
      <c r="L500" s="1"/>
      <c r="M500" s="1"/>
      <c r="N500" s="1"/>
      <c r="O500" s="1"/>
      <c r="P500" s="1"/>
      <c r="Q500" s="1"/>
      <c r="R500" s="1"/>
      <c r="S500" s="1"/>
      <c r="T500" s="1"/>
      <c r="U500" s="2"/>
      <c r="V500" s="1"/>
      <c r="W500" s="1"/>
      <c r="X500" s="1"/>
      <c r="Y500" s="1"/>
      <c r="Z500" s="1"/>
    </row>
    <row r="501" spans="1:26" ht="24.75" customHeight="1">
      <c r="A501" s="1"/>
      <c r="B501" s="1"/>
      <c r="C501" s="1"/>
      <c r="D501" s="1"/>
      <c r="E501" s="1"/>
      <c r="F501" s="1"/>
      <c r="G501" s="1"/>
      <c r="H501" s="1"/>
      <c r="I501" s="1"/>
      <c r="J501" s="1"/>
      <c r="K501" s="1"/>
      <c r="L501" s="1"/>
      <c r="M501" s="1"/>
      <c r="N501" s="1"/>
      <c r="O501" s="1"/>
      <c r="P501" s="1"/>
      <c r="Q501" s="1"/>
      <c r="R501" s="1"/>
      <c r="S501" s="1"/>
      <c r="T501" s="1"/>
      <c r="U501" s="2"/>
      <c r="V501" s="1"/>
      <c r="W501" s="1"/>
      <c r="X501" s="1"/>
      <c r="Y501" s="1"/>
      <c r="Z501" s="1"/>
    </row>
    <row r="502" spans="1:26" ht="24.75" customHeight="1">
      <c r="A502" s="1"/>
      <c r="B502" s="1"/>
      <c r="C502" s="1"/>
      <c r="D502" s="1"/>
      <c r="E502" s="1"/>
      <c r="F502" s="1"/>
      <c r="G502" s="1"/>
      <c r="H502" s="1"/>
      <c r="I502" s="1"/>
      <c r="J502" s="1"/>
      <c r="K502" s="1"/>
      <c r="L502" s="1"/>
      <c r="M502" s="1"/>
      <c r="N502" s="1"/>
      <c r="O502" s="1"/>
      <c r="P502" s="1"/>
      <c r="Q502" s="1"/>
      <c r="R502" s="1"/>
      <c r="S502" s="1"/>
      <c r="T502" s="1"/>
      <c r="U502" s="2"/>
      <c r="V502" s="1"/>
      <c r="W502" s="1"/>
      <c r="X502" s="1"/>
      <c r="Y502" s="1"/>
      <c r="Z502" s="1"/>
    </row>
    <row r="503" spans="1:26" ht="24.75" customHeight="1">
      <c r="A503" s="1"/>
      <c r="B503" s="1"/>
      <c r="C503" s="1"/>
      <c r="D503" s="1"/>
      <c r="E503" s="1"/>
      <c r="F503" s="1"/>
      <c r="G503" s="1"/>
      <c r="H503" s="1"/>
      <c r="I503" s="1"/>
      <c r="J503" s="1"/>
      <c r="K503" s="1"/>
      <c r="L503" s="1"/>
      <c r="M503" s="1"/>
      <c r="N503" s="1"/>
      <c r="O503" s="1"/>
      <c r="P503" s="1"/>
      <c r="Q503" s="1"/>
      <c r="R503" s="1"/>
      <c r="S503" s="1"/>
      <c r="T503" s="1"/>
      <c r="U503" s="2"/>
      <c r="V503" s="1"/>
      <c r="W503" s="1"/>
      <c r="X503" s="1"/>
      <c r="Y503" s="1"/>
      <c r="Z503" s="1"/>
    </row>
    <row r="504" spans="1:26" ht="24.75" customHeight="1">
      <c r="A504" s="1"/>
      <c r="B504" s="1"/>
      <c r="C504" s="1"/>
      <c r="D504" s="1"/>
      <c r="E504" s="1"/>
      <c r="F504" s="1"/>
      <c r="G504" s="1"/>
      <c r="H504" s="1"/>
      <c r="I504" s="1"/>
      <c r="J504" s="1"/>
      <c r="K504" s="1"/>
      <c r="L504" s="1"/>
      <c r="M504" s="1"/>
      <c r="N504" s="1"/>
      <c r="O504" s="1"/>
      <c r="P504" s="1"/>
      <c r="Q504" s="1"/>
      <c r="R504" s="1"/>
      <c r="S504" s="1"/>
      <c r="T504" s="1"/>
      <c r="U504" s="2"/>
      <c r="V504" s="1"/>
      <c r="W504" s="1"/>
      <c r="X504" s="1"/>
      <c r="Y504" s="1"/>
      <c r="Z504" s="1"/>
    </row>
    <row r="505" spans="1:26" ht="24.75" customHeight="1">
      <c r="A505" s="1"/>
      <c r="B505" s="1"/>
      <c r="C505" s="1"/>
      <c r="D505" s="1"/>
      <c r="E505" s="1"/>
      <c r="F505" s="1"/>
      <c r="G505" s="1"/>
      <c r="H505" s="1"/>
      <c r="I505" s="1"/>
      <c r="J505" s="1"/>
      <c r="K505" s="1"/>
      <c r="L505" s="1"/>
      <c r="M505" s="1"/>
      <c r="N505" s="1"/>
      <c r="O505" s="1"/>
      <c r="P505" s="1"/>
      <c r="Q505" s="1"/>
      <c r="R505" s="1"/>
      <c r="S505" s="1"/>
      <c r="T505" s="1"/>
      <c r="U505" s="2"/>
      <c r="V505" s="1"/>
      <c r="W505" s="1"/>
      <c r="X505" s="1"/>
      <c r="Y505" s="1"/>
      <c r="Z505" s="1"/>
    </row>
    <row r="506" spans="1:26" ht="24.75" customHeight="1">
      <c r="A506" s="1"/>
      <c r="B506" s="1"/>
      <c r="C506" s="1"/>
      <c r="D506" s="1"/>
      <c r="E506" s="1"/>
      <c r="F506" s="1"/>
      <c r="G506" s="1"/>
      <c r="H506" s="1"/>
      <c r="I506" s="1"/>
      <c r="J506" s="1"/>
      <c r="K506" s="1"/>
      <c r="L506" s="1"/>
      <c r="M506" s="1"/>
      <c r="N506" s="1"/>
      <c r="O506" s="1"/>
      <c r="P506" s="1"/>
      <c r="Q506" s="1"/>
      <c r="R506" s="1"/>
      <c r="S506" s="1"/>
      <c r="T506" s="1"/>
      <c r="U506" s="2"/>
      <c r="V506" s="1"/>
      <c r="W506" s="1"/>
      <c r="X506" s="1"/>
      <c r="Y506" s="1"/>
      <c r="Z506" s="1"/>
    </row>
    <row r="507" spans="1:26" ht="24.75" customHeight="1">
      <c r="A507" s="1"/>
      <c r="B507" s="1"/>
      <c r="C507" s="1"/>
      <c r="D507" s="1"/>
      <c r="E507" s="1"/>
      <c r="F507" s="1"/>
      <c r="G507" s="1"/>
      <c r="H507" s="1"/>
      <c r="I507" s="1"/>
      <c r="J507" s="1"/>
      <c r="K507" s="1"/>
      <c r="L507" s="1"/>
      <c r="M507" s="1"/>
      <c r="N507" s="1"/>
      <c r="O507" s="1"/>
      <c r="P507" s="1"/>
      <c r="Q507" s="1"/>
      <c r="R507" s="1"/>
      <c r="S507" s="1"/>
      <c r="T507" s="1"/>
      <c r="U507" s="2"/>
      <c r="V507" s="1"/>
      <c r="W507" s="1"/>
      <c r="X507" s="1"/>
      <c r="Y507" s="1"/>
      <c r="Z507" s="1"/>
    </row>
    <row r="508" spans="1:26" ht="24.75" customHeight="1">
      <c r="A508" s="1"/>
      <c r="B508" s="1"/>
      <c r="C508" s="1"/>
      <c r="D508" s="1"/>
      <c r="E508" s="1"/>
      <c r="F508" s="1"/>
      <c r="G508" s="1"/>
      <c r="H508" s="1"/>
      <c r="I508" s="1"/>
      <c r="J508" s="1"/>
      <c r="K508" s="1"/>
      <c r="L508" s="1"/>
      <c r="M508" s="1"/>
      <c r="N508" s="1"/>
      <c r="O508" s="1"/>
      <c r="P508" s="1"/>
      <c r="Q508" s="1"/>
      <c r="R508" s="1"/>
      <c r="S508" s="1"/>
      <c r="T508" s="1"/>
      <c r="U508" s="2"/>
      <c r="V508" s="1"/>
      <c r="W508" s="1"/>
      <c r="X508" s="1"/>
      <c r="Y508" s="1"/>
      <c r="Z508" s="1"/>
    </row>
    <row r="509" spans="1:26" ht="24.75" customHeight="1">
      <c r="A509" s="1"/>
      <c r="B509" s="1"/>
      <c r="C509" s="1"/>
      <c r="D509" s="1"/>
      <c r="E509" s="1"/>
      <c r="F509" s="1"/>
      <c r="G509" s="1"/>
      <c r="H509" s="1"/>
      <c r="I509" s="1"/>
      <c r="J509" s="1"/>
      <c r="K509" s="1"/>
      <c r="L509" s="1"/>
      <c r="M509" s="1"/>
      <c r="N509" s="1"/>
      <c r="O509" s="1"/>
      <c r="P509" s="1"/>
      <c r="Q509" s="1"/>
      <c r="R509" s="1"/>
      <c r="S509" s="1"/>
      <c r="T509" s="1"/>
      <c r="U509" s="2"/>
      <c r="V509" s="1"/>
      <c r="W509" s="1"/>
      <c r="X509" s="1"/>
      <c r="Y509" s="1"/>
      <c r="Z509" s="1"/>
    </row>
    <row r="510" spans="1:26" ht="24.75" customHeight="1">
      <c r="A510" s="1"/>
      <c r="B510" s="1"/>
      <c r="C510" s="1"/>
      <c r="D510" s="1"/>
      <c r="E510" s="1"/>
      <c r="F510" s="1"/>
      <c r="G510" s="1"/>
      <c r="H510" s="1"/>
      <c r="I510" s="1"/>
      <c r="J510" s="1"/>
      <c r="K510" s="1"/>
      <c r="L510" s="1"/>
      <c r="M510" s="1"/>
      <c r="N510" s="1"/>
      <c r="O510" s="1"/>
      <c r="P510" s="1"/>
      <c r="Q510" s="1"/>
      <c r="R510" s="1"/>
      <c r="S510" s="1"/>
      <c r="T510" s="1"/>
      <c r="U510" s="2"/>
      <c r="V510" s="1"/>
      <c r="W510" s="1"/>
      <c r="X510" s="1"/>
      <c r="Y510" s="1"/>
      <c r="Z510" s="1"/>
    </row>
    <row r="511" spans="1:26" ht="24.75" customHeight="1">
      <c r="A511" s="1"/>
      <c r="B511" s="1"/>
      <c r="C511" s="1"/>
      <c r="D511" s="1"/>
      <c r="E511" s="1"/>
      <c r="F511" s="1"/>
      <c r="G511" s="1"/>
      <c r="H511" s="1"/>
      <c r="I511" s="1"/>
      <c r="J511" s="1"/>
      <c r="K511" s="1"/>
      <c r="L511" s="1"/>
      <c r="M511" s="1"/>
      <c r="N511" s="1"/>
      <c r="O511" s="1"/>
      <c r="P511" s="1"/>
      <c r="Q511" s="1"/>
      <c r="R511" s="1"/>
      <c r="S511" s="1"/>
      <c r="T511" s="1"/>
      <c r="U511" s="2"/>
      <c r="V511" s="1"/>
      <c r="W511" s="1"/>
      <c r="X511" s="1"/>
      <c r="Y511" s="1"/>
      <c r="Z511" s="1"/>
    </row>
    <row r="512" spans="1:26" ht="24.75" customHeight="1">
      <c r="A512" s="1"/>
      <c r="B512" s="1"/>
      <c r="C512" s="1"/>
      <c r="D512" s="1"/>
      <c r="E512" s="1"/>
      <c r="F512" s="1"/>
      <c r="G512" s="1"/>
      <c r="H512" s="1"/>
      <c r="I512" s="1"/>
      <c r="J512" s="1"/>
      <c r="K512" s="1"/>
      <c r="L512" s="1"/>
      <c r="M512" s="1"/>
      <c r="N512" s="1"/>
      <c r="O512" s="1"/>
      <c r="P512" s="1"/>
      <c r="Q512" s="1"/>
      <c r="R512" s="1"/>
      <c r="S512" s="1"/>
      <c r="T512" s="1"/>
      <c r="U512" s="2"/>
      <c r="V512" s="1"/>
      <c r="W512" s="1"/>
      <c r="X512" s="1"/>
      <c r="Y512" s="1"/>
      <c r="Z512" s="1"/>
    </row>
    <row r="513" spans="1:26" ht="24.75" customHeight="1">
      <c r="A513" s="1"/>
      <c r="B513" s="1"/>
      <c r="C513" s="1"/>
      <c r="D513" s="1"/>
      <c r="E513" s="1"/>
      <c r="F513" s="1"/>
      <c r="G513" s="1"/>
      <c r="H513" s="1"/>
      <c r="I513" s="1"/>
      <c r="J513" s="1"/>
      <c r="K513" s="1"/>
      <c r="L513" s="1"/>
      <c r="M513" s="1"/>
      <c r="N513" s="1"/>
      <c r="O513" s="1"/>
      <c r="P513" s="1"/>
      <c r="Q513" s="1"/>
      <c r="R513" s="1"/>
      <c r="S513" s="1"/>
      <c r="T513" s="1"/>
      <c r="U513" s="2"/>
      <c r="V513" s="1"/>
      <c r="W513" s="1"/>
      <c r="X513" s="1"/>
      <c r="Y513" s="1"/>
      <c r="Z513" s="1"/>
    </row>
    <row r="514" spans="1:26" ht="24.75" customHeight="1">
      <c r="A514" s="1"/>
      <c r="B514" s="1"/>
      <c r="C514" s="1"/>
      <c r="D514" s="1"/>
      <c r="E514" s="1"/>
      <c r="F514" s="1"/>
      <c r="G514" s="1"/>
      <c r="H514" s="1"/>
      <c r="I514" s="1"/>
      <c r="J514" s="1"/>
      <c r="K514" s="1"/>
      <c r="L514" s="1"/>
      <c r="M514" s="1"/>
      <c r="N514" s="1"/>
      <c r="O514" s="1"/>
      <c r="P514" s="1"/>
      <c r="Q514" s="1"/>
      <c r="R514" s="1"/>
      <c r="S514" s="1"/>
      <c r="T514" s="1"/>
      <c r="U514" s="2"/>
      <c r="V514" s="1"/>
      <c r="W514" s="1"/>
      <c r="X514" s="1"/>
      <c r="Y514" s="1"/>
      <c r="Z514" s="1"/>
    </row>
    <row r="515" spans="1:26" ht="24.75" customHeight="1">
      <c r="A515" s="1"/>
      <c r="B515" s="1"/>
      <c r="C515" s="1"/>
      <c r="D515" s="1"/>
      <c r="E515" s="1"/>
      <c r="F515" s="1"/>
      <c r="G515" s="1"/>
      <c r="H515" s="1"/>
      <c r="I515" s="1"/>
      <c r="J515" s="1"/>
      <c r="K515" s="1"/>
      <c r="L515" s="1"/>
      <c r="M515" s="1"/>
      <c r="N515" s="1"/>
      <c r="O515" s="1"/>
      <c r="P515" s="1"/>
      <c r="Q515" s="1"/>
      <c r="R515" s="1"/>
      <c r="S515" s="1"/>
      <c r="T515" s="1"/>
      <c r="U515" s="2"/>
      <c r="V515" s="1"/>
      <c r="W515" s="1"/>
      <c r="X515" s="1"/>
      <c r="Y515" s="1"/>
      <c r="Z515" s="1"/>
    </row>
    <row r="516" spans="1:26" ht="24.75" customHeight="1">
      <c r="A516" s="1"/>
      <c r="B516" s="1"/>
      <c r="C516" s="1"/>
      <c r="D516" s="1"/>
      <c r="E516" s="1"/>
      <c r="F516" s="1"/>
      <c r="G516" s="1"/>
      <c r="H516" s="1"/>
      <c r="I516" s="1"/>
      <c r="J516" s="1"/>
      <c r="K516" s="1"/>
      <c r="L516" s="1"/>
      <c r="M516" s="1"/>
      <c r="N516" s="1"/>
      <c r="O516" s="1"/>
      <c r="P516" s="1"/>
      <c r="Q516" s="1"/>
      <c r="R516" s="1"/>
      <c r="S516" s="1"/>
      <c r="T516" s="1"/>
      <c r="U516" s="2"/>
      <c r="V516" s="1"/>
      <c r="W516" s="1"/>
      <c r="X516" s="1"/>
      <c r="Y516" s="1"/>
      <c r="Z516" s="1"/>
    </row>
    <row r="517" spans="1:26" ht="24.75" customHeight="1">
      <c r="A517" s="1"/>
      <c r="B517" s="1"/>
      <c r="C517" s="1"/>
      <c r="D517" s="1"/>
      <c r="E517" s="1"/>
      <c r="F517" s="1"/>
      <c r="G517" s="1"/>
      <c r="H517" s="1"/>
      <c r="I517" s="1"/>
      <c r="J517" s="1"/>
      <c r="K517" s="1"/>
      <c r="L517" s="1"/>
      <c r="M517" s="1"/>
      <c r="N517" s="1"/>
      <c r="O517" s="1"/>
      <c r="P517" s="1"/>
      <c r="Q517" s="1"/>
      <c r="R517" s="1"/>
      <c r="S517" s="1"/>
      <c r="T517" s="1"/>
      <c r="U517" s="2"/>
      <c r="V517" s="1"/>
      <c r="W517" s="1"/>
      <c r="X517" s="1"/>
      <c r="Y517" s="1"/>
      <c r="Z517" s="1"/>
    </row>
    <row r="518" spans="1:26" ht="24.75" customHeight="1">
      <c r="A518" s="1"/>
      <c r="B518" s="1"/>
      <c r="C518" s="1"/>
      <c r="D518" s="1"/>
      <c r="E518" s="1"/>
      <c r="F518" s="1"/>
      <c r="G518" s="1"/>
      <c r="H518" s="1"/>
      <c r="I518" s="1"/>
      <c r="J518" s="1"/>
      <c r="K518" s="1"/>
      <c r="L518" s="1"/>
      <c r="M518" s="1"/>
      <c r="N518" s="1"/>
      <c r="O518" s="1"/>
      <c r="P518" s="1"/>
      <c r="Q518" s="1"/>
      <c r="R518" s="1"/>
      <c r="S518" s="1"/>
      <c r="T518" s="1"/>
      <c r="U518" s="2"/>
      <c r="V518" s="1"/>
      <c r="W518" s="1"/>
      <c r="X518" s="1"/>
      <c r="Y518" s="1"/>
      <c r="Z518" s="1"/>
    </row>
    <row r="519" spans="1:26" ht="24.75" customHeight="1">
      <c r="A519" s="1"/>
      <c r="B519" s="1"/>
      <c r="C519" s="1"/>
      <c r="D519" s="1"/>
      <c r="E519" s="1"/>
      <c r="F519" s="1"/>
      <c r="G519" s="1"/>
      <c r="H519" s="1"/>
      <c r="I519" s="1"/>
      <c r="J519" s="1"/>
      <c r="K519" s="1"/>
      <c r="L519" s="1"/>
      <c r="M519" s="1"/>
      <c r="N519" s="1"/>
      <c r="O519" s="1"/>
      <c r="P519" s="1"/>
      <c r="Q519" s="1"/>
      <c r="R519" s="1"/>
      <c r="S519" s="1"/>
      <c r="T519" s="1"/>
      <c r="U519" s="2"/>
      <c r="V519" s="1"/>
      <c r="W519" s="1"/>
      <c r="X519" s="1"/>
      <c r="Y519" s="1"/>
      <c r="Z519" s="1"/>
    </row>
    <row r="520" spans="1:26" ht="24.75" customHeight="1">
      <c r="A520" s="1"/>
      <c r="B520" s="1"/>
      <c r="C520" s="1"/>
      <c r="D520" s="1"/>
      <c r="E520" s="1"/>
      <c r="F520" s="1"/>
      <c r="G520" s="1"/>
      <c r="H520" s="1"/>
      <c r="I520" s="1"/>
      <c r="J520" s="1"/>
      <c r="K520" s="1"/>
      <c r="L520" s="1"/>
      <c r="M520" s="1"/>
      <c r="N520" s="1"/>
      <c r="O520" s="1"/>
      <c r="P520" s="1"/>
      <c r="Q520" s="1"/>
      <c r="R520" s="1"/>
      <c r="S520" s="1"/>
      <c r="T520" s="1"/>
      <c r="U520" s="2"/>
      <c r="V520" s="1"/>
      <c r="W520" s="1"/>
      <c r="X520" s="1"/>
      <c r="Y520" s="1"/>
      <c r="Z520" s="1"/>
    </row>
    <row r="521" spans="1:26" ht="24.75" customHeight="1">
      <c r="A521" s="1"/>
      <c r="B521" s="1"/>
      <c r="C521" s="1"/>
      <c r="D521" s="1"/>
      <c r="E521" s="1"/>
      <c r="F521" s="1"/>
      <c r="G521" s="1"/>
      <c r="H521" s="1"/>
      <c r="I521" s="1"/>
      <c r="J521" s="1"/>
      <c r="K521" s="1"/>
      <c r="L521" s="1"/>
      <c r="M521" s="1"/>
      <c r="N521" s="1"/>
      <c r="O521" s="1"/>
      <c r="P521" s="1"/>
      <c r="Q521" s="1"/>
      <c r="R521" s="1"/>
      <c r="S521" s="1"/>
      <c r="T521" s="1"/>
      <c r="U521" s="2"/>
      <c r="V521" s="1"/>
      <c r="W521" s="1"/>
      <c r="X521" s="1"/>
      <c r="Y521" s="1"/>
      <c r="Z521" s="1"/>
    </row>
    <row r="522" spans="1:26" ht="24.75" customHeight="1">
      <c r="A522" s="1"/>
      <c r="B522" s="1"/>
      <c r="C522" s="1"/>
      <c r="D522" s="1"/>
      <c r="E522" s="1"/>
      <c r="F522" s="1"/>
      <c r="G522" s="1"/>
      <c r="H522" s="1"/>
      <c r="I522" s="1"/>
      <c r="J522" s="1"/>
      <c r="K522" s="1"/>
      <c r="L522" s="1"/>
      <c r="M522" s="1"/>
      <c r="N522" s="1"/>
      <c r="O522" s="1"/>
      <c r="P522" s="1"/>
      <c r="Q522" s="1"/>
      <c r="R522" s="1"/>
      <c r="S522" s="1"/>
      <c r="T522" s="1"/>
      <c r="U522" s="2"/>
      <c r="V522" s="1"/>
      <c r="W522" s="1"/>
      <c r="X522" s="1"/>
      <c r="Y522" s="1"/>
      <c r="Z522" s="1"/>
    </row>
    <row r="523" spans="1:26" ht="24.75" customHeight="1">
      <c r="A523" s="1"/>
      <c r="B523" s="1"/>
      <c r="C523" s="1"/>
      <c r="D523" s="1"/>
      <c r="E523" s="1"/>
      <c r="F523" s="1"/>
      <c r="G523" s="1"/>
      <c r="H523" s="1"/>
      <c r="I523" s="1"/>
      <c r="J523" s="1"/>
      <c r="K523" s="1"/>
      <c r="L523" s="1"/>
      <c r="M523" s="1"/>
      <c r="N523" s="1"/>
      <c r="O523" s="1"/>
      <c r="P523" s="1"/>
      <c r="Q523" s="1"/>
      <c r="R523" s="1"/>
      <c r="S523" s="1"/>
      <c r="T523" s="1"/>
      <c r="U523" s="2"/>
      <c r="V523" s="1"/>
      <c r="W523" s="1"/>
      <c r="X523" s="1"/>
      <c r="Y523" s="1"/>
      <c r="Z523" s="1"/>
    </row>
    <row r="524" spans="1:26" ht="24.75" customHeight="1">
      <c r="A524" s="1"/>
      <c r="B524" s="1"/>
      <c r="C524" s="1"/>
      <c r="D524" s="1"/>
      <c r="E524" s="1"/>
      <c r="F524" s="1"/>
      <c r="G524" s="1"/>
      <c r="H524" s="1"/>
      <c r="I524" s="1"/>
      <c r="J524" s="1"/>
      <c r="K524" s="1"/>
      <c r="L524" s="1"/>
      <c r="M524" s="1"/>
      <c r="N524" s="1"/>
      <c r="O524" s="1"/>
      <c r="P524" s="1"/>
      <c r="Q524" s="1"/>
      <c r="R524" s="1"/>
      <c r="S524" s="1"/>
      <c r="T524" s="1"/>
      <c r="U524" s="2"/>
      <c r="V524" s="1"/>
      <c r="W524" s="1"/>
      <c r="X524" s="1"/>
      <c r="Y524" s="1"/>
      <c r="Z524" s="1"/>
    </row>
    <row r="525" spans="1:26" ht="24.75" customHeight="1">
      <c r="A525" s="1"/>
      <c r="B525" s="1"/>
      <c r="C525" s="1"/>
      <c r="D525" s="1"/>
      <c r="E525" s="1"/>
      <c r="F525" s="1"/>
      <c r="G525" s="1"/>
      <c r="H525" s="1"/>
      <c r="I525" s="1"/>
      <c r="J525" s="1"/>
      <c r="K525" s="1"/>
      <c r="L525" s="1"/>
      <c r="M525" s="1"/>
      <c r="N525" s="1"/>
      <c r="O525" s="1"/>
      <c r="P525" s="1"/>
      <c r="Q525" s="1"/>
      <c r="R525" s="1"/>
      <c r="S525" s="1"/>
      <c r="T525" s="1"/>
      <c r="U525" s="2"/>
      <c r="V525" s="1"/>
      <c r="W525" s="1"/>
      <c r="X525" s="1"/>
      <c r="Y525" s="1"/>
      <c r="Z525" s="1"/>
    </row>
    <row r="526" spans="1:26" ht="24.75" customHeight="1">
      <c r="A526" s="1"/>
      <c r="B526" s="1"/>
      <c r="C526" s="1"/>
      <c r="D526" s="1"/>
      <c r="E526" s="1"/>
      <c r="F526" s="1"/>
      <c r="G526" s="1"/>
      <c r="H526" s="1"/>
      <c r="I526" s="1"/>
      <c r="J526" s="1"/>
      <c r="K526" s="1"/>
      <c r="L526" s="1"/>
      <c r="M526" s="1"/>
      <c r="N526" s="1"/>
      <c r="O526" s="1"/>
      <c r="P526" s="1"/>
      <c r="Q526" s="1"/>
      <c r="R526" s="1"/>
      <c r="S526" s="1"/>
      <c r="T526" s="1"/>
      <c r="U526" s="2"/>
      <c r="V526" s="1"/>
      <c r="W526" s="1"/>
      <c r="X526" s="1"/>
      <c r="Y526" s="1"/>
      <c r="Z526" s="1"/>
    </row>
    <row r="527" spans="1:26" ht="24.75" customHeight="1">
      <c r="A527" s="1"/>
      <c r="B527" s="1"/>
      <c r="C527" s="1"/>
      <c r="D527" s="1"/>
      <c r="E527" s="1"/>
      <c r="F527" s="1"/>
      <c r="G527" s="1"/>
      <c r="H527" s="1"/>
      <c r="I527" s="1"/>
      <c r="J527" s="1"/>
      <c r="K527" s="1"/>
      <c r="L527" s="1"/>
      <c r="M527" s="1"/>
      <c r="N527" s="1"/>
      <c r="O527" s="1"/>
      <c r="P527" s="1"/>
      <c r="Q527" s="1"/>
      <c r="R527" s="1"/>
      <c r="S527" s="1"/>
      <c r="T527" s="1"/>
      <c r="U527" s="2"/>
      <c r="V527" s="1"/>
      <c r="W527" s="1"/>
      <c r="X527" s="1"/>
      <c r="Y527" s="1"/>
      <c r="Z527" s="1"/>
    </row>
    <row r="528" spans="1:26" ht="24.75" customHeight="1">
      <c r="A528" s="1"/>
      <c r="B528" s="1"/>
      <c r="C528" s="1"/>
      <c r="D528" s="1"/>
      <c r="E528" s="1"/>
      <c r="F528" s="1"/>
      <c r="G528" s="1"/>
      <c r="H528" s="1"/>
      <c r="I528" s="1"/>
      <c r="J528" s="1"/>
      <c r="K528" s="1"/>
      <c r="L528" s="1"/>
      <c r="M528" s="1"/>
      <c r="N528" s="1"/>
      <c r="O528" s="1"/>
      <c r="P528" s="1"/>
      <c r="Q528" s="1"/>
      <c r="R528" s="1"/>
      <c r="S528" s="1"/>
      <c r="T528" s="1"/>
      <c r="U528" s="2"/>
      <c r="V528" s="1"/>
      <c r="W528" s="1"/>
      <c r="X528" s="1"/>
      <c r="Y528" s="1"/>
      <c r="Z528" s="1"/>
    </row>
    <row r="529" spans="1:26" ht="24.75" customHeight="1">
      <c r="A529" s="1"/>
      <c r="B529" s="1"/>
      <c r="C529" s="1"/>
      <c r="D529" s="1"/>
      <c r="E529" s="1"/>
      <c r="F529" s="1"/>
      <c r="G529" s="1"/>
      <c r="H529" s="1"/>
      <c r="I529" s="1"/>
      <c r="J529" s="1"/>
      <c r="K529" s="1"/>
      <c r="L529" s="1"/>
      <c r="M529" s="1"/>
      <c r="N529" s="1"/>
      <c r="O529" s="1"/>
      <c r="P529" s="1"/>
      <c r="Q529" s="1"/>
      <c r="R529" s="1"/>
      <c r="S529" s="1"/>
      <c r="T529" s="1"/>
      <c r="U529" s="2"/>
      <c r="V529" s="1"/>
      <c r="W529" s="1"/>
      <c r="X529" s="1"/>
      <c r="Y529" s="1"/>
      <c r="Z529" s="1"/>
    </row>
    <row r="530" spans="1:26" ht="24.75" customHeight="1">
      <c r="A530" s="1"/>
      <c r="B530" s="1"/>
      <c r="C530" s="1"/>
      <c r="D530" s="1"/>
      <c r="E530" s="1"/>
      <c r="F530" s="1"/>
      <c r="G530" s="1"/>
      <c r="H530" s="1"/>
      <c r="I530" s="1"/>
      <c r="J530" s="1"/>
      <c r="K530" s="1"/>
      <c r="L530" s="1"/>
      <c r="M530" s="1"/>
      <c r="N530" s="1"/>
      <c r="O530" s="1"/>
      <c r="P530" s="1"/>
      <c r="Q530" s="1"/>
      <c r="R530" s="1"/>
      <c r="S530" s="1"/>
      <c r="T530" s="1"/>
      <c r="U530" s="2"/>
      <c r="V530" s="1"/>
      <c r="W530" s="1"/>
      <c r="X530" s="1"/>
      <c r="Y530" s="1"/>
      <c r="Z530" s="1"/>
    </row>
    <row r="531" spans="1:26" ht="24.75" customHeight="1">
      <c r="A531" s="1"/>
      <c r="B531" s="1"/>
      <c r="C531" s="1"/>
      <c r="D531" s="1"/>
      <c r="E531" s="1"/>
      <c r="F531" s="1"/>
      <c r="G531" s="1"/>
      <c r="H531" s="1"/>
      <c r="I531" s="1"/>
      <c r="J531" s="1"/>
      <c r="K531" s="1"/>
      <c r="L531" s="1"/>
      <c r="M531" s="1"/>
      <c r="N531" s="1"/>
      <c r="O531" s="1"/>
      <c r="P531" s="1"/>
      <c r="Q531" s="1"/>
      <c r="R531" s="1"/>
      <c r="S531" s="1"/>
      <c r="T531" s="1"/>
      <c r="U531" s="2"/>
      <c r="V531" s="1"/>
      <c r="W531" s="1"/>
      <c r="X531" s="1"/>
      <c r="Y531" s="1"/>
      <c r="Z531" s="1"/>
    </row>
    <row r="532" spans="1:26" ht="24.75" customHeight="1">
      <c r="A532" s="1"/>
      <c r="B532" s="1"/>
      <c r="C532" s="1"/>
      <c r="D532" s="1"/>
      <c r="E532" s="1"/>
      <c r="F532" s="1"/>
      <c r="G532" s="1"/>
      <c r="H532" s="1"/>
      <c r="I532" s="1"/>
      <c r="J532" s="1"/>
      <c r="K532" s="1"/>
      <c r="L532" s="1"/>
      <c r="M532" s="1"/>
      <c r="N532" s="1"/>
      <c r="O532" s="1"/>
      <c r="P532" s="1"/>
      <c r="Q532" s="1"/>
      <c r="R532" s="1"/>
      <c r="S532" s="1"/>
      <c r="T532" s="1"/>
      <c r="U532" s="2"/>
      <c r="V532" s="1"/>
      <c r="W532" s="1"/>
      <c r="X532" s="1"/>
      <c r="Y532" s="1"/>
      <c r="Z532" s="1"/>
    </row>
    <row r="533" spans="1:26" ht="24.75" customHeight="1">
      <c r="A533" s="1"/>
      <c r="B533" s="1"/>
      <c r="C533" s="1"/>
      <c r="D533" s="1"/>
      <c r="E533" s="1"/>
      <c r="F533" s="1"/>
      <c r="G533" s="1"/>
      <c r="H533" s="1"/>
      <c r="I533" s="1"/>
      <c r="J533" s="1"/>
      <c r="K533" s="1"/>
      <c r="L533" s="1"/>
      <c r="M533" s="1"/>
      <c r="N533" s="1"/>
      <c r="O533" s="1"/>
      <c r="P533" s="1"/>
      <c r="Q533" s="1"/>
      <c r="R533" s="1"/>
      <c r="S533" s="1"/>
      <c r="T533" s="1"/>
      <c r="U533" s="2"/>
      <c r="V533" s="1"/>
      <c r="W533" s="1"/>
      <c r="X533" s="1"/>
      <c r="Y533" s="1"/>
      <c r="Z533" s="1"/>
    </row>
    <row r="534" spans="1:26" ht="24.75" customHeight="1">
      <c r="A534" s="1"/>
      <c r="B534" s="1"/>
      <c r="C534" s="1"/>
      <c r="D534" s="1"/>
      <c r="E534" s="1"/>
      <c r="F534" s="1"/>
      <c r="G534" s="1"/>
      <c r="H534" s="1"/>
      <c r="I534" s="1"/>
      <c r="J534" s="1"/>
      <c r="K534" s="1"/>
      <c r="L534" s="1"/>
      <c r="M534" s="1"/>
      <c r="N534" s="1"/>
      <c r="O534" s="1"/>
      <c r="P534" s="1"/>
      <c r="Q534" s="1"/>
      <c r="R534" s="1"/>
      <c r="S534" s="1"/>
      <c r="T534" s="1"/>
      <c r="U534" s="2"/>
      <c r="V534" s="1"/>
      <c r="W534" s="1"/>
      <c r="X534" s="1"/>
      <c r="Y534" s="1"/>
      <c r="Z534" s="1"/>
    </row>
    <row r="535" spans="1:26" ht="24.75" customHeight="1">
      <c r="A535" s="1"/>
      <c r="B535" s="1"/>
      <c r="C535" s="1"/>
      <c r="D535" s="1"/>
      <c r="E535" s="1"/>
      <c r="F535" s="1"/>
      <c r="G535" s="1"/>
      <c r="H535" s="1"/>
      <c r="I535" s="1"/>
      <c r="J535" s="1"/>
      <c r="K535" s="1"/>
      <c r="L535" s="1"/>
      <c r="M535" s="1"/>
      <c r="N535" s="1"/>
      <c r="O535" s="1"/>
      <c r="P535" s="1"/>
      <c r="Q535" s="1"/>
      <c r="R535" s="1"/>
      <c r="S535" s="1"/>
      <c r="T535" s="1"/>
      <c r="U535" s="2"/>
      <c r="V535" s="1"/>
      <c r="W535" s="1"/>
      <c r="X535" s="1"/>
      <c r="Y535" s="1"/>
      <c r="Z535" s="1"/>
    </row>
    <row r="536" spans="1:26" ht="24.75" customHeight="1">
      <c r="A536" s="1"/>
      <c r="B536" s="1"/>
      <c r="C536" s="1"/>
      <c r="D536" s="1"/>
      <c r="E536" s="1"/>
      <c r="F536" s="1"/>
      <c r="G536" s="1"/>
      <c r="H536" s="1"/>
      <c r="I536" s="1"/>
      <c r="J536" s="1"/>
      <c r="K536" s="1"/>
      <c r="L536" s="1"/>
      <c r="M536" s="1"/>
      <c r="N536" s="1"/>
      <c r="O536" s="1"/>
      <c r="P536" s="1"/>
      <c r="Q536" s="1"/>
      <c r="R536" s="1"/>
      <c r="S536" s="1"/>
      <c r="T536" s="1"/>
      <c r="U536" s="2"/>
      <c r="V536" s="1"/>
      <c r="W536" s="1"/>
      <c r="X536" s="1"/>
      <c r="Y536" s="1"/>
      <c r="Z536" s="1"/>
    </row>
    <row r="537" spans="1:26" ht="24.75" customHeight="1">
      <c r="A537" s="1"/>
      <c r="B537" s="1"/>
      <c r="C537" s="1"/>
      <c r="D537" s="1"/>
      <c r="E537" s="1"/>
      <c r="F537" s="1"/>
      <c r="G537" s="1"/>
      <c r="H537" s="1"/>
      <c r="I537" s="1"/>
      <c r="J537" s="1"/>
      <c r="K537" s="1"/>
      <c r="L537" s="1"/>
      <c r="M537" s="1"/>
      <c r="N537" s="1"/>
      <c r="O537" s="1"/>
      <c r="P537" s="1"/>
      <c r="Q537" s="1"/>
      <c r="R537" s="1"/>
      <c r="S537" s="1"/>
      <c r="T537" s="1"/>
      <c r="U537" s="2"/>
      <c r="V537" s="1"/>
      <c r="W537" s="1"/>
      <c r="X537" s="1"/>
      <c r="Y537" s="1"/>
      <c r="Z537" s="1"/>
    </row>
    <row r="538" spans="1:26" ht="24.75" customHeight="1">
      <c r="A538" s="1"/>
      <c r="B538" s="1"/>
      <c r="C538" s="1"/>
      <c r="D538" s="1"/>
      <c r="E538" s="1"/>
      <c r="F538" s="1"/>
      <c r="G538" s="1"/>
      <c r="H538" s="1"/>
      <c r="I538" s="1"/>
      <c r="J538" s="1"/>
      <c r="K538" s="1"/>
      <c r="L538" s="1"/>
      <c r="M538" s="1"/>
      <c r="N538" s="1"/>
      <c r="O538" s="1"/>
      <c r="P538" s="1"/>
      <c r="Q538" s="1"/>
      <c r="R538" s="1"/>
      <c r="S538" s="1"/>
      <c r="T538" s="1"/>
      <c r="U538" s="2"/>
      <c r="V538" s="1"/>
      <c r="W538" s="1"/>
      <c r="X538" s="1"/>
      <c r="Y538" s="1"/>
      <c r="Z538" s="1"/>
    </row>
    <row r="539" spans="1:26" ht="24.75" customHeight="1">
      <c r="A539" s="1"/>
      <c r="B539" s="1"/>
      <c r="C539" s="1"/>
      <c r="D539" s="1"/>
      <c r="E539" s="1"/>
      <c r="F539" s="1"/>
      <c r="G539" s="1"/>
      <c r="H539" s="1"/>
      <c r="I539" s="1"/>
      <c r="J539" s="1"/>
      <c r="K539" s="1"/>
      <c r="L539" s="1"/>
      <c r="M539" s="1"/>
      <c r="N539" s="1"/>
      <c r="O539" s="1"/>
      <c r="P539" s="1"/>
      <c r="Q539" s="1"/>
      <c r="R539" s="1"/>
      <c r="S539" s="1"/>
      <c r="T539" s="1"/>
      <c r="U539" s="2"/>
      <c r="V539" s="1"/>
      <c r="W539" s="1"/>
      <c r="X539" s="1"/>
      <c r="Y539" s="1"/>
      <c r="Z539" s="1"/>
    </row>
    <row r="540" spans="1:26" ht="24.75" customHeight="1">
      <c r="A540" s="1"/>
      <c r="B540" s="1"/>
      <c r="C540" s="1"/>
      <c r="D540" s="1"/>
      <c r="E540" s="1"/>
      <c r="F540" s="1"/>
      <c r="G540" s="1"/>
      <c r="H540" s="1"/>
      <c r="I540" s="1"/>
      <c r="J540" s="1"/>
      <c r="K540" s="1"/>
      <c r="L540" s="1"/>
      <c r="M540" s="1"/>
      <c r="N540" s="1"/>
      <c r="O540" s="1"/>
      <c r="P540" s="1"/>
      <c r="Q540" s="1"/>
      <c r="R540" s="1"/>
      <c r="S540" s="1"/>
      <c r="T540" s="1"/>
      <c r="U540" s="2"/>
      <c r="V540" s="1"/>
      <c r="W540" s="1"/>
      <c r="X540" s="1"/>
      <c r="Y540" s="1"/>
      <c r="Z540" s="1"/>
    </row>
    <row r="541" spans="1:26" ht="24.75" customHeight="1">
      <c r="A541" s="1"/>
      <c r="B541" s="1"/>
      <c r="C541" s="1"/>
      <c r="D541" s="1"/>
      <c r="E541" s="1"/>
      <c r="F541" s="1"/>
      <c r="G541" s="1"/>
      <c r="H541" s="1"/>
      <c r="I541" s="1"/>
      <c r="J541" s="1"/>
      <c r="K541" s="1"/>
      <c r="L541" s="1"/>
      <c r="M541" s="1"/>
      <c r="N541" s="1"/>
      <c r="O541" s="1"/>
      <c r="P541" s="1"/>
      <c r="Q541" s="1"/>
      <c r="R541" s="1"/>
      <c r="S541" s="1"/>
      <c r="T541" s="1"/>
      <c r="U541" s="2"/>
      <c r="V541" s="1"/>
      <c r="W541" s="1"/>
      <c r="X541" s="1"/>
      <c r="Y541" s="1"/>
      <c r="Z541" s="1"/>
    </row>
    <row r="542" spans="1:26" ht="24.75" customHeight="1">
      <c r="A542" s="1"/>
      <c r="B542" s="1"/>
      <c r="C542" s="1"/>
      <c r="D542" s="1"/>
      <c r="E542" s="1"/>
      <c r="F542" s="1"/>
      <c r="G542" s="1"/>
      <c r="H542" s="1"/>
      <c r="I542" s="1"/>
      <c r="J542" s="1"/>
      <c r="K542" s="1"/>
      <c r="L542" s="1"/>
      <c r="M542" s="1"/>
      <c r="N542" s="1"/>
      <c r="O542" s="1"/>
      <c r="P542" s="1"/>
      <c r="Q542" s="1"/>
      <c r="R542" s="1"/>
      <c r="S542" s="1"/>
      <c r="T542" s="1"/>
      <c r="U542" s="2"/>
      <c r="V542" s="1"/>
      <c r="W542" s="1"/>
      <c r="X542" s="1"/>
      <c r="Y542" s="1"/>
      <c r="Z542" s="1"/>
    </row>
    <row r="543" spans="1:26" ht="24.75" customHeight="1">
      <c r="A543" s="1"/>
      <c r="B543" s="1"/>
      <c r="C543" s="1"/>
      <c r="D543" s="1"/>
      <c r="E543" s="1"/>
      <c r="F543" s="1"/>
      <c r="G543" s="1"/>
      <c r="H543" s="1"/>
      <c r="I543" s="1"/>
      <c r="J543" s="1"/>
      <c r="K543" s="1"/>
      <c r="L543" s="1"/>
      <c r="M543" s="1"/>
      <c r="N543" s="1"/>
      <c r="O543" s="1"/>
      <c r="P543" s="1"/>
      <c r="Q543" s="1"/>
      <c r="R543" s="1"/>
      <c r="S543" s="1"/>
      <c r="T543" s="1"/>
      <c r="U543" s="2"/>
      <c r="V543" s="1"/>
      <c r="W543" s="1"/>
      <c r="X543" s="1"/>
      <c r="Y543" s="1"/>
      <c r="Z543" s="1"/>
    </row>
    <row r="544" spans="1:26" ht="24.75" customHeight="1">
      <c r="A544" s="1"/>
      <c r="B544" s="1"/>
      <c r="C544" s="1"/>
      <c r="D544" s="1"/>
      <c r="E544" s="1"/>
      <c r="F544" s="1"/>
      <c r="G544" s="1"/>
      <c r="H544" s="1"/>
      <c r="I544" s="1"/>
      <c r="J544" s="1"/>
      <c r="K544" s="1"/>
      <c r="L544" s="1"/>
      <c r="M544" s="1"/>
      <c r="N544" s="1"/>
      <c r="O544" s="1"/>
      <c r="P544" s="1"/>
      <c r="Q544" s="1"/>
      <c r="R544" s="1"/>
      <c r="S544" s="1"/>
      <c r="T544" s="1"/>
      <c r="U544" s="2"/>
      <c r="V544" s="1"/>
      <c r="W544" s="1"/>
      <c r="X544" s="1"/>
      <c r="Y544" s="1"/>
      <c r="Z544" s="1"/>
    </row>
    <row r="545" spans="1:26" ht="24.75" customHeight="1">
      <c r="A545" s="1"/>
      <c r="B545" s="1"/>
      <c r="C545" s="1"/>
      <c r="D545" s="1"/>
      <c r="E545" s="1"/>
      <c r="F545" s="1"/>
      <c r="G545" s="1"/>
      <c r="H545" s="1"/>
      <c r="I545" s="1"/>
      <c r="J545" s="1"/>
      <c r="K545" s="1"/>
      <c r="L545" s="1"/>
      <c r="M545" s="1"/>
      <c r="N545" s="1"/>
      <c r="O545" s="1"/>
      <c r="P545" s="1"/>
      <c r="Q545" s="1"/>
      <c r="R545" s="1"/>
      <c r="S545" s="1"/>
      <c r="T545" s="1"/>
      <c r="U545" s="2"/>
      <c r="V545" s="1"/>
      <c r="W545" s="1"/>
      <c r="X545" s="1"/>
      <c r="Y545" s="1"/>
      <c r="Z545" s="1"/>
    </row>
    <row r="546" spans="1:26" ht="24.75" customHeight="1">
      <c r="A546" s="1"/>
      <c r="B546" s="1"/>
      <c r="C546" s="1"/>
      <c r="D546" s="1"/>
      <c r="E546" s="1"/>
      <c r="F546" s="1"/>
      <c r="G546" s="1"/>
      <c r="H546" s="1"/>
      <c r="I546" s="1"/>
      <c r="J546" s="1"/>
      <c r="K546" s="1"/>
      <c r="L546" s="1"/>
      <c r="M546" s="1"/>
      <c r="N546" s="1"/>
      <c r="O546" s="1"/>
      <c r="P546" s="1"/>
      <c r="Q546" s="1"/>
      <c r="R546" s="1"/>
      <c r="S546" s="1"/>
      <c r="T546" s="1"/>
      <c r="U546" s="2"/>
      <c r="V546" s="1"/>
      <c r="W546" s="1"/>
      <c r="X546" s="1"/>
      <c r="Y546" s="1"/>
      <c r="Z546" s="1"/>
    </row>
    <row r="547" spans="1:26" ht="24.75" customHeight="1">
      <c r="A547" s="1"/>
      <c r="B547" s="1"/>
      <c r="C547" s="1"/>
      <c r="D547" s="1"/>
      <c r="E547" s="1"/>
      <c r="F547" s="1"/>
      <c r="G547" s="1"/>
      <c r="H547" s="1"/>
      <c r="I547" s="1"/>
      <c r="J547" s="1"/>
      <c r="K547" s="1"/>
      <c r="L547" s="1"/>
      <c r="M547" s="1"/>
      <c r="N547" s="1"/>
      <c r="O547" s="1"/>
      <c r="P547" s="1"/>
      <c r="Q547" s="1"/>
      <c r="R547" s="1"/>
      <c r="S547" s="1"/>
      <c r="T547" s="1"/>
      <c r="U547" s="2"/>
      <c r="V547" s="1"/>
      <c r="W547" s="1"/>
      <c r="X547" s="1"/>
      <c r="Y547" s="1"/>
      <c r="Z547" s="1"/>
    </row>
    <row r="548" spans="1:26" ht="24.75" customHeight="1">
      <c r="A548" s="1"/>
      <c r="B548" s="1"/>
      <c r="C548" s="1"/>
      <c r="D548" s="1"/>
      <c r="E548" s="1"/>
      <c r="F548" s="1"/>
      <c r="G548" s="1"/>
      <c r="H548" s="1"/>
      <c r="I548" s="1"/>
      <c r="J548" s="1"/>
      <c r="K548" s="1"/>
      <c r="L548" s="1"/>
      <c r="M548" s="1"/>
      <c r="N548" s="1"/>
      <c r="O548" s="1"/>
      <c r="P548" s="1"/>
      <c r="Q548" s="1"/>
      <c r="R548" s="1"/>
      <c r="S548" s="1"/>
      <c r="T548" s="1"/>
      <c r="U548" s="2"/>
      <c r="V548" s="1"/>
      <c r="W548" s="1"/>
      <c r="X548" s="1"/>
      <c r="Y548" s="1"/>
      <c r="Z548" s="1"/>
    </row>
    <row r="549" spans="1:26" ht="24.75" customHeight="1">
      <c r="A549" s="1"/>
      <c r="B549" s="1"/>
      <c r="C549" s="1"/>
      <c r="D549" s="1"/>
      <c r="E549" s="1"/>
      <c r="F549" s="1"/>
      <c r="G549" s="1"/>
      <c r="H549" s="1"/>
      <c r="I549" s="1"/>
      <c r="J549" s="1"/>
      <c r="K549" s="1"/>
      <c r="L549" s="1"/>
      <c r="M549" s="1"/>
      <c r="N549" s="1"/>
      <c r="O549" s="1"/>
      <c r="P549" s="1"/>
      <c r="Q549" s="1"/>
      <c r="R549" s="1"/>
      <c r="S549" s="1"/>
      <c r="T549" s="1"/>
      <c r="U549" s="2"/>
      <c r="V549" s="1"/>
      <c r="W549" s="1"/>
      <c r="X549" s="1"/>
      <c r="Y549" s="1"/>
      <c r="Z549" s="1"/>
    </row>
    <row r="550" spans="1:26" ht="24.75" customHeight="1">
      <c r="A550" s="1"/>
      <c r="B550" s="1"/>
      <c r="C550" s="1"/>
      <c r="D550" s="1"/>
      <c r="E550" s="1"/>
      <c r="F550" s="1"/>
      <c r="G550" s="1"/>
      <c r="H550" s="1"/>
      <c r="I550" s="1"/>
      <c r="J550" s="1"/>
      <c r="K550" s="1"/>
      <c r="L550" s="1"/>
      <c r="M550" s="1"/>
      <c r="N550" s="1"/>
      <c r="O550" s="1"/>
      <c r="P550" s="1"/>
      <c r="Q550" s="1"/>
      <c r="R550" s="1"/>
      <c r="S550" s="1"/>
      <c r="T550" s="1"/>
      <c r="U550" s="2"/>
      <c r="V550" s="1"/>
      <c r="W550" s="1"/>
      <c r="X550" s="1"/>
      <c r="Y550" s="1"/>
      <c r="Z550" s="1"/>
    </row>
    <row r="551" spans="1:26" ht="24.75" customHeight="1">
      <c r="A551" s="1"/>
      <c r="B551" s="1"/>
      <c r="C551" s="1"/>
      <c r="D551" s="1"/>
      <c r="E551" s="1"/>
      <c r="F551" s="1"/>
      <c r="G551" s="1"/>
      <c r="H551" s="1"/>
      <c r="I551" s="1"/>
      <c r="J551" s="1"/>
      <c r="K551" s="1"/>
      <c r="L551" s="1"/>
      <c r="M551" s="1"/>
      <c r="N551" s="1"/>
      <c r="O551" s="1"/>
      <c r="P551" s="1"/>
      <c r="Q551" s="1"/>
      <c r="R551" s="1"/>
      <c r="S551" s="1"/>
      <c r="T551" s="1"/>
      <c r="U551" s="2"/>
      <c r="V551" s="1"/>
      <c r="W551" s="1"/>
      <c r="X551" s="1"/>
      <c r="Y551" s="1"/>
      <c r="Z551" s="1"/>
    </row>
    <row r="552" spans="1:26" ht="24.75" customHeight="1">
      <c r="A552" s="1"/>
      <c r="B552" s="1"/>
      <c r="C552" s="1"/>
      <c r="D552" s="1"/>
      <c r="E552" s="1"/>
      <c r="F552" s="1"/>
      <c r="G552" s="1"/>
      <c r="H552" s="1"/>
      <c r="I552" s="1"/>
      <c r="J552" s="1"/>
      <c r="K552" s="1"/>
      <c r="L552" s="1"/>
      <c r="M552" s="1"/>
      <c r="N552" s="1"/>
      <c r="O552" s="1"/>
      <c r="P552" s="1"/>
      <c r="Q552" s="1"/>
      <c r="R552" s="1"/>
      <c r="S552" s="1"/>
      <c r="T552" s="1"/>
      <c r="U552" s="2"/>
      <c r="V552" s="1"/>
      <c r="W552" s="1"/>
      <c r="X552" s="1"/>
      <c r="Y552" s="1"/>
      <c r="Z552" s="1"/>
    </row>
    <row r="553" spans="1:26" ht="24.75" customHeight="1">
      <c r="A553" s="1"/>
      <c r="B553" s="1"/>
      <c r="C553" s="1"/>
      <c r="D553" s="1"/>
      <c r="E553" s="1"/>
      <c r="F553" s="1"/>
      <c r="G553" s="1"/>
      <c r="H553" s="1"/>
      <c r="I553" s="1"/>
      <c r="J553" s="1"/>
      <c r="K553" s="1"/>
      <c r="L553" s="1"/>
      <c r="M553" s="1"/>
      <c r="N553" s="1"/>
      <c r="O553" s="1"/>
      <c r="P553" s="1"/>
      <c r="Q553" s="1"/>
      <c r="R553" s="1"/>
      <c r="S553" s="1"/>
      <c r="T553" s="1"/>
      <c r="U553" s="2"/>
      <c r="V553" s="1"/>
      <c r="W553" s="1"/>
      <c r="X553" s="1"/>
      <c r="Y553" s="1"/>
      <c r="Z553" s="1"/>
    </row>
    <row r="554" spans="1:26" ht="24.75" customHeight="1">
      <c r="A554" s="1"/>
      <c r="B554" s="1"/>
      <c r="C554" s="1"/>
      <c r="D554" s="1"/>
      <c r="E554" s="1"/>
      <c r="F554" s="1"/>
      <c r="G554" s="1"/>
      <c r="H554" s="1"/>
      <c r="I554" s="1"/>
      <c r="J554" s="1"/>
      <c r="K554" s="1"/>
      <c r="L554" s="1"/>
      <c r="M554" s="1"/>
      <c r="N554" s="1"/>
      <c r="O554" s="1"/>
      <c r="P554" s="1"/>
      <c r="Q554" s="1"/>
      <c r="R554" s="1"/>
      <c r="S554" s="1"/>
      <c r="T554" s="1"/>
      <c r="U554" s="2"/>
      <c r="V554" s="1"/>
      <c r="W554" s="1"/>
      <c r="X554" s="1"/>
      <c r="Y554" s="1"/>
      <c r="Z554" s="1"/>
    </row>
    <row r="555" spans="1:26" ht="24.75" customHeight="1">
      <c r="A555" s="1"/>
      <c r="B555" s="1"/>
      <c r="C555" s="1"/>
      <c r="D555" s="1"/>
      <c r="E555" s="1"/>
      <c r="F555" s="1"/>
      <c r="G555" s="1"/>
      <c r="H555" s="1"/>
      <c r="I555" s="1"/>
      <c r="J555" s="1"/>
      <c r="K555" s="1"/>
      <c r="L555" s="1"/>
      <c r="M555" s="1"/>
      <c r="N555" s="1"/>
      <c r="O555" s="1"/>
      <c r="P555" s="1"/>
      <c r="Q555" s="1"/>
      <c r="R555" s="1"/>
      <c r="S555" s="1"/>
      <c r="T555" s="1"/>
      <c r="U555" s="2"/>
      <c r="V555" s="1"/>
      <c r="W555" s="1"/>
      <c r="X555" s="1"/>
      <c r="Y555" s="1"/>
      <c r="Z555" s="1"/>
    </row>
    <row r="556" spans="1:26" ht="24.75" customHeight="1">
      <c r="A556" s="1"/>
      <c r="B556" s="1"/>
      <c r="C556" s="1"/>
      <c r="D556" s="1"/>
      <c r="E556" s="1"/>
      <c r="F556" s="1"/>
      <c r="G556" s="1"/>
      <c r="H556" s="1"/>
      <c r="I556" s="1"/>
      <c r="J556" s="1"/>
      <c r="K556" s="1"/>
      <c r="L556" s="1"/>
      <c r="M556" s="1"/>
      <c r="N556" s="1"/>
      <c r="O556" s="1"/>
      <c r="P556" s="1"/>
      <c r="Q556" s="1"/>
      <c r="R556" s="1"/>
      <c r="S556" s="1"/>
      <c r="T556" s="1"/>
      <c r="U556" s="2"/>
      <c r="V556" s="1"/>
      <c r="W556" s="1"/>
      <c r="X556" s="1"/>
      <c r="Y556" s="1"/>
      <c r="Z556" s="1"/>
    </row>
    <row r="557" spans="1:26" ht="24.75" customHeight="1">
      <c r="A557" s="1"/>
      <c r="B557" s="1"/>
      <c r="C557" s="1"/>
      <c r="D557" s="1"/>
      <c r="E557" s="1"/>
      <c r="F557" s="1"/>
      <c r="G557" s="1"/>
      <c r="H557" s="1"/>
      <c r="I557" s="1"/>
      <c r="J557" s="1"/>
      <c r="K557" s="1"/>
      <c r="L557" s="1"/>
      <c r="M557" s="1"/>
      <c r="N557" s="1"/>
      <c r="O557" s="1"/>
      <c r="P557" s="1"/>
      <c r="Q557" s="1"/>
      <c r="R557" s="1"/>
      <c r="S557" s="1"/>
      <c r="T557" s="1"/>
      <c r="U557" s="2"/>
      <c r="V557" s="1"/>
      <c r="W557" s="1"/>
      <c r="X557" s="1"/>
      <c r="Y557" s="1"/>
      <c r="Z557" s="1"/>
    </row>
    <row r="558" spans="1:26" ht="24.75" customHeight="1">
      <c r="A558" s="1"/>
      <c r="B558" s="1"/>
      <c r="C558" s="1"/>
      <c r="D558" s="1"/>
      <c r="E558" s="1"/>
      <c r="F558" s="1"/>
      <c r="G558" s="1"/>
      <c r="H558" s="1"/>
      <c r="I558" s="1"/>
      <c r="J558" s="1"/>
      <c r="K558" s="1"/>
      <c r="L558" s="1"/>
      <c r="M558" s="1"/>
      <c r="N558" s="1"/>
      <c r="O558" s="1"/>
      <c r="P558" s="1"/>
      <c r="Q558" s="1"/>
      <c r="R558" s="1"/>
      <c r="S558" s="1"/>
      <c r="T558" s="1"/>
      <c r="U558" s="2"/>
      <c r="V558" s="1"/>
      <c r="W558" s="1"/>
      <c r="X558" s="1"/>
      <c r="Y558" s="1"/>
      <c r="Z558" s="1"/>
    </row>
    <row r="559" spans="1:26" ht="24.75" customHeight="1">
      <c r="A559" s="1"/>
      <c r="B559" s="1"/>
      <c r="C559" s="1"/>
      <c r="D559" s="1"/>
      <c r="E559" s="1"/>
      <c r="F559" s="1"/>
      <c r="G559" s="1"/>
      <c r="H559" s="1"/>
      <c r="I559" s="1"/>
      <c r="J559" s="1"/>
      <c r="K559" s="1"/>
      <c r="L559" s="1"/>
      <c r="M559" s="1"/>
      <c r="N559" s="1"/>
      <c r="O559" s="1"/>
      <c r="P559" s="1"/>
      <c r="Q559" s="1"/>
      <c r="R559" s="1"/>
      <c r="S559" s="1"/>
      <c r="T559" s="1"/>
      <c r="U559" s="2"/>
      <c r="V559" s="1"/>
      <c r="W559" s="1"/>
      <c r="X559" s="1"/>
      <c r="Y559" s="1"/>
      <c r="Z559" s="1"/>
    </row>
    <row r="560" spans="1:26" ht="24.75" customHeight="1">
      <c r="A560" s="1"/>
      <c r="B560" s="1"/>
      <c r="C560" s="1"/>
      <c r="D560" s="1"/>
      <c r="E560" s="1"/>
      <c r="F560" s="1"/>
      <c r="G560" s="1"/>
      <c r="H560" s="1"/>
      <c r="I560" s="1"/>
      <c r="J560" s="1"/>
      <c r="K560" s="1"/>
      <c r="L560" s="1"/>
      <c r="M560" s="1"/>
      <c r="N560" s="1"/>
      <c r="O560" s="1"/>
      <c r="P560" s="1"/>
      <c r="Q560" s="1"/>
      <c r="R560" s="1"/>
      <c r="S560" s="1"/>
      <c r="T560" s="1"/>
      <c r="U560" s="2"/>
      <c r="V560" s="1"/>
      <c r="W560" s="1"/>
      <c r="X560" s="1"/>
      <c r="Y560" s="1"/>
      <c r="Z560" s="1"/>
    </row>
    <row r="561" spans="1:26" ht="24.75" customHeight="1">
      <c r="A561" s="1"/>
      <c r="B561" s="1"/>
      <c r="C561" s="1"/>
      <c r="D561" s="1"/>
      <c r="E561" s="1"/>
      <c r="F561" s="1"/>
      <c r="G561" s="1"/>
      <c r="H561" s="1"/>
      <c r="I561" s="1"/>
      <c r="J561" s="1"/>
      <c r="K561" s="1"/>
      <c r="L561" s="1"/>
      <c r="M561" s="1"/>
      <c r="N561" s="1"/>
      <c r="O561" s="1"/>
      <c r="P561" s="1"/>
      <c r="Q561" s="1"/>
      <c r="R561" s="1"/>
      <c r="S561" s="1"/>
      <c r="T561" s="1"/>
      <c r="U561" s="2"/>
      <c r="V561" s="1"/>
      <c r="W561" s="1"/>
      <c r="X561" s="1"/>
      <c r="Y561" s="1"/>
      <c r="Z561" s="1"/>
    </row>
    <row r="562" spans="1:26" ht="24.75" customHeight="1">
      <c r="A562" s="1"/>
      <c r="B562" s="1"/>
      <c r="C562" s="1"/>
      <c r="D562" s="1"/>
      <c r="E562" s="1"/>
      <c r="F562" s="1"/>
      <c r="G562" s="1"/>
      <c r="H562" s="1"/>
      <c r="I562" s="1"/>
      <c r="J562" s="1"/>
      <c r="K562" s="1"/>
      <c r="L562" s="1"/>
      <c r="M562" s="1"/>
      <c r="N562" s="1"/>
      <c r="O562" s="1"/>
      <c r="P562" s="1"/>
      <c r="Q562" s="1"/>
      <c r="R562" s="1"/>
      <c r="S562" s="1"/>
      <c r="T562" s="1"/>
      <c r="U562" s="2"/>
      <c r="V562" s="1"/>
      <c r="W562" s="1"/>
      <c r="X562" s="1"/>
      <c r="Y562" s="1"/>
      <c r="Z562" s="1"/>
    </row>
    <row r="563" spans="1:26" ht="24.75" customHeight="1">
      <c r="A563" s="1"/>
      <c r="B563" s="1"/>
      <c r="C563" s="1"/>
      <c r="D563" s="1"/>
      <c r="E563" s="1"/>
      <c r="F563" s="1"/>
      <c r="G563" s="1"/>
      <c r="H563" s="1"/>
      <c r="I563" s="1"/>
      <c r="J563" s="1"/>
      <c r="K563" s="1"/>
      <c r="L563" s="1"/>
      <c r="M563" s="1"/>
      <c r="N563" s="1"/>
      <c r="O563" s="1"/>
      <c r="P563" s="1"/>
      <c r="Q563" s="1"/>
      <c r="R563" s="1"/>
      <c r="S563" s="1"/>
      <c r="T563" s="1"/>
      <c r="U563" s="2"/>
      <c r="V563" s="1"/>
      <c r="W563" s="1"/>
      <c r="X563" s="1"/>
      <c r="Y563" s="1"/>
      <c r="Z563" s="1"/>
    </row>
    <row r="564" spans="1:26" ht="24.75" customHeight="1">
      <c r="A564" s="1"/>
      <c r="B564" s="1"/>
      <c r="C564" s="1"/>
      <c r="D564" s="1"/>
      <c r="E564" s="1"/>
      <c r="F564" s="1"/>
      <c r="G564" s="1"/>
      <c r="H564" s="1"/>
      <c r="I564" s="1"/>
      <c r="J564" s="1"/>
      <c r="K564" s="1"/>
      <c r="L564" s="1"/>
      <c r="M564" s="1"/>
      <c r="N564" s="1"/>
      <c r="O564" s="1"/>
      <c r="P564" s="1"/>
      <c r="Q564" s="1"/>
      <c r="R564" s="1"/>
      <c r="S564" s="1"/>
      <c r="T564" s="1"/>
      <c r="U564" s="2"/>
      <c r="V564" s="1"/>
      <c r="W564" s="1"/>
      <c r="X564" s="1"/>
      <c r="Y564" s="1"/>
      <c r="Z564" s="1"/>
    </row>
    <row r="565" spans="1:26" ht="24.75" customHeight="1">
      <c r="A565" s="1"/>
      <c r="B565" s="1"/>
      <c r="C565" s="1"/>
      <c r="D565" s="1"/>
      <c r="E565" s="1"/>
      <c r="F565" s="1"/>
      <c r="G565" s="1"/>
      <c r="H565" s="1"/>
      <c r="I565" s="1"/>
      <c r="J565" s="1"/>
      <c r="K565" s="1"/>
      <c r="L565" s="1"/>
      <c r="M565" s="1"/>
      <c r="N565" s="1"/>
      <c r="O565" s="1"/>
      <c r="P565" s="1"/>
      <c r="Q565" s="1"/>
      <c r="R565" s="1"/>
      <c r="S565" s="1"/>
      <c r="T565" s="1"/>
      <c r="U565" s="2"/>
      <c r="V565" s="1"/>
      <c r="W565" s="1"/>
      <c r="X565" s="1"/>
      <c r="Y565" s="1"/>
      <c r="Z565" s="1"/>
    </row>
    <row r="566" spans="1:26" ht="24.75" customHeight="1">
      <c r="A566" s="1"/>
      <c r="B566" s="1"/>
      <c r="C566" s="1"/>
      <c r="D566" s="1"/>
      <c r="E566" s="1"/>
      <c r="F566" s="1"/>
      <c r="G566" s="1"/>
      <c r="H566" s="1"/>
      <c r="I566" s="1"/>
      <c r="J566" s="1"/>
      <c r="K566" s="1"/>
      <c r="L566" s="1"/>
      <c r="M566" s="1"/>
      <c r="N566" s="1"/>
      <c r="O566" s="1"/>
      <c r="P566" s="1"/>
      <c r="Q566" s="1"/>
      <c r="R566" s="1"/>
      <c r="S566" s="1"/>
      <c r="T566" s="1"/>
      <c r="U566" s="2"/>
      <c r="V566" s="1"/>
      <c r="W566" s="1"/>
      <c r="X566" s="1"/>
      <c r="Y566" s="1"/>
      <c r="Z566" s="1"/>
    </row>
    <row r="567" spans="1:26" ht="24.75" customHeight="1">
      <c r="A567" s="1"/>
      <c r="B567" s="1"/>
      <c r="C567" s="1"/>
      <c r="D567" s="1"/>
      <c r="E567" s="1"/>
      <c r="F567" s="1"/>
      <c r="G567" s="1"/>
      <c r="H567" s="1"/>
      <c r="I567" s="1"/>
      <c r="J567" s="1"/>
      <c r="K567" s="1"/>
      <c r="L567" s="1"/>
      <c r="M567" s="1"/>
      <c r="N567" s="1"/>
      <c r="O567" s="1"/>
      <c r="P567" s="1"/>
      <c r="Q567" s="1"/>
      <c r="R567" s="1"/>
      <c r="S567" s="1"/>
      <c r="T567" s="1"/>
      <c r="U567" s="2"/>
      <c r="V567" s="1"/>
      <c r="W567" s="1"/>
      <c r="X567" s="1"/>
      <c r="Y567" s="1"/>
      <c r="Z567" s="1"/>
    </row>
    <row r="568" spans="1:26" ht="24.75" customHeight="1">
      <c r="A568" s="1"/>
      <c r="B568" s="1"/>
      <c r="C568" s="1"/>
      <c r="D568" s="1"/>
      <c r="E568" s="1"/>
      <c r="F568" s="1"/>
      <c r="G568" s="1"/>
      <c r="H568" s="1"/>
      <c r="I568" s="1"/>
      <c r="J568" s="1"/>
      <c r="K568" s="1"/>
      <c r="L568" s="1"/>
      <c r="M568" s="1"/>
      <c r="N568" s="1"/>
      <c r="O568" s="1"/>
      <c r="P568" s="1"/>
      <c r="Q568" s="1"/>
      <c r="R568" s="1"/>
      <c r="S568" s="1"/>
      <c r="T568" s="1"/>
      <c r="U568" s="2"/>
      <c r="V568" s="1"/>
      <c r="W568" s="1"/>
      <c r="X568" s="1"/>
      <c r="Y568" s="1"/>
      <c r="Z568" s="1"/>
    </row>
    <row r="569" spans="1:26" ht="24.75" customHeight="1">
      <c r="A569" s="1"/>
      <c r="B569" s="1"/>
      <c r="C569" s="1"/>
      <c r="D569" s="1"/>
      <c r="E569" s="1"/>
      <c r="F569" s="1"/>
      <c r="G569" s="1"/>
      <c r="H569" s="1"/>
      <c r="I569" s="1"/>
      <c r="J569" s="1"/>
      <c r="K569" s="1"/>
      <c r="L569" s="1"/>
      <c r="M569" s="1"/>
      <c r="N569" s="1"/>
      <c r="O569" s="1"/>
      <c r="P569" s="1"/>
      <c r="Q569" s="1"/>
      <c r="R569" s="1"/>
      <c r="S569" s="1"/>
      <c r="T569" s="1"/>
      <c r="U569" s="2"/>
      <c r="V569" s="1"/>
      <c r="W569" s="1"/>
      <c r="X569" s="1"/>
      <c r="Y569" s="1"/>
      <c r="Z569" s="1"/>
    </row>
    <row r="570" spans="1:26" ht="24.75" customHeight="1">
      <c r="A570" s="1"/>
      <c r="B570" s="1"/>
      <c r="C570" s="1"/>
      <c r="D570" s="1"/>
      <c r="E570" s="1"/>
      <c r="F570" s="1"/>
      <c r="G570" s="1"/>
      <c r="H570" s="1"/>
      <c r="I570" s="1"/>
      <c r="J570" s="1"/>
      <c r="K570" s="1"/>
      <c r="L570" s="1"/>
      <c r="M570" s="1"/>
      <c r="N570" s="1"/>
      <c r="O570" s="1"/>
      <c r="P570" s="1"/>
      <c r="Q570" s="1"/>
      <c r="R570" s="1"/>
      <c r="S570" s="1"/>
      <c r="T570" s="1"/>
      <c r="U570" s="2"/>
      <c r="V570" s="1"/>
      <c r="W570" s="1"/>
      <c r="X570" s="1"/>
      <c r="Y570" s="1"/>
      <c r="Z570" s="1"/>
    </row>
    <row r="571" spans="1:26" ht="24.75" customHeight="1">
      <c r="A571" s="1"/>
      <c r="B571" s="1"/>
      <c r="C571" s="1"/>
      <c r="D571" s="1"/>
      <c r="E571" s="1"/>
      <c r="F571" s="1"/>
      <c r="G571" s="1"/>
      <c r="H571" s="1"/>
      <c r="I571" s="1"/>
      <c r="J571" s="1"/>
      <c r="K571" s="1"/>
      <c r="L571" s="1"/>
      <c r="M571" s="1"/>
      <c r="N571" s="1"/>
      <c r="O571" s="1"/>
      <c r="P571" s="1"/>
      <c r="Q571" s="1"/>
      <c r="R571" s="1"/>
      <c r="S571" s="1"/>
      <c r="T571" s="1"/>
      <c r="U571" s="2"/>
      <c r="V571" s="1"/>
      <c r="W571" s="1"/>
      <c r="X571" s="1"/>
      <c r="Y571" s="1"/>
      <c r="Z571" s="1"/>
    </row>
    <row r="572" spans="1:26" ht="24.75" customHeight="1">
      <c r="A572" s="1"/>
      <c r="B572" s="1"/>
      <c r="C572" s="1"/>
      <c r="D572" s="1"/>
      <c r="E572" s="1"/>
      <c r="F572" s="1"/>
      <c r="G572" s="1"/>
      <c r="H572" s="1"/>
      <c r="I572" s="1"/>
      <c r="J572" s="1"/>
      <c r="K572" s="1"/>
      <c r="L572" s="1"/>
      <c r="M572" s="1"/>
      <c r="N572" s="1"/>
      <c r="O572" s="1"/>
      <c r="P572" s="1"/>
      <c r="Q572" s="1"/>
      <c r="R572" s="1"/>
      <c r="S572" s="1"/>
      <c r="T572" s="1"/>
      <c r="U572" s="2"/>
      <c r="V572" s="1"/>
      <c r="W572" s="1"/>
      <c r="X572" s="1"/>
      <c r="Y572" s="1"/>
      <c r="Z572" s="1"/>
    </row>
    <row r="573" spans="1:26" ht="24.75" customHeight="1">
      <c r="A573" s="1"/>
      <c r="B573" s="1"/>
      <c r="C573" s="1"/>
      <c r="D573" s="1"/>
      <c r="E573" s="1"/>
      <c r="F573" s="1"/>
      <c r="G573" s="1"/>
      <c r="H573" s="1"/>
      <c r="I573" s="1"/>
      <c r="J573" s="1"/>
      <c r="K573" s="1"/>
      <c r="L573" s="1"/>
      <c r="M573" s="1"/>
      <c r="N573" s="1"/>
      <c r="O573" s="1"/>
      <c r="P573" s="1"/>
      <c r="Q573" s="1"/>
      <c r="R573" s="1"/>
      <c r="S573" s="1"/>
      <c r="T573" s="1"/>
      <c r="U573" s="2"/>
      <c r="V573" s="1"/>
      <c r="W573" s="1"/>
      <c r="X573" s="1"/>
      <c r="Y573" s="1"/>
      <c r="Z573" s="1"/>
    </row>
    <row r="574" spans="1:26" ht="24.75" customHeight="1">
      <c r="A574" s="1"/>
      <c r="B574" s="1"/>
      <c r="C574" s="1"/>
      <c r="D574" s="1"/>
      <c r="E574" s="1"/>
      <c r="F574" s="1"/>
      <c r="G574" s="1"/>
      <c r="H574" s="1"/>
      <c r="I574" s="1"/>
      <c r="J574" s="1"/>
      <c r="K574" s="1"/>
      <c r="L574" s="1"/>
      <c r="M574" s="1"/>
      <c r="N574" s="1"/>
      <c r="O574" s="1"/>
      <c r="P574" s="1"/>
      <c r="Q574" s="1"/>
      <c r="R574" s="1"/>
      <c r="S574" s="1"/>
      <c r="T574" s="1"/>
      <c r="U574" s="2"/>
      <c r="V574" s="1"/>
      <c r="W574" s="1"/>
      <c r="X574" s="1"/>
      <c r="Y574" s="1"/>
      <c r="Z574" s="1"/>
    </row>
    <row r="575" spans="1:26" ht="24.75" customHeight="1">
      <c r="A575" s="1"/>
      <c r="B575" s="1"/>
      <c r="C575" s="1"/>
      <c r="D575" s="1"/>
      <c r="E575" s="1"/>
      <c r="F575" s="1"/>
      <c r="G575" s="1"/>
      <c r="H575" s="1"/>
      <c r="I575" s="1"/>
      <c r="J575" s="1"/>
      <c r="K575" s="1"/>
      <c r="L575" s="1"/>
      <c r="M575" s="1"/>
      <c r="N575" s="1"/>
      <c r="O575" s="1"/>
      <c r="P575" s="1"/>
      <c r="Q575" s="1"/>
      <c r="R575" s="1"/>
      <c r="S575" s="1"/>
      <c r="T575" s="1"/>
      <c r="U575" s="2"/>
      <c r="V575" s="1"/>
      <c r="W575" s="1"/>
      <c r="X575" s="1"/>
      <c r="Y575" s="1"/>
      <c r="Z575" s="1"/>
    </row>
    <row r="576" spans="1:26" ht="24.75" customHeight="1">
      <c r="A576" s="1"/>
      <c r="B576" s="1"/>
      <c r="C576" s="1"/>
      <c r="D576" s="1"/>
      <c r="E576" s="1"/>
      <c r="F576" s="1"/>
      <c r="G576" s="1"/>
      <c r="H576" s="1"/>
      <c r="I576" s="1"/>
      <c r="J576" s="1"/>
      <c r="K576" s="1"/>
      <c r="L576" s="1"/>
      <c r="M576" s="1"/>
      <c r="N576" s="1"/>
      <c r="O576" s="1"/>
      <c r="P576" s="1"/>
      <c r="Q576" s="1"/>
      <c r="R576" s="1"/>
      <c r="S576" s="1"/>
      <c r="T576" s="1"/>
      <c r="U576" s="2"/>
      <c r="V576" s="1"/>
      <c r="W576" s="1"/>
      <c r="X576" s="1"/>
      <c r="Y576" s="1"/>
      <c r="Z576" s="1"/>
    </row>
    <row r="577" spans="1:26" ht="24.75" customHeight="1">
      <c r="A577" s="1"/>
      <c r="B577" s="1"/>
      <c r="C577" s="1"/>
      <c r="D577" s="1"/>
      <c r="E577" s="1"/>
      <c r="F577" s="1"/>
      <c r="G577" s="1"/>
      <c r="H577" s="1"/>
      <c r="I577" s="1"/>
      <c r="J577" s="1"/>
      <c r="K577" s="1"/>
      <c r="L577" s="1"/>
      <c r="M577" s="1"/>
      <c r="N577" s="1"/>
      <c r="O577" s="1"/>
      <c r="P577" s="1"/>
      <c r="Q577" s="1"/>
      <c r="R577" s="1"/>
      <c r="S577" s="1"/>
      <c r="T577" s="1"/>
      <c r="U577" s="2"/>
      <c r="V577" s="1"/>
      <c r="W577" s="1"/>
      <c r="X577" s="1"/>
      <c r="Y577" s="1"/>
      <c r="Z577" s="1"/>
    </row>
    <row r="578" spans="1:26" ht="24.75" customHeight="1">
      <c r="A578" s="1"/>
      <c r="B578" s="1"/>
      <c r="C578" s="1"/>
      <c r="D578" s="1"/>
      <c r="E578" s="1"/>
      <c r="F578" s="1"/>
      <c r="G578" s="1"/>
      <c r="H578" s="1"/>
      <c r="I578" s="1"/>
      <c r="J578" s="1"/>
      <c r="K578" s="1"/>
      <c r="L578" s="1"/>
      <c r="M578" s="1"/>
      <c r="N578" s="1"/>
      <c r="O578" s="1"/>
      <c r="P578" s="1"/>
      <c r="Q578" s="1"/>
      <c r="R578" s="1"/>
      <c r="S578" s="1"/>
      <c r="T578" s="1"/>
      <c r="U578" s="2"/>
      <c r="V578" s="1"/>
      <c r="W578" s="1"/>
      <c r="X578" s="1"/>
      <c r="Y578" s="1"/>
      <c r="Z578" s="1"/>
    </row>
    <row r="579" spans="1:26" ht="24.75" customHeight="1">
      <c r="A579" s="1"/>
      <c r="B579" s="1"/>
      <c r="C579" s="1"/>
      <c r="D579" s="1"/>
      <c r="E579" s="1"/>
      <c r="F579" s="1"/>
      <c r="G579" s="1"/>
      <c r="H579" s="1"/>
      <c r="I579" s="1"/>
      <c r="J579" s="1"/>
      <c r="K579" s="1"/>
      <c r="L579" s="1"/>
      <c r="M579" s="1"/>
      <c r="N579" s="1"/>
      <c r="O579" s="1"/>
      <c r="P579" s="1"/>
      <c r="Q579" s="1"/>
      <c r="R579" s="1"/>
      <c r="S579" s="1"/>
      <c r="T579" s="1"/>
      <c r="U579" s="2"/>
      <c r="V579" s="1"/>
      <c r="W579" s="1"/>
      <c r="X579" s="1"/>
      <c r="Y579" s="1"/>
      <c r="Z579" s="1"/>
    </row>
    <row r="580" spans="1:26" ht="24.75" customHeight="1">
      <c r="A580" s="1"/>
      <c r="B580" s="1"/>
      <c r="C580" s="1"/>
      <c r="D580" s="1"/>
      <c r="E580" s="1"/>
      <c r="F580" s="1"/>
      <c r="G580" s="1"/>
      <c r="H580" s="1"/>
      <c r="I580" s="1"/>
      <c r="J580" s="1"/>
      <c r="K580" s="1"/>
      <c r="L580" s="1"/>
      <c r="M580" s="1"/>
      <c r="N580" s="1"/>
      <c r="O580" s="1"/>
      <c r="P580" s="1"/>
      <c r="Q580" s="1"/>
      <c r="R580" s="1"/>
      <c r="S580" s="1"/>
      <c r="T580" s="1"/>
      <c r="U580" s="2"/>
      <c r="V580" s="1"/>
      <c r="W580" s="1"/>
      <c r="X580" s="1"/>
      <c r="Y580" s="1"/>
      <c r="Z580" s="1"/>
    </row>
    <row r="581" spans="1:26" ht="24.75" customHeight="1">
      <c r="A581" s="1"/>
      <c r="B581" s="1"/>
      <c r="C581" s="1"/>
      <c r="D581" s="1"/>
      <c r="E581" s="1"/>
      <c r="F581" s="1"/>
      <c r="G581" s="1"/>
      <c r="H581" s="1"/>
      <c r="I581" s="1"/>
      <c r="J581" s="1"/>
      <c r="K581" s="1"/>
      <c r="L581" s="1"/>
      <c r="M581" s="1"/>
      <c r="N581" s="1"/>
      <c r="O581" s="1"/>
      <c r="P581" s="1"/>
      <c r="Q581" s="1"/>
      <c r="R581" s="1"/>
      <c r="S581" s="1"/>
      <c r="T581" s="1"/>
      <c r="U581" s="2"/>
      <c r="V581" s="1"/>
      <c r="W581" s="1"/>
      <c r="X581" s="1"/>
      <c r="Y581" s="1"/>
      <c r="Z581" s="1"/>
    </row>
    <row r="582" spans="1:26" ht="24.75" customHeight="1">
      <c r="A582" s="1"/>
      <c r="B582" s="1"/>
      <c r="C582" s="1"/>
      <c r="D582" s="1"/>
      <c r="E582" s="1"/>
      <c r="F582" s="1"/>
      <c r="G582" s="1"/>
      <c r="H582" s="1"/>
      <c r="I582" s="1"/>
      <c r="J582" s="1"/>
      <c r="K582" s="1"/>
      <c r="L582" s="1"/>
      <c r="M582" s="1"/>
      <c r="N582" s="1"/>
      <c r="O582" s="1"/>
      <c r="P582" s="1"/>
      <c r="Q582" s="1"/>
      <c r="R582" s="1"/>
      <c r="S582" s="1"/>
      <c r="T582" s="1"/>
      <c r="U582" s="2"/>
      <c r="V582" s="1"/>
      <c r="W582" s="1"/>
      <c r="X582" s="1"/>
      <c r="Y582" s="1"/>
      <c r="Z582" s="1"/>
    </row>
    <row r="583" spans="1:26" ht="24.75" customHeight="1">
      <c r="A583" s="1"/>
      <c r="B583" s="1"/>
      <c r="C583" s="1"/>
      <c r="D583" s="1"/>
      <c r="E583" s="1"/>
      <c r="F583" s="1"/>
      <c r="G583" s="1"/>
      <c r="H583" s="1"/>
      <c r="I583" s="1"/>
      <c r="J583" s="1"/>
      <c r="K583" s="1"/>
      <c r="L583" s="1"/>
      <c r="M583" s="1"/>
      <c r="N583" s="1"/>
      <c r="O583" s="1"/>
      <c r="P583" s="1"/>
      <c r="Q583" s="1"/>
      <c r="R583" s="1"/>
      <c r="S583" s="1"/>
      <c r="T583" s="1"/>
      <c r="U583" s="2"/>
      <c r="V583" s="1"/>
      <c r="W583" s="1"/>
      <c r="X583" s="1"/>
      <c r="Y583" s="1"/>
      <c r="Z583" s="1"/>
    </row>
    <row r="584" spans="1:26" ht="24.75" customHeight="1">
      <c r="A584" s="1"/>
      <c r="B584" s="1"/>
      <c r="C584" s="1"/>
      <c r="D584" s="1"/>
      <c r="E584" s="1"/>
      <c r="F584" s="1"/>
      <c r="G584" s="1"/>
      <c r="H584" s="1"/>
      <c r="I584" s="1"/>
      <c r="J584" s="1"/>
      <c r="K584" s="1"/>
      <c r="L584" s="1"/>
      <c r="M584" s="1"/>
      <c r="N584" s="1"/>
      <c r="O584" s="1"/>
      <c r="P584" s="1"/>
      <c r="Q584" s="1"/>
      <c r="R584" s="1"/>
      <c r="S584" s="1"/>
      <c r="T584" s="1"/>
      <c r="U584" s="2"/>
      <c r="V584" s="1"/>
      <c r="W584" s="1"/>
      <c r="X584" s="1"/>
      <c r="Y584" s="1"/>
      <c r="Z584" s="1"/>
    </row>
    <row r="585" spans="1:26" ht="24.75" customHeight="1">
      <c r="A585" s="1"/>
      <c r="B585" s="1"/>
      <c r="C585" s="1"/>
      <c r="D585" s="1"/>
      <c r="E585" s="1"/>
      <c r="F585" s="1"/>
      <c r="G585" s="1"/>
      <c r="H585" s="1"/>
      <c r="I585" s="1"/>
      <c r="J585" s="1"/>
      <c r="K585" s="1"/>
      <c r="L585" s="1"/>
      <c r="M585" s="1"/>
      <c r="N585" s="1"/>
      <c r="O585" s="1"/>
      <c r="P585" s="1"/>
      <c r="Q585" s="1"/>
      <c r="R585" s="1"/>
      <c r="S585" s="1"/>
      <c r="T585" s="1"/>
      <c r="U585" s="2"/>
      <c r="V585" s="1"/>
      <c r="W585" s="1"/>
      <c r="X585" s="1"/>
      <c r="Y585" s="1"/>
      <c r="Z585" s="1"/>
    </row>
    <row r="586" spans="1:26" ht="24.75" customHeight="1">
      <c r="A586" s="1"/>
      <c r="B586" s="1"/>
      <c r="C586" s="1"/>
      <c r="D586" s="1"/>
      <c r="E586" s="1"/>
      <c r="F586" s="1"/>
      <c r="G586" s="1"/>
      <c r="H586" s="1"/>
      <c r="I586" s="1"/>
      <c r="J586" s="1"/>
      <c r="K586" s="1"/>
      <c r="L586" s="1"/>
      <c r="M586" s="1"/>
      <c r="N586" s="1"/>
      <c r="O586" s="1"/>
      <c r="P586" s="1"/>
      <c r="Q586" s="1"/>
      <c r="R586" s="1"/>
      <c r="S586" s="1"/>
      <c r="T586" s="1"/>
      <c r="U586" s="2"/>
      <c r="V586" s="1"/>
      <c r="W586" s="1"/>
      <c r="X586" s="1"/>
      <c r="Y586" s="1"/>
      <c r="Z586" s="1"/>
    </row>
    <row r="587" spans="1:26" ht="24.75" customHeight="1">
      <c r="A587" s="1"/>
      <c r="B587" s="1"/>
      <c r="C587" s="1"/>
      <c r="D587" s="1"/>
      <c r="E587" s="1"/>
      <c r="F587" s="1"/>
      <c r="G587" s="1"/>
      <c r="H587" s="1"/>
      <c r="I587" s="1"/>
      <c r="J587" s="1"/>
      <c r="K587" s="1"/>
      <c r="L587" s="1"/>
      <c r="M587" s="1"/>
      <c r="N587" s="1"/>
      <c r="O587" s="1"/>
      <c r="P587" s="1"/>
      <c r="Q587" s="1"/>
      <c r="R587" s="1"/>
      <c r="S587" s="1"/>
      <c r="T587" s="1"/>
      <c r="U587" s="2"/>
      <c r="V587" s="1"/>
      <c r="W587" s="1"/>
      <c r="X587" s="1"/>
      <c r="Y587" s="1"/>
      <c r="Z587" s="1"/>
    </row>
    <row r="588" spans="1:26" ht="24.75" customHeight="1">
      <c r="A588" s="1"/>
      <c r="B588" s="1"/>
      <c r="C588" s="1"/>
      <c r="D588" s="1"/>
      <c r="E588" s="1"/>
      <c r="F588" s="1"/>
      <c r="G588" s="1"/>
      <c r="H588" s="1"/>
      <c r="I588" s="1"/>
      <c r="J588" s="1"/>
      <c r="K588" s="1"/>
      <c r="L588" s="1"/>
      <c r="M588" s="1"/>
      <c r="N588" s="1"/>
      <c r="O588" s="1"/>
      <c r="P588" s="1"/>
      <c r="Q588" s="1"/>
      <c r="R588" s="1"/>
      <c r="S588" s="1"/>
      <c r="T588" s="1"/>
      <c r="U588" s="2"/>
      <c r="V588" s="1"/>
      <c r="W588" s="1"/>
      <c r="X588" s="1"/>
      <c r="Y588" s="1"/>
      <c r="Z588" s="1"/>
    </row>
    <row r="589" spans="1:26" ht="24.75" customHeight="1">
      <c r="A589" s="1"/>
      <c r="B589" s="1"/>
      <c r="C589" s="1"/>
      <c r="D589" s="1"/>
      <c r="E589" s="1"/>
      <c r="F589" s="1"/>
      <c r="G589" s="1"/>
      <c r="H589" s="1"/>
      <c r="I589" s="1"/>
      <c r="J589" s="1"/>
      <c r="K589" s="1"/>
      <c r="L589" s="1"/>
      <c r="M589" s="1"/>
      <c r="N589" s="1"/>
      <c r="O589" s="1"/>
      <c r="P589" s="1"/>
      <c r="Q589" s="1"/>
      <c r="R589" s="1"/>
      <c r="S589" s="1"/>
      <c r="T589" s="1"/>
      <c r="U589" s="2"/>
      <c r="V589" s="1"/>
      <c r="W589" s="1"/>
      <c r="X589" s="1"/>
      <c r="Y589" s="1"/>
      <c r="Z589" s="1"/>
    </row>
    <row r="590" spans="1:26" ht="24.75" customHeight="1">
      <c r="A590" s="1"/>
      <c r="B590" s="1"/>
      <c r="C590" s="1"/>
      <c r="D590" s="1"/>
      <c r="E590" s="1"/>
      <c r="F590" s="1"/>
      <c r="G590" s="1"/>
      <c r="H590" s="1"/>
      <c r="I590" s="1"/>
      <c r="J590" s="1"/>
      <c r="K590" s="1"/>
      <c r="L590" s="1"/>
      <c r="M590" s="1"/>
      <c r="N590" s="1"/>
      <c r="O590" s="1"/>
      <c r="P590" s="1"/>
      <c r="Q590" s="1"/>
      <c r="R590" s="1"/>
      <c r="S590" s="1"/>
      <c r="T590" s="1"/>
      <c r="U590" s="2"/>
      <c r="V590" s="1"/>
      <c r="W590" s="1"/>
      <c r="X590" s="1"/>
      <c r="Y590" s="1"/>
      <c r="Z590" s="1"/>
    </row>
    <row r="591" spans="1:26" ht="24.75" customHeight="1">
      <c r="A591" s="1"/>
      <c r="B591" s="1"/>
      <c r="C591" s="1"/>
      <c r="D591" s="1"/>
      <c r="E591" s="1"/>
      <c r="F591" s="1"/>
      <c r="G591" s="1"/>
      <c r="H591" s="1"/>
      <c r="I591" s="1"/>
      <c r="J591" s="1"/>
      <c r="K591" s="1"/>
      <c r="L591" s="1"/>
      <c r="M591" s="1"/>
      <c r="N591" s="1"/>
      <c r="O591" s="1"/>
      <c r="P591" s="1"/>
      <c r="Q591" s="1"/>
      <c r="R591" s="1"/>
      <c r="S591" s="1"/>
      <c r="T591" s="1"/>
      <c r="U591" s="2"/>
      <c r="V591" s="1"/>
      <c r="W591" s="1"/>
      <c r="X591" s="1"/>
      <c r="Y591" s="1"/>
      <c r="Z591" s="1"/>
    </row>
    <row r="592" spans="1:26" ht="24.75" customHeight="1">
      <c r="A592" s="1"/>
      <c r="B592" s="1"/>
      <c r="C592" s="1"/>
      <c r="D592" s="1"/>
      <c r="E592" s="1"/>
      <c r="F592" s="1"/>
      <c r="G592" s="1"/>
      <c r="H592" s="1"/>
      <c r="I592" s="1"/>
      <c r="J592" s="1"/>
      <c r="K592" s="1"/>
      <c r="L592" s="1"/>
      <c r="M592" s="1"/>
      <c r="N592" s="1"/>
      <c r="O592" s="1"/>
      <c r="P592" s="1"/>
      <c r="Q592" s="1"/>
      <c r="R592" s="1"/>
      <c r="S592" s="1"/>
      <c r="T592" s="1"/>
      <c r="U592" s="2"/>
      <c r="V592" s="1"/>
      <c r="W592" s="1"/>
      <c r="X592" s="1"/>
      <c r="Y592" s="1"/>
      <c r="Z592" s="1"/>
    </row>
    <row r="593" spans="1:26" ht="24.75" customHeight="1">
      <c r="A593" s="1"/>
      <c r="B593" s="1"/>
      <c r="C593" s="1"/>
      <c r="D593" s="1"/>
      <c r="E593" s="1"/>
      <c r="F593" s="1"/>
      <c r="G593" s="1"/>
      <c r="H593" s="1"/>
      <c r="I593" s="1"/>
      <c r="J593" s="1"/>
      <c r="K593" s="1"/>
      <c r="L593" s="1"/>
      <c r="M593" s="1"/>
      <c r="N593" s="1"/>
      <c r="O593" s="1"/>
      <c r="P593" s="1"/>
      <c r="Q593" s="1"/>
      <c r="R593" s="1"/>
      <c r="S593" s="1"/>
      <c r="T593" s="1"/>
      <c r="U593" s="2"/>
      <c r="V593" s="1"/>
      <c r="W593" s="1"/>
      <c r="X593" s="1"/>
      <c r="Y593" s="1"/>
      <c r="Z593" s="1"/>
    </row>
    <row r="594" spans="1:26" ht="24.75" customHeight="1">
      <c r="A594" s="1"/>
      <c r="B594" s="1"/>
      <c r="C594" s="1"/>
      <c r="D594" s="1"/>
      <c r="E594" s="1"/>
      <c r="F594" s="1"/>
      <c r="G594" s="1"/>
      <c r="H594" s="1"/>
      <c r="I594" s="1"/>
      <c r="J594" s="1"/>
      <c r="K594" s="1"/>
      <c r="L594" s="1"/>
      <c r="M594" s="1"/>
      <c r="N594" s="1"/>
      <c r="O594" s="1"/>
      <c r="P594" s="1"/>
      <c r="Q594" s="1"/>
      <c r="R594" s="1"/>
      <c r="S594" s="1"/>
      <c r="T594" s="1"/>
      <c r="U594" s="2"/>
      <c r="V594" s="1"/>
      <c r="W594" s="1"/>
      <c r="X594" s="1"/>
      <c r="Y594" s="1"/>
      <c r="Z594" s="1"/>
    </row>
    <row r="595" spans="1:26" ht="24.75" customHeight="1">
      <c r="A595" s="1"/>
      <c r="B595" s="1"/>
      <c r="C595" s="1"/>
      <c r="D595" s="1"/>
      <c r="E595" s="1"/>
      <c r="F595" s="1"/>
      <c r="G595" s="1"/>
      <c r="H595" s="1"/>
      <c r="I595" s="1"/>
      <c r="J595" s="1"/>
      <c r="K595" s="1"/>
      <c r="L595" s="1"/>
      <c r="M595" s="1"/>
      <c r="N595" s="1"/>
      <c r="O595" s="1"/>
      <c r="P595" s="1"/>
      <c r="Q595" s="1"/>
      <c r="R595" s="1"/>
      <c r="S595" s="1"/>
      <c r="T595" s="1"/>
      <c r="U595" s="2"/>
      <c r="V595" s="1"/>
      <c r="W595" s="1"/>
      <c r="X595" s="1"/>
      <c r="Y595" s="1"/>
      <c r="Z595" s="1"/>
    </row>
    <row r="596" spans="1:26" ht="24.75" customHeight="1">
      <c r="A596" s="1"/>
      <c r="B596" s="1"/>
      <c r="C596" s="1"/>
      <c r="D596" s="1"/>
      <c r="E596" s="1"/>
      <c r="F596" s="1"/>
      <c r="G596" s="1"/>
      <c r="H596" s="1"/>
      <c r="I596" s="1"/>
      <c r="J596" s="1"/>
      <c r="K596" s="1"/>
      <c r="L596" s="1"/>
      <c r="M596" s="1"/>
      <c r="N596" s="1"/>
      <c r="O596" s="1"/>
      <c r="P596" s="1"/>
      <c r="Q596" s="1"/>
      <c r="R596" s="1"/>
      <c r="S596" s="1"/>
      <c r="T596" s="1"/>
      <c r="U596" s="2"/>
      <c r="V596" s="1"/>
      <c r="W596" s="1"/>
      <c r="X596" s="1"/>
      <c r="Y596" s="1"/>
      <c r="Z596" s="1"/>
    </row>
    <row r="597" spans="1:26" ht="24.75" customHeight="1">
      <c r="A597" s="1"/>
      <c r="B597" s="1"/>
      <c r="C597" s="1"/>
      <c r="D597" s="1"/>
      <c r="E597" s="1"/>
      <c r="F597" s="1"/>
      <c r="G597" s="1"/>
      <c r="H597" s="1"/>
      <c r="I597" s="1"/>
      <c r="J597" s="1"/>
      <c r="K597" s="1"/>
      <c r="L597" s="1"/>
      <c r="M597" s="1"/>
      <c r="N597" s="1"/>
      <c r="O597" s="1"/>
      <c r="P597" s="1"/>
      <c r="Q597" s="1"/>
      <c r="R597" s="1"/>
      <c r="S597" s="1"/>
      <c r="T597" s="1"/>
      <c r="U597" s="2"/>
      <c r="V597" s="1"/>
      <c r="W597" s="1"/>
      <c r="X597" s="1"/>
      <c r="Y597" s="1"/>
      <c r="Z597" s="1"/>
    </row>
    <row r="598" spans="1:26" ht="24.75" customHeight="1">
      <c r="A598" s="1"/>
      <c r="B598" s="1"/>
      <c r="C598" s="1"/>
      <c r="D598" s="1"/>
      <c r="E598" s="1"/>
      <c r="F598" s="1"/>
      <c r="G598" s="1"/>
      <c r="H598" s="1"/>
      <c r="I598" s="1"/>
      <c r="J598" s="1"/>
      <c r="K598" s="1"/>
      <c r="L598" s="1"/>
      <c r="M598" s="1"/>
      <c r="N598" s="1"/>
      <c r="O598" s="1"/>
      <c r="P598" s="1"/>
      <c r="Q598" s="1"/>
      <c r="R598" s="1"/>
      <c r="S598" s="1"/>
      <c r="T598" s="1"/>
      <c r="U598" s="2"/>
      <c r="V598" s="1"/>
      <c r="W598" s="1"/>
      <c r="X598" s="1"/>
      <c r="Y598" s="1"/>
      <c r="Z598" s="1"/>
    </row>
    <row r="599" spans="1:26" ht="24.75" customHeight="1">
      <c r="A599" s="1"/>
      <c r="B599" s="1"/>
      <c r="C599" s="1"/>
      <c r="D599" s="1"/>
      <c r="E599" s="1"/>
      <c r="F599" s="1"/>
      <c r="G599" s="1"/>
      <c r="H599" s="1"/>
      <c r="I599" s="1"/>
      <c r="J599" s="1"/>
      <c r="K599" s="1"/>
      <c r="L599" s="1"/>
      <c r="M599" s="1"/>
      <c r="N599" s="1"/>
      <c r="O599" s="1"/>
      <c r="P599" s="1"/>
      <c r="Q599" s="1"/>
      <c r="R599" s="1"/>
      <c r="S599" s="1"/>
      <c r="T599" s="1"/>
      <c r="U599" s="2"/>
      <c r="V599" s="1"/>
      <c r="W599" s="1"/>
      <c r="X599" s="1"/>
      <c r="Y599" s="1"/>
      <c r="Z599" s="1"/>
    </row>
    <row r="600" spans="1:26" ht="24.75" customHeight="1">
      <c r="A600" s="1"/>
      <c r="B600" s="1"/>
      <c r="C600" s="1"/>
      <c r="D600" s="1"/>
      <c r="E600" s="1"/>
      <c r="F600" s="1"/>
      <c r="G600" s="1"/>
      <c r="H600" s="1"/>
      <c r="I600" s="1"/>
      <c r="J600" s="1"/>
      <c r="K600" s="1"/>
      <c r="L600" s="1"/>
      <c r="M600" s="1"/>
      <c r="N600" s="1"/>
      <c r="O600" s="1"/>
      <c r="P600" s="1"/>
      <c r="Q600" s="1"/>
      <c r="R600" s="1"/>
      <c r="S600" s="1"/>
      <c r="T600" s="1"/>
      <c r="U600" s="2"/>
      <c r="V600" s="1"/>
      <c r="W600" s="1"/>
      <c r="X600" s="1"/>
      <c r="Y600" s="1"/>
      <c r="Z600" s="1"/>
    </row>
    <row r="601" spans="1:26" ht="24.75" customHeight="1">
      <c r="A601" s="1"/>
      <c r="B601" s="1"/>
      <c r="C601" s="1"/>
      <c r="D601" s="1"/>
      <c r="E601" s="1"/>
      <c r="F601" s="1"/>
      <c r="G601" s="1"/>
      <c r="H601" s="1"/>
      <c r="I601" s="1"/>
      <c r="J601" s="1"/>
      <c r="K601" s="1"/>
      <c r="L601" s="1"/>
      <c r="M601" s="1"/>
      <c r="N601" s="1"/>
      <c r="O601" s="1"/>
      <c r="P601" s="1"/>
      <c r="Q601" s="1"/>
      <c r="R601" s="1"/>
      <c r="S601" s="1"/>
      <c r="T601" s="1"/>
      <c r="U601" s="2"/>
      <c r="V601" s="1"/>
      <c r="W601" s="1"/>
      <c r="X601" s="1"/>
      <c r="Y601" s="1"/>
      <c r="Z601" s="1"/>
    </row>
    <row r="602" spans="1:26" ht="24.75" customHeight="1">
      <c r="A602" s="1"/>
      <c r="B602" s="1"/>
      <c r="C602" s="1"/>
      <c r="D602" s="1"/>
      <c r="E602" s="1"/>
      <c r="F602" s="1"/>
      <c r="G602" s="1"/>
      <c r="H602" s="1"/>
      <c r="I602" s="1"/>
      <c r="J602" s="1"/>
      <c r="K602" s="1"/>
      <c r="L602" s="1"/>
      <c r="M602" s="1"/>
      <c r="N602" s="1"/>
      <c r="O602" s="1"/>
      <c r="P602" s="1"/>
      <c r="Q602" s="1"/>
      <c r="R602" s="1"/>
      <c r="S602" s="1"/>
      <c r="T602" s="1"/>
      <c r="U602" s="2"/>
      <c r="V602" s="1"/>
      <c r="W602" s="1"/>
      <c r="X602" s="1"/>
      <c r="Y602" s="1"/>
      <c r="Z602" s="1"/>
    </row>
    <row r="603" spans="1:26" ht="24.75" customHeight="1">
      <c r="A603" s="1"/>
      <c r="B603" s="1"/>
      <c r="C603" s="1"/>
      <c r="D603" s="1"/>
      <c r="E603" s="1"/>
      <c r="F603" s="1"/>
      <c r="G603" s="1"/>
      <c r="H603" s="1"/>
      <c r="I603" s="1"/>
      <c r="J603" s="1"/>
      <c r="K603" s="1"/>
      <c r="L603" s="1"/>
      <c r="M603" s="1"/>
      <c r="N603" s="1"/>
      <c r="O603" s="1"/>
      <c r="P603" s="1"/>
      <c r="Q603" s="1"/>
      <c r="R603" s="1"/>
      <c r="S603" s="1"/>
      <c r="T603" s="1"/>
      <c r="U603" s="2"/>
      <c r="V603" s="1"/>
      <c r="W603" s="1"/>
      <c r="X603" s="1"/>
      <c r="Y603" s="1"/>
      <c r="Z603" s="1"/>
    </row>
    <row r="604" spans="1:26" ht="24.75" customHeight="1">
      <c r="A604" s="1"/>
      <c r="B604" s="1"/>
      <c r="C604" s="1"/>
      <c r="D604" s="1"/>
      <c r="E604" s="1"/>
      <c r="F604" s="1"/>
      <c r="G604" s="1"/>
      <c r="H604" s="1"/>
      <c r="I604" s="1"/>
      <c r="J604" s="1"/>
      <c r="K604" s="1"/>
      <c r="L604" s="1"/>
      <c r="M604" s="1"/>
      <c r="N604" s="1"/>
      <c r="O604" s="1"/>
      <c r="P604" s="1"/>
      <c r="Q604" s="1"/>
      <c r="R604" s="1"/>
      <c r="S604" s="1"/>
      <c r="T604" s="1"/>
      <c r="U604" s="2"/>
      <c r="V604" s="1"/>
      <c r="W604" s="1"/>
      <c r="X604" s="1"/>
      <c r="Y604" s="1"/>
      <c r="Z604" s="1"/>
    </row>
    <row r="605" spans="1:26" ht="24.75" customHeight="1">
      <c r="A605" s="1"/>
      <c r="B605" s="1"/>
      <c r="C605" s="1"/>
      <c r="D605" s="1"/>
      <c r="E605" s="1"/>
      <c r="F605" s="1"/>
      <c r="G605" s="1"/>
      <c r="H605" s="1"/>
      <c r="I605" s="1"/>
      <c r="J605" s="1"/>
      <c r="K605" s="1"/>
      <c r="L605" s="1"/>
      <c r="M605" s="1"/>
      <c r="N605" s="1"/>
      <c r="O605" s="1"/>
      <c r="P605" s="1"/>
      <c r="Q605" s="1"/>
      <c r="R605" s="1"/>
      <c r="S605" s="1"/>
      <c r="T605" s="1"/>
      <c r="U605" s="2"/>
      <c r="V605" s="1"/>
      <c r="W605" s="1"/>
      <c r="X605" s="1"/>
      <c r="Y605" s="1"/>
      <c r="Z605" s="1"/>
    </row>
    <row r="606" spans="1:26" ht="24.75" customHeight="1">
      <c r="A606" s="1"/>
      <c r="B606" s="1"/>
      <c r="C606" s="1"/>
      <c r="D606" s="1"/>
      <c r="E606" s="1"/>
      <c r="F606" s="1"/>
      <c r="G606" s="1"/>
      <c r="H606" s="1"/>
      <c r="I606" s="1"/>
      <c r="J606" s="1"/>
      <c r="K606" s="1"/>
      <c r="L606" s="1"/>
      <c r="M606" s="1"/>
      <c r="N606" s="1"/>
      <c r="O606" s="1"/>
      <c r="P606" s="1"/>
      <c r="Q606" s="1"/>
      <c r="R606" s="1"/>
      <c r="S606" s="1"/>
      <c r="T606" s="1"/>
      <c r="U606" s="2"/>
      <c r="V606" s="1"/>
      <c r="W606" s="1"/>
      <c r="X606" s="1"/>
      <c r="Y606" s="1"/>
      <c r="Z606" s="1"/>
    </row>
    <row r="607" spans="1:26" ht="24.75" customHeight="1">
      <c r="A607" s="1"/>
      <c r="B607" s="1"/>
      <c r="C607" s="1"/>
      <c r="D607" s="1"/>
      <c r="E607" s="1"/>
      <c r="F607" s="1"/>
      <c r="G607" s="1"/>
      <c r="H607" s="1"/>
      <c r="I607" s="1"/>
      <c r="J607" s="1"/>
      <c r="K607" s="1"/>
      <c r="L607" s="1"/>
      <c r="M607" s="1"/>
      <c r="N607" s="1"/>
      <c r="O607" s="1"/>
      <c r="P607" s="1"/>
      <c r="Q607" s="1"/>
      <c r="R607" s="1"/>
      <c r="S607" s="1"/>
      <c r="T607" s="1"/>
      <c r="U607" s="2"/>
      <c r="V607" s="1"/>
      <c r="W607" s="1"/>
      <c r="X607" s="1"/>
      <c r="Y607" s="1"/>
      <c r="Z607" s="1"/>
    </row>
    <row r="608" spans="1:26" ht="24.75" customHeight="1">
      <c r="A608" s="1"/>
      <c r="B608" s="1"/>
      <c r="C608" s="1"/>
      <c r="D608" s="1"/>
      <c r="E608" s="1"/>
      <c r="F608" s="1"/>
      <c r="G608" s="1"/>
      <c r="H608" s="1"/>
      <c r="I608" s="1"/>
      <c r="J608" s="1"/>
      <c r="K608" s="1"/>
      <c r="L608" s="1"/>
      <c r="M608" s="1"/>
      <c r="N608" s="1"/>
      <c r="O608" s="1"/>
      <c r="P608" s="1"/>
      <c r="Q608" s="1"/>
      <c r="R608" s="1"/>
      <c r="S608" s="1"/>
      <c r="T608" s="1"/>
      <c r="U608" s="2"/>
      <c r="V608" s="1"/>
      <c r="W608" s="1"/>
      <c r="X608" s="1"/>
      <c r="Y608" s="1"/>
      <c r="Z608" s="1"/>
    </row>
    <row r="609" spans="1:26" ht="24.75" customHeight="1">
      <c r="A609" s="1"/>
      <c r="B609" s="1"/>
      <c r="C609" s="1"/>
      <c r="D609" s="1"/>
      <c r="E609" s="1"/>
      <c r="F609" s="1"/>
      <c r="G609" s="1"/>
      <c r="H609" s="1"/>
      <c r="I609" s="1"/>
      <c r="J609" s="1"/>
      <c r="K609" s="1"/>
      <c r="L609" s="1"/>
      <c r="M609" s="1"/>
      <c r="N609" s="1"/>
      <c r="O609" s="1"/>
      <c r="P609" s="1"/>
      <c r="Q609" s="1"/>
      <c r="R609" s="1"/>
      <c r="S609" s="1"/>
      <c r="T609" s="1"/>
      <c r="U609" s="2"/>
      <c r="V609" s="1"/>
      <c r="W609" s="1"/>
      <c r="X609" s="1"/>
      <c r="Y609" s="1"/>
      <c r="Z609" s="1"/>
    </row>
    <row r="610" spans="1:26" ht="24.75" customHeight="1">
      <c r="A610" s="1"/>
      <c r="B610" s="1"/>
      <c r="C610" s="1"/>
      <c r="D610" s="1"/>
      <c r="E610" s="1"/>
      <c r="F610" s="1"/>
      <c r="G610" s="1"/>
      <c r="H610" s="1"/>
      <c r="I610" s="1"/>
      <c r="J610" s="1"/>
      <c r="K610" s="1"/>
      <c r="L610" s="1"/>
      <c r="M610" s="1"/>
      <c r="N610" s="1"/>
      <c r="O610" s="1"/>
      <c r="P610" s="1"/>
      <c r="Q610" s="1"/>
      <c r="R610" s="1"/>
      <c r="S610" s="1"/>
      <c r="T610" s="1"/>
      <c r="U610" s="2"/>
      <c r="V610" s="1"/>
      <c r="W610" s="1"/>
      <c r="X610" s="1"/>
      <c r="Y610" s="1"/>
      <c r="Z610" s="1"/>
    </row>
    <row r="611" spans="1:26" ht="24.75" customHeight="1">
      <c r="A611" s="1"/>
      <c r="B611" s="1"/>
      <c r="C611" s="1"/>
      <c r="D611" s="1"/>
      <c r="E611" s="1"/>
      <c r="F611" s="1"/>
      <c r="G611" s="1"/>
      <c r="H611" s="1"/>
      <c r="I611" s="1"/>
      <c r="J611" s="1"/>
      <c r="K611" s="1"/>
      <c r="L611" s="1"/>
      <c r="M611" s="1"/>
      <c r="N611" s="1"/>
      <c r="O611" s="1"/>
      <c r="P611" s="1"/>
      <c r="Q611" s="1"/>
      <c r="R611" s="1"/>
      <c r="S611" s="1"/>
      <c r="T611" s="1"/>
      <c r="U611" s="2"/>
      <c r="V611" s="1"/>
      <c r="W611" s="1"/>
      <c r="X611" s="1"/>
      <c r="Y611" s="1"/>
      <c r="Z611" s="1"/>
    </row>
    <row r="612" spans="1:26" ht="24.75" customHeight="1">
      <c r="A612" s="1"/>
      <c r="B612" s="1"/>
      <c r="C612" s="1"/>
      <c r="D612" s="1"/>
      <c r="E612" s="1"/>
      <c r="F612" s="1"/>
      <c r="G612" s="1"/>
      <c r="H612" s="1"/>
      <c r="I612" s="1"/>
      <c r="J612" s="1"/>
      <c r="K612" s="1"/>
      <c r="L612" s="1"/>
      <c r="M612" s="1"/>
      <c r="N612" s="1"/>
      <c r="O612" s="1"/>
      <c r="P612" s="1"/>
      <c r="Q612" s="1"/>
      <c r="R612" s="1"/>
      <c r="S612" s="1"/>
      <c r="T612" s="1"/>
      <c r="U612" s="2"/>
      <c r="V612" s="1"/>
      <c r="W612" s="1"/>
      <c r="X612" s="1"/>
      <c r="Y612" s="1"/>
      <c r="Z612" s="1"/>
    </row>
    <row r="613" spans="1:26" ht="24.75" customHeight="1">
      <c r="A613" s="1"/>
      <c r="B613" s="1"/>
      <c r="C613" s="1"/>
      <c r="D613" s="1"/>
      <c r="E613" s="1"/>
      <c r="F613" s="1"/>
      <c r="G613" s="1"/>
      <c r="H613" s="1"/>
      <c r="I613" s="1"/>
      <c r="J613" s="1"/>
      <c r="K613" s="1"/>
      <c r="L613" s="1"/>
      <c r="M613" s="1"/>
      <c r="N613" s="1"/>
      <c r="O613" s="1"/>
      <c r="P613" s="1"/>
      <c r="Q613" s="1"/>
      <c r="R613" s="1"/>
      <c r="S613" s="1"/>
      <c r="T613" s="1"/>
      <c r="U613" s="2"/>
      <c r="V613" s="1"/>
      <c r="W613" s="1"/>
      <c r="X613" s="1"/>
      <c r="Y613" s="1"/>
      <c r="Z613" s="1"/>
    </row>
    <row r="614" spans="1:26" ht="24.75" customHeight="1">
      <c r="A614" s="1"/>
      <c r="B614" s="1"/>
      <c r="C614" s="1"/>
      <c r="D614" s="1"/>
      <c r="E614" s="1"/>
      <c r="F614" s="1"/>
      <c r="G614" s="1"/>
      <c r="H614" s="1"/>
      <c r="I614" s="1"/>
      <c r="J614" s="1"/>
      <c r="K614" s="1"/>
      <c r="L614" s="1"/>
      <c r="M614" s="1"/>
      <c r="N614" s="1"/>
      <c r="O614" s="1"/>
      <c r="P614" s="1"/>
      <c r="Q614" s="1"/>
      <c r="R614" s="1"/>
      <c r="S614" s="1"/>
      <c r="T614" s="1"/>
      <c r="U614" s="2"/>
      <c r="V614" s="1"/>
      <c r="W614" s="1"/>
      <c r="X614" s="1"/>
      <c r="Y614" s="1"/>
      <c r="Z614" s="1"/>
    </row>
    <row r="615" spans="1:26" ht="24.75" customHeight="1">
      <c r="A615" s="1"/>
      <c r="B615" s="1"/>
      <c r="C615" s="1"/>
      <c r="D615" s="1"/>
      <c r="E615" s="1"/>
      <c r="F615" s="1"/>
      <c r="G615" s="1"/>
      <c r="H615" s="1"/>
      <c r="I615" s="1"/>
      <c r="J615" s="1"/>
      <c r="K615" s="1"/>
      <c r="L615" s="1"/>
      <c r="M615" s="1"/>
      <c r="N615" s="1"/>
      <c r="O615" s="1"/>
      <c r="P615" s="1"/>
      <c r="Q615" s="1"/>
      <c r="R615" s="1"/>
      <c r="S615" s="1"/>
      <c r="T615" s="1"/>
      <c r="U615" s="2"/>
      <c r="V615" s="1"/>
      <c r="W615" s="1"/>
      <c r="X615" s="1"/>
      <c r="Y615" s="1"/>
      <c r="Z615" s="1"/>
    </row>
    <row r="616" spans="1:26" ht="24.75" customHeight="1">
      <c r="A616" s="1"/>
      <c r="B616" s="1"/>
      <c r="C616" s="1"/>
      <c r="D616" s="1"/>
      <c r="E616" s="1"/>
      <c r="F616" s="1"/>
      <c r="G616" s="1"/>
      <c r="H616" s="1"/>
      <c r="I616" s="1"/>
      <c r="J616" s="1"/>
      <c r="K616" s="1"/>
      <c r="L616" s="1"/>
      <c r="M616" s="1"/>
      <c r="N616" s="1"/>
      <c r="O616" s="1"/>
      <c r="P616" s="1"/>
      <c r="Q616" s="1"/>
      <c r="R616" s="1"/>
      <c r="S616" s="1"/>
      <c r="T616" s="1"/>
      <c r="U616" s="2"/>
      <c r="V616" s="1"/>
      <c r="W616" s="1"/>
      <c r="X616" s="1"/>
      <c r="Y616" s="1"/>
      <c r="Z616" s="1"/>
    </row>
    <row r="617" spans="1:26" ht="24.75" customHeight="1">
      <c r="A617" s="1"/>
      <c r="B617" s="1"/>
      <c r="C617" s="1"/>
      <c r="D617" s="1"/>
      <c r="E617" s="1"/>
      <c r="F617" s="1"/>
      <c r="G617" s="1"/>
      <c r="H617" s="1"/>
      <c r="I617" s="1"/>
      <c r="J617" s="1"/>
      <c r="K617" s="1"/>
      <c r="L617" s="1"/>
      <c r="M617" s="1"/>
      <c r="N617" s="1"/>
      <c r="O617" s="1"/>
      <c r="P617" s="1"/>
      <c r="Q617" s="1"/>
      <c r="R617" s="1"/>
      <c r="S617" s="1"/>
      <c r="T617" s="1"/>
      <c r="U617" s="2"/>
      <c r="V617" s="1"/>
      <c r="W617" s="1"/>
      <c r="X617" s="1"/>
      <c r="Y617" s="1"/>
      <c r="Z617" s="1"/>
    </row>
    <row r="618" spans="1:26" ht="24.75" customHeight="1">
      <c r="A618" s="1"/>
      <c r="B618" s="1"/>
      <c r="C618" s="1"/>
      <c r="D618" s="1"/>
      <c r="E618" s="1"/>
      <c r="F618" s="1"/>
      <c r="G618" s="1"/>
      <c r="H618" s="1"/>
      <c r="I618" s="1"/>
      <c r="J618" s="1"/>
      <c r="K618" s="1"/>
      <c r="L618" s="1"/>
      <c r="M618" s="1"/>
      <c r="N618" s="1"/>
      <c r="O618" s="1"/>
      <c r="P618" s="1"/>
      <c r="Q618" s="1"/>
      <c r="R618" s="1"/>
      <c r="S618" s="1"/>
      <c r="T618" s="1"/>
      <c r="U618" s="2"/>
      <c r="V618" s="1"/>
      <c r="W618" s="1"/>
      <c r="X618" s="1"/>
      <c r="Y618" s="1"/>
      <c r="Z618" s="1"/>
    </row>
    <row r="619" spans="1:26" ht="24.75" customHeight="1">
      <c r="A619" s="1"/>
      <c r="B619" s="1"/>
      <c r="C619" s="1"/>
      <c r="D619" s="1"/>
      <c r="E619" s="1"/>
      <c r="F619" s="1"/>
      <c r="G619" s="1"/>
      <c r="H619" s="1"/>
      <c r="I619" s="1"/>
      <c r="J619" s="1"/>
      <c r="K619" s="1"/>
      <c r="L619" s="1"/>
      <c r="M619" s="1"/>
      <c r="N619" s="1"/>
      <c r="O619" s="1"/>
      <c r="P619" s="1"/>
      <c r="Q619" s="1"/>
      <c r="R619" s="1"/>
      <c r="S619" s="1"/>
      <c r="T619" s="1"/>
      <c r="U619" s="2"/>
      <c r="V619" s="1"/>
      <c r="W619" s="1"/>
      <c r="X619" s="1"/>
      <c r="Y619" s="1"/>
      <c r="Z619" s="1"/>
    </row>
    <row r="620" spans="1:26" ht="24.75" customHeight="1">
      <c r="A620" s="1"/>
      <c r="B620" s="1"/>
      <c r="C620" s="1"/>
      <c r="D620" s="1"/>
      <c r="E620" s="1"/>
      <c r="F620" s="1"/>
      <c r="G620" s="1"/>
      <c r="H620" s="1"/>
      <c r="I620" s="1"/>
      <c r="J620" s="1"/>
      <c r="K620" s="1"/>
      <c r="L620" s="1"/>
      <c r="M620" s="1"/>
      <c r="N620" s="1"/>
      <c r="O620" s="1"/>
      <c r="P620" s="1"/>
      <c r="Q620" s="1"/>
      <c r="R620" s="1"/>
      <c r="S620" s="1"/>
      <c r="T620" s="1"/>
      <c r="U620" s="2"/>
      <c r="V620" s="1"/>
      <c r="W620" s="1"/>
      <c r="X620" s="1"/>
      <c r="Y620" s="1"/>
      <c r="Z620" s="1"/>
    </row>
    <row r="621" spans="1:26" ht="24.75" customHeight="1">
      <c r="A621" s="1"/>
      <c r="B621" s="1"/>
      <c r="C621" s="1"/>
      <c r="D621" s="1"/>
      <c r="E621" s="1"/>
      <c r="F621" s="1"/>
      <c r="G621" s="1"/>
      <c r="H621" s="1"/>
      <c r="I621" s="1"/>
      <c r="J621" s="1"/>
      <c r="K621" s="1"/>
      <c r="L621" s="1"/>
      <c r="M621" s="1"/>
      <c r="N621" s="1"/>
      <c r="O621" s="1"/>
      <c r="P621" s="1"/>
      <c r="Q621" s="1"/>
      <c r="R621" s="1"/>
      <c r="S621" s="1"/>
      <c r="T621" s="1"/>
      <c r="U621" s="2"/>
      <c r="V621" s="1"/>
      <c r="W621" s="1"/>
      <c r="X621" s="1"/>
      <c r="Y621" s="1"/>
      <c r="Z621" s="1"/>
    </row>
    <row r="622" spans="1:26" ht="24.75" customHeight="1">
      <c r="A622" s="1"/>
      <c r="B622" s="1"/>
      <c r="C622" s="1"/>
      <c r="D622" s="1"/>
      <c r="E622" s="1"/>
      <c r="F622" s="1"/>
      <c r="G622" s="1"/>
      <c r="H622" s="1"/>
      <c r="I622" s="1"/>
      <c r="J622" s="1"/>
      <c r="K622" s="1"/>
      <c r="L622" s="1"/>
      <c r="M622" s="1"/>
      <c r="N622" s="1"/>
      <c r="O622" s="1"/>
      <c r="P622" s="1"/>
      <c r="Q622" s="1"/>
      <c r="R622" s="1"/>
      <c r="S622" s="1"/>
      <c r="T622" s="1"/>
      <c r="U622" s="2"/>
      <c r="V622" s="1"/>
      <c r="W622" s="1"/>
      <c r="X622" s="1"/>
      <c r="Y622" s="1"/>
      <c r="Z622" s="1"/>
    </row>
    <row r="623" spans="1:26" ht="24.75" customHeight="1">
      <c r="A623" s="1"/>
      <c r="B623" s="1"/>
      <c r="C623" s="1"/>
      <c r="D623" s="1"/>
      <c r="E623" s="1"/>
      <c r="F623" s="1"/>
      <c r="G623" s="1"/>
      <c r="H623" s="1"/>
      <c r="I623" s="1"/>
      <c r="J623" s="1"/>
      <c r="K623" s="1"/>
      <c r="L623" s="1"/>
      <c r="M623" s="1"/>
      <c r="N623" s="1"/>
      <c r="O623" s="1"/>
      <c r="P623" s="1"/>
      <c r="Q623" s="1"/>
      <c r="R623" s="1"/>
      <c r="S623" s="1"/>
      <c r="T623" s="1"/>
      <c r="U623" s="2"/>
      <c r="V623" s="1"/>
      <c r="W623" s="1"/>
      <c r="X623" s="1"/>
      <c r="Y623" s="1"/>
      <c r="Z623" s="1"/>
    </row>
    <row r="624" spans="1:26" ht="24.75" customHeight="1">
      <c r="A624" s="1"/>
      <c r="B624" s="1"/>
      <c r="C624" s="1"/>
      <c r="D624" s="1"/>
      <c r="E624" s="1"/>
      <c r="F624" s="1"/>
      <c r="G624" s="1"/>
      <c r="H624" s="1"/>
      <c r="I624" s="1"/>
      <c r="J624" s="1"/>
      <c r="K624" s="1"/>
      <c r="L624" s="1"/>
      <c r="M624" s="1"/>
      <c r="N624" s="1"/>
      <c r="O624" s="1"/>
      <c r="P624" s="1"/>
      <c r="Q624" s="1"/>
      <c r="R624" s="1"/>
      <c r="S624" s="1"/>
      <c r="T624" s="1"/>
      <c r="U624" s="2"/>
      <c r="V624" s="1"/>
      <c r="W624" s="1"/>
      <c r="X624" s="1"/>
      <c r="Y624" s="1"/>
      <c r="Z624" s="1"/>
    </row>
    <row r="625" spans="1:26" ht="24.75" customHeight="1">
      <c r="A625" s="1"/>
      <c r="B625" s="1"/>
      <c r="C625" s="1"/>
      <c r="D625" s="1"/>
      <c r="E625" s="1"/>
      <c r="F625" s="1"/>
      <c r="G625" s="1"/>
      <c r="H625" s="1"/>
      <c r="I625" s="1"/>
      <c r="J625" s="1"/>
      <c r="K625" s="1"/>
      <c r="L625" s="1"/>
      <c r="M625" s="1"/>
      <c r="N625" s="1"/>
      <c r="O625" s="1"/>
      <c r="P625" s="1"/>
      <c r="Q625" s="1"/>
      <c r="R625" s="1"/>
      <c r="S625" s="1"/>
      <c r="T625" s="1"/>
      <c r="U625" s="2"/>
      <c r="V625" s="1"/>
      <c r="W625" s="1"/>
      <c r="X625" s="1"/>
      <c r="Y625" s="1"/>
      <c r="Z625" s="1"/>
    </row>
    <row r="626" spans="1:26" ht="24.75" customHeight="1">
      <c r="A626" s="1"/>
      <c r="B626" s="1"/>
      <c r="C626" s="1"/>
      <c r="D626" s="1"/>
      <c r="E626" s="1"/>
      <c r="F626" s="1"/>
      <c r="G626" s="1"/>
      <c r="H626" s="1"/>
      <c r="I626" s="1"/>
      <c r="J626" s="1"/>
      <c r="K626" s="1"/>
      <c r="L626" s="1"/>
      <c r="M626" s="1"/>
      <c r="N626" s="1"/>
      <c r="O626" s="1"/>
      <c r="P626" s="1"/>
      <c r="Q626" s="1"/>
      <c r="R626" s="1"/>
      <c r="S626" s="1"/>
      <c r="T626" s="1"/>
      <c r="U626" s="2"/>
      <c r="V626" s="1"/>
      <c r="W626" s="1"/>
      <c r="X626" s="1"/>
      <c r="Y626" s="1"/>
      <c r="Z626" s="1"/>
    </row>
    <row r="627" spans="1:26" ht="24.75" customHeight="1">
      <c r="A627" s="1"/>
      <c r="B627" s="1"/>
      <c r="C627" s="1"/>
      <c r="D627" s="1"/>
      <c r="E627" s="1"/>
      <c r="F627" s="1"/>
      <c r="G627" s="1"/>
      <c r="H627" s="1"/>
      <c r="I627" s="1"/>
      <c r="J627" s="1"/>
      <c r="K627" s="1"/>
      <c r="L627" s="1"/>
      <c r="M627" s="1"/>
      <c r="N627" s="1"/>
      <c r="O627" s="1"/>
      <c r="P627" s="1"/>
      <c r="Q627" s="1"/>
      <c r="R627" s="1"/>
      <c r="S627" s="1"/>
      <c r="T627" s="1"/>
      <c r="U627" s="2"/>
      <c r="V627" s="1"/>
      <c r="W627" s="1"/>
      <c r="X627" s="1"/>
      <c r="Y627" s="1"/>
      <c r="Z627" s="1"/>
    </row>
    <row r="628" spans="1:26" ht="24.75" customHeight="1">
      <c r="A628" s="1"/>
      <c r="B628" s="1"/>
      <c r="C628" s="1"/>
      <c r="D628" s="1"/>
      <c r="E628" s="1"/>
      <c r="F628" s="1"/>
      <c r="G628" s="1"/>
      <c r="H628" s="1"/>
      <c r="I628" s="1"/>
      <c r="J628" s="1"/>
      <c r="K628" s="1"/>
      <c r="L628" s="1"/>
      <c r="M628" s="1"/>
      <c r="N628" s="1"/>
      <c r="O628" s="1"/>
      <c r="P628" s="1"/>
      <c r="Q628" s="1"/>
      <c r="R628" s="1"/>
      <c r="S628" s="1"/>
      <c r="T628" s="1"/>
      <c r="U628" s="2"/>
      <c r="V628" s="1"/>
      <c r="W628" s="1"/>
      <c r="X628" s="1"/>
      <c r="Y628" s="1"/>
      <c r="Z628" s="1"/>
    </row>
    <row r="629" spans="1:26" ht="24.75" customHeight="1">
      <c r="A629" s="1"/>
      <c r="B629" s="1"/>
      <c r="C629" s="1"/>
      <c r="D629" s="1"/>
      <c r="E629" s="1"/>
      <c r="F629" s="1"/>
      <c r="G629" s="1"/>
      <c r="H629" s="1"/>
      <c r="I629" s="1"/>
      <c r="J629" s="1"/>
      <c r="K629" s="1"/>
      <c r="L629" s="1"/>
      <c r="M629" s="1"/>
      <c r="N629" s="1"/>
      <c r="O629" s="1"/>
      <c r="P629" s="1"/>
      <c r="Q629" s="1"/>
      <c r="R629" s="1"/>
      <c r="S629" s="1"/>
      <c r="T629" s="1"/>
      <c r="U629" s="2"/>
      <c r="V629" s="1"/>
      <c r="W629" s="1"/>
      <c r="X629" s="1"/>
      <c r="Y629" s="1"/>
      <c r="Z629" s="1"/>
    </row>
    <row r="630" spans="1:26" ht="24.75" customHeight="1">
      <c r="A630" s="1"/>
      <c r="B630" s="1"/>
      <c r="C630" s="1"/>
      <c r="D630" s="1"/>
      <c r="E630" s="1"/>
      <c r="F630" s="1"/>
      <c r="G630" s="1"/>
      <c r="H630" s="1"/>
      <c r="I630" s="1"/>
      <c r="J630" s="1"/>
      <c r="K630" s="1"/>
      <c r="L630" s="1"/>
      <c r="M630" s="1"/>
      <c r="N630" s="1"/>
      <c r="O630" s="1"/>
      <c r="P630" s="1"/>
      <c r="Q630" s="1"/>
      <c r="R630" s="1"/>
      <c r="S630" s="1"/>
      <c r="T630" s="1"/>
      <c r="U630" s="2"/>
      <c r="V630" s="1"/>
      <c r="W630" s="1"/>
      <c r="X630" s="1"/>
      <c r="Y630" s="1"/>
      <c r="Z630" s="1"/>
    </row>
    <row r="631" spans="1:26" ht="24.75" customHeight="1">
      <c r="A631" s="1"/>
      <c r="B631" s="1"/>
      <c r="C631" s="1"/>
      <c r="D631" s="1"/>
      <c r="E631" s="1"/>
      <c r="F631" s="1"/>
      <c r="G631" s="1"/>
      <c r="H631" s="1"/>
      <c r="I631" s="1"/>
      <c r="J631" s="1"/>
      <c r="K631" s="1"/>
      <c r="L631" s="1"/>
      <c r="M631" s="1"/>
      <c r="N631" s="1"/>
      <c r="O631" s="1"/>
      <c r="P631" s="1"/>
      <c r="Q631" s="1"/>
      <c r="R631" s="1"/>
      <c r="S631" s="1"/>
      <c r="T631" s="1"/>
      <c r="U631" s="2"/>
      <c r="V631" s="1"/>
      <c r="W631" s="1"/>
      <c r="X631" s="1"/>
      <c r="Y631" s="1"/>
      <c r="Z631" s="1"/>
    </row>
    <row r="632" spans="1:26" ht="24.75" customHeight="1">
      <c r="A632" s="1"/>
      <c r="B632" s="1"/>
      <c r="C632" s="1"/>
      <c r="D632" s="1"/>
      <c r="E632" s="1"/>
      <c r="F632" s="1"/>
      <c r="G632" s="1"/>
      <c r="H632" s="1"/>
      <c r="I632" s="1"/>
      <c r="J632" s="1"/>
      <c r="K632" s="1"/>
      <c r="L632" s="1"/>
      <c r="M632" s="1"/>
      <c r="N632" s="1"/>
      <c r="O632" s="1"/>
      <c r="P632" s="1"/>
      <c r="Q632" s="1"/>
      <c r="R632" s="1"/>
      <c r="S632" s="1"/>
      <c r="T632" s="1"/>
      <c r="U632" s="2"/>
      <c r="V632" s="1"/>
      <c r="W632" s="1"/>
      <c r="X632" s="1"/>
      <c r="Y632" s="1"/>
      <c r="Z632" s="1"/>
    </row>
    <row r="633" spans="1:26" ht="24.75" customHeight="1">
      <c r="A633" s="1"/>
      <c r="B633" s="1"/>
      <c r="C633" s="1"/>
      <c r="D633" s="1"/>
      <c r="E633" s="1"/>
      <c r="F633" s="1"/>
      <c r="G633" s="1"/>
      <c r="H633" s="1"/>
      <c r="I633" s="1"/>
      <c r="J633" s="1"/>
      <c r="K633" s="1"/>
      <c r="L633" s="1"/>
      <c r="M633" s="1"/>
      <c r="N633" s="1"/>
      <c r="O633" s="1"/>
      <c r="P633" s="1"/>
      <c r="Q633" s="1"/>
      <c r="R633" s="1"/>
      <c r="S633" s="1"/>
      <c r="T633" s="1"/>
      <c r="U633" s="2"/>
      <c r="V633" s="1"/>
      <c r="W633" s="1"/>
      <c r="X633" s="1"/>
      <c r="Y633" s="1"/>
      <c r="Z633" s="1"/>
    </row>
    <row r="634" spans="1:26" ht="24.75" customHeight="1">
      <c r="A634" s="1"/>
      <c r="B634" s="1"/>
      <c r="C634" s="1"/>
      <c r="D634" s="1"/>
      <c r="E634" s="1"/>
      <c r="F634" s="1"/>
      <c r="G634" s="1"/>
      <c r="H634" s="1"/>
      <c r="I634" s="1"/>
      <c r="J634" s="1"/>
      <c r="K634" s="1"/>
      <c r="L634" s="1"/>
      <c r="M634" s="1"/>
      <c r="N634" s="1"/>
      <c r="O634" s="1"/>
      <c r="P634" s="1"/>
      <c r="Q634" s="1"/>
      <c r="R634" s="1"/>
      <c r="S634" s="1"/>
      <c r="T634" s="1"/>
      <c r="U634" s="2"/>
      <c r="V634" s="1"/>
      <c r="W634" s="1"/>
      <c r="X634" s="1"/>
      <c r="Y634" s="1"/>
      <c r="Z634" s="1"/>
    </row>
    <row r="635" spans="1:26" ht="24.75" customHeight="1">
      <c r="A635" s="1"/>
      <c r="B635" s="1"/>
      <c r="C635" s="1"/>
      <c r="D635" s="1"/>
      <c r="E635" s="1"/>
      <c r="F635" s="1"/>
      <c r="G635" s="1"/>
      <c r="H635" s="1"/>
      <c r="I635" s="1"/>
      <c r="J635" s="1"/>
      <c r="K635" s="1"/>
      <c r="L635" s="1"/>
      <c r="M635" s="1"/>
      <c r="N635" s="1"/>
      <c r="O635" s="1"/>
      <c r="P635" s="1"/>
      <c r="Q635" s="1"/>
      <c r="R635" s="1"/>
      <c r="S635" s="1"/>
      <c r="T635" s="1"/>
      <c r="U635" s="2"/>
      <c r="V635" s="1"/>
      <c r="W635" s="1"/>
      <c r="X635" s="1"/>
      <c r="Y635" s="1"/>
      <c r="Z635" s="1"/>
    </row>
    <row r="636" spans="1:26" ht="24.75" customHeight="1">
      <c r="A636" s="1"/>
      <c r="B636" s="1"/>
      <c r="C636" s="1"/>
      <c r="D636" s="1"/>
      <c r="E636" s="1"/>
      <c r="F636" s="1"/>
      <c r="G636" s="1"/>
      <c r="H636" s="1"/>
      <c r="I636" s="1"/>
      <c r="J636" s="1"/>
      <c r="K636" s="1"/>
      <c r="L636" s="1"/>
      <c r="M636" s="1"/>
      <c r="N636" s="1"/>
      <c r="O636" s="1"/>
      <c r="P636" s="1"/>
      <c r="Q636" s="1"/>
      <c r="R636" s="1"/>
      <c r="S636" s="1"/>
      <c r="T636" s="1"/>
      <c r="U636" s="2"/>
      <c r="V636" s="1"/>
      <c r="W636" s="1"/>
      <c r="X636" s="1"/>
      <c r="Y636" s="1"/>
      <c r="Z636" s="1"/>
    </row>
    <row r="637" spans="1:26" ht="24.75" customHeight="1">
      <c r="A637" s="1"/>
      <c r="B637" s="1"/>
      <c r="C637" s="1"/>
      <c r="D637" s="1"/>
      <c r="E637" s="1"/>
      <c r="F637" s="1"/>
      <c r="G637" s="1"/>
      <c r="H637" s="1"/>
      <c r="I637" s="1"/>
      <c r="J637" s="1"/>
      <c r="K637" s="1"/>
      <c r="L637" s="1"/>
      <c r="M637" s="1"/>
      <c r="N637" s="1"/>
      <c r="O637" s="1"/>
      <c r="P637" s="1"/>
      <c r="Q637" s="1"/>
      <c r="R637" s="1"/>
      <c r="S637" s="1"/>
      <c r="T637" s="1"/>
      <c r="U637" s="2"/>
      <c r="V637" s="1"/>
      <c r="W637" s="1"/>
      <c r="X637" s="1"/>
      <c r="Y637" s="1"/>
      <c r="Z637" s="1"/>
    </row>
    <row r="638" spans="1:26" ht="24.75" customHeight="1">
      <c r="A638" s="1"/>
      <c r="B638" s="1"/>
      <c r="C638" s="1"/>
      <c r="D638" s="1"/>
      <c r="E638" s="1"/>
      <c r="F638" s="1"/>
      <c r="G638" s="1"/>
      <c r="H638" s="1"/>
      <c r="I638" s="1"/>
      <c r="J638" s="1"/>
      <c r="K638" s="1"/>
      <c r="L638" s="1"/>
      <c r="M638" s="1"/>
      <c r="N638" s="1"/>
      <c r="O638" s="1"/>
      <c r="P638" s="1"/>
      <c r="Q638" s="1"/>
      <c r="R638" s="1"/>
      <c r="S638" s="1"/>
      <c r="T638" s="1"/>
      <c r="U638" s="2"/>
      <c r="V638" s="1"/>
      <c r="W638" s="1"/>
      <c r="X638" s="1"/>
      <c r="Y638" s="1"/>
      <c r="Z638" s="1"/>
    </row>
    <row r="639" spans="1:26" ht="24.75" customHeight="1">
      <c r="A639" s="1"/>
      <c r="B639" s="1"/>
      <c r="C639" s="1"/>
      <c r="D639" s="1"/>
      <c r="E639" s="1"/>
      <c r="F639" s="1"/>
      <c r="G639" s="1"/>
      <c r="H639" s="1"/>
      <c r="I639" s="1"/>
      <c r="J639" s="1"/>
      <c r="K639" s="1"/>
      <c r="L639" s="1"/>
      <c r="M639" s="1"/>
      <c r="N639" s="1"/>
      <c r="O639" s="1"/>
      <c r="P639" s="1"/>
      <c r="Q639" s="1"/>
      <c r="R639" s="1"/>
      <c r="S639" s="1"/>
      <c r="T639" s="1"/>
      <c r="U639" s="2"/>
      <c r="V639" s="1"/>
      <c r="W639" s="1"/>
      <c r="X639" s="1"/>
      <c r="Y639" s="1"/>
      <c r="Z639" s="1"/>
    </row>
    <row r="640" spans="1:26" ht="24.75" customHeight="1">
      <c r="A640" s="1"/>
      <c r="B640" s="1"/>
      <c r="C640" s="1"/>
      <c r="D640" s="1"/>
      <c r="E640" s="1"/>
      <c r="F640" s="1"/>
      <c r="G640" s="1"/>
      <c r="H640" s="1"/>
      <c r="I640" s="1"/>
      <c r="J640" s="1"/>
      <c r="K640" s="1"/>
      <c r="L640" s="1"/>
      <c r="M640" s="1"/>
      <c r="N640" s="1"/>
      <c r="O640" s="1"/>
      <c r="P640" s="1"/>
      <c r="Q640" s="1"/>
      <c r="R640" s="1"/>
      <c r="S640" s="1"/>
      <c r="T640" s="1"/>
      <c r="U640" s="2"/>
      <c r="V640" s="1"/>
      <c r="W640" s="1"/>
      <c r="X640" s="1"/>
      <c r="Y640" s="1"/>
      <c r="Z640" s="1"/>
    </row>
    <row r="641" spans="1:26" ht="24.75" customHeight="1">
      <c r="A641" s="1"/>
      <c r="B641" s="1"/>
      <c r="C641" s="1"/>
      <c r="D641" s="1"/>
      <c r="E641" s="1"/>
      <c r="F641" s="1"/>
      <c r="G641" s="1"/>
      <c r="H641" s="1"/>
      <c r="I641" s="1"/>
      <c r="J641" s="1"/>
      <c r="K641" s="1"/>
      <c r="L641" s="1"/>
      <c r="M641" s="1"/>
      <c r="N641" s="1"/>
      <c r="O641" s="1"/>
      <c r="P641" s="1"/>
      <c r="Q641" s="1"/>
      <c r="R641" s="1"/>
      <c r="S641" s="1"/>
      <c r="T641" s="1"/>
      <c r="U641" s="2"/>
      <c r="V641" s="1"/>
      <c r="W641" s="1"/>
      <c r="X641" s="1"/>
      <c r="Y641" s="1"/>
      <c r="Z641" s="1"/>
    </row>
    <row r="642" spans="1:26" ht="24.75" customHeight="1">
      <c r="A642" s="1"/>
      <c r="B642" s="1"/>
      <c r="C642" s="1"/>
      <c r="D642" s="1"/>
      <c r="E642" s="1"/>
      <c r="F642" s="1"/>
      <c r="G642" s="1"/>
      <c r="H642" s="1"/>
      <c r="I642" s="1"/>
      <c r="J642" s="1"/>
      <c r="K642" s="1"/>
      <c r="L642" s="1"/>
      <c r="M642" s="1"/>
      <c r="N642" s="1"/>
      <c r="O642" s="1"/>
      <c r="P642" s="1"/>
      <c r="Q642" s="1"/>
      <c r="R642" s="1"/>
      <c r="S642" s="1"/>
      <c r="T642" s="1"/>
      <c r="U642" s="2"/>
      <c r="V642" s="1"/>
      <c r="W642" s="1"/>
      <c r="X642" s="1"/>
      <c r="Y642" s="1"/>
      <c r="Z642" s="1"/>
    </row>
    <row r="643" spans="1:26" ht="24.75" customHeight="1">
      <c r="A643" s="1"/>
      <c r="B643" s="1"/>
      <c r="C643" s="1"/>
      <c r="D643" s="1"/>
      <c r="E643" s="1"/>
      <c r="F643" s="1"/>
      <c r="G643" s="1"/>
      <c r="H643" s="1"/>
      <c r="I643" s="1"/>
      <c r="J643" s="1"/>
      <c r="K643" s="1"/>
      <c r="L643" s="1"/>
      <c r="M643" s="1"/>
      <c r="N643" s="1"/>
      <c r="O643" s="1"/>
      <c r="P643" s="1"/>
      <c r="Q643" s="1"/>
      <c r="R643" s="1"/>
      <c r="S643" s="1"/>
      <c r="T643" s="1"/>
      <c r="U643" s="2"/>
      <c r="V643" s="1"/>
      <c r="W643" s="1"/>
      <c r="X643" s="1"/>
      <c r="Y643" s="1"/>
      <c r="Z643" s="1"/>
    </row>
    <row r="644" spans="1:26" ht="24.75" customHeight="1">
      <c r="A644" s="1"/>
      <c r="B644" s="1"/>
      <c r="C644" s="1"/>
      <c r="D644" s="1"/>
      <c r="E644" s="1"/>
      <c r="F644" s="1"/>
      <c r="G644" s="1"/>
      <c r="H644" s="1"/>
      <c r="I644" s="1"/>
      <c r="J644" s="1"/>
      <c r="K644" s="1"/>
      <c r="L644" s="1"/>
      <c r="M644" s="1"/>
      <c r="N644" s="1"/>
      <c r="O644" s="1"/>
      <c r="P644" s="1"/>
      <c r="Q644" s="1"/>
      <c r="R644" s="1"/>
      <c r="S644" s="1"/>
      <c r="T644" s="1"/>
      <c r="U644" s="2"/>
      <c r="V644" s="1"/>
      <c r="W644" s="1"/>
      <c r="X644" s="1"/>
      <c r="Y644" s="1"/>
      <c r="Z644" s="1"/>
    </row>
    <row r="645" spans="1:26" ht="24.75" customHeight="1">
      <c r="A645" s="1"/>
      <c r="B645" s="1"/>
      <c r="C645" s="1"/>
      <c r="D645" s="1"/>
      <c r="E645" s="1"/>
      <c r="F645" s="1"/>
      <c r="G645" s="1"/>
      <c r="H645" s="1"/>
      <c r="I645" s="1"/>
      <c r="J645" s="1"/>
      <c r="K645" s="1"/>
      <c r="L645" s="1"/>
      <c r="M645" s="1"/>
      <c r="N645" s="1"/>
      <c r="O645" s="1"/>
      <c r="P645" s="1"/>
      <c r="Q645" s="1"/>
      <c r="R645" s="1"/>
      <c r="S645" s="1"/>
      <c r="T645" s="1"/>
      <c r="U645" s="2"/>
      <c r="V645" s="1"/>
      <c r="W645" s="1"/>
      <c r="X645" s="1"/>
      <c r="Y645" s="1"/>
      <c r="Z645" s="1"/>
    </row>
    <row r="646" spans="1:26" ht="24.75" customHeight="1">
      <c r="A646" s="1"/>
      <c r="B646" s="1"/>
      <c r="C646" s="1"/>
      <c r="D646" s="1"/>
      <c r="E646" s="1"/>
      <c r="F646" s="1"/>
      <c r="G646" s="1"/>
      <c r="H646" s="1"/>
      <c r="I646" s="1"/>
      <c r="J646" s="1"/>
      <c r="K646" s="1"/>
      <c r="L646" s="1"/>
      <c r="M646" s="1"/>
      <c r="N646" s="1"/>
      <c r="O646" s="1"/>
      <c r="P646" s="1"/>
      <c r="Q646" s="1"/>
      <c r="R646" s="1"/>
      <c r="S646" s="1"/>
      <c r="T646" s="1"/>
      <c r="U646" s="2"/>
      <c r="V646" s="1"/>
      <c r="W646" s="1"/>
      <c r="X646" s="1"/>
      <c r="Y646" s="1"/>
      <c r="Z646" s="1"/>
    </row>
    <row r="647" spans="1:26" ht="24.75" customHeight="1">
      <c r="A647" s="1"/>
      <c r="B647" s="1"/>
      <c r="C647" s="1"/>
      <c r="D647" s="1"/>
      <c r="E647" s="1"/>
      <c r="F647" s="1"/>
      <c r="G647" s="1"/>
      <c r="H647" s="1"/>
      <c r="I647" s="1"/>
      <c r="J647" s="1"/>
      <c r="K647" s="1"/>
      <c r="L647" s="1"/>
      <c r="M647" s="1"/>
      <c r="N647" s="1"/>
      <c r="O647" s="1"/>
      <c r="P647" s="1"/>
      <c r="Q647" s="1"/>
      <c r="R647" s="1"/>
      <c r="S647" s="1"/>
      <c r="T647" s="1"/>
      <c r="U647" s="2"/>
      <c r="V647" s="1"/>
      <c r="W647" s="1"/>
      <c r="X647" s="1"/>
      <c r="Y647" s="1"/>
      <c r="Z647" s="1"/>
    </row>
    <row r="648" spans="1:26" ht="24.75" customHeight="1">
      <c r="A648" s="1"/>
      <c r="B648" s="1"/>
      <c r="C648" s="1"/>
      <c r="D648" s="1"/>
      <c r="E648" s="1"/>
      <c r="F648" s="1"/>
      <c r="G648" s="1"/>
      <c r="H648" s="1"/>
      <c r="I648" s="1"/>
      <c r="J648" s="1"/>
      <c r="K648" s="1"/>
      <c r="L648" s="1"/>
      <c r="M648" s="1"/>
      <c r="N648" s="1"/>
      <c r="O648" s="1"/>
      <c r="P648" s="1"/>
      <c r="Q648" s="1"/>
      <c r="R648" s="1"/>
      <c r="S648" s="1"/>
      <c r="T648" s="1"/>
      <c r="U648" s="2"/>
      <c r="V648" s="1"/>
      <c r="W648" s="1"/>
      <c r="X648" s="1"/>
      <c r="Y648" s="1"/>
      <c r="Z648" s="1"/>
    </row>
    <row r="649" spans="1:26" ht="24.75" customHeight="1">
      <c r="A649" s="1"/>
      <c r="B649" s="1"/>
      <c r="C649" s="1"/>
      <c r="D649" s="1"/>
      <c r="E649" s="1"/>
      <c r="F649" s="1"/>
      <c r="G649" s="1"/>
      <c r="H649" s="1"/>
      <c r="I649" s="1"/>
      <c r="J649" s="1"/>
      <c r="K649" s="1"/>
      <c r="L649" s="1"/>
      <c r="M649" s="1"/>
      <c r="N649" s="1"/>
      <c r="O649" s="1"/>
      <c r="P649" s="1"/>
      <c r="Q649" s="1"/>
      <c r="R649" s="1"/>
      <c r="S649" s="1"/>
      <c r="T649" s="1"/>
      <c r="U649" s="2"/>
      <c r="V649" s="1"/>
      <c r="W649" s="1"/>
      <c r="X649" s="1"/>
      <c r="Y649" s="1"/>
      <c r="Z649" s="1"/>
    </row>
    <row r="650" spans="1:26" ht="24.75" customHeight="1">
      <c r="A650" s="1"/>
      <c r="B650" s="1"/>
      <c r="C650" s="1"/>
      <c r="D650" s="1"/>
      <c r="E650" s="1"/>
      <c r="F650" s="1"/>
      <c r="G650" s="1"/>
      <c r="H650" s="1"/>
      <c r="I650" s="1"/>
      <c r="J650" s="1"/>
      <c r="K650" s="1"/>
      <c r="L650" s="1"/>
      <c r="M650" s="1"/>
      <c r="N650" s="1"/>
      <c r="O650" s="1"/>
      <c r="P650" s="1"/>
      <c r="Q650" s="1"/>
      <c r="R650" s="1"/>
      <c r="S650" s="1"/>
      <c r="T650" s="1"/>
      <c r="U650" s="2"/>
      <c r="V650" s="1"/>
      <c r="W650" s="1"/>
      <c r="X650" s="1"/>
      <c r="Y650" s="1"/>
      <c r="Z650" s="1"/>
    </row>
    <row r="651" spans="1:26" ht="24.75" customHeight="1">
      <c r="A651" s="1"/>
      <c r="B651" s="1"/>
      <c r="C651" s="1"/>
      <c r="D651" s="1"/>
      <c r="E651" s="1"/>
      <c r="F651" s="1"/>
      <c r="G651" s="1"/>
      <c r="H651" s="1"/>
      <c r="I651" s="1"/>
      <c r="J651" s="1"/>
      <c r="K651" s="1"/>
      <c r="L651" s="1"/>
      <c r="M651" s="1"/>
      <c r="N651" s="1"/>
      <c r="O651" s="1"/>
      <c r="P651" s="1"/>
      <c r="Q651" s="1"/>
      <c r="R651" s="1"/>
      <c r="S651" s="1"/>
      <c r="T651" s="1"/>
      <c r="U651" s="2"/>
      <c r="V651" s="1"/>
      <c r="W651" s="1"/>
      <c r="X651" s="1"/>
      <c r="Y651" s="1"/>
      <c r="Z651" s="1"/>
    </row>
    <row r="652" spans="1:26" ht="24.75" customHeight="1">
      <c r="A652" s="1"/>
      <c r="B652" s="1"/>
      <c r="C652" s="1"/>
      <c r="D652" s="1"/>
      <c r="E652" s="1"/>
      <c r="F652" s="1"/>
      <c r="G652" s="1"/>
      <c r="H652" s="1"/>
      <c r="I652" s="1"/>
      <c r="J652" s="1"/>
      <c r="K652" s="1"/>
      <c r="L652" s="1"/>
      <c r="M652" s="1"/>
      <c r="N652" s="1"/>
      <c r="O652" s="1"/>
      <c r="P652" s="1"/>
      <c r="Q652" s="1"/>
      <c r="R652" s="1"/>
      <c r="S652" s="1"/>
      <c r="T652" s="1"/>
      <c r="U652" s="2"/>
      <c r="V652" s="1"/>
      <c r="W652" s="1"/>
      <c r="X652" s="1"/>
      <c r="Y652" s="1"/>
      <c r="Z652" s="1"/>
    </row>
    <row r="653" spans="1:26" ht="24.75" customHeight="1">
      <c r="A653" s="1"/>
      <c r="B653" s="1"/>
      <c r="C653" s="1"/>
      <c r="D653" s="1"/>
      <c r="E653" s="1"/>
      <c r="F653" s="1"/>
      <c r="G653" s="1"/>
      <c r="H653" s="1"/>
      <c r="I653" s="1"/>
      <c r="J653" s="1"/>
      <c r="K653" s="1"/>
      <c r="L653" s="1"/>
      <c r="M653" s="1"/>
      <c r="N653" s="1"/>
      <c r="O653" s="1"/>
      <c r="P653" s="1"/>
      <c r="Q653" s="1"/>
      <c r="R653" s="1"/>
      <c r="S653" s="1"/>
      <c r="T653" s="1"/>
      <c r="U653" s="2"/>
      <c r="V653" s="1"/>
      <c r="W653" s="1"/>
      <c r="X653" s="1"/>
      <c r="Y653" s="1"/>
      <c r="Z653" s="1"/>
    </row>
    <row r="654" spans="1:26" ht="24.75" customHeight="1">
      <c r="A654" s="1"/>
      <c r="B654" s="1"/>
      <c r="C654" s="1"/>
      <c r="D654" s="1"/>
      <c r="E654" s="1"/>
      <c r="F654" s="1"/>
      <c r="G654" s="1"/>
      <c r="H654" s="1"/>
      <c r="I654" s="1"/>
      <c r="J654" s="1"/>
      <c r="K654" s="1"/>
      <c r="L654" s="1"/>
      <c r="M654" s="1"/>
      <c r="N654" s="1"/>
      <c r="O654" s="1"/>
      <c r="P654" s="1"/>
      <c r="Q654" s="1"/>
      <c r="R654" s="1"/>
      <c r="S654" s="1"/>
      <c r="T654" s="1"/>
      <c r="U654" s="2"/>
      <c r="V654" s="1"/>
      <c r="W654" s="1"/>
      <c r="X654" s="1"/>
      <c r="Y654" s="1"/>
      <c r="Z654" s="1"/>
    </row>
    <row r="655" spans="1:26" ht="24.75" customHeight="1">
      <c r="A655" s="1"/>
      <c r="B655" s="1"/>
      <c r="C655" s="1"/>
      <c r="D655" s="1"/>
      <c r="E655" s="1"/>
      <c r="F655" s="1"/>
      <c r="G655" s="1"/>
      <c r="H655" s="1"/>
      <c r="I655" s="1"/>
      <c r="J655" s="1"/>
      <c r="K655" s="1"/>
      <c r="L655" s="1"/>
      <c r="M655" s="1"/>
      <c r="N655" s="1"/>
      <c r="O655" s="1"/>
      <c r="P655" s="1"/>
      <c r="Q655" s="1"/>
      <c r="R655" s="1"/>
      <c r="S655" s="1"/>
      <c r="T655" s="1"/>
      <c r="U655" s="2"/>
      <c r="V655" s="1"/>
      <c r="W655" s="1"/>
      <c r="X655" s="1"/>
      <c r="Y655" s="1"/>
      <c r="Z655" s="1"/>
    </row>
    <row r="656" spans="1:26" ht="24.75" customHeight="1">
      <c r="A656" s="1"/>
      <c r="B656" s="1"/>
      <c r="C656" s="1"/>
      <c r="D656" s="1"/>
      <c r="E656" s="1"/>
      <c r="F656" s="1"/>
      <c r="G656" s="1"/>
      <c r="H656" s="1"/>
      <c r="I656" s="1"/>
      <c r="J656" s="1"/>
      <c r="K656" s="1"/>
      <c r="L656" s="1"/>
      <c r="M656" s="1"/>
      <c r="N656" s="1"/>
      <c r="O656" s="1"/>
      <c r="P656" s="1"/>
      <c r="Q656" s="1"/>
      <c r="R656" s="1"/>
      <c r="S656" s="1"/>
      <c r="T656" s="1"/>
      <c r="U656" s="2"/>
      <c r="V656" s="1"/>
      <c r="W656" s="1"/>
      <c r="X656" s="1"/>
      <c r="Y656" s="1"/>
      <c r="Z656" s="1"/>
    </row>
    <row r="657" spans="1:26" ht="24.75" customHeight="1">
      <c r="A657" s="1"/>
      <c r="B657" s="1"/>
      <c r="C657" s="1"/>
      <c r="D657" s="1"/>
      <c r="E657" s="1"/>
      <c r="F657" s="1"/>
      <c r="G657" s="1"/>
      <c r="H657" s="1"/>
      <c r="I657" s="1"/>
      <c r="J657" s="1"/>
      <c r="K657" s="1"/>
      <c r="L657" s="1"/>
      <c r="M657" s="1"/>
      <c r="N657" s="1"/>
      <c r="O657" s="1"/>
      <c r="P657" s="1"/>
      <c r="Q657" s="1"/>
      <c r="R657" s="1"/>
      <c r="S657" s="1"/>
      <c r="T657" s="1"/>
      <c r="U657" s="2"/>
      <c r="V657" s="1"/>
      <c r="W657" s="1"/>
      <c r="X657" s="1"/>
      <c r="Y657" s="1"/>
      <c r="Z657" s="1"/>
    </row>
    <row r="658" spans="1:26" ht="24.75" customHeight="1">
      <c r="A658" s="1"/>
      <c r="B658" s="1"/>
      <c r="C658" s="1"/>
      <c r="D658" s="1"/>
      <c r="E658" s="1"/>
      <c r="F658" s="1"/>
      <c r="G658" s="1"/>
      <c r="H658" s="1"/>
      <c r="I658" s="1"/>
      <c r="J658" s="1"/>
      <c r="K658" s="1"/>
      <c r="L658" s="1"/>
      <c r="M658" s="1"/>
      <c r="N658" s="1"/>
      <c r="O658" s="1"/>
      <c r="P658" s="1"/>
      <c r="Q658" s="1"/>
      <c r="R658" s="1"/>
      <c r="S658" s="1"/>
      <c r="T658" s="1"/>
      <c r="U658" s="2"/>
      <c r="V658" s="1"/>
      <c r="W658" s="1"/>
      <c r="X658" s="1"/>
      <c r="Y658" s="1"/>
      <c r="Z658" s="1"/>
    </row>
    <row r="659" spans="1:26" ht="24.75" customHeight="1">
      <c r="A659" s="1"/>
      <c r="B659" s="1"/>
      <c r="C659" s="1"/>
      <c r="D659" s="1"/>
      <c r="E659" s="1"/>
      <c r="F659" s="1"/>
      <c r="G659" s="1"/>
      <c r="H659" s="1"/>
      <c r="I659" s="1"/>
      <c r="J659" s="1"/>
      <c r="K659" s="1"/>
      <c r="L659" s="1"/>
      <c r="M659" s="1"/>
      <c r="N659" s="1"/>
      <c r="O659" s="1"/>
      <c r="P659" s="1"/>
      <c r="Q659" s="1"/>
      <c r="R659" s="1"/>
      <c r="S659" s="1"/>
      <c r="T659" s="1"/>
      <c r="U659" s="2"/>
      <c r="V659" s="1"/>
      <c r="W659" s="1"/>
      <c r="X659" s="1"/>
      <c r="Y659" s="1"/>
      <c r="Z659" s="1"/>
    </row>
    <row r="660" spans="1:26" ht="24.75" customHeight="1">
      <c r="A660" s="1"/>
      <c r="B660" s="1"/>
      <c r="C660" s="1"/>
      <c r="D660" s="1"/>
      <c r="E660" s="1"/>
      <c r="F660" s="1"/>
      <c r="G660" s="1"/>
      <c r="H660" s="1"/>
      <c r="I660" s="1"/>
      <c r="J660" s="1"/>
      <c r="K660" s="1"/>
      <c r="L660" s="1"/>
      <c r="M660" s="1"/>
      <c r="N660" s="1"/>
      <c r="O660" s="1"/>
      <c r="P660" s="1"/>
      <c r="Q660" s="1"/>
      <c r="R660" s="1"/>
      <c r="S660" s="1"/>
      <c r="T660" s="1"/>
      <c r="U660" s="2"/>
      <c r="V660" s="1"/>
      <c r="W660" s="1"/>
      <c r="X660" s="1"/>
      <c r="Y660" s="1"/>
      <c r="Z660" s="1"/>
    </row>
    <row r="661" spans="1:26" ht="24.75" customHeight="1">
      <c r="A661" s="1"/>
      <c r="B661" s="1"/>
      <c r="C661" s="1"/>
      <c r="D661" s="1"/>
      <c r="E661" s="1"/>
      <c r="F661" s="1"/>
      <c r="G661" s="1"/>
      <c r="H661" s="1"/>
      <c r="I661" s="1"/>
      <c r="J661" s="1"/>
      <c r="K661" s="1"/>
      <c r="L661" s="1"/>
      <c r="M661" s="1"/>
      <c r="N661" s="1"/>
      <c r="O661" s="1"/>
      <c r="P661" s="1"/>
      <c r="Q661" s="1"/>
      <c r="R661" s="1"/>
      <c r="S661" s="1"/>
      <c r="T661" s="1"/>
      <c r="U661" s="2"/>
      <c r="V661" s="1"/>
      <c r="W661" s="1"/>
      <c r="X661" s="1"/>
      <c r="Y661" s="1"/>
      <c r="Z661" s="1"/>
    </row>
    <row r="662" spans="1:26" ht="24.75" customHeight="1">
      <c r="A662" s="1"/>
      <c r="B662" s="1"/>
      <c r="C662" s="1"/>
      <c r="D662" s="1"/>
      <c r="E662" s="1"/>
      <c r="F662" s="1"/>
      <c r="G662" s="1"/>
      <c r="H662" s="1"/>
      <c r="I662" s="1"/>
      <c r="J662" s="1"/>
      <c r="K662" s="1"/>
      <c r="L662" s="1"/>
      <c r="M662" s="1"/>
      <c r="N662" s="1"/>
      <c r="O662" s="1"/>
      <c r="P662" s="1"/>
      <c r="Q662" s="1"/>
      <c r="R662" s="1"/>
      <c r="S662" s="1"/>
      <c r="T662" s="1"/>
      <c r="U662" s="2"/>
      <c r="V662" s="1"/>
      <c r="W662" s="1"/>
      <c r="X662" s="1"/>
      <c r="Y662" s="1"/>
      <c r="Z662" s="1"/>
    </row>
    <row r="663" spans="1:26" ht="24.75" customHeight="1">
      <c r="A663" s="1"/>
      <c r="B663" s="1"/>
      <c r="C663" s="1"/>
      <c r="D663" s="1"/>
      <c r="E663" s="1"/>
      <c r="F663" s="1"/>
      <c r="G663" s="1"/>
      <c r="H663" s="1"/>
      <c r="I663" s="1"/>
      <c r="J663" s="1"/>
      <c r="K663" s="1"/>
      <c r="L663" s="1"/>
      <c r="M663" s="1"/>
      <c r="N663" s="1"/>
      <c r="O663" s="1"/>
      <c r="P663" s="1"/>
      <c r="Q663" s="1"/>
      <c r="R663" s="1"/>
      <c r="S663" s="1"/>
      <c r="T663" s="1"/>
      <c r="U663" s="2"/>
      <c r="V663" s="1"/>
      <c r="W663" s="1"/>
      <c r="X663" s="1"/>
      <c r="Y663" s="1"/>
      <c r="Z663" s="1"/>
    </row>
    <row r="664" spans="1:26" ht="24.75" customHeight="1">
      <c r="A664" s="1"/>
      <c r="B664" s="1"/>
      <c r="C664" s="1"/>
      <c r="D664" s="1"/>
      <c r="E664" s="1"/>
      <c r="F664" s="1"/>
      <c r="G664" s="1"/>
      <c r="H664" s="1"/>
      <c r="I664" s="1"/>
      <c r="J664" s="1"/>
      <c r="K664" s="1"/>
      <c r="L664" s="1"/>
      <c r="M664" s="1"/>
      <c r="N664" s="1"/>
      <c r="O664" s="1"/>
      <c r="P664" s="1"/>
      <c r="Q664" s="1"/>
      <c r="R664" s="1"/>
      <c r="S664" s="1"/>
      <c r="T664" s="1"/>
      <c r="U664" s="2"/>
      <c r="V664" s="1"/>
      <c r="W664" s="1"/>
      <c r="X664" s="1"/>
      <c r="Y664" s="1"/>
      <c r="Z664" s="1"/>
    </row>
    <row r="665" spans="1:26" ht="24.75" customHeight="1">
      <c r="A665" s="1"/>
      <c r="B665" s="1"/>
      <c r="C665" s="1"/>
      <c r="D665" s="1"/>
      <c r="E665" s="1"/>
      <c r="F665" s="1"/>
      <c r="G665" s="1"/>
      <c r="H665" s="1"/>
      <c r="I665" s="1"/>
      <c r="J665" s="1"/>
      <c r="K665" s="1"/>
      <c r="L665" s="1"/>
      <c r="M665" s="1"/>
      <c r="N665" s="1"/>
      <c r="O665" s="1"/>
      <c r="P665" s="1"/>
      <c r="Q665" s="1"/>
      <c r="R665" s="1"/>
      <c r="S665" s="1"/>
      <c r="T665" s="1"/>
      <c r="U665" s="2"/>
      <c r="V665" s="1"/>
      <c r="W665" s="1"/>
      <c r="X665" s="1"/>
      <c r="Y665" s="1"/>
      <c r="Z665" s="1"/>
    </row>
    <row r="666" spans="1:26" ht="24.75" customHeight="1">
      <c r="A666" s="1"/>
      <c r="B666" s="1"/>
      <c r="C666" s="1"/>
      <c r="D666" s="1"/>
      <c r="E666" s="1"/>
      <c r="F666" s="1"/>
      <c r="G666" s="1"/>
      <c r="H666" s="1"/>
      <c r="I666" s="1"/>
      <c r="J666" s="1"/>
      <c r="K666" s="1"/>
      <c r="L666" s="1"/>
      <c r="M666" s="1"/>
      <c r="N666" s="1"/>
      <c r="O666" s="1"/>
      <c r="P666" s="1"/>
      <c r="Q666" s="1"/>
      <c r="R666" s="1"/>
      <c r="S666" s="1"/>
      <c r="T666" s="1"/>
      <c r="U666" s="2"/>
      <c r="V666" s="1"/>
      <c r="W666" s="1"/>
      <c r="X666" s="1"/>
      <c r="Y666" s="1"/>
      <c r="Z666" s="1"/>
    </row>
    <row r="667" spans="1:26" ht="24.75" customHeight="1">
      <c r="A667" s="1"/>
      <c r="B667" s="1"/>
      <c r="C667" s="1"/>
      <c r="D667" s="1"/>
      <c r="E667" s="1"/>
      <c r="F667" s="1"/>
      <c r="G667" s="1"/>
      <c r="H667" s="1"/>
      <c r="I667" s="1"/>
      <c r="J667" s="1"/>
      <c r="K667" s="1"/>
      <c r="L667" s="1"/>
      <c r="M667" s="1"/>
      <c r="N667" s="1"/>
      <c r="O667" s="1"/>
      <c r="P667" s="1"/>
      <c r="Q667" s="1"/>
      <c r="R667" s="1"/>
      <c r="S667" s="1"/>
      <c r="T667" s="1"/>
      <c r="U667" s="2"/>
      <c r="V667" s="1"/>
      <c r="W667" s="1"/>
      <c r="X667" s="1"/>
      <c r="Y667" s="1"/>
      <c r="Z667" s="1"/>
    </row>
    <row r="668" spans="1:26" ht="24.75" customHeight="1">
      <c r="A668" s="1"/>
      <c r="B668" s="1"/>
      <c r="C668" s="1"/>
      <c r="D668" s="1"/>
      <c r="E668" s="1"/>
      <c r="F668" s="1"/>
      <c r="G668" s="1"/>
      <c r="H668" s="1"/>
      <c r="I668" s="1"/>
      <c r="J668" s="1"/>
      <c r="K668" s="1"/>
      <c r="L668" s="1"/>
      <c r="M668" s="1"/>
      <c r="N668" s="1"/>
      <c r="O668" s="1"/>
      <c r="P668" s="1"/>
      <c r="Q668" s="1"/>
      <c r="R668" s="1"/>
      <c r="S668" s="1"/>
      <c r="T668" s="1"/>
      <c r="U668" s="2"/>
      <c r="V668" s="1"/>
      <c r="W668" s="1"/>
      <c r="X668" s="1"/>
      <c r="Y668" s="1"/>
      <c r="Z668" s="1"/>
    </row>
    <row r="669" spans="1:26" ht="24.75" customHeight="1">
      <c r="A669" s="1"/>
      <c r="B669" s="1"/>
      <c r="C669" s="1"/>
      <c r="D669" s="1"/>
      <c r="E669" s="1"/>
      <c r="F669" s="1"/>
      <c r="G669" s="1"/>
      <c r="H669" s="1"/>
      <c r="I669" s="1"/>
      <c r="J669" s="1"/>
      <c r="K669" s="1"/>
      <c r="L669" s="1"/>
      <c r="M669" s="1"/>
      <c r="N669" s="1"/>
      <c r="O669" s="1"/>
      <c r="P669" s="1"/>
      <c r="Q669" s="1"/>
      <c r="R669" s="1"/>
      <c r="S669" s="1"/>
      <c r="T669" s="1"/>
      <c r="U669" s="2"/>
      <c r="V669" s="1"/>
      <c r="W669" s="1"/>
      <c r="X669" s="1"/>
      <c r="Y669" s="1"/>
      <c r="Z669" s="1"/>
    </row>
    <row r="670" spans="1:26" ht="24.75" customHeight="1">
      <c r="A670" s="1"/>
      <c r="B670" s="1"/>
      <c r="C670" s="1"/>
      <c r="D670" s="1"/>
      <c r="E670" s="1"/>
      <c r="F670" s="1"/>
      <c r="G670" s="1"/>
      <c r="H670" s="1"/>
      <c r="I670" s="1"/>
      <c r="J670" s="1"/>
      <c r="K670" s="1"/>
      <c r="L670" s="1"/>
      <c r="M670" s="1"/>
      <c r="N670" s="1"/>
      <c r="O670" s="1"/>
      <c r="P670" s="1"/>
      <c r="Q670" s="1"/>
      <c r="R670" s="1"/>
      <c r="S670" s="1"/>
      <c r="T670" s="1"/>
      <c r="U670" s="2"/>
      <c r="V670" s="1"/>
      <c r="W670" s="1"/>
      <c r="X670" s="1"/>
      <c r="Y670" s="1"/>
      <c r="Z670" s="1"/>
    </row>
    <row r="671" spans="1:26" ht="24.75" customHeight="1">
      <c r="A671" s="1"/>
      <c r="B671" s="1"/>
      <c r="C671" s="1"/>
      <c r="D671" s="1"/>
      <c r="E671" s="1"/>
      <c r="F671" s="1"/>
      <c r="G671" s="1"/>
      <c r="H671" s="1"/>
      <c r="I671" s="1"/>
      <c r="J671" s="1"/>
      <c r="K671" s="1"/>
      <c r="L671" s="1"/>
      <c r="M671" s="1"/>
      <c r="N671" s="1"/>
      <c r="O671" s="1"/>
      <c r="P671" s="1"/>
      <c r="Q671" s="1"/>
      <c r="R671" s="1"/>
      <c r="S671" s="1"/>
      <c r="T671" s="1"/>
      <c r="U671" s="2"/>
      <c r="V671" s="1"/>
      <c r="W671" s="1"/>
      <c r="X671" s="1"/>
      <c r="Y671" s="1"/>
      <c r="Z671" s="1"/>
    </row>
    <row r="672" spans="1:26" ht="24.75" customHeight="1">
      <c r="A672" s="1"/>
      <c r="B672" s="1"/>
      <c r="C672" s="1"/>
      <c r="D672" s="1"/>
      <c r="E672" s="1"/>
      <c r="F672" s="1"/>
      <c r="G672" s="1"/>
      <c r="H672" s="1"/>
      <c r="I672" s="1"/>
      <c r="J672" s="1"/>
      <c r="K672" s="1"/>
      <c r="L672" s="1"/>
      <c r="M672" s="1"/>
      <c r="N672" s="1"/>
      <c r="O672" s="1"/>
      <c r="P672" s="1"/>
      <c r="Q672" s="1"/>
      <c r="R672" s="1"/>
      <c r="S672" s="1"/>
      <c r="T672" s="1"/>
      <c r="U672" s="2"/>
      <c r="V672" s="1"/>
      <c r="W672" s="1"/>
      <c r="X672" s="1"/>
      <c r="Y672" s="1"/>
      <c r="Z672" s="1"/>
    </row>
    <row r="673" spans="1:26" ht="24.75" customHeight="1">
      <c r="A673" s="1"/>
      <c r="B673" s="1"/>
      <c r="C673" s="1"/>
      <c r="D673" s="1"/>
      <c r="E673" s="1"/>
      <c r="F673" s="1"/>
      <c r="G673" s="1"/>
      <c r="H673" s="1"/>
      <c r="I673" s="1"/>
      <c r="J673" s="1"/>
      <c r="K673" s="1"/>
      <c r="L673" s="1"/>
      <c r="M673" s="1"/>
      <c r="N673" s="1"/>
      <c r="O673" s="1"/>
      <c r="P673" s="1"/>
      <c r="Q673" s="1"/>
      <c r="R673" s="1"/>
      <c r="S673" s="1"/>
      <c r="T673" s="1"/>
      <c r="U673" s="2"/>
      <c r="V673" s="1"/>
      <c r="W673" s="1"/>
      <c r="X673" s="1"/>
      <c r="Y673" s="1"/>
      <c r="Z673" s="1"/>
    </row>
    <row r="674" spans="1:26" ht="24.75" customHeight="1">
      <c r="A674" s="1"/>
      <c r="B674" s="1"/>
      <c r="C674" s="1"/>
      <c r="D674" s="1"/>
      <c r="E674" s="1"/>
      <c r="F674" s="1"/>
      <c r="G674" s="1"/>
      <c r="H674" s="1"/>
      <c r="I674" s="1"/>
      <c r="J674" s="1"/>
      <c r="K674" s="1"/>
      <c r="L674" s="1"/>
      <c r="M674" s="1"/>
      <c r="N674" s="1"/>
      <c r="O674" s="1"/>
      <c r="P674" s="1"/>
      <c r="Q674" s="1"/>
      <c r="R674" s="1"/>
      <c r="S674" s="1"/>
      <c r="T674" s="1"/>
      <c r="U674" s="2"/>
      <c r="V674" s="1"/>
      <c r="W674" s="1"/>
      <c r="X674" s="1"/>
      <c r="Y674" s="1"/>
      <c r="Z674" s="1"/>
    </row>
    <row r="675" spans="1:26" ht="24.75" customHeight="1">
      <c r="A675" s="1"/>
      <c r="B675" s="1"/>
      <c r="C675" s="1"/>
      <c r="D675" s="1"/>
      <c r="E675" s="1"/>
      <c r="F675" s="1"/>
      <c r="G675" s="1"/>
      <c r="H675" s="1"/>
      <c r="I675" s="1"/>
      <c r="J675" s="1"/>
      <c r="K675" s="1"/>
      <c r="L675" s="1"/>
      <c r="M675" s="1"/>
      <c r="N675" s="1"/>
      <c r="O675" s="1"/>
      <c r="P675" s="1"/>
      <c r="Q675" s="1"/>
      <c r="R675" s="1"/>
      <c r="S675" s="1"/>
      <c r="T675" s="1"/>
      <c r="U675" s="2"/>
      <c r="V675" s="1"/>
      <c r="W675" s="1"/>
      <c r="X675" s="1"/>
      <c r="Y675" s="1"/>
      <c r="Z675" s="1"/>
    </row>
    <row r="676" spans="1:26" ht="24.75" customHeight="1">
      <c r="A676" s="1"/>
      <c r="B676" s="1"/>
      <c r="C676" s="1"/>
      <c r="D676" s="1"/>
      <c r="E676" s="1"/>
      <c r="F676" s="1"/>
      <c r="G676" s="1"/>
      <c r="H676" s="1"/>
      <c r="I676" s="1"/>
      <c r="J676" s="1"/>
      <c r="K676" s="1"/>
      <c r="L676" s="1"/>
      <c r="M676" s="1"/>
      <c r="N676" s="1"/>
      <c r="O676" s="1"/>
      <c r="P676" s="1"/>
      <c r="Q676" s="1"/>
      <c r="R676" s="1"/>
      <c r="S676" s="1"/>
      <c r="T676" s="1"/>
      <c r="U676" s="2"/>
      <c r="V676" s="1"/>
      <c r="W676" s="1"/>
      <c r="X676" s="1"/>
      <c r="Y676" s="1"/>
      <c r="Z676" s="1"/>
    </row>
    <row r="677" spans="1:26" ht="24.75" customHeight="1">
      <c r="A677" s="1"/>
      <c r="B677" s="1"/>
      <c r="C677" s="1"/>
      <c r="D677" s="1"/>
      <c r="E677" s="1"/>
      <c r="F677" s="1"/>
      <c r="G677" s="1"/>
      <c r="H677" s="1"/>
      <c r="I677" s="1"/>
      <c r="J677" s="1"/>
      <c r="K677" s="1"/>
      <c r="L677" s="1"/>
      <c r="M677" s="1"/>
      <c r="N677" s="1"/>
      <c r="O677" s="1"/>
      <c r="P677" s="1"/>
      <c r="Q677" s="1"/>
      <c r="R677" s="1"/>
      <c r="S677" s="1"/>
      <c r="T677" s="1"/>
      <c r="U677" s="2"/>
      <c r="V677" s="1"/>
      <c r="W677" s="1"/>
      <c r="X677" s="1"/>
      <c r="Y677" s="1"/>
      <c r="Z677" s="1"/>
    </row>
    <row r="678" spans="1:26" ht="24.75" customHeight="1">
      <c r="A678" s="1"/>
      <c r="B678" s="1"/>
      <c r="C678" s="1"/>
      <c r="D678" s="1"/>
      <c r="E678" s="1"/>
      <c r="F678" s="1"/>
      <c r="G678" s="1"/>
      <c r="H678" s="1"/>
      <c r="I678" s="1"/>
      <c r="J678" s="1"/>
      <c r="K678" s="1"/>
      <c r="L678" s="1"/>
      <c r="M678" s="1"/>
      <c r="N678" s="1"/>
      <c r="O678" s="1"/>
      <c r="P678" s="1"/>
      <c r="Q678" s="1"/>
      <c r="R678" s="1"/>
      <c r="S678" s="1"/>
      <c r="T678" s="1"/>
      <c r="U678" s="2"/>
      <c r="V678" s="1"/>
      <c r="W678" s="1"/>
      <c r="X678" s="1"/>
      <c r="Y678" s="1"/>
      <c r="Z678" s="1"/>
    </row>
    <row r="679" spans="1:26" ht="24.75" customHeight="1">
      <c r="A679" s="1"/>
      <c r="B679" s="1"/>
      <c r="C679" s="1"/>
      <c r="D679" s="1"/>
      <c r="E679" s="1"/>
      <c r="F679" s="1"/>
      <c r="G679" s="1"/>
      <c r="H679" s="1"/>
      <c r="I679" s="1"/>
      <c r="J679" s="1"/>
      <c r="K679" s="1"/>
      <c r="L679" s="1"/>
      <c r="M679" s="1"/>
      <c r="N679" s="1"/>
      <c r="O679" s="1"/>
      <c r="P679" s="1"/>
      <c r="Q679" s="1"/>
      <c r="R679" s="1"/>
      <c r="S679" s="1"/>
      <c r="T679" s="1"/>
      <c r="U679" s="2"/>
      <c r="V679" s="1"/>
      <c r="W679" s="1"/>
      <c r="X679" s="1"/>
      <c r="Y679" s="1"/>
      <c r="Z679" s="1"/>
    </row>
    <row r="680" spans="1:26" ht="24.75" customHeight="1">
      <c r="A680" s="1"/>
      <c r="B680" s="1"/>
      <c r="C680" s="1"/>
      <c r="D680" s="1"/>
      <c r="E680" s="1"/>
      <c r="F680" s="1"/>
      <c r="G680" s="1"/>
      <c r="H680" s="1"/>
      <c r="I680" s="1"/>
      <c r="J680" s="1"/>
      <c r="K680" s="1"/>
      <c r="L680" s="1"/>
      <c r="M680" s="1"/>
      <c r="N680" s="1"/>
      <c r="O680" s="1"/>
      <c r="P680" s="1"/>
      <c r="Q680" s="1"/>
      <c r="R680" s="1"/>
      <c r="S680" s="1"/>
      <c r="T680" s="1"/>
      <c r="U680" s="2"/>
      <c r="V680" s="1"/>
      <c r="W680" s="1"/>
      <c r="X680" s="1"/>
      <c r="Y680" s="1"/>
      <c r="Z680" s="1"/>
    </row>
    <row r="681" spans="1:26" ht="24.75" customHeight="1">
      <c r="A681" s="1"/>
      <c r="B681" s="1"/>
      <c r="C681" s="1"/>
      <c r="D681" s="1"/>
      <c r="E681" s="1"/>
      <c r="F681" s="1"/>
      <c r="G681" s="1"/>
      <c r="H681" s="1"/>
      <c r="I681" s="1"/>
      <c r="J681" s="1"/>
      <c r="K681" s="1"/>
      <c r="L681" s="1"/>
      <c r="M681" s="1"/>
      <c r="N681" s="1"/>
      <c r="O681" s="1"/>
      <c r="P681" s="1"/>
      <c r="Q681" s="1"/>
      <c r="R681" s="1"/>
      <c r="S681" s="1"/>
      <c r="T681" s="1"/>
      <c r="U681" s="2"/>
      <c r="V681" s="1"/>
      <c r="W681" s="1"/>
      <c r="X681" s="1"/>
      <c r="Y681" s="1"/>
      <c r="Z681" s="1"/>
    </row>
    <row r="682" spans="1:26" ht="24.75" customHeight="1">
      <c r="A682" s="1"/>
      <c r="B682" s="1"/>
      <c r="C682" s="1"/>
      <c r="D682" s="1"/>
      <c r="E682" s="1"/>
      <c r="F682" s="1"/>
      <c r="G682" s="1"/>
      <c r="H682" s="1"/>
      <c r="I682" s="1"/>
      <c r="J682" s="1"/>
      <c r="K682" s="1"/>
      <c r="L682" s="1"/>
      <c r="M682" s="1"/>
      <c r="N682" s="1"/>
      <c r="O682" s="1"/>
      <c r="P682" s="1"/>
      <c r="Q682" s="1"/>
      <c r="R682" s="1"/>
      <c r="S682" s="1"/>
      <c r="T682" s="1"/>
      <c r="U682" s="2"/>
      <c r="V682" s="1"/>
      <c r="W682" s="1"/>
      <c r="X682" s="1"/>
      <c r="Y682" s="1"/>
      <c r="Z682" s="1"/>
    </row>
    <row r="683" spans="1:26" ht="24.75" customHeight="1">
      <c r="A683" s="1"/>
      <c r="B683" s="1"/>
      <c r="C683" s="1"/>
      <c r="D683" s="1"/>
      <c r="E683" s="1"/>
      <c r="F683" s="1"/>
      <c r="G683" s="1"/>
      <c r="H683" s="1"/>
      <c r="I683" s="1"/>
      <c r="J683" s="1"/>
      <c r="K683" s="1"/>
      <c r="L683" s="1"/>
      <c r="M683" s="1"/>
      <c r="N683" s="1"/>
      <c r="O683" s="1"/>
      <c r="P683" s="1"/>
      <c r="Q683" s="1"/>
      <c r="R683" s="1"/>
      <c r="S683" s="1"/>
      <c r="T683" s="1"/>
      <c r="U683" s="2"/>
      <c r="V683" s="1"/>
      <c r="W683" s="1"/>
      <c r="X683" s="1"/>
      <c r="Y683" s="1"/>
      <c r="Z683" s="1"/>
    </row>
    <row r="684" spans="1:26" ht="24.75" customHeight="1">
      <c r="A684" s="1"/>
      <c r="B684" s="1"/>
      <c r="C684" s="1"/>
      <c r="D684" s="1"/>
      <c r="E684" s="1"/>
      <c r="F684" s="1"/>
      <c r="G684" s="1"/>
      <c r="H684" s="1"/>
      <c r="I684" s="1"/>
      <c r="J684" s="1"/>
      <c r="K684" s="1"/>
      <c r="L684" s="1"/>
      <c r="M684" s="1"/>
      <c r="N684" s="1"/>
      <c r="O684" s="1"/>
      <c r="P684" s="1"/>
      <c r="Q684" s="1"/>
      <c r="R684" s="1"/>
      <c r="S684" s="1"/>
      <c r="T684" s="1"/>
      <c r="U684" s="2"/>
      <c r="V684" s="1"/>
      <c r="W684" s="1"/>
      <c r="X684" s="1"/>
      <c r="Y684" s="1"/>
      <c r="Z684" s="1"/>
    </row>
    <row r="685" spans="1:26" ht="24.75" customHeight="1">
      <c r="A685" s="1"/>
      <c r="B685" s="1"/>
      <c r="C685" s="1"/>
      <c r="D685" s="1"/>
      <c r="E685" s="1"/>
      <c r="F685" s="1"/>
      <c r="G685" s="1"/>
      <c r="H685" s="1"/>
      <c r="I685" s="1"/>
      <c r="J685" s="1"/>
      <c r="K685" s="1"/>
      <c r="L685" s="1"/>
      <c r="M685" s="1"/>
      <c r="N685" s="1"/>
      <c r="O685" s="1"/>
      <c r="P685" s="1"/>
      <c r="Q685" s="1"/>
      <c r="R685" s="1"/>
      <c r="S685" s="1"/>
      <c r="T685" s="1"/>
      <c r="U685" s="2"/>
      <c r="V685" s="1"/>
      <c r="W685" s="1"/>
      <c r="X685" s="1"/>
      <c r="Y685" s="1"/>
      <c r="Z685" s="1"/>
    </row>
    <row r="686" spans="1:26" ht="24.75" customHeight="1">
      <c r="A686" s="1"/>
      <c r="B686" s="1"/>
      <c r="C686" s="1"/>
      <c r="D686" s="1"/>
      <c r="E686" s="1"/>
      <c r="F686" s="1"/>
      <c r="G686" s="1"/>
      <c r="H686" s="1"/>
      <c r="I686" s="1"/>
      <c r="J686" s="1"/>
      <c r="K686" s="1"/>
      <c r="L686" s="1"/>
      <c r="M686" s="1"/>
      <c r="N686" s="1"/>
      <c r="O686" s="1"/>
      <c r="P686" s="1"/>
      <c r="Q686" s="1"/>
      <c r="R686" s="1"/>
      <c r="S686" s="1"/>
      <c r="T686" s="1"/>
      <c r="U686" s="2"/>
      <c r="V686" s="1"/>
      <c r="W686" s="1"/>
      <c r="X686" s="1"/>
      <c r="Y686" s="1"/>
      <c r="Z686" s="1"/>
    </row>
    <row r="687" spans="1:26" ht="24.75" customHeight="1">
      <c r="A687" s="1"/>
      <c r="B687" s="1"/>
      <c r="C687" s="1"/>
      <c r="D687" s="1"/>
      <c r="E687" s="1"/>
      <c r="F687" s="1"/>
      <c r="G687" s="1"/>
      <c r="H687" s="1"/>
      <c r="I687" s="1"/>
      <c r="J687" s="1"/>
      <c r="K687" s="1"/>
      <c r="L687" s="1"/>
      <c r="M687" s="1"/>
      <c r="N687" s="1"/>
      <c r="O687" s="1"/>
      <c r="P687" s="1"/>
      <c r="Q687" s="1"/>
      <c r="R687" s="1"/>
      <c r="S687" s="1"/>
      <c r="T687" s="1"/>
      <c r="U687" s="2"/>
      <c r="V687" s="1"/>
      <c r="W687" s="1"/>
      <c r="X687" s="1"/>
      <c r="Y687" s="1"/>
      <c r="Z687" s="1"/>
    </row>
    <row r="688" spans="1:26" ht="24.75" customHeight="1">
      <c r="A688" s="1"/>
      <c r="B688" s="1"/>
      <c r="C688" s="1"/>
      <c r="D688" s="1"/>
      <c r="E688" s="1"/>
      <c r="F688" s="1"/>
      <c r="G688" s="1"/>
      <c r="H688" s="1"/>
      <c r="I688" s="1"/>
      <c r="J688" s="1"/>
      <c r="K688" s="1"/>
      <c r="L688" s="1"/>
      <c r="M688" s="1"/>
      <c r="N688" s="1"/>
      <c r="O688" s="1"/>
      <c r="P688" s="1"/>
      <c r="Q688" s="1"/>
      <c r="R688" s="1"/>
      <c r="S688" s="1"/>
      <c r="T688" s="1"/>
      <c r="U688" s="2"/>
      <c r="V688" s="1"/>
      <c r="W688" s="1"/>
      <c r="X688" s="1"/>
      <c r="Y688" s="1"/>
      <c r="Z688" s="1"/>
    </row>
    <row r="689" spans="1:26" ht="24.75" customHeight="1">
      <c r="A689" s="1"/>
      <c r="B689" s="1"/>
      <c r="C689" s="1"/>
      <c r="D689" s="1"/>
      <c r="E689" s="1"/>
      <c r="F689" s="1"/>
      <c r="G689" s="1"/>
      <c r="H689" s="1"/>
      <c r="I689" s="1"/>
      <c r="J689" s="1"/>
      <c r="K689" s="1"/>
      <c r="L689" s="1"/>
      <c r="M689" s="1"/>
      <c r="N689" s="1"/>
      <c r="O689" s="1"/>
      <c r="P689" s="1"/>
      <c r="Q689" s="1"/>
      <c r="R689" s="1"/>
      <c r="S689" s="1"/>
      <c r="T689" s="1"/>
      <c r="U689" s="2"/>
      <c r="V689" s="1"/>
      <c r="W689" s="1"/>
      <c r="X689" s="1"/>
      <c r="Y689" s="1"/>
      <c r="Z689" s="1"/>
    </row>
    <row r="690" spans="1:26" ht="24.75" customHeight="1">
      <c r="A690" s="1"/>
      <c r="B690" s="1"/>
      <c r="C690" s="1"/>
      <c r="D690" s="1"/>
      <c r="E690" s="1"/>
      <c r="F690" s="1"/>
      <c r="G690" s="1"/>
      <c r="H690" s="1"/>
      <c r="I690" s="1"/>
      <c r="J690" s="1"/>
      <c r="K690" s="1"/>
      <c r="L690" s="1"/>
      <c r="M690" s="1"/>
      <c r="N690" s="1"/>
      <c r="O690" s="1"/>
      <c r="P690" s="1"/>
      <c r="Q690" s="1"/>
      <c r="R690" s="1"/>
      <c r="S690" s="1"/>
      <c r="T690" s="1"/>
      <c r="U690" s="2"/>
      <c r="V690" s="1"/>
      <c r="W690" s="1"/>
      <c r="X690" s="1"/>
      <c r="Y690" s="1"/>
      <c r="Z690" s="1"/>
    </row>
    <row r="691" spans="1:26" ht="24.75" customHeight="1">
      <c r="A691" s="1"/>
      <c r="B691" s="1"/>
      <c r="C691" s="1"/>
      <c r="D691" s="1"/>
      <c r="E691" s="1"/>
      <c r="F691" s="1"/>
      <c r="G691" s="1"/>
      <c r="H691" s="1"/>
      <c r="I691" s="1"/>
      <c r="J691" s="1"/>
      <c r="K691" s="1"/>
      <c r="L691" s="1"/>
      <c r="M691" s="1"/>
      <c r="N691" s="1"/>
      <c r="O691" s="1"/>
      <c r="P691" s="1"/>
      <c r="Q691" s="1"/>
      <c r="R691" s="1"/>
      <c r="S691" s="1"/>
      <c r="T691" s="1"/>
      <c r="U691" s="2"/>
      <c r="V691" s="1"/>
      <c r="W691" s="1"/>
      <c r="X691" s="1"/>
      <c r="Y691" s="1"/>
      <c r="Z691" s="1"/>
    </row>
    <row r="692" spans="1:26" ht="24.75" customHeight="1">
      <c r="A692" s="1"/>
      <c r="B692" s="1"/>
      <c r="C692" s="1"/>
      <c r="D692" s="1"/>
      <c r="E692" s="1"/>
      <c r="F692" s="1"/>
      <c r="G692" s="1"/>
      <c r="H692" s="1"/>
      <c r="I692" s="1"/>
      <c r="J692" s="1"/>
      <c r="K692" s="1"/>
      <c r="L692" s="1"/>
      <c r="M692" s="1"/>
      <c r="N692" s="1"/>
      <c r="O692" s="1"/>
      <c r="P692" s="1"/>
      <c r="Q692" s="1"/>
      <c r="R692" s="1"/>
      <c r="S692" s="1"/>
      <c r="T692" s="1"/>
      <c r="U692" s="2"/>
      <c r="V692" s="1"/>
      <c r="W692" s="1"/>
      <c r="X692" s="1"/>
      <c r="Y692" s="1"/>
      <c r="Z692" s="1"/>
    </row>
    <row r="693" spans="1:26" ht="24.75" customHeight="1">
      <c r="A693" s="1"/>
      <c r="B693" s="1"/>
      <c r="C693" s="1"/>
      <c r="D693" s="1"/>
      <c r="E693" s="1"/>
      <c r="F693" s="1"/>
      <c r="G693" s="1"/>
      <c r="H693" s="1"/>
      <c r="I693" s="1"/>
      <c r="J693" s="1"/>
      <c r="K693" s="1"/>
      <c r="L693" s="1"/>
      <c r="M693" s="1"/>
      <c r="N693" s="1"/>
      <c r="O693" s="1"/>
      <c r="P693" s="1"/>
      <c r="Q693" s="1"/>
      <c r="R693" s="1"/>
      <c r="S693" s="1"/>
      <c r="T693" s="1"/>
      <c r="U693" s="2"/>
      <c r="V693" s="1"/>
      <c r="W693" s="1"/>
      <c r="X693" s="1"/>
      <c r="Y693" s="1"/>
      <c r="Z693" s="1"/>
    </row>
    <row r="694" spans="1:26" ht="24.75" customHeight="1">
      <c r="A694" s="1"/>
      <c r="B694" s="1"/>
      <c r="C694" s="1"/>
      <c r="D694" s="1"/>
      <c r="E694" s="1"/>
      <c r="F694" s="1"/>
      <c r="G694" s="1"/>
      <c r="H694" s="1"/>
      <c r="I694" s="1"/>
      <c r="J694" s="1"/>
      <c r="K694" s="1"/>
      <c r="L694" s="1"/>
      <c r="M694" s="1"/>
      <c r="N694" s="1"/>
      <c r="O694" s="1"/>
      <c r="P694" s="1"/>
      <c r="Q694" s="1"/>
      <c r="R694" s="1"/>
      <c r="S694" s="1"/>
      <c r="T694" s="1"/>
      <c r="U694" s="2"/>
      <c r="V694" s="1"/>
      <c r="W694" s="1"/>
      <c r="X694" s="1"/>
      <c r="Y694" s="1"/>
      <c r="Z694" s="1"/>
    </row>
    <row r="695" spans="1:26" ht="24.75" customHeight="1">
      <c r="A695" s="1"/>
      <c r="B695" s="1"/>
      <c r="C695" s="1"/>
      <c r="D695" s="1"/>
      <c r="E695" s="1"/>
      <c r="F695" s="1"/>
      <c r="G695" s="1"/>
      <c r="H695" s="1"/>
      <c r="I695" s="1"/>
      <c r="J695" s="1"/>
      <c r="K695" s="1"/>
      <c r="L695" s="1"/>
      <c r="M695" s="1"/>
      <c r="N695" s="1"/>
      <c r="O695" s="1"/>
      <c r="P695" s="1"/>
      <c r="Q695" s="1"/>
      <c r="R695" s="1"/>
      <c r="S695" s="1"/>
      <c r="T695" s="1"/>
      <c r="U695" s="2"/>
      <c r="V695" s="1"/>
      <c r="W695" s="1"/>
      <c r="X695" s="1"/>
      <c r="Y695" s="1"/>
      <c r="Z695" s="1"/>
    </row>
    <row r="696" spans="1:26" ht="24.75" customHeight="1">
      <c r="A696" s="1"/>
      <c r="B696" s="1"/>
      <c r="C696" s="1"/>
      <c r="D696" s="1"/>
      <c r="E696" s="1"/>
      <c r="F696" s="1"/>
      <c r="G696" s="1"/>
      <c r="H696" s="1"/>
      <c r="I696" s="1"/>
      <c r="J696" s="1"/>
      <c r="K696" s="1"/>
      <c r="L696" s="1"/>
      <c r="M696" s="1"/>
      <c r="N696" s="1"/>
      <c r="O696" s="1"/>
      <c r="P696" s="1"/>
      <c r="Q696" s="1"/>
      <c r="R696" s="1"/>
      <c r="S696" s="1"/>
      <c r="T696" s="1"/>
      <c r="U696" s="2"/>
      <c r="V696" s="1"/>
      <c r="W696" s="1"/>
      <c r="X696" s="1"/>
      <c r="Y696" s="1"/>
      <c r="Z696" s="1"/>
    </row>
    <row r="697" spans="1:26" ht="24.75" customHeight="1">
      <c r="A697" s="1"/>
      <c r="B697" s="1"/>
      <c r="C697" s="1"/>
      <c r="D697" s="1"/>
      <c r="E697" s="1"/>
      <c r="F697" s="1"/>
      <c r="G697" s="1"/>
      <c r="H697" s="1"/>
      <c r="I697" s="1"/>
      <c r="J697" s="1"/>
      <c r="K697" s="1"/>
      <c r="L697" s="1"/>
      <c r="M697" s="1"/>
      <c r="N697" s="1"/>
      <c r="O697" s="1"/>
      <c r="P697" s="1"/>
      <c r="Q697" s="1"/>
      <c r="R697" s="1"/>
      <c r="S697" s="1"/>
      <c r="T697" s="1"/>
      <c r="U697" s="2"/>
      <c r="V697" s="1"/>
      <c r="W697" s="1"/>
      <c r="X697" s="1"/>
      <c r="Y697" s="1"/>
      <c r="Z697" s="1"/>
    </row>
    <row r="698" spans="1:26" ht="24.75" customHeight="1">
      <c r="A698" s="1"/>
      <c r="B698" s="1"/>
      <c r="C698" s="1"/>
      <c r="D698" s="1"/>
      <c r="E698" s="1"/>
      <c r="F698" s="1"/>
      <c r="G698" s="1"/>
      <c r="H698" s="1"/>
      <c r="I698" s="1"/>
      <c r="J698" s="1"/>
      <c r="K698" s="1"/>
      <c r="L698" s="1"/>
      <c r="M698" s="1"/>
      <c r="N698" s="1"/>
      <c r="O698" s="1"/>
      <c r="P698" s="1"/>
      <c r="Q698" s="1"/>
      <c r="R698" s="1"/>
      <c r="S698" s="1"/>
      <c r="T698" s="1"/>
      <c r="U698" s="2"/>
      <c r="V698" s="1"/>
      <c r="W698" s="1"/>
      <c r="X698" s="1"/>
      <c r="Y698" s="1"/>
      <c r="Z698" s="1"/>
    </row>
    <row r="699" spans="1:26" ht="24.75" customHeight="1">
      <c r="A699" s="1"/>
      <c r="B699" s="1"/>
      <c r="C699" s="1"/>
      <c r="D699" s="1"/>
      <c r="E699" s="1"/>
      <c r="F699" s="1"/>
      <c r="G699" s="1"/>
      <c r="H699" s="1"/>
      <c r="I699" s="1"/>
      <c r="J699" s="1"/>
      <c r="K699" s="1"/>
      <c r="L699" s="1"/>
      <c r="M699" s="1"/>
      <c r="N699" s="1"/>
      <c r="O699" s="1"/>
      <c r="P699" s="1"/>
      <c r="Q699" s="1"/>
      <c r="R699" s="1"/>
      <c r="S699" s="1"/>
      <c r="T699" s="1"/>
      <c r="U699" s="2"/>
      <c r="V699" s="1"/>
      <c r="W699" s="1"/>
      <c r="X699" s="1"/>
      <c r="Y699" s="1"/>
      <c r="Z699" s="1"/>
    </row>
    <row r="700" spans="1:26" ht="24.75" customHeight="1">
      <c r="A700" s="1"/>
      <c r="B700" s="1"/>
      <c r="C700" s="1"/>
      <c r="D700" s="1"/>
      <c r="E700" s="1"/>
      <c r="F700" s="1"/>
      <c r="G700" s="1"/>
      <c r="H700" s="1"/>
      <c r="I700" s="1"/>
      <c r="J700" s="1"/>
      <c r="K700" s="1"/>
      <c r="L700" s="1"/>
      <c r="M700" s="1"/>
      <c r="N700" s="1"/>
      <c r="O700" s="1"/>
      <c r="P700" s="1"/>
      <c r="Q700" s="1"/>
      <c r="R700" s="1"/>
      <c r="S700" s="1"/>
      <c r="T700" s="1"/>
      <c r="U700" s="2"/>
      <c r="V700" s="1"/>
      <c r="W700" s="1"/>
      <c r="X700" s="1"/>
      <c r="Y700" s="1"/>
      <c r="Z700" s="1"/>
    </row>
    <row r="701" spans="1:26" ht="24.75" customHeight="1">
      <c r="A701" s="1"/>
      <c r="B701" s="1"/>
      <c r="C701" s="1"/>
      <c r="D701" s="1"/>
      <c r="E701" s="1"/>
      <c r="F701" s="1"/>
      <c r="G701" s="1"/>
      <c r="H701" s="1"/>
      <c r="I701" s="1"/>
      <c r="J701" s="1"/>
      <c r="K701" s="1"/>
      <c r="L701" s="1"/>
      <c r="M701" s="1"/>
      <c r="N701" s="1"/>
      <c r="O701" s="1"/>
      <c r="P701" s="1"/>
      <c r="Q701" s="1"/>
      <c r="R701" s="1"/>
      <c r="S701" s="1"/>
      <c r="T701" s="1"/>
      <c r="U701" s="2"/>
      <c r="V701" s="1"/>
      <c r="W701" s="1"/>
      <c r="X701" s="1"/>
      <c r="Y701" s="1"/>
      <c r="Z701" s="1"/>
    </row>
    <row r="702" spans="1:26" ht="24.75" customHeight="1">
      <c r="A702" s="1"/>
      <c r="B702" s="1"/>
      <c r="C702" s="1"/>
      <c r="D702" s="1"/>
      <c r="E702" s="1"/>
      <c r="F702" s="1"/>
      <c r="G702" s="1"/>
      <c r="H702" s="1"/>
      <c r="I702" s="1"/>
      <c r="J702" s="1"/>
      <c r="K702" s="1"/>
      <c r="L702" s="1"/>
      <c r="M702" s="1"/>
      <c r="N702" s="1"/>
      <c r="O702" s="1"/>
      <c r="P702" s="1"/>
      <c r="Q702" s="1"/>
      <c r="R702" s="1"/>
      <c r="S702" s="1"/>
      <c r="T702" s="1"/>
      <c r="U702" s="2"/>
      <c r="V702" s="1"/>
      <c r="W702" s="1"/>
      <c r="X702" s="1"/>
      <c r="Y702" s="1"/>
      <c r="Z702" s="1"/>
    </row>
    <row r="703" spans="1:26" ht="24.75" customHeight="1">
      <c r="A703" s="1"/>
      <c r="B703" s="1"/>
      <c r="C703" s="1"/>
      <c r="D703" s="1"/>
      <c r="E703" s="1"/>
      <c r="F703" s="1"/>
      <c r="G703" s="1"/>
      <c r="H703" s="1"/>
      <c r="I703" s="1"/>
      <c r="J703" s="1"/>
      <c r="K703" s="1"/>
      <c r="L703" s="1"/>
      <c r="M703" s="1"/>
      <c r="N703" s="1"/>
      <c r="O703" s="1"/>
      <c r="P703" s="1"/>
      <c r="Q703" s="1"/>
      <c r="R703" s="1"/>
      <c r="S703" s="1"/>
      <c r="T703" s="1"/>
      <c r="U703" s="2"/>
      <c r="V703" s="1"/>
      <c r="W703" s="1"/>
      <c r="X703" s="1"/>
      <c r="Y703" s="1"/>
      <c r="Z703" s="1"/>
    </row>
    <row r="704" spans="1:26" ht="24.75" customHeight="1">
      <c r="A704" s="1"/>
      <c r="B704" s="1"/>
      <c r="C704" s="1"/>
      <c r="D704" s="1"/>
      <c r="E704" s="1"/>
      <c r="F704" s="1"/>
      <c r="G704" s="1"/>
      <c r="H704" s="1"/>
      <c r="I704" s="1"/>
      <c r="J704" s="1"/>
      <c r="K704" s="1"/>
      <c r="L704" s="1"/>
      <c r="M704" s="1"/>
      <c r="N704" s="1"/>
      <c r="O704" s="1"/>
      <c r="P704" s="1"/>
      <c r="Q704" s="1"/>
      <c r="R704" s="1"/>
      <c r="S704" s="1"/>
      <c r="T704" s="1"/>
      <c r="U704" s="2"/>
      <c r="V704" s="1"/>
      <c r="W704" s="1"/>
      <c r="X704" s="1"/>
      <c r="Y704" s="1"/>
      <c r="Z704" s="1"/>
    </row>
    <row r="705" spans="1:26" ht="24.75" customHeight="1">
      <c r="A705" s="1"/>
      <c r="B705" s="1"/>
      <c r="C705" s="1"/>
      <c r="D705" s="1"/>
      <c r="E705" s="1"/>
      <c r="F705" s="1"/>
      <c r="G705" s="1"/>
      <c r="H705" s="1"/>
      <c r="I705" s="1"/>
      <c r="J705" s="1"/>
      <c r="K705" s="1"/>
      <c r="L705" s="1"/>
      <c r="M705" s="1"/>
      <c r="N705" s="1"/>
      <c r="O705" s="1"/>
      <c r="P705" s="1"/>
      <c r="Q705" s="1"/>
      <c r="R705" s="1"/>
      <c r="S705" s="1"/>
      <c r="T705" s="1"/>
      <c r="U705" s="2"/>
      <c r="V705" s="1"/>
      <c r="W705" s="1"/>
      <c r="X705" s="1"/>
      <c r="Y705" s="1"/>
      <c r="Z705" s="1"/>
    </row>
    <row r="706" spans="1:26" ht="24.75" customHeight="1">
      <c r="A706" s="1"/>
      <c r="B706" s="1"/>
      <c r="C706" s="1"/>
      <c r="D706" s="1"/>
      <c r="E706" s="1"/>
      <c r="F706" s="1"/>
      <c r="G706" s="1"/>
      <c r="H706" s="1"/>
      <c r="I706" s="1"/>
      <c r="J706" s="1"/>
      <c r="K706" s="1"/>
      <c r="L706" s="1"/>
      <c r="M706" s="1"/>
      <c r="N706" s="1"/>
      <c r="O706" s="1"/>
      <c r="P706" s="1"/>
      <c r="Q706" s="1"/>
      <c r="R706" s="1"/>
      <c r="S706" s="1"/>
      <c r="T706" s="1"/>
      <c r="U706" s="2"/>
      <c r="V706" s="1"/>
      <c r="W706" s="1"/>
      <c r="X706" s="1"/>
      <c r="Y706" s="1"/>
      <c r="Z706" s="1"/>
    </row>
    <row r="707" spans="1:26" ht="24.75" customHeight="1">
      <c r="A707" s="1"/>
      <c r="B707" s="1"/>
      <c r="C707" s="1"/>
      <c r="D707" s="1"/>
      <c r="E707" s="1"/>
      <c r="F707" s="1"/>
      <c r="G707" s="1"/>
      <c r="H707" s="1"/>
      <c r="I707" s="1"/>
      <c r="J707" s="1"/>
      <c r="K707" s="1"/>
      <c r="L707" s="1"/>
      <c r="M707" s="1"/>
      <c r="N707" s="1"/>
      <c r="O707" s="1"/>
      <c r="P707" s="1"/>
      <c r="Q707" s="1"/>
      <c r="R707" s="1"/>
      <c r="S707" s="1"/>
      <c r="T707" s="1"/>
      <c r="U707" s="2"/>
      <c r="V707" s="1"/>
      <c r="W707" s="1"/>
      <c r="X707" s="1"/>
      <c r="Y707" s="1"/>
      <c r="Z707" s="1"/>
    </row>
    <row r="708" spans="1:26" ht="24.75" customHeight="1">
      <c r="A708" s="1"/>
      <c r="B708" s="1"/>
      <c r="C708" s="1"/>
      <c r="D708" s="1"/>
      <c r="E708" s="1"/>
      <c r="F708" s="1"/>
      <c r="G708" s="1"/>
      <c r="H708" s="1"/>
      <c r="I708" s="1"/>
      <c r="J708" s="1"/>
      <c r="K708" s="1"/>
      <c r="L708" s="1"/>
      <c r="M708" s="1"/>
      <c r="N708" s="1"/>
      <c r="O708" s="1"/>
      <c r="P708" s="1"/>
      <c r="Q708" s="1"/>
      <c r="R708" s="1"/>
      <c r="S708" s="1"/>
      <c r="T708" s="1"/>
      <c r="U708" s="2"/>
      <c r="V708" s="1"/>
      <c r="W708" s="1"/>
      <c r="X708" s="1"/>
      <c r="Y708" s="1"/>
      <c r="Z708" s="1"/>
    </row>
    <row r="709" spans="1:26" ht="24.75" customHeight="1">
      <c r="A709" s="1"/>
      <c r="B709" s="1"/>
      <c r="C709" s="1"/>
      <c r="D709" s="1"/>
      <c r="E709" s="1"/>
      <c r="F709" s="1"/>
      <c r="G709" s="1"/>
      <c r="H709" s="1"/>
      <c r="I709" s="1"/>
      <c r="J709" s="1"/>
      <c r="K709" s="1"/>
      <c r="L709" s="1"/>
      <c r="M709" s="1"/>
      <c r="N709" s="1"/>
      <c r="O709" s="1"/>
      <c r="P709" s="1"/>
      <c r="Q709" s="1"/>
      <c r="R709" s="1"/>
      <c r="S709" s="1"/>
      <c r="T709" s="1"/>
      <c r="U709" s="2"/>
      <c r="V709" s="1"/>
      <c r="W709" s="1"/>
      <c r="X709" s="1"/>
      <c r="Y709" s="1"/>
      <c r="Z709" s="1"/>
    </row>
    <row r="710" spans="1:26" ht="24.75" customHeight="1">
      <c r="A710" s="1"/>
      <c r="B710" s="1"/>
      <c r="C710" s="1"/>
      <c r="D710" s="1"/>
      <c r="E710" s="1"/>
      <c r="F710" s="1"/>
      <c r="G710" s="1"/>
      <c r="H710" s="1"/>
      <c r="I710" s="1"/>
      <c r="J710" s="1"/>
      <c r="K710" s="1"/>
      <c r="L710" s="1"/>
      <c r="M710" s="1"/>
      <c r="N710" s="1"/>
      <c r="O710" s="1"/>
      <c r="P710" s="1"/>
      <c r="Q710" s="1"/>
      <c r="R710" s="1"/>
      <c r="S710" s="1"/>
      <c r="T710" s="1"/>
      <c r="U710" s="2"/>
      <c r="V710" s="1"/>
      <c r="W710" s="1"/>
      <c r="X710" s="1"/>
      <c r="Y710" s="1"/>
      <c r="Z710" s="1"/>
    </row>
    <row r="711" spans="1:26" ht="24.75" customHeight="1">
      <c r="A711" s="1"/>
      <c r="B711" s="1"/>
      <c r="C711" s="1"/>
      <c r="D711" s="1"/>
      <c r="E711" s="1"/>
      <c r="F711" s="1"/>
      <c r="G711" s="1"/>
      <c r="H711" s="1"/>
      <c r="I711" s="1"/>
      <c r="J711" s="1"/>
      <c r="K711" s="1"/>
      <c r="L711" s="1"/>
      <c r="M711" s="1"/>
      <c r="N711" s="1"/>
      <c r="O711" s="1"/>
      <c r="P711" s="1"/>
      <c r="Q711" s="1"/>
      <c r="R711" s="1"/>
      <c r="S711" s="1"/>
      <c r="T711" s="1"/>
      <c r="U711" s="2"/>
      <c r="V711" s="1"/>
      <c r="W711" s="1"/>
      <c r="X711" s="1"/>
      <c r="Y711" s="1"/>
      <c r="Z711" s="1"/>
    </row>
    <row r="712" spans="1:26" ht="24.75" customHeight="1">
      <c r="A712" s="1"/>
      <c r="B712" s="1"/>
      <c r="C712" s="1"/>
      <c r="D712" s="1"/>
      <c r="E712" s="1"/>
      <c r="F712" s="1"/>
      <c r="G712" s="1"/>
      <c r="H712" s="1"/>
      <c r="I712" s="1"/>
      <c r="J712" s="1"/>
      <c r="K712" s="1"/>
      <c r="L712" s="1"/>
      <c r="M712" s="1"/>
      <c r="N712" s="1"/>
      <c r="O712" s="1"/>
      <c r="P712" s="1"/>
      <c r="Q712" s="1"/>
      <c r="R712" s="1"/>
      <c r="S712" s="1"/>
      <c r="T712" s="1"/>
      <c r="U712" s="2"/>
      <c r="V712" s="1"/>
      <c r="W712" s="1"/>
      <c r="X712" s="1"/>
      <c r="Y712" s="1"/>
      <c r="Z712" s="1"/>
    </row>
    <row r="713" spans="1:26" ht="24.75" customHeight="1">
      <c r="A713" s="1"/>
      <c r="B713" s="1"/>
      <c r="C713" s="1"/>
      <c r="D713" s="1"/>
      <c r="E713" s="1"/>
      <c r="F713" s="1"/>
      <c r="G713" s="1"/>
      <c r="H713" s="1"/>
      <c r="I713" s="1"/>
      <c r="J713" s="1"/>
      <c r="K713" s="1"/>
      <c r="L713" s="1"/>
      <c r="M713" s="1"/>
      <c r="N713" s="1"/>
      <c r="O713" s="1"/>
      <c r="P713" s="1"/>
      <c r="Q713" s="1"/>
      <c r="R713" s="1"/>
      <c r="S713" s="1"/>
      <c r="T713" s="1"/>
      <c r="U713" s="2"/>
      <c r="V713" s="1"/>
      <c r="W713" s="1"/>
      <c r="X713" s="1"/>
      <c r="Y713" s="1"/>
      <c r="Z713" s="1"/>
    </row>
    <row r="714" spans="1:26" ht="24.75" customHeight="1">
      <c r="A714" s="1"/>
      <c r="B714" s="1"/>
      <c r="C714" s="1"/>
      <c r="D714" s="1"/>
      <c r="E714" s="1"/>
      <c r="F714" s="1"/>
      <c r="G714" s="1"/>
      <c r="H714" s="1"/>
      <c r="I714" s="1"/>
      <c r="J714" s="1"/>
      <c r="K714" s="1"/>
      <c r="L714" s="1"/>
      <c r="M714" s="1"/>
      <c r="N714" s="1"/>
      <c r="O714" s="1"/>
      <c r="P714" s="1"/>
      <c r="Q714" s="1"/>
      <c r="R714" s="1"/>
      <c r="S714" s="1"/>
      <c r="T714" s="1"/>
      <c r="U714" s="2"/>
      <c r="V714" s="1"/>
      <c r="W714" s="1"/>
      <c r="X714" s="1"/>
      <c r="Y714" s="1"/>
      <c r="Z714" s="1"/>
    </row>
    <row r="715" spans="1:26" ht="24.75" customHeight="1">
      <c r="A715" s="1"/>
      <c r="B715" s="1"/>
      <c r="C715" s="1"/>
      <c r="D715" s="1"/>
      <c r="E715" s="1"/>
      <c r="F715" s="1"/>
      <c r="G715" s="1"/>
      <c r="H715" s="1"/>
      <c r="I715" s="1"/>
      <c r="J715" s="1"/>
      <c r="K715" s="1"/>
      <c r="L715" s="1"/>
      <c r="M715" s="1"/>
      <c r="N715" s="1"/>
      <c r="O715" s="1"/>
      <c r="P715" s="1"/>
      <c r="Q715" s="1"/>
      <c r="R715" s="1"/>
      <c r="S715" s="1"/>
      <c r="T715" s="1"/>
      <c r="U715" s="2"/>
      <c r="V715" s="1"/>
      <c r="W715" s="1"/>
      <c r="X715" s="1"/>
      <c r="Y715" s="1"/>
      <c r="Z715" s="1"/>
    </row>
    <row r="716" spans="1:26" ht="24.75" customHeight="1">
      <c r="A716" s="1"/>
      <c r="B716" s="1"/>
      <c r="C716" s="1"/>
      <c r="D716" s="1"/>
      <c r="E716" s="1"/>
      <c r="F716" s="1"/>
      <c r="G716" s="1"/>
      <c r="H716" s="1"/>
      <c r="I716" s="1"/>
      <c r="J716" s="1"/>
      <c r="K716" s="1"/>
      <c r="L716" s="1"/>
      <c r="M716" s="1"/>
      <c r="N716" s="1"/>
      <c r="O716" s="1"/>
      <c r="P716" s="1"/>
      <c r="Q716" s="1"/>
      <c r="R716" s="1"/>
      <c r="S716" s="1"/>
      <c r="T716" s="1"/>
      <c r="U716" s="2"/>
      <c r="V716" s="1"/>
      <c r="W716" s="1"/>
      <c r="X716" s="1"/>
      <c r="Y716" s="1"/>
      <c r="Z716" s="1"/>
    </row>
    <row r="717" spans="1:26" ht="24.75" customHeight="1">
      <c r="A717" s="1"/>
      <c r="B717" s="1"/>
      <c r="C717" s="1"/>
      <c r="D717" s="1"/>
      <c r="E717" s="1"/>
      <c r="F717" s="1"/>
      <c r="G717" s="1"/>
      <c r="H717" s="1"/>
      <c r="I717" s="1"/>
      <c r="J717" s="1"/>
      <c r="K717" s="1"/>
      <c r="L717" s="1"/>
      <c r="M717" s="1"/>
      <c r="N717" s="1"/>
      <c r="O717" s="1"/>
      <c r="P717" s="1"/>
      <c r="Q717" s="1"/>
      <c r="R717" s="1"/>
      <c r="S717" s="1"/>
      <c r="T717" s="1"/>
      <c r="U717" s="2"/>
      <c r="V717" s="1"/>
      <c r="W717" s="1"/>
      <c r="X717" s="1"/>
      <c r="Y717" s="1"/>
      <c r="Z717" s="1"/>
    </row>
    <row r="718" spans="1:26" ht="24.75" customHeight="1">
      <c r="A718" s="1"/>
      <c r="B718" s="1"/>
      <c r="C718" s="1"/>
      <c r="D718" s="1"/>
      <c r="E718" s="1"/>
      <c r="F718" s="1"/>
      <c r="G718" s="1"/>
      <c r="H718" s="1"/>
      <c r="I718" s="1"/>
      <c r="J718" s="1"/>
      <c r="K718" s="1"/>
      <c r="L718" s="1"/>
      <c r="M718" s="1"/>
      <c r="N718" s="1"/>
      <c r="O718" s="1"/>
      <c r="P718" s="1"/>
      <c r="Q718" s="1"/>
      <c r="R718" s="1"/>
      <c r="S718" s="1"/>
      <c r="T718" s="1"/>
      <c r="U718" s="2"/>
      <c r="V718" s="1"/>
      <c r="W718" s="1"/>
      <c r="X718" s="1"/>
      <c r="Y718" s="1"/>
      <c r="Z718" s="1"/>
    </row>
    <row r="719" spans="1:26" ht="24.75" customHeight="1">
      <c r="A719" s="1"/>
      <c r="B719" s="1"/>
      <c r="C719" s="1"/>
      <c r="D719" s="1"/>
      <c r="E719" s="1"/>
      <c r="F719" s="1"/>
      <c r="G719" s="1"/>
      <c r="H719" s="1"/>
      <c r="I719" s="1"/>
      <c r="J719" s="1"/>
      <c r="K719" s="1"/>
      <c r="L719" s="1"/>
      <c r="M719" s="1"/>
      <c r="N719" s="1"/>
      <c r="O719" s="1"/>
      <c r="P719" s="1"/>
      <c r="Q719" s="1"/>
      <c r="R719" s="1"/>
      <c r="S719" s="1"/>
      <c r="T719" s="1"/>
      <c r="U719" s="2"/>
      <c r="V719" s="1"/>
      <c r="W719" s="1"/>
      <c r="X719" s="1"/>
      <c r="Y719" s="1"/>
      <c r="Z719" s="1"/>
    </row>
    <row r="720" spans="1:26" ht="24.75" customHeight="1">
      <c r="A720" s="1"/>
      <c r="B720" s="1"/>
      <c r="C720" s="1"/>
      <c r="D720" s="1"/>
      <c r="E720" s="1"/>
      <c r="F720" s="1"/>
      <c r="G720" s="1"/>
      <c r="H720" s="1"/>
      <c r="I720" s="1"/>
      <c r="J720" s="1"/>
      <c r="K720" s="1"/>
      <c r="L720" s="1"/>
      <c r="M720" s="1"/>
      <c r="N720" s="1"/>
      <c r="O720" s="1"/>
      <c r="P720" s="1"/>
      <c r="Q720" s="1"/>
      <c r="R720" s="1"/>
      <c r="S720" s="1"/>
      <c r="T720" s="1"/>
      <c r="U720" s="2"/>
      <c r="V720" s="1"/>
      <c r="W720" s="1"/>
      <c r="X720" s="1"/>
      <c r="Y720" s="1"/>
      <c r="Z720" s="1"/>
    </row>
    <row r="721" spans="1:26" ht="24.75" customHeight="1">
      <c r="A721" s="1"/>
      <c r="B721" s="1"/>
      <c r="C721" s="1"/>
      <c r="D721" s="1"/>
      <c r="E721" s="1"/>
      <c r="F721" s="1"/>
      <c r="G721" s="1"/>
      <c r="H721" s="1"/>
      <c r="I721" s="1"/>
      <c r="J721" s="1"/>
      <c r="K721" s="1"/>
      <c r="L721" s="1"/>
      <c r="M721" s="1"/>
      <c r="N721" s="1"/>
      <c r="O721" s="1"/>
      <c r="P721" s="1"/>
      <c r="Q721" s="1"/>
      <c r="R721" s="1"/>
      <c r="S721" s="1"/>
      <c r="T721" s="1"/>
      <c r="U721" s="2"/>
      <c r="V721" s="1"/>
      <c r="W721" s="1"/>
      <c r="X721" s="1"/>
      <c r="Y721" s="1"/>
      <c r="Z721" s="1"/>
    </row>
    <row r="722" spans="1:26" ht="24.75" customHeight="1">
      <c r="A722" s="1"/>
      <c r="B722" s="1"/>
      <c r="C722" s="1"/>
      <c r="D722" s="1"/>
      <c r="E722" s="1"/>
      <c r="F722" s="1"/>
      <c r="G722" s="1"/>
      <c r="H722" s="1"/>
      <c r="I722" s="1"/>
      <c r="J722" s="1"/>
      <c r="K722" s="1"/>
      <c r="L722" s="1"/>
      <c r="M722" s="1"/>
      <c r="N722" s="1"/>
      <c r="O722" s="1"/>
      <c r="P722" s="1"/>
      <c r="Q722" s="1"/>
      <c r="R722" s="1"/>
      <c r="S722" s="1"/>
      <c r="T722" s="1"/>
      <c r="U722" s="2"/>
      <c r="V722" s="1"/>
      <c r="W722" s="1"/>
      <c r="X722" s="1"/>
      <c r="Y722" s="1"/>
      <c r="Z722" s="1"/>
    </row>
    <row r="723" spans="1:26" ht="24.75" customHeight="1">
      <c r="A723" s="1"/>
      <c r="B723" s="1"/>
      <c r="C723" s="1"/>
      <c r="D723" s="1"/>
      <c r="E723" s="1"/>
      <c r="F723" s="1"/>
      <c r="G723" s="1"/>
      <c r="H723" s="1"/>
      <c r="I723" s="1"/>
      <c r="J723" s="1"/>
      <c r="K723" s="1"/>
      <c r="L723" s="1"/>
      <c r="M723" s="1"/>
      <c r="N723" s="1"/>
      <c r="O723" s="1"/>
      <c r="P723" s="1"/>
      <c r="Q723" s="1"/>
      <c r="R723" s="1"/>
      <c r="S723" s="1"/>
      <c r="T723" s="1"/>
      <c r="U723" s="2"/>
      <c r="V723" s="1"/>
      <c r="W723" s="1"/>
      <c r="X723" s="1"/>
      <c r="Y723" s="1"/>
      <c r="Z723" s="1"/>
    </row>
    <row r="724" spans="1:26" ht="24.75" customHeight="1">
      <c r="A724" s="1"/>
      <c r="B724" s="1"/>
      <c r="C724" s="1"/>
      <c r="D724" s="1"/>
      <c r="E724" s="1"/>
      <c r="F724" s="1"/>
      <c r="G724" s="1"/>
      <c r="H724" s="1"/>
      <c r="I724" s="1"/>
      <c r="J724" s="1"/>
      <c r="K724" s="1"/>
      <c r="L724" s="1"/>
      <c r="M724" s="1"/>
      <c r="N724" s="1"/>
      <c r="O724" s="1"/>
      <c r="P724" s="1"/>
      <c r="Q724" s="1"/>
      <c r="R724" s="1"/>
      <c r="S724" s="1"/>
      <c r="T724" s="1"/>
      <c r="U724" s="2"/>
      <c r="V724" s="1"/>
      <c r="W724" s="1"/>
      <c r="X724" s="1"/>
      <c r="Y724" s="1"/>
      <c r="Z724" s="1"/>
    </row>
    <row r="725" spans="1:26" ht="24.75" customHeight="1">
      <c r="A725" s="1"/>
      <c r="B725" s="1"/>
      <c r="C725" s="1"/>
      <c r="D725" s="1"/>
      <c r="E725" s="1"/>
      <c r="F725" s="1"/>
      <c r="G725" s="1"/>
      <c r="H725" s="1"/>
      <c r="I725" s="1"/>
      <c r="J725" s="1"/>
      <c r="K725" s="1"/>
      <c r="L725" s="1"/>
      <c r="M725" s="1"/>
      <c r="N725" s="1"/>
      <c r="O725" s="1"/>
      <c r="P725" s="1"/>
      <c r="Q725" s="1"/>
      <c r="R725" s="1"/>
      <c r="S725" s="1"/>
      <c r="T725" s="1"/>
      <c r="U725" s="2"/>
      <c r="V725" s="1"/>
      <c r="W725" s="1"/>
      <c r="X725" s="1"/>
      <c r="Y725" s="1"/>
      <c r="Z725" s="1"/>
    </row>
    <row r="726" spans="1:26" ht="24.75" customHeight="1">
      <c r="A726" s="1"/>
      <c r="B726" s="1"/>
      <c r="C726" s="1"/>
      <c r="D726" s="1"/>
      <c r="E726" s="1"/>
      <c r="F726" s="1"/>
      <c r="G726" s="1"/>
      <c r="H726" s="1"/>
      <c r="I726" s="1"/>
      <c r="J726" s="1"/>
      <c r="K726" s="1"/>
      <c r="L726" s="1"/>
      <c r="M726" s="1"/>
      <c r="N726" s="1"/>
      <c r="O726" s="1"/>
      <c r="P726" s="1"/>
      <c r="Q726" s="1"/>
      <c r="R726" s="1"/>
      <c r="S726" s="1"/>
      <c r="T726" s="1"/>
      <c r="U726" s="2"/>
      <c r="V726" s="1"/>
      <c r="W726" s="1"/>
      <c r="X726" s="1"/>
      <c r="Y726" s="1"/>
      <c r="Z726" s="1"/>
    </row>
    <row r="727" spans="1:26" ht="24.75" customHeight="1">
      <c r="A727" s="1"/>
      <c r="B727" s="1"/>
      <c r="C727" s="1"/>
      <c r="D727" s="1"/>
      <c r="E727" s="1"/>
      <c r="F727" s="1"/>
      <c r="G727" s="1"/>
      <c r="H727" s="1"/>
      <c r="I727" s="1"/>
      <c r="J727" s="1"/>
      <c r="K727" s="1"/>
      <c r="L727" s="1"/>
      <c r="M727" s="1"/>
      <c r="N727" s="1"/>
      <c r="O727" s="1"/>
      <c r="P727" s="1"/>
      <c r="Q727" s="1"/>
      <c r="R727" s="1"/>
      <c r="S727" s="1"/>
      <c r="T727" s="1"/>
      <c r="U727" s="2"/>
      <c r="V727" s="1"/>
      <c r="W727" s="1"/>
      <c r="X727" s="1"/>
      <c r="Y727" s="1"/>
      <c r="Z727" s="1"/>
    </row>
    <row r="728" spans="1:26" ht="24.75" customHeight="1">
      <c r="A728" s="1"/>
      <c r="B728" s="1"/>
      <c r="C728" s="1"/>
      <c r="D728" s="1"/>
      <c r="E728" s="1"/>
      <c r="F728" s="1"/>
      <c r="G728" s="1"/>
      <c r="H728" s="1"/>
      <c r="I728" s="1"/>
      <c r="J728" s="1"/>
      <c r="K728" s="1"/>
      <c r="L728" s="1"/>
      <c r="M728" s="1"/>
      <c r="N728" s="1"/>
      <c r="O728" s="1"/>
      <c r="P728" s="1"/>
      <c r="Q728" s="1"/>
      <c r="R728" s="1"/>
      <c r="S728" s="1"/>
      <c r="T728" s="1"/>
      <c r="U728" s="2"/>
      <c r="V728" s="1"/>
      <c r="W728" s="1"/>
      <c r="X728" s="1"/>
      <c r="Y728" s="1"/>
      <c r="Z728" s="1"/>
    </row>
    <row r="729" spans="1:26" ht="24.75" customHeight="1">
      <c r="A729" s="1"/>
      <c r="B729" s="1"/>
      <c r="C729" s="1"/>
      <c r="D729" s="1"/>
      <c r="E729" s="1"/>
      <c r="F729" s="1"/>
      <c r="G729" s="1"/>
      <c r="H729" s="1"/>
      <c r="I729" s="1"/>
      <c r="J729" s="1"/>
      <c r="K729" s="1"/>
      <c r="L729" s="1"/>
      <c r="M729" s="1"/>
      <c r="N729" s="1"/>
      <c r="O729" s="1"/>
      <c r="P729" s="1"/>
      <c r="Q729" s="1"/>
      <c r="R729" s="1"/>
      <c r="S729" s="1"/>
      <c r="T729" s="1"/>
      <c r="U729" s="2"/>
      <c r="V729" s="1"/>
      <c r="W729" s="1"/>
      <c r="X729" s="1"/>
      <c r="Y729" s="1"/>
      <c r="Z729" s="1"/>
    </row>
    <row r="730" spans="1:26" ht="24.75" customHeight="1">
      <c r="A730" s="1"/>
      <c r="B730" s="1"/>
      <c r="C730" s="1"/>
      <c r="D730" s="1"/>
      <c r="E730" s="1"/>
      <c r="F730" s="1"/>
      <c r="G730" s="1"/>
      <c r="H730" s="1"/>
      <c r="I730" s="1"/>
      <c r="J730" s="1"/>
      <c r="K730" s="1"/>
      <c r="L730" s="1"/>
      <c r="M730" s="1"/>
      <c r="N730" s="1"/>
      <c r="O730" s="1"/>
      <c r="P730" s="1"/>
      <c r="Q730" s="1"/>
      <c r="R730" s="1"/>
      <c r="S730" s="1"/>
      <c r="T730" s="1"/>
      <c r="U730" s="2"/>
      <c r="V730" s="1"/>
      <c r="W730" s="1"/>
      <c r="X730" s="1"/>
      <c r="Y730" s="1"/>
      <c r="Z730" s="1"/>
    </row>
    <row r="731" spans="1:26" ht="24.75" customHeight="1">
      <c r="A731" s="1"/>
      <c r="B731" s="1"/>
      <c r="C731" s="1"/>
      <c r="D731" s="1"/>
      <c r="E731" s="1"/>
      <c r="F731" s="1"/>
      <c r="G731" s="1"/>
      <c r="H731" s="1"/>
      <c r="I731" s="1"/>
      <c r="J731" s="1"/>
      <c r="K731" s="1"/>
      <c r="L731" s="1"/>
      <c r="M731" s="1"/>
      <c r="N731" s="1"/>
      <c r="O731" s="1"/>
      <c r="P731" s="1"/>
      <c r="Q731" s="1"/>
      <c r="R731" s="1"/>
      <c r="S731" s="1"/>
      <c r="T731" s="1"/>
      <c r="U731" s="2"/>
      <c r="V731" s="1"/>
      <c r="W731" s="1"/>
      <c r="X731" s="1"/>
      <c r="Y731" s="1"/>
      <c r="Z731" s="1"/>
    </row>
    <row r="732" spans="1:26" ht="24.75" customHeight="1">
      <c r="A732" s="1"/>
      <c r="B732" s="1"/>
      <c r="C732" s="1"/>
      <c r="D732" s="1"/>
      <c r="E732" s="1"/>
      <c r="F732" s="1"/>
      <c r="G732" s="1"/>
      <c r="H732" s="1"/>
      <c r="I732" s="1"/>
      <c r="J732" s="1"/>
      <c r="K732" s="1"/>
      <c r="L732" s="1"/>
      <c r="M732" s="1"/>
      <c r="N732" s="1"/>
      <c r="O732" s="1"/>
      <c r="P732" s="1"/>
      <c r="Q732" s="1"/>
      <c r="R732" s="1"/>
      <c r="S732" s="1"/>
      <c r="T732" s="1"/>
      <c r="U732" s="2"/>
      <c r="V732" s="1"/>
      <c r="W732" s="1"/>
      <c r="X732" s="1"/>
      <c r="Y732" s="1"/>
      <c r="Z732" s="1"/>
    </row>
    <row r="733" spans="1:26" ht="24.75" customHeight="1">
      <c r="A733" s="1"/>
      <c r="B733" s="1"/>
      <c r="C733" s="1"/>
      <c r="D733" s="1"/>
      <c r="E733" s="1"/>
      <c r="F733" s="1"/>
      <c r="G733" s="1"/>
      <c r="H733" s="1"/>
      <c r="I733" s="1"/>
      <c r="J733" s="1"/>
      <c r="K733" s="1"/>
      <c r="L733" s="1"/>
      <c r="M733" s="1"/>
      <c r="N733" s="1"/>
      <c r="O733" s="1"/>
      <c r="P733" s="1"/>
      <c r="Q733" s="1"/>
      <c r="R733" s="1"/>
      <c r="S733" s="1"/>
      <c r="T733" s="1"/>
      <c r="U733" s="2"/>
      <c r="V733" s="1"/>
      <c r="W733" s="1"/>
      <c r="X733" s="1"/>
      <c r="Y733" s="1"/>
      <c r="Z733" s="1"/>
    </row>
    <row r="734" spans="1:26" ht="24.75" customHeight="1">
      <c r="A734" s="1"/>
      <c r="B734" s="1"/>
      <c r="C734" s="1"/>
      <c r="D734" s="1"/>
      <c r="E734" s="1"/>
      <c r="F734" s="1"/>
      <c r="G734" s="1"/>
      <c r="H734" s="1"/>
      <c r="I734" s="1"/>
      <c r="J734" s="1"/>
      <c r="K734" s="1"/>
      <c r="L734" s="1"/>
      <c r="M734" s="1"/>
      <c r="N734" s="1"/>
      <c r="O734" s="1"/>
      <c r="P734" s="1"/>
      <c r="Q734" s="1"/>
      <c r="R734" s="1"/>
      <c r="S734" s="1"/>
      <c r="T734" s="1"/>
      <c r="U734" s="2"/>
      <c r="V734" s="1"/>
      <c r="W734" s="1"/>
      <c r="X734" s="1"/>
      <c r="Y734" s="1"/>
      <c r="Z734" s="1"/>
    </row>
    <row r="735" spans="1:26" ht="24.75" customHeight="1">
      <c r="A735" s="1"/>
      <c r="B735" s="1"/>
      <c r="C735" s="1"/>
      <c r="D735" s="1"/>
      <c r="E735" s="1"/>
      <c r="F735" s="1"/>
      <c r="G735" s="1"/>
      <c r="H735" s="1"/>
      <c r="I735" s="1"/>
      <c r="J735" s="1"/>
      <c r="K735" s="1"/>
      <c r="L735" s="1"/>
      <c r="M735" s="1"/>
      <c r="N735" s="1"/>
      <c r="O735" s="1"/>
      <c r="P735" s="1"/>
      <c r="Q735" s="1"/>
      <c r="R735" s="1"/>
      <c r="S735" s="1"/>
      <c r="T735" s="1"/>
      <c r="U735" s="2"/>
      <c r="V735" s="1"/>
      <c r="W735" s="1"/>
      <c r="X735" s="1"/>
      <c r="Y735" s="1"/>
      <c r="Z735" s="1"/>
    </row>
    <row r="736" spans="1:26" ht="24.75" customHeight="1">
      <c r="A736" s="1"/>
      <c r="B736" s="1"/>
      <c r="C736" s="1"/>
      <c r="D736" s="1"/>
      <c r="E736" s="1"/>
      <c r="F736" s="1"/>
      <c r="G736" s="1"/>
      <c r="H736" s="1"/>
      <c r="I736" s="1"/>
      <c r="J736" s="1"/>
      <c r="K736" s="1"/>
      <c r="L736" s="1"/>
      <c r="M736" s="1"/>
      <c r="N736" s="1"/>
      <c r="O736" s="1"/>
      <c r="P736" s="1"/>
      <c r="Q736" s="1"/>
      <c r="R736" s="1"/>
      <c r="S736" s="1"/>
      <c r="T736" s="1"/>
      <c r="U736" s="2"/>
      <c r="V736" s="1"/>
      <c r="W736" s="1"/>
      <c r="X736" s="1"/>
      <c r="Y736" s="1"/>
      <c r="Z736" s="1"/>
    </row>
    <row r="737" spans="1:26" ht="24.75" customHeight="1">
      <c r="A737" s="1"/>
      <c r="B737" s="1"/>
      <c r="C737" s="1"/>
      <c r="D737" s="1"/>
      <c r="E737" s="1"/>
      <c r="F737" s="1"/>
      <c r="G737" s="1"/>
      <c r="H737" s="1"/>
      <c r="I737" s="1"/>
      <c r="J737" s="1"/>
      <c r="K737" s="1"/>
      <c r="L737" s="1"/>
      <c r="M737" s="1"/>
      <c r="N737" s="1"/>
      <c r="O737" s="1"/>
      <c r="P737" s="1"/>
      <c r="Q737" s="1"/>
      <c r="R737" s="1"/>
      <c r="S737" s="1"/>
      <c r="T737" s="1"/>
      <c r="U737" s="2"/>
      <c r="V737" s="1"/>
      <c r="W737" s="1"/>
      <c r="X737" s="1"/>
      <c r="Y737" s="1"/>
      <c r="Z737" s="1"/>
    </row>
    <row r="738" spans="1:26" ht="24.75" customHeight="1">
      <c r="A738" s="1"/>
      <c r="B738" s="1"/>
      <c r="C738" s="1"/>
      <c r="D738" s="1"/>
      <c r="E738" s="1"/>
      <c r="F738" s="1"/>
      <c r="G738" s="1"/>
      <c r="H738" s="1"/>
      <c r="I738" s="1"/>
      <c r="J738" s="1"/>
      <c r="K738" s="1"/>
      <c r="L738" s="1"/>
      <c r="M738" s="1"/>
      <c r="N738" s="1"/>
      <c r="O738" s="1"/>
      <c r="P738" s="1"/>
      <c r="Q738" s="1"/>
      <c r="R738" s="1"/>
      <c r="S738" s="1"/>
      <c r="T738" s="1"/>
      <c r="U738" s="2"/>
      <c r="V738" s="1"/>
      <c r="W738" s="1"/>
      <c r="X738" s="1"/>
      <c r="Y738" s="1"/>
      <c r="Z738" s="1"/>
    </row>
    <row r="739" spans="1:26" ht="24.75" customHeight="1">
      <c r="A739" s="1"/>
      <c r="B739" s="1"/>
      <c r="C739" s="1"/>
      <c r="D739" s="1"/>
      <c r="E739" s="1"/>
      <c r="F739" s="1"/>
      <c r="G739" s="1"/>
      <c r="H739" s="1"/>
      <c r="I739" s="1"/>
      <c r="J739" s="1"/>
      <c r="K739" s="1"/>
      <c r="L739" s="1"/>
      <c r="M739" s="1"/>
      <c r="N739" s="1"/>
      <c r="O739" s="1"/>
      <c r="P739" s="1"/>
      <c r="Q739" s="1"/>
      <c r="R739" s="1"/>
      <c r="S739" s="1"/>
      <c r="T739" s="1"/>
      <c r="U739" s="2"/>
      <c r="V739" s="1"/>
      <c r="W739" s="1"/>
      <c r="X739" s="1"/>
      <c r="Y739" s="1"/>
      <c r="Z739" s="1"/>
    </row>
    <row r="740" spans="1:26" ht="24.75" customHeight="1">
      <c r="A740" s="1"/>
      <c r="B740" s="1"/>
      <c r="C740" s="1"/>
      <c r="D740" s="1"/>
      <c r="E740" s="1"/>
      <c r="F740" s="1"/>
      <c r="G740" s="1"/>
      <c r="H740" s="1"/>
      <c r="I740" s="1"/>
      <c r="J740" s="1"/>
      <c r="K740" s="1"/>
      <c r="L740" s="1"/>
      <c r="M740" s="1"/>
      <c r="N740" s="1"/>
      <c r="O740" s="1"/>
      <c r="P740" s="1"/>
      <c r="Q740" s="1"/>
      <c r="R740" s="1"/>
      <c r="S740" s="1"/>
      <c r="T740" s="1"/>
      <c r="U740" s="2"/>
      <c r="V740" s="1"/>
      <c r="W740" s="1"/>
      <c r="X740" s="1"/>
      <c r="Y740" s="1"/>
      <c r="Z740" s="1"/>
    </row>
    <row r="741" spans="1:26" ht="24.75" customHeight="1">
      <c r="A741" s="1"/>
      <c r="B741" s="1"/>
      <c r="C741" s="1"/>
      <c r="D741" s="1"/>
      <c r="E741" s="1"/>
      <c r="F741" s="1"/>
      <c r="G741" s="1"/>
      <c r="H741" s="1"/>
      <c r="I741" s="1"/>
      <c r="J741" s="1"/>
      <c r="K741" s="1"/>
      <c r="L741" s="1"/>
      <c r="M741" s="1"/>
      <c r="N741" s="1"/>
      <c r="O741" s="1"/>
      <c r="P741" s="1"/>
      <c r="Q741" s="1"/>
      <c r="R741" s="1"/>
      <c r="S741" s="1"/>
      <c r="T741" s="1"/>
      <c r="U741" s="2"/>
      <c r="V741" s="1"/>
      <c r="W741" s="1"/>
      <c r="X741" s="1"/>
      <c r="Y741" s="1"/>
      <c r="Z741" s="1"/>
    </row>
    <row r="742" spans="1:26" ht="24.75" customHeight="1">
      <c r="A742" s="1"/>
      <c r="B742" s="1"/>
      <c r="C742" s="1"/>
      <c r="D742" s="1"/>
      <c r="E742" s="1"/>
      <c r="F742" s="1"/>
      <c r="G742" s="1"/>
      <c r="H742" s="1"/>
      <c r="I742" s="1"/>
      <c r="J742" s="1"/>
      <c r="K742" s="1"/>
      <c r="L742" s="1"/>
      <c r="M742" s="1"/>
      <c r="N742" s="1"/>
      <c r="O742" s="1"/>
      <c r="P742" s="1"/>
      <c r="Q742" s="1"/>
      <c r="R742" s="1"/>
      <c r="S742" s="1"/>
      <c r="T742" s="1"/>
      <c r="U742" s="2"/>
      <c r="V742" s="1"/>
      <c r="W742" s="1"/>
      <c r="X742" s="1"/>
      <c r="Y742" s="1"/>
      <c r="Z742" s="1"/>
    </row>
    <row r="743" spans="1:26" ht="24.75" customHeight="1">
      <c r="A743" s="1"/>
      <c r="B743" s="1"/>
      <c r="C743" s="1"/>
      <c r="D743" s="1"/>
      <c r="E743" s="1"/>
      <c r="F743" s="1"/>
      <c r="G743" s="1"/>
      <c r="H743" s="1"/>
      <c r="I743" s="1"/>
      <c r="J743" s="1"/>
      <c r="K743" s="1"/>
      <c r="L743" s="1"/>
      <c r="M743" s="1"/>
      <c r="N743" s="1"/>
      <c r="O743" s="1"/>
      <c r="P743" s="1"/>
      <c r="Q743" s="1"/>
      <c r="R743" s="1"/>
      <c r="S743" s="1"/>
      <c r="T743" s="1"/>
      <c r="U743" s="2"/>
      <c r="V743" s="1"/>
      <c r="W743" s="1"/>
      <c r="X743" s="1"/>
      <c r="Y743" s="1"/>
      <c r="Z743" s="1"/>
    </row>
    <row r="744" spans="1:26" ht="24.75" customHeight="1">
      <c r="A744" s="1"/>
      <c r="B744" s="1"/>
      <c r="C744" s="1"/>
      <c r="D744" s="1"/>
      <c r="E744" s="1"/>
      <c r="F744" s="1"/>
      <c r="G744" s="1"/>
      <c r="H744" s="1"/>
      <c r="I744" s="1"/>
      <c r="J744" s="1"/>
      <c r="K744" s="1"/>
      <c r="L744" s="1"/>
      <c r="M744" s="1"/>
      <c r="N744" s="1"/>
      <c r="O744" s="1"/>
      <c r="P744" s="1"/>
      <c r="Q744" s="1"/>
      <c r="R744" s="1"/>
      <c r="S744" s="1"/>
      <c r="T744" s="1"/>
      <c r="U744" s="2"/>
      <c r="V744" s="1"/>
      <c r="W744" s="1"/>
      <c r="X744" s="1"/>
      <c r="Y744" s="1"/>
      <c r="Z744" s="1"/>
    </row>
    <row r="745" spans="1:26" ht="24.75" customHeight="1">
      <c r="A745" s="1"/>
      <c r="B745" s="1"/>
      <c r="C745" s="1"/>
      <c r="D745" s="1"/>
      <c r="E745" s="1"/>
      <c r="F745" s="1"/>
      <c r="G745" s="1"/>
      <c r="H745" s="1"/>
      <c r="I745" s="1"/>
      <c r="J745" s="1"/>
      <c r="K745" s="1"/>
      <c r="L745" s="1"/>
      <c r="M745" s="1"/>
      <c r="N745" s="1"/>
      <c r="O745" s="1"/>
      <c r="P745" s="1"/>
      <c r="Q745" s="1"/>
      <c r="R745" s="1"/>
      <c r="S745" s="1"/>
      <c r="T745" s="1"/>
      <c r="U745" s="2"/>
      <c r="V745" s="1"/>
      <c r="W745" s="1"/>
      <c r="X745" s="1"/>
      <c r="Y745" s="1"/>
      <c r="Z745" s="1"/>
    </row>
    <row r="746" spans="1:26" ht="24.75" customHeight="1">
      <c r="A746" s="1"/>
      <c r="B746" s="1"/>
      <c r="C746" s="1"/>
      <c r="D746" s="1"/>
      <c r="E746" s="1"/>
      <c r="F746" s="1"/>
      <c r="G746" s="1"/>
      <c r="H746" s="1"/>
      <c r="I746" s="1"/>
      <c r="J746" s="1"/>
      <c r="K746" s="1"/>
      <c r="L746" s="1"/>
      <c r="M746" s="1"/>
      <c r="N746" s="1"/>
      <c r="O746" s="1"/>
      <c r="P746" s="1"/>
      <c r="Q746" s="1"/>
      <c r="R746" s="1"/>
      <c r="S746" s="1"/>
      <c r="T746" s="1"/>
      <c r="U746" s="2"/>
      <c r="V746" s="1"/>
      <c r="W746" s="1"/>
      <c r="X746" s="1"/>
      <c r="Y746" s="1"/>
      <c r="Z746" s="1"/>
    </row>
    <row r="747" spans="1:26" ht="24.75" customHeight="1">
      <c r="A747" s="1"/>
      <c r="B747" s="1"/>
      <c r="C747" s="1"/>
      <c r="D747" s="1"/>
      <c r="E747" s="1"/>
      <c r="F747" s="1"/>
      <c r="G747" s="1"/>
      <c r="H747" s="1"/>
      <c r="I747" s="1"/>
      <c r="J747" s="1"/>
      <c r="K747" s="1"/>
      <c r="L747" s="1"/>
      <c r="M747" s="1"/>
      <c r="N747" s="1"/>
      <c r="O747" s="1"/>
      <c r="P747" s="1"/>
      <c r="Q747" s="1"/>
      <c r="R747" s="1"/>
      <c r="S747" s="1"/>
      <c r="T747" s="1"/>
      <c r="U747" s="2"/>
      <c r="V747" s="1"/>
      <c r="W747" s="1"/>
      <c r="X747" s="1"/>
      <c r="Y747" s="1"/>
      <c r="Z747" s="1"/>
    </row>
    <row r="748" spans="1:26" ht="24.75" customHeight="1">
      <c r="A748" s="1"/>
      <c r="B748" s="1"/>
      <c r="C748" s="1"/>
      <c r="D748" s="1"/>
      <c r="E748" s="1"/>
      <c r="F748" s="1"/>
      <c r="G748" s="1"/>
      <c r="H748" s="1"/>
      <c r="I748" s="1"/>
      <c r="J748" s="1"/>
      <c r="K748" s="1"/>
      <c r="L748" s="1"/>
      <c r="M748" s="1"/>
      <c r="N748" s="1"/>
      <c r="O748" s="1"/>
      <c r="P748" s="1"/>
      <c r="Q748" s="1"/>
      <c r="R748" s="1"/>
      <c r="S748" s="1"/>
      <c r="T748" s="1"/>
      <c r="U748" s="2"/>
      <c r="V748" s="1"/>
      <c r="W748" s="1"/>
      <c r="X748" s="1"/>
      <c r="Y748" s="1"/>
      <c r="Z748" s="1"/>
    </row>
    <row r="749" spans="1:26" ht="24.75" customHeight="1">
      <c r="A749" s="1"/>
      <c r="B749" s="1"/>
      <c r="C749" s="1"/>
      <c r="D749" s="1"/>
      <c r="E749" s="1"/>
      <c r="F749" s="1"/>
      <c r="G749" s="1"/>
      <c r="H749" s="1"/>
      <c r="I749" s="1"/>
      <c r="J749" s="1"/>
      <c r="K749" s="1"/>
      <c r="L749" s="1"/>
      <c r="M749" s="1"/>
      <c r="N749" s="1"/>
      <c r="O749" s="1"/>
      <c r="P749" s="1"/>
      <c r="Q749" s="1"/>
      <c r="R749" s="1"/>
      <c r="S749" s="1"/>
      <c r="T749" s="1"/>
      <c r="U749" s="2"/>
      <c r="V749" s="1"/>
      <c r="W749" s="1"/>
      <c r="X749" s="1"/>
      <c r="Y749" s="1"/>
      <c r="Z749" s="1"/>
    </row>
    <row r="750" spans="1:26" ht="24.75" customHeight="1">
      <c r="A750" s="1"/>
      <c r="B750" s="1"/>
      <c r="C750" s="1"/>
      <c r="D750" s="1"/>
      <c r="E750" s="1"/>
      <c r="F750" s="1"/>
      <c r="G750" s="1"/>
      <c r="H750" s="1"/>
      <c r="I750" s="1"/>
      <c r="J750" s="1"/>
      <c r="K750" s="1"/>
      <c r="L750" s="1"/>
      <c r="M750" s="1"/>
      <c r="N750" s="1"/>
      <c r="O750" s="1"/>
      <c r="P750" s="1"/>
      <c r="Q750" s="1"/>
      <c r="R750" s="1"/>
      <c r="S750" s="1"/>
      <c r="T750" s="1"/>
      <c r="U750" s="2"/>
      <c r="V750" s="1"/>
      <c r="W750" s="1"/>
      <c r="X750" s="1"/>
      <c r="Y750" s="1"/>
      <c r="Z750" s="1"/>
    </row>
    <row r="751" spans="1:26" ht="24.75" customHeight="1">
      <c r="A751" s="1"/>
      <c r="B751" s="1"/>
      <c r="C751" s="1"/>
      <c r="D751" s="1"/>
      <c r="E751" s="1"/>
      <c r="F751" s="1"/>
      <c r="G751" s="1"/>
      <c r="H751" s="1"/>
      <c r="I751" s="1"/>
      <c r="J751" s="1"/>
      <c r="K751" s="1"/>
      <c r="L751" s="1"/>
      <c r="M751" s="1"/>
      <c r="N751" s="1"/>
      <c r="O751" s="1"/>
      <c r="P751" s="1"/>
      <c r="Q751" s="1"/>
      <c r="R751" s="1"/>
      <c r="S751" s="1"/>
      <c r="T751" s="1"/>
      <c r="U751" s="2"/>
      <c r="V751" s="1"/>
      <c r="W751" s="1"/>
      <c r="X751" s="1"/>
      <c r="Y751" s="1"/>
      <c r="Z751" s="1"/>
    </row>
    <row r="752" spans="1:26" ht="24.75" customHeight="1">
      <c r="A752" s="1"/>
      <c r="B752" s="1"/>
      <c r="C752" s="1"/>
      <c r="D752" s="1"/>
      <c r="E752" s="1"/>
      <c r="F752" s="1"/>
      <c r="G752" s="1"/>
      <c r="H752" s="1"/>
      <c r="I752" s="1"/>
      <c r="J752" s="1"/>
      <c r="K752" s="1"/>
      <c r="L752" s="1"/>
      <c r="M752" s="1"/>
      <c r="N752" s="1"/>
      <c r="O752" s="1"/>
      <c r="P752" s="1"/>
      <c r="Q752" s="1"/>
      <c r="R752" s="1"/>
      <c r="S752" s="1"/>
      <c r="T752" s="1"/>
      <c r="U752" s="2"/>
      <c r="V752" s="1"/>
      <c r="W752" s="1"/>
      <c r="X752" s="1"/>
      <c r="Y752" s="1"/>
      <c r="Z752" s="1"/>
    </row>
    <row r="753" spans="1:26" ht="24.75" customHeight="1">
      <c r="A753" s="1"/>
      <c r="B753" s="1"/>
      <c r="C753" s="1"/>
      <c r="D753" s="1"/>
      <c r="E753" s="1"/>
      <c r="F753" s="1"/>
      <c r="G753" s="1"/>
      <c r="H753" s="1"/>
      <c r="I753" s="1"/>
      <c r="J753" s="1"/>
      <c r="K753" s="1"/>
      <c r="L753" s="1"/>
      <c r="M753" s="1"/>
      <c r="N753" s="1"/>
      <c r="O753" s="1"/>
      <c r="P753" s="1"/>
      <c r="Q753" s="1"/>
      <c r="R753" s="1"/>
      <c r="S753" s="1"/>
      <c r="T753" s="1"/>
      <c r="U753" s="2"/>
      <c r="V753" s="1"/>
      <c r="W753" s="1"/>
      <c r="X753" s="1"/>
      <c r="Y753" s="1"/>
      <c r="Z753" s="1"/>
    </row>
    <row r="754" spans="1:26" ht="24.75" customHeight="1">
      <c r="A754" s="1"/>
      <c r="B754" s="1"/>
      <c r="C754" s="1"/>
      <c r="D754" s="1"/>
      <c r="E754" s="1"/>
      <c r="F754" s="1"/>
      <c r="G754" s="1"/>
      <c r="H754" s="1"/>
      <c r="I754" s="1"/>
      <c r="J754" s="1"/>
      <c r="K754" s="1"/>
      <c r="L754" s="1"/>
      <c r="M754" s="1"/>
      <c r="N754" s="1"/>
      <c r="O754" s="1"/>
      <c r="P754" s="1"/>
      <c r="Q754" s="1"/>
      <c r="R754" s="1"/>
      <c r="S754" s="1"/>
      <c r="T754" s="1"/>
      <c r="U754" s="2"/>
      <c r="V754" s="1"/>
      <c r="W754" s="1"/>
      <c r="X754" s="1"/>
      <c r="Y754" s="1"/>
      <c r="Z754" s="1"/>
    </row>
    <row r="755" spans="1:26" ht="24.75" customHeight="1">
      <c r="A755" s="1"/>
      <c r="B755" s="1"/>
      <c r="C755" s="1"/>
      <c r="D755" s="1"/>
      <c r="E755" s="1"/>
      <c r="F755" s="1"/>
      <c r="G755" s="1"/>
      <c r="H755" s="1"/>
      <c r="I755" s="1"/>
      <c r="J755" s="1"/>
      <c r="K755" s="1"/>
      <c r="L755" s="1"/>
      <c r="M755" s="1"/>
      <c r="N755" s="1"/>
      <c r="O755" s="1"/>
      <c r="P755" s="1"/>
      <c r="Q755" s="1"/>
      <c r="R755" s="1"/>
      <c r="S755" s="1"/>
      <c r="T755" s="1"/>
      <c r="U755" s="2"/>
      <c r="V755" s="1"/>
      <c r="W755" s="1"/>
      <c r="X755" s="1"/>
      <c r="Y755" s="1"/>
      <c r="Z755" s="1"/>
    </row>
    <row r="756" spans="1:26" ht="24.75" customHeight="1">
      <c r="A756" s="1"/>
      <c r="B756" s="1"/>
      <c r="C756" s="1"/>
      <c r="D756" s="1"/>
      <c r="E756" s="1"/>
      <c r="F756" s="1"/>
      <c r="G756" s="1"/>
      <c r="H756" s="1"/>
      <c r="I756" s="1"/>
      <c r="J756" s="1"/>
      <c r="K756" s="1"/>
      <c r="L756" s="1"/>
      <c r="M756" s="1"/>
      <c r="N756" s="1"/>
      <c r="O756" s="1"/>
      <c r="P756" s="1"/>
      <c r="Q756" s="1"/>
      <c r="R756" s="1"/>
      <c r="S756" s="1"/>
      <c r="T756" s="1"/>
      <c r="U756" s="2"/>
      <c r="V756" s="1"/>
      <c r="W756" s="1"/>
      <c r="X756" s="1"/>
      <c r="Y756" s="1"/>
      <c r="Z756" s="1"/>
    </row>
    <row r="757" spans="1:26" ht="24.75" customHeight="1">
      <c r="A757" s="1"/>
      <c r="B757" s="1"/>
      <c r="C757" s="1"/>
      <c r="D757" s="1"/>
      <c r="E757" s="1"/>
      <c r="F757" s="1"/>
      <c r="G757" s="1"/>
      <c r="H757" s="1"/>
      <c r="I757" s="1"/>
      <c r="J757" s="1"/>
      <c r="K757" s="1"/>
      <c r="L757" s="1"/>
      <c r="M757" s="1"/>
      <c r="N757" s="1"/>
      <c r="O757" s="1"/>
      <c r="P757" s="1"/>
      <c r="Q757" s="1"/>
      <c r="R757" s="1"/>
      <c r="S757" s="1"/>
      <c r="T757" s="1"/>
      <c r="U757" s="2"/>
      <c r="V757" s="1"/>
      <c r="W757" s="1"/>
      <c r="X757" s="1"/>
      <c r="Y757" s="1"/>
      <c r="Z757" s="1"/>
    </row>
    <row r="758" spans="1:26" ht="24.75" customHeight="1">
      <c r="A758" s="1"/>
      <c r="B758" s="1"/>
      <c r="C758" s="1"/>
      <c r="D758" s="1"/>
      <c r="E758" s="1"/>
      <c r="F758" s="1"/>
      <c r="G758" s="1"/>
      <c r="H758" s="1"/>
      <c r="I758" s="1"/>
      <c r="J758" s="1"/>
      <c r="K758" s="1"/>
      <c r="L758" s="1"/>
      <c r="M758" s="1"/>
      <c r="N758" s="1"/>
      <c r="O758" s="1"/>
      <c r="P758" s="1"/>
      <c r="Q758" s="1"/>
      <c r="R758" s="1"/>
      <c r="S758" s="1"/>
      <c r="T758" s="1"/>
      <c r="U758" s="2"/>
      <c r="V758" s="1"/>
      <c r="W758" s="1"/>
      <c r="X758" s="1"/>
      <c r="Y758" s="1"/>
      <c r="Z758" s="1"/>
    </row>
    <row r="759" spans="1:26" ht="24.75" customHeight="1">
      <c r="A759" s="1"/>
      <c r="B759" s="1"/>
      <c r="C759" s="1"/>
      <c r="D759" s="1"/>
      <c r="E759" s="1"/>
      <c r="F759" s="1"/>
      <c r="G759" s="1"/>
      <c r="H759" s="1"/>
      <c r="I759" s="1"/>
      <c r="J759" s="1"/>
      <c r="K759" s="1"/>
      <c r="L759" s="1"/>
      <c r="M759" s="1"/>
      <c r="N759" s="1"/>
      <c r="O759" s="1"/>
      <c r="P759" s="1"/>
      <c r="Q759" s="1"/>
      <c r="R759" s="1"/>
      <c r="S759" s="1"/>
      <c r="T759" s="1"/>
      <c r="U759" s="2"/>
      <c r="V759" s="1"/>
      <c r="W759" s="1"/>
      <c r="X759" s="1"/>
      <c r="Y759" s="1"/>
      <c r="Z759" s="1"/>
    </row>
    <row r="760" spans="1:26" ht="24.75" customHeight="1">
      <c r="A760" s="1"/>
      <c r="B760" s="1"/>
      <c r="C760" s="1"/>
      <c r="D760" s="1"/>
      <c r="E760" s="1"/>
      <c r="F760" s="1"/>
      <c r="G760" s="1"/>
      <c r="H760" s="1"/>
      <c r="I760" s="1"/>
      <c r="J760" s="1"/>
      <c r="K760" s="1"/>
      <c r="L760" s="1"/>
      <c r="M760" s="1"/>
      <c r="N760" s="1"/>
      <c r="O760" s="1"/>
      <c r="P760" s="1"/>
      <c r="Q760" s="1"/>
      <c r="R760" s="1"/>
      <c r="S760" s="1"/>
      <c r="T760" s="1"/>
      <c r="U760" s="2"/>
      <c r="V760" s="1"/>
      <c r="W760" s="1"/>
      <c r="X760" s="1"/>
      <c r="Y760" s="1"/>
      <c r="Z760" s="1"/>
    </row>
    <row r="761" spans="1:26" ht="24.75" customHeight="1">
      <c r="A761" s="1"/>
      <c r="B761" s="1"/>
      <c r="C761" s="1"/>
      <c r="D761" s="1"/>
      <c r="E761" s="1"/>
      <c r="F761" s="1"/>
      <c r="G761" s="1"/>
      <c r="H761" s="1"/>
      <c r="I761" s="1"/>
      <c r="J761" s="1"/>
      <c r="K761" s="1"/>
      <c r="L761" s="1"/>
      <c r="M761" s="1"/>
      <c r="N761" s="1"/>
      <c r="O761" s="1"/>
      <c r="P761" s="1"/>
      <c r="Q761" s="1"/>
      <c r="R761" s="1"/>
      <c r="S761" s="1"/>
      <c r="T761" s="1"/>
      <c r="U761" s="2"/>
      <c r="V761" s="1"/>
      <c r="W761" s="1"/>
      <c r="X761" s="1"/>
      <c r="Y761" s="1"/>
      <c r="Z761" s="1"/>
    </row>
    <row r="762" spans="1:26" ht="24.75" customHeight="1">
      <c r="A762" s="1"/>
      <c r="B762" s="1"/>
      <c r="C762" s="1"/>
      <c r="D762" s="1"/>
      <c r="E762" s="1"/>
      <c r="F762" s="1"/>
      <c r="G762" s="1"/>
      <c r="H762" s="1"/>
      <c r="I762" s="1"/>
      <c r="J762" s="1"/>
      <c r="K762" s="1"/>
      <c r="L762" s="1"/>
      <c r="M762" s="1"/>
      <c r="N762" s="1"/>
      <c r="O762" s="1"/>
      <c r="P762" s="1"/>
      <c r="Q762" s="1"/>
      <c r="R762" s="1"/>
      <c r="S762" s="1"/>
      <c r="T762" s="1"/>
      <c r="U762" s="2"/>
      <c r="V762" s="1"/>
      <c r="W762" s="1"/>
      <c r="X762" s="1"/>
      <c r="Y762" s="1"/>
      <c r="Z762" s="1"/>
    </row>
    <row r="763" spans="1:26" ht="24.75" customHeight="1">
      <c r="A763" s="1"/>
      <c r="B763" s="1"/>
      <c r="C763" s="1"/>
      <c r="D763" s="1"/>
      <c r="E763" s="1"/>
      <c r="F763" s="1"/>
      <c r="G763" s="1"/>
      <c r="H763" s="1"/>
      <c r="I763" s="1"/>
      <c r="J763" s="1"/>
      <c r="K763" s="1"/>
      <c r="L763" s="1"/>
      <c r="M763" s="1"/>
      <c r="N763" s="1"/>
      <c r="O763" s="1"/>
      <c r="P763" s="1"/>
      <c r="Q763" s="1"/>
      <c r="R763" s="1"/>
      <c r="S763" s="1"/>
      <c r="T763" s="1"/>
      <c r="U763" s="2"/>
      <c r="V763" s="1"/>
      <c r="W763" s="1"/>
      <c r="X763" s="1"/>
      <c r="Y763" s="1"/>
      <c r="Z763" s="1"/>
    </row>
    <row r="764" spans="1:26" ht="24.75" customHeight="1">
      <c r="A764" s="1"/>
      <c r="B764" s="1"/>
      <c r="C764" s="1"/>
      <c r="D764" s="1"/>
      <c r="E764" s="1"/>
      <c r="F764" s="1"/>
      <c r="G764" s="1"/>
      <c r="H764" s="1"/>
      <c r="I764" s="1"/>
      <c r="J764" s="1"/>
      <c r="K764" s="1"/>
      <c r="L764" s="1"/>
      <c r="M764" s="1"/>
      <c r="N764" s="1"/>
      <c r="O764" s="1"/>
      <c r="P764" s="1"/>
      <c r="Q764" s="1"/>
      <c r="R764" s="1"/>
      <c r="S764" s="1"/>
      <c r="T764" s="1"/>
      <c r="U764" s="2"/>
      <c r="V764" s="1"/>
      <c r="W764" s="1"/>
      <c r="X764" s="1"/>
      <c r="Y764" s="1"/>
      <c r="Z764" s="1"/>
    </row>
    <row r="765" spans="1:26" ht="24.75" customHeight="1">
      <c r="A765" s="1"/>
      <c r="B765" s="1"/>
      <c r="C765" s="1"/>
      <c r="D765" s="1"/>
      <c r="E765" s="1"/>
      <c r="F765" s="1"/>
      <c r="G765" s="1"/>
      <c r="H765" s="1"/>
      <c r="I765" s="1"/>
      <c r="J765" s="1"/>
      <c r="K765" s="1"/>
      <c r="L765" s="1"/>
      <c r="M765" s="1"/>
      <c r="N765" s="1"/>
      <c r="O765" s="1"/>
      <c r="P765" s="1"/>
      <c r="Q765" s="1"/>
      <c r="R765" s="1"/>
      <c r="S765" s="1"/>
      <c r="T765" s="1"/>
      <c r="U765" s="2"/>
      <c r="V765" s="1"/>
      <c r="W765" s="1"/>
      <c r="X765" s="1"/>
      <c r="Y765" s="1"/>
      <c r="Z765" s="1"/>
    </row>
    <row r="766" spans="1:26" ht="24.75" customHeight="1">
      <c r="A766" s="1"/>
      <c r="B766" s="1"/>
      <c r="C766" s="1"/>
      <c r="D766" s="1"/>
      <c r="E766" s="1"/>
      <c r="F766" s="1"/>
      <c r="G766" s="1"/>
      <c r="H766" s="1"/>
      <c r="I766" s="1"/>
      <c r="J766" s="1"/>
      <c r="K766" s="1"/>
      <c r="L766" s="1"/>
      <c r="M766" s="1"/>
      <c r="N766" s="1"/>
      <c r="O766" s="1"/>
      <c r="P766" s="1"/>
      <c r="Q766" s="1"/>
      <c r="R766" s="1"/>
      <c r="S766" s="1"/>
      <c r="T766" s="1"/>
      <c r="U766" s="2"/>
      <c r="V766" s="1"/>
      <c r="W766" s="1"/>
      <c r="X766" s="1"/>
      <c r="Y766" s="1"/>
      <c r="Z766" s="1"/>
    </row>
    <row r="767" spans="1:26" ht="24.75" customHeight="1">
      <c r="A767" s="1"/>
      <c r="B767" s="1"/>
      <c r="C767" s="1"/>
      <c r="D767" s="1"/>
      <c r="E767" s="1"/>
      <c r="F767" s="1"/>
      <c r="G767" s="1"/>
      <c r="H767" s="1"/>
      <c r="I767" s="1"/>
      <c r="J767" s="1"/>
      <c r="K767" s="1"/>
      <c r="L767" s="1"/>
      <c r="M767" s="1"/>
      <c r="N767" s="1"/>
      <c r="O767" s="1"/>
      <c r="P767" s="1"/>
      <c r="Q767" s="1"/>
      <c r="R767" s="1"/>
      <c r="S767" s="1"/>
      <c r="T767" s="1"/>
      <c r="U767" s="2"/>
      <c r="V767" s="1"/>
      <c r="W767" s="1"/>
      <c r="X767" s="1"/>
      <c r="Y767" s="1"/>
      <c r="Z767" s="1"/>
    </row>
    <row r="768" spans="1:26" ht="24.75" customHeight="1">
      <c r="A768" s="1"/>
      <c r="B768" s="1"/>
      <c r="C768" s="1"/>
      <c r="D768" s="1"/>
      <c r="E768" s="1"/>
      <c r="F768" s="1"/>
      <c r="G768" s="1"/>
      <c r="H768" s="1"/>
      <c r="I768" s="1"/>
      <c r="J768" s="1"/>
      <c r="K768" s="1"/>
      <c r="L768" s="1"/>
      <c r="M768" s="1"/>
      <c r="N768" s="1"/>
      <c r="O768" s="1"/>
      <c r="P768" s="1"/>
      <c r="Q768" s="1"/>
      <c r="R768" s="1"/>
      <c r="S768" s="1"/>
      <c r="T768" s="1"/>
      <c r="U768" s="2"/>
      <c r="V768" s="1"/>
      <c r="W768" s="1"/>
      <c r="X768" s="1"/>
      <c r="Y768" s="1"/>
      <c r="Z768" s="1"/>
    </row>
    <row r="769" spans="1:26" ht="24.75" customHeight="1">
      <c r="A769" s="1"/>
      <c r="B769" s="1"/>
      <c r="C769" s="1"/>
      <c r="D769" s="1"/>
      <c r="E769" s="1"/>
      <c r="F769" s="1"/>
      <c r="G769" s="1"/>
      <c r="H769" s="1"/>
      <c r="I769" s="1"/>
      <c r="J769" s="1"/>
      <c r="K769" s="1"/>
      <c r="L769" s="1"/>
      <c r="M769" s="1"/>
      <c r="N769" s="1"/>
      <c r="O769" s="1"/>
      <c r="P769" s="1"/>
      <c r="Q769" s="1"/>
      <c r="R769" s="1"/>
      <c r="S769" s="1"/>
      <c r="T769" s="1"/>
      <c r="U769" s="2"/>
      <c r="V769" s="1"/>
      <c r="W769" s="1"/>
      <c r="X769" s="1"/>
      <c r="Y769" s="1"/>
      <c r="Z769" s="1"/>
    </row>
    <row r="770" spans="1:26" ht="24.75" customHeight="1">
      <c r="A770" s="1"/>
      <c r="B770" s="1"/>
      <c r="C770" s="1"/>
      <c r="D770" s="1"/>
      <c r="E770" s="1"/>
      <c r="F770" s="1"/>
      <c r="G770" s="1"/>
      <c r="H770" s="1"/>
      <c r="I770" s="1"/>
      <c r="J770" s="1"/>
      <c r="K770" s="1"/>
      <c r="L770" s="1"/>
      <c r="M770" s="1"/>
      <c r="N770" s="1"/>
      <c r="O770" s="1"/>
      <c r="P770" s="1"/>
      <c r="Q770" s="1"/>
      <c r="R770" s="1"/>
      <c r="S770" s="1"/>
      <c r="T770" s="1"/>
      <c r="U770" s="2"/>
      <c r="V770" s="1"/>
      <c r="W770" s="1"/>
      <c r="X770" s="1"/>
      <c r="Y770" s="1"/>
      <c r="Z770" s="1"/>
    </row>
    <row r="771" spans="1:26" ht="24.75" customHeight="1">
      <c r="A771" s="1"/>
      <c r="B771" s="1"/>
      <c r="C771" s="1"/>
      <c r="D771" s="1"/>
      <c r="E771" s="1"/>
      <c r="F771" s="1"/>
      <c r="G771" s="1"/>
      <c r="H771" s="1"/>
      <c r="I771" s="1"/>
      <c r="J771" s="1"/>
      <c r="K771" s="1"/>
      <c r="L771" s="1"/>
      <c r="M771" s="1"/>
      <c r="N771" s="1"/>
      <c r="O771" s="1"/>
      <c r="P771" s="1"/>
      <c r="Q771" s="1"/>
      <c r="R771" s="1"/>
      <c r="S771" s="1"/>
      <c r="T771" s="1"/>
      <c r="U771" s="2"/>
      <c r="V771" s="1"/>
      <c r="W771" s="1"/>
      <c r="X771" s="1"/>
      <c r="Y771" s="1"/>
      <c r="Z771" s="1"/>
    </row>
    <row r="772" spans="1:26" ht="24.75" customHeight="1">
      <c r="A772" s="1"/>
      <c r="B772" s="1"/>
      <c r="C772" s="1"/>
      <c r="D772" s="1"/>
      <c r="E772" s="1"/>
      <c r="F772" s="1"/>
      <c r="G772" s="1"/>
      <c r="H772" s="1"/>
      <c r="I772" s="1"/>
      <c r="J772" s="1"/>
      <c r="K772" s="1"/>
      <c r="L772" s="1"/>
      <c r="M772" s="1"/>
      <c r="N772" s="1"/>
      <c r="O772" s="1"/>
      <c r="P772" s="1"/>
      <c r="Q772" s="1"/>
      <c r="R772" s="1"/>
      <c r="S772" s="1"/>
      <c r="T772" s="1"/>
      <c r="U772" s="2"/>
      <c r="V772" s="1"/>
      <c r="W772" s="1"/>
      <c r="X772" s="1"/>
      <c r="Y772" s="1"/>
      <c r="Z772" s="1"/>
    </row>
    <row r="773" spans="1:26" ht="24.75" customHeight="1">
      <c r="A773" s="1"/>
      <c r="B773" s="1"/>
      <c r="C773" s="1"/>
      <c r="D773" s="1"/>
      <c r="E773" s="1"/>
      <c r="F773" s="1"/>
      <c r="G773" s="1"/>
      <c r="H773" s="1"/>
      <c r="I773" s="1"/>
      <c r="J773" s="1"/>
      <c r="K773" s="1"/>
      <c r="L773" s="1"/>
      <c r="M773" s="1"/>
      <c r="N773" s="1"/>
      <c r="O773" s="1"/>
      <c r="P773" s="1"/>
      <c r="Q773" s="1"/>
      <c r="R773" s="1"/>
      <c r="S773" s="1"/>
      <c r="T773" s="1"/>
      <c r="U773" s="2"/>
      <c r="V773" s="1"/>
      <c r="W773" s="1"/>
      <c r="X773" s="1"/>
      <c r="Y773" s="1"/>
      <c r="Z773" s="1"/>
    </row>
    <row r="774" spans="1:26" ht="24.75" customHeight="1">
      <c r="A774" s="1"/>
      <c r="B774" s="1"/>
      <c r="C774" s="1"/>
      <c r="D774" s="1"/>
      <c r="E774" s="1"/>
      <c r="F774" s="1"/>
      <c r="G774" s="1"/>
      <c r="H774" s="1"/>
      <c r="I774" s="1"/>
      <c r="J774" s="1"/>
      <c r="K774" s="1"/>
      <c r="L774" s="1"/>
      <c r="M774" s="1"/>
      <c r="N774" s="1"/>
      <c r="O774" s="1"/>
      <c r="P774" s="1"/>
      <c r="Q774" s="1"/>
      <c r="R774" s="1"/>
      <c r="S774" s="1"/>
      <c r="T774" s="1"/>
      <c r="U774" s="2"/>
      <c r="V774" s="1"/>
      <c r="W774" s="1"/>
      <c r="X774" s="1"/>
      <c r="Y774" s="1"/>
      <c r="Z774" s="1"/>
    </row>
    <row r="775" spans="1:26" ht="24.75" customHeight="1">
      <c r="A775" s="1"/>
      <c r="B775" s="1"/>
      <c r="C775" s="1"/>
      <c r="D775" s="1"/>
      <c r="E775" s="1"/>
      <c r="F775" s="1"/>
      <c r="G775" s="1"/>
      <c r="H775" s="1"/>
      <c r="I775" s="1"/>
      <c r="J775" s="1"/>
      <c r="K775" s="1"/>
      <c r="L775" s="1"/>
      <c r="M775" s="1"/>
      <c r="N775" s="1"/>
      <c r="O775" s="1"/>
      <c r="P775" s="1"/>
      <c r="Q775" s="1"/>
      <c r="R775" s="1"/>
      <c r="S775" s="1"/>
      <c r="T775" s="1"/>
      <c r="U775" s="2"/>
      <c r="V775" s="1"/>
      <c r="W775" s="1"/>
      <c r="X775" s="1"/>
      <c r="Y775" s="1"/>
      <c r="Z775" s="1"/>
    </row>
    <row r="776" spans="1:26" ht="24.75" customHeight="1">
      <c r="A776" s="1"/>
      <c r="B776" s="1"/>
      <c r="C776" s="1"/>
      <c r="D776" s="1"/>
      <c r="E776" s="1"/>
      <c r="F776" s="1"/>
      <c r="G776" s="1"/>
      <c r="H776" s="1"/>
      <c r="I776" s="1"/>
      <c r="J776" s="1"/>
      <c r="K776" s="1"/>
      <c r="L776" s="1"/>
      <c r="M776" s="1"/>
      <c r="N776" s="1"/>
      <c r="O776" s="1"/>
      <c r="P776" s="1"/>
      <c r="Q776" s="1"/>
      <c r="R776" s="1"/>
      <c r="S776" s="1"/>
      <c r="T776" s="1"/>
      <c r="U776" s="2"/>
      <c r="V776" s="1"/>
      <c r="W776" s="1"/>
      <c r="X776" s="1"/>
      <c r="Y776" s="1"/>
      <c r="Z776" s="1"/>
    </row>
    <row r="777" spans="1:26" ht="24.75" customHeight="1">
      <c r="A777" s="1"/>
      <c r="B777" s="1"/>
      <c r="C777" s="1"/>
      <c r="D777" s="1"/>
      <c r="E777" s="1"/>
      <c r="F777" s="1"/>
      <c r="G777" s="1"/>
      <c r="H777" s="1"/>
      <c r="I777" s="1"/>
      <c r="J777" s="1"/>
      <c r="K777" s="1"/>
      <c r="L777" s="1"/>
      <c r="M777" s="1"/>
      <c r="N777" s="1"/>
      <c r="O777" s="1"/>
      <c r="P777" s="1"/>
      <c r="Q777" s="1"/>
      <c r="R777" s="1"/>
      <c r="S777" s="1"/>
      <c r="T777" s="1"/>
      <c r="U777" s="2"/>
      <c r="V777" s="1"/>
      <c r="W777" s="1"/>
      <c r="X777" s="1"/>
      <c r="Y777" s="1"/>
      <c r="Z777" s="1"/>
    </row>
    <row r="778" spans="1:26" ht="24.75" customHeight="1">
      <c r="A778" s="1"/>
      <c r="B778" s="1"/>
      <c r="C778" s="1"/>
      <c r="D778" s="1"/>
      <c r="E778" s="1"/>
      <c r="F778" s="1"/>
      <c r="G778" s="1"/>
      <c r="H778" s="1"/>
      <c r="I778" s="1"/>
      <c r="J778" s="1"/>
      <c r="K778" s="1"/>
      <c r="L778" s="1"/>
      <c r="M778" s="1"/>
      <c r="N778" s="1"/>
      <c r="O778" s="1"/>
      <c r="P778" s="1"/>
      <c r="Q778" s="1"/>
      <c r="R778" s="1"/>
      <c r="S778" s="1"/>
      <c r="T778" s="1"/>
      <c r="U778" s="2"/>
      <c r="V778" s="1"/>
      <c r="W778" s="1"/>
      <c r="X778" s="1"/>
      <c r="Y778" s="1"/>
      <c r="Z778" s="1"/>
    </row>
    <row r="779" spans="1:26" ht="24.75" customHeight="1">
      <c r="A779" s="1"/>
      <c r="B779" s="1"/>
      <c r="C779" s="1"/>
      <c r="D779" s="1"/>
      <c r="E779" s="1"/>
      <c r="F779" s="1"/>
      <c r="G779" s="1"/>
      <c r="H779" s="1"/>
      <c r="I779" s="1"/>
      <c r="J779" s="1"/>
      <c r="K779" s="1"/>
      <c r="L779" s="1"/>
      <c r="M779" s="1"/>
      <c r="N779" s="1"/>
      <c r="O779" s="1"/>
      <c r="P779" s="1"/>
      <c r="Q779" s="1"/>
      <c r="R779" s="1"/>
      <c r="S779" s="1"/>
      <c r="T779" s="1"/>
      <c r="U779" s="2"/>
      <c r="V779" s="1"/>
      <c r="W779" s="1"/>
      <c r="X779" s="1"/>
      <c r="Y779" s="1"/>
      <c r="Z779" s="1"/>
    </row>
    <row r="780" spans="1:26" ht="24.75" customHeight="1">
      <c r="A780" s="1"/>
      <c r="B780" s="1"/>
      <c r="C780" s="1"/>
      <c r="D780" s="1"/>
      <c r="E780" s="1"/>
      <c r="F780" s="1"/>
      <c r="G780" s="1"/>
      <c r="H780" s="1"/>
      <c r="I780" s="1"/>
      <c r="J780" s="1"/>
      <c r="K780" s="1"/>
      <c r="L780" s="1"/>
      <c r="M780" s="1"/>
      <c r="N780" s="1"/>
      <c r="O780" s="1"/>
      <c r="P780" s="1"/>
      <c r="Q780" s="1"/>
      <c r="R780" s="1"/>
      <c r="S780" s="1"/>
      <c r="T780" s="1"/>
      <c r="U780" s="2"/>
      <c r="V780" s="1"/>
      <c r="W780" s="1"/>
      <c r="X780" s="1"/>
      <c r="Y780" s="1"/>
      <c r="Z780" s="1"/>
    </row>
    <row r="781" spans="1:26" ht="24.75" customHeight="1">
      <c r="A781" s="1"/>
      <c r="B781" s="1"/>
      <c r="C781" s="1"/>
      <c r="D781" s="1"/>
      <c r="E781" s="1"/>
      <c r="F781" s="1"/>
      <c r="G781" s="1"/>
      <c r="H781" s="1"/>
      <c r="I781" s="1"/>
      <c r="J781" s="1"/>
      <c r="K781" s="1"/>
      <c r="L781" s="1"/>
      <c r="M781" s="1"/>
      <c r="N781" s="1"/>
      <c r="O781" s="1"/>
      <c r="P781" s="1"/>
      <c r="Q781" s="1"/>
      <c r="R781" s="1"/>
      <c r="S781" s="1"/>
      <c r="T781" s="1"/>
      <c r="U781" s="2"/>
      <c r="V781" s="1"/>
      <c r="W781" s="1"/>
      <c r="X781" s="1"/>
      <c r="Y781" s="1"/>
      <c r="Z781" s="1"/>
    </row>
    <row r="782" spans="1:26" ht="24.75" customHeight="1">
      <c r="A782" s="1"/>
      <c r="B782" s="1"/>
      <c r="C782" s="1"/>
      <c r="D782" s="1"/>
      <c r="E782" s="1"/>
      <c r="F782" s="1"/>
      <c r="G782" s="1"/>
      <c r="H782" s="1"/>
      <c r="I782" s="1"/>
      <c r="J782" s="1"/>
      <c r="K782" s="1"/>
      <c r="L782" s="1"/>
      <c r="M782" s="1"/>
      <c r="N782" s="1"/>
      <c r="O782" s="1"/>
      <c r="P782" s="1"/>
      <c r="Q782" s="1"/>
      <c r="R782" s="1"/>
      <c r="S782" s="1"/>
      <c r="T782" s="1"/>
      <c r="U782" s="2"/>
      <c r="V782" s="1"/>
      <c r="W782" s="1"/>
      <c r="X782" s="1"/>
      <c r="Y782" s="1"/>
      <c r="Z782" s="1"/>
    </row>
    <row r="783" spans="1:26" ht="24.75" customHeight="1">
      <c r="A783" s="1"/>
      <c r="B783" s="1"/>
      <c r="C783" s="1"/>
      <c r="D783" s="1"/>
      <c r="E783" s="1"/>
      <c r="F783" s="1"/>
      <c r="G783" s="1"/>
      <c r="H783" s="1"/>
      <c r="I783" s="1"/>
      <c r="J783" s="1"/>
      <c r="K783" s="1"/>
      <c r="L783" s="1"/>
      <c r="M783" s="1"/>
      <c r="N783" s="1"/>
      <c r="O783" s="1"/>
      <c r="P783" s="1"/>
      <c r="Q783" s="1"/>
      <c r="R783" s="1"/>
      <c r="S783" s="1"/>
      <c r="T783" s="1"/>
      <c r="U783" s="2"/>
      <c r="V783" s="1"/>
      <c r="W783" s="1"/>
      <c r="X783" s="1"/>
      <c r="Y783" s="1"/>
      <c r="Z783" s="1"/>
    </row>
    <row r="784" spans="1:26" ht="24.75" customHeight="1">
      <c r="A784" s="1"/>
      <c r="B784" s="1"/>
      <c r="C784" s="1"/>
      <c r="D784" s="1"/>
      <c r="E784" s="1"/>
      <c r="F784" s="1"/>
      <c r="G784" s="1"/>
      <c r="H784" s="1"/>
      <c r="I784" s="1"/>
      <c r="J784" s="1"/>
      <c r="K784" s="1"/>
      <c r="L784" s="1"/>
      <c r="M784" s="1"/>
      <c r="N784" s="1"/>
      <c r="O784" s="1"/>
      <c r="P784" s="1"/>
      <c r="Q784" s="1"/>
      <c r="R784" s="1"/>
      <c r="S784" s="1"/>
      <c r="T784" s="1"/>
      <c r="U784" s="2"/>
      <c r="V784" s="1"/>
      <c r="W784" s="1"/>
      <c r="X784" s="1"/>
      <c r="Y784" s="1"/>
      <c r="Z784" s="1"/>
    </row>
    <row r="785" spans="1:26" ht="24.75" customHeight="1">
      <c r="A785" s="1"/>
      <c r="B785" s="1"/>
      <c r="C785" s="1"/>
      <c r="D785" s="1"/>
      <c r="E785" s="1"/>
      <c r="F785" s="1"/>
      <c r="G785" s="1"/>
      <c r="H785" s="1"/>
      <c r="I785" s="1"/>
      <c r="J785" s="1"/>
      <c r="K785" s="1"/>
      <c r="L785" s="1"/>
      <c r="M785" s="1"/>
      <c r="N785" s="1"/>
      <c r="O785" s="1"/>
      <c r="P785" s="1"/>
      <c r="Q785" s="1"/>
      <c r="R785" s="1"/>
      <c r="S785" s="1"/>
      <c r="T785" s="1"/>
      <c r="U785" s="2"/>
      <c r="V785" s="1"/>
      <c r="W785" s="1"/>
      <c r="X785" s="1"/>
      <c r="Y785" s="1"/>
      <c r="Z785" s="1"/>
    </row>
    <row r="786" spans="1:26" ht="24.75" customHeight="1">
      <c r="A786" s="1"/>
      <c r="B786" s="1"/>
      <c r="C786" s="1"/>
      <c r="D786" s="1"/>
      <c r="E786" s="1"/>
      <c r="F786" s="1"/>
      <c r="G786" s="1"/>
      <c r="H786" s="1"/>
      <c r="I786" s="1"/>
      <c r="J786" s="1"/>
      <c r="K786" s="1"/>
      <c r="L786" s="1"/>
      <c r="M786" s="1"/>
      <c r="N786" s="1"/>
      <c r="O786" s="1"/>
      <c r="P786" s="1"/>
      <c r="Q786" s="1"/>
      <c r="R786" s="1"/>
      <c r="S786" s="1"/>
      <c r="T786" s="1"/>
      <c r="U786" s="2"/>
      <c r="V786" s="1"/>
      <c r="W786" s="1"/>
      <c r="X786" s="1"/>
      <c r="Y786" s="1"/>
      <c r="Z786" s="1"/>
    </row>
    <row r="787" spans="1:26" ht="24.75" customHeight="1">
      <c r="A787" s="1"/>
      <c r="B787" s="1"/>
      <c r="C787" s="1"/>
      <c r="D787" s="1"/>
      <c r="E787" s="1"/>
      <c r="F787" s="1"/>
      <c r="G787" s="1"/>
      <c r="H787" s="1"/>
      <c r="I787" s="1"/>
      <c r="J787" s="1"/>
      <c r="K787" s="1"/>
      <c r="L787" s="1"/>
      <c r="M787" s="1"/>
      <c r="N787" s="1"/>
      <c r="O787" s="1"/>
      <c r="P787" s="1"/>
      <c r="Q787" s="1"/>
      <c r="R787" s="1"/>
      <c r="S787" s="1"/>
      <c r="T787" s="1"/>
      <c r="U787" s="2"/>
      <c r="V787" s="1"/>
      <c r="W787" s="1"/>
      <c r="X787" s="1"/>
      <c r="Y787" s="1"/>
      <c r="Z787" s="1"/>
    </row>
    <row r="788" spans="1:26" ht="24.75" customHeight="1">
      <c r="A788" s="1"/>
      <c r="B788" s="1"/>
      <c r="C788" s="1"/>
      <c r="D788" s="1"/>
      <c r="E788" s="1"/>
      <c r="F788" s="1"/>
      <c r="G788" s="1"/>
      <c r="H788" s="1"/>
      <c r="I788" s="1"/>
      <c r="J788" s="1"/>
      <c r="K788" s="1"/>
      <c r="L788" s="1"/>
      <c r="M788" s="1"/>
      <c r="N788" s="1"/>
      <c r="O788" s="1"/>
      <c r="P788" s="1"/>
      <c r="Q788" s="1"/>
      <c r="R788" s="1"/>
      <c r="S788" s="1"/>
      <c r="T788" s="1"/>
      <c r="U788" s="2"/>
      <c r="V788" s="1"/>
      <c r="W788" s="1"/>
      <c r="X788" s="1"/>
      <c r="Y788" s="1"/>
      <c r="Z788" s="1"/>
    </row>
    <row r="789" spans="1:26" ht="24.75" customHeight="1">
      <c r="A789" s="1"/>
      <c r="B789" s="1"/>
      <c r="C789" s="1"/>
      <c r="D789" s="1"/>
      <c r="E789" s="1"/>
      <c r="F789" s="1"/>
      <c r="G789" s="1"/>
      <c r="H789" s="1"/>
      <c r="I789" s="1"/>
      <c r="J789" s="1"/>
      <c r="K789" s="1"/>
      <c r="L789" s="1"/>
      <c r="M789" s="1"/>
      <c r="N789" s="1"/>
      <c r="O789" s="1"/>
      <c r="P789" s="1"/>
      <c r="Q789" s="1"/>
      <c r="R789" s="1"/>
      <c r="S789" s="1"/>
      <c r="T789" s="1"/>
      <c r="U789" s="2"/>
      <c r="V789" s="1"/>
      <c r="W789" s="1"/>
      <c r="X789" s="1"/>
      <c r="Y789" s="1"/>
      <c r="Z789" s="1"/>
    </row>
    <row r="790" spans="1:26" ht="24.75" customHeight="1">
      <c r="A790" s="1"/>
      <c r="B790" s="1"/>
      <c r="C790" s="1"/>
      <c r="D790" s="1"/>
      <c r="E790" s="1"/>
      <c r="F790" s="1"/>
      <c r="G790" s="1"/>
      <c r="H790" s="1"/>
      <c r="I790" s="1"/>
      <c r="J790" s="1"/>
      <c r="K790" s="1"/>
      <c r="L790" s="1"/>
      <c r="M790" s="1"/>
      <c r="N790" s="1"/>
      <c r="O790" s="1"/>
      <c r="P790" s="1"/>
      <c r="Q790" s="1"/>
      <c r="R790" s="1"/>
      <c r="S790" s="1"/>
      <c r="T790" s="1"/>
      <c r="U790" s="2"/>
      <c r="V790" s="1"/>
      <c r="W790" s="1"/>
      <c r="X790" s="1"/>
      <c r="Y790" s="1"/>
      <c r="Z790" s="1"/>
    </row>
    <row r="791" spans="1:26" ht="24.75" customHeight="1">
      <c r="A791" s="1"/>
      <c r="B791" s="1"/>
      <c r="C791" s="1"/>
      <c r="D791" s="1"/>
      <c r="E791" s="1"/>
      <c r="F791" s="1"/>
      <c r="G791" s="1"/>
      <c r="H791" s="1"/>
      <c r="I791" s="1"/>
      <c r="J791" s="1"/>
      <c r="K791" s="1"/>
      <c r="L791" s="1"/>
      <c r="M791" s="1"/>
      <c r="N791" s="1"/>
      <c r="O791" s="1"/>
      <c r="P791" s="1"/>
      <c r="Q791" s="1"/>
      <c r="R791" s="1"/>
      <c r="S791" s="1"/>
      <c r="T791" s="1"/>
      <c r="U791" s="2"/>
      <c r="V791" s="1"/>
      <c r="W791" s="1"/>
      <c r="X791" s="1"/>
      <c r="Y791" s="1"/>
      <c r="Z791" s="1"/>
    </row>
    <row r="792" spans="1:26" ht="24.75" customHeight="1">
      <c r="A792" s="1"/>
      <c r="B792" s="1"/>
      <c r="C792" s="1"/>
      <c r="D792" s="1"/>
      <c r="E792" s="1"/>
      <c r="F792" s="1"/>
      <c r="G792" s="1"/>
      <c r="H792" s="1"/>
      <c r="I792" s="1"/>
      <c r="J792" s="1"/>
      <c r="K792" s="1"/>
      <c r="L792" s="1"/>
      <c r="M792" s="1"/>
      <c r="N792" s="1"/>
      <c r="O792" s="1"/>
      <c r="P792" s="1"/>
      <c r="Q792" s="1"/>
      <c r="R792" s="1"/>
      <c r="S792" s="1"/>
      <c r="T792" s="1"/>
      <c r="U792" s="2"/>
      <c r="V792" s="1"/>
      <c r="W792" s="1"/>
      <c r="X792" s="1"/>
      <c r="Y792" s="1"/>
      <c r="Z792" s="1"/>
    </row>
    <row r="793" spans="1:26" ht="24.75" customHeight="1">
      <c r="A793" s="1"/>
      <c r="B793" s="1"/>
      <c r="C793" s="1"/>
      <c r="D793" s="1"/>
      <c r="E793" s="1"/>
      <c r="F793" s="1"/>
      <c r="G793" s="1"/>
      <c r="H793" s="1"/>
      <c r="I793" s="1"/>
      <c r="J793" s="1"/>
      <c r="K793" s="1"/>
      <c r="L793" s="1"/>
      <c r="M793" s="1"/>
      <c r="N793" s="1"/>
      <c r="O793" s="1"/>
      <c r="P793" s="1"/>
      <c r="Q793" s="1"/>
      <c r="R793" s="1"/>
      <c r="S793" s="1"/>
      <c r="T793" s="1"/>
      <c r="U793" s="2"/>
      <c r="V793" s="1"/>
      <c r="W793" s="1"/>
      <c r="X793" s="1"/>
      <c r="Y793" s="1"/>
      <c r="Z793" s="1"/>
    </row>
    <row r="794" spans="1:26" ht="24.75" customHeight="1">
      <c r="A794" s="1"/>
      <c r="B794" s="1"/>
      <c r="C794" s="1"/>
      <c r="D794" s="1"/>
      <c r="E794" s="1"/>
      <c r="F794" s="1"/>
      <c r="G794" s="1"/>
      <c r="H794" s="1"/>
      <c r="I794" s="1"/>
      <c r="J794" s="1"/>
      <c r="K794" s="1"/>
      <c r="L794" s="1"/>
      <c r="M794" s="1"/>
      <c r="N794" s="1"/>
      <c r="O794" s="1"/>
      <c r="P794" s="1"/>
      <c r="Q794" s="1"/>
      <c r="R794" s="1"/>
      <c r="S794" s="1"/>
      <c r="T794" s="1"/>
      <c r="U794" s="2"/>
      <c r="V794" s="1"/>
      <c r="W794" s="1"/>
      <c r="X794" s="1"/>
      <c r="Y794" s="1"/>
      <c r="Z794" s="1"/>
    </row>
    <row r="795" spans="1:26" ht="24.75" customHeight="1">
      <c r="A795" s="1"/>
      <c r="B795" s="1"/>
      <c r="C795" s="1"/>
      <c r="D795" s="1"/>
      <c r="E795" s="1"/>
      <c r="F795" s="1"/>
      <c r="G795" s="1"/>
      <c r="H795" s="1"/>
      <c r="I795" s="1"/>
      <c r="J795" s="1"/>
      <c r="K795" s="1"/>
      <c r="L795" s="1"/>
      <c r="M795" s="1"/>
      <c r="N795" s="1"/>
      <c r="O795" s="1"/>
      <c r="P795" s="1"/>
      <c r="Q795" s="1"/>
      <c r="R795" s="1"/>
      <c r="S795" s="1"/>
      <c r="T795" s="1"/>
      <c r="U795" s="2"/>
      <c r="V795" s="1"/>
      <c r="W795" s="1"/>
      <c r="X795" s="1"/>
      <c r="Y795" s="1"/>
      <c r="Z795" s="1"/>
    </row>
    <row r="796" spans="1:26" ht="24.75" customHeight="1">
      <c r="A796" s="1"/>
      <c r="B796" s="1"/>
      <c r="C796" s="1"/>
      <c r="D796" s="1"/>
      <c r="E796" s="1"/>
      <c r="F796" s="1"/>
      <c r="G796" s="1"/>
      <c r="H796" s="1"/>
      <c r="I796" s="1"/>
      <c r="J796" s="1"/>
      <c r="K796" s="1"/>
      <c r="L796" s="1"/>
      <c r="M796" s="1"/>
      <c r="N796" s="1"/>
      <c r="O796" s="1"/>
      <c r="P796" s="1"/>
      <c r="Q796" s="1"/>
      <c r="R796" s="1"/>
      <c r="S796" s="1"/>
      <c r="T796" s="1"/>
      <c r="U796" s="2"/>
      <c r="V796" s="1"/>
      <c r="W796" s="1"/>
      <c r="X796" s="1"/>
      <c r="Y796" s="1"/>
      <c r="Z796" s="1"/>
    </row>
    <row r="797" spans="1:26" ht="24.75" customHeight="1">
      <c r="A797" s="1"/>
      <c r="B797" s="1"/>
      <c r="C797" s="1"/>
      <c r="D797" s="1"/>
      <c r="E797" s="1"/>
      <c r="F797" s="1"/>
      <c r="G797" s="1"/>
      <c r="H797" s="1"/>
      <c r="I797" s="1"/>
      <c r="J797" s="1"/>
      <c r="K797" s="1"/>
      <c r="L797" s="1"/>
      <c r="M797" s="1"/>
      <c r="N797" s="1"/>
      <c r="O797" s="1"/>
      <c r="P797" s="1"/>
      <c r="Q797" s="1"/>
      <c r="R797" s="1"/>
      <c r="S797" s="1"/>
      <c r="T797" s="1"/>
      <c r="U797" s="2"/>
      <c r="V797" s="1"/>
      <c r="W797" s="1"/>
      <c r="X797" s="1"/>
      <c r="Y797" s="1"/>
      <c r="Z797" s="1"/>
    </row>
    <row r="798" spans="1:26" ht="24.75" customHeight="1">
      <c r="A798" s="1"/>
      <c r="B798" s="1"/>
      <c r="C798" s="1"/>
      <c r="D798" s="1"/>
      <c r="E798" s="1"/>
      <c r="F798" s="1"/>
      <c r="G798" s="1"/>
      <c r="H798" s="1"/>
      <c r="I798" s="1"/>
      <c r="J798" s="1"/>
      <c r="K798" s="1"/>
      <c r="L798" s="1"/>
      <c r="M798" s="1"/>
      <c r="N798" s="1"/>
      <c r="O798" s="1"/>
      <c r="P798" s="1"/>
      <c r="Q798" s="1"/>
      <c r="R798" s="1"/>
      <c r="S798" s="1"/>
      <c r="T798" s="1"/>
      <c r="U798" s="2"/>
      <c r="V798" s="1"/>
      <c r="W798" s="1"/>
      <c r="X798" s="1"/>
      <c r="Y798" s="1"/>
      <c r="Z798" s="1"/>
    </row>
    <row r="799" spans="1:26" ht="24.75" customHeight="1">
      <c r="A799" s="1"/>
      <c r="B799" s="1"/>
      <c r="C799" s="1"/>
      <c r="D799" s="1"/>
      <c r="E799" s="1"/>
      <c r="F799" s="1"/>
      <c r="G799" s="1"/>
      <c r="H799" s="1"/>
      <c r="I799" s="1"/>
      <c r="J799" s="1"/>
      <c r="K799" s="1"/>
      <c r="L799" s="1"/>
      <c r="M799" s="1"/>
      <c r="N799" s="1"/>
      <c r="O799" s="1"/>
      <c r="P799" s="1"/>
      <c r="Q799" s="1"/>
      <c r="R799" s="1"/>
      <c r="S799" s="1"/>
      <c r="T799" s="1"/>
      <c r="U799" s="2"/>
      <c r="V799" s="1"/>
      <c r="W799" s="1"/>
      <c r="X799" s="1"/>
      <c r="Y799" s="1"/>
      <c r="Z799" s="1"/>
    </row>
    <row r="800" spans="1:26" ht="24.75" customHeight="1">
      <c r="A800" s="1"/>
      <c r="B800" s="1"/>
      <c r="C800" s="1"/>
      <c r="D800" s="1"/>
      <c r="E800" s="1"/>
      <c r="F800" s="1"/>
      <c r="G800" s="1"/>
      <c r="H800" s="1"/>
      <c r="I800" s="1"/>
      <c r="J800" s="1"/>
      <c r="K800" s="1"/>
      <c r="L800" s="1"/>
      <c r="M800" s="1"/>
      <c r="N800" s="1"/>
      <c r="O800" s="1"/>
      <c r="P800" s="1"/>
      <c r="Q800" s="1"/>
      <c r="R800" s="1"/>
      <c r="S800" s="1"/>
      <c r="T800" s="1"/>
      <c r="U800" s="2"/>
      <c r="V800" s="1"/>
      <c r="W800" s="1"/>
      <c r="X800" s="1"/>
      <c r="Y800" s="1"/>
      <c r="Z800" s="1"/>
    </row>
    <row r="801" spans="1:26" ht="24.75" customHeight="1">
      <c r="A801" s="1"/>
      <c r="B801" s="1"/>
      <c r="C801" s="1"/>
      <c r="D801" s="1"/>
      <c r="E801" s="1"/>
      <c r="F801" s="1"/>
      <c r="G801" s="1"/>
      <c r="H801" s="1"/>
      <c r="I801" s="1"/>
      <c r="J801" s="1"/>
      <c r="K801" s="1"/>
      <c r="L801" s="1"/>
      <c r="M801" s="1"/>
      <c r="N801" s="1"/>
      <c r="O801" s="1"/>
      <c r="P801" s="1"/>
      <c r="Q801" s="1"/>
      <c r="R801" s="1"/>
      <c r="S801" s="1"/>
      <c r="T801" s="1"/>
      <c r="U801" s="2"/>
      <c r="V801" s="1"/>
      <c r="W801" s="1"/>
      <c r="X801" s="1"/>
      <c r="Y801" s="1"/>
      <c r="Z801" s="1"/>
    </row>
    <row r="802" spans="1:26" ht="24.75" customHeight="1">
      <c r="A802" s="1"/>
      <c r="B802" s="1"/>
      <c r="C802" s="1"/>
      <c r="D802" s="1"/>
      <c r="E802" s="1"/>
      <c r="F802" s="1"/>
      <c r="G802" s="1"/>
      <c r="H802" s="1"/>
      <c r="I802" s="1"/>
      <c r="J802" s="1"/>
      <c r="K802" s="1"/>
      <c r="L802" s="1"/>
      <c r="M802" s="1"/>
      <c r="N802" s="1"/>
      <c r="O802" s="1"/>
      <c r="P802" s="1"/>
      <c r="Q802" s="1"/>
      <c r="R802" s="1"/>
      <c r="S802" s="1"/>
      <c r="T802" s="1"/>
      <c r="U802" s="2"/>
      <c r="V802" s="1"/>
      <c r="W802" s="1"/>
      <c r="X802" s="1"/>
      <c r="Y802" s="1"/>
      <c r="Z802" s="1"/>
    </row>
    <row r="803" spans="1:26" ht="24.75" customHeight="1">
      <c r="A803" s="1"/>
      <c r="B803" s="1"/>
      <c r="C803" s="1"/>
      <c r="D803" s="1"/>
      <c r="E803" s="1"/>
      <c r="F803" s="1"/>
      <c r="G803" s="1"/>
      <c r="H803" s="1"/>
      <c r="I803" s="1"/>
      <c r="J803" s="1"/>
      <c r="K803" s="1"/>
      <c r="L803" s="1"/>
      <c r="M803" s="1"/>
      <c r="N803" s="1"/>
      <c r="O803" s="1"/>
      <c r="P803" s="1"/>
      <c r="Q803" s="1"/>
      <c r="R803" s="1"/>
      <c r="S803" s="1"/>
      <c r="T803" s="1"/>
      <c r="U803" s="2"/>
      <c r="V803" s="1"/>
      <c r="W803" s="1"/>
      <c r="X803" s="1"/>
      <c r="Y803" s="1"/>
      <c r="Z803" s="1"/>
    </row>
    <row r="804" spans="1:26" ht="24.75" customHeight="1">
      <c r="A804" s="1"/>
      <c r="B804" s="1"/>
      <c r="C804" s="1"/>
      <c r="D804" s="1"/>
      <c r="E804" s="1"/>
      <c r="F804" s="1"/>
      <c r="G804" s="1"/>
      <c r="H804" s="1"/>
      <c r="I804" s="1"/>
      <c r="J804" s="1"/>
      <c r="K804" s="1"/>
      <c r="L804" s="1"/>
      <c r="M804" s="1"/>
      <c r="N804" s="1"/>
      <c r="O804" s="1"/>
      <c r="P804" s="1"/>
      <c r="Q804" s="1"/>
      <c r="R804" s="1"/>
      <c r="S804" s="1"/>
      <c r="T804" s="1"/>
      <c r="U804" s="2"/>
      <c r="V804" s="1"/>
      <c r="W804" s="1"/>
      <c r="X804" s="1"/>
      <c r="Y804" s="1"/>
      <c r="Z804" s="1"/>
    </row>
    <row r="805" spans="1:26" ht="24.75" customHeight="1">
      <c r="A805" s="1"/>
      <c r="B805" s="1"/>
      <c r="C805" s="1"/>
      <c r="D805" s="1"/>
      <c r="E805" s="1"/>
      <c r="F805" s="1"/>
      <c r="G805" s="1"/>
      <c r="H805" s="1"/>
      <c r="I805" s="1"/>
      <c r="J805" s="1"/>
      <c r="K805" s="1"/>
      <c r="L805" s="1"/>
      <c r="M805" s="1"/>
      <c r="N805" s="1"/>
      <c r="O805" s="1"/>
      <c r="P805" s="1"/>
      <c r="Q805" s="1"/>
      <c r="R805" s="1"/>
      <c r="S805" s="1"/>
      <c r="T805" s="1"/>
      <c r="U805" s="2"/>
      <c r="V805" s="1"/>
      <c r="W805" s="1"/>
      <c r="X805" s="1"/>
      <c r="Y805" s="1"/>
      <c r="Z805" s="1"/>
    </row>
    <row r="806" spans="1:26" ht="24.75" customHeight="1">
      <c r="A806" s="1"/>
      <c r="B806" s="1"/>
      <c r="C806" s="1"/>
      <c r="D806" s="1"/>
      <c r="E806" s="1"/>
      <c r="F806" s="1"/>
      <c r="G806" s="1"/>
      <c r="H806" s="1"/>
      <c r="I806" s="1"/>
      <c r="J806" s="1"/>
      <c r="K806" s="1"/>
      <c r="L806" s="1"/>
      <c r="M806" s="1"/>
      <c r="N806" s="1"/>
      <c r="O806" s="1"/>
      <c r="P806" s="1"/>
      <c r="Q806" s="1"/>
      <c r="R806" s="1"/>
      <c r="S806" s="1"/>
      <c r="T806" s="1"/>
      <c r="U806" s="2"/>
      <c r="V806" s="1"/>
      <c r="W806" s="1"/>
      <c r="X806" s="1"/>
      <c r="Y806" s="1"/>
      <c r="Z806" s="1"/>
    </row>
    <row r="807" spans="1:26" ht="24.75" customHeight="1">
      <c r="A807" s="1"/>
      <c r="B807" s="1"/>
      <c r="C807" s="1"/>
      <c r="D807" s="1"/>
      <c r="E807" s="1"/>
      <c r="F807" s="1"/>
      <c r="G807" s="1"/>
      <c r="H807" s="1"/>
      <c r="I807" s="1"/>
      <c r="J807" s="1"/>
      <c r="K807" s="1"/>
      <c r="L807" s="1"/>
      <c r="M807" s="1"/>
      <c r="N807" s="1"/>
      <c r="O807" s="1"/>
      <c r="P807" s="1"/>
      <c r="Q807" s="1"/>
      <c r="R807" s="1"/>
      <c r="S807" s="1"/>
      <c r="T807" s="1"/>
      <c r="U807" s="2"/>
      <c r="V807" s="1"/>
      <c r="W807" s="1"/>
      <c r="X807" s="1"/>
      <c r="Y807" s="1"/>
      <c r="Z807" s="1"/>
    </row>
    <row r="808" spans="1:26" ht="24.75" customHeight="1">
      <c r="A808" s="1"/>
      <c r="B808" s="1"/>
      <c r="C808" s="1"/>
      <c r="D808" s="1"/>
      <c r="E808" s="1"/>
      <c r="F808" s="1"/>
      <c r="G808" s="1"/>
      <c r="H808" s="1"/>
      <c r="I808" s="1"/>
      <c r="J808" s="1"/>
      <c r="K808" s="1"/>
      <c r="L808" s="1"/>
      <c r="M808" s="1"/>
      <c r="N808" s="1"/>
      <c r="O808" s="1"/>
      <c r="P808" s="1"/>
      <c r="Q808" s="1"/>
      <c r="R808" s="1"/>
      <c r="S808" s="1"/>
      <c r="T808" s="1"/>
      <c r="U808" s="2"/>
      <c r="V808" s="1"/>
      <c r="W808" s="1"/>
      <c r="X808" s="1"/>
      <c r="Y808" s="1"/>
      <c r="Z808" s="1"/>
    </row>
    <row r="809" spans="1:26" ht="24.75" customHeight="1">
      <c r="A809" s="1"/>
      <c r="B809" s="1"/>
      <c r="C809" s="1"/>
      <c r="D809" s="1"/>
      <c r="E809" s="1"/>
      <c r="F809" s="1"/>
      <c r="G809" s="1"/>
      <c r="H809" s="1"/>
      <c r="I809" s="1"/>
      <c r="J809" s="1"/>
      <c r="K809" s="1"/>
      <c r="L809" s="1"/>
      <c r="M809" s="1"/>
      <c r="N809" s="1"/>
      <c r="O809" s="1"/>
      <c r="P809" s="1"/>
      <c r="Q809" s="1"/>
      <c r="R809" s="1"/>
      <c r="S809" s="1"/>
      <c r="T809" s="1"/>
      <c r="U809" s="2"/>
      <c r="V809" s="1"/>
      <c r="W809" s="1"/>
      <c r="X809" s="1"/>
      <c r="Y809" s="1"/>
      <c r="Z809" s="1"/>
    </row>
    <row r="810" spans="1:26" ht="24.75" customHeight="1">
      <c r="A810" s="1"/>
      <c r="B810" s="1"/>
      <c r="C810" s="1"/>
      <c r="D810" s="1"/>
      <c r="E810" s="1"/>
      <c r="F810" s="1"/>
      <c r="G810" s="1"/>
      <c r="H810" s="1"/>
      <c r="I810" s="1"/>
      <c r="J810" s="1"/>
      <c r="K810" s="1"/>
      <c r="L810" s="1"/>
      <c r="M810" s="1"/>
      <c r="N810" s="1"/>
      <c r="O810" s="1"/>
      <c r="P810" s="1"/>
      <c r="Q810" s="1"/>
      <c r="R810" s="1"/>
      <c r="S810" s="1"/>
      <c r="T810" s="1"/>
      <c r="U810" s="2"/>
      <c r="V810" s="1"/>
      <c r="W810" s="1"/>
      <c r="X810" s="1"/>
      <c r="Y810" s="1"/>
      <c r="Z810" s="1"/>
    </row>
    <row r="811" spans="1:26" ht="24.75" customHeight="1">
      <c r="A811" s="1"/>
      <c r="B811" s="1"/>
      <c r="C811" s="1"/>
      <c r="D811" s="1"/>
      <c r="E811" s="1"/>
      <c r="F811" s="1"/>
      <c r="G811" s="1"/>
      <c r="H811" s="1"/>
      <c r="I811" s="1"/>
      <c r="J811" s="1"/>
      <c r="K811" s="1"/>
      <c r="L811" s="1"/>
      <c r="M811" s="1"/>
      <c r="N811" s="1"/>
      <c r="O811" s="1"/>
      <c r="P811" s="1"/>
      <c r="Q811" s="1"/>
      <c r="R811" s="1"/>
      <c r="S811" s="1"/>
      <c r="T811" s="1"/>
      <c r="U811" s="2"/>
      <c r="V811" s="1"/>
      <c r="W811" s="1"/>
      <c r="X811" s="1"/>
      <c r="Y811" s="1"/>
      <c r="Z811" s="1"/>
    </row>
    <row r="812" spans="1:26" ht="24.75" customHeight="1">
      <c r="A812" s="1"/>
      <c r="B812" s="1"/>
      <c r="C812" s="1"/>
      <c r="D812" s="1"/>
      <c r="E812" s="1"/>
      <c r="F812" s="1"/>
      <c r="G812" s="1"/>
      <c r="H812" s="1"/>
      <c r="I812" s="1"/>
      <c r="J812" s="1"/>
      <c r="K812" s="1"/>
      <c r="L812" s="1"/>
      <c r="M812" s="1"/>
      <c r="N812" s="1"/>
      <c r="O812" s="1"/>
      <c r="P812" s="1"/>
      <c r="Q812" s="1"/>
      <c r="R812" s="1"/>
      <c r="S812" s="1"/>
      <c r="T812" s="1"/>
      <c r="U812" s="2"/>
      <c r="V812" s="1"/>
      <c r="W812" s="1"/>
      <c r="X812" s="1"/>
      <c r="Y812" s="1"/>
      <c r="Z812" s="1"/>
    </row>
    <row r="813" spans="1:26" ht="24.75" customHeight="1">
      <c r="A813" s="1"/>
      <c r="B813" s="1"/>
      <c r="C813" s="1"/>
      <c r="D813" s="1"/>
      <c r="E813" s="1"/>
      <c r="F813" s="1"/>
      <c r="G813" s="1"/>
      <c r="H813" s="1"/>
      <c r="I813" s="1"/>
      <c r="J813" s="1"/>
      <c r="K813" s="1"/>
      <c r="L813" s="1"/>
      <c r="M813" s="1"/>
      <c r="N813" s="1"/>
      <c r="O813" s="1"/>
      <c r="P813" s="1"/>
      <c r="Q813" s="1"/>
      <c r="R813" s="1"/>
      <c r="S813" s="1"/>
      <c r="T813" s="1"/>
      <c r="U813" s="2"/>
      <c r="V813" s="1"/>
      <c r="W813" s="1"/>
      <c r="X813" s="1"/>
      <c r="Y813" s="1"/>
      <c r="Z813" s="1"/>
    </row>
    <row r="814" spans="1:26" ht="24.75" customHeight="1">
      <c r="A814" s="1"/>
      <c r="B814" s="1"/>
      <c r="C814" s="1"/>
      <c r="D814" s="1"/>
      <c r="E814" s="1"/>
      <c r="F814" s="1"/>
      <c r="G814" s="1"/>
      <c r="H814" s="1"/>
      <c r="I814" s="1"/>
      <c r="J814" s="1"/>
      <c r="K814" s="1"/>
      <c r="L814" s="1"/>
      <c r="M814" s="1"/>
      <c r="N814" s="1"/>
      <c r="O814" s="1"/>
      <c r="P814" s="1"/>
      <c r="Q814" s="1"/>
      <c r="R814" s="1"/>
      <c r="S814" s="1"/>
      <c r="T814" s="1"/>
      <c r="U814" s="2"/>
      <c r="V814" s="1"/>
      <c r="W814" s="1"/>
      <c r="X814" s="1"/>
      <c r="Y814" s="1"/>
      <c r="Z814" s="1"/>
    </row>
    <row r="815" spans="1:26" ht="24.75" customHeight="1">
      <c r="A815" s="1"/>
      <c r="B815" s="1"/>
      <c r="C815" s="1"/>
      <c r="D815" s="1"/>
      <c r="E815" s="1"/>
      <c r="F815" s="1"/>
      <c r="G815" s="1"/>
      <c r="H815" s="1"/>
      <c r="I815" s="1"/>
      <c r="J815" s="1"/>
      <c r="K815" s="1"/>
      <c r="L815" s="1"/>
      <c r="M815" s="1"/>
      <c r="N815" s="1"/>
      <c r="O815" s="1"/>
      <c r="P815" s="1"/>
      <c r="Q815" s="1"/>
      <c r="R815" s="1"/>
      <c r="S815" s="1"/>
      <c r="T815" s="1"/>
      <c r="U815" s="2"/>
      <c r="V815" s="1"/>
      <c r="W815" s="1"/>
      <c r="X815" s="1"/>
      <c r="Y815" s="1"/>
      <c r="Z815" s="1"/>
    </row>
    <row r="816" spans="1:26" ht="24.75" customHeight="1">
      <c r="A816" s="1"/>
      <c r="B816" s="1"/>
      <c r="C816" s="1"/>
      <c r="D816" s="1"/>
      <c r="E816" s="1"/>
      <c r="F816" s="1"/>
      <c r="G816" s="1"/>
      <c r="H816" s="1"/>
      <c r="I816" s="1"/>
      <c r="J816" s="1"/>
      <c r="K816" s="1"/>
      <c r="L816" s="1"/>
      <c r="M816" s="1"/>
      <c r="N816" s="1"/>
      <c r="O816" s="1"/>
      <c r="P816" s="1"/>
      <c r="Q816" s="1"/>
      <c r="R816" s="1"/>
      <c r="S816" s="1"/>
      <c r="T816" s="1"/>
      <c r="U816" s="2"/>
      <c r="V816" s="1"/>
      <c r="W816" s="1"/>
      <c r="X816" s="1"/>
      <c r="Y816" s="1"/>
      <c r="Z816" s="1"/>
    </row>
    <row r="817" spans="1:26" ht="24.75" customHeight="1">
      <c r="A817" s="1"/>
      <c r="B817" s="1"/>
      <c r="C817" s="1"/>
      <c r="D817" s="1"/>
      <c r="E817" s="1"/>
      <c r="F817" s="1"/>
      <c r="G817" s="1"/>
      <c r="H817" s="1"/>
      <c r="I817" s="1"/>
      <c r="J817" s="1"/>
      <c r="K817" s="1"/>
      <c r="L817" s="1"/>
      <c r="M817" s="1"/>
      <c r="N817" s="1"/>
      <c r="O817" s="1"/>
      <c r="P817" s="1"/>
      <c r="Q817" s="1"/>
      <c r="R817" s="1"/>
      <c r="S817" s="1"/>
      <c r="T817" s="1"/>
      <c r="U817" s="2"/>
      <c r="V817" s="1"/>
      <c r="W817" s="1"/>
      <c r="X817" s="1"/>
      <c r="Y817" s="1"/>
      <c r="Z817" s="1"/>
    </row>
    <row r="818" spans="1:26" ht="24.75" customHeight="1">
      <c r="A818" s="1"/>
      <c r="B818" s="1"/>
      <c r="C818" s="1"/>
      <c r="D818" s="1"/>
      <c r="E818" s="1"/>
      <c r="F818" s="1"/>
      <c r="G818" s="1"/>
      <c r="H818" s="1"/>
      <c r="I818" s="1"/>
      <c r="J818" s="1"/>
      <c r="K818" s="1"/>
      <c r="L818" s="1"/>
      <c r="M818" s="1"/>
      <c r="N818" s="1"/>
      <c r="O818" s="1"/>
      <c r="P818" s="1"/>
      <c r="Q818" s="1"/>
      <c r="R818" s="1"/>
      <c r="S818" s="1"/>
      <c r="T818" s="1"/>
      <c r="U818" s="2"/>
      <c r="V818" s="1"/>
      <c r="W818" s="1"/>
      <c r="X818" s="1"/>
      <c r="Y818" s="1"/>
      <c r="Z818" s="1"/>
    </row>
    <row r="819" spans="1:26" ht="24.75" customHeight="1">
      <c r="A819" s="1"/>
      <c r="B819" s="1"/>
      <c r="C819" s="1"/>
      <c r="D819" s="1"/>
      <c r="E819" s="1"/>
      <c r="F819" s="1"/>
      <c r="G819" s="1"/>
      <c r="H819" s="1"/>
      <c r="I819" s="1"/>
      <c r="J819" s="1"/>
      <c r="K819" s="1"/>
      <c r="L819" s="1"/>
      <c r="M819" s="1"/>
      <c r="N819" s="1"/>
      <c r="O819" s="1"/>
      <c r="P819" s="1"/>
      <c r="Q819" s="1"/>
      <c r="R819" s="1"/>
      <c r="S819" s="1"/>
      <c r="T819" s="1"/>
      <c r="U819" s="2"/>
      <c r="V819" s="1"/>
      <c r="W819" s="1"/>
      <c r="X819" s="1"/>
      <c r="Y819" s="1"/>
      <c r="Z819" s="1"/>
    </row>
    <row r="820" spans="1:26" ht="24.75" customHeight="1">
      <c r="A820" s="1"/>
      <c r="B820" s="1"/>
      <c r="C820" s="1"/>
      <c r="D820" s="1"/>
      <c r="E820" s="1"/>
      <c r="F820" s="1"/>
      <c r="G820" s="1"/>
      <c r="H820" s="1"/>
      <c r="I820" s="1"/>
      <c r="J820" s="1"/>
      <c r="K820" s="1"/>
      <c r="L820" s="1"/>
      <c r="M820" s="1"/>
      <c r="N820" s="1"/>
      <c r="O820" s="1"/>
      <c r="P820" s="1"/>
      <c r="Q820" s="1"/>
      <c r="R820" s="1"/>
      <c r="S820" s="1"/>
      <c r="T820" s="1"/>
      <c r="U820" s="2"/>
      <c r="V820" s="1"/>
      <c r="W820" s="1"/>
      <c r="X820" s="1"/>
      <c r="Y820" s="1"/>
      <c r="Z820" s="1"/>
    </row>
    <row r="821" spans="1:26" ht="24.75" customHeight="1">
      <c r="A821" s="1"/>
      <c r="B821" s="1"/>
      <c r="C821" s="1"/>
      <c r="D821" s="1"/>
      <c r="E821" s="1"/>
      <c r="F821" s="1"/>
      <c r="G821" s="1"/>
      <c r="H821" s="1"/>
      <c r="I821" s="1"/>
      <c r="J821" s="1"/>
      <c r="K821" s="1"/>
      <c r="L821" s="1"/>
      <c r="M821" s="1"/>
      <c r="N821" s="1"/>
      <c r="O821" s="1"/>
      <c r="P821" s="1"/>
      <c r="Q821" s="1"/>
      <c r="R821" s="1"/>
      <c r="S821" s="1"/>
      <c r="T821" s="1"/>
      <c r="U821" s="2"/>
      <c r="V821" s="1"/>
      <c r="W821" s="1"/>
      <c r="X821" s="1"/>
      <c r="Y821" s="1"/>
      <c r="Z821" s="1"/>
    </row>
    <row r="822" spans="1:26" ht="24.75" customHeight="1">
      <c r="A822" s="1"/>
      <c r="B822" s="1"/>
      <c r="C822" s="1"/>
      <c r="D822" s="1"/>
      <c r="E822" s="1"/>
      <c r="F822" s="1"/>
      <c r="G822" s="1"/>
      <c r="H822" s="1"/>
      <c r="I822" s="1"/>
      <c r="J822" s="1"/>
      <c r="K822" s="1"/>
      <c r="L822" s="1"/>
      <c r="M822" s="1"/>
      <c r="N822" s="1"/>
      <c r="O822" s="1"/>
      <c r="P822" s="1"/>
      <c r="Q822" s="1"/>
      <c r="R822" s="1"/>
      <c r="S822" s="1"/>
      <c r="T822" s="1"/>
      <c r="U822" s="2"/>
      <c r="V822" s="1"/>
      <c r="W822" s="1"/>
      <c r="X822" s="1"/>
      <c r="Y822" s="1"/>
      <c r="Z822" s="1"/>
    </row>
    <row r="823" spans="1:26" ht="24.75" customHeight="1">
      <c r="A823" s="1"/>
      <c r="B823" s="1"/>
      <c r="C823" s="1"/>
      <c r="D823" s="1"/>
      <c r="E823" s="1"/>
      <c r="F823" s="1"/>
      <c r="G823" s="1"/>
      <c r="H823" s="1"/>
      <c r="I823" s="1"/>
      <c r="J823" s="1"/>
      <c r="K823" s="1"/>
      <c r="L823" s="1"/>
      <c r="M823" s="1"/>
      <c r="N823" s="1"/>
      <c r="O823" s="1"/>
      <c r="P823" s="1"/>
      <c r="Q823" s="1"/>
      <c r="R823" s="1"/>
      <c r="S823" s="1"/>
      <c r="T823" s="1"/>
      <c r="U823" s="2"/>
      <c r="V823" s="1"/>
      <c r="W823" s="1"/>
      <c r="X823" s="1"/>
      <c r="Y823" s="1"/>
      <c r="Z823" s="1"/>
    </row>
    <row r="824" spans="1:26" ht="24.75" customHeight="1">
      <c r="A824" s="1"/>
      <c r="B824" s="1"/>
      <c r="C824" s="1"/>
      <c r="D824" s="1"/>
      <c r="E824" s="1"/>
      <c r="F824" s="1"/>
      <c r="G824" s="1"/>
      <c r="H824" s="1"/>
      <c r="I824" s="1"/>
      <c r="J824" s="1"/>
      <c r="K824" s="1"/>
      <c r="L824" s="1"/>
      <c r="M824" s="1"/>
      <c r="N824" s="1"/>
      <c r="O824" s="1"/>
      <c r="P824" s="1"/>
      <c r="Q824" s="1"/>
      <c r="R824" s="1"/>
      <c r="S824" s="1"/>
      <c r="T824" s="1"/>
      <c r="U824" s="2"/>
      <c r="V824" s="1"/>
      <c r="W824" s="1"/>
      <c r="X824" s="1"/>
      <c r="Y824" s="1"/>
      <c r="Z824" s="1"/>
    </row>
    <row r="825" spans="1:26" ht="24.75" customHeight="1">
      <c r="A825" s="1"/>
      <c r="B825" s="1"/>
      <c r="C825" s="1"/>
      <c r="D825" s="1"/>
      <c r="E825" s="1"/>
      <c r="F825" s="1"/>
      <c r="G825" s="1"/>
      <c r="H825" s="1"/>
      <c r="I825" s="1"/>
      <c r="J825" s="1"/>
      <c r="K825" s="1"/>
      <c r="L825" s="1"/>
      <c r="M825" s="1"/>
      <c r="N825" s="1"/>
      <c r="O825" s="1"/>
      <c r="P825" s="1"/>
      <c r="Q825" s="1"/>
      <c r="R825" s="1"/>
      <c r="S825" s="1"/>
      <c r="T825" s="1"/>
      <c r="U825" s="2"/>
      <c r="V825" s="1"/>
      <c r="W825" s="1"/>
      <c r="X825" s="1"/>
      <c r="Y825" s="1"/>
      <c r="Z825" s="1"/>
    </row>
    <row r="826" spans="1:26" ht="24.75" customHeight="1">
      <c r="A826" s="1"/>
      <c r="B826" s="1"/>
      <c r="C826" s="1"/>
      <c r="D826" s="1"/>
      <c r="E826" s="1"/>
      <c r="F826" s="1"/>
      <c r="G826" s="1"/>
      <c r="H826" s="1"/>
      <c r="I826" s="1"/>
      <c r="J826" s="1"/>
      <c r="K826" s="1"/>
      <c r="L826" s="1"/>
      <c r="M826" s="1"/>
      <c r="N826" s="1"/>
      <c r="O826" s="1"/>
      <c r="P826" s="1"/>
      <c r="Q826" s="1"/>
      <c r="R826" s="1"/>
      <c r="S826" s="1"/>
      <c r="T826" s="1"/>
      <c r="U826" s="2"/>
      <c r="V826" s="1"/>
      <c r="W826" s="1"/>
      <c r="X826" s="1"/>
      <c r="Y826" s="1"/>
      <c r="Z826" s="1"/>
    </row>
    <row r="827" spans="1:26" ht="24.75" customHeight="1">
      <c r="A827" s="1"/>
      <c r="B827" s="1"/>
      <c r="C827" s="1"/>
      <c r="D827" s="1"/>
      <c r="E827" s="1"/>
      <c r="F827" s="1"/>
      <c r="G827" s="1"/>
      <c r="H827" s="1"/>
      <c r="I827" s="1"/>
      <c r="J827" s="1"/>
      <c r="K827" s="1"/>
      <c r="L827" s="1"/>
      <c r="M827" s="1"/>
      <c r="N827" s="1"/>
      <c r="O827" s="1"/>
      <c r="P827" s="1"/>
      <c r="Q827" s="1"/>
      <c r="R827" s="1"/>
      <c r="S827" s="1"/>
      <c r="T827" s="1"/>
      <c r="U827" s="2"/>
      <c r="V827" s="1"/>
      <c r="W827" s="1"/>
      <c r="X827" s="1"/>
      <c r="Y827" s="1"/>
      <c r="Z827" s="1"/>
    </row>
    <row r="828" spans="1:26" ht="24.75" customHeight="1">
      <c r="A828" s="1"/>
      <c r="B828" s="1"/>
      <c r="C828" s="1"/>
      <c r="D828" s="1"/>
      <c r="E828" s="1"/>
      <c r="F828" s="1"/>
      <c r="G828" s="1"/>
      <c r="H828" s="1"/>
      <c r="I828" s="1"/>
      <c r="J828" s="1"/>
      <c r="K828" s="1"/>
      <c r="L828" s="1"/>
      <c r="M828" s="1"/>
      <c r="N828" s="1"/>
      <c r="O828" s="1"/>
      <c r="P828" s="1"/>
      <c r="Q828" s="1"/>
      <c r="R828" s="1"/>
      <c r="S828" s="1"/>
      <c r="T828" s="1"/>
      <c r="U828" s="2"/>
      <c r="V828" s="1"/>
      <c r="W828" s="1"/>
      <c r="X828" s="1"/>
      <c r="Y828" s="1"/>
      <c r="Z828" s="1"/>
    </row>
    <row r="829" spans="1:26" ht="24.75" customHeight="1">
      <c r="A829" s="1"/>
      <c r="B829" s="1"/>
      <c r="C829" s="1"/>
      <c r="D829" s="1"/>
      <c r="E829" s="1"/>
      <c r="F829" s="1"/>
      <c r="G829" s="1"/>
      <c r="H829" s="1"/>
      <c r="I829" s="1"/>
      <c r="J829" s="1"/>
      <c r="K829" s="1"/>
      <c r="L829" s="1"/>
      <c r="M829" s="1"/>
      <c r="N829" s="1"/>
      <c r="O829" s="1"/>
      <c r="P829" s="1"/>
      <c r="Q829" s="1"/>
      <c r="R829" s="1"/>
      <c r="S829" s="1"/>
      <c r="T829" s="1"/>
      <c r="U829" s="2"/>
      <c r="V829" s="1"/>
      <c r="W829" s="1"/>
      <c r="X829" s="1"/>
      <c r="Y829" s="1"/>
      <c r="Z829" s="1"/>
    </row>
    <row r="830" spans="1:26" ht="24.75" customHeight="1">
      <c r="A830" s="1"/>
      <c r="B830" s="1"/>
      <c r="C830" s="1"/>
      <c r="D830" s="1"/>
      <c r="E830" s="1"/>
      <c r="F830" s="1"/>
      <c r="G830" s="1"/>
      <c r="H830" s="1"/>
      <c r="I830" s="1"/>
      <c r="J830" s="1"/>
      <c r="K830" s="1"/>
      <c r="L830" s="1"/>
      <c r="M830" s="1"/>
      <c r="N830" s="1"/>
      <c r="O830" s="1"/>
      <c r="P830" s="1"/>
      <c r="Q830" s="1"/>
      <c r="R830" s="1"/>
      <c r="S830" s="1"/>
      <c r="T830" s="1"/>
      <c r="U830" s="2"/>
      <c r="V830" s="1"/>
      <c r="W830" s="1"/>
      <c r="X830" s="1"/>
      <c r="Y830" s="1"/>
      <c r="Z830" s="1"/>
    </row>
    <row r="831" spans="1:26" ht="24.75" customHeight="1">
      <c r="A831" s="1"/>
      <c r="B831" s="1"/>
      <c r="C831" s="1"/>
      <c r="D831" s="1"/>
      <c r="E831" s="1"/>
      <c r="F831" s="1"/>
      <c r="G831" s="1"/>
      <c r="H831" s="1"/>
      <c r="I831" s="1"/>
      <c r="J831" s="1"/>
      <c r="K831" s="1"/>
      <c r="L831" s="1"/>
      <c r="M831" s="1"/>
      <c r="N831" s="1"/>
      <c r="O831" s="1"/>
      <c r="P831" s="1"/>
      <c r="Q831" s="1"/>
      <c r="R831" s="1"/>
      <c r="S831" s="1"/>
      <c r="T831" s="1"/>
      <c r="U831" s="2"/>
      <c r="V831" s="1"/>
      <c r="W831" s="1"/>
      <c r="X831" s="1"/>
      <c r="Y831" s="1"/>
      <c r="Z831" s="1"/>
    </row>
    <row r="832" spans="1:26" ht="24.75" customHeight="1">
      <c r="A832" s="1"/>
      <c r="B832" s="1"/>
      <c r="C832" s="1"/>
      <c r="D832" s="1"/>
      <c r="E832" s="1"/>
      <c r="F832" s="1"/>
      <c r="G832" s="1"/>
      <c r="H832" s="1"/>
      <c r="I832" s="1"/>
      <c r="J832" s="1"/>
      <c r="K832" s="1"/>
      <c r="L832" s="1"/>
      <c r="M832" s="1"/>
      <c r="N832" s="1"/>
      <c r="O832" s="1"/>
      <c r="P832" s="1"/>
      <c r="Q832" s="1"/>
      <c r="R832" s="1"/>
      <c r="S832" s="1"/>
      <c r="T832" s="1"/>
      <c r="U832" s="2"/>
      <c r="V832" s="1"/>
      <c r="W832" s="1"/>
      <c r="X832" s="1"/>
      <c r="Y832" s="1"/>
      <c r="Z832" s="1"/>
    </row>
    <row r="833" spans="1:26" ht="24.75" customHeight="1">
      <c r="A833" s="1"/>
      <c r="B833" s="1"/>
      <c r="C833" s="1"/>
      <c r="D833" s="1"/>
      <c r="E833" s="1"/>
      <c r="F833" s="1"/>
      <c r="G833" s="1"/>
      <c r="H833" s="1"/>
      <c r="I833" s="1"/>
      <c r="J833" s="1"/>
      <c r="K833" s="1"/>
      <c r="L833" s="1"/>
      <c r="M833" s="1"/>
      <c r="N833" s="1"/>
      <c r="O833" s="1"/>
      <c r="P833" s="1"/>
      <c r="Q833" s="1"/>
      <c r="R833" s="1"/>
      <c r="S833" s="1"/>
      <c r="T833" s="1"/>
      <c r="U833" s="2"/>
      <c r="V833" s="1"/>
      <c r="W833" s="1"/>
      <c r="X833" s="1"/>
      <c r="Y833" s="1"/>
      <c r="Z833" s="1"/>
    </row>
    <row r="834" spans="1:26" ht="24.75" customHeight="1">
      <c r="A834" s="1"/>
      <c r="B834" s="1"/>
      <c r="C834" s="1"/>
      <c r="D834" s="1"/>
      <c r="E834" s="1"/>
      <c r="F834" s="1"/>
      <c r="G834" s="1"/>
      <c r="H834" s="1"/>
      <c r="I834" s="1"/>
      <c r="J834" s="1"/>
      <c r="K834" s="1"/>
      <c r="L834" s="1"/>
      <c r="M834" s="1"/>
      <c r="N834" s="1"/>
      <c r="O834" s="1"/>
      <c r="P834" s="1"/>
      <c r="Q834" s="1"/>
      <c r="R834" s="1"/>
      <c r="S834" s="1"/>
      <c r="T834" s="1"/>
      <c r="U834" s="2"/>
      <c r="V834" s="1"/>
      <c r="W834" s="1"/>
      <c r="X834" s="1"/>
      <c r="Y834" s="1"/>
      <c r="Z834" s="1"/>
    </row>
    <row r="835" spans="1:26" ht="24.75" customHeight="1">
      <c r="A835" s="1"/>
      <c r="B835" s="1"/>
      <c r="C835" s="1"/>
      <c r="D835" s="1"/>
      <c r="E835" s="1"/>
      <c r="F835" s="1"/>
      <c r="G835" s="1"/>
      <c r="H835" s="1"/>
      <c r="I835" s="1"/>
      <c r="J835" s="1"/>
      <c r="K835" s="1"/>
      <c r="L835" s="1"/>
      <c r="M835" s="1"/>
      <c r="N835" s="1"/>
      <c r="O835" s="1"/>
      <c r="P835" s="1"/>
      <c r="Q835" s="1"/>
      <c r="R835" s="1"/>
      <c r="S835" s="1"/>
      <c r="T835" s="1"/>
      <c r="U835" s="2"/>
      <c r="V835" s="1"/>
      <c r="W835" s="1"/>
      <c r="X835" s="1"/>
      <c r="Y835" s="1"/>
      <c r="Z835" s="1"/>
    </row>
    <row r="836" spans="1:26" ht="24.75" customHeight="1">
      <c r="A836" s="1"/>
      <c r="B836" s="1"/>
      <c r="C836" s="1"/>
      <c r="D836" s="1"/>
      <c r="E836" s="1"/>
      <c r="F836" s="1"/>
      <c r="G836" s="1"/>
      <c r="H836" s="1"/>
      <c r="I836" s="1"/>
      <c r="J836" s="1"/>
      <c r="K836" s="1"/>
      <c r="L836" s="1"/>
      <c r="M836" s="1"/>
      <c r="N836" s="1"/>
      <c r="O836" s="1"/>
      <c r="P836" s="1"/>
      <c r="Q836" s="1"/>
      <c r="R836" s="1"/>
      <c r="S836" s="1"/>
      <c r="T836" s="1"/>
      <c r="U836" s="2"/>
      <c r="V836" s="1"/>
      <c r="W836" s="1"/>
      <c r="X836" s="1"/>
      <c r="Y836" s="1"/>
      <c r="Z836" s="1"/>
    </row>
    <row r="837" spans="1:26" ht="24.75" customHeight="1">
      <c r="A837" s="1"/>
      <c r="B837" s="1"/>
      <c r="C837" s="1"/>
      <c r="D837" s="1"/>
      <c r="E837" s="1"/>
      <c r="F837" s="1"/>
      <c r="G837" s="1"/>
      <c r="H837" s="1"/>
      <c r="I837" s="1"/>
      <c r="J837" s="1"/>
      <c r="K837" s="1"/>
      <c r="L837" s="1"/>
      <c r="M837" s="1"/>
      <c r="N837" s="1"/>
      <c r="O837" s="1"/>
      <c r="P837" s="1"/>
      <c r="Q837" s="1"/>
      <c r="R837" s="1"/>
      <c r="S837" s="1"/>
      <c r="T837" s="1"/>
      <c r="U837" s="2"/>
      <c r="V837" s="1"/>
      <c r="W837" s="1"/>
      <c r="X837" s="1"/>
      <c r="Y837" s="1"/>
      <c r="Z837" s="1"/>
    </row>
    <row r="838" spans="1:26" ht="24.75" customHeight="1">
      <c r="A838" s="1"/>
      <c r="B838" s="1"/>
      <c r="C838" s="1"/>
      <c r="D838" s="1"/>
      <c r="E838" s="1"/>
      <c r="F838" s="1"/>
      <c r="G838" s="1"/>
      <c r="H838" s="1"/>
      <c r="I838" s="1"/>
      <c r="J838" s="1"/>
      <c r="K838" s="1"/>
      <c r="L838" s="1"/>
      <c r="M838" s="1"/>
      <c r="N838" s="1"/>
      <c r="O838" s="1"/>
      <c r="P838" s="1"/>
      <c r="Q838" s="1"/>
      <c r="R838" s="1"/>
      <c r="S838" s="1"/>
      <c r="T838" s="1"/>
      <c r="U838" s="2"/>
      <c r="V838" s="1"/>
      <c r="W838" s="1"/>
      <c r="X838" s="1"/>
      <c r="Y838" s="1"/>
      <c r="Z838" s="1"/>
    </row>
    <row r="839" spans="1:26" ht="24.75" customHeight="1">
      <c r="A839" s="1"/>
      <c r="B839" s="1"/>
      <c r="C839" s="1"/>
      <c r="D839" s="1"/>
      <c r="E839" s="1"/>
      <c r="F839" s="1"/>
      <c r="G839" s="1"/>
      <c r="H839" s="1"/>
      <c r="I839" s="1"/>
      <c r="J839" s="1"/>
      <c r="K839" s="1"/>
      <c r="L839" s="1"/>
      <c r="M839" s="1"/>
      <c r="N839" s="1"/>
      <c r="O839" s="1"/>
      <c r="P839" s="1"/>
      <c r="Q839" s="1"/>
      <c r="R839" s="1"/>
      <c r="S839" s="1"/>
      <c r="T839" s="1"/>
      <c r="U839" s="2"/>
      <c r="V839" s="1"/>
      <c r="W839" s="1"/>
      <c r="X839" s="1"/>
      <c r="Y839" s="1"/>
      <c r="Z839" s="1"/>
    </row>
    <row r="840" spans="1:26" ht="24.75" customHeight="1">
      <c r="A840" s="1"/>
      <c r="B840" s="1"/>
      <c r="C840" s="1"/>
      <c r="D840" s="1"/>
      <c r="E840" s="1"/>
      <c r="F840" s="1"/>
      <c r="G840" s="1"/>
      <c r="H840" s="1"/>
      <c r="I840" s="1"/>
      <c r="J840" s="1"/>
      <c r="K840" s="1"/>
      <c r="L840" s="1"/>
      <c r="M840" s="1"/>
      <c r="N840" s="1"/>
      <c r="O840" s="1"/>
      <c r="P840" s="1"/>
      <c r="Q840" s="1"/>
      <c r="R840" s="1"/>
      <c r="S840" s="1"/>
      <c r="T840" s="1"/>
      <c r="U840" s="2"/>
      <c r="V840" s="1"/>
      <c r="W840" s="1"/>
      <c r="X840" s="1"/>
      <c r="Y840" s="1"/>
      <c r="Z840" s="1"/>
    </row>
    <row r="841" spans="1:26" ht="24.75" customHeight="1">
      <c r="A841" s="1"/>
      <c r="B841" s="1"/>
      <c r="C841" s="1"/>
      <c r="D841" s="1"/>
      <c r="E841" s="1"/>
      <c r="F841" s="1"/>
      <c r="G841" s="1"/>
      <c r="H841" s="1"/>
      <c r="I841" s="1"/>
      <c r="J841" s="1"/>
      <c r="K841" s="1"/>
      <c r="L841" s="1"/>
      <c r="M841" s="1"/>
      <c r="N841" s="1"/>
      <c r="O841" s="1"/>
      <c r="P841" s="1"/>
      <c r="Q841" s="1"/>
      <c r="R841" s="1"/>
      <c r="S841" s="1"/>
      <c r="T841" s="1"/>
      <c r="U841" s="2"/>
      <c r="V841" s="1"/>
      <c r="W841" s="1"/>
      <c r="X841" s="1"/>
      <c r="Y841" s="1"/>
      <c r="Z841" s="1"/>
    </row>
    <row r="842" spans="1:26" ht="24.75" customHeight="1">
      <c r="A842" s="1"/>
      <c r="B842" s="1"/>
      <c r="C842" s="1"/>
      <c r="D842" s="1"/>
      <c r="E842" s="1"/>
      <c r="F842" s="1"/>
      <c r="G842" s="1"/>
      <c r="H842" s="1"/>
      <c r="I842" s="1"/>
      <c r="J842" s="1"/>
      <c r="K842" s="1"/>
      <c r="L842" s="1"/>
      <c r="M842" s="1"/>
      <c r="N842" s="1"/>
      <c r="O842" s="1"/>
      <c r="P842" s="1"/>
      <c r="Q842" s="1"/>
      <c r="R842" s="1"/>
      <c r="S842" s="1"/>
      <c r="T842" s="1"/>
      <c r="U842" s="2"/>
      <c r="V842" s="1"/>
      <c r="W842" s="1"/>
      <c r="X842" s="1"/>
      <c r="Y842" s="1"/>
      <c r="Z842" s="1"/>
    </row>
    <row r="843" spans="1:26" ht="24.75" customHeight="1">
      <c r="A843" s="1"/>
      <c r="B843" s="1"/>
      <c r="C843" s="1"/>
      <c r="D843" s="1"/>
      <c r="E843" s="1"/>
      <c r="F843" s="1"/>
      <c r="G843" s="1"/>
      <c r="H843" s="1"/>
      <c r="I843" s="1"/>
      <c r="J843" s="1"/>
      <c r="K843" s="1"/>
      <c r="L843" s="1"/>
      <c r="M843" s="1"/>
      <c r="N843" s="1"/>
      <c r="O843" s="1"/>
      <c r="P843" s="1"/>
      <c r="Q843" s="1"/>
      <c r="R843" s="1"/>
      <c r="S843" s="1"/>
      <c r="T843" s="1"/>
      <c r="U843" s="2"/>
      <c r="V843" s="1"/>
      <c r="W843" s="1"/>
      <c r="X843" s="1"/>
      <c r="Y843" s="1"/>
      <c r="Z843" s="1"/>
    </row>
    <row r="844" spans="1:26" ht="24.75" customHeight="1">
      <c r="A844" s="1"/>
      <c r="B844" s="1"/>
      <c r="C844" s="1"/>
      <c r="D844" s="1"/>
      <c r="E844" s="1"/>
      <c r="F844" s="1"/>
      <c r="G844" s="1"/>
      <c r="H844" s="1"/>
      <c r="I844" s="1"/>
      <c r="J844" s="1"/>
      <c r="K844" s="1"/>
      <c r="L844" s="1"/>
      <c r="M844" s="1"/>
      <c r="N844" s="1"/>
      <c r="O844" s="1"/>
      <c r="P844" s="1"/>
      <c r="Q844" s="1"/>
      <c r="R844" s="1"/>
      <c r="S844" s="1"/>
      <c r="T844" s="1"/>
      <c r="U844" s="2"/>
      <c r="V844" s="1"/>
      <c r="W844" s="1"/>
      <c r="X844" s="1"/>
      <c r="Y844" s="1"/>
      <c r="Z844" s="1"/>
    </row>
    <row r="845" spans="1:26" ht="24.75" customHeight="1">
      <c r="A845" s="1"/>
      <c r="B845" s="1"/>
      <c r="C845" s="1"/>
      <c r="D845" s="1"/>
      <c r="E845" s="1"/>
      <c r="F845" s="1"/>
      <c r="G845" s="1"/>
      <c r="H845" s="1"/>
      <c r="I845" s="1"/>
      <c r="J845" s="1"/>
      <c r="K845" s="1"/>
      <c r="L845" s="1"/>
      <c r="M845" s="1"/>
      <c r="N845" s="1"/>
      <c r="O845" s="1"/>
      <c r="P845" s="1"/>
      <c r="Q845" s="1"/>
      <c r="R845" s="1"/>
      <c r="S845" s="1"/>
      <c r="T845" s="1"/>
      <c r="U845" s="2"/>
      <c r="V845" s="1"/>
      <c r="W845" s="1"/>
      <c r="X845" s="1"/>
      <c r="Y845" s="1"/>
      <c r="Z845" s="1"/>
    </row>
    <row r="846" spans="1:26" ht="24.75" customHeight="1">
      <c r="A846" s="1"/>
      <c r="B846" s="1"/>
      <c r="C846" s="1"/>
      <c r="D846" s="1"/>
      <c r="E846" s="1"/>
      <c r="F846" s="1"/>
      <c r="G846" s="1"/>
      <c r="H846" s="1"/>
      <c r="I846" s="1"/>
      <c r="J846" s="1"/>
      <c r="K846" s="1"/>
      <c r="L846" s="1"/>
      <c r="M846" s="1"/>
      <c r="N846" s="1"/>
      <c r="O846" s="1"/>
      <c r="P846" s="1"/>
      <c r="Q846" s="1"/>
      <c r="R846" s="1"/>
      <c r="S846" s="1"/>
      <c r="T846" s="1"/>
      <c r="U846" s="2"/>
      <c r="V846" s="1"/>
      <c r="W846" s="1"/>
      <c r="X846" s="1"/>
      <c r="Y846" s="1"/>
      <c r="Z846" s="1"/>
    </row>
    <row r="847" spans="1:26" ht="24.75" customHeight="1">
      <c r="A847" s="1"/>
      <c r="B847" s="1"/>
      <c r="C847" s="1"/>
      <c r="D847" s="1"/>
      <c r="E847" s="1"/>
      <c r="F847" s="1"/>
      <c r="G847" s="1"/>
      <c r="H847" s="1"/>
      <c r="I847" s="1"/>
      <c r="J847" s="1"/>
      <c r="K847" s="1"/>
      <c r="L847" s="1"/>
      <c r="M847" s="1"/>
      <c r="N847" s="1"/>
      <c r="O847" s="1"/>
      <c r="P847" s="1"/>
      <c r="Q847" s="1"/>
      <c r="R847" s="1"/>
      <c r="S847" s="1"/>
      <c r="T847" s="1"/>
      <c r="U847" s="2"/>
      <c r="V847" s="1"/>
      <c r="W847" s="1"/>
      <c r="X847" s="1"/>
      <c r="Y847" s="1"/>
      <c r="Z847" s="1"/>
    </row>
    <row r="848" spans="1:26" ht="24.75" customHeight="1">
      <c r="A848" s="1"/>
      <c r="B848" s="1"/>
      <c r="C848" s="1"/>
      <c r="D848" s="1"/>
      <c r="E848" s="1"/>
      <c r="F848" s="1"/>
      <c r="G848" s="1"/>
      <c r="H848" s="1"/>
      <c r="I848" s="1"/>
      <c r="J848" s="1"/>
      <c r="K848" s="1"/>
      <c r="L848" s="1"/>
      <c r="M848" s="1"/>
      <c r="N848" s="1"/>
      <c r="O848" s="1"/>
      <c r="P848" s="1"/>
      <c r="Q848" s="1"/>
      <c r="R848" s="1"/>
      <c r="S848" s="1"/>
      <c r="T848" s="1"/>
      <c r="U848" s="2"/>
      <c r="V848" s="1"/>
      <c r="W848" s="1"/>
      <c r="X848" s="1"/>
      <c r="Y848" s="1"/>
      <c r="Z848" s="1"/>
    </row>
    <row r="849" spans="1:26" ht="24.75" customHeight="1">
      <c r="A849" s="1"/>
      <c r="B849" s="1"/>
      <c r="C849" s="1"/>
      <c r="D849" s="1"/>
      <c r="E849" s="1"/>
      <c r="F849" s="1"/>
      <c r="G849" s="1"/>
      <c r="H849" s="1"/>
      <c r="I849" s="1"/>
      <c r="J849" s="1"/>
      <c r="K849" s="1"/>
      <c r="L849" s="1"/>
      <c r="M849" s="1"/>
      <c r="N849" s="1"/>
      <c r="O849" s="1"/>
      <c r="P849" s="1"/>
      <c r="Q849" s="1"/>
      <c r="R849" s="1"/>
      <c r="S849" s="1"/>
      <c r="T849" s="1"/>
      <c r="U849" s="2"/>
      <c r="V849" s="1"/>
      <c r="W849" s="1"/>
      <c r="X849" s="1"/>
      <c r="Y849" s="1"/>
      <c r="Z849" s="1"/>
    </row>
    <row r="850" spans="1:26" ht="24.75" customHeight="1">
      <c r="A850" s="1"/>
      <c r="B850" s="1"/>
      <c r="C850" s="1"/>
      <c r="D850" s="1"/>
      <c r="E850" s="1"/>
      <c r="F850" s="1"/>
      <c r="G850" s="1"/>
      <c r="H850" s="1"/>
      <c r="I850" s="1"/>
      <c r="J850" s="1"/>
      <c r="K850" s="1"/>
      <c r="L850" s="1"/>
      <c r="M850" s="1"/>
      <c r="N850" s="1"/>
      <c r="O850" s="1"/>
      <c r="P850" s="1"/>
      <c r="Q850" s="1"/>
      <c r="R850" s="1"/>
      <c r="S850" s="1"/>
      <c r="T850" s="1"/>
      <c r="U850" s="2"/>
      <c r="V850" s="1"/>
      <c r="W850" s="1"/>
      <c r="X850" s="1"/>
      <c r="Y850" s="1"/>
      <c r="Z850" s="1"/>
    </row>
    <row r="851" spans="1:26" ht="24.75" customHeight="1">
      <c r="A851" s="1"/>
      <c r="B851" s="1"/>
      <c r="C851" s="1"/>
      <c r="D851" s="1"/>
      <c r="E851" s="1"/>
      <c r="F851" s="1"/>
      <c r="G851" s="1"/>
      <c r="H851" s="1"/>
      <c r="I851" s="1"/>
      <c r="J851" s="1"/>
      <c r="K851" s="1"/>
      <c r="L851" s="1"/>
      <c r="M851" s="1"/>
      <c r="N851" s="1"/>
      <c r="O851" s="1"/>
      <c r="P851" s="1"/>
      <c r="Q851" s="1"/>
      <c r="R851" s="1"/>
      <c r="S851" s="1"/>
      <c r="T851" s="1"/>
      <c r="U851" s="2"/>
      <c r="V851" s="1"/>
      <c r="W851" s="1"/>
      <c r="X851" s="1"/>
      <c r="Y851" s="1"/>
      <c r="Z851" s="1"/>
    </row>
    <row r="852" spans="1:26" ht="24.75" customHeight="1">
      <c r="A852" s="1"/>
      <c r="B852" s="1"/>
      <c r="C852" s="1"/>
      <c r="D852" s="1"/>
      <c r="E852" s="1"/>
      <c r="F852" s="1"/>
      <c r="G852" s="1"/>
      <c r="H852" s="1"/>
      <c r="I852" s="1"/>
      <c r="J852" s="1"/>
      <c r="K852" s="1"/>
      <c r="L852" s="1"/>
      <c r="M852" s="1"/>
      <c r="N852" s="1"/>
      <c r="O852" s="1"/>
      <c r="P852" s="1"/>
      <c r="Q852" s="1"/>
      <c r="R852" s="1"/>
      <c r="S852" s="1"/>
      <c r="T852" s="1"/>
      <c r="U852" s="2"/>
      <c r="V852" s="1"/>
      <c r="W852" s="1"/>
      <c r="X852" s="1"/>
      <c r="Y852" s="1"/>
      <c r="Z852" s="1"/>
    </row>
    <row r="853" spans="1:26" ht="24.75" customHeight="1">
      <c r="A853" s="1"/>
      <c r="B853" s="1"/>
      <c r="C853" s="1"/>
      <c r="D853" s="1"/>
      <c r="E853" s="1"/>
      <c r="F853" s="1"/>
      <c r="G853" s="1"/>
      <c r="H853" s="1"/>
      <c r="I853" s="1"/>
      <c r="J853" s="1"/>
      <c r="K853" s="1"/>
      <c r="L853" s="1"/>
      <c r="M853" s="1"/>
      <c r="N853" s="1"/>
      <c r="O853" s="1"/>
      <c r="P853" s="1"/>
      <c r="Q853" s="1"/>
      <c r="R853" s="1"/>
      <c r="S853" s="1"/>
      <c r="T853" s="1"/>
      <c r="U853" s="2"/>
      <c r="V853" s="1"/>
      <c r="W853" s="1"/>
      <c r="X853" s="1"/>
      <c r="Y853" s="1"/>
      <c r="Z853" s="1"/>
    </row>
    <row r="854" spans="1:26" ht="24.75" customHeight="1">
      <c r="A854" s="1"/>
      <c r="B854" s="1"/>
      <c r="C854" s="1"/>
      <c r="D854" s="1"/>
      <c r="E854" s="1"/>
      <c r="F854" s="1"/>
      <c r="G854" s="1"/>
      <c r="H854" s="1"/>
      <c r="I854" s="1"/>
      <c r="J854" s="1"/>
      <c r="K854" s="1"/>
      <c r="L854" s="1"/>
      <c r="M854" s="1"/>
      <c r="N854" s="1"/>
      <c r="O854" s="1"/>
      <c r="P854" s="1"/>
      <c r="Q854" s="1"/>
      <c r="R854" s="1"/>
      <c r="S854" s="1"/>
      <c r="T854" s="1"/>
      <c r="U854" s="2"/>
      <c r="V854" s="1"/>
      <c r="W854" s="1"/>
      <c r="X854" s="1"/>
      <c r="Y854" s="1"/>
      <c r="Z854" s="1"/>
    </row>
    <row r="855" spans="1:26" ht="24.75" customHeight="1">
      <c r="A855" s="1"/>
      <c r="B855" s="1"/>
      <c r="C855" s="1"/>
      <c r="D855" s="1"/>
      <c r="E855" s="1"/>
      <c r="F855" s="1"/>
      <c r="G855" s="1"/>
      <c r="H855" s="1"/>
      <c r="I855" s="1"/>
      <c r="J855" s="1"/>
      <c r="K855" s="1"/>
      <c r="L855" s="1"/>
      <c r="M855" s="1"/>
      <c r="N855" s="1"/>
      <c r="O855" s="1"/>
      <c r="P855" s="1"/>
      <c r="Q855" s="1"/>
      <c r="R855" s="1"/>
      <c r="S855" s="1"/>
      <c r="T855" s="1"/>
      <c r="U855" s="2"/>
      <c r="V855" s="1"/>
      <c r="W855" s="1"/>
      <c r="X855" s="1"/>
      <c r="Y855" s="1"/>
      <c r="Z855" s="1"/>
    </row>
    <row r="856" spans="1:26" ht="24.75" customHeight="1">
      <c r="A856" s="1"/>
      <c r="B856" s="1"/>
      <c r="C856" s="1"/>
      <c r="D856" s="1"/>
      <c r="E856" s="1"/>
      <c r="F856" s="1"/>
      <c r="G856" s="1"/>
      <c r="H856" s="1"/>
      <c r="I856" s="1"/>
      <c r="J856" s="1"/>
      <c r="K856" s="1"/>
      <c r="L856" s="1"/>
      <c r="M856" s="1"/>
      <c r="N856" s="1"/>
      <c r="O856" s="1"/>
      <c r="P856" s="1"/>
      <c r="Q856" s="1"/>
      <c r="R856" s="1"/>
      <c r="S856" s="1"/>
      <c r="T856" s="1"/>
      <c r="U856" s="2"/>
      <c r="V856" s="1"/>
      <c r="W856" s="1"/>
      <c r="X856" s="1"/>
      <c r="Y856" s="1"/>
      <c r="Z856" s="1"/>
    </row>
    <row r="857" spans="1:26" ht="24.75" customHeight="1">
      <c r="A857" s="1"/>
      <c r="B857" s="1"/>
      <c r="C857" s="1"/>
      <c r="D857" s="1"/>
      <c r="E857" s="1"/>
      <c r="F857" s="1"/>
      <c r="G857" s="1"/>
      <c r="H857" s="1"/>
      <c r="I857" s="1"/>
      <c r="J857" s="1"/>
      <c r="K857" s="1"/>
      <c r="L857" s="1"/>
      <c r="M857" s="1"/>
      <c r="N857" s="1"/>
      <c r="O857" s="1"/>
      <c r="P857" s="1"/>
      <c r="Q857" s="1"/>
      <c r="R857" s="1"/>
      <c r="S857" s="1"/>
      <c r="T857" s="1"/>
      <c r="U857" s="2"/>
      <c r="V857" s="1"/>
      <c r="W857" s="1"/>
      <c r="X857" s="1"/>
      <c r="Y857" s="1"/>
      <c r="Z857" s="1"/>
    </row>
    <row r="858" spans="1:26" ht="24.75" customHeight="1">
      <c r="A858" s="1"/>
      <c r="B858" s="1"/>
      <c r="C858" s="1"/>
      <c r="D858" s="1"/>
      <c r="E858" s="1"/>
      <c r="F858" s="1"/>
      <c r="G858" s="1"/>
      <c r="H858" s="1"/>
      <c r="I858" s="1"/>
      <c r="J858" s="1"/>
      <c r="K858" s="1"/>
      <c r="L858" s="1"/>
      <c r="M858" s="1"/>
      <c r="N858" s="1"/>
      <c r="O858" s="1"/>
      <c r="P858" s="1"/>
      <c r="Q858" s="1"/>
      <c r="R858" s="1"/>
      <c r="S858" s="1"/>
      <c r="T858" s="1"/>
      <c r="U858" s="2"/>
      <c r="V858" s="1"/>
      <c r="W858" s="1"/>
      <c r="X858" s="1"/>
      <c r="Y858" s="1"/>
      <c r="Z858" s="1"/>
    </row>
    <row r="859" spans="1:26" ht="24.75" customHeight="1">
      <c r="A859" s="1"/>
      <c r="B859" s="1"/>
      <c r="C859" s="1"/>
      <c r="D859" s="1"/>
      <c r="E859" s="1"/>
      <c r="F859" s="1"/>
      <c r="G859" s="1"/>
      <c r="H859" s="1"/>
      <c r="I859" s="1"/>
      <c r="J859" s="1"/>
      <c r="K859" s="1"/>
      <c r="L859" s="1"/>
      <c r="M859" s="1"/>
      <c r="N859" s="1"/>
      <c r="O859" s="1"/>
      <c r="P859" s="1"/>
      <c r="Q859" s="1"/>
      <c r="R859" s="1"/>
      <c r="S859" s="1"/>
      <c r="T859" s="1"/>
      <c r="U859" s="2"/>
      <c r="V859" s="1"/>
      <c r="W859" s="1"/>
      <c r="X859" s="1"/>
      <c r="Y859" s="1"/>
      <c r="Z859" s="1"/>
    </row>
    <row r="860" spans="1:26" ht="24.75" customHeight="1">
      <c r="A860" s="1"/>
      <c r="B860" s="1"/>
      <c r="C860" s="1"/>
      <c r="D860" s="1"/>
      <c r="E860" s="1"/>
      <c r="F860" s="1"/>
      <c r="G860" s="1"/>
      <c r="H860" s="1"/>
      <c r="I860" s="1"/>
      <c r="J860" s="1"/>
      <c r="K860" s="1"/>
      <c r="L860" s="1"/>
      <c r="M860" s="1"/>
      <c r="N860" s="1"/>
      <c r="O860" s="1"/>
      <c r="P860" s="1"/>
      <c r="Q860" s="1"/>
      <c r="R860" s="1"/>
      <c r="S860" s="1"/>
      <c r="T860" s="1"/>
      <c r="U860" s="2"/>
      <c r="V860" s="1"/>
      <c r="W860" s="1"/>
      <c r="X860" s="1"/>
      <c r="Y860" s="1"/>
      <c r="Z860" s="1"/>
    </row>
    <row r="861" spans="1:26" ht="24.75" customHeight="1">
      <c r="A861" s="1"/>
      <c r="B861" s="1"/>
      <c r="C861" s="1"/>
      <c r="D861" s="1"/>
      <c r="E861" s="1"/>
      <c r="F861" s="1"/>
      <c r="G861" s="1"/>
      <c r="H861" s="1"/>
      <c r="I861" s="1"/>
      <c r="J861" s="1"/>
      <c r="K861" s="1"/>
      <c r="L861" s="1"/>
      <c r="M861" s="1"/>
      <c r="N861" s="1"/>
      <c r="O861" s="1"/>
      <c r="P861" s="1"/>
      <c r="Q861" s="1"/>
      <c r="R861" s="1"/>
      <c r="S861" s="1"/>
      <c r="T861" s="1"/>
      <c r="U861" s="2"/>
      <c r="V861" s="1"/>
      <c r="W861" s="1"/>
      <c r="X861" s="1"/>
      <c r="Y861" s="1"/>
      <c r="Z861" s="1"/>
    </row>
    <row r="862" spans="1:26" ht="24.75" customHeight="1">
      <c r="A862" s="1"/>
      <c r="B862" s="1"/>
      <c r="C862" s="1"/>
      <c r="D862" s="1"/>
      <c r="E862" s="1"/>
      <c r="F862" s="1"/>
      <c r="G862" s="1"/>
      <c r="H862" s="1"/>
      <c r="I862" s="1"/>
      <c r="J862" s="1"/>
      <c r="K862" s="1"/>
      <c r="L862" s="1"/>
      <c r="M862" s="1"/>
      <c r="N862" s="1"/>
      <c r="O862" s="1"/>
      <c r="P862" s="1"/>
      <c r="Q862" s="1"/>
      <c r="R862" s="1"/>
      <c r="S862" s="1"/>
      <c r="T862" s="1"/>
      <c r="U862" s="2"/>
      <c r="V862" s="1"/>
      <c r="W862" s="1"/>
      <c r="X862" s="1"/>
      <c r="Y862" s="1"/>
      <c r="Z862" s="1"/>
    </row>
    <row r="863" spans="1:26" ht="24.75" customHeight="1">
      <c r="A863" s="1"/>
      <c r="B863" s="1"/>
      <c r="C863" s="1"/>
      <c r="D863" s="1"/>
      <c r="E863" s="1"/>
      <c r="F863" s="1"/>
      <c r="G863" s="1"/>
      <c r="H863" s="1"/>
      <c r="I863" s="1"/>
      <c r="J863" s="1"/>
      <c r="K863" s="1"/>
      <c r="L863" s="1"/>
      <c r="M863" s="1"/>
      <c r="N863" s="1"/>
      <c r="O863" s="1"/>
      <c r="P863" s="1"/>
      <c r="Q863" s="1"/>
      <c r="R863" s="1"/>
      <c r="S863" s="1"/>
      <c r="T863" s="1"/>
      <c r="U863" s="2"/>
      <c r="V863" s="1"/>
      <c r="W863" s="1"/>
      <c r="X863" s="1"/>
      <c r="Y863" s="1"/>
      <c r="Z863" s="1"/>
    </row>
    <row r="864" spans="1:26" ht="24.75" customHeight="1">
      <c r="A864" s="1"/>
      <c r="B864" s="1"/>
      <c r="C864" s="1"/>
      <c r="D864" s="1"/>
      <c r="E864" s="1"/>
      <c r="F864" s="1"/>
      <c r="G864" s="1"/>
      <c r="H864" s="1"/>
      <c r="I864" s="1"/>
      <c r="J864" s="1"/>
      <c r="K864" s="1"/>
      <c r="L864" s="1"/>
      <c r="M864" s="1"/>
      <c r="N864" s="1"/>
      <c r="O864" s="1"/>
      <c r="P864" s="1"/>
      <c r="Q864" s="1"/>
      <c r="R864" s="1"/>
      <c r="S864" s="1"/>
      <c r="T864" s="1"/>
      <c r="U864" s="2"/>
      <c r="V864" s="1"/>
      <c r="W864" s="1"/>
      <c r="X864" s="1"/>
      <c r="Y864" s="1"/>
      <c r="Z864" s="1"/>
    </row>
    <row r="865" spans="1:26" ht="24.75" customHeight="1">
      <c r="A865" s="1"/>
      <c r="B865" s="1"/>
      <c r="C865" s="1"/>
      <c r="D865" s="1"/>
      <c r="E865" s="1"/>
      <c r="F865" s="1"/>
      <c r="G865" s="1"/>
      <c r="H865" s="1"/>
      <c r="I865" s="1"/>
      <c r="J865" s="1"/>
      <c r="K865" s="1"/>
      <c r="L865" s="1"/>
      <c r="M865" s="1"/>
      <c r="N865" s="1"/>
      <c r="O865" s="1"/>
      <c r="P865" s="1"/>
      <c r="Q865" s="1"/>
      <c r="R865" s="1"/>
      <c r="S865" s="1"/>
      <c r="T865" s="1"/>
      <c r="U865" s="2"/>
      <c r="V865" s="1"/>
      <c r="W865" s="1"/>
      <c r="X865" s="1"/>
      <c r="Y865" s="1"/>
      <c r="Z865" s="1"/>
    </row>
    <row r="866" spans="1:26" ht="24.75" customHeight="1">
      <c r="A866" s="1"/>
      <c r="B866" s="1"/>
      <c r="C866" s="1"/>
      <c r="D866" s="1"/>
      <c r="E866" s="1"/>
      <c r="F866" s="1"/>
      <c r="G866" s="1"/>
      <c r="H866" s="1"/>
      <c r="I866" s="1"/>
      <c r="J866" s="1"/>
      <c r="K866" s="1"/>
      <c r="L866" s="1"/>
      <c r="M866" s="1"/>
      <c r="N866" s="1"/>
      <c r="O866" s="1"/>
      <c r="P866" s="1"/>
      <c r="Q866" s="1"/>
      <c r="R866" s="1"/>
      <c r="S866" s="1"/>
      <c r="T866" s="1"/>
      <c r="U866" s="2"/>
      <c r="V866" s="1"/>
      <c r="W866" s="1"/>
      <c r="X866" s="1"/>
      <c r="Y866" s="1"/>
      <c r="Z866" s="1"/>
    </row>
    <row r="867" spans="1:26" ht="24.75" customHeight="1">
      <c r="A867" s="1"/>
      <c r="B867" s="1"/>
      <c r="C867" s="1"/>
      <c r="D867" s="1"/>
      <c r="E867" s="1"/>
      <c r="F867" s="1"/>
      <c r="G867" s="1"/>
      <c r="H867" s="1"/>
      <c r="I867" s="1"/>
      <c r="J867" s="1"/>
      <c r="K867" s="1"/>
      <c r="L867" s="1"/>
      <c r="M867" s="1"/>
      <c r="N867" s="1"/>
      <c r="O867" s="1"/>
      <c r="P867" s="1"/>
      <c r="Q867" s="1"/>
      <c r="R867" s="1"/>
      <c r="S867" s="1"/>
      <c r="T867" s="1"/>
      <c r="U867" s="2"/>
      <c r="V867" s="1"/>
      <c r="W867" s="1"/>
      <c r="X867" s="1"/>
      <c r="Y867" s="1"/>
      <c r="Z867" s="1"/>
    </row>
    <row r="868" spans="1:26" ht="24.75" customHeight="1">
      <c r="A868" s="1"/>
      <c r="B868" s="1"/>
      <c r="C868" s="1"/>
      <c r="D868" s="1"/>
      <c r="E868" s="1"/>
      <c r="F868" s="1"/>
      <c r="G868" s="1"/>
      <c r="H868" s="1"/>
      <c r="I868" s="1"/>
      <c r="J868" s="1"/>
      <c r="K868" s="1"/>
      <c r="L868" s="1"/>
      <c r="M868" s="1"/>
      <c r="N868" s="1"/>
      <c r="O868" s="1"/>
      <c r="P868" s="1"/>
      <c r="Q868" s="1"/>
      <c r="R868" s="1"/>
      <c r="S868" s="1"/>
      <c r="T868" s="1"/>
      <c r="U868" s="2"/>
      <c r="V868" s="1"/>
      <c r="W868" s="1"/>
      <c r="X868" s="1"/>
      <c r="Y868" s="1"/>
      <c r="Z868" s="1"/>
    </row>
    <row r="869" spans="1:26" ht="24.75" customHeight="1">
      <c r="A869" s="1"/>
      <c r="B869" s="1"/>
      <c r="C869" s="1"/>
      <c r="D869" s="1"/>
      <c r="E869" s="1"/>
      <c r="F869" s="1"/>
      <c r="G869" s="1"/>
      <c r="H869" s="1"/>
      <c r="I869" s="1"/>
      <c r="J869" s="1"/>
      <c r="K869" s="1"/>
      <c r="L869" s="1"/>
      <c r="M869" s="1"/>
      <c r="N869" s="1"/>
      <c r="O869" s="1"/>
      <c r="P869" s="1"/>
      <c r="Q869" s="1"/>
      <c r="R869" s="1"/>
      <c r="S869" s="1"/>
      <c r="T869" s="1"/>
      <c r="U869" s="2"/>
      <c r="V869" s="1"/>
      <c r="W869" s="1"/>
      <c r="X869" s="1"/>
      <c r="Y869" s="1"/>
      <c r="Z869" s="1"/>
    </row>
    <row r="870" spans="1:26" ht="24.75" customHeight="1">
      <c r="A870" s="1"/>
      <c r="B870" s="1"/>
      <c r="C870" s="1"/>
      <c r="D870" s="1"/>
      <c r="E870" s="1"/>
      <c r="F870" s="1"/>
      <c r="G870" s="1"/>
      <c r="H870" s="1"/>
      <c r="I870" s="1"/>
      <c r="J870" s="1"/>
      <c r="K870" s="1"/>
      <c r="L870" s="1"/>
      <c r="M870" s="1"/>
      <c r="N870" s="1"/>
      <c r="O870" s="1"/>
      <c r="P870" s="1"/>
      <c r="Q870" s="1"/>
      <c r="R870" s="1"/>
      <c r="S870" s="1"/>
      <c r="T870" s="1"/>
      <c r="U870" s="2"/>
      <c r="V870" s="1"/>
      <c r="W870" s="1"/>
      <c r="X870" s="1"/>
      <c r="Y870" s="1"/>
      <c r="Z870" s="1"/>
    </row>
    <row r="871" spans="1:26" ht="24.75" customHeight="1">
      <c r="A871" s="1"/>
      <c r="B871" s="1"/>
      <c r="C871" s="1"/>
      <c r="D871" s="1"/>
      <c r="E871" s="1"/>
      <c r="F871" s="1"/>
      <c r="G871" s="1"/>
      <c r="H871" s="1"/>
      <c r="I871" s="1"/>
      <c r="J871" s="1"/>
      <c r="K871" s="1"/>
      <c r="L871" s="1"/>
      <c r="M871" s="1"/>
      <c r="N871" s="1"/>
      <c r="O871" s="1"/>
      <c r="P871" s="1"/>
      <c r="Q871" s="1"/>
      <c r="R871" s="1"/>
      <c r="S871" s="1"/>
      <c r="T871" s="1"/>
      <c r="U871" s="2"/>
      <c r="V871" s="1"/>
      <c r="W871" s="1"/>
      <c r="X871" s="1"/>
      <c r="Y871" s="1"/>
      <c r="Z871" s="1"/>
    </row>
    <row r="872" spans="1:26" ht="24.75" customHeight="1">
      <c r="A872" s="1"/>
      <c r="B872" s="1"/>
      <c r="C872" s="1"/>
      <c r="D872" s="1"/>
      <c r="E872" s="1"/>
      <c r="F872" s="1"/>
      <c r="G872" s="1"/>
      <c r="H872" s="1"/>
      <c r="I872" s="1"/>
      <c r="J872" s="1"/>
      <c r="K872" s="1"/>
      <c r="L872" s="1"/>
      <c r="M872" s="1"/>
      <c r="N872" s="1"/>
      <c r="O872" s="1"/>
      <c r="P872" s="1"/>
      <c r="Q872" s="1"/>
      <c r="R872" s="1"/>
      <c r="S872" s="1"/>
      <c r="T872" s="1"/>
      <c r="U872" s="2"/>
      <c r="V872" s="1"/>
      <c r="W872" s="1"/>
      <c r="X872" s="1"/>
      <c r="Y872" s="1"/>
      <c r="Z872" s="1"/>
    </row>
    <row r="873" spans="1:26" ht="24.75" customHeight="1">
      <c r="A873" s="1"/>
      <c r="B873" s="1"/>
      <c r="C873" s="1"/>
      <c r="D873" s="1"/>
      <c r="E873" s="1"/>
      <c r="F873" s="1"/>
      <c r="G873" s="1"/>
      <c r="H873" s="1"/>
      <c r="I873" s="1"/>
      <c r="J873" s="1"/>
      <c r="K873" s="1"/>
      <c r="L873" s="1"/>
      <c r="M873" s="1"/>
      <c r="N873" s="1"/>
      <c r="O873" s="1"/>
      <c r="P873" s="1"/>
      <c r="Q873" s="1"/>
      <c r="R873" s="1"/>
      <c r="S873" s="1"/>
      <c r="T873" s="1"/>
      <c r="U873" s="2"/>
      <c r="V873" s="1"/>
      <c r="W873" s="1"/>
      <c r="X873" s="1"/>
      <c r="Y873" s="1"/>
      <c r="Z873" s="1"/>
    </row>
    <row r="874" spans="1:26" ht="24.75" customHeight="1">
      <c r="A874" s="1"/>
      <c r="B874" s="1"/>
      <c r="C874" s="1"/>
      <c r="D874" s="1"/>
      <c r="E874" s="1"/>
      <c r="F874" s="1"/>
      <c r="G874" s="1"/>
      <c r="H874" s="1"/>
      <c r="I874" s="1"/>
      <c r="J874" s="1"/>
      <c r="K874" s="1"/>
      <c r="L874" s="1"/>
      <c r="M874" s="1"/>
      <c r="N874" s="1"/>
      <c r="O874" s="1"/>
      <c r="P874" s="1"/>
      <c r="Q874" s="1"/>
      <c r="R874" s="1"/>
      <c r="S874" s="1"/>
      <c r="T874" s="1"/>
      <c r="U874" s="2"/>
      <c r="V874" s="1"/>
      <c r="W874" s="1"/>
      <c r="X874" s="1"/>
      <c r="Y874" s="1"/>
      <c r="Z874" s="1"/>
    </row>
    <row r="875" spans="1:26" ht="24.75" customHeight="1">
      <c r="A875" s="1"/>
      <c r="B875" s="1"/>
      <c r="C875" s="1"/>
      <c r="D875" s="1"/>
      <c r="E875" s="1"/>
      <c r="F875" s="1"/>
      <c r="G875" s="1"/>
      <c r="H875" s="1"/>
      <c r="I875" s="1"/>
      <c r="J875" s="1"/>
      <c r="K875" s="1"/>
      <c r="L875" s="1"/>
      <c r="M875" s="1"/>
      <c r="N875" s="1"/>
      <c r="O875" s="1"/>
      <c r="P875" s="1"/>
      <c r="Q875" s="1"/>
      <c r="R875" s="1"/>
      <c r="S875" s="1"/>
      <c r="T875" s="1"/>
      <c r="U875" s="2"/>
      <c r="V875" s="1"/>
      <c r="W875" s="1"/>
      <c r="X875" s="1"/>
      <c r="Y875" s="1"/>
      <c r="Z875" s="1"/>
    </row>
    <row r="876" spans="1:26" ht="24.75" customHeight="1">
      <c r="A876" s="1"/>
      <c r="B876" s="1"/>
      <c r="C876" s="1"/>
      <c r="D876" s="1"/>
      <c r="E876" s="1"/>
      <c r="F876" s="1"/>
      <c r="G876" s="1"/>
      <c r="H876" s="1"/>
      <c r="I876" s="1"/>
      <c r="J876" s="1"/>
      <c r="K876" s="1"/>
      <c r="L876" s="1"/>
      <c r="M876" s="1"/>
      <c r="N876" s="1"/>
      <c r="O876" s="1"/>
      <c r="P876" s="1"/>
      <c r="Q876" s="1"/>
      <c r="R876" s="1"/>
      <c r="S876" s="1"/>
      <c r="T876" s="1"/>
      <c r="U876" s="2"/>
      <c r="V876" s="1"/>
      <c r="W876" s="1"/>
      <c r="X876" s="1"/>
      <c r="Y876" s="1"/>
      <c r="Z876" s="1"/>
    </row>
    <row r="877" spans="1:26" ht="24.75" customHeight="1">
      <c r="A877" s="1"/>
      <c r="B877" s="1"/>
      <c r="C877" s="1"/>
      <c r="D877" s="1"/>
      <c r="E877" s="1"/>
      <c r="F877" s="1"/>
      <c r="G877" s="1"/>
      <c r="H877" s="1"/>
      <c r="I877" s="1"/>
      <c r="J877" s="1"/>
      <c r="K877" s="1"/>
      <c r="L877" s="1"/>
      <c r="M877" s="1"/>
      <c r="N877" s="1"/>
      <c r="O877" s="1"/>
      <c r="P877" s="1"/>
      <c r="Q877" s="1"/>
      <c r="R877" s="1"/>
      <c r="S877" s="1"/>
      <c r="T877" s="1"/>
      <c r="U877" s="2"/>
      <c r="V877" s="1"/>
      <c r="W877" s="1"/>
      <c r="X877" s="1"/>
      <c r="Y877" s="1"/>
      <c r="Z877" s="1"/>
    </row>
    <row r="878" spans="1:26" ht="24.75" customHeight="1">
      <c r="A878" s="1"/>
      <c r="B878" s="1"/>
      <c r="C878" s="1"/>
      <c r="D878" s="1"/>
      <c r="E878" s="1"/>
      <c r="F878" s="1"/>
      <c r="G878" s="1"/>
      <c r="H878" s="1"/>
      <c r="I878" s="1"/>
      <c r="J878" s="1"/>
      <c r="K878" s="1"/>
      <c r="L878" s="1"/>
      <c r="M878" s="1"/>
      <c r="N878" s="1"/>
      <c r="O878" s="1"/>
      <c r="P878" s="1"/>
      <c r="Q878" s="1"/>
      <c r="R878" s="1"/>
      <c r="S878" s="1"/>
      <c r="T878" s="1"/>
      <c r="U878" s="2"/>
      <c r="V878" s="1"/>
      <c r="W878" s="1"/>
      <c r="X878" s="1"/>
      <c r="Y878" s="1"/>
      <c r="Z878" s="1"/>
    </row>
    <row r="879" spans="1:26" ht="24.75" customHeight="1">
      <c r="A879" s="1"/>
      <c r="B879" s="1"/>
      <c r="C879" s="1"/>
      <c r="D879" s="1"/>
      <c r="E879" s="1"/>
      <c r="F879" s="1"/>
      <c r="G879" s="1"/>
      <c r="H879" s="1"/>
      <c r="I879" s="1"/>
      <c r="J879" s="1"/>
      <c r="K879" s="1"/>
      <c r="L879" s="1"/>
      <c r="M879" s="1"/>
      <c r="N879" s="1"/>
      <c r="O879" s="1"/>
      <c r="P879" s="1"/>
      <c r="Q879" s="1"/>
      <c r="R879" s="1"/>
      <c r="S879" s="1"/>
      <c r="T879" s="1"/>
      <c r="U879" s="2"/>
      <c r="V879" s="1"/>
      <c r="W879" s="1"/>
      <c r="X879" s="1"/>
      <c r="Y879" s="1"/>
      <c r="Z879" s="1"/>
    </row>
    <row r="880" spans="1:26" ht="24.75" customHeight="1">
      <c r="A880" s="1"/>
      <c r="B880" s="1"/>
      <c r="C880" s="1"/>
      <c r="D880" s="1"/>
      <c r="E880" s="1"/>
      <c r="F880" s="1"/>
      <c r="G880" s="1"/>
      <c r="H880" s="1"/>
      <c r="I880" s="1"/>
      <c r="J880" s="1"/>
      <c r="K880" s="1"/>
      <c r="L880" s="1"/>
      <c r="M880" s="1"/>
      <c r="N880" s="1"/>
      <c r="O880" s="1"/>
      <c r="P880" s="1"/>
      <c r="Q880" s="1"/>
      <c r="R880" s="1"/>
      <c r="S880" s="1"/>
      <c r="T880" s="1"/>
      <c r="U880" s="2"/>
      <c r="V880" s="1"/>
      <c r="W880" s="1"/>
      <c r="X880" s="1"/>
      <c r="Y880" s="1"/>
      <c r="Z880" s="1"/>
    </row>
    <row r="881" spans="1:26" ht="24.75" customHeight="1">
      <c r="A881" s="1"/>
      <c r="B881" s="1"/>
      <c r="C881" s="1"/>
      <c r="D881" s="1"/>
      <c r="E881" s="1"/>
      <c r="F881" s="1"/>
      <c r="G881" s="1"/>
      <c r="H881" s="1"/>
      <c r="I881" s="1"/>
      <c r="J881" s="1"/>
      <c r="K881" s="1"/>
      <c r="L881" s="1"/>
      <c r="M881" s="1"/>
      <c r="N881" s="1"/>
      <c r="O881" s="1"/>
      <c r="P881" s="1"/>
      <c r="Q881" s="1"/>
      <c r="R881" s="1"/>
      <c r="S881" s="1"/>
      <c r="T881" s="1"/>
      <c r="U881" s="2"/>
      <c r="V881" s="1"/>
      <c r="W881" s="1"/>
      <c r="X881" s="1"/>
      <c r="Y881" s="1"/>
      <c r="Z881" s="1"/>
    </row>
    <row r="882" spans="1:26" ht="24.75" customHeight="1">
      <c r="A882" s="1"/>
      <c r="B882" s="1"/>
      <c r="C882" s="1"/>
      <c r="D882" s="1"/>
      <c r="E882" s="1"/>
      <c r="F882" s="1"/>
      <c r="G882" s="1"/>
      <c r="H882" s="1"/>
      <c r="I882" s="1"/>
      <c r="J882" s="1"/>
      <c r="K882" s="1"/>
      <c r="L882" s="1"/>
      <c r="M882" s="1"/>
      <c r="N882" s="1"/>
      <c r="O882" s="1"/>
      <c r="P882" s="1"/>
      <c r="Q882" s="1"/>
      <c r="R882" s="1"/>
      <c r="S882" s="1"/>
      <c r="T882" s="1"/>
      <c r="U882" s="2"/>
      <c r="V882" s="1"/>
      <c r="W882" s="1"/>
      <c r="X882" s="1"/>
      <c r="Y882" s="1"/>
      <c r="Z882" s="1"/>
    </row>
    <row r="883" spans="1:26" ht="24.75" customHeight="1">
      <c r="A883" s="1"/>
      <c r="B883" s="1"/>
      <c r="C883" s="1"/>
      <c r="D883" s="1"/>
      <c r="E883" s="1"/>
      <c r="F883" s="1"/>
      <c r="G883" s="1"/>
      <c r="H883" s="1"/>
      <c r="I883" s="1"/>
      <c r="J883" s="1"/>
      <c r="K883" s="1"/>
      <c r="L883" s="1"/>
      <c r="M883" s="1"/>
      <c r="N883" s="1"/>
      <c r="O883" s="1"/>
      <c r="P883" s="1"/>
      <c r="Q883" s="1"/>
      <c r="R883" s="1"/>
      <c r="S883" s="1"/>
      <c r="T883" s="1"/>
      <c r="U883" s="2"/>
      <c r="V883" s="1"/>
      <c r="W883" s="1"/>
      <c r="X883" s="1"/>
      <c r="Y883" s="1"/>
      <c r="Z883" s="1"/>
    </row>
    <row r="884" spans="1:26" ht="24.75" customHeight="1">
      <c r="A884" s="1"/>
      <c r="B884" s="1"/>
      <c r="C884" s="1"/>
      <c r="D884" s="1"/>
      <c r="E884" s="1"/>
      <c r="F884" s="1"/>
      <c r="G884" s="1"/>
      <c r="H884" s="1"/>
      <c r="I884" s="1"/>
      <c r="J884" s="1"/>
      <c r="K884" s="1"/>
      <c r="L884" s="1"/>
      <c r="M884" s="1"/>
      <c r="N884" s="1"/>
      <c r="O884" s="1"/>
      <c r="P884" s="1"/>
      <c r="Q884" s="1"/>
      <c r="R884" s="1"/>
      <c r="S884" s="1"/>
      <c r="T884" s="1"/>
      <c r="U884" s="2"/>
      <c r="V884" s="1"/>
      <c r="W884" s="1"/>
      <c r="X884" s="1"/>
      <c r="Y884" s="1"/>
      <c r="Z884" s="1"/>
    </row>
    <row r="885" spans="1:26" ht="24.75" customHeight="1">
      <c r="A885" s="1"/>
      <c r="B885" s="1"/>
      <c r="C885" s="1"/>
      <c r="D885" s="1"/>
      <c r="E885" s="1"/>
      <c r="F885" s="1"/>
      <c r="G885" s="1"/>
      <c r="H885" s="1"/>
      <c r="I885" s="1"/>
      <c r="J885" s="1"/>
      <c r="K885" s="1"/>
      <c r="L885" s="1"/>
      <c r="M885" s="1"/>
      <c r="N885" s="1"/>
      <c r="O885" s="1"/>
      <c r="P885" s="1"/>
      <c r="Q885" s="1"/>
      <c r="R885" s="1"/>
      <c r="S885" s="1"/>
      <c r="T885" s="1"/>
      <c r="U885" s="2"/>
      <c r="V885" s="1"/>
      <c r="W885" s="1"/>
      <c r="X885" s="1"/>
      <c r="Y885" s="1"/>
      <c r="Z885" s="1"/>
    </row>
    <row r="886" spans="1:26" ht="24.75" customHeight="1">
      <c r="A886" s="1"/>
      <c r="B886" s="1"/>
      <c r="C886" s="1"/>
      <c r="D886" s="1"/>
      <c r="E886" s="1"/>
      <c r="F886" s="1"/>
      <c r="G886" s="1"/>
      <c r="H886" s="1"/>
      <c r="I886" s="1"/>
      <c r="J886" s="1"/>
      <c r="K886" s="1"/>
      <c r="L886" s="1"/>
      <c r="M886" s="1"/>
      <c r="N886" s="1"/>
      <c r="O886" s="1"/>
      <c r="P886" s="1"/>
      <c r="Q886" s="1"/>
      <c r="R886" s="1"/>
      <c r="S886" s="1"/>
      <c r="T886" s="1"/>
      <c r="U886" s="2"/>
      <c r="V886" s="1"/>
      <c r="W886" s="1"/>
      <c r="X886" s="1"/>
      <c r="Y886" s="1"/>
      <c r="Z886" s="1"/>
    </row>
    <row r="887" spans="1:26" ht="24.75" customHeight="1">
      <c r="A887" s="1"/>
      <c r="B887" s="1"/>
      <c r="C887" s="1"/>
      <c r="D887" s="1"/>
      <c r="E887" s="1"/>
      <c r="F887" s="1"/>
      <c r="G887" s="1"/>
      <c r="H887" s="1"/>
      <c r="I887" s="1"/>
      <c r="J887" s="1"/>
      <c r="K887" s="1"/>
      <c r="L887" s="1"/>
      <c r="M887" s="1"/>
      <c r="N887" s="1"/>
      <c r="O887" s="1"/>
      <c r="P887" s="1"/>
      <c r="Q887" s="1"/>
      <c r="R887" s="1"/>
      <c r="S887" s="1"/>
      <c r="T887" s="1"/>
      <c r="U887" s="2"/>
      <c r="V887" s="1"/>
      <c r="W887" s="1"/>
      <c r="X887" s="1"/>
      <c r="Y887" s="1"/>
      <c r="Z887" s="1"/>
    </row>
    <row r="888" spans="1:26" ht="24.75" customHeight="1">
      <c r="A888" s="1"/>
      <c r="B888" s="1"/>
      <c r="C888" s="1"/>
      <c r="D888" s="1"/>
      <c r="E888" s="1"/>
      <c r="F888" s="1"/>
      <c r="G888" s="1"/>
      <c r="H888" s="1"/>
      <c r="I888" s="1"/>
      <c r="J888" s="1"/>
      <c r="K888" s="1"/>
      <c r="L888" s="1"/>
      <c r="M888" s="1"/>
      <c r="N888" s="1"/>
      <c r="O888" s="1"/>
      <c r="P888" s="1"/>
      <c r="Q888" s="1"/>
      <c r="R888" s="1"/>
      <c r="S888" s="1"/>
      <c r="T888" s="1"/>
      <c r="U888" s="2"/>
      <c r="V888" s="1"/>
      <c r="W888" s="1"/>
      <c r="X888" s="1"/>
      <c r="Y888" s="1"/>
      <c r="Z888" s="1"/>
    </row>
    <row r="889" spans="1:26" ht="24.75" customHeight="1">
      <c r="A889" s="1"/>
      <c r="B889" s="1"/>
      <c r="C889" s="1"/>
      <c r="D889" s="1"/>
      <c r="E889" s="1"/>
      <c r="F889" s="1"/>
      <c r="G889" s="1"/>
      <c r="H889" s="1"/>
      <c r="I889" s="1"/>
      <c r="J889" s="1"/>
      <c r="K889" s="1"/>
      <c r="L889" s="1"/>
      <c r="M889" s="1"/>
      <c r="N889" s="1"/>
      <c r="O889" s="1"/>
      <c r="P889" s="1"/>
      <c r="Q889" s="1"/>
      <c r="R889" s="1"/>
      <c r="S889" s="1"/>
      <c r="T889" s="1"/>
      <c r="U889" s="2"/>
      <c r="V889" s="1"/>
      <c r="W889" s="1"/>
      <c r="X889" s="1"/>
      <c r="Y889" s="1"/>
      <c r="Z889" s="1"/>
    </row>
    <row r="890" spans="1:26" ht="24.75" customHeight="1">
      <c r="A890" s="1"/>
      <c r="B890" s="1"/>
      <c r="C890" s="1"/>
      <c r="D890" s="1"/>
      <c r="E890" s="1"/>
      <c r="F890" s="1"/>
      <c r="G890" s="1"/>
      <c r="H890" s="1"/>
      <c r="I890" s="1"/>
      <c r="J890" s="1"/>
      <c r="K890" s="1"/>
      <c r="L890" s="1"/>
      <c r="M890" s="1"/>
      <c r="N890" s="1"/>
      <c r="O890" s="1"/>
      <c r="P890" s="1"/>
      <c r="Q890" s="1"/>
      <c r="R890" s="1"/>
      <c r="S890" s="1"/>
      <c r="T890" s="1"/>
      <c r="U890" s="2"/>
      <c r="V890" s="1"/>
      <c r="W890" s="1"/>
      <c r="X890" s="1"/>
      <c r="Y890" s="1"/>
      <c r="Z890" s="1"/>
    </row>
    <row r="891" spans="1:26" ht="24.75" customHeight="1">
      <c r="A891" s="1"/>
      <c r="B891" s="1"/>
      <c r="C891" s="1"/>
      <c r="D891" s="1"/>
      <c r="E891" s="1"/>
      <c r="F891" s="1"/>
      <c r="G891" s="1"/>
      <c r="H891" s="1"/>
      <c r="I891" s="1"/>
      <c r="J891" s="1"/>
      <c r="K891" s="1"/>
      <c r="L891" s="1"/>
      <c r="M891" s="1"/>
      <c r="N891" s="1"/>
      <c r="O891" s="1"/>
      <c r="P891" s="1"/>
      <c r="Q891" s="1"/>
      <c r="R891" s="1"/>
      <c r="S891" s="1"/>
      <c r="T891" s="1"/>
      <c r="U891" s="2"/>
      <c r="V891" s="1"/>
      <c r="W891" s="1"/>
      <c r="X891" s="1"/>
      <c r="Y891" s="1"/>
      <c r="Z891" s="1"/>
    </row>
    <row r="892" spans="1:26" ht="24.75" customHeight="1">
      <c r="A892" s="1"/>
      <c r="B892" s="1"/>
      <c r="C892" s="1"/>
      <c r="D892" s="1"/>
      <c r="E892" s="1"/>
      <c r="F892" s="1"/>
      <c r="G892" s="1"/>
      <c r="H892" s="1"/>
      <c r="I892" s="1"/>
      <c r="J892" s="1"/>
      <c r="K892" s="1"/>
      <c r="L892" s="1"/>
      <c r="M892" s="1"/>
      <c r="N892" s="1"/>
      <c r="O892" s="1"/>
      <c r="P892" s="1"/>
      <c r="Q892" s="1"/>
      <c r="R892" s="1"/>
      <c r="S892" s="1"/>
      <c r="T892" s="1"/>
      <c r="U892" s="2"/>
      <c r="V892" s="1"/>
      <c r="W892" s="1"/>
      <c r="X892" s="1"/>
      <c r="Y892" s="1"/>
      <c r="Z892" s="1"/>
    </row>
    <row r="893" spans="1:26" ht="24.75" customHeight="1">
      <c r="A893" s="1"/>
      <c r="B893" s="1"/>
      <c r="C893" s="1"/>
      <c r="D893" s="1"/>
      <c r="E893" s="1"/>
      <c r="F893" s="1"/>
      <c r="G893" s="1"/>
      <c r="H893" s="1"/>
      <c r="I893" s="1"/>
      <c r="J893" s="1"/>
      <c r="K893" s="1"/>
      <c r="L893" s="1"/>
      <c r="M893" s="1"/>
      <c r="N893" s="1"/>
      <c r="O893" s="1"/>
      <c r="P893" s="1"/>
      <c r="Q893" s="1"/>
      <c r="R893" s="1"/>
      <c r="S893" s="1"/>
      <c r="T893" s="1"/>
      <c r="U893" s="2"/>
      <c r="V893" s="1"/>
      <c r="W893" s="1"/>
      <c r="X893" s="1"/>
      <c r="Y893" s="1"/>
      <c r="Z893" s="1"/>
    </row>
    <row r="894" spans="1:26" ht="24.75" customHeight="1">
      <c r="A894" s="1"/>
      <c r="B894" s="1"/>
      <c r="C894" s="1"/>
      <c r="D894" s="1"/>
      <c r="E894" s="1"/>
      <c r="F894" s="1"/>
      <c r="G894" s="1"/>
      <c r="H894" s="1"/>
      <c r="I894" s="1"/>
      <c r="J894" s="1"/>
      <c r="K894" s="1"/>
      <c r="L894" s="1"/>
      <c r="M894" s="1"/>
      <c r="N894" s="1"/>
      <c r="O894" s="1"/>
      <c r="P894" s="1"/>
      <c r="Q894" s="1"/>
      <c r="R894" s="1"/>
      <c r="S894" s="1"/>
      <c r="T894" s="1"/>
      <c r="U894" s="2"/>
      <c r="V894" s="1"/>
      <c r="W894" s="1"/>
      <c r="X894" s="1"/>
      <c r="Y894" s="1"/>
      <c r="Z894" s="1"/>
    </row>
    <row r="895" spans="1:26" ht="24.75" customHeight="1">
      <c r="A895" s="1"/>
      <c r="B895" s="1"/>
      <c r="C895" s="1"/>
      <c r="D895" s="1"/>
      <c r="E895" s="1"/>
      <c r="F895" s="1"/>
      <c r="G895" s="1"/>
      <c r="H895" s="1"/>
      <c r="I895" s="1"/>
      <c r="J895" s="1"/>
      <c r="K895" s="1"/>
      <c r="L895" s="1"/>
      <c r="M895" s="1"/>
      <c r="N895" s="1"/>
      <c r="O895" s="1"/>
      <c r="P895" s="1"/>
      <c r="Q895" s="1"/>
      <c r="R895" s="1"/>
      <c r="S895" s="1"/>
      <c r="T895" s="1"/>
      <c r="U895" s="2"/>
      <c r="V895" s="1"/>
      <c r="W895" s="1"/>
      <c r="X895" s="1"/>
      <c r="Y895" s="1"/>
      <c r="Z895" s="1"/>
    </row>
    <row r="896" spans="1:26" ht="24.75" customHeight="1">
      <c r="A896" s="1"/>
      <c r="B896" s="1"/>
      <c r="C896" s="1"/>
      <c r="D896" s="1"/>
      <c r="E896" s="1"/>
      <c r="F896" s="1"/>
      <c r="G896" s="1"/>
      <c r="H896" s="1"/>
      <c r="I896" s="1"/>
      <c r="J896" s="1"/>
      <c r="K896" s="1"/>
      <c r="L896" s="1"/>
      <c r="M896" s="1"/>
      <c r="N896" s="1"/>
      <c r="O896" s="1"/>
      <c r="P896" s="1"/>
      <c r="Q896" s="1"/>
      <c r="R896" s="1"/>
      <c r="S896" s="1"/>
      <c r="T896" s="1"/>
      <c r="U896" s="2"/>
      <c r="V896" s="1"/>
      <c r="W896" s="1"/>
      <c r="X896" s="1"/>
      <c r="Y896" s="1"/>
      <c r="Z896" s="1"/>
    </row>
    <row r="897" spans="1:26" ht="24.75" customHeight="1">
      <c r="A897" s="1"/>
      <c r="B897" s="1"/>
      <c r="C897" s="1"/>
      <c r="D897" s="1"/>
      <c r="E897" s="1"/>
      <c r="F897" s="1"/>
      <c r="G897" s="1"/>
      <c r="H897" s="1"/>
      <c r="I897" s="1"/>
      <c r="J897" s="1"/>
      <c r="K897" s="1"/>
      <c r="L897" s="1"/>
      <c r="M897" s="1"/>
      <c r="N897" s="1"/>
      <c r="O897" s="1"/>
      <c r="P897" s="1"/>
      <c r="Q897" s="1"/>
      <c r="R897" s="1"/>
      <c r="S897" s="1"/>
      <c r="T897" s="1"/>
      <c r="U897" s="2"/>
      <c r="V897" s="1"/>
      <c r="W897" s="1"/>
      <c r="X897" s="1"/>
      <c r="Y897" s="1"/>
      <c r="Z897" s="1"/>
    </row>
    <row r="898" spans="1:26" ht="24.75" customHeight="1">
      <c r="A898" s="1"/>
      <c r="B898" s="1"/>
      <c r="C898" s="1"/>
      <c r="D898" s="1"/>
      <c r="E898" s="1"/>
      <c r="F898" s="1"/>
      <c r="G898" s="1"/>
      <c r="H898" s="1"/>
      <c r="I898" s="1"/>
      <c r="J898" s="1"/>
      <c r="K898" s="1"/>
      <c r="L898" s="1"/>
      <c r="M898" s="1"/>
      <c r="N898" s="1"/>
      <c r="O898" s="1"/>
      <c r="P898" s="1"/>
      <c r="Q898" s="1"/>
      <c r="R898" s="1"/>
      <c r="S898" s="1"/>
      <c r="T898" s="1"/>
      <c r="U898" s="2"/>
      <c r="V898" s="1"/>
      <c r="W898" s="1"/>
      <c r="X898" s="1"/>
      <c r="Y898" s="1"/>
      <c r="Z898" s="1"/>
    </row>
    <row r="899" spans="1:26" ht="24.75" customHeight="1">
      <c r="A899" s="1"/>
      <c r="B899" s="1"/>
      <c r="C899" s="1"/>
      <c r="D899" s="1"/>
      <c r="E899" s="1"/>
      <c r="F899" s="1"/>
      <c r="G899" s="1"/>
      <c r="H899" s="1"/>
      <c r="I899" s="1"/>
      <c r="J899" s="1"/>
      <c r="K899" s="1"/>
      <c r="L899" s="1"/>
      <c r="M899" s="1"/>
      <c r="N899" s="1"/>
      <c r="O899" s="1"/>
      <c r="P899" s="1"/>
      <c r="Q899" s="1"/>
      <c r="R899" s="1"/>
      <c r="S899" s="1"/>
      <c r="T899" s="1"/>
      <c r="U899" s="2"/>
      <c r="V899" s="1"/>
      <c r="W899" s="1"/>
      <c r="X899" s="1"/>
      <c r="Y899" s="1"/>
      <c r="Z899" s="1"/>
    </row>
    <row r="900" spans="1:26" ht="24.75" customHeight="1">
      <c r="A900" s="1"/>
      <c r="B900" s="1"/>
      <c r="C900" s="1"/>
      <c r="D900" s="1"/>
      <c r="E900" s="1"/>
      <c r="F900" s="1"/>
      <c r="G900" s="1"/>
      <c r="H900" s="1"/>
      <c r="I900" s="1"/>
      <c r="J900" s="1"/>
      <c r="K900" s="1"/>
      <c r="L900" s="1"/>
      <c r="M900" s="1"/>
      <c r="N900" s="1"/>
      <c r="O900" s="1"/>
      <c r="P900" s="1"/>
      <c r="Q900" s="1"/>
      <c r="R900" s="1"/>
      <c r="S900" s="1"/>
      <c r="T900" s="1"/>
      <c r="U900" s="2"/>
      <c r="V900" s="1"/>
      <c r="W900" s="1"/>
      <c r="X900" s="1"/>
      <c r="Y900" s="1"/>
      <c r="Z900" s="1"/>
    </row>
    <row r="901" spans="1:26" ht="24.75" customHeight="1">
      <c r="A901" s="1"/>
      <c r="B901" s="1"/>
      <c r="C901" s="1"/>
      <c r="D901" s="1"/>
      <c r="E901" s="1"/>
      <c r="F901" s="1"/>
      <c r="G901" s="1"/>
      <c r="H901" s="1"/>
      <c r="I901" s="1"/>
      <c r="J901" s="1"/>
      <c r="K901" s="1"/>
      <c r="L901" s="1"/>
      <c r="M901" s="1"/>
      <c r="N901" s="1"/>
      <c r="O901" s="1"/>
      <c r="P901" s="1"/>
      <c r="Q901" s="1"/>
      <c r="R901" s="1"/>
      <c r="S901" s="1"/>
      <c r="T901" s="1"/>
      <c r="U901" s="2"/>
      <c r="V901" s="1"/>
      <c r="W901" s="1"/>
      <c r="X901" s="1"/>
      <c r="Y901" s="1"/>
      <c r="Z901" s="1"/>
    </row>
    <row r="902" spans="1:26" ht="24.75" customHeight="1">
      <c r="A902" s="1"/>
      <c r="B902" s="1"/>
      <c r="C902" s="1"/>
      <c r="D902" s="1"/>
      <c r="E902" s="1"/>
      <c r="F902" s="1"/>
      <c r="G902" s="1"/>
      <c r="H902" s="1"/>
      <c r="I902" s="1"/>
      <c r="J902" s="1"/>
      <c r="K902" s="1"/>
      <c r="L902" s="1"/>
      <c r="M902" s="1"/>
      <c r="N902" s="1"/>
      <c r="O902" s="1"/>
      <c r="P902" s="1"/>
      <c r="Q902" s="1"/>
      <c r="R902" s="1"/>
      <c r="S902" s="1"/>
      <c r="T902" s="1"/>
      <c r="U902" s="2"/>
      <c r="V902" s="1"/>
      <c r="W902" s="1"/>
      <c r="X902" s="1"/>
      <c r="Y902" s="1"/>
      <c r="Z902" s="1"/>
    </row>
    <row r="903" spans="1:26" ht="24.75" customHeight="1">
      <c r="A903" s="1"/>
      <c r="B903" s="1"/>
      <c r="C903" s="1"/>
      <c r="D903" s="1"/>
      <c r="E903" s="1"/>
      <c r="F903" s="1"/>
      <c r="G903" s="1"/>
      <c r="H903" s="1"/>
      <c r="I903" s="1"/>
      <c r="J903" s="1"/>
      <c r="K903" s="1"/>
      <c r="L903" s="1"/>
      <c r="M903" s="1"/>
      <c r="N903" s="1"/>
      <c r="O903" s="1"/>
      <c r="P903" s="1"/>
      <c r="Q903" s="1"/>
      <c r="R903" s="1"/>
      <c r="S903" s="1"/>
      <c r="T903" s="1"/>
      <c r="U903" s="2"/>
      <c r="V903" s="1"/>
      <c r="W903" s="1"/>
      <c r="X903" s="1"/>
      <c r="Y903" s="1"/>
      <c r="Z903" s="1"/>
    </row>
    <row r="904" spans="1:26" ht="24.75" customHeight="1">
      <c r="A904" s="1"/>
      <c r="B904" s="1"/>
      <c r="C904" s="1"/>
      <c r="D904" s="1"/>
      <c r="E904" s="1"/>
      <c r="F904" s="1"/>
      <c r="G904" s="1"/>
      <c r="H904" s="1"/>
      <c r="I904" s="1"/>
      <c r="J904" s="1"/>
      <c r="K904" s="1"/>
      <c r="L904" s="1"/>
      <c r="M904" s="1"/>
      <c r="N904" s="1"/>
      <c r="O904" s="1"/>
      <c r="P904" s="1"/>
      <c r="Q904" s="1"/>
      <c r="R904" s="1"/>
      <c r="S904" s="1"/>
      <c r="T904" s="1"/>
      <c r="U904" s="2"/>
      <c r="V904" s="1"/>
      <c r="W904" s="1"/>
      <c r="X904" s="1"/>
      <c r="Y904" s="1"/>
      <c r="Z904" s="1"/>
    </row>
    <row r="905" spans="1:26" ht="24.75" customHeight="1">
      <c r="A905" s="1"/>
      <c r="B905" s="1"/>
      <c r="C905" s="1"/>
      <c r="D905" s="1"/>
      <c r="E905" s="1"/>
      <c r="F905" s="1"/>
      <c r="G905" s="1"/>
      <c r="H905" s="1"/>
      <c r="I905" s="1"/>
      <c r="J905" s="1"/>
      <c r="K905" s="1"/>
      <c r="L905" s="1"/>
      <c r="M905" s="1"/>
      <c r="N905" s="1"/>
      <c r="O905" s="1"/>
      <c r="P905" s="1"/>
      <c r="Q905" s="1"/>
      <c r="R905" s="1"/>
      <c r="S905" s="1"/>
      <c r="T905" s="1"/>
      <c r="U905" s="2"/>
      <c r="V905" s="1"/>
      <c r="W905" s="1"/>
      <c r="X905" s="1"/>
      <c r="Y905" s="1"/>
      <c r="Z905" s="1"/>
    </row>
    <row r="906" spans="1:26" ht="24.75" customHeight="1">
      <c r="A906" s="1"/>
      <c r="B906" s="1"/>
      <c r="C906" s="1"/>
      <c r="D906" s="1"/>
      <c r="E906" s="1"/>
      <c r="F906" s="1"/>
      <c r="G906" s="1"/>
      <c r="H906" s="1"/>
      <c r="I906" s="1"/>
      <c r="J906" s="1"/>
      <c r="K906" s="1"/>
      <c r="L906" s="1"/>
      <c r="M906" s="1"/>
      <c r="N906" s="1"/>
      <c r="O906" s="1"/>
      <c r="P906" s="1"/>
      <c r="Q906" s="1"/>
      <c r="R906" s="1"/>
      <c r="S906" s="1"/>
      <c r="T906" s="1"/>
      <c r="U906" s="2"/>
      <c r="V906" s="1"/>
      <c r="W906" s="1"/>
      <c r="X906" s="1"/>
      <c r="Y906" s="1"/>
      <c r="Z906" s="1"/>
    </row>
    <row r="907" spans="1:26" ht="24.75" customHeight="1">
      <c r="A907" s="1"/>
      <c r="B907" s="1"/>
      <c r="C907" s="1"/>
      <c r="D907" s="1"/>
      <c r="E907" s="1"/>
      <c r="F907" s="1"/>
      <c r="G907" s="1"/>
      <c r="H907" s="1"/>
      <c r="I907" s="1"/>
      <c r="J907" s="1"/>
      <c r="K907" s="1"/>
      <c r="L907" s="1"/>
      <c r="M907" s="1"/>
      <c r="N907" s="1"/>
      <c r="O907" s="1"/>
      <c r="P907" s="1"/>
      <c r="Q907" s="1"/>
      <c r="R907" s="1"/>
      <c r="S907" s="1"/>
      <c r="T907" s="1"/>
      <c r="U907" s="2"/>
      <c r="V907" s="1"/>
      <c r="W907" s="1"/>
      <c r="X907" s="1"/>
      <c r="Y907" s="1"/>
      <c r="Z907" s="1"/>
    </row>
    <row r="908" spans="1:26" ht="24.75" customHeight="1">
      <c r="A908" s="1"/>
      <c r="B908" s="1"/>
      <c r="C908" s="1"/>
      <c r="D908" s="1"/>
      <c r="E908" s="1"/>
      <c r="F908" s="1"/>
      <c r="G908" s="1"/>
      <c r="H908" s="1"/>
      <c r="I908" s="1"/>
      <c r="J908" s="1"/>
      <c r="K908" s="1"/>
      <c r="L908" s="1"/>
      <c r="M908" s="1"/>
      <c r="N908" s="1"/>
      <c r="O908" s="1"/>
      <c r="P908" s="1"/>
      <c r="Q908" s="1"/>
      <c r="R908" s="1"/>
      <c r="S908" s="1"/>
      <c r="T908" s="1"/>
      <c r="U908" s="2"/>
      <c r="V908" s="1"/>
      <c r="W908" s="1"/>
      <c r="X908" s="1"/>
      <c r="Y908" s="1"/>
      <c r="Z908" s="1"/>
    </row>
    <row r="909" spans="1:26" ht="24.75" customHeight="1">
      <c r="A909" s="1"/>
      <c r="B909" s="1"/>
      <c r="C909" s="1"/>
      <c r="D909" s="1"/>
      <c r="E909" s="1"/>
      <c r="F909" s="1"/>
      <c r="G909" s="1"/>
      <c r="H909" s="1"/>
      <c r="I909" s="1"/>
      <c r="J909" s="1"/>
      <c r="K909" s="1"/>
      <c r="L909" s="1"/>
      <c r="M909" s="1"/>
      <c r="N909" s="1"/>
      <c r="O909" s="1"/>
      <c r="P909" s="1"/>
      <c r="Q909" s="1"/>
      <c r="R909" s="1"/>
      <c r="S909" s="1"/>
      <c r="T909" s="1"/>
      <c r="U909" s="2"/>
      <c r="V909" s="1"/>
      <c r="W909" s="1"/>
      <c r="X909" s="1"/>
      <c r="Y909" s="1"/>
      <c r="Z909" s="1"/>
    </row>
    <row r="910" spans="1:26" ht="24.75" customHeight="1">
      <c r="A910" s="1"/>
      <c r="B910" s="1"/>
      <c r="C910" s="1"/>
      <c r="D910" s="1"/>
      <c r="E910" s="1"/>
      <c r="F910" s="1"/>
      <c r="G910" s="1"/>
      <c r="H910" s="1"/>
      <c r="I910" s="1"/>
      <c r="J910" s="1"/>
      <c r="K910" s="1"/>
      <c r="L910" s="1"/>
      <c r="M910" s="1"/>
      <c r="N910" s="1"/>
      <c r="O910" s="1"/>
      <c r="P910" s="1"/>
      <c r="Q910" s="1"/>
      <c r="R910" s="1"/>
      <c r="S910" s="1"/>
      <c r="T910" s="1"/>
      <c r="U910" s="2"/>
      <c r="V910" s="1"/>
      <c r="W910" s="1"/>
      <c r="X910" s="1"/>
      <c r="Y910" s="1"/>
      <c r="Z910" s="1"/>
    </row>
    <row r="911" spans="1:26" ht="24.75" customHeight="1">
      <c r="A911" s="1"/>
      <c r="B911" s="1"/>
      <c r="C911" s="1"/>
      <c r="D911" s="1"/>
      <c r="E911" s="1"/>
      <c r="F911" s="1"/>
      <c r="G911" s="1"/>
      <c r="H911" s="1"/>
      <c r="I911" s="1"/>
      <c r="J911" s="1"/>
      <c r="K911" s="1"/>
      <c r="L911" s="1"/>
      <c r="M911" s="1"/>
      <c r="N911" s="1"/>
      <c r="O911" s="1"/>
      <c r="P911" s="1"/>
      <c r="Q911" s="1"/>
      <c r="R911" s="1"/>
      <c r="S911" s="1"/>
      <c r="T911" s="1"/>
      <c r="U911" s="2"/>
      <c r="V911" s="1"/>
      <c r="W911" s="1"/>
      <c r="X911" s="1"/>
      <c r="Y911" s="1"/>
      <c r="Z911" s="1"/>
    </row>
    <row r="912" spans="1:26" ht="24.75" customHeight="1">
      <c r="A912" s="1"/>
      <c r="B912" s="1"/>
      <c r="C912" s="1"/>
      <c r="D912" s="1"/>
      <c r="E912" s="1"/>
      <c r="F912" s="1"/>
      <c r="G912" s="1"/>
      <c r="H912" s="1"/>
      <c r="I912" s="1"/>
      <c r="J912" s="1"/>
      <c r="K912" s="1"/>
      <c r="L912" s="1"/>
      <c r="M912" s="1"/>
      <c r="N912" s="1"/>
      <c r="O912" s="1"/>
      <c r="P912" s="1"/>
      <c r="Q912" s="1"/>
      <c r="R912" s="1"/>
      <c r="S912" s="1"/>
      <c r="T912" s="1"/>
      <c r="U912" s="2"/>
      <c r="V912" s="1"/>
      <c r="W912" s="1"/>
      <c r="X912" s="1"/>
      <c r="Y912" s="1"/>
      <c r="Z912" s="1"/>
    </row>
    <row r="913" spans="1:26" ht="24.75" customHeight="1">
      <c r="A913" s="1"/>
      <c r="B913" s="1"/>
      <c r="C913" s="1"/>
      <c r="D913" s="1"/>
      <c r="E913" s="1"/>
      <c r="F913" s="1"/>
      <c r="G913" s="1"/>
      <c r="H913" s="1"/>
      <c r="I913" s="1"/>
      <c r="J913" s="1"/>
      <c r="K913" s="1"/>
      <c r="L913" s="1"/>
      <c r="M913" s="1"/>
      <c r="N913" s="1"/>
      <c r="O913" s="1"/>
      <c r="P913" s="1"/>
      <c r="Q913" s="1"/>
      <c r="R913" s="1"/>
      <c r="S913" s="1"/>
      <c r="T913" s="1"/>
      <c r="U913" s="2"/>
      <c r="V913" s="1"/>
      <c r="W913" s="1"/>
      <c r="X913" s="1"/>
      <c r="Y913" s="1"/>
      <c r="Z913" s="1"/>
    </row>
    <row r="914" spans="1:26" ht="24.75" customHeight="1">
      <c r="A914" s="1"/>
      <c r="B914" s="1"/>
      <c r="C914" s="1"/>
      <c r="D914" s="1"/>
      <c r="E914" s="1"/>
      <c r="F914" s="1"/>
      <c r="G914" s="1"/>
      <c r="H914" s="1"/>
      <c r="I914" s="1"/>
      <c r="J914" s="1"/>
      <c r="K914" s="1"/>
      <c r="L914" s="1"/>
      <c r="M914" s="1"/>
      <c r="N914" s="1"/>
      <c r="O914" s="1"/>
      <c r="P914" s="1"/>
      <c r="Q914" s="1"/>
      <c r="R914" s="1"/>
      <c r="S914" s="1"/>
      <c r="T914" s="1"/>
      <c r="U914" s="2"/>
      <c r="V914" s="1"/>
      <c r="W914" s="1"/>
      <c r="X914" s="1"/>
      <c r="Y914" s="1"/>
      <c r="Z914" s="1"/>
    </row>
    <row r="915" spans="1:26" ht="24.75" customHeight="1">
      <c r="A915" s="1"/>
      <c r="B915" s="1"/>
      <c r="C915" s="1"/>
      <c r="D915" s="1"/>
      <c r="E915" s="1"/>
      <c r="F915" s="1"/>
      <c r="G915" s="1"/>
      <c r="H915" s="1"/>
      <c r="I915" s="1"/>
      <c r="J915" s="1"/>
      <c r="K915" s="1"/>
      <c r="L915" s="1"/>
      <c r="M915" s="1"/>
      <c r="N915" s="1"/>
      <c r="O915" s="1"/>
      <c r="P915" s="1"/>
      <c r="Q915" s="1"/>
      <c r="R915" s="1"/>
      <c r="S915" s="1"/>
      <c r="T915" s="1"/>
      <c r="U915" s="2"/>
      <c r="V915" s="1"/>
      <c r="W915" s="1"/>
      <c r="X915" s="1"/>
      <c r="Y915" s="1"/>
      <c r="Z915" s="1"/>
    </row>
    <row r="916" spans="1:26" ht="24.75" customHeight="1">
      <c r="A916" s="1"/>
      <c r="B916" s="1"/>
      <c r="C916" s="1"/>
      <c r="D916" s="1"/>
      <c r="E916" s="1"/>
      <c r="F916" s="1"/>
      <c r="G916" s="1"/>
      <c r="H916" s="1"/>
      <c r="I916" s="1"/>
      <c r="J916" s="1"/>
      <c r="K916" s="1"/>
      <c r="L916" s="1"/>
      <c r="M916" s="1"/>
      <c r="N916" s="1"/>
      <c r="O916" s="1"/>
      <c r="P916" s="1"/>
      <c r="Q916" s="1"/>
      <c r="R916" s="1"/>
      <c r="S916" s="1"/>
      <c r="T916" s="1"/>
      <c r="U916" s="2"/>
      <c r="V916" s="1"/>
      <c r="W916" s="1"/>
      <c r="X916" s="1"/>
      <c r="Y916" s="1"/>
      <c r="Z916" s="1"/>
    </row>
    <row r="917" spans="1:26" ht="24.75" customHeight="1">
      <c r="A917" s="1"/>
      <c r="B917" s="1"/>
      <c r="C917" s="1"/>
      <c r="D917" s="1"/>
      <c r="E917" s="1"/>
      <c r="F917" s="1"/>
      <c r="G917" s="1"/>
      <c r="H917" s="1"/>
      <c r="I917" s="1"/>
      <c r="J917" s="1"/>
      <c r="K917" s="1"/>
      <c r="L917" s="1"/>
      <c r="M917" s="1"/>
      <c r="N917" s="1"/>
      <c r="O917" s="1"/>
      <c r="P917" s="1"/>
      <c r="Q917" s="1"/>
      <c r="R917" s="1"/>
      <c r="S917" s="1"/>
      <c r="T917" s="1"/>
      <c r="U917" s="2"/>
      <c r="V917" s="1"/>
      <c r="W917" s="1"/>
      <c r="X917" s="1"/>
      <c r="Y917" s="1"/>
      <c r="Z917" s="1"/>
    </row>
    <row r="918" spans="1:26" ht="24.75" customHeight="1">
      <c r="A918" s="1"/>
      <c r="B918" s="1"/>
      <c r="C918" s="1"/>
      <c r="D918" s="1"/>
      <c r="E918" s="1"/>
      <c r="F918" s="1"/>
      <c r="G918" s="1"/>
      <c r="H918" s="1"/>
      <c r="I918" s="1"/>
      <c r="J918" s="1"/>
      <c r="K918" s="1"/>
      <c r="L918" s="1"/>
      <c r="M918" s="1"/>
      <c r="N918" s="1"/>
      <c r="O918" s="1"/>
      <c r="P918" s="1"/>
      <c r="Q918" s="1"/>
      <c r="R918" s="1"/>
      <c r="S918" s="1"/>
      <c r="T918" s="1"/>
      <c r="U918" s="2"/>
      <c r="V918" s="1"/>
      <c r="W918" s="1"/>
      <c r="X918" s="1"/>
      <c r="Y918" s="1"/>
      <c r="Z918" s="1"/>
    </row>
    <row r="919" spans="1:26" ht="24.75" customHeight="1">
      <c r="A919" s="1"/>
      <c r="B919" s="1"/>
      <c r="C919" s="1"/>
      <c r="D919" s="1"/>
      <c r="E919" s="1"/>
      <c r="F919" s="1"/>
      <c r="G919" s="1"/>
      <c r="H919" s="1"/>
      <c r="I919" s="1"/>
      <c r="J919" s="1"/>
      <c r="K919" s="1"/>
      <c r="L919" s="1"/>
      <c r="M919" s="1"/>
      <c r="N919" s="1"/>
      <c r="O919" s="1"/>
      <c r="P919" s="1"/>
      <c r="Q919" s="1"/>
      <c r="R919" s="1"/>
      <c r="S919" s="1"/>
      <c r="T919" s="1"/>
      <c r="U919" s="2"/>
      <c r="V919" s="1"/>
      <c r="W919" s="1"/>
      <c r="X919" s="1"/>
      <c r="Y919" s="1"/>
      <c r="Z919" s="1"/>
    </row>
    <row r="920" spans="1:26" ht="24.75" customHeight="1">
      <c r="A920" s="1"/>
      <c r="B920" s="1"/>
      <c r="C920" s="1"/>
      <c r="D920" s="1"/>
      <c r="E920" s="1"/>
      <c r="F920" s="1"/>
      <c r="G920" s="1"/>
      <c r="H920" s="1"/>
      <c r="I920" s="1"/>
      <c r="J920" s="1"/>
      <c r="K920" s="1"/>
      <c r="L920" s="1"/>
      <c r="M920" s="1"/>
      <c r="N920" s="1"/>
      <c r="O920" s="1"/>
      <c r="P920" s="1"/>
      <c r="Q920" s="1"/>
      <c r="R920" s="1"/>
      <c r="S920" s="1"/>
      <c r="T920" s="1"/>
      <c r="U920" s="2"/>
      <c r="V920" s="1"/>
      <c r="W920" s="1"/>
      <c r="X920" s="1"/>
      <c r="Y920" s="1"/>
      <c r="Z920" s="1"/>
    </row>
    <row r="921" spans="1:26" ht="24.75" customHeight="1">
      <c r="A921" s="1"/>
      <c r="B921" s="1"/>
      <c r="C921" s="1"/>
      <c r="D921" s="1"/>
      <c r="E921" s="1"/>
      <c r="F921" s="1"/>
      <c r="G921" s="1"/>
      <c r="H921" s="1"/>
      <c r="I921" s="1"/>
      <c r="J921" s="1"/>
      <c r="K921" s="1"/>
      <c r="L921" s="1"/>
      <c r="M921" s="1"/>
      <c r="N921" s="1"/>
      <c r="O921" s="1"/>
      <c r="P921" s="1"/>
      <c r="Q921" s="1"/>
      <c r="R921" s="1"/>
      <c r="S921" s="1"/>
      <c r="T921" s="1"/>
      <c r="U921" s="2"/>
      <c r="V921" s="1"/>
      <c r="W921" s="1"/>
      <c r="X921" s="1"/>
      <c r="Y921" s="1"/>
      <c r="Z921" s="1"/>
    </row>
    <row r="922" spans="1:26" ht="24.75" customHeight="1">
      <c r="A922" s="1"/>
      <c r="B922" s="1"/>
      <c r="C922" s="1"/>
      <c r="D922" s="1"/>
      <c r="E922" s="1"/>
      <c r="F922" s="1"/>
      <c r="G922" s="1"/>
      <c r="H922" s="1"/>
      <c r="I922" s="1"/>
      <c r="J922" s="1"/>
      <c r="K922" s="1"/>
      <c r="L922" s="1"/>
      <c r="M922" s="1"/>
      <c r="N922" s="1"/>
      <c r="O922" s="1"/>
      <c r="P922" s="1"/>
      <c r="Q922" s="1"/>
      <c r="R922" s="1"/>
      <c r="S922" s="1"/>
      <c r="T922" s="1"/>
      <c r="U922" s="2"/>
      <c r="V922" s="1"/>
      <c r="W922" s="1"/>
      <c r="X922" s="1"/>
      <c r="Y922" s="1"/>
      <c r="Z922" s="1"/>
    </row>
    <row r="923" spans="1:26" ht="24.75" customHeight="1">
      <c r="A923" s="1"/>
      <c r="B923" s="1"/>
      <c r="C923" s="1"/>
      <c r="D923" s="1"/>
      <c r="E923" s="1"/>
      <c r="F923" s="1"/>
      <c r="G923" s="1"/>
      <c r="H923" s="1"/>
      <c r="I923" s="1"/>
      <c r="J923" s="1"/>
      <c r="K923" s="1"/>
      <c r="L923" s="1"/>
      <c r="M923" s="1"/>
      <c r="N923" s="1"/>
      <c r="O923" s="1"/>
      <c r="P923" s="1"/>
      <c r="Q923" s="1"/>
      <c r="R923" s="1"/>
      <c r="S923" s="1"/>
      <c r="T923" s="1"/>
      <c r="U923" s="2"/>
      <c r="V923" s="1"/>
      <c r="W923" s="1"/>
      <c r="X923" s="1"/>
      <c r="Y923" s="1"/>
      <c r="Z923" s="1"/>
    </row>
    <row r="924" spans="1:26" ht="24.75" customHeight="1">
      <c r="A924" s="1"/>
      <c r="B924" s="1"/>
      <c r="C924" s="1"/>
      <c r="D924" s="1"/>
      <c r="E924" s="1"/>
      <c r="F924" s="1"/>
      <c r="G924" s="1"/>
      <c r="H924" s="1"/>
      <c r="I924" s="1"/>
      <c r="J924" s="1"/>
      <c r="K924" s="1"/>
      <c r="L924" s="1"/>
      <c r="M924" s="1"/>
      <c r="N924" s="1"/>
      <c r="O924" s="1"/>
      <c r="P924" s="1"/>
      <c r="Q924" s="1"/>
      <c r="R924" s="1"/>
      <c r="S924" s="1"/>
      <c r="T924" s="1"/>
      <c r="U924" s="2"/>
      <c r="V924" s="1"/>
      <c r="W924" s="1"/>
      <c r="X924" s="1"/>
      <c r="Y924" s="1"/>
      <c r="Z924" s="1"/>
    </row>
    <row r="925" spans="1:26" ht="24.75" customHeight="1">
      <c r="A925" s="1"/>
      <c r="B925" s="1"/>
      <c r="C925" s="1"/>
      <c r="D925" s="1"/>
      <c r="E925" s="1"/>
      <c r="F925" s="1"/>
      <c r="G925" s="1"/>
      <c r="H925" s="1"/>
      <c r="I925" s="1"/>
      <c r="J925" s="1"/>
      <c r="K925" s="1"/>
      <c r="L925" s="1"/>
      <c r="M925" s="1"/>
      <c r="N925" s="1"/>
      <c r="O925" s="1"/>
      <c r="P925" s="1"/>
      <c r="Q925" s="1"/>
      <c r="R925" s="1"/>
      <c r="S925" s="1"/>
      <c r="T925" s="1"/>
      <c r="U925" s="2"/>
      <c r="V925" s="1"/>
      <c r="W925" s="1"/>
      <c r="X925" s="1"/>
      <c r="Y925" s="1"/>
      <c r="Z925" s="1"/>
    </row>
    <row r="926" spans="1:26" ht="24.75" customHeight="1">
      <c r="A926" s="1"/>
      <c r="B926" s="1"/>
      <c r="C926" s="1"/>
      <c r="D926" s="1"/>
      <c r="E926" s="1"/>
      <c r="F926" s="1"/>
      <c r="G926" s="1"/>
      <c r="H926" s="1"/>
      <c r="I926" s="1"/>
      <c r="J926" s="1"/>
      <c r="K926" s="1"/>
      <c r="L926" s="1"/>
      <c r="M926" s="1"/>
      <c r="N926" s="1"/>
      <c r="O926" s="1"/>
      <c r="P926" s="1"/>
      <c r="Q926" s="1"/>
      <c r="R926" s="1"/>
      <c r="S926" s="1"/>
      <c r="T926" s="1"/>
      <c r="U926" s="2"/>
      <c r="V926" s="1"/>
      <c r="W926" s="1"/>
      <c r="X926" s="1"/>
      <c r="Y926" s="1"/>
      <c r="Z926" s="1"/>
    </row>
    <row r="927" spans="1:26" ht="24.75" customHeight="1">
      <c r="A927" s="1"/>
      <c r="B927" s="1"/>
      <c r="C927" s="1"/>
      <c r="D927" s="1"/>
      <c r="E927" s="1"/>
      <c r="F927" s="1"/>
      <c r="G927" s="1"/>
      <c r="H927" s="1"/>
      <c r="I927" s="1"/>
      <c r="J927" s="1"/>
      <c r="K927" s="1"/>
      <c r="L927" s="1"/>
      <c r="M927" s="1"/>
      <c r="N927" s="1"/>
      <c r="O927" s="1"/>
      <c r="P927" s="1"/>
      <c r="Q927" s="1"/>
      <c r="R927" s="1"/>
      <c r="S927" s="1"/>
      <c r="T927" s="1"/>
      <c r="U927" s="2"/>
      <c r="V927" s="1"/>
      <c r="W927" s="1"/>
      <c r="X927" s="1"/>
      <c r="Y927" s="1"/>
      <c r="Z927" s="1"/>
    </row>
    <row r="928" spans="1:26" ht="24.75" customHeight="1">
      <c r="A928" s="1"/>
      <c r="B928" s="1"/>
      <c r="C928" s="1"/>
      <c r="D928" s="1"/>
      <c r="E928" s="1"/>
      <c r="F928" s="1"/>
      <c r="G928" s="1"/>
      <c r="H928" s="1"/>
      <c r="I928" s="1"/>
      <c r="J928" s="1"/>
      <c r="K928" s="1"/>
      <c r="L928" s="1"/>
      <c r="M928" s="1"/>
      <c r="N928" s="1"/>
      <c r="O928" s="1"/>
      <c r="P928" s="1"/>
      <c r="Q928" s="1"/>
      <c r="R928" s="1"/>
      <c r="S928" s="1"/>
      <c r="T928" s="1"/>
      <c r="U928" s="2"/>
      <c r="V928" s="1"/>
      <c r="W928" s="1"/>
      <c r="X928" s="1"/>
      <c r="Y928" s="1"/>
      <c r="Z928" s="1"/>
    </row>
    <row r="929" spans="1:26" ht="24.75" customHeight="1">
      <c r="A929" s="1"/>
      <c r="B929" s="1"/>
      <c r="C929" s="1"/>
      <c r="D929" s="1"/>
      <c r="E929" s="1"/>
      <c r="F929" s="1"/>
      <c r="G929" s="1"/>
      <c r="H929" s="1"/>
      <c r="I929" s="1"/>
      <c r="J929" s="1"/>
      <c r="K929" s="1"/>
      <c r="L929" s="1"/>
      <c r="M929" s="1"/>
      <c r="N929" s="1"/>
      <c r="O929" s="1"/>
      <c r="P929" s="1"/>
      <c r="Q929" s="1"/>
      <c r="R929" s="1"/>
      <c r="S929" s="1"/>
      <c r="T929" s="1"/>
      <c r="U929" s="2"/>
      <c r="V929" s="1"/>
      <c r="W929" s="1"/>
      <c r="X929" s="1"/>
      <c r="Y929" s="1"/>
      <c r="Z929" s="1"/>
    </row>
    <row r="930" spans="1:26" ht="24.75" customHeight="1">
      <c r="A930" s="1"/>
      <c r="B930" s="1"/>
      <c r="C930" s="1"/>
      <c r="D930" s="1"/>
      <c r="E930" s="1"/>
      <c r="F930" s="1"/>
      <c r="G930" s="1"/>
      <c r="H930" s="1"/>
      <c r="I930" s="1"/>
      <c r="J930" s="1"/>
      <c r="K930" s="1"/>
      <c r="L930" s="1"/>
      <c r="M930" s="1"/>
      <c r="N930" s="1"/>
      <c r="O930" s="1"/>
      <c r="P930" s="1"/>
      <c r="Q930" s="1"/>
      <c r="R930" s="1"/>
      <c r="S930" s="1"/>
      <c r="T930" s="1"/>
      <c r="U930" s="2"/>
      <c r="V930" s="1"/>
      <c r="W930" s="1"/>
      <c r="X930" s="1"/>
      <c r="Y930" s="1"/>
      <c r="Z930" s="1"/>
    </row>
    <row r="931" spans="1:26" ht="24.75" customHeight="1">
      <c r="A931" s="1"/>
      <c r="B931" s="1"/>
      <c r="C931" s="1"/>
      <c r="D931" s="1"/>
      <c r="E931" s="1"/>
      <c r="F931" s="1"/>
      <c r="G931" s="1"/>
      <c r="H931" s="1"/>
      <c r="I931" s="1"/>
      <c r="J931" s="1"/>
      <c r="K931" s="1"/>
      <c r="L931" s="1"/>
      <c r="M931" s="1"/>
      <c r="N931" s="1"/>
      <c r="O931" s="1"/>
      <c r="P931" s="1"/>
      <c r="Q931" s="1"/>
      <c r="R931" s="1"/>
      <c r="S931" s="1"/>
      <c r="T931" s="1"/>
      <c r="U931" s="2"/>
      <c r="V931" s="1"/>
      <c r="W931" s="1"/>
      <c r="X931" s="1"/>
      <c r="Y931" s="1"/>
      <c r="Z931" s="1"/>
    </row>
    <row r="932" spans="1:26" ht="24.75" customHeight="1">
      <c r="A932" s="1"/>
      <c r="B932" s="1"/>
      <c r="C932" s="1"/>
      <c r="D932" s="1"/>
      <c r="E932" s="1"/>
      <c r="F932" s="1"/>
      <c r="G932" s="1"/>
      <c r="H932" s="1"/>
      <c r="I932" s="1"/>
      <c r="J932" s="1"/>
      <c r="K932" s="1"/>
      <c r="L932" s="1"/>
      <c r="M932" s="1"/>
      <c r="N932" s="1"/>
      <c r="O932" s="1"/>
      <c r="P932" s="1"/>
      <c r="Q932" s="1"/>
      <c r="R932" s="1"/>
      <c r="S932" s="1"/>
      <c r="T932" s="1"/>
      <c r="U932" s="2"/>
      <c r="V932" s="1"/>
      <c r="W932" s="1"/>
      <c r="X932" s="1"/>
      <c r="Y932" s="1"/>
      <c r="Z932" s="1"/>
    </row>
    <row r="933" spans="1:26" ht="24.75" customHeight="1">
      <c r="A933" s="1"/>
      <c r="B933" s="1"/>
      <c r="C933" s="1"/>
      <c r="D933" s="1"/>
      <c r="E933" s="1"/>
      <c r="F933" s="1"/>
      <c r="G933" s="1"/>
      <c r="H933" s="1"/>
      <c r="I933" s="1"/>
      <c r="J933" s="1"/>
      <c r="K933" s="1"/>
      <c r="L933" s="1"/>
      <c r="M933" s="1"/>
      <c r="N933" s="1"/>
      <c r="O933" s="1"/>
      <c r="P933" s="1"/>
      <c r="Q933" s="1"/>
      <c r="R933" s="1"/>
      <c r="S933" s="1"/>
      <c r="T933" s="1"/>
      <c r="U933" s="2"/>
      <c r="V933" s="1"/>
      <c r="W933" s="1"/>
      <c r="X933" s="1"/>
      <c r="Y933" s="1"/>
      <c r="Z933" s="1"/>
    </row>
    <row r="934" spans="1:26" ht="24.75" customHeight="1">
      <c r="A934" s="1"/>
      <c r="B934" s="1"/>
      <c r="C934" s="1"/>
      <c r="D934" s="1"/>
      <c r="E934" s="1"/>
      <c r="F934" s="1"/>
      <c r="G934" s="1"/>
      <c r="H934" s="1"/>
      <c r="I934" s="1"/>
      <c r="J934" s="1"/>
      <c r="K934" s="1"/>
      <c r="L934" s="1"/>
      <c r="M934" s="1"/>
      <c r="N934" s="1"/>
      <c r="O934" s="1"/>
      <c r="P934" s="1"/>
      <c r="Q934" s="1"/>
      <c r="R934" s="1"/>
      <c r="S934" s="1"/>
      <c r="T934" s="1"/>
      <c r="U934" s="2"/>
      <c r="V934" s="1"/>
      <c r="W934" s="1"/>
      <c r="X934" s="1"/>
      <c r="Y934" s="1"/>
      <c r="Z934" s="1"/>
    </row>
    <row r="935" spans="1:26" ht="24.75" customHeight="1">
      <c r="A935" s="1"/>
      <c r="B935" s="1"/>
      <c r="C935" s="1"/>
      <c r="D935" s="1"/>
      <c r="E935" s="1"/>
      <c r="F935" s="1"/>
      <c r="G935" s="1"/>
      <c r="H935" s="1"/>
      <c r="I935" s="1"/>
      <c r="J935" s="1"/>
      <c r="K935" s="1"/>
      <c r="L935" s="1"/>
      <c r="M935" s="1"/>
      <c r="N935" s="1"/>
      <c r="O935" s="1"/>
      <c r="P935" s="1"/>
      <c r="Q935" s="1"/>
      <c r="R935" s="1"/>
      <c r="S935" s="1"/>
      <c r="T935" s="1"/>
      <c r="U935" s="2"/>
      <c r="V935" s="1"/>
      <c r="W935" s="1"/>
      <c r="X935" s="1"/>
      <c r="Y935" s="1"/>
      <c r="Z935" s="1"/>
    </row>
    <row r="936" spans="1:26" ht="24.75" customHeight="1">
      <c r="A936" s="1"/>
      <c r="B936" s="1"/>
      <c r="C936" s="1"/>
      <c r="D936" s="1"/>
      <c r="E936" s="1"/>
      <c r="F936" s="1"/>
      <c r="G936" s="1"/>
      <c r="H936" s="1"/>
      <c r="I936" s="1"/>
      <c r="J936" s="1"/>
      <c r="K936" s="1"/>
      <c r="L936" s="1"/>
      <c r="M936" s="1"/>
      <c r="N936" s="1"/>
      <c r="O936" s="1"/>
      <c r="P936" s="1"/>
      <c r="Q936" s="1"/>
      <c r="R936" s="1"/>
      <c r="S936" s="1"/>
      <c r="T936" s="1"/>
      <c r="U936" s="2"/>
      <c r="V936" s="1"/>
      <c r="W936" s="1"/>
      <c r="X936" s="1"/>
      <c r="Y936" s="1"/>
      <c r="Z936" s="1"/>
    </row>
    <row r="937" spans="1:26" ht="24.75" customHeight="1">
      <c r="A937" s="1"/>
      <c r="B937" s="1"/>
      <c r="C937" s="1"/>
      <c r="D937" s="1"/>
      <c r="E937" s="1"/>
      <c r="F937" s="1"/>
      <c r="G937" s="1"/>
      <c r="H937" s="1"/>
      <c r="I937" s="1"/>
      <c r="J937" s="1"/>
      <c r="K937" s="1"/>
      <c r="L937" s="1"/>
      <c r="M937" s="1"/>
      <c r="N937" s="1"/>
      <c r="O937" s="1"/>
      <c r="P937" s="1"/>
      <c r="Q937" s="1"/>
      <c r="R937" s="1"/>
      <c r="S937" s="1"/>
      <c r="T937" s="1"/>
      <c r="U937" s="2"/>
      <c r="V937" s="1"/>
      <c r="W937" s="1"/>
      <c r="X937" s="1"/>
      <c r="Y937" s="1"/>
      <c r="Z937" s="1"/>
    </row>
    <row r="938" spans="1:26" ht="24.75" customHeight="1">
      <c r="A938" s="1"/>
      <c r="B938" s="1"/>
      <c r="C938" s="1"/>
      <c r="D938" s="1"/>
      <c r="E938" s="1"/>
      <c r="F938" s="1"/>
      <c r="G938" s="1"/>
      <c r="H938" s="1"/>
      <c r="I938" s="1"/>
      <c r="J938" s="1"/>
      <c r="K938" s="1"/>
      <c r="L938" s="1"/>
      <c r="M938" s="1"/>
      <c r="N938" s="1"/>
      <c r="O938" s="1"/>
      <c r="P938" s="1"/>
      <c r="Q938" s="1"/>
      <c r="R938" s="1"/>
      <c r="S938" s="1"/>
      <c r="T938" s="1"/>
      <c r="U938" s="2"/>
      <c r="V938" s="1"/>
      <c r="W938" s="1"/>
      <c r="X938" s="1"/>
      <c r="Y938" s="1"/>
      <c r="Z938" s="1"/>
    </row>
    <row r="939" spans="1:26" ht="24.75" customHeight="1">
      <c r="A939" s="1"/>
      <c r="B939" s="1"/>
      <c r="C939" s="1"/>
      <c r="D939" s="1"/>
      <c r="E939" s="1"/>
      <c r="F939" s="1"/>
      <c r="G939" s="1"/>
      <c r="H939" s="1"/>
      <c r="I939" s="1"/>
      <c r="J939" s="1"/>
      <c r="K939" s="1"/>
      <c r="L939" s="1"/>
      <c r="M939" s="1"/>
      <c r="N939" s="1"/>
      <c r="O939" s="1"/>
      <c r="P939" s="1"/>
      <c r="Q939" s="1"/>
      <c r="R939" s="1"/>
      <c r="S939" s="1"/>
      <c r="T939" s="1"/>
      <c r="U939" s="2"/>
      <c r="V939" s="1"/>
      <c r="W939" s="1"/>
      <c r="X939" s="1"/>
      <c r="Y939" s="1"/>
      <c r="Z939" s="1"/>
    </row>
    <row r="940" spans="1:26" ht="24.75" customHeight="1">
      <c r="A940" s="1"/>
      <c r="B940" s="1"/>
      <c r="C940" s="1"/>
      <c r="D940" s="1"/>
      <c r="E940" s="1"/>
      <c r="F940" s="1"/>
      <c r="G940" s="1"/>
      <c r="H940" s="1"/>
      <c r="I940" s="1"/>
      <c r="J940" s="1"/>
      <c r="K940" s="1"/>
      <c r="L940" s="1"/>
      <c r="M940" s="1"/>
      <c r="N940" s="1"/>
      <c r="O940" s="1"/>
      <c r="P940" s="1"/>
      <c r="Q940" s="1"/>
      <c r="R940" s="1"/>
      <c r="S940" s="1"/>
      <c r="T940" s="1"/>
      <c r="U940" s="2"/>
      <c r="V940" s="1"/>
      <c r="W940" s="1"/>
      <c r="X940" s="1"/>
      <c r="Y940" s="1"/>
      <c r="Z940" s="1"/>
    </row>
    <row r="941" spans="1:26" ht="24.75" customHeight="1">
      <c r="A941" s="1"/>
      <c r="B941" s="1"/>
      <c r="C941" s="1"/>
      <c r="D941" s="1"/>
      <c r="E941" s="1"/>
      <c r="F941" s="1"/>
      <c r="G941" s="1"/>
      <c r="H941" s="1"/>
      <c r="I941" s="1"/>
      <c r="J941" s="1"/>
      <c r="K941" s="1"/>
      <c r="L941" s="1"/>
      <c r="M941" s="1"/>
      <c r="N941" s="1"/>
      <c r="O941" s="1"/>
      <c r="P941" s="1"/>
      <c r="Q941" s="1"/>
      <c r="R941" s="1"/>
      <c r="S941" s="1"/>
      <c r="T941" s="1"/>
      <c r="U941" s="2"/>
      <c r="V941" s="1"/>
      <c r="W941" s="1"/>
      <c r="X941" s="1"/>
      <c r="Y941" s="1"/>
      <c r="Z941" s="1"/>
    </row>
    <row r="942" spans="1:26" ht="24.75" customHeight="1">
      <c r="A942" s="1"/>
      <c r="B942" s="1"/>
      <c r="C942" s="1"/>
      <c r="D942" s="1"/>
      <c r="E942" s="1"/>
      <c r="F942" s="1"/>
      <c r="G942" s="1"/>
      <c r="H942" s="1"/>
      <c r="I942" s="1"/>
      <c r="J942" s="1"/>
      <c r="K942" s="1"/>
      <c r="L942" s="1"/>
      <c r="M942" s="1"/>
      <c r="N942" s="1"/>
      <c r="O942" s="1"/>
      <c r="P942" s="1"/>
      <c r="Q942" s="1"/>
      <c r="R942" s="1"/>
      <c r="S942" s="1"/>
      <c r="T942" s="1"/>
      <c r="U942" s="2"/>
      <c r="V942" s="1"/>
      <c r="W942" s="1"/>
      <c r="X942" s="1"/>
      <c r="Y942" s="1"/>
      <c r="Z942" s="1"/>
    </row>
    <row r="943" spans="1:26" ht="24.75" customHeight="1">
      <c r="A943" s="1"/>
      <c r="B943" s="1"/>
      <c r="C943" s="1"/>
      <c r="D943" s="1"/>
      <c r="E943" s="1"/>
      <c r="F943" s="1"/>
      <c r="G943" s="1"/>
      <c r="H943" s="1"/>
      <c r="I943" s="1"/>
      <c r="J943" s="1"/>
      <c r="K943" s="1"/>
      <c r="L943" s="1"/>
      <c r="M943" s="1"/>
      <c r="N943" s="1"/>
      <c r="O943" s="1"/>
      <c r="P943" s="1"/>
      <c r="Q943" s="1"/>
      <c r="R943" s="1"/>
      <c r="S943" s="1"/>
      <c r="T943" s="1"/>
      <c r="U943" s="2"/>
      <c r="V943" s="1"/>
      <c r="W943" s="1"/>
      <c r="X943" s="1"/>
      <c r="Y943" s="1"/>
      <c r="Z943" s="1"/>
    </row>
    <row r="944" spans="1:26" ht="24.75" customHeight="1">
      <c r="A944" s="1"/>
      <c r="B944" s="1"/>
      <c r="C944" s="1"/>
      <c r="D944" s="1"/>
      <c r="E944" s="1"/>
      <c r="F944" s="1"/>
      <c r="G944" s="1"/>
      <c r="H944" s="1"/>
      <c r="I944" s="1"/>
      <c r="J944" s="1"/>
      <c r="K944" s="1"/>
      <c r="L944" s="1"/>
      <c r="M944" s="1"/>
      <c r="N944" s="1"/>
      <c r="O944" s="1"/>
      <c r="P944" s="1"/>
      <c r="Q944" s="1"/>
      <c r="R944" s="1"/>
      <c r="S944" s="1"/>
      <c r="T944" s="1"/>
      <c r="U944" s="2"/>
      <c r="V944" s="1"/>
      <c r="W944" s="1"/>
      <c r="X944" s="1"/>
      <c r="Y944" s="1"/>
      <c r="Z944" s="1"/>
    </row>
    <row r="945" spans="1:26" ht="24.75" customHeight="1">
      <c r="A945" s="1"/>
      <c r="B945" s="1"/>
      <c r="C945" s="1"/>
      <c r="D945" s="1"/>
      <c r="E945" s="1"/>
      <c r="F945" s="1"/>
      <c r="G945" s="1"/>
      <c r="H945" s="1"/>
      <c r="I945" s="1"/>
      <c r="J945" s="1"/>
      <c r="K945" s="1"/>
      <c r="L945" s="1"/>
      <c r="M945" s="1"/>
      <c r="N945" s="1"/>
      <c r="O945" s="1"/>
      <c r="P945" s="1"/>
      <c r="Q945" s="1"/>
      <c r="R945" s="1"/>
      <c r="S945" s="1"/>
      <c r="T945" s="1"/>
      <c r="U945" s="2"/>
      <c r="V945" s="1"/>
      <c r="W945" s="1"/>
      <c r="X945" s="1"/>
      <c r="Y945" s="1"/>
      <c r="Z945" s="1"/>
    </row>
    <row r="946" spans="1:26" ht="24.75" customHeight="1">
      <c r="A946" s="1"/>
      <c r="B946" s="1"/>
      <c r="C946" s="1"/>
      <c r="D946" s="1"/>
      <c r="E946" s="1"/>
      <c r="F946" s="1"/>
      <c r="G946" s="1"/>
      <c r="H946" s="1"/>
      <c r="I946" s="1"/>
      <c r="J946" s="1"/>
      <c r="K946" s="1"/>
      <c r="L946" s="1"/>
      <c r="M946" s="1"/>
      <c r="N946" s="1"/>
      <c r="O946" s="1"/>
      <c r="P946" s="1"/>
      <c r="Q946" s="1"/>
      <c r="R946" s="1"/>
      <c r="S946" s="1"/>
      <c r="T946" s="1"/>
      <c r="U946" s="2"/>
      <c r="V946" s="1"/>
      <c r="W946" s="1"/>
      <c r="X946" s="1"/>
      <c r="Y946" s="1"/>
      <c r="Z946" s="1"/>
    </row>
    <row r="947" spans="1:26" ht="24.75" customHeight="1">
      <c r="A947" s="1"/>
      <c r="B947" s="1"/>
      <c r="C947" s="1"/>
      <c r="D947" s="1"/>
      <c r="E947" s="1"/>
      <c r="F947" s="1"/>
      <c r="G947" s="1"/>
      <c r="H947" s="1"/>
      <c r="I947" s="1"/>
      <c r="J947" s="1"/>
      <c r="K947" s="1"/>
      <c r="L947" s="1"/>
      <c r="M947" s="1"/>
      <c r="N947" s="1"/>
      <c r="O947" s="1"/>
      <c r="P947" s="1"/>
      <c r="Q947" s="1"/>
      <c r="R947" s="1"/>
      <c r="S947" s="1"/>
      <c r="T947" s="1"/>
      <c r="U947" s="2"/>
      <c r="V947" s="1"/>
      <c r="W947" s="1"/>
      <c r="X947" s="1"/>
      <c r="Y947" s="1"/>
      <c r="Z947" s="1"/>
    </row>
    <row r="948" spans="1:26" ht="24.75" customHeight="1">
      <c r="A948" s="1"/>
      <c r="B948" s="1"/>
      <c r="C948" s="1"/>
      <c r="D948" s="1"/>
      <c r="E948" s="1"/>
      <c r="F948" s="1"/>
      <c r="G948" s="1"/>
      <c r="H948" s="1"/>
      <c r="I948" s="1"/>
      <c r="J948" s="1"/>
      <c r="K948" s="1"/>
      <c r="L948" s="1"/>
      <c r="M948" s="1"/>
      <c r="N948" s="1"/>
      <c r="O948" s="1"/>
      <c r="P948" s="1"/>
      <c r="Q948" s="1"/>
      <c r="R948" s="1"/>
      <c r="S948" s="1"/>
      <c r="T948" s="1"/>
      <c r="U948" s="2"/>
      <c r="V948" s="1"/>
      <c r="W948" s="1"/>
      <c r="X948" s="1"/>
      <c r="Y948" s="1"/>
      <c r="Z948" s="1"/>
    </row>
    <row r="949" spans="1:26" ht="24.75" customHeight="1">
      <c r="A949" s="1"/>
      <c r="B949" s="1"/>
      <c r="C949" s="1"/>
      <c r="D949" s="1"/>
      <c r="E949" s="1"/>
      <c r="F949" s="1"/>
      <c r="G949" s="1"/>
      <c r="H949" s="1"/>
      <c r="I949" s="1"/>
      <c r="J949" s="1"/>
      <c r="K949" s="1"/>
      <c r="L949" s="1"/>
      <c r="M949" s="1"/>
      <c r="N949" s="1"/>
      <c r="O949" s="1"/>
      <c r="P949" s="1"/>
      <c r="Q949" s="1"/>
      <c r="R949" s="1"/>
      <c r="S949" s="1"/>
      <c r="T949" s="1"/>
      <c r="U949" s="2"/>
      <c r="V949" s="1"/>
      <c r="W949" s="1"/>
      <c r="X949" s="1"/>
      <c r="Y949" s="1"/>
      <c r="Z949" s="1"/>
    </row>
    <row r="950" spans="1:26" ht="24.75" customHeight="1">
      <c r="A950" s="1"/>
      <c r="B950" s="1"/>
      <c r="C950" s="1"/>
      <c r="D950" s="1"/>
      <c r="E950" s="1"/>
      <c r="F950" s="1"/>
      <c r="G950" s="1"/>
      <c r="H950" s="1"/>
      <c r="I950" s="1"/>
      <c r="J950" s="1"/>
      <c r="K950" s="1"/>
      <c r="L950" s="1"/>
      <c r="M950" s="1"/>
      <c r="N950" s="1"/>
      <c r="O950" s="1"/>
      <c r="P950" s="1"/>
      <c r="Q950" s="1"/>
      <c r="R950" s="1"/>
      <c r="S950" s="1"/>
      <c r="T950" s="1"/>
      <c r="U950" s="2"/>
      <c r="V950" s="1"/>
      <c r="W950" s="1"/>
      <c r="X950" s="1"/>
      <c r="Y950" s="1"/>
      <c r="Z950" s="1"/>
    </row>
    <row r="951" spans="1:26" ht="24.75" customHeight="1">
      <c r="A951" s="1"/>
      <c r="B951" s="1"/>
      <c r="C951" s="1"/>
      <c r="D951" s="1"/>
      <c r="E951" s="1"/>
      <c r="F951" s="1"/>
      <c r="G951" s="1"/>
      <c r="H951" s="1"/>
      <c r="I951" s="1"/>
      <c r="J951" s="1"/>
      <c r="K951" s="1"/>
      <c r="L951" s="1"/>
      <c r="M951" s="1"/>
      <c r="N951" s="1"/>
      <c r="O951" s="1"/>
      <c r="P951" s="1"/>
      <c r="Q951" s="1"/>
      <c r="R951" s="1"/>
      <c r="S951" s="1"/>
      <c r="T951" s="1"/>
      <c r="U951" s="2"/>
      <c r="V951" s="1"/>
      <c r="W951" s="1"/>
      <c r="X951" s="1"/>
      <c r="Y951" s="1"/>
      <c r="Z951" s="1"/>
    </row>
    <row r="952" spans="1:26" ht="24.75" customHeight="1">
      <c r="A952" s="1"/>
      <c r="B952" s="1"/>
      <c r="C952" s="1"/>
      <c r="D952" s="1"/>
      <c r="E952" s="1"/>
      <c r="F952" s="1"/>
      <c r="G952" s="1"/>
      <c r="H952" s="1"/>
      <c r="I952" s="1"/>
      <c r="J952" s="1"/>
      <c r="K952" s="1"/>
      <c r="L952" s="1"/>
      <c r="M952" s="1"/>
      <c r="N952" s="1"/>
      <c r="O952" s="1"/>
      <c r="P952" s="1"/>
      <c r="Q952" s="1"/>
      <c r="R952" s="1"/>
      <c r="S952" s="1"/>
      <c r="T952" s="1"/>
      <c r="U952" s="2"/>
      <c r="V952" s="1"/>
      <c r="W952" s="1"/>
      <c r="X952" s="1"/>
      <c r="Y952" s="1"/>
      <c r="Z952" s="1"/>
    </row>
    <row r="953" spans="1:26" ht="24.75" customHeight="1">
      <c r="A953" s="1"/>
      <c r="B953" s="1"/>
      <c r="C953" s="1"/>
      <c r="D953" s="1"/>
      <c r="E953" s="1"/>
      <c r="F953" s="1"/>
      <c r="G953" s="1"/>
      <c r="H953" s="1"/>
      <c r="I953" s="1"/>
      <c r="J953" s="1"/>
      <c r="K953" s="1"/>
      <c r="L953" s="1"/>
      <c r="M953" s="1"/>
      <c r="N953" s="1"/>
      <c r="O953" s="1"/>
      <c r="P953" s="1"/>
      <c r="Q953" s="1"/>
      <c r="R953" s="1"/>
      <c r="S953" s="1"/>
      <c r="T953" s="1"/>
      <c r="U953" s="2"/>
      <c r="V953" s="1"/>
      <c r="W953" s="1"/>
      <c r="X953" s="1"/>
      <c r="Y953" s="1"/>
      <c r="Z953" s="1"/>
    </row>
    <row r="954" spans="1:26" ht="24.75" customHeight="1">
      <c r="A954" s="1"/>
      <c r="B954" s="1"/>
      <c r="C954" s="1"/>
      <c r="D954" s="1"/>
      <c r="E954" s="1"/>
      <c r="F954" s="1"/>
      <c r="G954" s="1"/>
      <c r="H954" s="1"/>
      <c r="I954" s="1"/>
      <c r="J954" s="1"/>
      <c r="K954" s="1"/>
      <c r="L954" s="1"/>
      <c r="M954" s="1"/>
      <c r="N954" s="1"/>
      <c r="O954" s="1"/>
      <c r="P954" s="1"/>
      <c r="Q954" s="1"/>
      <c r="R954" s="1"/>
      <c r="S954" s="1"/>
      <c r="T954" s="1"/>
      <c r="U954" s="2"/>
      <c r="V954" s="1"/>
      <c r="W954" s="1"/>
      <c r="X954" s="1"/>
      <c r="Y954" s="1"/>
      <c r="Z954" s="1"/>
    </row>
    <row r="955" spans="1:26" ht="24.75" customHeight="1">
      <c r="A955" s="1"/>
      <c r="B955" s="1"/>
      <c r="C955" s="1"/>
      <c r="D955" s="1"/>
      <c r="E955" s="1"/>
      <c r="F955" s="1"/>
      <c r="G955" s="1"/>
      <c r="H955" s="1"/>
      <c r="I955" s="1"/>
      <c r="J955" s="1"/>
      <c r="K955" s="1"/>
      <c r="L955" s="1"/>
      <c r="M955" s="1"/>
      <c r="N955" s="1"/>
      <c r="O955" s="1"/>
      <c r="P955" s="1"/>
      <c r="Q955" s="1"/>
      <c r="R955" s="1"/>
      <c r="S955" s="1"/>
      <c r="T955" s="1"/>
      <c r="U955" s="2"/>
      <c r="V955" s="1"/>
      <c r="W955" s="1"/>
      <c r="X955" s="1"/>
      <c r="Y955" s="1"/>
      <c r="Z955" s="1"/>
    </row>
    <row r="956" spans="1:26" ht="24.75" customHeight="1">
      <c r="A956" s="1"/>
      <c r="B956" s="1"/>
      <c r="C956" s="1"/>
      <c r="D956" s="1"/>
      <c r="E956" s="1"/>
      <c r="F956" s="1"/>
      <c r="G956" s="1"/>
      <c r="H956" s="1"/>
      <c r="I956" s="1"/>
      <c r="J956" s="1"/>
      <c r="K956" s="1"/>
      <c r="L956" s="1"/>
      <c r="M956" s="1"/>
      <c r="N956" s="1"/>
      <c r="O956" s="1"/>
      <c r="P956" s="1"/>
      <c r="Q956" s="1"/>
      <c r="R956" s="1"/>
      <c r="S956" s="1"/>
      <c r="T956" s="1"/>
      <c r="U956" s="2"/>
      <c r="V956" s="1"/>
      <c r="W956" s="1"/>
      <c r="X956" s="1"/>
      <c r="Y956" s="1"/>
      <c r="Z956" s="1"/>
    </row>
    <row r="957" spans="1:26" ht="24.75" customHeight="1">
      <c r="A957" s="1"/>
      <c r="B957" s="1"/>
      <c r="C957" s="1"/>
      <c r="D957" s="1"/>
      <c r="E957" s="1"/>
      <c r="F957" s="1"/>
      <c r="G957" s="1"/>
      <c r="H957" s="1"/>
      <c r="I957" s="1"/>
      <c r="J957" s="1"/>
      <c r="K957" s="1"/>
      <c r="L957" s="1"/>
      <c r="M957" s="1"/>
      <c r="N957" s="1"/>
      <c r="O957" s="1"/>
      <c r="P957" s="1"/>
      <c r="Q957" s="1"/>
      <c r="R957" s="1"/>
      <c r="S957" s="1"/>
      <c r="T957" s="1"/>
      <c r="U957" s="2"/>
      <c r="V957" s="1"/>
      <c r="W957" s="1"/>
      <c r="X957" s="1"/>
      <c r="Y957" s="1"/>
      <c r="Z957" s="1"/>
    </row>
    <row r="958" spans="1:26" ht="24.75" customHeight="1">
      <c r="A958" s="1"/>
      <c r="B958" s="1"/>
      <c r="C958" s="1"/>
      <c r="D958" s="1"/>
      <c r="E958" s="1"/>
      <c r="F958" s="1"/>
      <c r="G958" s="1"/>
      <c r="H958" s="1"/>
      <c r="I958" s="1"/>
      <c r="J958" s="1"/>
      <c r="K958" s="1"/>
      <c r="L958" s="1"/>
      <c r="M958" s="1"/>
      <c r="N958" s="1"/>
      <c r="O958" s="1"/>
      <c r="P958" s="1"/>
      <c r="Q958" s="1"/>
      <c r="R958" s="1"/>
      <c r="S958" s="1"/>
      <c r="T958" s="1"/>
      <c r="U958" s="2"/>
      <c r="V958" s="1"/>
      <c r="W958" s="1"/>
      <c r="X958" s="1"/>
      <c r="Y958" s="1"/>
      <c r="Z958" s="1"/>
    </row>
    <row r="959" spans="1:26" ht="24.75" customHeight="1">
      <c r="A959" s="1"/>
      <c r="B959" s="1"/>
      <c r="C959" s="1"/>
      <c r="D959" s="1"/>
      <c r="E959" s="1"/>
      <c r="F959" s="1"/>
      <c r="G959" s="1"/>
      <c r="H959" s="1"/>
      <c r="I959" s="1"/>
      <c r="J959" s="1"/>
      <c r="K959" s="1"/>
      <c r="L959" s="1"/>
      <c r="M959" s="1"/>
      <c r="N959" s="1"/>
      <c r="O959" s="1"/>
      <c r="P959" s="1"/>
      <c r="Q959" s="1"/>
      <c r="R959" s="1"/>
      <c r="S959" s="1"/>
      <c r="T959" s="1"/>
      <c r="U959" s="2"/>
      <c r="V959" s="1"/>
      <c r="W959" s="1"/>
      <c r="X959" s="1"/>
      <c r="Y959" s="1"/>
      <c r="Z959" s="1"/>
    </row>
    <row r="960" spans="1:26" ht="24.75" customHeight="1">
      <c r="A960" s="1"/>
      <c r="B960" s="1"/>
      <c r="C960" s="1"/>
      <c r="D960" s="1"/>
      <c r="E960" s="1"/>
      <c r="F960" s="1"/>
      <c r="G960" s="1"/>
      <c r="H960" s="1"/>
      <c r="I960" s="1"/>
      <c r="J960" s="1"/>
      <c r="K960" s="1"/>
      <c r="L960" s="1"/>
      <c r="M960" s="1"/>
      <c r="N960" s="1"/>
      <c r="O960" s="1"/>
      <c r="P960" s="1"/>
      <c r="Q960" s="1"/>
      <c r="R960" s="1"/>
      <c r="S960" s="1"/>
      <c r="T960" s="1"/>
      <c r="U960" s="2"/>
      <c r="V960" s="1"/>
      <c r="W960" s="1"/>
      <c r="X960" s="1"/>
      <c r="Y960" s="1"/>
      <c r="Z960" s="1"/>
    </row>
    <row r="961" spans="1:26" ht="24.75" customHeight="1">
      <c r="A961" s="1"/>
      <c r="B961" s="1"/>
      <c r="C961" s="1"/>
      <c r="D961" s="1"/>
      <c r="E961" s="1"/>
      <c r="F961" s="1"/>
      <c r="G961" s="1"/>
      <c r="H961" s="1"/>
      <c r="I961" s="1"/>
      <c r="J961" s="1"/>
      <c r="K961" s="1"/>
      <c r="L961" s="1"/>
      <c r="M961" s="1"/>
      <c r="N961" s="1"/>
      <c r="O961" s="1"/>
      <c r="P961" s="1"/>
      <c r="Q961" s="1"/>
      <c r="R961" s="1"/>
      <c r="S961" s="1"/>
      <c r="T961" s="1"/>
      <c r="U961" s="2"/>
      <c r="V961" s="1"/>
      <c r="W961" s="1"/>
      <c r="X961" s="1"/>
      <c r="Y961" s="1"/>
      <c r="Z961" s="1"/>
    </row>
    <row r="962" spans="1:26" ht="24.75" customHeight="1">
      <c r="A962" s="1"/>
      <c r="B962" s="1"/>
      <c r="C962" s="1"/>
      <c r="D962" s="1"/>
      <c r="E962" s="1"/>
      <c r="F962" s="1"/>
      <c r="G962" s="1"/>
      <c r="H962" s="1"/>
      <c r="I962" s="1"/>
      <c r="J962" s="1"/>
      <c r="K962" s="1"/>
      <c r="L962" s="1"/>
      <c r="M962" s="1"/>
      <c r="N962" s="1"/>
      <c r="O962" s="1"/>
      <c r="P962" s="1"/>
      <c r="Q962" s="1"/>
      <c r="R962" s="1"/>
      <c r="S962" s="1"/>
      <c r="T962" s="1"/>
      <c r="U962" s="2"/>
      <c r="V962" s="1"/>
      <c r="W962" s="1"/>
      <c r="X962" s="1"/>
      <c r="Y962" s="1"/>
      <c r="Z962" s="1"/>
    </row>
    <row r="963" spans="1:26" ht="24.75" customHeight="1">
      <c r="A963" s="1"/>
      <c r="B963" s="1"/>
      <c r="C963" s="1"/>
      <c r="D963" s="1"/>
      <c r="E963" s="1"/>
      <c r="F963" s="1"/>
      <c r="G963" s="1"/>
      <c r="H963" s="1"/>
      <c r="I963" s="1"/>
      <c r="J963" s="1"/>
      <c r="K963" s="1"/>
      <c r="L963" s="1"/>
      <c r="M963" s="1"/>
      <c r="N963" s="1"/>
      <c r="O963" s="1"/>
      <c r="P963" s="1"/>
      <c r="Q963" s="1"/>
      <c r="R963" s="1"/>
      <c r="S963" s="1"/>
      <c r="T963" s="1"/>
      <c r="U963" s="2"/>
      <c r="V963" s="1"/>
      <c r="W963" s="1"/>
      <c r="X963" s="1"/>
      <c r="Y963" s="1"/>
      <c r="Z963" s="1"/>
    </row>
    <row r="964" spans="1:26" ht="24.75" customHeight="1">
      <c r="A964" s="1"/>
      <c r="B964" s="1"/>
      <c r="C964" s="1"/>
      <c r="D964" s="1"/>
      <c r="E964" s="1"/>
      <c r="F964" s="1"/>
      <c r="G964" s="1"/>
      <c r="H964" s="1"/>
      <c r="I964" s="1"/>
      <c r="J964" s="1"/>
      <c r="K964" s="1"/>
      <c r="L964" s="1"/>
      <c r="M964" s="1"/>
      <c r="N964" s="1"/>
      <c r="O964" s="1"/>
      <c r="P964" s="1"/>
      <c r="Q964" s="1"/>
      <c r="R964" s="1"/>
      <c r="S964" s="1"/>
      <c r="T964" s="1"/>
      <c r="U964" s="2"/>
      <c r="V964" s="1"/>
      <c r="W964" s="1"/>
      <c r="X964" s="1"/>
      <c r="Y964" s="1"/>
      <c r="Z964" s="1"/>
    </row>
    <row r="965" spans="1:26" ht="24.75" customHeight="1">
      <c r="A965" s="1"/>
      <c r="B965" s="1"/>
      <c r="C965" s="1"/>
      <c r="D965" s="1"/>
      <c r="E965" s="1"/>
      <c r="F965" s="1"/>
      <c r="G965" s="1"/>
      <c r="H965" s="1"/>
      <c r="I965" s="1"/>
      <c r="J965" s="1"/>
      <c r="K965" s="1"/>
      <c r="L965" s="1"/>
      <c r="M965" s="1"/>
      <c r="N965" s="1"/>
      <c r="O965" s="1"/>
      <c r="P965" s="1"/>
      <c r="Q965" s="1"/>
      <c r="R965" s="1"/>
      <c r="S965" s="1"/>
      <c r="T965" s="1"/>
      <c r="U965" s="2"/>
      <c r="V965" s="1"/>
      <c r="W965" s="1"/>
      <c r="X965" s="1"/>
      <c r="Y965" s="1"/>
      <c r="Z965" s="1"/>
    </row>
    <row r="966" spans="1:26" ht="24.75" customHeight="1">
      <c r="A966" s="1"/>
      <c r="B966" s="1"/>
      <c r="C966" s="1"/>
      <c r="D966" s="1"/>
      <c r="E966" s="1"/>
      <c r="F966" s="1"/>
      <c r="G966" s="1"/>
      <c r="H966" s="1"/>
      <c r="I966" s="1"/>
      <c r="J966" s="1"/>
      <c r="K966" s="1"/>
      <c r="L966" s="1"/>
      <c r="M966" s="1"/>
      <c r="N966" s="1"/>
      <c r="O966" s="1"/>
      <c r="P966" s="1"/>
      <c r="Q966" s="1"/>
      <c r="R966" s="1"/>
      <c r="S966" s="1"/>
      <c r="T966" s="1"/>
      <c r="U966" s="2"/>
      <c r="V966" s="1"/>
      <c r="W966" s="1"/>
      <c r="X966" s="1"/>
      <c r="Y966" s="1"/>
      <c r="Z966" s="1"/>
    </row>
    <row r="967" spans="1:26" ht="24.75" customHeight="1">
      <c r="A967" s="1"/>
      <c r="B967" s="1"/>
      <c r="C967" s="1"/>
      <c r="D967" s="1"/>
      <c r="E967" s="1"/>
      <c r="F967" s="1"/>
      <c r="G967" s="1"/>
      <c r="H967" s="1"/>
      <c r="I967" s="1"/>
      <c r="J967" s="1"/>
      <c r="K967" s="1"/>
      <c r="L967" s="1"/>
      <c r="M967" s="1"/>
      <c r="N967" s="1"/>
      <c r="O967" s="1"/>
      <c r="P967" s="1"/>
      <c r="Q967" s="1"/>
      <c r="R967" s="1"/>
      <c r="S967" s="1"/>
      <c r="T967" s="1"/>
      <c r="U967" s="2"/>
      <c r="V967" s="1"/>
      <c r="W967" s="1"/>
      <c r="X967" s="1"/>
      <c r="Y967" s="1"/>
      <c r="Z967" s="1"/>
    </row>
    <row r="968" spans="1:26" ht="24.75" customHeight="1">
      <c r="A968" s="1"/>
      <c r="B968" s="1"/>
      <c r="C968" s="1"/>
      <c r="D968" s="1"/>
      <c r="E968" s="1"/>
      <c r="F968" s="1"/>
      <c r="G968" s="1"/>
      <c r="H968" s="1"/>
      <c r="I968" s="1"/>
      <c r="J968" s="1"/>
      <c r="K968" s="1"/>
      <c r="L968" s="1"/>
      <c r="M968" s="1"/>
      <c r="N968" s="1"/>
      <c r="O968" s="1"/>
      <c r="P968" s="1"/>
      <c r="Q968" s="1"/>
      <c r="R968" s="1"/>
      <c r="S968" s="1"/>
      <c r="T968" s="1"/>
      <c r="U968" s="2"/>
      <c r="V968" s="1"/>
      <c r="W968" s="1"/>
      <c r="X968" s="1"/>
      <c r="Y968" s="1"/>
      <c r="Z968" s="1"/>
    </row>
    <row r="969" spans="1:26" ht="24.75" customHeight="1">
      <c r="A969" s="1"/>
      <c r="B969" s="1"/>
      <c r="C969" s="1"/>
      <c r="D969" s="1"/>
      <c r="E969" s="1"/>
      <c r="F969" s="1"/>
      <c r="G969" s="1"/>
      <c r="H969" s="1"/>
      <c r="I969" s="1"/>
      <c r="J969" s="1"/>
      <c r="K969" s="1"/>
      <c r="L969" s="1"/>
      <c r="M969" s="1"/>
      <c r="N969" s="1"/>
      <c r="O969" s="1"/>
      <c r="P969" s="1"/>
      <c r="Q969" s="1"/>
      <c r="R969" s="1"/>
      <c r="S969" s="1"/>
      <c r="T969" s="1"/>
      <c r="U969" s="2"/>
      <c r="V969" s="1"/>
      <c r="W969" s="1"/>
      <c r="X969" s="1"/>
      <c r="Y969" s="1"/>
      <c r="Z969" s="1"/>
    </row>
    <row r="970" spans="1:26" ht="24.75" customHeight="1">
      <c r="A970" s="1"/>
      <c r="B970" s="1"/>
      <c r="C970" s="1"/>
      <c r="D970" s="1"/>
      <c r="E970" s="1"/>
      <c r="F970" s="1"/>
      <c r="G970" s="1"/>
      <c r="H970" s="1"/>
      <c r="I970" s="1"/>
      <c r="J970" s="1"/>
      <c r="K970" s="1"/>
      <c r="L970" s="1"/>
      <c r="M970" s="1"/>
      <c r="N970" s="1"/>
      <c r="O970" s="1"/>
      <c r="P970" s="1"/>
      <c r="Q970" s="1"/>
      <c r="R970" s="1"/>
      <c r="S970" s="1"/>
      <c r="T970" s="1"/>
      <c r="U970" s="2"/>
      <c r="V970" s="1"/>
      <c r="W970" s="1"/>
      <c r="X970" s="1"/>
      <c r="Y970" s="1"/>
      <c r="Z970" s="1"/>
    </row>
    <row r="971" spans="1:26" ht="24.75" customHeight="1">
      <c r="A971" s="1"/>
      <c r="B971" s="1"/>
      <c r="C971" s="1"/>
      <c r="D971" s="1"/>
      <c r="E971" s="1"/>
      <c r="F971" s="1"/>
      <c r="G971" s="1"/>
      <c r="H971" s="1"/>
      <c r="I971" s="1"/>
      <c r="J971" s="1"/>
      <c r="K971" s="1"/>
      <c r="L971" s="1"/>
      <c r="M971" s="1"/>
      <c r="N971" s="1"/>
      <c r="O971" s="1"/>
      <c r="P971" s="1"/>
      <c r="Q971" s="1"/>
      <c r="R971" s="1"/>
      <c r="S971" s="1"/>
      <c r="T971" s="1"/>
      <c r="U971" s="2"/>
      <c r="V971" s="1"/>
      <c r="W971" s="1"/>
      <c r="X971" s="1"/>
      <c r="Y971" s="1"/>
      <c r="Z971" s="1"/>
    </row>
    <row r="972" spans="1:26" ht="24.75" customHeight="1">
      <c r="A972" s="1"/>
      <c r="B972" s="1"/>
      <c r="C972" s="1"/>
      <c r="D972" s="1"/>
      <c r="E972" s="1"/>
      <c r="F972" s="1"/>
      <c r="G972" s="1"/>
      <c r="H972" s="1"/>
      <c r="I972" s="1"/>
      <c r="J972" s="1"/>
      <c r="K972" s="1"/>
      <c r="L972" s="1"/>
      <c r="M972" s="1"/>
      <c r="N972" s="1"/>
      <c r="O972" s="1"/>
      <c r="P972" s="1"/>
      <c r="Q972" s="1"/>
      <c r="R972" s="1"/>
      <c r="S972" s="1"/>
      <c r="T972" s="1"/>
      <c r="U972" s="2"/>
      <c r="V972" s="1"/>
      <c r="W972" s="1"/>
      <c r="X972" s="1"/>
      <c r="Y972" s="1"/>
      <c r="Z972" s="1"/>
    </row>
    <row r="973" spans="1:26" ht="24.75" customHeight="1">
      <c r="A973" s="1"/>
      <c r="B973" s="1"/>
      <c r="C973" s="1"/>
      <c r="D973" s="1"/>
      <c r="E973" s="1"/>
      <c r="F973" s="1"/>
      <c r="G973" s="1"/>
      <c r="H973" s="1"/>
      <c r="I973" s="1"/>
      <c r="J973" s="1"/>
      <c r="K973" s="1"/>
      <c r="L973" s="1"/>
      <c r="M973" s="1"/>
      <c r="N973" s="1"/>
      <c r="O973" s="1"/>
      <c r="P973" s="1"/>
      <c r="Q973" s="1"/>
      <c r="R973" s="1"/>
      <c r="S973" s="1"/>
      <c r="T973" s="1"/>
      <c r="U973" s="2"/>
      <c r="V973" s="1"/>
      <c r="W973" s="1"/>
      <c r="X973" s="1"/>
      <c r="Y973" s="1"/>
      <c r="Z973" s="1"/>
    </row>
    <row r="974" spans="1:26" ht="24.75" customHeight="1">
      <c r="A974" s="1"/>
      <c r="B974" s="1"/>
      <c r="C974" s="1"/>
      <c r="D974" s="1"/>
      <c r="E974" s="1"/>
      <c r="F974" s="1"/>
      <c r="G974" s="1"/>
      <c r="H974" s="1"/>
      <c r="I974" s="1"/>
      <c r="J974" s="1"/>
      <c r="K974" s="1"/>
      <c r="L974" s="1"/>
      <c r="M974" s="1"/>
      <c r="N974" s="1"/>
      <c r="O974" s="1"/>
      <c r="P974" s="1"/>
      <c r="Q974" s="1"/>
      <c r="R974" s="1"/>
      <c r="S974" s="1"/>
      <c r="T974" s="1"/>
      <c r="U974" s="2"/>
      <c r="V974" s="1"/>
      <c r="W974" s="1"/>
      <c r="X974" s="1"/>
      <c r="Y974" s="1"/>
      <c r="Z974" s="1"/>
    </row>
    <row r="975" spans="1:26" ht="24.75" customHeight="1">
      <c r="A975" s="1"/>
      <c r="B975" s="1"/>
      <c r="C975" s="1"/>
      <c r="D975" s="1"/>
      <c r="E975" s="1"/>
      <c r="F975" s="1"/>
      <c r="G975" s="1"/>
      <c r="H975" s="1"/>
      <c r="I975" s="1"/>
      <c r="J975" s="1"/>
      <c r="K975" s="1"/>
      <c r="L975" s="1"/>
      <c r="M975" s="1"/>
      <c r="N975" s="1"/>
      <c r="O975" s="1"/>
      <c r="P975" s="1"/>
      <c r="Q975" s="1"/>
      <c r="R975" s="1"/>
      <c r="S975" s="1"/>
      <c r="T975" s="1"/>
      <c r="U975" s="2"/>
      <c r="V975" s="1"/>
      <c r="W975" s="1"/>
      <c r="X975" s="1"/>
      <c r="Y975" s="1"/>
      <c r="Z975" s="1"/>
    </row>
    <row r="976" spans="1:26" ht="24.75" customHeight="1">
      <c r="A976" s="1"/>
      <c r="B976" s="1"/>
      <c r="C976" s="1"/>
      <c r="D976" s="1"/>
      <c r="E976" s="1"/>
      <c r="F976" s="1"/>
      <c r="G976" s="1"/>
      <c r="H976" s="1"/>
      <c r="I976" s="1"/>
      <c r="J976" s="1"/>
      <c r="K976" s="1"/>
      <c r="L976" s="1"/>
      <c r="M976" s="1"/>
      <c r="N976" s="1"/>
      <c r="O976" s="1"/>
      <c r="P976" s="1"/>
      <c r="Q976" s="1"/>
      <c r="R976" s="1"/>
      <c r="S976" s="1"/>
      <c r="T976" s="1"/>
      <c r="U976" s="2"/>
      <c r="V976" s="1"/>
      <c r="W976" s="1"/>
      <c r="X976" s="1"/>
      <c r="Y976" s="1"/>
      <c r="Z976" s="1"/>
    </row>
    <row r="977" spans="1:26" ht="24.75" customHeight="1">
      <c r="A977" s="1"/>
      <c r="B977" s="1"/>
      <c r="C977" s="1"/>
      <c r="D977" s="1"/>
      <c r="E977" s="1"/>
      <c r="F977" s="1"/>
      <c r="G977" s="1"/>
      <c r="H977" s="1"/>
      <c r="I977" s="1"/>
      <c r="J977" s="1"/>
      <c r="K977" s="1"/>
      <c r="L977" s="1"/>
      <c r="M977" s="1"/>
      <c r="N977" s="1"/>
      <c r="O977" s="1"/>
      <c r="P977" s="1"/>
      <c r="Q977" s="1"/>
      <c r="R977" s="1"/>
      <c r="S977" s="1"/>
      <c r="T977" s="1"/>
      <c r="U977" s="2"/>
      <c r="V977" s="1"/>
      <c r="W977" s="1"/>
      <c r="X977" s="1"/>
      <c r="Y977" s="1"/>
      <c r="Z977" s="1"/>
    </row>
    <row r="978" spans="1:26" ht="24.75" customHeight="1">
      <c r="A978" s="1"/>
      <c r="B978" s="1"/>
      <c r="C978" s="1"/>
      <c r="D978" s="1"/>
      <c r="E978" s="1"/>
      <c r="F978" s="1"/>
      <c r="G978" s="1"/>
      <c r="H978" s="1"/>
      <c r="I978" s="1"/>
      <c r="J978" s="1"/>
      <c r="K978" s="1"/>
      <c r="L978" s="1"/>
      <c r="M978" s="1"/>
      <c r="N978" s="1"/>
      <c r="O978" s="1"/>
      <c r="P978" s="1"/>
      <c r="Q978" s="1"/>
      <c r="R978" s="1"/>
      <c r="S978" s="1"/>
      <c r="T978" s="1"/>
      <c r="U978" s="2"/>
      <c r="V978" s="1"/>
      <c r="W978" s="1"/>
      <c r="X978" s="1"/>
      <c r="Y978" s="1"/>
      <c r="Z978" s="1"/>
    </row>
    <row r="979" spans="1:26" ht="24.75" customHeight="1">
      <c r="A979" s="1"/>
      <c r="B979" s="1"/>
      <c r="C979" s="1"/>
      <c r="D979" s="1"/>
      <c r="E979" s="1"/>
      <c r="F979" s="1"/>
      <c r="G979" s="1"/>
      <c r="H979" s="1"/>
      <c r="I979" s="1"/>
      <c r="J979" s="1"/>
      <c r="K979" s="1"/>
      <c r="L979" s="1"/>
      <c r="M979" s="1"/>
      <c r="N979" s="1"/>
      <c r="O979" s="1"/>
      <c r="P979" s="1"/>
      <c r="Q979" s="1"/>
      <c r="R979" s="1"/>
      <c r="S979" s="1"/>
      <c r="T979" s="1"/>
      <c r="U979" s="2"/>
      <c r="V979" s="1"/>
      <c r="W979" s="1"/>
      <c r="X979" s="1"/>
      <c r="Y979" s="1"/>
      <c r="Z979" s="1"/>
    </row>
    <row r="980" spans="1:26" ht="24.75" customHeight="1">
      <c r="A980" s="1"/>
      <c r="B980" s="1"/>
      <c r="C980" s="1"/>
      <c r="D980" s="1"/>
      <c r="E980" s="1"/>
      <c r="F980" s="1"/>
      <c r="G980" s="1"/>
      <c r="H980" s="1"/>
      <c r="I980" s="1"/>
      <c r="J980" s="1"/>
      <c r="K980" s="1"/>
      <c r="L980" s="1"/>
      <c r="M980" s="1"/>
      <c r="N980" s="1"/>
      <c r="O980" s="1"/>
      <c r="P980" s="1"/>
      <c r="Q980" s="1"/>
      <c r="R980" s="1"/>
      <c r="S980" s="1"/>
      <c r="T980" s="1"/>
      <c r="U980" s="2"/>
      <c r="V980" s="1"/>
      <c r="W980" s="1"/>
      <c r="X980" s="1"/>
      <c r="Y980" s="1"/>
      <c r="Z980" s="1"/>
    </row>
    <row r="981" spans="1:26" ht="24.75" customHeight="1">
      <c r="A981" s="1"/>
      <c r="B981" s="1"/>
      <c r="C981" s="1"/>
      <c r="D981" s="1"/>
      <c r="E981" s="1"/>
      <c r="F981" s="1"/>
      <c r="G981" s="1"/>
      <c r="H981" s="1"/>
      <c r="I981" s="1"/>
      <c r="J981" s="1"/>
      <c r="K981" s="1"/>
      <c r="L981" s="1"/>
      <c r="M981" s="1"/>
      <c r="N981" s="1"/>
      <c r="O981" s="1"/>
      <c r="P981" s="1"/>
      <c r="Q981" s="1"/>
      <c r="R981" s="1"/>
      <c r="S981" s="1"/>
      <c r="T981" s="1"/>
      <c r="U981" s="2"/>
      <c r="V981" s="1"/>
      <c r="W981" s="1"/>
      <c r="X981" s="1"/>
      <c r="Y981" s="1"/>
      <c r="Z981" s="1"/>
    </row>
    <row r="982" spans="1:26" ht="24.75" customHeight="1">
      <c r="A982" s="1"/>
      <c r="B982" s="1"/>
      <c r="C982" s="1"/>
      <c r="D982" s="1"/>
      <c r="E982" s="1"/>
      <c r="F982" s="1"/>
      <c r="G982" s="1"/>
      <c r="H982" s="1"/>
      <c r="I982" s="1"/>
      <c r="J982" s="1"/>
      <c r="K982" s="1"/>
      <c r="L982" s="1"/>
      <c r="M982" s="1"/>
      <c r="N982" s="1"/>
      <c r="O982" s="1"/>
      <c r="P982" s="1"/>
      <c r="Q982" s="1"/>
      <c r="R982" s="1"/>
      <c r="S982" s="1"/>
      <c r="T982" s="1"/>
      <c r="U982" s="2"/>
      <c r="V982" s="1"/>
      <c r="W982" s="1"/>
      <c r="X982" s="1"/>
      <c r="Y982" s="1"/>
      <c r="Z982" s="1"/>
    </row>
    <row r="983" spans="1:26" ht="24.75" customHeight="1">
      <c r="A983" s="1"/>
      <c r="B983" s="1"/>
      <c r="C983" s="1"/>
      <c r="D983" s="1"/>
      <c r="E983" s="1"/>
      <c r="F983" s="1"/>
      <c r="G983" s="1"/>
      <c r="H983" s="1"/>
      <c r="I983" s="1"/>
      <c r="J983" s="1"/>
      <c r="K983" s="1"/>
      <c r="L983" s="1"/>
      <c r="M983" s="1"/>
      <c r="N983" s="1"/>
      <c r="O983" s="1"/>
      <c r="P983" s="1"/>
      <c r="Q983" s="1"/>
      <c r="R983" s="1"/>
      <c r="S983" s="1"/>
      <c r="T983" s="1"/>
      <c r="U983" s="2"/>
      <c r="V983" s="1"/>
      <c r="W983" s="1"/>
      <c r="X983" s="1"/>
      <c r="Y983" s="1"/>
      <c r="Z983" s="1"/>
    </row>
    <row r="984" spans="1:26" ht="24.75" customHeight="1">
      <c r="A984" s="1"/>
      <c r="B984" s="1"/>
      <c r="C984" s="1"/>
      <c r="D984" s="1"/>
      <c r="E984" s="1"/>
      <c r="F984" s="1"/>
      <c r="G984" s="1"/>
      <c r="H984" s="1"/>
      <c r="I984" s="1"/>
      <c r="J984" s="1"/>
      <c r="K984" s="1"/>
      <c r="L984" s="1"/>
      <c r="M984" s="1"/>
      <c r="N984" s="1"/>
      <c r="O984" s="1"/>
      <c r="P984" s="1"/>
      <c r="Q984" s="1"/>
      <c r="R984" s="1"/>
      <c r="S984" s="1"/>
      <c r="T984" s="1"/>
      <c r="U984" s="2"/>
      <c r="V984" s="1"/>
      <c r="W984" s="1"/>
      <c r="X984" s="1"/>
      <c r="Y984" s="1"/>
      <c r="Z984" s="1"/>
    </row>
    <row r="985" spans="1:26" ht="24.75" customHeight="1">
      <c r="A985" s="1"/>
      <c r="B985" s="1"/>
      <c r="C985" s="1"/>
      <c r="D985" s="1"/>
      <c r="E985" s="1"/>
      <c r="F985" s="1"/>
      <c r="G985" s="1"/>
      <c r="H985" s="1"/>
      <c r="I985" s="1"/>
      <c r="J985" s="1"/>
      <c r="K985" s="1"/>
      <c r="L985" s="1"/>
      <c r="M985" s="1"/>
      <c r="N985" s="1"/>
      <c r="O985" s="1"/>
      <c r="P985" s="1"/>
      <c r="Q985" s="1"/>
      <c r="R985" s="1"/>
      <c r="S985" s="1"/>
      <c r="T985" s="1"/>
      <c r="U985" s="2"/>
      <c r="V985" s="1"/>
      <c r="W985" s="1"/>
      <c r="X985" s="1"/>
      <c r="Y985" s="1"/>
      <c r="Z985" s="1"/>
    </row>
    <row r="986" spans="1:26" ht="24.75" customHeight="1">
      <c r="A986" s="1"/>
      <c r="B986" s="1"/>
      <c r="C986" s="1"/>
      <c r="D986" s="1"/>
      <c r="E986" s="1"/>
      <c r="F986" s="1"/>
      <c r="G986" s="1"/>
      <c r="H986" s="1"/>
      <c r="I986" s="1"/>
      <c r="J986" s="1"/>
      <c r="K986" s="1"/>
      <c r="L986" s="1"/>
      <c r="M986" s="1"/>
      <c r="N986" s="1"/>
      <c r="O986" s="1"/>
      <c r="P986" s="1"/>
      <c r="Q986" s="1"/>
      <c r="R986" s="1"/>
      <c r="S986" s="1"/>
      <c r="T986" s="1"/>
      <c r="U986" s="2"/>
      <c r="V986" s="1"/>
      <c r="W986" s="1"/>
      <c r="X986" s="1"/>
      <c r="Y986" s="1"/>
      <c r="Z986" s="1"/>
    </row>
    <row r="987" spans="1:26" ht="24.75" customHeight="1">
      <c r="A987" s="1"/>
      <c r="B987" s="1"/>
      <c r="C987" s="1"/>
      <c r="D987" s="1"/>
      <c r="E987" s="1"/>
      <c r="F987" s="1"/>
      <c r="G987" s="1"/>
      <c r="H987" s="1"/>
      <c r="I987" s="1"/>
      <c r="J987" s="1"/>
      <c r="K987" s="1"/>
      <c r="L987" s="1"/>
      <c r="M987" s="1"/>
      <c r="N987" s="1"/>
      <c r="O987" s="1"/>
      <c r="P987" s="1"/>
      <c r="Q987" s="1"/>
      <c r="R987" s="1"/>
      <c r="S987" s="1"/>
      <c r="T987" s="1"/>
      <c r="U987" s="2"/>
      <c r="V987" s="1"/>
      <c r="W987" s="1"/>
      <c r="X987" s="1"/>
      <c r="Y987" s="1"/>
      <c r="Z987" s="1"/>
    </row>
    <row r="988" spans="1:26" ht="24.75" customHeight="1">
      <c r="A988" s="1"/>
      <c r="B988" s="1"/>
      <c r="C988" s="1"/>
      <c r="D988" s="1"/>
      <c r="E988" s="1"/>
      <c r="F988" s="1"/>
      <c r="G988" s="1"/>
      <c r="H988" s="1"/>
      <c r="I988" s="1"/>
      <c r="J988" s="1"/>
      <c r="K988" s="1"/>
      <c r="L988" s="1"/>
      <c r="M988" s="1"/>
      <c r="N988" s="1"/>
      <c r="O988" s="1"/>
      <c r="P988" s="1"/>
      <c r="Q988" s="1"/>
      <c r="R988" s="1"/>
      <c r="S988" s="1"/>
      <c r="T988" s="1"/>
      <c r="U988" s="2"/>
      <c r="V988" s="1"/>
      <c r="W988" s="1"/>
      <c r="X988" s="1"/>
      <c r="Y988" s="1"/>
      <c r="Z988" s="1"/>
    </row>
    <row r="989" spans="1:26" ht="24.75" customHeight="1">
      <c r="A989" s="1"/>
      <c r="B989" s="1"/>
      <c r="C989" s="1"/>
      <c r="D989" s="1"/>
      <c r="E989" s="1"/>
      <c r="F989" s="1"/>
      <c r="G989" s="1"/>
      <c r="H989" s="1"/>
      <c r="I989" s="1"/>
      <c r="J989" s="1"/>
      <c r="K989" s="1"/>
      <c r="L989" s="1"/>
      <c r="M989" s="1"/>
      <c r="N989" s="1"/>
      <c r="O989" s="1"/>
      <c r="P989" s="1"/>
      <c r="Q989" s="1"/>
      <c r="R989" s="1"/>
      <c r="S989" s="1"/>
      <c r="T989" s="1"/>
      <c r="U989" s="2"/>
      <c r="V989" s="1"/>
      <c r="W989" s="1"/>
      <c r="X989" s="1"/>
      <c r="Y989" s="1"/>
      <c r="Z989" s="1"/>
    </row>
    <row r="990" spans="1:26" ht="24.75" customHeight="1">
      <c r="A990" s="1"/>
      <c r="B990" s="1"/>
      <c r="C990" s="1"/>
      <c r="D990" s="1"/>
      <c r="E990" s="1"/>
      <c r="F990" s="1"/>
      <c r="G990" s="1"/>
      <c r="H990" s="1"/>
      <c r="I990" s="1"/>
      <c r="J990" s="1"/>
      <c r="K990" s="1"/>
      <c r="L990" s="1"/>
      <c r="M990" s="1"/>
      <c r="N990" s="1"/>
      <c r="O990" s="1"/>
      <c r="P990" s="1"/>
      <c r="Q990" s="1"/>
      <c r="R990" s="1"/>
      <c r="S990" s="1"/>
      <c r="T990" s="1"/>
      <c r="U990" s="2"/>
      <c r="V990" s="1"/>
      <c r="W990" s="1"/>
      <c r="X990" s="1"/>
      <c r="Y990" s="1"/>
      <c r="Z990" s="1"/>
    </row>
    <row r="991" spans="1:26" ht="24.75" customHeight="1">
      <c r="A991" s="1"/>
      <c r="B991" s="1"/>
      <c r="C991" s="1"/>
      <c r="D991" s="1"/>
      <c r="E991" s="1"/>
      <c r="F991" s="1"/>
      <c r="G991" s="1"/>
      <c r="H991" s="1"/>
      <c r="I991" s="1"/>
      <c r="J991" s="1"/>
      <c r="K991" s="1"/>
      <c r="L991" s="1"/>
      <c r="M991" s="1"/>
      <c r="N991" s="1"/>
      <c r="O991" s="1"/>
      <c r="P991" s="1"/>
      <c r="Q991" s="1"/>
      <c r="R991" s="1"/>
      <c r="S991" s="1"/>
      <c r="T991" s="1"/>
      <c r="U991" s="2"/>
      <c r="V991" s="1"/>
      <c r="W991" s="1"/>
      <c r="X991" s="1"/>
      <c r="Y991" s="1"/>
      <c r="Z991" s="1"/>
    </row>
    <row r="992" spans="1:26" ht="24.75" customHeight="1">
      <c r="A992" s="1"/>
      <c r="B992" s="1"/>
      <c r="C992" s="1"/>
      <c r="D992" s="1"/>
      <c r="E992" s="1"/>
      <c r="F992" s="1"/>
      <c r="G992" s="1"/>
      <c r="H992" s="1"/>
      <c r="I992" s="1"/>
      <c r="J992" s="1"/>
      <c r="K992" s="1"/>
      <c r="L992" s="1"/>
      <c r="M992" s="1"/>
      <c r="N992" s="1"/>
      <c r="O992" s="1"/>
      <c r="P992" s="1"/>
      <c r="Q992" s="1"/>
      <c r="R992" s="1"/>
      <c r="S992" s="1"/>
      <c r="T992" s="1"/>
      <c r="U992" s="2"/>
      <c r="V992" s="1"/>
      <c r="W992" s="1"/>
      <c r="X992" s="1"/>
      <c r="Y992" s="1"/>
      <c r="Z992" s="1"/>
    </row>
    <row r="993" spans="1:26" ht="24.75" customHeight="1">
      <c r="A993" s="1"/>
      <c r="B993" s="1"/>
      <c r="C993" s="1"/>
      <c r="D993" s="1"/>
      <c r="E993" s="1"/>
      <c r="F993" s="1"/>
      <c r="G993" s="1"/>
      <c r="H993" s="1"/>
      <c r="I993" s="1"/>
      <c r="J993" s="1"/>
      <c r="K993" s="1"/>
      <c r="L993" s="1"/>
      <c r="M993" s="1"/>
      <c r="N993" s="1"/>
      <c r="O993" s="1"/>
      <c r="P993" s="1"/>
      <c r="Q993" s="1"/>
      <c r="R993" s="1"/>
      <c r="S993" s="1"/>
      <c r="T993" s="1"/>
      <c r="U993" s="2"/>
      <c r="V993" s="1"/>
      <c r="W993" s="1"/>
      <c r="X993" s="1"/>
      <c r="Y993" s="1"/>
      <c r="Z993" s="1"/>
    </row>
    <row r="994" spans="1:26" ht="24.75" customHeight="1">
      <c r="A994" s="1"/>
      <c r="B994" s="1"/>
      <c r="C994" s="1"/>
      <c r="D994" s="1"/>
      <c r="E994" s="1"/>
      <c r="F994" s="1"/>
      <c r="G994" s="1"/>
      <c r="H994" s="1"/>
      <c r="I994" s="1"/>
      <c r="J994" s="1"/>
      <c r="K994" s="1"/>
      <c r="L994" s="1"/>
      <c r="M994" s="1"/>
      <c r="N994" s="1"/>
      <c r="O994" s="1"/>
      <c r="P994" s="1"/>
      <c r="Q994" s="1"/>
      <c r="R994" s="1"/>
      <c r="S994" s="1"/>
      <c r="T994" s="1"/>
      <c r="U994" s="2"/>
      <c r="V994" s="1"/>
      <c r="W994" s="1"/>
      <c r="X994" s="1"/>
      <c r="Y994" s="1"/>
      <c r="Z994" s="1"/>
    </row>
    <row r="995" spans="1:26" ht="24.75" customHeight="1">
      <c r="A995" s="1"/>
      <c r="B995" s="1"/>
      <c r="C995" s="1"/>
      <c r="D995" s="1"/>
      <c r="E995" s="1"/>
      <c r="F995" s="1"/>
      <c r="G995" s="1"/>
      <c r="H995" s="1"/>
      <c r="I995" s="1"/>
      <c r="J995" s="1"/>
      <c r="K995" s="1"/>
      <c r="L995" s="1"/>
      <c r="M995" s="1"/>
      <c r="N995" s="1"/>
      <c r="O995" s="1"/>
      <c r="P995" s="1"/>
      <c r="Q995" s="1"/>
      <c r="R995" s="1"/>
      <c r="S995" s="1"/>
      <c r="T995" s="1"/>
      <c r="U995" s="2"/>
      <c r="V995" s="1"/>
      <c r="W995" s="1"/>
      <c r="X995" s="1"/>
      <c r="Y995" s="1"/>
      <c r="Z995" s="1"/>
    </row>
    <row r="996" spans="1:26" ht="24.75" customHeight="1">
      <c r="A996" s="1"/>
      <c r="B996" s="1"/>
      <c r="C996" s="1"/>
      <c r="D996" s="1"/>
      <c r="E996" s="1"/>
      <c r="F996" s="1"/>
      <c r="G996" s="1"/>
      <c r="H996" s="1"/>
      <c r="I996" s="1"/>
      <c r="J996" s="1"/>
      <c r="K996" s="1"/>
      <c r="L996" s="1"/>
      <c r="M996" s="1"/>
      <c r="N996" s="1"/>
      <c r="O996" s="1"/>
      <c r="P996" s="1"/>
      <c r="Q996" s="1"/>
      <c r="R996" s="1"/>
      <c r="S996" s="1"/>
      <c r="T996" s="1"/>
      <c r="U996" s="2"/>
      <c r="V996" s="1"/>
      <c r="W996" s="1"/>
      <c r="X996" s="1"/>
      <c r="Y996" s="1"/>
      <c r="Z996" s="1"/>
    </row>
    <row r="997" spans="1:26" ht="24.75" customHeight="1">
      <c r="A997" s="1"/>
      <c r="B997" s="1"/>
      <c r="C997" s="1"/>
      <c r="D997" s="1"/>
      <c r="E997" s="1"/>
      <c r="F997" s="1"/>
      <c r="G997" s="1"/>
      <c r="H997" s="1"/>
      <c r="I997" s="1"/>
      <c r="J997" s="1"/>
      <c r="K997" s="1"/>
      <c r="L997" s="1"/>
      <c r="M997" s="1"/>
      <c r="N997" s="1"/>
      <c r="O997" s="1"/>
      <c r="P997" s="1"/>
      <c r="Q997" s="1"/>
      <c r="R997" s="1"/>
      <c r="S997" s="1"/>
      <c r="T997" s="1"/>
      <c r="U997" s="2"/>
      <c r="V997" s="1"/>
      <c r="W997" s="1"/>
      <c r="X997" s="1"/>
      <c r="Y997" s="1"/>
      <c r="Z997" s="1"/>
    </row>
    <row r="998" spans="1:26" ht="24.75" customHeight="1">
      <c r="A998" s="1"/>
      <c r="B998" s="1"/>
      <c r="C998" s="1"/>
      <c r="D998" s="1"/>
      <c r="E998" s="1"/>
      <c r="F998" s="1"/>
      <c r="G998" s="1"/>
      <c r="H998" s="1"/>
      <c r="I998" s="1"/>
      <c r="J998" s="1"/>
      <c r="K998" s="1"/>
      <c r="L998" s="1"/>
      <c r="M998" s="1"/>
      <c r="N998" s="1"/>
      <c r="O998" s="1"/>
      <c r="P998" s="1"/>
      <c r="Q998" s="1"/>
      <c r="R998" s="1"/>
      <c r="S998" s="1"/>
      <c r="T998" s="1"/>
      <c r="U998" s="2"/>
      <c r="V998" s="1"/>
      <c r="W998" s="1"/>
      <c r="X998" s="1"/>
      <c r="Y998" s="1"/>
      <c r="Z998" s="1"/>
    </row>
    <row r="999" spans="1:26" ht="24.75" customHeight="1">
      <c r="A999" s="1"/>
      <c r="B999" s="1"/>
      <c r="C999" s="1"/>
      <c r="D999" s="1"/>
      <c r="E999" s="1"/>
      <c r="F999" s="1"/>
      <c r="G999" s="1"/>
      <c r="H999" s="1"/>
      <c r="I999" s="1"/>
      <c r="J999" s="1"/>
      <c r="K999" s="1"/>
      <c r="L999" s="1"/>
      <c r="M999" s="1"/>
      <c r="N999" s="1"/>
      <c r="O999" s="1"/>
      <c r="P999" s="1"/>
      <c r="Q999" s="1"/>
      <c r="R999" s="1"/>
      <c r="S999" s="1"/>
      <c r="T999" s="1"/>
      <c r="U999" s="2"/>
      <c r="V999" s="1"/>
      <c r="W999" s="1"/>
      <c r="X999" s="1"/>
      <c r="Y999" s="1"/>
      <c r="Z999" s="1"/>
    </row>
    <row r="1000" spans="1:26" ht="24.75" customHeight="1">
      <c r="A1000" s="1"/>
      <c r="B1000" s="1"/>
      <c r="C1000" s="1"/>
      <c r="D1000" s="1"/>
      <c r="E1000" s="1"/>
      <c r="F1000" s="1"/>
      <c r="G1000" s="1"/>
      <c r="H1000" s="1"/>
      <c r="I1000" s="1"/>
      <c r="J1000" s="1"/>
      <c r="K1000" s="1"/>
      <c r="L1000" s="1"/>
      <c r="M1000" s="1"/>
      <c r="N1000" s="1"/>
      <c r="O1000" s="1"/>
      <c r="P1000" s="1"/>
      <c r="Q1000" s="1"/>
      <c r="R1000" s="1"/>
      <c r="S1000" s="1"/>
      <c r="T1000" s="1"/>
      <c r="U1000" s="2"/>
      <c r="V1000" s="1"/>
      <c r="W1000" s="1"/>
      <c r="X1000" s="1"/>
      <c r="Y1000" s="1"/>
      <c r="Z1000" s="1"/>
    </row>
  </sheetData>
  <mergeCells count="101">
    <mergeCell ref="B204:B206"/>
    <mergeCell ref="C204:C206"/>
    <mergeCell ref="B209:D209"/>
    <mergeCell ref="A210:D210"/>
    <mergeCell ref="A135:A158"/>
    <mergeCell ref="B135:B136"/>
    <mergeCell ref="B138:B144"/>
    <mergeCell ref="B145:B146"/>
    <mergeCell ref="B147:B149"/>
    <mergeCell ref="B158:D158"/>
    <mergeCell ref="A159:A209"/>
    <mergeCell ref="C135:C136"/>
    <mergeCell ref="C138:C144"/>
    <mergeCell ref="C145:C146"/>
    <mergeCell ref="C147:C149"/>
    <mergeCell ref="C150:C153"/>
    <mergeCell ref="B173:B179"/>
    <mergeCell ref="C173:C179"/>
    <mergeCell ref="B180:B183"/>
    <mergeCell ref="C180:C183"/>
    <mergeCell ref="B184:B186"/>
    <mergeCell ref="C184:C186"/>
    <mergeCell ref="B187:B192"/>
    <mergeCell ref="C187:C192"/>
    <mergeCell ref="B150:B153"/>
    <mergeCell ref="B159:B162"/>
    <mergeCell ref="C159:C162"/>
    <mergeCell ref="B163:B167"/>
    <mergeCell ref="C163:C167"/>
    <mergeCell ref="B168:B172"/>
    <mergeCell ref="C168:C172"/>
    <mergeCell ref="B202:B203"/>
    <mergeCell ref="C202:C203"/>
    <mergeCell ref="B194:B199"/>
    <mergeCell ref="C194:C199"/>
    <mergeCell ref="B200:B201"/>
    <mergeCell ref="C200:C201"/>
    <mergeCell ref="C94:C103"/>
    <mergeCell ref="B104:B105"/>
    <mergeCell ref="C104:C105"/>
    <mergeCell ref="B106:B110"/>
    <mergeCell ref="C106:C110"/>
    <mergeCell ref="B111:B113"/>
    <mergeCell ref="C111:C113"/>
    <mergeCell ref="B94:B103"/>
    <mergeCell ref="A94:A134"/>
    <mergeCell ref="B114:B118"/>
    <mergeCell ref="C114:C118"/>
    <mergeCell ref="B119:B120"/>
    <mergeCell ref="C119:C120"/>
    <mergeCell ref="B122:B125"/>
    <mergeCell ref="C122:C125"/>
    <mergeCell ref="B128:B130"/>
    <mergeCell ref="C128:C130"/>
    <mergeCell ref="B131:B132"/>
    <mergeCell ref="C131:C132"/>
    <mergeCell ref="B134:D134"/>
    <mergeCell ref="B79:B85"/>
    <mergeCell ref="C79:C85"/>
    <mergeCell ref="B75:B78"/>
    <mergeCell ref="B57:B66"/>
    <mergeCell ref="C57:C66"/>
    <mergeCell ref="A69:A93"/>
    <mergeCell ref="B70:B74"/>
    <mergeCell ref="C70:C74"/>
    <mergeCell ref="C75:C78"/>
    <mergeCell ref="B86:B89"/>
    <mergeCell ref="C86:C89"/>
    <mergeCell ref="B93:D93"/>
    <mergeCell ref="B47:B56"/>
    <mergeCell ref="C47:C56"/>
    <mergeCell ref="C6:C23"/>
    <mergeCell ref="B24:B25"/>
    <mergeCell ref="C24:C25"/>
    <mergeCell ref="Q4:Q5"/>
    <mergeCell ref="R4:R5"/>
    <mergeCell ref="S4:S5"/>
    <mergeCell ref="A1:E1"/>
    <mergeCell ref="A4:A5"/>
    <mergeCell ref="C4:C5"/>
    <mergeCell ref="D4:D5"/>
    <mergeCell ref="E4:E5"/>
    <mergeCell ref="F4:F5"/>
    <mergeCell ref="A6:A68"/>
    <mergeCell ref="B68:D68"/>
    <mergeCell ref="B4:B5"/>
    <mergeCell ref="B6:B23"/>
    <mergeCell ref="B26:B36"/>
    <mergeCell ref="C26:C36"/>
    <mergeCell ref="B37:B39"/>
    <mergeCell ref="C37:C39"/>
    <mergeCell ref="B40:B46"/>
    <mergeCell ref="U4:U5"/>
    <mergeCell ref="G4:H4"/>
    <mergeCell ref="I4:I5"/>
    <mergeCell ref="J4:L4"/>
    <mergeCell ref="M4:M5"/>
    <mergeCell ref="N4:N5"/>
    <mergeCell ref="O4:O5"/>
    <mergeCell ref="P4:P5"/>
    <mergeCell ref="C40:C46"/>
  </mergeCell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dimension ref="A1:Z1000"/>
  <sheetViews>
    <sheetView workbookViewId="0">
      <pane xSplit="3" ySplit="5" topLeftCell="D168" activePane="bottomRight" state="frozen"/>
      <selection pane="topRight" activeCell="D1" sqref="D1"/>
      <selection pane="bottomLeft" activeCell="A6" sqref="A6"/>
      <selection pane="bottomRight" activeCell="H176" sqref="H176"/>
    </sheetView>
  </sheetViews>
  <sheetFormatPr defaultColWidth="14.42578125" defaultRowHeight="15" customHeight="1"/>
  <cols>
    <col min="1" max="1" width="6.7109375" style="3" customWidth="1"/>
    <col min="2" max="2" width="7.28515625" style="3" customWidth="1"/>
    <col min="3" max="3" width="11.28515625" style="3" customWidth="1"/>
    <col min="4" max="4" width="5.85546875" style="3" customWidth="1"/>
    <col min="5" max="5" width="35.85546875" style="3" customWidth="1"/>
    <col min="6" max="6" width="7.42578125" style="3" customWidth="1"/>
    <col min="7" max="7" width="10.7109375" style="3" customWidth="1"/>
    <col min="8" max="8" width="8.28515625" style="3" customWidth="1"/>
    <col min="9" max="9" width="10.5703125" style="3" customWidth="1"/>
    <col min="10" max="10" width="11.85546875" style="3" customWidth="1"/>
    <col min="11" max="11" width="9.28515625" style="3" customWidth="1"/>
    <col min="12" max="12" width="6.7109375" style="3" customWidth="1"/>
    <col min="13" max="13" width="9" style="3" customWidth="1"/>
    <col min="14" max="14" width="9.7109375" style="3" customWidth="1"/>
    <col min="15" max="15" width="8.7109375" style="3" customWidth="1"/>
    <col min="16" max="16" width="10" style="3" customWidth="1"/>
    <col min="17" max="17" width="8.28515625" style="3" customWidth="1"/>
    <col min="18" max="18" width="9.5703125" style="3" customWidth="1"/>
    <col min="19" max="19" width="10.42578125" style="3" customWidth="1"/>
    <col min="20" max="20" width="15.7109375" style="3" customWidth="1"/>
    <col min="21" max="21" width="46.7109375" style="21" customWidth="1"/>
    <col min="22" max="16384" width="14.42578125" style="3"/>
  </cols>
  <sheetData>
    <row r="1" spans="1:26" ht="24.75" customHeight="1">
      <c r="A1" s="172" t="s">
        <v>418</v>
      </c>
      <c r="B1" s="173"/>
      <c r="C1" s="173"/>
      <c r="D1" s="173"/>
      <c r="E1" s="174"/>
      <c r="F1" s="1"/>
      <c r="G1" s="1"/>
      <c r="H1" s="1"/>
      <c r="I1" s="1"/>
      <c r="J1" s="1"/>
      <c r="K1" s="1"/>
      <c r="L1" s="1"/>
      <c r="M1" s="1"/>
      <c r="N1" s="1"/>
      <c r="O1" s="1"/>
      <c r="P1" s="1"/>
      <c r="Q1" s="1"/>
      <c r="R1" s="1"/>
      <c r="S1" s="1"/>
      <c r="T1" s="1"/>
      <c r="U1" s="2"/>
      <c r="V1" s="1"/>
      <c r="W1" s="1"/>
      <c r="X1" s="1"/>
      <c r="Y1" s="1"/>
      <c r="Z1" s="1"/>
    </row>
    <row r="2" spans="1:26" ht="24.75" hidden="1" customHeight="1">
      <c r="A2" s="1"/>
      <c r="B2" s="1"/>
      <c r="C2" s="1"/>
      <c r="D2" s="1"/>
      <c r="E2" s="1"/>
      <c r="F2" s="1"/>
      <c r="G2" s="1"/>
      <c r="H2" s="1"/>
      <c r="I2" s="1"/>
      <c r="J2" s="1"/>
      <c r="K2" s="1"/>
      <c r="L2" s="1"/>
      <c r="M2" s="1"/>
      <c r="N2" s="1"/>
      <c r="O2" s="1"/>
      <c r="P2" s="1"/>
      <c r="Q2" s="1"/>
      <c r="R2" s="1"/>
      <c r="S2" s="1"/>
      <c r="T2" s="1"/>
      <c r="U2" s="2"/>
      <c r="V2" s="1"/>
      <c r="W2" s="1"/>
      <c r="X2" s="1"/>
      <c r="Y2" s="1"/>
      <c r="Z2" s="1"/>
    </row>
    <row r="3" spans="1:26" ht="24.75" hidden="1" customHeight="1">
      <c r="A3" s="1"/>
      <c r="B3" s="4"/>
      <c r="C3" s="4"/>
      <c r="D3" s="4"/>
      <c r="E3" s="4"/>
      <c r="F3" s="4"/>
      <c r="G3" s="4"/>
      <c r="H3" s="4"/>
      <c r="I3" s="4"/>
      <c r="J3" s="4"/>
      <c r="K3" s="4"/>
      <c r="L3" s="4"/>
      <c r="M3" s="4"/>
      <c r="N3" s="4"/>
      <c r="O3" s="4"/>
      <c r="P3" s="4"/>
      <c r="Q3" s="4"/>
      <c r="R3" s="4"/>
      <c r="S3" s="4"/>
      <c r="T3" s="4"/>
      <c r="U3" s="60" t="s">
        <v>1</v>
      </c>
      <c r="V3" s="1"/>
      <c r="W3" s="1"/>
      <c r="X3" s="1"/>
      <c r="Y3" s="1"/>
      <c r="Z3" s="1"/>
    </row>
    <row r="4" spans="1:26" ht="24.75" customHeight="1">
      <c r="A4" s="168" t="s">
        <v>2</v>
      </c>
      <c r="B4" s="168" t="s">
        <v>3</v>
      </c>
      <c r="C4" s="168" t="s">
        <v>4</v>
      </c>
      <c r="D4" s="168" t="s">
        <v>5</v>
      </c>
      <c r="E4" s="168" t="s">
        <v>6</v>
      </c>
      <c r="F4" s="168" t="s">
        <v>7</v>
      </c>
      <c r="G4" s="166" t="s">
        <v>8</v>
      </c>
      <c r="H4" s="167"/>
      <c r="I4" s="168" t="s">
        <v>9</v>
      </c>
      <c r="J4" s="166" t="s">
        <v>10</v>
      </c>
      <c r="K4" s="170"/>
      <c r="L4" s="167"/>
      <c r="M4" s="168" t="s">
        <v>570</v>
      </c>
      <c r="N4" s="168" t="s">
        <v>11</v>
      </c>
      <c r="O4" s="168" t="s">
        <v>12</v>
      </c>
      <c r="P4" s="168" t="s">
        <v>380</v>
      </c>
      <c r="Q4" s="168" t="s">
        <v>14</v>
      </c>
      <c r="R4" s="168" t="s">
        <v>15</v>
      </c>
      <c r="S4" s="168" t="s">
        <v>16</v>
      </c>
      <c r="T4" s="5" t="s">
        <v>597</v>
      </c>
      <c r="U4" s="164" t="s">
        <v>17</v>
      </c>
      <c r="V4" s="1"/>
      <c r="W4" s="1"/>
      <c r="X4" s="1"/>
      <c r="Y4" s="1"/>
      <c r="Z4" s="1"/>
    </row>
    <row r="5" spans="1:26" ht="24.75" customHeight="1">
      <c r="A5" s="169"/>
      <c r="B5" s="169"/>
      <c r="C5" s="169"/>
      <c r="D5" s="169"/>
      <c r="E5" s="169"/>
      <c r="F5" s="169"/>
      <c r="G5" s="5" t="s">
        <v>18</v>
      </c>
      <c r="H5" s="5" t="s">
        <v>19</v>
      </c>
      <c r="I5" s="169"/>
      <c r="J5" s="5" t="s">
        <v>571</v>
      </c>
      <c r="K5" s="5" t="s">
        <v>20</v>
      </c>
      <c r="L5" s="5" t="s">
        <v>21</v>
      </c>
      <c r="M5" s="169"/>
      <c r="N5" s="169"/>
      <c r="O5" s="169"/>
      <c r="P5" s="169"/>
      <c r="Q5" s="169"/>
      <c r="R5" s="169"/>
      <c r="S5" s="169"/>
      <c r="T5" s="5" t="s">
        <v>22</v>
      </c>
      <c r="U5" s="169"/>
      <c r="V5" s="1"/>
      <c r="W5" s="1"/>
      <c r="X5" s="1"/>
      <c r="Y5" s="1"/>
      <c r="Z5" s="1"/>
    </row>
    <row r="6" spans="1:26" ht="24.75" customHeight="1">
      <c r="A6" s="175" t="s">
        <v>23</v>
      </c>
      <c r="B6" s="168" t="s">
        <v>24</v>
      </c>
      <c r="C6" s="168" t="s">
        <v>25</v>
      </c>
      <c r="D6" s="5">
        <v>1</v>
      </c>
      <c r="E6" s="5" t="s">
        <v>26</v>
      </c>
      <c r="F6" s="5"/>
      <c r="G6" s="5"/>
      <c r="H6" s="5"/>
      <c r="I6" s="5"/>
      <c r="J6" s="5"/>
      <c r="K6" s="5"/>
      <c r="L6" s="5"/>
      <c r="M6" s="5"/>
      <c r="N6" s="5"/>
      <c r="O6" s="5"/>
      <c r="P6" s="5"/>
      <c r="Q6" s="5"/>
      <c r="R6" s="5"/>
      <c r="S6" s="5"/>
      <c r="T6" s="6">
        <f t="shared" ref="T6:T69" si="0">SUM(F6:S6)</f>
        <v>0</v>
      </c>
      <c r="U6" s="9"/>
      <c r="V6" s="1"/>
      <c r="W6" s="1"/>
      <c r="X6" s="1"/>
      <c r="Y6" s="1"/>
      <c r="Z6" s="1"/>
    </row>
    <row r="7" spans="1:26" ht="24.75" customHeight="1">
      <c r="A7" s="171"/>
      <c r="B7" s="171"/>
      <c r="C7" s="171"/>
      <c r="D7" s="5">
        <v>2</v>
      </c>
      <c r="E7" s="5" t="s">
        <v>27</v>
      </c>
      <c r="F7" s="5"/>
      <c r="G7" s="5"/>
      <c r="H7" s="5"/>
      <c r="I7" s="5"/>
      <c r="J7" s="5"/>
      <c r="K7" s="6">
        <v>112.14</v>
      </c>
      <c r="L7" s="5"/>
      <c r="M7" s="5"/>
      <c r="N7" s="5"/>
      <c r="O7" s="5"/>
      <c r="P7" s="8">
        <v>1.75</v>
      </c>
      <c r="Q7" s="5"/>
      <c r="R7" s="5"/>
      <c r="S7" s="5"/>
      <c r="T7" s="6">
        <f t="shared" si="0"/>
        <v>113.89</v>
      </c>
      <c r="U7" s="9" t="s">
        <v>28</v>
      </c>
      <c r="V7" s="1"/>
      <c r="W7" s="1"/>
      <c r="X7" s="1"/>
      <c r="Y7" s="1"/>
      <c r="Z7" s="1"/>
    </row>
    <row r="8" spans="1:26" ht="24.75" customHeight="1">
      <c r="A8" s="171"/>
      <c r="B8" s="171"/>
      <c r="C8" s="171"/>
      <c r="D8" s="5">
        <v>3</v>
      </c>
      <c r="E8" s="5" t="s">
        <v>29</v>
      </c>
      <c r="F8" s="8">
        <v>76.12</v>
      </c>
      <c r="G8" s="5"/>
      <c r="H8" s="5"/>
      <c r="I8" s="5"/>
      <c r="J8" s="5"/>
      <c r="K8" s="5"/>
      <c r="L8" s="5"/>
      <c r="M8" s="5"/>
      <c r="N8" s="5"/>
      <c r="O8" s="8">
        <v>60.84</v>
      </c>
      <c r="P8" s="5"/>
      <c r="Q8" s="5"/>
      <c r="R8" s="8">
        <v>3.5</v>
      </c>
      <c r="S8" s="5"/>
      <c r="T8" s="6">
        <f t="shared" si="0"/>
        <v>140.46</v>
      </c>
      <c r="U8" s="9" t="s">
        <v>30</v>
      </c>
      <c r="V8" s="1"/>
      <c r="W8" s="1"/>
      <c r="X8" s="1"/>
      <c r="Y8" s="1"/>
      <c r="Z8" s="1"/>
    </row>
    <row r="9" spans="1:26" ht="24.75" customHeight="1">
      <c r="A9" s="171"/>
      <c r="B9" s="171"/>
      <c r="C9" s="171"/>
      <c r="D9" s="5">
        <v>4</v>
      </c>
      <c r="E9" s="5" t="s">
        <v>31</v>
      </c>
      <c r="F9" s="5"/>
      <c r="G9" s="5"/>
      <c r="H9" s="5"/>
      <c r="I9" s="5"/>
      <c r="J9" s="5"/>
      <c r="K9" s="5"/>
      <c r="L9" s="5"/>
      <c r="M9" s="6">
        <v>38.229999999999997</v>
      </c>
      <c r="N9" s="5"/>
      <c r="O9" s="5"/>
      <c r="P9" s="8">
        <f>57.98+1.91</f>
        <v>59.889999999999993</v>
      </c>
      <c r="Q9" s="5"/>
      <c r="R9" s="5"/>
      <c r="S9" s="5"/>
      <c r="T9" s="6">
        <f t="shared" si="0"/>
        <v>98.11999999999999</v>
      </c>
      <c r="U9" s="9" t="s">
        <v>32</v>
      </c>
      <c r="V9" s="1"/>
      <c r="W9" s="1"/>
      <c r="X9" s="1"/>
      <c r="Y9" s="1"/>
      <c r="Z9" s="1"/>
    </row>
    <row r="10" spans="1:26" ht="24.75" customHeight="1">
      <c r="A10" s="171"/>
      <c r="B10" s="171"/>
      <c r="C10" s="171"/>
      <c r="D10" s="5">
        <v>5</v>
      </c>
      <c r="E10" s="5" t="s">
        <v>33</v>
      </c>
      <c r="F10" s="5"/>
      <c r="G10" s="5"/>
      <c r="H10" s="5"/>
      <c r="I10" s="5"/>
      <c r="J10" s="5"/>
      <c r="K10" s="5"/>
      <c r="L10" s="5"/>
      <c r="M10" s="5"/>
      <c r="N10" s="5"/>
      <c r="O10" s="5"/>
      <c r="P10" s="6">
        <v>63.72</v>
      </c>
      <c r="Q10" s="5"/>
      <c r="R10" s="5"/>
      <c r="S10" s="5"/>
      <c r="T10" s="6">
        <f t="shared" si="0"/>
        <v>63.72</v>
      </c>
      <c r="U10" s="9" t="s">
        <v>34</v>
      </c>
      <c r="V10" s="1"/>
      <c r="W10" s="1"/>
      <c r="X10" s="1"/>
      <c r="Y10" s="1"/>
      <c r="Z10" s="1"/>
    </row>
    <row r="11" spans="1:26" ht="24.75" customHeight="1">
      <c r="A11" s="171"/>
      <c r="B11" s="171"/>
      <c r="C11" s="171"/>
      <c r="D11" s="5">
        <v>6</v>
      </c>
      <c r="E11" s="5" t="s">
        <v>35</v>
      </c>
      <c r="F11" s="5"/>
      <c r="G11" s="5"/>
      <c r="H11" s="5"/>
      <c r="I11" s="5"/>
      <c r="J11" s="5"/>
      <c r="K11" s="5"/>
      <c r="L11" s="5"/>
      <c r="M11" s="5"/>
      <c r="N11" s="8"/>
      <c r="O11" s="5"/>
      <c r="P11" s="8">
        <v>1.8</v>
      </c>
      <c r="Q11" s="5"/>
      <c r="R11" s="5"/>
      <c r="S11" s="5"/>
      <c r="T11" s="6">
        <f t="shared" si="0"/>
        <v>1.8</v>
      </c>
      <c r="U11" s="9" t="s">
        <v>36</v>
      </c>
      <c r="V11" s="1"/>
      <c r="W11" s="1"/>
      <c r="X11" s="1"/>
      <c r="Y11" s="1"/>
      <c r="Z11" s="1"/>
    </row>
    <row r="12" spans="1:26" ht="24.75" customHeight="1">
      <c r="A12" s="171"/>
      <c r="B12" s="171"/>
      <c r="C12" s="171"/>
      <c r="D12" s="5">
        <v>7</v>
      </c>
      <c r="E12" s="5" t="s">
        <v>37</v>
      </c>
      <c r="F12" s="5"/>
      <c r="G12" s="5"/>
      <c r="H12" s="5"/>
      <c r="I12" s="5"/>
      <c r="J12" s="5"/>
      <c r="K12" s="5"/>
      <c r="L12" s="5"/>
      <c r="M12" s="5"/>
      <c r="N12" s="5"/>
      <c r="O12" s="5"/>
      <c r="P12" s="8">
        <v>0.06</v>
      </c>
      <c r="Q12" s="8"/>
      <c r="R12" s="5"/>
      <c r="S12" s="5"/>
      <c r="T12" s="6">
        <f t="shared" si="0"/>
        <v>0.06</v>
      </c>
      <c r="U12" s="9" t="s">
        <v>38</v>
      </c>
      <c r="V12" s="1"/>
      <c r="W12" s="1"/>
      <c r="X12" s="1"/>
      <c r="Y12" s="1"/>
      <c r="Z12" s="1"/>
    </row>
    <row r="13" spans="1:26" ht="24.75" customHeight="1">
      <c r="A13" s="171"/>
      <c r="B13" s="171"/>
      <c r="C13" s="171"/>
      <c r="D13" s="5">
        <v>8</v>
      </c>
      <c r="E13" s="5" t="s">
        <v>39</v>
      </c>
      <c r="F13" s="5"/>
      <c r="G13" s="5"/>
      <c r="H13" s="5"/>
      <c r="I13" s="5"/>
      <c r="J13" s="5"/>
      <c r="K13" s="5"/>
      <c r="L13" s="5"/>
      <c r="M13" s="5"/>
      <c r="N13" s="6"/>
      <c r="O13" s="5"/>
      <c r="P13" s="5"/>
      <c r="Q13" s="5"/>
      <c r="R13" s="5"/>
      <c r="S13" s="5"/>
      <c r="T13" s="6">
        <f t="shared" si="0"/>
        <v>0</v>
      </c>
      <c r="U13" s="9"/>
      <c r="V13" s="1"/>
      <c r="W13" s="1"/>
      <c r="X13" s="1"/>
      <c r="Y13" s="1"/>
      <c r="Z13" s="1"/>
    </row>
    <row r="14" spans="1:26" ht="24.75" customHeight="1">
      <c r="A14" s="171"/>
      <c r="B14" s="171"/>
      <c r="C14" s="171"/>
      <c r="D14" s="5">
        <v>9</v>
      </c>
      <c r="E14" s="5" t="s">
        <v>40</v>
      </c>
      <c r="F14" s="5"/>
      <c r="G14" s="5"/>
      <c r="H14" s="5"/>
      <c r="I14" s="5"/>
      <c r="J14" s="5"/>
      <c r="K14" s="5"/>
      <c r="L14" s="5"/>
      <c r="M14" s="5"/>
      <c r="N14" s="6">
        <v>0.18</v>
      </c>
      <c r="O14" s="5"/>
      <c r="P14" s="5"/>
      <c r="Q14" s="8"/>
      <c r="R14" s="5"/>
      <c r="S14" s="8">
        <v>0.45</v>
      </c>
      <c r="T14" s="6">
        <f t="shared" si="0"/>
        <v>0.63</v>
      </c>
      <c r="U14" s="9" t="s">
        <v>41</v>
      </c>
      <c r="V14" s="1"/>
      <c r="W14" s="1"/>
      <c r="X14" s="1"/>
      <c r="Y14" s="1"/>
      <c r="Z14" s="1"/>
    </row>
    <row r="15" spans="1:26" ht="24.75" customHeight="1">
      <c r="A15" s="171"/>
      <c r="B15" s="171"/>
      <c r="C15" s="171"/>
      <c r="D15" s="5">
        <v>10</v>
      </c>
      <c r="E15" s="5" t="s">
        <v>42</v>
      </c>
      <c r="F15" s="5"/>
      <c r="G15" s="5"/>
      <c r="H15" s="5"/>
      <c r="I15" s="6"/>
      <c r="J15" s="5"/>
      <c r="K15" s="5"/>
      <c r="L15" s="5"/>
      <c r="M15" s="5"/>
      <c r="N15" s="6">
        <v>0.45750000000000002</v>
      </c>
      <c r="O15" s="5"/>
      <c r="P15" s="5"/>
      <c r="Q15" s="5"/>
      <c r="R15" s="5"/>
      <c r="S15" s="5"/>
      <c r="T15" s="6">
        <f t="shared" si="0"/>
        <v>0.45750000000000002</v>
      </c>
      <c r="U15" s="10" t="s">
        <v>43</v>
      </c>
      <c r="V15" s="1"/>
      <c r="W15" s="1"/>
      <c r="X15" s="1"/>
      <c r="Y15" s="1"/>
      <c r="Z15" s="1"/>
    </row>
    <row r="16" spans="1:26" ht="24.75" customHeight="1">
      <c r="A16" s="171"/>
      <c r="B16" s="171"/>
      <c r="C16" s="171"/>
      <c r="D16" s="5">
        <v>11</v>
      </c>
      <c r="E16" s="5" t="s">
        <v>44</v>
      </c>
      <c r="F16" s="5"/>
      <c r="G16" s="8"/>
      <c r="H16" s="8"/>
      <c r="I16" s="5"/>
      <c r="J16" s="5"/>
      <c r="K16" s="5"/>
      <c r="L16" s="5"/>
      <c r="M16" s="5"/>
      <c r="N16" s="5"/>
      <c r="O16" s="5"/>
      <c r="P16" s="5"/>
      <c r="Q16" s="5"/>
      <c r="R16" s="5"/>
      <c r="S16" s="5"/>
      <c r="T16" s="6">
        <f t="shared" si="0"/>
        <v>0</v>
      </c>
      <c r="U16" s="9"/>
      <c r="V16" s="1"/>
      <c r="W16" s="1"/>
      <c r="X16" s="1"/>
      <c r="Y16" s="1"/>
      <c r="Z16" s="1"/>
    </row>
    <row r="17" spans="1:26" ht="24.75" customHeight="1">
      <c r="A17" s="171"/>
      <c r="B17" s="171"/>
      <c r="C17" s="171"/>
      <c r="D17" s="5">
        <v>12</v>
      </c>
      <c r="E17" s="5" t="s">
        <v>45</v>
      </c>
      <c r="F17" s="5"/>
      <c r="G17" s="5"/>
      <c r="H17" s="5"/>
      <c r="I17" s="5"/>
      <c r="J17" s="5"/>
      <c r="K17" s="5"/>
      <c r="L17" s="5"/>
      <c r="M17" s="5"/>
      <c r="N17" s="6">
        <v>3.4950000000000001</v>
      </c>
      <c r="O17" s="5"/>
      <c r="P17" s="5"/>
      <c r="Q17" s="5"/>
      <c r="R17" s="5"/>
      <c r="S17" s="5"/>
      <c r="T17" s="6">
        <f t="shared" si="0"/>
        <v>3.4950000000000001</v>
      </c>
      <c r="U17" s="9" t="s">
        <v>46</v>
      </c>
      <c r="V17" s="1"/>
      <c r="W17" s="1"/>
      <c r="X17" s="1"/>
      <c r="Y17" s="1"/>
      <c r="Z17" s="1"/>
    </row>
    <row r="18" spans="1:26" ht="24.75" customHeight="1">
      <c r="A18" s="171"/>
      <c r="B18" s="171"/>
      <c r="C18" s="171"/>
      <c r="D18" s="5">
        <v>13</v>
      </c>
      <c r="E18" s="5" t="s">
        <v>47</v>
      </c>
      <c r="F18" s="5"/>
      <c r="G18" s="5"/>
      <c r="H18" s="5"/>
      <c r="I18" s="5"/>
      <c r="J18" s="5"/>
      <c r="K18" s="5"/>
      <c r="L18" s="5"/>
      <c r="M18" s="5"/>
      <c r="N18" s="5"/>
      <c r="O18" s="5"/>
      <c r="P18" s="8"/>
      <c r="Q18" s="5"/>
      <c r="R18" s="5"/>
      <c r="S18" s="5"/>
      <c r="T18" s="6">
        <f t="shared" si="0"/>
        <v>0</v>
      </c>
      <c r="U18" s="9"/>
      <c r="V18" s="1"/>
      <c r="W18" s="1"/>
      <c r="X18" s="1"/>
      <c r="Y18" s="1"/>
      <c r="Z18" s="1"/>
    </row>
    <row r="19" spans="1:26" ht="24.75" customHeight="1">
      <c r="A19" s="171"/>
      <c r="B19" s="171"/>
      <c r="C19" s="171"/>
      <c r="D19" s="5">
        <v>14</v>
      </c>
      <c r="E19" s="5" t="s">
        <v>48</v>
      </c>
      <c r="F19" s="5"/>
      <c r="G19" s="5"/>
      <c r="H19" s="5"/>
      <c r="I19" s="5"/>
      <c r="J19" s="5"/>
      <c r="K19" s="5"/>
      <c r="L19" s="5"/>
      <c r="M19" s="5"/>
      <c r="N19" s="5"/>
      <c r="O19" s="5"/>
      <c r="P19" s="5"/>
      <c r="Q19" s="5"/>
      <c r="R19" s="5"/>
      <c r="S19" s="5"/>
      <c r="T19" s="6">
        <f t="shared" si="0"/>
        <v>0</v>
      </c>
      <c r="U19" s="9"/>
      <c r="V19" s="1"/>
      <c r="W19" s="1"/>
      <c r="X19" s="1"/>
      <c r="Y19" s="1"/>
      <c r="Z19" s="1"/>
    </row>
    <row r="20" spans="1:26" ht="24.75" customHeight="1">
      <c r="A20" s="171"/>
      <c r="B20" s="171"/>
      <c r="C20" s="171"/>
      <c r="D20" s="5">
        <v>15</v>
      </c>
      <c r="E20" s="5" t="s">
        <v>49</v>
      </c>
      <c r="F20" s="5"/>
      <c r="G20" s="5"/>
      <c r="H20" s="5"/>
      <c r="I20" s="8">
        <v>8</v>
      </c>
      <c r="J20" s="5"/>
      <c r="K20" s="5"/>
      <c r="L20" s="5"/>
      <c r="M20" s="5"/>
      <c r="N20" s="6">
        <v>0.74785000000000001</v>
      </c>
      <c r="O20" s="5"/>
      <c r="P20" s="8"/>
      <c r="Q20" s="8"/>
      <c r="R20" s="5"/>
      <c r="S20" s="5"/>
      <c r="T20" s="6">
        <f t="shared" si="0"/>
        <v>8.7478499999999997</v>
      </c>
      <c r="U20" s="9" t="s">
        <v>50</v>
      </c>
      <c r="V20" s="1"/>
      <c r="W20" s="1"/>
      <c r="X20" s="1"/>
      <c r="Y20" s="1"/>
      <c r="Z20" s="1"/>
    </row>
    <row r="21" spans="1:26" ht="24.75" customHeight="1">
      <c r="A21" s="171"/>
      <c r="B21" s="171"/>
      <c r="C21" s="171"/>
      <c r="D21" s="5">
        <v>16</v>
      </c>
      <c r="E21" s="5" t="s">
        <v>51</v>
      </c>
      <c r="F21" s="5"/>
      <c r="G21" s="5"/>
      <c r="H21" s="5"/>
      <c r="I21" s="5"/>
      <c r="J21" s="5"/>
      <c r="K21" s="5"/>
      <c r="L21" s="5"/>
      <c r="M21" s="5"/>
      <c r="N21" s="5"/>
      <c r="O21" s="5"/>
      <c r="P21" s="5"/>
      <c r="Q21" s="5"/>
      <c r="R21" s="5"/>
      <c r="S21" s="5"/>
      <c r="T21" s="6">
        <f t="shared" si="0"/>
        <v>0</v>
      </c>
      <c r="U21" s="9"/>
      <c r="V21" s="1"/>
      <c r="W21" s="1"/>
      <c r="X21" s="1"/>
      <c r="Y21" s="1"/>
      <c r="Z21" s="1"/>
    </row>
    <row r="22" spans="1:26" ht="24.75" customHeight="1">
      <c r="A22" s="171"/>
      <c r="B22" s="171"/>
      <c r="C22" s="171"/>
      <c r="D22" s="5">
        <v>17</v>
      </c>
      <c r="E22" s="5" t="s">
        <v>52</v>
      </c>
      <c r="F22" s="5"/>
      <c r="G22" s="5"/>
      <c r="H22" s="5"/>
      <c r="I22" s="6"/>
      <c r="J22" s="5"/>
      <c r="K22" s="5"/>
      <c r="L22" s="5"/>
      <c r="M22" s="5"/>
      <c r="N22" s="6">
        <v>1.179</v>
      </c>
      <c r="O22" s="5"/>
      <c r="P22" s="8">
        <v>0.75</v>
      </c>
      <c r="Q22" s="6">
        <v>8.58</v>
      </c>
      <c r="R22" s="5"/>
      <c r="S22" s="8"/>
      <c r="T22" s="6">
        <f t="shared" si="0"/>
        <v>10.509</v>
      </c>
      <c r="U22" s="9" t="s">
        <v>436</v>
      </c>
      <c r="V22" s="1"/>
      <c r="W22" s="1"/>
      <c r="X22" s="1"/>
      <c r="Y22" s="1"/>
      <c r="Z22" s="1"/>
    </row>
    <row r="23" spans="1:26" ht="24.75" customHeight="1">
      <c r="A23" s="171"/>
      <c r="B23" s="169"/>
      <c r="C23" s="169"/>
      <c r="D23" s="5">
        <v>18</v>
      </c>
      <c r="E23" s="5" t="s">
        <v>54</v>
      </c>
      <c r="F23" s="5"/>
      <c r="G23" s="5"/>
      <c r="H23" s="5"/>
      <c r="I23" s="5"/>
      <c r="J23" s="5"/>
      <c r="K23" s="5"/>
      <c r="L23" s="5"/>
      <c r="M23" s="5"/>
      <c r="N23" s="5"/>
      <c r="O23" s="5"/>
      <c r="P23" s="8">
        <f>1.46+0.15</f>
        <v>1.6099999999999999</v>
      </c>
      <c r="Q23" s="8"/>
      <c r="R23" s="5"/>
      <c r="S23" s="8"/>
      <c r="T23" s="6">
        <f t="shared" si="0"/>
        <v>1.6099999999999999</v>
      </c>
      <c r="U23" s="9" t="s">
        <v>55</v>
      </c>
      <c r="V23" s="1"/>
      <c r="W23" s="1"/>
      <c r="X23" s="1"/>
      <c r="Y23" s="1"/>
      <c r="Z23" s="1"/>
    </row>
    <row r="24" spans="1:26" ht="24.75" customHeight="1">
      <c r="A24" s="171"/>
      <c r="B24" s="168" t="s">
        <v>56</v>
      </c>
      <c r="C24" s="168" t="s">
        <v>57</v>
      </c>
      <c r="D24" s="5">
        <v>19</v>
      </c>
      <c r="E24" s="5" t="s">
        <v>57</v>
      </c>
      <c r="F24" s="5"/>
      <c r="G24" s="5"/>
      <c r="H24" s="5"/>
      <c r="I24" s="5"/>
      <c r="J24" s="5"/>
      <c r="K24" s="5"/>
      <c r="L24" s="5"/>
      <c r="M24" s="5"/>
      <c r="N24" s="5"/>
      <c r="O24" s="5"/>
      <c r="P24" s="5"/>
      <c r="Q24" s="5"/>
      <c r="R24" s="5"/>
      <c r="S24" s="5"/>
      <c r="T24" s="6">
        <f t="shared" si="0"/>
        <v>0</v>
      </c>
      <c r="U24" s="9"/>
      <c r="V24" s="1"/>
      <c r="W24" s="1"/>
      <c r="X24" s="1"/>
      <c r="Y24" s="1"/>
      <c r="Z24" s="1"/>
    </row>
    <row r="25" spans="1:26" ht="24.75" customHeight="1">
      <c r="A25" s="171"/>
      <c r="B25" s="169"/>
      <c r="C25" s="169"/>
      <c r="D25" s="5">
        <v>20</v>
      </c>
      <c r="E25" s="5" t="s">
        <v>58</v>
      </c>
      <c r="F25" s="5"/>
      <c r="G25" s="5"/>
      <c r="H25" s="5"/>
      <c r="I25" s="5"/>
      <c r="J25" s="5"/>
      <c r="K25" s="5"/>
      <c r="L25" s="5"/>
      <c r="M25" s="5"/>
      <c r="N25" s="5"/>
      <c r="O25" s="5"/>
      <c r="P25" s="5"/>
      <c r="Q25" s="6">
        <v>1.1000000000000001</v>
      </c>
      <c r="R25" s="5"/>
      <c r="S25" s="5"/>
      <c r="T25" s="6">
        <f t="shared" si="0"/>
        <v>1.1000000000000001</v>
      </c>
      <c r="U25" s="9" t="s">
        <v>359</v>
      </c>
      <c r="V25" s="1"/>
      <c r="W25" s="1"/>
      <c r="X25" s="1"/>
      <c r="Y25" s="1"/>
      <c r="Z25" s="1"/>
    </row>
    <row r="26" spans="1:26" ht="24.75" customHeight="1">
      <c r="A26" s="171"/>
      <c r="B26" s="168" t="s">
        <v>60</v>
      </c>
      <c r="C26" s="168" t="s">
        <v>61</v>
      </c>
      <c r="D26" s="5">
        <v>21</v>
      </c>
      <c r="E26" s="5" t="s">
        <v>62</v>
      </c>
      <c r="F26" s="123"/>
      <c r="G26" s="123"/>
      <c r="H26" s="124"/>
      <c r="I26" s="125">
        <v>3.36</v>
      </c>
      <c r="J26" s="123"/>
      <c r="K26" s="125"/>
      <c r="L26" s="123"/>
      <c r="M26" s="123"/>
      <c r="N26" s="125">
        <f>0.992+0.4565+0.5+1</f>
        <v>2.9485000000000001</v>
      </c>
      <c r="O26" s="123"/>
      <c r="P26" s="124">
        <f>23.04+3.636</f>
        <v>26.675999999999998</v>
      </c>
      <c r="Q26" s="124">
        <f>0.24</f>
        <v>0.24</v>
      </c>
      <c r="R26" s="125">
        <f>0.5+0.336</f>
        <v>0.83600000000000008</v>
      </c>
      <c r="S26" s="123"/>
      <c r="T26" s="125">
        <f t="shared" ref="T26:T36" si="1">SUM(F26:S26)</f>
        <v>34.060499999999998</v>
      </c>
      <c r="U26" s="9" t="s">
        <v>65</v>
      </c>
      <c r="V26" s="1"/>
      <c r="W26" s="1"/>
      <c r="X26" s="1"/>
      <c r="Y26" s="1"/>
      <c r="Z26" s="1"/>
    </row>
    <row r="27" spans="1:26" ht="24.75" customHeight="1">
      <c r="A27" s="171"/>
      <c r="B27" s="171"/>
      <c r="C27" s="171"/>
      <c r="D27" s="5">
        <v>22</v>
      </c>
      <c r="E27" s="5" t="s">
        <v>64</v>
      </c>
      <c r="F27" s="124"/>
      <c r="G27" s="123"/>
      <c r="H27" s="124"/>
      <c r="I27" s="125"/>
      <c r="J27" s="123"/>
      <c r="K27" s="123"/>
      <c r="L27" s="123"/>
      <c r="M27" s="124">
        <v>0.75</v>
      </c>
      <c r="N27" s="123"/>
      <c r="O27" s="123"/>
      <c r="P27" s="124">
        <v>201.2</v>
      </c>
      <c r="Q27" s="124"/>
      <c r="R27" s="125"/>
      <c r="S27" s="123"/>
      <c r="T27" s="125">
        <f t="shared" si="1"/>
        <v>201.95</v>
      </c>
      <c r="U27" s="9" t="s">
        <v>65</v>
      </c>
      <c r="V27" s="1"/>
      <c r="W27" s="1"/>
      <c r="X27" s="1"/>
      <c r="Y27" s="1"/>
      <c r="Z27" s="1"/>
    </row>
    <row r="28" spans="1:26" ht="24.75" customHeight="1">
      <c r="A28" s="171"/>
      <c r="B28" s="171"/>
      <c r="C28" s="171"/>
      <c r="D28" s="5">
        <v>23</v>
      </c>
      <c r="E28" s="5" t="s">
        <v>66</v>
      </c>
      <c r="F28" s="123"/>
      <c r="G28" s="123"/>
      <c r="H28" s="123"/>
      <c r="I28" s="123"/>
      <c r="J28" s="123"/>
      <c r="K28" s="125"/>
      <c r="L28" s="123"/>
      <c r="M28" s="123"/>
      <c r="N28" s="123"/>
      <c r="O28" s="124">
        <f>43.93575+4.8</f>
        <v>48.735749999999996</v>
      </c>
      <c r="P28" s="123"/>
      <c r="Q28" s="124"/>
      <c r="R28" s="123"/>
      <c r="S28" s="123"/>
      <c r="T28" s="125">
        <f t="shared" si="1"/>
        <v>48.735749999999996</v>
      </c>
      <c r="U28" s="9" t="s">
        <v>65</v>
      </c>
      <c r="V28" s="1"/>
      <c r="W28" s="1"/>
      <c r="X28" s="1"/>
      <c r="Y28" s="1"/>
      <c r="Z28" s="1"/>
    </row>
    <row r="29" spans="1:26" ht="24.75" customHeight="1">
      <c r="A29" s="171"/>
      <c r="B29" s="171"/>
      <c r="C29" s="171"/>
      <c r="D29" s="5">
        <v>24</v>
      </c>
      <c r="E29" s="5" t="s">
        <v>67</v>
      </c>
      <c r="F29" s="123"/>
      <c r="G29" s="123"/>
      <c r="H29" s="124"/>
      <c r="I29" s="123"/>
      <c r="J29" s="123"/>
      <c r="K29" s="123"/>
      <c r="L29" s="123"/>
      <c r="M29" s="123"/>
      <c r="N29" s="125">
        <f>1.72+1.72+1+1</f>
        <v>5.4399999999999995</v>
      </c>
      <c r="O29" s="124"/>
      <c r="P29" s="123">
        <f>2+10+0.8+7</f>
        <v>19.8</v>
      </c>
      <c r="Q29" s="125"/>
      <c r="R29" s="123"/>
      <c r="S29" s="123"/>
      <c r="T29" s="125">
        <f t="shared" si="1"/>
        <v>25.240000000000002</v>
      </c>
      <c r="U29" s="9" t="s">
        <v>423</v>
      </c>
      <c r="V29" s="1"/>
      <c r="W29" s="1"/>
      <c r="X29" s="1"/>
      <c r="Y29" s="1"/>
      <c r="Z29" s="1"/>
    </row>
    <row r="30" spans="1:26" ht="24.75" customHeight="1">
      <c r="A30" s="171"/>
      <c r="B30" s="171"/>
      <c r="C30" s="171"/>
      <c r="D30" s="5">
        <v>25</v>
      </c>
      <c r="E30" s="5" t="s">
        <v>69</v>
      </c>
      <c r="F30" s="123"/>
      <c r="G30" s="123"/>
      <c r="H30" s="123"/>
      <c r="I30" s="123"/>
      <c r="J30" s="123"/>
      <c r="K30" s="123"/>
      <c r="L30" s="123"/>
      <c r="M30" s="123"/>
      <c r="N30" s="125">
        <v>0.5</v>
      </c>
      <c r="O30" s="123"/>
      <c r="P30" s="123"/>
      <c r="Q30" s="123"/>
      <c r="R30" s="123"/>
      <c r="S30" s="123"/>
      <c r="T30" s="125">
        <f t="shared" si="1"/>
        <v>0.5</v>
      </c>
      <c r="U30" s="9" t="s">
        <v>65</v>
      </c>
      <c r="V30" s="1"/>
      <c r="W30" s="1"/>
      <c r="X30" s="1"/>
      <c r="Y30" s="1"/>
      <c r="Z30" s="1"/>
    </row>
    <row r="31" spans="1:26" ht="24.75" customHeight="1">
      <c r="A31" s="171"/>
      <c r="B31" s="171"/>
      <c r="C31" s="171"/>
      <c r="D31" s="5">
        <v>26</v>
      </c>
      <c r="E31" s="5" t="s">
        <v>70</v>
      </c>
      <c r="F31" s="123"/>
      <c r="G31" s="123"/>
      <c r="H31" s="123"/>
      <c r="I31" s="125"/>
      <c r="J31" s="123"/>
      <c r="K31" s="123"/>
      <c r="L31" s="123"/>
      <c r="M31" s="123"/>
      <c r="N31" s="125">
        <v>3.84</v>
      </c>
      <c r="O31" s="123"/>
      <c r="P31" s="123"/>
      <c r="Q31" s="125"/>
      <c r="R31" s="124"/>
      <c r="S31" s="123"/>
      <c r="T31" s="125">
        <f t="shared" si="1"/>
        <v>3.84</v>
      </c>
      <c r="U31" s="9" t="s">
        <v>360</v>
      </c>
      <c r="V31" s="1"/>
      <c r="W31" s="1"/>
      <c r="X31" s="1"/>
      <c r="Y31" s="1"/>
      <c r="Z31" s="1"/>
    </row>
    <row r="32" spans="1:26" ht="24.75" customHeight="1">
      <c r="A32" s="171"/>
      <c r="B32" s="171"/>
      <c r="C32" s="171"/>
      <c r="D32" s="5">
        <v>27</v>
      </c>
      <c r="E32" s="5" t="s">
        <v>72</v>
      </c>
      <c r="F32" s="123"/>
      <c r="G32" s="123"/>
      <c r="H32" s="124"/>
      <c r="I32" s="125"/>
      <c r="J32" s="123"/>
      <c r="K32" s="123"/>
      <c r="L32" s="123"/>
      <c r="M32" s="123"/>
      <c r="N32" s="125"/>
      <c r="O32" s="124"/>
      <c r="P32" s="124"/>
      <c r="Q32" s="123"/>
      <c r="R32" s="123"/>
      <c r="S32" s="123"/>
      <c r="T32" s="125">
        <f t="shared" si="1"/>
        <v>0</v>
      </c>
      <c r="U32" s="9"/>
      <c r="V32" s="1"/>
      <c r="W32" s="1"/>
      <c r="X32" s="1"/>
      <c r="Y32" s="1"/>
      <c r="Z32" s="1"/>
    </row>
    <row r="33" spans="1:26" ht="24.75" customHeight="1">
      <c r="A33" s="171"/>
      <c r="B33" s="171"/>
      <c r="C33" s="171"/>
      <c r="D33" s="5">
        <v>28</v>
      </c>
      <c r="E33" s="5" t="s">
        <v>31</v>
      </c>
      <c r="F33" s="123"/>
      <c r="G33" s="123"/>
      <c r="H33" s="123"/>
      <c r="I33" s="123"/>
      <c r="J33" s="123"/>
      <c r="K33" s="125">
        <v>3.8220000000000001</v>
      </c>
      <c r="L33" s="123"/>
      <c r="M33" s="125">
        <v>3.8220000000000001</v>
      </c>
      <c r="N33" s="123"/>
      <c r="O33" s="123"/>
      <c r="P33" s="123"/>
      <c r="Q33" s="123"/>
      <c r="R33" s="123"/>
      <c r="S33" s="123"/>
      <c r="T33" s="125">
        <f t="shared" si="1"/>
        <v>7.6440000000000001</v>
      </c>
      <c r="U33" s="9" t="s">
        <v>65</v>
      </c>
      <c r="V33" s="1"/>
      <c r="W33" s="1"/>
      <c r="X33" s="1"/>
      <c r="Y33" s="1"/>
      <c r="Z33" s="1"/>
    </row>
    <row r="34" spans="1:26" ht="24.75" customHeight="1">
      <c r="A34" s="171"/>
      <c r="B34" s="171"/>
      <c r="C34" s="171"/>
      <c r="D34" s="5">
        <v>29</v>
      </c>
      <c r="E34" s="5" t="s">
        <v>33</v>
      </c>
      <c r="F34" s="123"/>
      <c r="G34" s="123"/>
      <c r="H34" s="123"/>
      <c r="I34" s="123"/>
      <c r="J34" s="123"/>
      <c r="K34" s="123"/>
      <c r="L34" s="123"/>
      <c r="M34" s="123"/>
      <c r="N34" s="123"/>
      <c r="O34" s="123"/>
      <c r="P34" s="125">
        <v>9.5549999999999997</v>
      </c>
      <c r="Q34" s="123"/>
      <c r="R34" s="123"/>
      <c r="S34" s="123"/>
      <c r="T34" s="125">
        <f t="shared" si="1"/>
        <v>9.5549999999999997</v>
      </c>
      <c r="U34" s="9" t="s">
        <v>65</v>
      </c>
      <c r="V34" s="1"/>
      <c r="W34" s="1"/>
      <c r="X34" s="1"/>
      <c r="Y34" s="1"/>
      <c r="Z34" s="1"/>
    </row>
    <row r="35" spans="1:26" ht="24.75" customHeight="1">
      <c r="A35" s="171"/>
      <c r="B35" s="171"/>
      <c r="C35" s="171"/>
      <c r="D35" s="5">
        <v>30</v>
      </c>
      <c r="E35" s="5" t="s">
        <v>73</v>
      </c>
      <c r="F35" s="123"/>
      <c r="G35" s="123"/>
      <c r="H35" s="123"/>
      <c r="I35" s="125"/>
      <c r="J35" s="123"/>
      <c r="K35" s="123"/>
      <c r="L35" s="123"/>
      <c r="M35" s="123"/>
      <c r="N35" s="123"/>
      <c r="O35" s="123"/>
      <c r="P35" s="123"/>
      <c r="Q35" s="125">
        <v>7.43</v>
      </c>
      <c r="R35" s="124">
        <v>1.6359999999999999</v>
      </c>
      <c r="S35" s="123"/>
      <c r="T35" s="125">
        <f t="shared" si="1"/>
        <v>9.0659999999999989</v>
      </c>
      <c r="U35" s="9" t="s">
        <v>423</v>
      </c>
      <c r="V35" s="1"/>
      <c r="W35" s="1"/>
      <c r="X35" s="1"/>
      <c r="Y35" s="1"/>
      <c r="Z35" s="1"/>
    </row>
    <row r="36" spans="1:26" ht="24.75" customHeight="1">
      <c r="A36" s="171"/>
      <c r="B36" s="169"/>
      <c r="C36" s="169"/>
      <c r="D36" s="5">
        <v>31</v>
      </c>
      <c r="E36" s="5" t="s">
        <v>54</v>
      </c>
      <c r="F36" s="123"/>
      <c r="G36" s="123"/>
      <c r="H36" s="123"/>
      <c r="I36" s="123"/>
      <c r="J36" s="123"/>
      <c r="K36" s="123"/>
      <c r="L36" s="123"/>
      <c r="M36" s="123"/>
      <c r="N36" s="123"/>
      <c r="O36" s="123"/>
      <c r="P36" s="123"/>
      <c r="Q36" s="123"/>
      <c r="R36" s="123"/>
      <c r="S36" s="123"/>
      <c r="T36" s="125">
        <f t="shared" si="1"/>
        <v>0</v>
      </c>
      <c r="U36" s="9"/>
      <c r="V36" s="1"/>
      <c r="W36" s="1"/>
      <c r="X36" s="1"/>
      <c r="Y36" s="1"/>
      <c r="Z36" s="1"/>
    </row>
    <row r="37" spans="1:26" ht="24.75" customHeight="1">
      <c r="A37" s="171"/>
      <c r="B37" s="168" t="s">
        <v>75</v>
      </c>
      <c r="C37" s="168" t="s">
        <v>76</v>
      </c>
      <c r="D37" s="5">
        <v>32</v>
      </c>
      <c r="E37" s="5" t="s">
        <v>77</v>
      </c>
      <c r="F37" s="5"/>
      <c r="G37" s="5"/>
      <c r="H37" s="5"/>
      <c r="I37" s="6"/>
      <c r="J37" s="5"/>
      <c r="K37" s="5"/>
      <c r="L37" s="5"/>
      <c r="M37" s="6"/>
      <c r="N37" s="6">
        <v>2.37</v>
      </c>
      <c r="O37" s="8">
        <v>66.819999999999993</v>
      </c>
      <c r="P37" s="8">
        <v>14.51</v>
      </c>
      <c r="Q37" s="6">
        <v>4</v>
      </c>
      <c r="R37" s="8">
        <v>5.4909999999999997</v>
      </c>
      <c r="S37" s="5"/>
      <c r="T37" s="6">
        <f t="shared" si="0"/>
        <v>93.191000000000003</v>
      </c>
      <c r="U37" s="9" t="s">
        <v>361</v>
      </c>
      <c r="V37" s="1"/>
      <c r="W37" s="1"/>
      <c r="X37" s="1"/>
      <c r="Y37" s="1"/>
      <c r="Z37" s="1"/>
    </row>
    <row r="38" spans="1:26" ht="24.75" customHeight="1">
      <c r="A38" s="171"/>
      <c r="B38" s="171"/>
      <c r="C38" s="171"/>
      <c r="D38" s="5">
        <v>33</v>
      </c>
      <c r="E38" s="5" t="s">
        <v>79</v>
      </c>
      <c r="F38" s="5"/>
      <c r="G38" s="5"/>
      <c r="H38" s="5"/>
      <c r="I38" s="5"/>
      <c r="J38" s="5"/>
      <c r="K38" s="5"/>
      <c r="L38" s="5"/>
      <c r="M38" s="5"/>
      <c r="N38" s="5"/>
      <c r="O38" s="5"/>
      <c r="P38" s="5"/>
      <c r="Q38" s="5"/>
      <c r="R38" s="5"/>
      <c r="S38" s="5"/>
      <c r="T38" s="6">
        <f t="shared" si="0"/>
        <v>0</v>
      </c>
      <c r="U38" s="9"/>
      <c r="V38" s="1"/>
      <c r="W38" s="1"/>
      <c r="X38" s="1"/>
      <c r="Y38" s="1"/>
      <c r="Z38" s="1"/>
    </row>
    <row r="39" spans="1:26" ht="24.75" customHeight="1">
      <c r="A39" s="171"/>
      <c r="B39" s="169"/>
      <c r="C39" s="169"/>
      <c r="D39" s="5">
        <v>34</v>
      </c>
      <c r="E39" s="5" t="s">
        <v>80</v>
      </c>
      <c r="F39" s="5"/>
      <c r="G39" s="5"/>
      <c r="H39" s="5"/>
      <c r="I39" s="5"/>
      <c r="J39" s="5"/>
      <c r="K39" s="5"/>
      <c r="L39" s="5"/>
      <c r="M39" s="5"/>
      <c r="N39" s="6"/>
      <c r="O39" s="5"/>
      <c r="P39" s="8"/>
      <c r="Q39" s="5"/>
      <c r="R39" s="5"/>
      <c r="S39" s="5"/>
      <c r="T39" s="6">
        <f t="shared" si="0"/>
        <v>0</v>
      </c>
      <c r="U39" s="9"/>
      <c r="V39" s="1"/>
      <c r="W39" s="1"/>
      <c r="X39" s="1"/>
      <c r="Y39" s="1"/>
      <c r="Z39" s="1"/>
    </row>
    <row r="40" spans="1:26" ht="24.75" customHeight="1">
      <c r="A40" s="171"/>
      <c r="B40" s="168" t="s">
        <v>81</v>
      </c>
      <c r="C40" s="168" t="s">
        <v>82</v>
      </c>
      <c r="D40" s="5">
        <v>35</v>
      </c>
      <c r="E40" s="5" t="s">
        <v>83</v>
      </c>
      <c r="F40" s="5"/>
      <c r="G40" s="5"/>
      <c r="H40" s="5"/>
      <c r="I40" s="6"/>
      <c r="J40" s="5"/>
      <c r="K40" s="5"/>
      <c r="L40" s="5"/>
      <c r="M40" s="5"/>
      <c r="N40" s="6">
        <v>2.75</v>
      </c>
      <c r="O40" s="5"/>
      <c r="P40" s="8">
        <v>3.24</v>
      </c>
      <c r="Q40" s="8"/>
      <c r="R40" s="5">
        <v>0.1</v>
      </c>
      <c r="S40" s="5"/>
      <c r="T40" s="6">
        <f t="shared" si="0"/>
        <v>6.09</v>
      </c>
      <c r="U40" s="9" t="s">
        <v>601</v>
      </c>
      <c r="V40" s="1"/>
      <c r="W40" s="1"/>
      <c r="X40" s="1"/>
      <c r="Y40" s="1"/>
      <c r="Z40" s="1"/>
    </row>
    <row r="41" spans="1:26" ht="24.75" customHeight="1">
      <c r="A41" s="171"/>
      <c r="B41" s="171"/>
      <c r="C41" s="171"/>
      <c r="D41" s="5">
        <v>36</v>
      </c>
      <c r="E41" s="5" t="s">
        <v>84</v>
      </c>
      <c r="F41" s="5"/>
      <c r="G41" s="5"/>
      <c r="H41" s="5"/>
      <c r="I41" s="5"/>
      <c r="J41" s="5"/>
      <c r="K41" s="6"/>
      <c r="L41" s="5"/>
      <c r="M41" s="5"/>
      <c r="N41" s="6">
        <v>1</v>
      </c>
      <c r="O41" s="5"/>
      <c r="P41" s="5"/>
      <c r="Q41" s="5"/>
      <c r="R41" s="5"/>
      <c r="S41" s="5"/>
      <c r="T41" s="6">
        <f t="shared" si="0"/>
        <v>1</v>
      </c>
      <c r="U41" s="9" t="s">
        <v>437</v>
      </c>
      <c r="V41" s="1"/>
      <c r="W41" s="1"/>
      <c r="X41" s="1"/>
      <c r="Y41" s="1"/>
      <c r="Z41" s="1"/>
    </row>
    <row r="42" spans="1:26" ht="24.75" customHeight="1">
      <c r="A42" s="171"/>
      <c r="B42" s="171"/>
      <c r="C42" s="171"/>
      <c r="D42" s="5">
        <v>37</v>
      </c>
      <c r="E42" s="5" t="s">
        <v>86</v>
      </c>
      <c r="F42" s="5"/>
      <c r="G42" s="5"/>
      <c r="H42" s="5"/>
      <c r="I42" s="5"/>
      <c r="J42" s="5"/>
      <c r="K42" s="6"/>
      <c r="L42" s="5"/>
      <c r="M42" s="5"/>
      <c r="N42" s="5"/>
      <c r="O42" s="5"/>
      <c r="P42" s="5"/>
      <c r="Q42" s="5"/>
      <c r="R42" s="5"/>
      <c r="S42" s="5"/>
      <c r="T42" s="6">
        <f t="shared" si="0"/>
        <v>0</v>
      </c>
      <c r="U42" s="9"/>
      <c r="V42" s="1"/>
      <c r="W42" s="1"/>
      <c r="X42" s="1"/>
      <c r="Y42" s="1"/>
      <c r="Z42" s="1"/>
    </row>
    <row r="43" spans="1:26" ht="24.75" customHeight="1">
      <c r="A43" s="171"/>
      <c r="B43" s="171"/>
      <c r="C43" s="171"/>
      <c r="D43" s="5">
        <v>38</v>
      </c>
      <c r="E43" s="5" t="s">
        <v>87</v>
      </c>
      <c r="F43" s="5"/>
      <c r="G43" s="5"/>
      <c r="H43" s="5"/>
      <c r="I43" s="5"/>
      <c r="J43" s="5"/>
      <c r="K43" s="5"/>
      <c r="L43" s="5"/>
      <c r="M43" s="5"/>
      <c r="N43" s="6">
        <v>3.9249999999999998</v>
      </c>
      <c r="O43" s="8">
        <v>0.16</v>
      </c>
      <c r="P43" s="8">
        <v>6.8</v>
      </c>
      <c r="Q43" s="8">
        <v>0.7</v>
      </c>
      <c r="R43" s="5">
        <v>1</v>
      </c>
      <c r="S43" s="5"/>
      <c r="T43" s="6">
        <f t="shared" si="0"/>
        <v>12.584999999999999</v>
      </c>
      <c r="U43" s="9" t="s">
        <v>602</v>
      </c>
      <c r="V43" s="1"/>
      <c r="W43" s="1"/>
      <c r="X43" s="1"/>
      <c r="Y43" s="1"/>
      <c r="Z43" s="1"/>
    </row>
    <row r="44" spans="1:26" ht="24.75" customHeight="1">
      <c r="A44" s="171"/>
      <c r="B44" s="171"/>
      <c r="C44" s="171"/>
      <c r="D44" s="5">
        <v>39</v>
      </c>
      <c r="E44" s="5" t="s">
        <v>88</v>
      </c>
      <c r="F44" s="5"/>
      <c r="G44" s="5"/>
      <c r="H44" s="5"/>
      <c r="I44" s="5"/>
      <c r="J44" s="5"/>
      <c r="K44" s="5"/>
      <c r="L44" s="5"/>
      <c r="M44" s="5"/>
      <c r="N44" s="5"/>
      <c r="O44" s="5"/>
      <c r="P44" s="8">
        <v>0.87</v>
      </c>
      <c r="Q44" s="8">
        <v>15.5</v>
      </c>
      <c r="R44" s="5"/>
      <c r="S44" s="5"/>
      <c r="T44" s="6">
        <f t="shared" si="0"/>
        <v>16.37</v>
      </c>
      <c r="U44" s="9" t="s">
        <v>603</v>
      </c>
      <c r="V44" s="1"/>
      <c r="W44" s="1"/>
      <c r="X44" s="1"/>
      <c r="Y44" s="1"/>
      <c r="Z44" s="1"/>
    </row>
    <row r="45" spans="1:26" ht="24.75" customHeight="1">
      <c r="A45" s="171"/>
      <c r="B45" s="171"/>
      <c r="C45" s="171"/>
      <c r="D45" s="5">
        <v>40</v>
      </c>
      <c r="E45" s="5" t="s">
        <v>89</v>
      </c>
      <c r="F45" s="5"/>
      <c r="G45" s="5"/>
      <c r="H45" s="5"/>
      <c r="I45" s="5"/>
      <c r="J45" s="5"/>
      <c r="K45" s="5"/>
      <c r="L45" s="5"/>
      <c r="M45" s="5"/>
      <c r="N45" s="6">
        <v>0.10920000000000001</v>
      </c>
      <c r="O45" s="5"/>
      <c r="P45" s="8">
        <v>0.15</v>
      </c>
      <c r="Q45" s="6">
        <v>0.42</v>
      </c>
      <c r="R45" s="8">
        <v>2</v>
      </c>
      <c r="S45" s="5"/>
      <c r="T45" s="6">
        <f t="shared" si="0"/>
        <v>2.6791999999999998</v>
      </c>
      <c r="U45" s="9" t="s">
        <v>829</v>
      </c>
      <c r="V45" s="1"/>
      <c r="W45" s="1"/>
      <c r="X45" s="1"/>
      <c r="Y45" s="1"/>
      <c r="Z45" s="1"/>
    </row>
    <row r="46" spans="1:26" ht="24.75" customHeight="1">
      <c r="A46" s="171"/>
      <c r="B46" s="169"/>
      <c r="C46" s="169"/>
      <c r="D46" s="5">
        <v>41</v>
      </c>
      <c r="E46" s="5" t="s">
        <v>54</v>
      </c>
      <c r="F46" s="5"/>
      <c r="G46" s="5"/>
      <c r="H46" s="5"/>
      <c r="I46" s="5"/>
      <c r="J46" s="5"/>
      <c r="K46" s="5"/>
      <c r="L46" s="5"/>
      <c r="M46" s="5"/>
      <c r="N46" s="5"/>
      <c r="O46" s="5"/>
      <c r="P46" s="5"/>
      <c r="Q46" s="5"/>
      <c r="R46" s="5"/>
      <c r="S46" s="5"/>
      <c r="T46" s="6">
        <f t="shared" si="0"/>
        <v>0</v>
      </c>
      <c r="U46" s="9"/>
      <c r="V46" s="1"/>
      <c r="W46" s="1"/>
      <c r="X46" s="1"/>
      <c r="Y46" s="1"/>
      <c r="Z46" s="1"/>
    </row>
    <row r="47" spans="1:26" ht="24.75" customHeight="1">
      <c r="A47" s="171"/>
      <c r="B47" s="168" t="s">
        <v>90</v>
      </c>
      <c r="C47" s="168" t="s">
        <v>91</v>
      </c>
      <c r="D47" s="5">
        <v>42</v>
      </c>
      <c r="E47" s="5" t="s">
        <v>92</v>
      </c>
      <c r="F47" s="8">
        <v>15.27</v>
      </c>
      <c r="G47" s="5"/>
      <c r="H47" s="5"/>
      <c r="I47" s="6"/>
      <c r="J47" s="5"/>
      <c r="K47" s="5"/>
      <c r="L47" s="5"/>
      <c r="M47" s="5"/>
      <c r="N47" s="6">
        <v>1.37</v>
      </c>
      <c r="O47" s="5"/>
      <c r="P47" s="8">
        <v>1.5</v>
      </c>
      <c r="Q47" s="5"/>
      <c r="R47" s="5"/>
      <c r="S47" s="5"/>
      <c r="T47" s="6">
        <f t="shared" si="0"/>
        <v>18.14</v>
      </c>
      <c r="U47" s="9"/>
      <c r="V47" s="1"/>
      <c r="W47" s="1"/>
      <c r="X47" s="1"/>
      <c r="Y47" s="1"/>
      <c r="Z47" s="1"/>
    </row>
    <row r="48" spans="1:26" ht="24.75" customHeight="1">
      <c r="A48" s="171"/>
      <c r="B48" s="171"/>
      <c r="C48" s="171"/>
      <c r="D48" s="5">
        <v>43</v>
      </c>
      <c r="E48" s="5" t="s">
        <v>93</v>
      </c>
      <c r="F48" s="8">
        <v>1.1299999999999999</v>
      </c>
      <c r="G48" s="5"/>
      <c r="H48" s="5"/>
      <c r="I48" s="6"/>
      <c r="J48" s="5"/>
      <c r="K48" s="5"/>
      <c r="L48" s="5"/>
      <c r="M48" s="5"/>
      <c r="N48" s="6">
        <v>0.45750000000000002</v>
      </c>
      <c r="O48" s="5"/>
      <c r="P48" s="8">
        <v>1</v>
      </c>
      <c r="Q48" s="5"/>
      <c r="R48" s="5"/>
      <c r="S48" s="5"/>
      <c r="T48" s="6">
        <f t="shared" si="0"/>
        <v>2.5874999999999999</v>
      </c>
      <c r="U48" s="9"/>
      <c r="V48" s="1"/>
      <c r="W48" s="1"/>
      <c r="X48" s="1"/>
      <c r="Y48" s="1"/>
      <c r="Z48" s="1"/>
    </row>
    <row r="49" spans="1:26" ht="24.75" customHeight="1">
      <c r="A49" s="171"/>
      <c r="B49" s="171"/>
      <c r="C49" s="171"/>
      <c r="D49" s="5">
        <v>44</v>
      </c>
      <c r="E49" s="5" t="s">
        <v>94</v>
      </c>
      <c r="F49" s="8">
        <v>0.83</v>
      </c>
      <c r="G49" s="5"/>
      <c r="H49" s="5"/>
      <c r="I49" s="6"/>
      <c r="J49" s="5"/>
      <c r="K49" s="5"/>
      <c r="L49" s="5"/>
      <c r="M49" s="5"/>
      <c r="N49" s="6">
        <v>2.94</v>
      </c>
      <c r="O49" s="8">
        <v>0.53</v>
      </c>
      <c r="P49" s="8">
        <v>0.4</v>
      </c>
      <c r="Q49" s="5"/>
      <c r="R49" s="5"/>
      <c r="S49" s="5"/>
      <c r="T49" s="6">
        <f t="shared" si="0"/>
        <v>4.7</v>
      </c>
      <c r="U49" s="9" t="s">
        <v>438</v>
      </c>
      <c r="V49" s="1"/>
      <c r="W49" s="1"/>
      <c r="X49" s="1"/>
      <c r="Y49" s="1"/>
      <c r="Z49" s="1"/>
    </row>
    <row r="50" spans="1:26" ht="24.75" customHeight="1">
      <c r="A50" s="171"/>
      <c r="B50" s="171"/>
      <c r="C50" s="171"/>
      <c r="D50" s="5">
        <v>45</v>
      </c>
      <c r="E50" s="5" t="s">
        <v>96</v>
      </c>
      <c r="F50" s="8">
        <v>0.12</v>
      </c>
      <c r="G50" s="5"/>
      <c r="H50" s="5"/>
      <c r="I50" s="5"/>
      <c r="J50" s="5"/>
      <c r="K50" s="5"/>
      <c r="L50" s="5"/>
      <c r="M50" s="5"/>
      <c r="N50" s="6">
        <v>1</v>
      </c>
      <c r="O50" s="8">
        <v>0.12</v>
      </c>
      <c r="P50" s="5"/>
      <c r="Q50" s="5"/>
      <c r="R50" s="5"/>
      <c r="S50" s="5"/>
      <c r="T50" s="6">
        <f t="shared" si="0"/>
        <v>1.2400000000000002</v>
      </c>
      <c r="U50" s="9"/>
      <c r="V50" s="1"/>
      <c r="W50" s="1"/>
      <c r="X50" s="1"/>
      <c r="Y50" s="1"/>
      <c r="Z50" s="1"/>
    </row>
    <row r="51" spans="1:26" ht="24.75" customHeight="1">
      <c r="A51" s="171"/>
      <c r="B51" s="171"/>
      <c r="C51" s="171"/>
      <c r="D51" s="5">
        <v>46</v>
      </c>
      <c r="E51" s="5" t="s">
        <v>97</v>
      </c>
      <c r="F51" s="5"/>
      <c r="G51" s="5"/>
      <c r="H51" s="5"/>
      <c r="I51" s="5"/>
      <c r="J51" s="5"/>
      <c r="K51" s="5"/>
      <c r="L51" s="5"/>
      <c r="M51" s="5"/>
      <c r="N51" s="5"/>
      <c r="O51" s="5"/>
      <c r="P51" s="5"/>
      <c r="Q51" s="5"/>
      <c r="R51" s="5"/>
      <c r="S51" s="5"/>
      <c r="T51" s="6">
        <f t="shared" si="0"/>
        <v>0</v>
      </c>
      <c r="U51" s="9"/>
      <c r="V51" s="1"/>
      <c r="W51" s="1"/>
      <c r="X51" s="1"/>
      <c r="Y51" s="1"/>
      <c r="Z51" s="1"/>
    </row>
    <row r="52" spans="1:26" ht="24.75" customHeight="1">
      <c r="A52" s="171"/>
      <c r="B52" s="171"/>
      <c r="C52" s="171"/>
      <c r="D52" s="5">
        <v>47</v>
      </c>
      <c r="E52" s="5" t="s">
        <v>98</v>
      </c>
      <c r="F52" s="8">
        <v>3.3</v>
      </c>
      <c r="G52" s="5"/>
      <c r="H52" s="5"/>
      <c r="I52" s="5"/>
      <c r="J52" s="5"/>
      <c r="K52" s="5"/>
      <c r="L52" s="5"/>
      <c r="M52" s="5"/>
      <c r="N52" s="5"/>
      <c r="O52" s="5"/>
      <c r="P52" s="5"/>
      <c r="Q52" s="5"/>
      <c r="R52" s="5"/>
      <c r="S52" s="5"/>
      <c r="T52" s="6">
        <f t="shared" si="0"/>
        <v>3.3</v>
      </c>
      <c r="U52" s="9"/>
      <c r="V52" s="1"/>
      <c r="W52" s="1"/>
      <c r="X52" s="1"/>
      <c r="Y52" s="1"/>
      <c r="Z52" s="1"/>
    </row>
    <row r="53" spans="1:26" ht="24.75" customHeight="1">
      <c r="A53" s="171"/>
      <c r="B53" s="171"/>
      <c r="C53" s="171"/>
      <c r="D53" s="5">
        <v>48</v>
      </c>
      <c r="E53" s="5" t="s">
        <v>99</v>
      </c>
      <c r="F53" s="5"/>
      <c r="G53" s="5"/>
      <c r="H53" s="5"/>
      <c r="I53" s="5"/>
      <c r="J53" s="5"/>
      <c r="K53" s="5"/>
      <c r="L53" s="5"/>
      <c r="M53" s="5"/>
      <c r="N53" s="6">
        <v>0.1</v>
      </c>
      <c r="O53" s="5"/>
      <c r="P53" s="8"/>
      <c r="Q53" s="5"/>
      <c r="R53" s="5"/>
      <c r="S53" s="5"/>
      <c r="T53" s="6">
        <f t="shared" si="0"/>
        <v>0.1</v>
      </c>
      <c r="U53" s="9"/>
      <c r="V53" s="1"/>
      <c r="W53" s="1"/>
      <c r="X53" s="1"/>
      <c r="Y53" s="1"/>
      <c r="Z53" s="1"/>
    </row>
    <row r="54" spans="1:26" ht="24.75" customHeight="1">
      <c r="A54" s="171"/>
      <c r="B54" s="171"/>
      <c r="C54" s="171"/>
      <c r="D54" s="5">
        <v>49</v>
      </c>
      <c r="E54" s="5" t="s">
        <v>100</v>
      </c>
      <c r="F54" s="5"/>
      <c r="G54" s="5"/>
      <c r="H54" s="5"/>
      <c r="I54" s="5"/>
      <c r="J54" s="5"/>
      <c r="K54" s="5"/>
      <c r="L54" s="5"/>
      <c r="M54" s="5"/>
      <c r="N54" s="5"/>
      <c r="O54" s="5"/>
      <c r="P54" s="5"/>
      <c r="Q54" s="6">
        <v>1.5</v>
      </c>
      <c r="R54" s="8">
        <v>1.85</v>
      </c>
      <c r="S54" s="5"/>
      <c r="T54" s="6">
        <f t="shared" si="0"/>
        <v>3.35</v>
      </c>
      <c r="U54" s="9" t="s">
        <v>310</v>
      </c>
      <c r="V54" s="1"/>
      <c r="W54" s="1"/>
      <c r="X54" s="1"/>
      <c r="Y54" s="1"/>
      <c r="Z54" s="1"/>
    </row>
    <row r="55" spans="1:26" ht="24.75" customHeight="1">
      <c r="A55" s="171"/>
      <c r="B55" s="171"/>
      <c r="C55" s="171"/>
      <c r="D55" s="5">
        <v>50</v>
      </c>
      <c r="E55" s="5" t="s">
        <v>102</v>
      </c>
      <c r="F55" s="5"/>
      <c r="G55" s="5"/>
      <c r="H55" s="5"/>
      <c r="I55" s="6"/>
      <c r="J55" s="5"/>
      <c r="K55" s="5"/>
      <c r="L55" s="5"/>
      <c r="M55" s="5"/>
      <c r="N55" s="6">
        <v>1.1299999999999999</v>
      </c>
      <c r="O55" s="5"/>
      <c r="P55" s="8">
        <v>0.96</v>
      </c>
      <c r="Q55" s="6">
        <v>8.2200000000000006</v>
      </c>
      <c r="R55" s="8">
        <v>0.113</v>
      </c>
      <c r="S55" s="5"/>
      <c r="T55" s="6">
        <f t="shared" si="0"/>
        <v>10.423</v>
      </c>
      <c r="U55" s="9" t="s">
        <v>310</v>
      </c>
      <c r="V55" s="1"/>
      <c r="W55" s="1"/>
      <c r="X55" s="1"/>
      <c r="Y55" s="1"/>
      <c r="Z55" s="1"/>
    </row>
    <row r="56" spans="1:26" ht="24.75" customHeight="1">
      <c r="A56" s="171"/>
      <c r="B56" s="169"/>
      <c r="C56" s="169"/>
      <c r="D56" s="5">
        <v>51</v>
      </c>
      <c r="E56" s="5" t="s">
        <v>54</v>
      </c>
      <c r="F56" s="5"/>
      <c r="G56" s="5"/>
      <c r="H56" s="5"/>
      <c r="I56" s="5"/>
      <c r="J56" s="5"/>
      <c r="K56" s="5"/>
      <c r="L56" s="5"/>
      <c r="M56" s="5"/>
      <c r="N56" s="8"/>
      <c r="O56" s="5"/>
      <c r="P56" s="5">
        <v>1</v>
      </c>
      <c r="Q56" s="5"/>
      <c r="R56" s="5"/>
      <c r="S56" s="5"/>
      <c r="T56" s="6">
        <f t="shared" si="0"/>
        <v>1</v>
      </c>
      <c r="U56" s="9"/>
      <c r="V56" s="1"/>
      <c r="W56" s="1"/>
      <c r="X56" s="1"/>
      <c r="Y56" s="1"/>
      <c r="Z56" s="1"/>
    </row>
    <row r="57" spans="1:26" ht="24.75" customHeight="1">
      <c r="A57" s="171"/>
      <c r="B57" s="168" t="s">
        <v>103</v>
      </c>
      <c r="C57" s="168" t="s">
        <v>104</v>
      </c>
      <c r="D57" s="5">
        <v>52</v>
      </c>
      <c r="E57" s="5" t="s">
        <v>105</v>
      </c>
      <c r="F57" s="123"/>
      <c r="G57" s="123"/>
      <c r="H57" s="123"/>
      <c r="I57" s="125"/>
      <c r="J57" s="123"/>
      <c r="K57" s="125"/>
      <c r="L57" s="123"/>
      <c r="M57" s="123"/>
      <c r="N57" s="125">
        <v>2</v>
      </c>
      <c r="O57" s="124">
        <v>42.137999999999998</v>
      </c>
      <c r="P57" s="123"/>
      <c r="Q57" s="123"/>
      <c r="R57" s="123"/>
      <c r="S57" s="123"/>
      <c r="T57" s="125">
        <f t="shared" ref="T57:T66" si="2">SUM(F57:S57)</f>
        <v>44.137999999999998</v>
      </c>
      <c r="U57" s="9" t="s">
        <v>65</v>
      </c>
      <c r="V57" s="1"/>
      <c r="W57" s="1"/>
      <c r="X57" s="1"/>
      <c r="Y57" s="1"/>
      <c r="Z57" s="1"/>
    </row>
    <row r="58" spans="1:26" ht="24.75" customHeight="1">
      <c r="A58" s="171"/>
      <c r="B58" s="171"/>
      <c r="C58" s="171"/>
      <c r="D58" s="5">
        <v>53</v>
      </c>
      <c r="E58" s="5" t="s">
        <v>106</v>
      </c>
      <c r="F58" s="123"/>
      <c r="G58" s="123"/>
      <c r="H58" s="123"/>
      <c r="I58" s="123"/>
      <c r="J58" s="123"/>
      <c r="K58" s="125"/>
      <c r="L58" s="123"/>
      <c r="M58" s="123"/>
      <c r="N58" s="125"/>
      <c r="O58" s="124">
        <v>4.68</v>
      </c>
      <c r="P58" s="123"/>
      <c r="Q58" s="124">
        <v>3</v>
      </c>
      <c r="R58" s="123"/>
      <c r="S58" s="123"/>
      <c r="T58" s="125">
        <f t="shared" si="2"/>
        <v>7.68</v>
      </c>
      <c r="U58" s="9" t="s">
        <v>65</v>
      </c>
      <c r="V58" s="1"/>
      <c r="W58" s="1"/>
      <c r="X58" s="1"/>
      <c r="Y58" s="1"/>
      <c r="Z58" s="1"/>
    </row>
    <row r="59" spans="1:26" ht="24.75" customHeight="1">
      <c r="A59" s="171"/>
      <c r="B59" s="171"/>
      <c r="C59" s="171"/>
      <c r="D59" s="5">
        <v>54</v>
      </c>
      <c r="E59" s="5" t="s">
        <v>107</v>
      </c>
      <c r="F59" s="123"/>
      <c r="G59" s="123"/>
      <c r="H59" s="124"/>
      <c r="I59" s="123"/>
      <c r="J59" s="123"/>
      <c r="K59" s="123"/>
      <c r="L59" s="123"/>
      <c r="M59" s="123"/>
      <c r="N59" s="123"/>
      <c r="O59" s="124"/>
      <c r="P59" s="124"/>
      <c r="Q59" s="123"/>
      <c r="R59" s="123"/>
      <c r="S59" s="123"/>
      <c r="T59" s="125">
        <f t="shared" si="2"/>
        <v>0</v>
      </c>
      <c r="U59" s="9"/>
      <c r="V59" s="1"/>
      <c r="W59" s="1"/>
      <c r="X59" s="1"/>
      <c r="Y59" s="1"/>
      <c r="Z59" s="1"/>
    </row>
    <row r="60" spans="1:26" ht="24.75" customHeight="1">
      <c r="A60" s="171"/>
      <c r="B60" s="171"/>
      <c r="C60" s="171"/>
      <c r="D60" s="5">
        <v>55</v>
      </c>
      <c r="E60" s="5" t="s">
        <v>108</v>
      </c>
      <c r="F60" s="123"/>
      <c r="G60" s="123"/>
      <c r="H60" s="123"/>
      <c r="I60" s="123"/>
      <c r="J60" s="123"/>
      <c r="K60" s="125"/>
      <c r="L60" s="123"/>
      <c r="M60" s="123"/>
      <c r="N60" s="123"/>
      <c r="O60" s="123"/>
      <c r="P60" s="123"/>
      <c r="Q60" s="123"/>
      <c r="R60" s="123"/>
      <c r="S60" s="123"/>
      <c r="T60" s="125">
        <f t="shared" si="2"/>
        <v>0</v>
      </c>
      <c r="U60" s="9"/>
      <c r="V60" s="1"/>
      <c r="W60" s="1"/>
      <c r="X60" s="1"/>
      <c r="Y60" s="1"/>
      <c r="Z60" s="1"/>
    </row>
    <row r="61" spans="1:26" ht="24.75" customHeight="1">
      <c r="A61" s="171"/>
      <c r="B61" s="171"/>
      <c r="C61" s="171"/>
      <c r="D61" s="5">
        <v>56</v>
      </c>
      <c r="E61" s="5" t="s">
        <v>109</v>
      </c>
      <c r="F61" s="123"/>
      <c r="G61" s="123"/>
      <c r="H61" s="123"/>
      <c r="I61" s="123"/>
      <c r="J61" s="123"/>
      <c r="K61" s="123"/>
      <c r="L61" s="123"/>
      <c r="M61" s="123"/>
      <c r="N61" s="123"/>
      <c r="O61" s="124">
        <v>9.36</v>
      </c>
      <c r="P61" s="123"/>
      <c r="Q61" s="123"/>
      <c r="R61" s="123"/>
      <c r="S61" s="123"/>
      <c r="T61" s="125">
        <f t="shared" si="2"/>
        <v>9.36</v>
      </c>
      <c r="U61" s="9" t="s">
        <v>65</v>
      </c>
      <c r="V61" s="1"/>
      <c r="W61" s="1"/>
      <c r="X61" s="1"/>
      <c r="Y61" s="1"/>
      <c r="Z61" s="1"/>
    </row>
    <row r="62" spans="1:26" ht="24.75" customHeight="1">
      <c r="A62" s="171"/>
      <c r="B62" s="171"/>
      <c r="C62" s="171"/>
      <c r="D62" s="5">
        <v>57</v>
      </c>
      <c r="E62" s="5" t="s">
        <v>110</v>
      </c>
      <c r="F62" s="123"/>
      <c r="G62" s="123"/>
      <c r="H62" s="124"/>
      <c r="I62" s="123"/>
      <c r="J62" s="123"/>
      <c r="K62" s="123"/>
      <c r="L62" s="123"/>
      <c r="M62" s="125">
        <f>2.49+2.1</f>
        <v>4.59</v>
      </c>
      <c r="N62" s="123"/>
      <c r="O62" s="123"/>
      <c r="P62" s="123"/>
      <c r="Q62" s="123"/>
      <c r="R62" s="123"/>
      <c r="S62" s="123"/>
      <c r="T62" s="125">
        <f t="shared" si="2"/>
        <v>4.59</v>
      </c>
      <c r="U62" s="9" t="s">
        <v>65</v>
      </c>
      <c r="V62" s="1"/>
      <c r="W62" s="1"/>
      <c r="X62" s="1"/>
      <c r="Y62" s="1"/>
      <c r="Z62" s="1"/>
    </row>
    <row r="63" spans="1:26" ht="24.75" customHeight="1">
      <c r="A63" s="171"/>
      <c r="B63" s="171"/>
      <c r="C63" s="171"/>
      <c r="D63" s="5">
        <v>58</v>
      </c>
      <c r="E63" s="5" t="s">
        <v>111</v>
      </c>
      <c r="F63" s="123"/>
      <c r="G63" s="123"/>
      <c r="H63" s="123"/>
      <c r="I63" s="123"/>
      <c r="J63" s="123"/>
      <c r="K63" s="125"/>
      <c r="L63" s="123"/>
      <c r="M63" s="123"/>
      <c r="N63" s="123"/>
      <c r="O63" s="124">
        <v>2.34</v>
      </c>
      <c r="P63" s="123"/>
      <c r="Q63" s="124">
        <v>0.75</v>
      </c>
      <c r="R63" s="123"/>
      <c r="S63" s="123"/>
      <c r="T63" s="125">
        <f t="shared" si="2"/>
        <v>3.09</v>
      </c>
      <c r="U63" s="9" t="s">
        <v>65</v>
      </c>
      <c r="V63" s="1"/>
      <c r="W63" s="1"/>
      <c r="X63" s="1"/>
      <c r="Y63" s="1"/>
      <c r="Z63" s="1"/>
    </row>
    <row r="64" spans="1:26" ht="24.75" customHeight="1">
      <c r="A64" s="171"/>
      <c r="B64" s="171"/>
      <c r="C64" s="171"/>
      <c r="D64" s="5">
        <v>59</v>
      </c>
      <c r="E64" s="5" t="s">
        <v>112</v>
      </c>
      <c r="F64" s="123"/>
      <c r="G64" s="123"/>
      <c r="H64" s="123"/>
      <c r="I64" s="123"/>
      <c r="J64" s="123"/>
      <c r="K64" s="123"/>
      <c r="L64" s="123"/>
      <c r="M64" s="123"/>
      <c r="N64" s="123"/>
      <c r="O64" s="123"/>
      <c r="P64" s="123"/>
      <c r="Q64" s="123"/>
      <c r="R64" s="123"/>
      <c r="S64" s="123"/>
      <c r="T64" s="125">
        <f t="shared" si="2"/>
        <v>0</v>
      </c>
      <c r="U64" s="9"/>
      <c r="V64" s="1"/>
      <c r="W64" s="1"/>
      <c r="X64" s="1"/>
      <c r="Y64" s="1"/>
      <c r="Z64" s="1"/>
    </row>
    <row r="65" spans="1:26" ht="24.75" customHeight="1">
      <c r="A65" s="171"/>
      <c r="B65" s="171"/>
      <c r="C65" s="171"/>
      <c r="D65" s="5">
        <v>60</v>
      </c>
      <c r="E65" s="5" t="s">
        <v>113</v>
      </c>
      <c r="F65" s="123"/>
      <c r="G65" s="123"/>
      <c r="H65" s="123"/>
      <c r="I65" s="123"/>
      <c r="J65" s="123"/>
      <c r="K65" s="123"/>
      <c r="L65" s="123"/>
      <c r="M65" s="123"/>
      <c r="N65" s="123"/>
      <c r="O65" s="123"/>
      <c r="P65" s="123"/>
      <c r="Q65" s="123"/>
      <c r="R65" s="123"/>
      <c r="S65" s="123"/>
      <c r="T65" s="125">
        <f t="shared" si="2"/>
        <v>0</v>
      </c>
      <c r="U65" s="9"/>
      <c r="V65" s="1"/>
      <c r="W65" s="1"/>
      <c r="X65" s="1"/>
      <c r="Y65" s="1"/>
      <c r="Z65" s="1"/>
    </row>
    <row r="66" spans="1:26" ht="24.75" customHeight="1">
      <c r="A66" s="171"/>
      <c r="B66" s="169"/>
      <c r="C66" s="169"/>
      <c r="D66" s="5">
        <v>61</v>
      </c>
      <c r="E66" s="5" t="s">
        <v>54</v>
      </c>
      <c r="F66" s="123"/>
      <c r="G66" s="123"/>
      <c r="H66" s="123"/>
      <c r="I66" s="123"/>
      <c r="J66" s="123"/>
      <c r="K66" s="123"/>
      <c r="L66" s="123"/>
      <c r="M66" s="123"/>
      <c r="N66" s="123"/>
      <c r="O66" s="123"/>
      <c r="P66" s="123"/>
      <c r="Q66" s="123"/>
      <c r="R66" s="123"/>
      <c r="S66" s="123"/>
      <c r="T66" s="125">
        <f t="shared" si="2"/>
        <v>0</v>
      </c>
      <c r="U66" s="9"/>
      <c r="V66" s="1"/>
      <c r="W66" s="1"/>
      <c r="X66" s="1"/>
      <c r="Y66" s="1"/>
      <c r="Z66" s="1"/>
    </row>
    <row r="67" spans="1:26" ht="24.75" customHeight="1">
      <c r="A67" s="171"/>
      <c r="B67" s="5" t="s">
        <v>114</v>
      </c>
      <c r="C67" s="5" t="s">
        <v>115</v>
      </c>
      <c r="D67" s="5">
        <v>62</v>
      </c>
      <c r="E67" s="5" t="s">
        <v>116</v>
      </c>
      <c r="F67" s="5"/>
      <c r="G67" s="5"/>
      <c r="H67" s="5"/>
      <c r="I67" s="5"/>
      <c r="J67" s="5"/>
      <c r="K67" s="5"/>
      <c r="L67" s="5"/>
      <c r="M67" s="6"/>
      <c r="N67" s="5"/>
      <c r="O67" s="8">
        <v>1</v>
      </c>
      <c r="P67" s="8"/>
      <c r="Q67" s="6">
        <v>0.25</v>
      </c>
      <c r="R67" s="5"/>
      <c r="S67" s="8"/>
      <c r="T67" s="6">
        <f t="shared" si="0"/>
        <v>1.25</v>
      </c>
      <c r="U67" s="61" t="s">
        <v>577</v>
      </c>
      <c r="V67" s="1"/>
      <c r="W67" s="1"/>
      <c r="X67" s="1"/>
      <c r="Y67" s="1"/>
      <c r="Z67" s="1"/>
    </row>
    <row r="68" spans="1:26" ht="24.75" customHeight="1">
      <c r="A68" s="169"/>
      <c r="B68" s="176" t="s">
        <v>117</v>
      </c>
      <c r="C68" s="177"/>
      <c r="D68" s="178"/>
      <c r="E68" s="51"/>
      <c r="F68" s="51">
        <f t="shared" ref="F68:S68" si="3">SUM(F6:F67)</f>
        <v>96.77</v>
      </c>
      <c r="G68" s="51">
        <f t="shared" si="3"/>
        <v>0</v>
      </c>
      <c r="H68" s="51">
        <f t="shared" si="3"/>
        <v>0</v>
      </c>
      <c r="I68" s="51">
        <f t="shared" si="3"/>
        <v>11.36</v>
      </c>
      <c r="J68" s="51">
        <f t="shared" si="3"/>
        <v>0</v>
      </c>
      <c r="K68" s="51">
        <f t="shared" si="3"/>
        <v>115.962</v>
      </c>
      <c r="L68" s="51">
        <f t="shared" si="3"/>
        <v>0</v>
      </c>
      <c r="M68" s="51">
        <f t="shared" si="3"/>
        <v>47.391999999999996</v>
      </c>
      <c r="N68" s="51">
        <f t="shared" si="3"/>
        <v>37.939550000000004</v>
      </c>
      <c r="O68" s="51">
        <f t="shared" si="3"/>
        <v>236.72375000000002</v>
      </c>
      <c r="P68" s="51">
        <f t="shared" si="3"/>
        <v>417.24099999999993</v>
      </c>
      <c r="Q68" s="51">
        <f t="shared" si="3"/>
        <v>51.69</v>
      </c>
      <c r="R68" s="51">
        <f t="shared" si="3"/>
        <v>16.526</v>
      </c>
      <c r="S68" s="51">
        <f t="shared" si="3"/>
        <v>0.45</v>
      </c>
      <c r="T68" s="6">
        <f t="shared" si="0"/>
        <v>1032.0543</v>
      </c>
      <c r="U68" s="9"/>
      <c r="V68" s="1"/>
      <c r="W68" s="1"/>
      <c r="X68" s="1"/>
      <c r="Y68" s="1"/>
      <c r="Z68" s="1"/>
    </row>
    <row r="69" spans="1:26" ht="39.75" customHeight="1">
      <c r="A69" s="175" t="s">
        <v>118</v>
      </c>
      <c r="B69" s="5" t="s">
        <v>119</v>
      </c>
      <c r="C69" s="5" t="s">
        <v>120</v>
      </c>
      <c r="D69" s="5">
        <v>63</v>
      </c>
      <c r="E69" s="5" t="s">
        <v>121</v>
      </c>
      <c r="F69" s="5"/>
      <c r="G69" s="5"/>
      <c r="H69" s="5"/>
      <c r="I69" s="5"/>
      <c r="J69" s="5"/>
      <c r="K69" s="5"/>
      <c r="L69" s="5"/>
      <c r="M69" s="8"/>
      <c r="N69" s="6">
        <v>10.15</v>
      </c>
      <c r="O69" s="5"/>
      <c r="P69" s="6"/>
      <c r="Q69" s="5"/>
      <c r="R69" s="8">
        <v>5</v>
      </c>
      <c r="S69" s="8"/>
      <c r="T69" s="6">
        <f t="shared" si="0"/>
        <v>15.15</v>
      </c>
      <c r="U69" s="9" t="s">
        <v>426</v>
      </c>
      <c r="V69" s="1"/>
      <c r="W69" s="1"/>
      <c r="X69" s="1"/>
      <c r="Y69" s="1"/>
      <c r="Z69" s="1"/>
    </row>
    <row r="70" spans="1:26" ht="39.75" customHeight="1">
      <c r="A70" s="171"/>
      <c r="B70" s="168" t="s">
        <v>122</v>
      </c>
      <c r="C70" s="168" t="s">
        <v>123</v>
      </c>
      <c r="D70" s="5">
        <v>64</v>
      </c>
      <c r="E70" s="5" t="s">
        <v>124</v>
      </c>
      <c r="F70" s="15"/>
      <c r="G70" s="15"/>
      <c r="H70" s="16"/>
      <c r="I70" s="17"/>
      <c r="J70" s="15"/>
      <c r="K70" s="17"/>
      <c r="L70" s="15"/>
      <c r="M70" s="15"/>
      <c r="N70" s="17">
        <v>0.8</v>
      </c>
      <c r="O70" s="16">
        <v>0.52500000000000002</v>
      </c>
      <c r="P70" s="17">
        <f>33.84+2.544</f>
        <v>36.384</v>
      </c>
      <c r="Q70" s="17">
        <f>0.75+0.5</f>
        <v>1.25</v>
      </c>
      <c r="R70" s="16">
        <v>3</v>
      </c>
      <c r="S70" s="16"/>
      <c r="T70" s="6">
        <f t="shared" ref="T70:T133" si="4">SUM(F70:S70)</f>
        <v>41.959000000000003</v>
      </c>
      <c r="U70" s="9" t="s">
        <v>439</v>
      </c>
      <c r="V70" s="1"/>
      <c r="W70" s="1"/>
      <c r="X70" s="1"/>
      <c r="Y70" s="1"/>
      <c r="Z70" s="1"/>
    </row>
    <row r="71" spans="1:26" ht="39.75" customHeight="1">
      <c r="A71" s="171"/>
      <c r="B71" s="171"/>
      <c r="C71" s="171"/>
      <c r="D71" s="5">
        <v>65</v>
      </c>
      <c r="E71" s="5" t="s">
        <v>126</v>
      </c>
      <c r="F71" s="15"/>
      <c r="G71" s="15"/>
      <c r="H71" s="15"/>
      <c r="I71" s="15"/>
      <c r="J71" s="15"/>
      <c r="K71" s="15"/>
      <c r="L71" s="15"/>
      <c r="M71" s="15"/>
      <c r="N71" s="17"/>
      <c r="O71" s="15"/>
      <c r="P71" s="16">
        <v>0.17</v>
      </c>
      <c r="Q71" s="15"/>
      <c r="R71" s="15"/>
      <c r="S71" s="16"/>
      <c r="T71" s="6">
        <f t="shared" si="4"/>
        <v>0.17</v>
      </c>
      <c r="U71" s="9" t="s">
        <v>366</v>
      </c>
      <c r="V71" s="1"/>
      <c r="W71" s="1"/>
      <c r="X71" s="1"/>
      <c r="Y71" s="1"/>
      <c r="Z71" s="1"/>
    </row>
    <row r="72" spans="1:26" ht="39.75" customHeight="1">
      <c r="A72" s="171"/>
      <c r="B72" s="171"/>
      <c r="C72" s="171"/>
      <c r="D72" s="5">
        <v>66</v>
      </c>
      <c r="E72" s="5" t="s">
        <v>128</v>
      </c>
      <c r="F72" s="15"/>
      <c r="G72" s="15"/>
      <c r="H72" s="15"/>
      <c r="I72" s="15"/>
      <c r="J72" s="15"/>
      <c r="K72" s="17"/>
      <c r="L72" s="15"/>
      <c r="M72" s="15"/>
      <c r="N72" s="17">
        <v>0.2</v>
      </c>
      <c r="O72" s="15"/>
      <c r="P72" s="16"/>
      <c r="Q72" s="17">
        <v>0.05</v>
      </c>
      <c r="R72" s="34">
        <v>0.15</v>
      </c>
      <c r="S72" s="15"/>
      <c r="T72" s="6">
        <f t="shared" si="4"/>
        <v>0.4</v>
      </c>
      <c r="U72" s="9" t="s">
        <v>129</v>
      </c>
      <c r="V72" s="1"/>
      <c r="W72" s="1"/>
      <c r="X72" s="1"/>
      <c r="Y72" s="1"/>
      <c r="Z72" s="1"/>
    </row>
    <row r="73" spans="1:26" ht="39.75" customHeight="1">
      <c r="A73" s="171"/>
      <c r="B73" s="171"/>
      <c r="C73" s="171"/>
      <c r="D73" s="5">
        <v>67</v>
      </c>
      <c r="E73" s="5" t="s">
        <v>131</v>
      </c>
      <c r="F73" s="15"/>
      <c r="G73" s="15"/>
      <c r="H73" s="15"/>
      <c r="I73" s="15">
        <v>0.625</v>
      </c>
      <c r="J73" s="15"/>
      <c r="K73" s="17"/>
      <c r="L73" s="15"/>
      <c r="M73" s="15"/>
      <c r="N73" s="17">
        <v>0.6</v>
      </c>
      <c r="O73" s="15">
        <v>1.5</v>
      </c>
      <c r="P73" s="16">
        <v>2</v>
      </c>
      <c r="Q73" s="17">
        <v>1.145</v>
      </c>
      <c r="R73" s="16">
        <v>3.75</v>
      </c>
      <c r="S73" s="16"/>
      <c r="T73" s="6">
        <f t="shared" si="4"/>
        <v>9.6199999999999992</v>
      </c>
      <c r="U73" s="9" t="s">
        <v>367</v>
      </c>
      <c r="V73" s="1"/>
      <c r="W73" s="1"/>
      <c r="X73" s="1"/>
      <c r="Y73" s="1"/>
      <c r="Z73" s="1"/>
    </row>
    <row r="74" spans="1:26" ht="39.75" customHeight="1">
      <c r="A74" s="171"/>
      <c r="B74" s="169"/>
      <c r="C74" s="169"/>
      <c r="D74" s="5">
        <v>68</v>
      </c>
      <c r="E74" s="5" t="s">
        <v>133</v>
      </c>
      <c r="F74" s="16"/>
      <c r="G74" s="15"/>
      <c r="H74" s="15"/>
      <c r="I74" s="17"/>
      <c r="J74" s="15"/>
      <c r="K74" s="17"/>
      <c r="L74" s="15"/>
      <c r="M74" s="15"/>
      <c r="N74" s="17">
        <v>1.1000000000000001</v>
      </c>
      <c r="O74" s="16"/>
      <c r="P74" s="16">
        <v>3.4750000000000001</v>
      </c>
      <c r="Q74" s="17">
        <v>3.5</v>
      </c>
      <c r="R74" s="16">
        <v>5.9</v>
      </c>
      <c r="S74" s="16">
        <v>6.4</v>
      </c>
      <c r="T74" s="6">
        <f t="shared" si="4"/>
        <v>20.375</v>
      </c>
      <c r="U74" s="9" t="s">
        <v>134</v>
      </c>
      <c r="V74" s="1"/>
      <c r="W74" s="1"/>
      <c r="X74" s="1"/>
      <c r="Y74" s="1"/>
      <c r="Z74" s="1"/>
    </row>
    <row r="75" spans="1:26" ht="39.75" customHeight="1">
      <c r="A75" s="171"/>
      <c r="B75" s="168" t="s">
        <v>136</v>
      </c>
      <c r="C75" s="168" t="s">
        <v>137</v>
      </c>
      <c r="D75" s="5">
        <v>69</v>
      </c>
      <c r="E75" s="5" t="s">
        <v>138</v>
      </c>
      <c r="F75" s="20"/>
      <c r="G75" s="20"/>
      <c r="H75" s="20"/>
      <c r="I75" s="20"/>
      <c r="J75" s="20"/>
      <c r="K75" s="20"/>
      <c r="L75" s="20"/>
      <c r="M75" s="20">
        <v>0.68</v>
      </c>
      <c r="N75" s="20"/>
      <c r="O75" s="20">
        <v>91.286000000000001</v>
      </c>
      <c r="P75" s="20">
        <v>0.6</v>
      </c>
      <c r="Q75" s="20"/>
      <c r="R75" s="20"/>
      <c r="S75" s="20"/>
      <c r="T75" s="6">
        <f t="shared" si="4"/>
        <v>92.566000000000003</v>
      </c>
      <c r="U75" s="10" t="s">
        <v>440</v>
      </c>
      <c r="V75" s="1"/>
      <c r="W75" s="1"/>
      <c r="X75" s="1"/>
      <c r="Y75" s="1"/>
      <c r="Z75" s="1"/>
    </row>
    <row r="76" spans="1:26" ht="39.75" customHeight="1">
      <c r="A76" s="171"/>
      <c r="B76" s="171"/>
      <c r="C76" s="171"/>
      <c r="D76" s="5">
        <v>70</v>
      </c>
      <c r="E76" s="5" t="s">
        <v>140</v>
      </c>
      <c r="F76" s="20"/>
      <c r="G76" s="20"/>
      <c r="H76" s="20"/>
      <c r="I76" s="20">
        <v>0.4</v>
      </c>
      <c r="J76" s="20"/>
      <c r="K76" s="20"/>
      <c r="L76" s="20"/>
      <c r="M76" s="20"/>
      <c r="N76" s="20"/>
      <c r="O76" s="20"/>
      <c r="P76" s="20">
        <v>0.3</v>
      </c>
      <c r="Q76" s="20"/>
      <c r="R76" s="20"/>
      <c r="S76" s="20"/>
      <c r="T76" s="6">
        <f t="shared" si="4"/>
        <v>0.7</v>
      </c>
      <c r="U76" s="46" t="s">
        <v>441</v>
      </c>
      <c r="V76" s="1"/>
      <c r="W76" s="1"/>
      <c r="X76" s="1"/>
      <c r="Y76" s="1"/>
      <c r="Z76" s="1"/>
    </row>
    <row r="77" spans="1:26" ht="39.75" customHeight="1">
      <c r="A77" s="171"/>
      <c r="B77" s="171"/>
      <c r="C77" s="171"/>
      <c r="D77" s="5">
        <v>71</v>
      </c>
      <c r="E77" s="5" t="s">
        <v>142</v>
      </c>
      <c r="F77" s="20"/>
      <c r="G77" s="20"/>
      <c r="H77" s="20"/>
      <c r="I77" s="20"/>
      <c r="J77" s="20"/>
      <c r="K77" s="20"/>
      <c r="L77" s="20"/>
      <c r="M77" s="20"/>
      <c r="N77" s="20"/>
      <c r="O77" s="20"/>
      <c r="P77" s="20"/>
      <c r="Q77" s="20"/>
      <c r="R77" s="20"/>
      <c r="S77" s="20"/>
      <c r="T77" s="6">
        <f t="shared" si="4"/>
        <v>0</v>
      </c>
      <c r="U77" s="46"/>
      <c r="V77" s="1"/>
      <c r="W77" s="1"/>
      <c r="X77" s="1"/>
      <c r="Y77" s="1"/>
      <c r="Z77" s="1"/>
    </row>
    <row r="78" spans="1:26" ht="39.75" customHeight="1">
      <c r="A78" s="171"/>
      <c r="B78" s="169"/>
      <c r="C78" s="169"/>
      <c r="D78" s="5">
        <v>72</v>
      </c>
      <c r="E78" s="5" t="s">
        <v>143</v>
      </c>
      <c r="F78" s="20"/>
      <c r="G78" s="20"/>
      <c r="H78" s="20"/>
      <c r="I78" s="20"/>
      <c r="J78" s="20"/>
      <c r="K78" s="20"/>
      <c r="L78" s="20"/>
      <c r="M78" s="20"/>
      <c r="N78" s="20">
        <v>5.37</v>
      </c>
      <c r="O78" s="20"/>
      <c r="P78" s="20"/>
      <c r="Q78" s="20">
        <v>3.371</v>
      </c>
      <c r="R78" s="20">
        <v>3.1469999999999998</v>
      </c>
      <c r="S78" s="20"/>
      <c r="T78" s="6">
        <f t="shared" si="4"/>
        <v>11.888</v>
      </c>
      <c r="U78" s="46" t="s">
        <v>442</v>
      </c>
      <c r="V78" s="1"/>
      <c r="W78" s="1"/>
      <c r="X78" s="1"/>
      <c r="Y78" s="1"/>
      <c r="Z78" s="1"/>
    </row>
    <row r="79" spans="1:26" ht="39.75" customHeight="1">
      <c r="A79" s="171"/>
      <c r="B79" s="168" t="s">
        <v>145</v>
      </c>
      <c r="C79" s="168" t="s">
        <v>146</v>
      </c>
      <c r="D79" s="5">
        <v>73</v>
      </c>
      <c r="E79" s="5" t="s">
        <v>147</v>
      </c>
      <c r="F79" s="128">
        <v>6.1</v>
      </c>
      <c r="G79" s="128"/>
      <c r="H79" s="128">
        <v>2.5</v>
      </c>
      <c r="I79" s="128">
        <f>2.5+2.4+2+1.5</f>
        <v>8.4</v>
      </c>
      <c r="J79" s="112"/>
      <c r="K79" s="128">
        <f>2.8</f>
        <v>2.8</v>
      </c>
      <c r="L79" s="112"/>
      <c r="M79" s="128">
        <f>4.9+5.2</f>
        <v>10.100000000000001</v>
      </c>
      <c r="N79" s="128">
        <f>4+1.9+0.7</f>
        <v>6.6000000000000005</v>
      </c>
      <c r="O79" s="128"/>
      <c r="P79" s="128">
        <f>1.3+0.2+1.5</f>
        <v>3</v>
      </c>
      <c r="Q79" s="112"/>
      <c r="R79" s="128">
        <f>4.3+2.5+1.4+0.8+3.2+1</f>
        <v>13.2</v>
      </c>
      <c r="S79" s="128">
        <f>0.5</f>
        <v>0.5</v>
      </c>
      <c r="T79" s="129">
        <f>SUM(F79:S79)</f>
        <v>53.2</v>
      </c>
      <c r="U79" s="130" t="s">
        <v>778</v>
      </c>
      <c r="V79" s="1"/>
      <c r="W79" s="1"/>
      <c r="X79" s="1"/>
      <c r="Y79" s="1"/>
      <c r="Z79" s="1"/>
    </row>
    <row r="80" spans="1:26" ht="39.75" customHeight="1">
      <c r="A80" s="171"/>
      <c r="B80" s="171"/>
      <c r="C80" s="171"/>
      <c r="D80" s="5">
        <v>74</v>
      </c>
      <c r="E80" s="5" t="s">
        <v>148</v>
      </c>
      <c r="F80" s="128">
        <f>56+4</f>
        <v>60</v>
      </c>
      <c r="G80" s="128"/>
      <c r="H80" s="112"/>
      <c r="I80" s="112"/>
      <c r="J80" s="112"/>
      <c r="K80" s="112"/>
      <c r="L80" s="112"/>
      <c r="M80" s="112"/>
      <c r="N80" s="112"/>
      <c r="O80" s="112"/>
      <c r="P80" s="112"/>
      <c r="Q80" s="112"/>
      <c r="R80" s="112"/>
      <c r="S80" s="112"/>
      <c r="T80" s="129">
        <f t="shared" ref="T80:T84" si="5">SUM(F80:S80)</f>
        <v>60</v>
      </c>
      <c r="U80" s="130" t="s">
        <v>779</v>
      </c>
      <c r="V80" s="1"/>
      <c r="W80" s="1"/>
      <c r="X80" s="1"/>
      <c r="Y80" s="1"/>
      <c r="Z80" s="1"/>
    </row>
    <row r="81" spans="1:26" ht="39.75" customHeight="1">
      <c r="A81" s="171"/>
      <c r="B81" s="171"/>
      <c r="C81" s="171"/>
      <c r="D81" s="5">
        <v>75</v>
      </c>
      <c r="E81" s="5" t="s">
        <v>149</v>
      </c>
      <c r="F81" s="128">
        <f>4.1+1.8</f>
        <v>5.8999999999999995</v>
      </c>
      <c r="G81" s="128"/>
      <c r="H81" s="112"/>
      <c r="I81" s="112"/>
      <c r="J81" s="112"/>
      <c r="K81" s="112"/>
      <c r="L81" s="112"/>
      <c r="M81" s="112"/>
      <c r="N81" s="112"/>
      <c r="O81" s="112"/>
      <c r="P81" s="128">
        <f>2.8</f>
        <v>2.8</v>
      </c>
      <c r="Q81" s="112"/>
      <c r="R81" s="112"/>
      <c r="S81" s="112"/>
      <c r="T81" s="129">
        <f t="shared" si="5"/>
        <v>8.6999999999999993</v>
      </c>
      <c r="U81" s="130" t="s">
        <v>780</v>
      </c>
      <c r="V81" s="1"/>
      <c r="W81" s="1"/>
      <c r="X81" s="1"/>
      <c r="Y81" s="1"/>
      <c r="Z81" s="1"/>
    </row>
    <row r="82" spans="1:26" ht="39.75" customHeight="1">
      <c r="A82" s="171"/>
      <c r="B82" s="171"/>
      <c r="C82" s="171"/>
      <c r="D82" s="5">
        <v>76</v>
      </c>
      <c r="E82" s="5" t="s">
        <v>150</v>
      </c>
      <c r="F82" s="112"/>
      <c r="G82" s="112"/>
      <c r="H82" s="112"/>
      <c r="I82" s="112"/>
      <c r="J82" s="112"/>
      <c r="K82" s="128"/>
      <c r="L82" s="112"/>
      <c r="M82" s="128">
        <v>2.2000000000000002</v>
      </c>
      <c r="N82" s="112"/>
      <c r="O82" s="112"/>
      <c r="P82" s="112"/>
      <c r="Q82" s="112"/>
      <c r="R82" s="112"/>
      <c r="S82" s="112"/>
      <c r="T82" s="129">
        <f t="shared" si="5"/>
        <v>2.2000000000000002</v>
      </c>
      <c r="U82" s="131" t="s">
        <v>747</v>
      </c>
      <c r="V82" s="1"/>
      <c r="W82" s="1"/>
      <c r="X82" s="1"/>
      <c r="Y82" s="1"/>
      <c r="Z82" s="1"/>
    </row>
    <row r="83" spans="1:26" ht="39.75" customHeight="1">
      <c r="A83" s="171"/>
      <c r="B83" s="171"/>
      <c r="C83" s="171"/>
      <c r="D83" s="5">
        <v>77</v>
      </c>
      <c r="E83" s="5" t="s">
        <v>151</v>
      </c>
      <c r="F83" s="128">
        <v>2</v>
      </c>
      <c r="G83" s="128"/>
      <c r="H83" s="128">
        <v>1.5</v>
      </c>
      <c r="I83" s="128">
        <f>1+1</f>
        <v>2</v>
      </c>
      <c r="J83" s="112"/>
      <c r="K83" s="128">
        <f>1.8</f>
        <v>1.8</v>
      </c>
      <c r="L83" s="112"/>
      <c r="M83" s="128"/>
      <c r="N83" s="128">
        <f>0.4</f>
        <v>0.4</v>
      </c>
      <c r="O83" s="112"/>
      <c r="P83" s="112"/>
      <c r="Q83" s="112"/>
      <c r="R83" s="112"/>
      <c r="S83" s="128">
        <f>0.5</f>
        <v>0.5</v>
      </c>
      <c r="T83" s="129">
        <f t="shared" si="5"/>
        <v>8.1999999999999993</v>
      </c>
      <c r="U83" s="130" t="s">
        <v>781</v>
      </c>
      <c r="V83" s="1"/>
      <c r="W83" s="1"/>
      <c r="X83" s="1"/>
      <c r="Y83" s="1"/>
      <c r="Z83" s="1"/>
    </row>
    <row r="84" spans="1:26" ht="39.75" customHeight="1">
      <c r="A84" s="171"/>
      <c r="B84" s="171"/>
      <c r="C84" s="171"/>
      <c r="D84" s="5">
        <v>78</v>
      </c>
      <c r="E84" s="5" t="s">
        <v>152</v>
      </c>
      <c r="F84" s="112"/>
      <c r="G84" s="112"/>
      <c r="H84" s="112"/>
      <c r="I84" s="112"/>
      <c r="J84" s="112"/>
      <c r="K84" s="112"/>
      <c r="L84" s="112"/>
      <c r="M84" s="112"/>
      <c r="N84" s="112"/>
      <c r="O84" s="112"/>
      <c r="P84" s="112"/>
      <c r="Q84" s="128">
        <f>10.6+1.4</f>
        <v>12</v>
      </c>
      <c r="R84" s="112"/>
      <c r="S84" s="112"/>
      <c r="T84" s="129">
        <f t="shared" si="5"/>
        <v>12</v>
      </c>
      <c r="U84" s="130" t="s">
        <v>782</v>
      </c>
      <c r="V84" s="1"/>
      <c r="W84" s="1"/>
      <c r="X84" s="1"/>
      <c r="Y84" s="1"/>
      <c r="Z84" s="1"/>
    </row>
    <row r="85" spans="1:26" ht="39.75" customHeight="1">
      <c r="A85" s="171"/>
      <c r="B85" s="169"/>
      <c r="C85" s="169"/>
      <c r="D85" s="5">
        <v>79</v>
      </c>
      <c r="E85" s="5" t="s">
        <v>54</v>
      </c>
      <c r="F85" s="112"/>
      <c r="G85" s="112"/>
      <c r="H85" s="112"/>
      <c r="I85" s="112"/>
      <c r="J85" s="112"/>
      <c r="K85" s="112"/>
      <c r="L85" s="112"/>
      <c r="M85" s="112"/>
      <c r="N85" s="112"/>
      <c r="O85" s="112"/>
      <c r="P85" s="112"/>
      <c r="Q85" s="112"/>
      <c r="R85" s="112"/>
      <c r="S85" s="112"/>
      <c r="T85" s="129"/>
      <c r="U85" s="112"/>
      <c r="V85" s="1"/>
      <c r="W85" s="1"/>
      <c r="X85" s="1"/>
      <c r="Y85" s="1"/>
      <c r="Z85" s="1"/>
    </row>
    <row r="86" spans="1:26" ht="39.75" customHeight="1">
      <c r="A86" s="171"/>
      <c r="B86" s="168" t="s">
        <v>153</v>
      </c>
      <c r="C86" s="168" t="s">
        <v>154</v>
      </c>
      <c r="D86" s="5">
        <v>80</v>
      </c>
      <c r="E86" s="5" t="s">
        <v>155</v>
      </c>
      <c r="F86" s="5"/>
      <c r="G86" s="5"/>
      <c r="H86" s="5"/>
      <c r="I86" s="5"/>
      <c r="J86" s="5"/>
      <c r="K86" s="25"/>
      <c r="L86" s="5"/>
      <c r="M86" s="6"/>
      <c r="N86" s="5"/>
      <c r="O86" s="5"/>
      <c r="P86" s="8">
        <v>2.4</v>
      </c>
      <c r="Q86" s="6">
        <v>1</v>
      </c>
      <c r="R86" s="8"/>
      <c r="S86" s="5"/>
      <c r="T86" s="6">
        <f t="shared" si="4"/>
        <v>3.4</v>
      </c>
      <c r="U86" s="10" t="s">
        <v>443</v>
      </c>
      <c r="V86" s="1"/>
      <c r="W86" s="1"/>
      <c r="X86" s="1"/>
      <c r="Y86" s="1"/>
      <c r="Z86" s="1"/>
    </row>
    <row r="87" spans="1:26" ht="39.75" customHeight="1">
      <c r="A87" s="171"/>
      <c r="B87" s="171"/>
      <c r="C87" s="171"/>
      <c r="D87" s="5">
        <v>81</v>
      </c>
      <c r="E87" s="5" t="s">
        <v>156</v>
      </c>
      <c r="F87" s="5"/>
      <c r="G87" s="5"/>
      <c r="H87" s="5"/>
      <c r="I87" s="5"/>
      <c r="J87" s="5"/>
      <c r="K87" s="5"/>
      <c r="L87" s="5"/>
      <c r="M87" s="6"/>
      <c r="N87" s="6"/>
      <c r="O87" s="5"/>
      <c r="P87" s="8"/>
      <c r="Q87" s="8"/>
      <c r="R87" s="5"/>
      <c r="S87" s="5"/>
      <c r="T87" s="6">
        <f t="shared" si="4"/>
        <v>0</v>
      </c>
      <c r="U87" s="46"/>
      <c r="V87" s="1"/>
      <c r="W87" s="1"/>
      <c r="X87" s="1"/>
      <c r="Y87" s="1"/>
      <c r="Z87" s="1"/>
    </row>
    <row r="88" spans="1:26" ht="39.75" customHeight="1">
      <c r="A88" s="171"/>
      <c r="B88" s="171"/>
      <c r="C88" s="171"/>
      <c r="D88" s="5">
        <v>82</v>
      </c>
      <c r="E88" s="5" t="s">
        <v>157</v>
      </c>
      <c r="F88" s="5"/>
      <c r="G88" s="5"/>
      <c r="H88" s="5"/>
      <c r="I88" s="5"/>
      <c r="J88" s="5"/>
      <c r="K88" s="5"/>
      <c r="L88" s="5"/>
      <c r="M88" s="5"/>
      <c r="N88" s="5"/>
      <c r="O88" s="5"/>
      <c r="P88" s="8">
        <v>3</v>
      </c>
      <c r="Q88" s="5"/>
      <c r="R88" s="5"/>
      <c r="S88" s="5"/>
      <c r="T88" s="6">
        <f t="shared" si="4"/>
        <v>3</v>
      </c>
      <c r="U88" s="46" t="s">
        <v>444</v>
      </c>
      <c r="V88" s="1"/>
      <c r="W88" s="1"/>
      <c r="X88" s="1"/>
      <c r="Y88" s="1"/>
      <c r="Z88" s="1"/>
    </row>
    <row r="89" spans="1:26" ht="39.75" customHeight="1">
      <c r="A89" s="171"/>
      <c r="B89" s="169"/>
      <c r="C89" s="169"/>
      <c r="D89" s="5">
        <v>83</v>
      </c>
      <c r="E89" s="5" t="s">
        <v>158</v>
      </c>
      <c r="F89" s="5"/>
      <c r="G89" s="5"/>
      <c r="H89" s="5"/>
      <c r="I89" s="5"/>
      <c r="J89" s="5"/>
      <c r="K89" s="6">
        <v>1</v>
      </c>
      <c r="L89" s="5"/>
      <c r="M89" s="8"/>
      <c r="N89" s="6"/>
      <c r="O89" s="5"/>
      <c r="P89" s="8">
        <v>1.54</v>
      </c>
      <c r="Q89" s="6"/>
      <c r="R89" s="8"/>
      <c r="S89" s="5"/>
      <c r="T89" s="6">
        <f t="shared" si="4"/>
        <v>2.54</v>
      </c>
      <c r="U89" s="46" t="s">
        <v>445</v>
      </c>
      <c r="V89" s="1"/>
      <c r="W89" s="1"/>
      <c r="X89" s="1"/>
      <c r="Y89" s="1"/>
      <c r="Z89" s="1"/>
    </row>
    <row r="90" spans="1:26" ht="39.75" customHeight="1">
      <c r="A90" s="171"/>
      <c r="B90" s="5" t="s">
        <v>159</v>
      </c>
      <c r="C90" s="5" t="s">
        <v>160</v>
      </c>
      <c r="D90" s="5">
        <v>84</v>
      </c>
      <c r="E90" s="5" t="s">
        <v>161</v>
      </c>
      <c r="F90" s="5"/>
      <c r="G90" s="5"/>
      <c r="H90" s="5"/>
      <c r="I90" s="6"/>
      <c r="J90" s="5"/>
      <c r="K90" s="6"/>
      <c r="L90" s="5"/>
      <c r="M90" s="5"/>
      <c r="N90" s="6">
        <v>0.78</v>
      </c>
      <c r="O90" s="5"/>
      <c r="P90" s="5"/>
      <c r="Q90" s="6">
        <v>2.5</v>
      </c>
      <c r="R90" s="8">
        <v>0.2</v>
      </c>
      <c r="S90" s="5"/>
      <c r="T90" s="6">
        <f t="shared" si="4"/>
        <v>3.4800000000000004</v>
      </c>
      <c r="U90" s="9" t="s">
        <v>581</v>
      </c>
      <c r="V90" s="1"/>
      <c r="W90" s="1"/>
      <c r="X90" s="1"/>
      <c r="Y90" s="1"/>
      <c r="Z90" s="1"/>
    </row>
    <row r="91" spans="1:26" ht="39.75" customHeight="1">
      <c r="A91" s="171"/>
      <c r="B91" s="5" t="s">
        <v>162</v>
      </c>
      <c r="C91" s="5" t="s">
        <v>163</v>
      </c>
      <c r="D91" s="5">
        <v>85</v>
      </c>
      <c r="E91" s="5" t="s">
        <v>164</v>
      </c>
      <c r="F91" s="5"/>
      <c r="G91" s="5"/>
      <c r="H91" s="5"/>
      <c r="I91" s="5"/>
      <c r="J91" s="5"/>
      <c r="K91" s="6"/>
      <c r="L91" s="5"/>
      <c r="M91" s="5"/>
      <c r="N91" s="6">
        <v>0.25</v>
      </c>
      <c r="O91" s="5"/>
      <c r="P91" s="5"/>
      <c r="Q91" s="6">
        <v>1</v>
      </c>
      <c r="R91" s="8"/>
      <c r="S91" s="5"/>
      <c r="T91" s="6">
        <f t="shared" si="4"/>
        <v>1.25</v>
      </c>
      <c r="U91" s="9" t="s">
        <v>165</v>
      </c>
      <c r="V91" s="1"/>
      <c r="W91" s="1"/>
      <c r="X91" s="1"/>
      <c r="Y91" s="1"/>
      <c r="Z91" s="1"/>
    </row>
    <row r="92" spans="1:26" ht="39.75" customHeight="1">
      <c r="A92" s="171"/>
      <c r="B92" s="5" t="s">
        <v>166</v>
      </c>
      <c r="C92" s="5" t="s">
        <v>54</v>
      </c>
      <c r="D92" s="5">
        <v>86</v>
      </c>
      <c r="E92" s="5" t="s">
        <v>167</v>
      </c>
      <c r="F92" s="5"/>
      <c r="G92" s="5"/>
      <c r="H92" s="5"/>
      <c r="I92" s="5"/>
      <c r="J92" s="5"/>
      <c r="K92" s="5"/>
      <c r="L92" s="5"/>
      <c r="M92" s="5"/>
      <c r="N92" s="5"/>
      <c r="O92" s="5"/>
      <c r="P92" s="5"/>
      <c r="Q92" s="5"/>
      <c r="R92" s="5"/>
      <c r="S92" s="5"/>
      <c r="T92" s="6">
        <f t="shared" si="4"/>
        <v>0</v>
      </c>
      <c r="U92" s="9"/>
      <c r="V92" s="1"/>
      <c r="W92" s="1"/>
      <c r="X92" s="1"/>
      <c r="Y92" s="1"/>
      <c r="Z92" s="1"/>
    </row>
    <row r="93" spans="1:26" ht="39.75" customHeight="1">
      <c r="A93" s="169"/>
      <c r="B93" s="176" t="s">
        <v>168</v>
      </c>
      <c r="C93" s="177"/>
      <c r="D93" s="178"/>
      <c r="E93" s="51"/>
      <c r="F93" s="51">
        <f t="shared" ref="F93:S93" si="6">SUM(F69:F92)</f>
        <v>74</v>
      </c>
      <c r="G93" s="51">
        <f t="shared" si="6"/>
        <v>0</v>
      </c>
      <c r="H93" s="51">
        <f t="shared" si="6"/>
        <v>4</v>
      </c>
      <c r="I93" s="51">
        <f t="shared" si="6"/>
        <v>11.425000000000001</v>
      </c>
      <c r="J93" s="51">
        <f t="shared" si="6"/>
        <v>0</v>
      </c>
      <c r="K93" s="51">
        <f t="shared" si="6"/>
        <v>5.6</v>
      </c>
      <c r="L93" s="51">
        <f t="shared" si="6"/>
        <v>0</v>
      </c>
      <c r="M93" s="56">
        <f t="shared" si="6"/>
        <v>12.98</v>
      </c>
      <c r="N93" s="52">
        <f t="shared" si="6"/>
        <v>26.25</v>
      </c>
      <c r="O93" s="51">
        <f t="shared" si="6"/>
        <v>93.311000000000007</v>
      </c>
      <c r="P93" s="52">
        <f t="shared" si="6"/>
        <v>55.668999999999997</v>
      </c>
      <c r="Q93" s="51">
        <f t="shared" si="6"/>
        <v>25.816000000000003</v>
      </c>
      <c r="R93" s="56">
        <f t="shared" si="6"/>
        <v>34.347000000000001</v>
      </c>
      <c r="S93" s="56">
        <f t="shared" si="6"/>
        <v>7.4</v>
      </c>
      <c r="T93" s="6">
        <f t="shared" si="4"/>
        <v>350.798</v>
      </c>
      <c r="U93" s="9"/>
      <c r="V93" s="1"/>
      <c r="W93" s="1"/>
      <c r="X93" s="1"/>
      <c r="Y93" s="1"/>
      <c r="Z93" s="1"/>
    </row>
    <row r="94" spans="1:26" ht="39.75" customHeight="1">
      <c r="A94" s="175" t="s">
        <v>169</v>
      </c>
      <c r="B94" s="168" t="s">
        <v>170</v>
      </c>
      <c r="C94" s="168" t="s">
        <v>171</v>
      </c>
      <c r="D94" s="5">
        <v>87</v>
      </c>
      <c r="E94" s="5" t="s">
        <v>172</v>
      </c>
      <c r="F94" s="114"/>
      <c r="G94" s="114"/>
      <c r="H94" s="114"/>
      <c r="I94" s="114"/>
      <c r="J94" s="114"/>
      <c r="K94" s="115">
        <v>10</v>
      </c>
      <c r="L94" s="114"/>
      <c r="M94" s="114"/>
      <c r="N94" s="114"/>
      <c r="O94" s="114"/>
      <c r="P94" s="114"/>
      <c r="Q94" s="114"/>
      <c r="R94" s="114"/>
      <c r="S94" s="116"/>
      <c r="T94" s="117">
        <f>SUM(F94:S94)</f>
        <v>10</v>
      </c>
      <c r="U94" s="88" t="s">
        <v>718</v>
      </c>
      <c r="V94" s="18"/>
      <c r="W94" s="1"/>
      <c r="X94" s="1"/>
      <c r="Y94" s="1"/>
      <c r="Z94" s="1"/>
    </row>
    <row r="95" spans="1:26" ht="39.75" customHeight="1">
      <c r="A95" s="171"/>
      <c r="B95" s="171"/>
      <c r="C95" s="171"/>
      <c r="D95" s="5">
        <v>88</v>
      </c>
      <c r="E95" s="5" t="s">
        <v>173</v>
      </c>
      <c r="F95" s="114"/>
      <c r="G95" s="114"/>
      <c r="H95" s="114"/>
      <c r="I95" s="114"/>
      <c r="J95" s="114"/>
      <c r="K95" s="114"/>
      <c r="L95" s="114"/>
      <c r="M95" s="114"/>
      <c r="N95" s="114"/>
      <c r="O95" s="114"/>
      <c r="P95" s="118">
        <v>4</v>
      </c>
      <c r="Q95" s="114"/>
      <c r="R95" s="114"/>
      <c r="S95" s="116"/>
      <c r="T95" s="117">
        <f t="shared" ref="T95:T103" si="7">SUM(F95:S95)</f>
        <v>4</v>
      </c>
      <c r="U95" s="88" t="s">
        <v>446</v>
      </c>
      <c r="V95" s="18"/>
      <c r="W95" s="1"/>
      <c r="X95" s="1"/>
      <c r="Y95" s="1"/>
      <c r="Z95" s="1"/>
    </row>
    <row r="96" spans="1:26" ht="39.75" customHeight="1">
      <c r="A96" s="171"/>
      <c r="B96" s="171"/>
      <c r="C96" s="171"/>
      <c r="D96" s="5">
        <v>89</v>
      </c>
      <c r="E96" s="5" t="s">
        <v>174</v>
      </c>
      <c r="F96" s="114"/>
      <c r="G96" s="114"/>
      <c r="H96" s="114"/>
      <c r="I96" s="114"/>
      <c r="J96" s="114"/>
      <c r="K96" s="114"/>
      <c r="L96" s="114"/>
      <c r="M96" s="114"/>
      <c r="N96" s="114"/>
      <c r="O96" s="114"/>
      <c r="P96" s="114"/>
      <c r="Q96" s="114"/>
      <c r="R96" s="114"/>
      <c r="S96" s="116"/>
      <c r="T96" s="117">
        <f t="shared" si="7"/>
        <v>0</v>
      </c>
      <c r="U96" s="88"/>
      <c r="V96" s="18"/>
      <c r="W96" s="1"/>
      <c r="X96" s="1"/>
      <c r="Y96" s="1"/>
      <c r="Z96" s="1"/>
    </row>
    <row r="97" spans="1:26" ht="39.75" customHeight="1">
      <c r="A97" s="171"/>
      <c r="B97" s="171"/>
      <c r="C97" s="171"/>
      <c r="D97" s="5">
        <v>90</v>
      </c>
      <c r="E97" s="5" t="s">
        <v>175</v>
      </c>
      <c r="F97" s="114"/>
      <c r="G97" s="114"/>
      <c r="H97" s="114"/>
      <c r="I97" s="114"/>
      <c r="J97" s="114"/>
      <c r="K97" s="114"/>
      <c r="L97" s="114"/>
      <c r="M97" s="114"/>
      <c r="N97" s="114"/>
      <c r="O97" s="114"/>
      <c r="P97" s="118"/>
      <c r="Q97" s="114"/>
      <c r="R97" s="114"/>
      <c r="S97" s="116"/>
      <c r="T97" s="117">
        <f t="shared" si="7"/>
        <v>0</v>
      </c>
      <c r="U97" s="88"/>
      <c r="V97" s="18"/>
      <c r="W97" s="1"/>
      <c r="X97" s="1"/>
      <c r="Y97" s="1"/>
      <c r="Z97" s="1"/>
    </row>
    <row r="98" spans="1:26" ht="39.75" customHeight="1">
      <c r="A98" s="171"/>
      <c r="B98" s="171"/>
      <c r="C98" s="171"/>
      <c r="D98" s="5">
        <v>91</v>
      </c>
      <c r="E98" s="5" t="s">
        <v>176</v>
      </c>
      <c r="F98" s="114"/>
      <c r="G98" s="114"/>
      <c r="H98" s="114"/>
      <c r="I98" s="114"/>
      <c r="J98" s="114"/>
      <c r="K98" s="115">
        <v>0</v>
      </c>
      <c r="L98" s="114"/>
      <c r="M98" s="114"/>
      <c r="N98" s="114"/>
      <c r="O98" s="114"/>
      <c r="P98" s="118">
        <v>2</v>
      </c>
      <c r="Q98" s="114"/>
      <c r="R98" s="114"/>
      <c r="S98" s="116"/>
      <c r="T98" s="117">
        <f t="shared" si="7"/>
        <v>2</v>
      </c>
      <c r="U98" s="119" t="s">
        <v>710</v>
      </c>
      <c r="V98" s="18"/>
      <c r="W98" s="1"/>
      <c r="X98" s="1"/>
      <c r="Y98" s="1"/>
      <c r="Z98" s="1"/>
    </row>
    <row r="99" spans="1:26" ht="39.75" customHeight="1">
      <c r="A99" s="171"/>
      <c r="B99" s="171"/>
      <c r="C99" s="171"/>
      <c r="D99" s="5">
        <v>92</v>
      </c>
      <c r="E99" s="5" t="s">
        <v>178</v>
      </c>
      <c r="F99" s="114"/>
      <c r="G99" s="114"/>
      <c r="H99" s="114"/>
      <c r="I99" s="114"/>
      <c r="J99" s="114"/>
      <c r="K99" s="114"/>
      <c r="L99" s="114"/>
      <c r="M99" s="114"/>
      <c r="N99" s="114"/>
      <c r="O99" s="114"/>
      <c r="P99" s="118">
        <v>2</v>
      </c>
      <c r="Q99" s="114"/>
      <c r="R99" s="114"/>
      <c r="S99" s="116"/>
      <c r="T99" s="117">
        <f t="shared" si="7"/>
        <v>2</v>
      </c>
      <c r="U99" s="120" t="s">
        <v>179</v>
      </c>
      <c r="V99" s="18"/>
      <c r="W99" s="1"/>
      <c r="X99" s="1"/>
      <c r="Y99" s="1"/>
      <c r="Z99" s="1"/>
    </row>
    <row r="100" spans="1:26" ht="39.75" customHeight="1">
      <c r="A100" s="171"/>
      <c r="B100" s="171"/>
      <c r="C100" s="171"/>
      <c r="D100" s="5">
        <v>93</v>
      </c>
      <c r="E100" s="5" t="s">
        <v>180</v>
      </c>
      <c r="F100" s="114"/>
      <c r="G100" s="114"/>
      <c r="H100" s="114"/>
      <c r="I100" s="118"/>
      <c r="J100" s="114"/>
      <c r="K100" s="114"/>
      <c r="L100" s="114"/>
      <c r="M100" s="114"/>
      <c r="N100" s="114"/>
      <c r="O100" s="114"/>
      <c r="P100" s="114"/>
      <c r="Q100" s="114"/>
      <c r="R100" s="114"/>
      <c r="S100" s="116"/>
      <c r="T100" s="117">
        <f t="shared" si="7"/>
        <v>0</v>
      </c>
      <c r="U100" s="119"/>
      <c r="V100" s="18"/>
      <c r="W100" s="1"/>
      <c r="X100" s="1"/>
      <c r="Y100" s="1"/>
      <c r="Z100" s="1"/>
    </row>
    <row r="101" spans="1:26" ht="39.75" customHeight="1">
      <c r="A101" s="171"/>
      <c r="B101" s="171"/>
      <c r="C101" s="171"/>
      <c r="D101" s="5">
        <v>94</v>
      </c>
      <c r="E101" s="5" t="s">
        <v>181</v>
      </c>
      <c r="F101" s="114"/>
      <c r="G101" s="114"/>
      <c r="H101" s="114"/>
      <c r="I101" s="118"/>
      <c r="J101" s="114"/>
      <c r="K101" s="114"/>
      <c r="L101" s="114"/>
      <c r="M101" s="114"/>
      <c r="N101" s="114"/>
      <c r="O101" s="114"/>
      <c r="P101" s="114"/>
      <c r="Q101" s="114"/>
      <c r="R101" s="114"/>
      <c r="S101" s="116"/>
      <c r="T101" s="117">
        <f t="shared" si="7"/>
        <v>0</v>
      </c>
      <c r="U101" s="120"/>
      <c r="V101" s="18"/>
      <c r="W101" s="1"/>
      <c r="X101" s="1"/>
      <c r="Y101" s="1"/>
      <c r="Z101" s="1"/>
    </row>
    <row r="102" spans="1:26" ht="39.75" customHeight="1">
      <c r="A102" s="171"/>
      <c r="B102" s="171"/>
      <c r="C102" s="171"/>
      <c r="D102" s="5">
        <v>95</v>
      </c>
      <c r="E102" s="5" t="s">
        <v>182</v>
      </c>
      <c r="F102" s="114"/>
      <c r="G102" s="114"/>
      <c r="H102" s="118"/>
      <c r="I102" s="115">
        <v>8</v>
      </c>
      <c r="J102" s="114"/>
      <c r="K102" s="114"/>
      <c r="L102" s="114"/>
      <c r="M102" s="114"/>
      <c r="N102" s="114"/>
      <c r="O102" s="114"/>
      <c r="P102" s="114"/>
      <c r="Q102" s="114"/>
      <c r="R102" s="114"/>
      <c r="S102" s="116"/>
      <c r="T102" s="117">
        <f t="shared" si="7"/>
        <v>8</v>
      </c>
      <c r="U102" s="88" t="s">
        <v>719</v>
      </c>
      <c r="V102" s="18"/>
      <c r="W102" s="1"/>
      <c r="X102" s="1"/>
      <c r="Y102" s="1"/>
      <c r="Z102" s="1"/>
    </row>
    <row r="103" spans="1:26" ht="39.75" customHeight="1">
      <c r="A103" s="171"/>
      <c r="B103" s="169"/>
      <c r="C103" s="169"/>
      <c r="D103" s="5">
        <v>96</v>
      </c>
      <c r="E103" s="5" t="s">
        <v>183</v>
      </c>
      <c r="F103" s="114"/>
      <c r="G103" s="114"/>
      <c r="H103" s="114"/>
      <c r="I103" s="114"/>
      <c r="J103" s="114"/>
      <c r="K103" s="114"/>
      <c r="L103" s="114"/>
      <c r="M103" s="114"/>
      <c r="N103" s="115">
        <v>0</v>
      </c>
      <c r="O103" s="114"/>
      <c r="P103" s="114"/>
      <c r="Q103" s="115">
        <v>1</v>
      </c>
      <c r="R103" s="118">
        <v>1</v>
      </c>
      <c r="S103" s="116"/>
      <c r="T103" s="117">
        <f t="shared" si="7"/>
        <v>2</v>
      </c>
      <c r="U103" s="88" t="s">
        <v>421</v>
      </c>
      <c r="V103" s="18"/>
      <c r="W103" s="1"/>
      <c r="X103" s="1"/>
      <c r="Y103" s="1"/>
      <c r="Z103" s="1"/>
    </row>
    <row r="104" spans="1:26" ht="39.75" customHeight="1">
      <c r="A104" s="171"/>
      <c r="B104" s="168" t="s">
        <v>184</v>
      </c>
      <c r="C104" s="168" t="s">
        <v>185</v>
      </c>
      <c r="D104" s="5">
        <v>97</v>
      </c>
      <c r="E104" s="5" t="s">
        <v>186</v>
      </c>
      <c r="F104" s="5"/>
      <c r="G104" s="5"/>
      <c r="H104" s="5"/>
      <c r="I104" s="6"/>
      <c r="J104" s="5"/>
      <c r="K104" s="6"/>
      <c r="L104" s="5"/>
      <c r="M104" s="6"/>
      <c r="N104" s="6">
        <v>5.5</v>
      </c>
      <c r="O104" s="5"/>
      <c r="P104" s="8">
        <v>18.899999999999999</v>
      </c>
      <c r="Q104" s="6">
        <v>4</v>
      </c>
      <c r="R104" s="8">
        <v>17.55</v>
      </c>
      <c r="S104" s="5"/>
      <c r="T104" s="6">
        <f t="shared" si="4"/>
        <v>45.95</v>
      </c>
      <c r="U104" s="10" t="s">
        <v>391</v>
      </c>
      <c r="V104" s="1"/>
      <c r="W104" s="1"/>
      <c r="X104" s="1"/>
      <c r="Y104" s="1"/>
      <c r="Z104" s="1"/>
    </row>
    <row r="105" spans="1:26" ht="39.75" customHeight="1">
      <c r="A105" s="171"/>
      <c r="B105" s="169"/>
      <c r="C105" s="169"/>
      <c r="D105" s="5">
        <v>98</v>
      </c>
      <c r="E105" s="5" t="s">
        <v>54</v>
      </c>
      <c r="F105" s="5"/>
      <c r="G105" s="5"/>
      <c r="H105" s="5"/>
      <c r="I105" s="5"/>
      <c r="J105" s="5"/>
      <c r="K105" s="5"/>
      <c r="L105" s="5"/>
      <c r="M105" s="5"/>
      <c r="N105" s="5"/>
      <c r="O105" s="5"/>
      <c r="P105" s="5"/>
      <c r="Q105" s="5"/>
      <c r="R105" s="5"/>
      <c r="S105" s="5"/>
      <c r="T105" s="6">
        <f t="shared" si="4"/>
        <v>0</v>
      </c>
      <c r="U105" s="46"/>
      <c r="V105" s="1"/>
      <c r="W105" s="1"/>
      <c r="X105" s="1"/>
      <c r="Y105" s="1"/>
      <c r="Z105" s="1"/>
    </row>
    <row r="106" spans="1:26" ht="39.75" customHeight="1">
      <c r="A106" s="171"/>
      <c r="B106" s="168" t="s">
        <v>188</v>
      </c>
      <c r="C106" s="168" t="s">
        <v>189</v>
      </c>
      <c r="D106" s="5">
        <v>99</v>
      </c>
      <c r="E106" s="5" t="s">
        <v>190</v>
      </c>
      <c r="F106" s="5"/>
      <c r="G106" s="5"/>
      <c r="H106" s="8"/>
      <c r="I106" s="6">
        <v>2</v>
      </c>
      <c r="J106" s="5"/>
      <c r="K106" s="6"/>
      <c r="L106" s="5"/>
      <c r="M106" s="5"/>
      <c r="N106" s="6">
        <v>0.8</v>
      </c>
      <c r="O106" s="5"/>
      <c r="P106" s="5"/>
      <c r="Q106" s="6">
        <v>2</v>
      </c>
      <c r="R106" s="5"/>
      <c r="S106" s="5"/>
      <c r="T106" s="6">
        <f t="shared" si="4"/>
        <v>4.8</v>
      </c>
      <c r="U106" s="46" t="s">
        <v>374</v>
      </c>
      <c r="V106" s="1"/>
      <c r="W106" s="1"/>
      <c r="X106" s="1"/>
      <c r="Y106" s="1"/>
      <c r="Z106" s="1"/>
    </row>
    <row r="107" spans="1:26" ht="39.75" customHeight="1">
      <c r="A107" s="171"/>
      <c r="B107" s="171"/>
      <c r="C107" s="171"/>
      <c r="D107" s="5">
        <v>100</v>
      </c>
      <c r="E107" s="5" t="s">
        <v>192</v>
      </c>
      <c r="F107" s="5"/>
      <c r="G107" s="5"/>
      <c r="H107" s="5"/>
      <c r="I107" s="6">
        <v>1.2</v>
      </c>
      <c r="J107" s="5"/>
      <c r="K107" s="6"/>
      <c r="L107" s="5"/>
      <c r="M107" s="5"/>
      <c r="N107" s="5"/>
      <c r="O107" s="5"/>
      <c r="P107" s="5"/>
      <c r="Q107" s="5"/>
      <c r="R107" s="5"/>
      <c r="S107" s="5"/>
      <c r="T107" s="6">
        <f t="shared" si="4"/>
        <v>1.2</v>
      </c>
      <c r="U107" s="46" t="s">
        <v>193</v>
      </c>
      <c r="V107" s="1"/>
      <c r="W107" s="1"/>
      <c r="X107" s="1"/>
      <c r="Y107" s="1"/>
      <c r="Z107" s="1"/>
    </row>
    <row r="108" spans="1:26" ht="39.75" customHeight="1">
      <c r="A108" s="171"/>
      <c r="B108" s="171"/>
      <c r="C108" s="171"/>
      <c r="D108" s="5">
        <v>101</v>
      </c>
      <c r="E108" s="5" t="s">
        <v>194</v>
      </c>
      <c r="F108" s="5"/>
      <c r="G108" s="5"/>
      <c r="H108" s="5"/>
      <c r="I108" s="5"/>
      <c r="J108" s="5"/>
      <c r="K108" s="5"/>
      <c r="L108" s="5"/>
      <c r="M108" s="5"/>
      <c r="N108" s="5"/>
      <c r="O108" s="5"/>
      <c r="P108" s="5"/>
      <c r="Q108" s="5"/>
      <c r="R108" s="5"/>
      <c r="S108" s="5"/>
      <c r="T108" s="6">
        <f t="shared" si="4"/>
        <v>0</v>
      </c>
      <c r="U108" s="9"/>
      <c r="V108" s="1"/>
      <c r="W108" s="1"/>
      <c r="X108" s="1"/>
      <c r="Y108" s="1"/>
      <c r="Z108" s="1"/>
    </row>
    <row r="109" spans="1:26" ht="39.75" customHeight="1">
      <c r="A109" s="171"/>
      <c r="B109" s="171"/>
      <c r="C109" s="171"/>
      <c r="D109" s="5">
        <v>102</v>
      </c>
      <c r="E109" s="5" t="s">
        <v>195</v>
      </c>
      <c r="F109" s="5"/>
      <c r="G109" s="5"/>
      <c r="H109" s="5"/>
      <c r="I109" s="5"/>
      <c r="J109" s="5"/>
      <c r="K109" s="5"/>
      <c r="L109" s="5"/>
      <c r="M109" s="5"/>
      <c r="N109" s="5"/>
      <c r="O109" s="5"/>
      <c r="P109" s="5"/>
      <c r="Q109" s="6"/>
      <c r="R109" s="5"/>
      <c r="S109" s="5"/>
      <c r="T109" s="6">
        <f t="shared" si="4"/>
        <v>0</v>
      </c>
      <c r="U109" s="9"/>
      <c r="V109" s="1"/>
      <c r="W109" s="1"/>
      <c r="X109" s="1"/>
      <c r="Y109" s="1"/>
      <c r="Z109" s="1"/>
    </row>
    <row r="110" spans="1:26" ht="39.75" customHeight="1">
      <c r="A110" s="171"/>
      <c r="B110" s="169"/>
      <c r="C110" s="169"/>
      <c r="D110" s="5">
        <v>103</v>
      </c>
      <c r="E110" s="5" t="s">
        <v>54</v>
      </c>
      <c r="F110" s="5"/>
      <c r="G110" s="5"/>
      <c r="H110" s="5"/>
      <c r="I110" s="5"/>
      <c r="J110" s="5"/>
      <c r="K110" s="5"/>
      <c r="L110" s="5"/>
      <c r="M110" s="5"/>
      <c r="N110" s="5"/>
      <c r="O110" s="5"/>
      <c r="P110" s="8">
        <v>8.6999999999999993</v>
      </c>
      <c r="Q110" s="5"/>
      <c r="R110" s="8"/>
      <c r="S110" s="8"/>
      <c r="T110" s="6">
        <f t="shared" si="4"/>
        <v>8.6999999999999993</v>
      </c>
      <c r="U110" s="10" t="s">
        <v>196</v>
      </c>
      <c r="V110" s="1"/>
      <c r="W110" s="1"/>
      <c r="X110" s="1"/>
      <c r="Y110" s="1"/>
      <c r="Z110" s="1"/>
    </row>
    <row r="111" spans="1:26" ht="39.75" customHeight="1">
      <c r="A111" s="171"/>
      <c r="B111" s="168" t="s">
        <v>197</v>
      </c>
      <c r="C111" s="168" t="s">
        <v>198</v>
      </c>
      <c r="D111" s="5">
        <v>104</v>
      </c>
      <c r="E111" s="5" t="s">
        <v>199</v>
      </c>
      <c r="F111" s="5"/>
      <c r="G111" s="5"/>
      <c r="H111" s="5"/>
      <c r="I111" s="5"/>
      <c r="J111" s="5"/>
      <c r="K111" s="5"/>
      <c r="L111" s="5"/>
      <c r="M111" s="5"/>
      <c r="N111" s="8">
        <v>2</v>
      </c>
      <c r="O111" s="5"/>
      <c r="P111" s="8">
        <v>3</v>
      </c>
      <c r="Q111" s="8">
        <v>1</v>
      </c>
      <c r="R111" s="8"/>
      <c r="S111" s="8"/>
      <c r="T111" s="6">
        <f t="shared" si="4"/>
        <v>6</v>
      </c>
      <c r="U111" s="113" t="s">
        <v>691</v>
      </c>
      <c r="V111" s="1"/>
      <c r="W111" s="1"/>
      <c r="X111" s="1"/>
      <c r="Y111" s="1"/>
      <c r="Z111" s="1"/>
    </row>
    <row r="112" spans="1:26" ht="39.75" customHeight="1">
      <c r="A112" s="171"/>
      <c r="B112" s="171"/>
      <c r="C112" s="171"/>
      <c r="D112" s="5">
        <v>105</v>
      </c>
      <c r="E112" s="5" t="s">
        <v>200</v>
      </c>
      <c r="F112" s="5"/>
      <c r="G112" s="5"/>
      <c r="H112" s="5"/>
      <c r="I112" s="5"/>
      <c r="J112" s="5"/>
      <c r="K112" s="5"/>
      <c r="L112" s="5"/>
      <c r="M112" s="5"/>
      <c r="N112" s="5"/>
      <c r="O112" s="5"/>
      <c r="P112" s="5"/>
      <c r="Q112" s="5"/>
      <c r="R112" s="5"/>
      <c r="S112" s="5"/>
      <c r="T112" s="6">
        <f t="shared" si="4"/>
        <v>0</v>
      </c>
      <c r="U112" s="9"/>
      <c r="V112" s="1"/>
      <c r="W112" s="1"/>
      <c r="X112" s="1"/>
      <c r="Y112" s="1"/>
      <c r="Z112" s="1"/>
    </row>
    <row r="113" spans="1:26" ht="39.75" customHeight="1">
      <c r="A113" s="171"/>
      <c r="B113" s="169"/>
      <c r="C113" s="169"/>
      <c r="D113" s="5">
        <v>106</v>
      </c>
      <c r="E113" s="5" t="s">
        <v>201</v>
      </c>
      <c r="F113" s="5"/>
      <c r="G113" s="5"/>
      <c r="H113" s="5"/>
      <c r="I113" s="6"/>
      <c r="J113" s="5"/>
      <c r="K113" s="6"/>
      <c r="L113" s="5"/>
      <c r="M113" s="5"/>
      <c r="N113" s="6"/>
      <c r="O113" s="5"/>
      <c r="P113" s="8"/>
      <c r="Q113" s="6">
        <v>2</v>
      </c>
      <c r="R113" s="8">
        <v>3</v>
      </c>
      <c r="S113" s="8"/>
      <c r="T113" s="6">
        <f t="shared" si="4"/>
        <v>5</v>
      </c>
      <c r="U113" s="113" t="s">
        <v>689</v>
      </c>
      <c r="V113" s="1"/>
      <c r="W113" s="1"/>
      <c r="X113" s="1"/>
      <c r="Y113" s="1"/>
      <c r="Z113" s="1"/>
    </row>
    <row r="114" spans="1:26" ht="39.75" customHeight="1">
      <c r="A114" s="171"/>
      <c r="B114" s="168" t="s">
        <v>202</v>
      </c>
      <c r="C114" s="168" t="s">
        <v>203</v>
      </c>
      <c r="D114" s="5">
        <v>107</v>
      </c>
      <c r="E114" s="5" t="s">
        <v>204</v>
      </c>
      <c r="F114" s="5"/>
      <c r="G114" s="5"/>
      <c r="H114" s="5"/>
      <c r="I114" s="6"/>
      <c r="J114" s="5"/>
      <c r="K114" s="6"/>
      <c r="L114" s="5"/>
      <c r="M114" s="5"/>
      <c r="N114" s="6"/>
      <c r="O114" s="5"/>
      <c r="P114" s="8">
        <v>3.5</v>
      </c>
      <c r="Q114" s="5"/>
      <c r="R114" s="8"/>
      <c r="S114" s="5"/>
      <c r="T114" s="6">
        <f t="shared" si="4"/>
        <v>3.5</v>
      </c>
      <c r="U114" s="46" t="s">
        <v>205</v>
      </c>
      <c r="V114" s="1"/>
      <c r="W114" s="1"/>
      <c r="X114" s="1"/>
      <c r="Y114" s="1"/>
      <c r="Z114" s="1"/>
    </row>
    <row r="115" spans="1:26" ht="39.75" customHeight="1">
      <c r="A115" s="171"/>
      <c r="B115" s="171"/>
      <c r="C115" s="171"/>
      <c r="D115" s="5">
        <v>108</v>
      </c>
      <c r="E115" s="5" t="s">
        <v>206</v>
      </c>
      <c r="F115" s="5"/>
      <c r="G115" s="5"/>
      <c r="H115" s="5"/>
      <c r="I115" s="6"/>
      <c r="J115" s="5"/>
      <c r="K115" s="6"/>
      <c r="L115" s="5"/>
      <c r="M115" s="5"/>
      <c r="N115" s="5"/>
      <c r="O115" s="5"/>
      <c r="P115" s="8">
        <v>19.2</v>
      </c>
      <c r="Q115" s="5"/>
      <c r="R115" s="5"/>
      <c r="S115" s="5"/>
      <c r="T115" s="6">
        <f t="shared" si="4"/>
        <v>19.2</v>
      </c>
      <c r="U115" s="46" t="s">
        <v>207</v>
      </c>
      <c r="V115" s="1"/>
      <c r="W115" s="1"/>
      <c r="X115" s="1"/>
      <c r="Y115" s="1"/>
      <c r="Z115" s="1"/>
    </row>
    <row r="116" spans="1:26" ht="39.75" customHeight="1">
      <c r="A116" s="171"/>
      <c r="B116" s="171"/>
      <c r="C116" s="171"/>
      <c r="D116" s="5">
        <v>109</v>
      </c>
      <c r="E116" s="5" t="s">
        <v>208</v>
      </c>
      <c r="F116" s="5"/>
      <c r="G116" s="5"/>
      <c r="H116" s="8"/>
      <c r="I116" s="6"/>
      <c r="J116" s="5"/>
      <c r="K116" s="6"/>
      <c r="L116" s="5"/>
      <c r="M116" s="5"/>
      <c r="N116" s="5"/>
      <c r="O116" s="5"/>
      <c r="P116" s="5"/>
      <c r="Q116" s="5"/>
      <c r="R116" s="5"/>
      <c r="S116" s="5"/>
      <c r="T116" s="6">
        <f t="shared" si="4"/>
        <v>0</v>
      </c>
      <c r="U116" s="9"/>
      <c r="V116" s="1"/>
      <c r="W116" s="1"/>
      <c r="X116" s="1"/>
      <c r="Y116" s="1"/>
      <c r="Z116" s="1"/>
    </row>
    <row r="117" spans="1:26" ht="39.75" customHeight="1">
      <c r="A117" s="171"/>
      <c r="B117" s="171"/>
      <c r="C117" s="171"/>
      <c r="D117" s="5">
        <v>110</v>
      </c>
      <c r="E117" s="5" t="s">
        <v>209</v>
      </c>
      <c r="F117" s="5"/>
      <c r="G117" s="5"/>
      <c r="H117" s="5"/>
      <c r="I117" s="6"/>
      <c r="J117" s="5"/>
      <c r="K117" s="6"/>
      <c r="L117" s="5"/>
      <c r="M117" s="8"/>
      <c r="N117" s="6">
        <v>3</v>
      </c>
      <c r="O117" s="8">
        <v>14.045999999999999</v>
      </c>
      <c r="P117" s="6"/>
      <c r="Q117" s="8">
        <v>6.97</v>
      </c>
      <c r="R117" s="8">
        <v>10.9</v>
      </c>
      <c r="S117" s="5"/>
      <c r="T117" s="6">
        <f t="shared" si="4"/>
        <v>34.915999999999997</v>
      </c>
      <c r="U117" s="9" t="s">
        <v>375</v>
      </c>
      <c r="V117" s="1"/>
      <c r="W117" s="1"/>
      <c r="X117" s="1"/>
      <c r="Y117" s="1"/>
      <c r="Z117" s="1"/>
    </row>
    <row r="118" spans="1:26" ht="39.75" customHeight="1">
      <c r="A118" s="171"/>
      <c r="B118" s="169"/>
      <c r="C118" s="169"/>
      <c r="D118" s="5">
        <v>111</v>
      </c>
      <c r="E118" s="5" t="s">
        <v>54</v>
      </c>
      <c r="F118" s="5"/>
      <c r="G118" s="5"/>
      <c r="H118" s="5"/>
      <c r="I118" s="8"/>
      <c r="J118" s="5"/>
      <c r="K118" s="8"/>
      <c r="L118" s="5"/>
      <c r="M118" s="5">
        <v>6</v>
      </c>
      <c r="N118" s="5"/>
      <c r="O118" s="5"/>
      <c r="P118" s="8"/>
      <c r="Q118" s="6"/>
      <c r="R118" s="5"/>
      <c r="S118" s="8"/>
      <c r="T118" s="6">
        <f t="shared" si="4"/>
        <v>6</v>
      </c>
      <c r="U118" s="113" t="s">
        <v>683</v>
      </c>
      <c r="V118" s="1"/>
      <c r="W118" s="1"/>
      <c r="X118" s="1"/>
      <c r="Y118" s="1"/>
      <c r="Z118" s="1"/>
    </row>
    <row r="119" spans="1:26" ht="39.75" customHeight="1">
      <c r="A119" s="171"/>
      <c r="B119" s="168" t="s">
        <v>211</v>
      </c>
      <c r="C119" s="168" t="s">
        <v>212</v>
      </c>
      <c r="D119" s="5">
        <v>112</v>
      </c>
      <c r="E119" s="5" t="s">
        <v>213</v>
      </c>
      <c r="F119" s="5"/>
      <c r="G119" s="5"/>
      <c r="H119" s="5"/>
      <c r="I119" s="6"/>
      <c r="J119" s="5"/>
      <c r="K119" s="6"/>
      <c r="L119" s="5"/>
      <c r="M119" s="5"/>
      <c r="N119" s="5"/>
      <c r="O119" s="5"/>
      <c r="P119" s="5"/>
      <c r="Q119" s="6"/>
      <c r="R119" s="5"/>
      <c r="S119" s="5"/>
      <c r="T119" s="6">
        <f t="shared" si="4"/>
        <v>0</v>
      </c>
      <c r="U119" s="9"/>
      <c r="V119" s="1"/>
      <c r="W119" s="1"/>
      <c r="X119" s="1"/>
      <c r="Y119" s="1"/>
      <c r="Z119" s="1"/>
    </row>
    <row r="120" spans="1:26" ht="39.75" customHeight="1">
      <c r="A120" s="171"/>
      <c r="B120" s="169"/>
      <c r="C120" s="169"/>
      <c r="D120" s="5">
        <v>113</v>
      </c>
      <c r="E120" s="5" t="s">
        <v>214</v>
      </c>
      <c r="F120" s="5"/>
      <c r="G120" s="5"/>
      <c r="H120" s="5"/>
      <c r="I120" s="6"/>
      <c r="J120" s="5"/>
      <c r="K120" s="6"/>
      <c r="L120" s="5"/>
      <c r="M120" s="6"/>
      <c r="N120" s="6">
        <v>0.5</v>
      </c>
      <c r="O120" s="5"/>
      <c r="P120" s="5"/>
      <c r="Q120" s="6">
        <v>0.5</v>
      </c>
      <c r="R120" s="5"/>
      <c r="S120" s="5"/>
      <c r="T120" s="6">
        <f t="shared" si="4"/>
        <v>1</v>
      </c>
      <c r="U120" s="10" t="s">
        <v>215</v>
      </c>
      <c r="V120" s="1"/>
      <c r="W120" s="1"/>
      <c r="X120" s="1"/>
      <c r="Y120" s="1"/>
      <c r="Z120" s="1"/>
    </row>
    <row r="121" spans="1:26" ht="39.75" customHeight="1">
      <c r="A121" s="171"/>
      <c r="B121" s="5" t="s">
        <v>216</v>
      </c>
      <c r="C121" s="5" t="s">
        <v>217</v>
      </c>
      <c r="D121" s="5">
        <v>114</v>
      </c>
      <c r="E121" s="5" t="s">
        <v>218</v>
      </c>
      <c r="F121" s="5"/>
      <c r="G121" s="5"/>
      <c r="H121" s="8"/>
      <c r="I121" s="5"/>
      <c r="J121" s="5"/>
      <c r="K121" s="5"/>
      <c r="L121" s="5"/>
      <c r="M121" s="5"/>
      <c r="N121" s="8">
        <v>1.5</v>
      </c>
      <c r="O121" s="5"/>
      <c r="P121" s="8">
        <v>6.5</v>
      </c>
      <c r="Q121" s="6">
        <v>2</v>
      </c>
      <c r="R121" s="8">
        <v>1</v>
      </c>
      <c r="S121" s="8"/>
      <c r="T121" s="6">
        <f t="shared" si="4"/>
        <v>11</v>
      </c>
      <c r="U121" s="113" t="s">
        <v>681</v>
      </c>
      <c r="V121" s="1"/>
      <c r="W121" s="1"/>
      <c r="X121" s="1"/>
      <c r="Y121" s="1"/>
      <c r="Z121" s="1"/>
    </row>
    <row r="122" spans="1:26" ht="39.75" customHeight="1">
      <c r="A122" s="171"/>
      <c r="B122" s="168" t="s">
        <v>219</v>
      </c>
      <c r="C122" s="168" t="s">
        <v>220</v>
      </c>
      <c r="D122" s="5">
        <v>115</v>
      </c>
      <c r="E122" s="5" t="s">
        <v>221</v>
      </c>
      <c r="F122" s="5"/>
      <c r="G122" s="5"/>
      <c r="H122" s="5"/>
      <c r="I122" s="5"/>
      <c r="J122" s="5"/>
      <c r="K122" s="5"/>
      <c r="L122" s="5"/>
      <c r="M122" s="6"/>
      <c r="N122" s="5"/>
      <c r="O122" s="5"/>
      <c r="P122" s="5"/>
      <c r="Q122" s="5"/>
      <c r="R122" s="5"/>
      <c r="S122" s="5"/>
      <c r="T122" s="6">
        <f t="shared" si="4"/>
        <v>0</v>
      </c>
      <c r="U122" s="9"/>
      <c r="V122" s="1"/>
      <c r="W122" s="1"/>
      <c r="X122" s="1"/>
      <c r="Y122" s="1"/>
      <c r="Z122" s="1"/>
    </row>
    <row r="123" spans="1:26" ht="39.75" customHeight="1">
      <c r="A123" s="171"/>
      <c r="B123" s="171"/>
      <c r="C123" s="171"/>
      <c r="D123" s="5">
        <v>116</v>
      </c>
      <c r="E123" s="5" t="s">
        <v>222</v>
      </c>
      <c r="F123" s="5"/>
      <c r="G123" s="5"/>
      <c r="H123" s="5"/>
      <c r="I123" s="5"/>
      <c r="J123" s="5"/>
      <c r="K123" s="5"/>
      <c r="L123" s="5"/>
      <c r="M123" s="6">
        <v>12.88</v>
      </c>
      <c r="N123" s="5"/>
      <c r="O123" s="5"/>
      <c r="P123" s="5"/>
      <c r="Q123" s="6">
        <v>7.05</v>
      </c>
      <c r="R123" s="5"/>
      <c r="S123" s="5"/>
      <c r="T123" s="6">
        <f t="shared" si="4"/>
        <v>19.93</v>
      </c>
      <c r="U123" s="113" t="s">
        <v>679</v>
      </c>
      <c r="V123" s="1"/>
      <c r="W123" s="1"/>
      <c r="X123" s="1"/>
      <c r="Y123" s="1"/>
      <c r="Z123" s="1"/>
    </row>
    <row r="124" spans="1:26" ht="39.75" customHeight="1">
      <c r="A124" s="171"/>
      <c r="B124" s="171"/>
      <c r="C124" s="171"/>
      <c r="D124" s="5">
        <v>117</v>
      </c>
      <c r="E124" s="5" t="s">
        <v>224</v>
      </c>
      <c r="F124" s="5"/>
      <c r="G124" s="5"/>
      <c r="H124" s="5"/>
      <c r="I124" s="5"/>
      <c r="J124" s="5"/>
      <c r="K124" s="5"/>
      <c r="L124" s="5"/>
      <c r="M124" s="5"/>
      <c r="N124" s="5"/>
      <c r="O124" s="5"/>
      <c r="P124" s="5"/>
      <c r="Q124" s="5"/>
      <c r="R124" s="5"/>
      <c r="S124" s="5"/>
      <c r="T124" s="6">
        <f t="shared" si="4"/>
        <v>0</v>
      </c>
      <c r="U124" s="46"/>
      <c r="V124" s="1"/>
      <c r="W124" s="1"/>
      <c r="X124" s="1"/>
      <c r="Y124" s="1"/>
      <c r="Z124" s="1"/>
    </row>
    <row r="125" spans="1:26" ht="39.75" customHeight="1">
      <c r="A125" s="171"/>
      <c r="B125" s="169"/>
      <c r="C125" s="169"/>
      <c r="D125" s="5">
        <v>118</v>
      </c>
      <c r="E125" s="5" t="s">
        <v>54</v>
      </c>
      <c r="F125" s="5"/>
      <c r="G125" s="5"/>
      <c r="H125" s="5"/>
      <c r="I125" s="5"/>
      <c r="J125" s="5"/>
      <c r="K125" s="5"/>
      <c r="L125" s="5"/>
      <c r="M125" s="5"/>
      <c r="N125" s="5"/>
      <c r="O125" s="5"/>
      <c r="P125" s="5"/>
      <c r="Q125" s="6"/>
      <c r="R125" s="5"/>
      <c r="S125" s="5"/>
      <c r="T125" s="6">
        <f t="shared" si="4"/>
        <v>0</v>
      </c>
      <c r="U125" s="9"/>
      <c r="V125" s="1"/>
      <c r="W125" s="1"/>
      <c r="X125" s="1"/>
      <c r="Y125" s="1"/>
      <c r="Z125" s="1"/>
    </row>
    <row r="126" spans="1:26" ht="39.75" customHeight="1">
      <c r="A126" s="171"/>
      <c r="B126" s="5" t="s">
        <v>225</v>
      </c>
      <c r="C126" s="5" t="s">
        <v>226</v>
      </c>
      <c r="D126" s="5">
        <v>119</v>
      </c>
      <c r="E126" s="5" t="s">
        <v>227</v>
      </c>
      <c r="F126" s="5"/>
      <c r="G126" s="5"/>
      <c r="H126" s="8">
        <v>6</v>
      </c>
      <c r="I126" s="6">
        <v>1</v>
      </c>
      <c r="J126" s="5"/>
      <c r="K126" s="5"/>
      <c r="L126" s="5"/>
      <c r="M126" s="5"/>
      <c r="N126" s="6">
        <v>1</v>
      </c>
      <c r="O126" s="5"/>
      <c r="P126" s="8">
        <v>8</v>
      </c>
      <c r="Q126" s="6">
        <v>2</v>
      </c>
      <c r="R126" s="5"/>
      <c r="S126" s="5"/>
      <c r="T126" s="6">
        <f t="shared" si="4"/>
        <v>18</v>
      </c>
      <c r="U126" s="113" t="s">
        <v>678</v>
      </c>
      <c r="V126" s="1"/>
      <c r="W126" s="1"/>
      <c r="X126" s="1"/>
      <c r="Y126" s="1"/>
      <c r="Z126" s="1"/>
    </row>
    <row r="127" spans="1:26" ht="39.75" customHeight="1">
      <c r="A127" s="171"/>
      <c r="B127" s="5" t="s">
        <v>228</v>
      </c>
      <c r="C127" s="5" t="s">
        <v>229</v>
      </c>
      <c r="D127" s="5">
        <v>120</v>
      </c>
      <c r="E127" s="5" t="s">
        <v>230</v>
      </c>
      <c r="F127" s="5"/>
      <c r="G127" s="5"/>
      <c r="H127" s="5"/>
      <c r="I127" s="5"/>
      <c r="J127" s="5"/>
      <c r="K127" s="8"/>
      <c r="L127" s="5"/>
      <c r="M127" s="8"/>
      <c r="N127" s="6"/>
      <c r="O127" s="5"/>
      <c r="P127" s="8"/>
      <c r="Q127" s="6"/>
      <c r="R127" s="8"/>
      <c r="S127" s="5"/>
      <c r="T127" s="6">
        <f t="shared" si="4"/>
        <v>0</v>
      </c>
      <c r="U127" s="9"/>
      <c r="V127" s="1"/>
      <c r="W127" s="1"/>
      <c r="X127" s="1"/>
      <c r="Y127" s="1"/>
      <c r="Z127" s="1"/>
    </row>
    <row r="128" spans="1:26" ht="39.75" customHeight="1">
      <c r="A128" s="171"/>
      <c r="B128" s="168" t="s">
        <v>231</v>
      </c>
      <c r="C128" s="168" t="s">
        <v>232</v>
      </c>
      <c r="D128" s="5">
        <v>121</v>
      </c>
      <c r="E128" s="5" t="s">
        <v>233</v>
      </c>
      <c r="F128" s="5"/>
      <c r="G128" s="5"/>
      <c r="H128" s="5"/>
      <c r="I128" s="6"/>
      <c r="J128" s="5"/>
      <c r="K128" s="5"/>
      <c r="L128" s="5"/>
      <c r="M128" s="5"/>
      <c r="N128" s="5"/>
      <c r="O128" s="5"/>
      <c r="P128" s="5"/>
      <c r="Q128" s="5"/>
      <c r="R128" s="5"/>
      <c r="S128" s="5"/>
      <c r="T128" s="6">
        <f t="shared" si="4"/>
        <v>0</v>
      </c>
      <c r="U128" s="10"/>
      <c r="V128" s="1"/>
      <c r="W128" s="1"/>
      <c r="X128" s="1"/>
      <c r="Y128" s="1"/>
      <c r="Z128" s="1"/>
    </row>
    <row r="129" spans="1:26" ht="39.75" customHeight="1">
      <c r="A129" s="171"/>
      <c r="B129" s="171"/>
      <c r="C129" s="171"/>
      <c r="D129" s="5">
        <v>122</v>
      </c>
      <c r="E129" s="5" t="s">
        <v>234</v>
      </c>
      <c r="F129" s="5"/>
      <c r="G129" s="5"/>
      <c r="H129" s="5"/>
      <c r="I129" s="5"/>
      <c r="J129" s="5"/>
      <c r="K129" s="5"/>
      <c r="L129" s="5"/>
      <c r="M129" s="5"/>
      <c r="N129" s="5"/>
      <c r="O129" s="5"/>
      <c r="P129" s="5"/>
      <c r="Q129" s="5"/>
      <c r="R129" s="5"/>
      <c r="S129" s="5"/>
      <c r="T129" s="6">
        <f t="shared" si="4"/>
        <v>0</v>
      </c>
      <c r="U129" s="46"/>
      <c r="V129" s="1"/>
      <c r="W129" s="1"/>
      <c r="X129" s="1"/>
      <c r="Y129" s="1"/>
      <c r="Z129" s="1"/>
    </row>
    <row r="130" spans="1:26" ht="39.75" customHeight="1">
      <c r="A130" s="171"/>
      <c r="B130" s="169"/>
      <c r="C130" s="169"/>
      <c r="D130" s="5">
        <v>123</v>
      </c>
      <c r="E130" s="5" t="s">
        <v>235</v>
      </c>
      <c r="F130" s="5"/>
      <c r="G130" s="5"/>
      <c r="H130" s="5"/>
      <c r="I130" s="5"/>
      <c r="J130" s="5"/>
      <c r="K130" s="5"/>
      <c r="L130" s="5"/>
      <c r="M130" s="5"/>
      <c r="N130" s="5"/>
      <c r="O130" s="5"/>
      <c r="P130" s="8">
        <v>0</v>
      </c>
      <c r="Q130" s="6">
        <v>2</v>
      </c>
      <c r="R130" s="5"/>
      <c r="S130" s="5"/>
      <c r="T130" s="6">
        <f t="shared" si="4"/>
        <v>2</v>
      </c>
      <c r="U130" s="46" t="s">
        <v>236</v>
      </c>
      <c r="V130" s="1"/>
      <c r="W130" s="1"/>
      <c r="X130" s="1"/>
      <c r="Y130" s="1"/>
      <c r="Z130" s="1"/>
    </row>
    <row r="131" spans="1:26" ht="39.75" customHeight="1">
      <c r="A131" s="171"/>
      <c r="B131" s="168" t="s">
        <v>237</v>
      </c>
      <c r="C131" s="168" t="s">
        <v>238</v>
      </c>
      <c r="D131" s="5">
        <v>124</v>
      </c>
      <c r="E131" s="5" t="s">
        <v>239</v>
      </c>
      <c r="F131" s="5"/>
      <c r="G131" s="5"/>
      <c r="H131" s="8"/>
      <c r="I131" s="5"/>
      <c r="J131" s="5"/>
      <c r="K131" s="5"/>
      <c r="L131" s="5"/>
      <c r="M131" s="5"/>
      <c r="N131" s="5"/>
      <c r="O131" s="5"/>
      <c r="P131" s="5"/>
      <c r="Q131" s="8">
        <v>2</v>
      </c>
      <c r="R131" s="5"/>
      <c r="S131" s="5"/>
      <c r="T131" s="6">
        <f t="shared" si="4"/>
        <v>2</v>
      </c>
      <c r="U131" s="10" t="s">
        <v>240</v>
      </c>
      <c r="V131" s="1"/>
      <c r="W131" s="1"/>
      <c r="X131" s="1"/>
      <c r="Y131" s="1"/>
      <c r="Z131" s="1"/>
    </row>
    <row r="132" spans="1:26" ht="39.75" customHeight="1">
      <c r="A132" s="171"/>
      <c r="B132" s="169"/>
      <c r="C132" s="169"/>
      <c r="D132" s="5">
        <v>125</v>
      </c>
      <c r="E132" s="5" t="s">
        <v>241</v>
      </c>
      <c r="F132" s="5"/>
      <c r="G132" s="5"/>
      <c r="H132" s="8"/>
      <c r="I132" s="5"/>
      <c r="J132" s="5"/>
      <c r="K132" s="5"/>
      <c r="L132" s="5"/>
      <c r="M132" s="5"/>
      <c r="N132" s="5"/>
      <c r="O132" s="5"/>
      <c r="P132" s="5"/>
      <c r="Q132" s="5"/>
      <c r="R132" s="5"/>
      <c r="S132" s="5"/>
      <c r="T132" s="6">
        <f t="shared" si="4"/>
        <v>0</v>
      </c>
      <c r="U132" s="9"/>
      <c r="V132" s="1"/>
      <c r="W132" s="1"/>
      <c r="X132" s="1"/>
      <c r="Y132" s="1"/>
      <c r="Z132" s="1"/>
    </row>
    <row r="133" spans="1:26" ht="39.75" customHeight="1">
      <c r="A133" s="171"/>
      <c r="B133" s="5" t="s">
        <v>242</v>
      </c>
      <c r="C133" s="5" t="s">
        <v>243</v>
      </c>
      <c r="D133" s="5">
        <v>126</v>
      </c>
      <c r="E133" s="5" t="s">
        <v>167</v>
      </c>
      <c r="F133" s="5"/>
      <c r="G133" s="5"/>
      <c r="H133" s="5"/>
      <c r="I133" s="5"/>
      <c r="J133" s="5"/>
      <c r="K133" s="5"/>
      <c r="L133" s="5"/>
      <c r="M133" s="5"/>
      <c r="N133" s="5"/>
      <c r="O133" s="5"/>
      <c r="P133" s="5"/>
      <c r="Q133" s="5"/>
      <c r="R133" s="5"/>
      <c r="S133" s="5"/>
      <c r="T133" s="6">
        <f t="shared" si="4"/>
        <v>0</v>
      </c>
      <c r="U133" s="9"/>
      <c r="V133" s="1"/>
      <c r="W133" s="1"/>
      <c r="X133" s="1"/>
      <c r="Y133" s="1"/>
      <c r="Z133" s="1"/>
    </row>
    <row r="134" spans="1:26" ht="39.75" customHeight="1">
      <c r="A134" s="169"/>
      <c r="B134" s="176" t="s">
        <v>244</v>
      </c>
      <c r="C134" s="177"/>
      <c r="D134" s="178"/>
      <c r="E134" s="51"/>
      <c r="F134" s="51">
        <f t="shared" ref="F134:S134" si="8">SUM(F94:F133)</f>
        <v>0</v>
      </c>
      <c r="G134" s="51">
        <f t="shared" si="8"/>
        <v>0</v>
      </c>
      <c r="H134" s="51">
        <f t="shared" si="8"/>
        <v>6</v>
      </c>
      <c r="I134" s="51">
        <f t="shared" si="8"/>
        <v>12.2</v>
      </c>
      <c r="J134" s="51">
        <f t="shared" si="8"/>
        <v>0</v>
      </c>
      <c r="K134" s="52">
        <f t="shared" si="8"/>
        <v>10</v>
      </c>
      <c r="L134" s="51">
        <f t="shared" si="8"/>
        <v>0</v>
      </c>
      <c r="M134" s="51">
        <f t="shared" si="8"/>
        <v>18.880000000000003</v>
      </c>
      <c r="N134" s="51">
        <f t="shared" si="8"/>
        <v>14.3</v>
      </c>
      <c r="O134" s="51">
        <f t="shared" si="8"/>
        <v>14.045999999999999</v>
      </c>
      <c r="P134" s="51">
        <f t="shared" si="8"/>
        <v>75.8</v>
      </c>
      <c r="Q134" s="51">
        <f t="shared" si="8"/>
        <v>32.519999999999996</v>
      </c>
      <c r="R134" s="51">
        <f t="shared" si="8"/>
        <v>33.450000000000003</v>
      </c>
      <c r="S134" s="51">
        <f t="shared" si="8"/>
        <v>0</v>
      </c>
      <c r="T134" s="52">
        <f t="shared" ref="T134:T197" si="9">SUM(F134:S134)</f>
        <v>217.19599999999997</v>
      </c>
      <c r="U134" s="9"/>
      <c r="V134" s="1"/>
      <c r="W134" s="1"/>
      <c r="X134" s="1"/>
      <c r="Y134" s="1"/>
      <c r="Z134" s="1"/>
    </row>
    <row r="135" spans="1:26" ht="39.75" customHeight="1">
      <c r="A135" s="175" t="s">
        <v>245</v>
      </c>
      <c r="B135" s="168" t="s">
        <v>246</v>
      </c>
      <c r="C135" s="168" t="s">
        <v>247</v>
      </c>
      <c r="D135" s="5">
        <v>127</v>
      </c>
      <c r="E135" s="5" t="s">
        <v>248</v>
      </c>
      <c r="F135" s="98"/>
      <c r="G135" s="98"/>
      <c r="H135" s="98"/>
      <c r="I135" s="98"/>
      <c r="J135" s="98"/>
      <c r="K135" s="98"/>
      <c r="L135" s="98"/>
      <c r="M135" s="98"/>
      <c r="N135" s="98"/>
      <c r="O135" s="98"/>
      <c r="P135" s="98"/>
      <c r="Q135" s="98"/>
      <c r="R135" s="98"/>
      <c r="S135" s="98"/>
      <c r="T135" s="99">
        <f t="shared" si="9"/>
        <v>0</v>
      </c>
      <c r="U135" s="100"/>
      <c r="V135" s="1"/>
      <c r="W135" s="1"/>
      <c r="X135" s="1"/>
      <c r="Y135" s="1"/>
      <c r="Z135" s="1"/>
    </row>
    <row r="136" spans="1:26" ht="39.75" customHeight="1">
      <c r="A136" s="171"/>
      <c r="B136" s="169"/>
      <c r="C136" s="169"/>
      <c r="D136" s="5">
        <v>128</v>
      </c>
      <c r="E136" s="5" t="s">
        <v>249</v>
      </c>
      <c r="F136" s="98"/>
      <c r="G136" s="98"/>
      <c r="H136" s="98"/>
      <c r="I136" s="98"/>
      <c r="J136" s="98"/>
      <c r="K136" s="99"/>
      <c r="L136" s="98"/>
      <c r="M136" s="98"/>
      <c r="N136" s="99"/>
      <c r="O136" s="98"/>
      <c r="P136" s="99"/>
      <c r="Q136" s="99">
        <f>(7*0.75)+(7*0.1)</f>
        <v>5.95</v>
      </c>
      <c r="R136" s="98"/>
      <c r="S136" s="98"/>
      <c r="T136" s="99">
        <f t="shared" si="9"/>
        <v>5.95</v>
      </c>
      <c r="U136" s="101" t="s">
        <v>662</v>
      </c>
      <c r="V136" s="1"/>
      <c r="W136" s="1"/>
      <c r="X136" s="1"/>
      <c r="Y136" s="1"/>
      <c r="Z136" s="1"/>
    </row>
    <row r="137" spans="1:26" ht="39.75" customHeight="1">
      <c r="A137" s="171"/>
      <c r="B137" s="28"/>
      <c r="C137" s="28"/>
      <c r="D137" s="5">
        <v>129</v>
      </c>
      <c r="E137" s="5" t="s">
        <v>250</v>
      </c>
      <c r="F137" s="98"/>
      <c r="G137" s="98"/>
      <c r="H137" s="98"/>
      <c r="I137" s="98"/>
      <c r="J137" s="98"/>
      <c r="K137" s="98"/>
      <c r="L137" s="98"/>
      <c r="M137" s="98"/>
      <c r="N137" s="98"/>
      <c r="O137" s="98"/>
      <c r="P137" s="98"/>
      <c r="Q137" s="98"/>
      <c r="R137" s="98"/>
      <c r="S137" s="98"/>
      <c r="T137" s="99">
        <f t="shared" si="9"/>
        <v>0</v>
      </c>
      <c r="U137" s="100"/>
      <c r="V137" s="1"/>
      <c r="W137" s="1"/>
      <c r="X137" s="1"/>
      <c r="Y137" s="1"/>
      <c r="Z137" s="1"/>
    </row>
    <row r="138" spans="1:26" ht="39.75" customHeight="1">
      <c r="A138" s="171"/>
      <c r="B138" s="168" t="s">
        <v>251</v>
      </c>
      <c r="C138" s="168" t="s">
        <v>252</v>
      </c>
      <c r="D138" s="5">
        <v>130</v>
      </c>
      <c r="E138" s="5" t="s">
        <v>253</v>
      </c>
      <c r="F138" s="98"/>
      <c r="G138" s="98"/>
      <c r="H138" s="98"/>
      <c r="I138" s="98"/>
      <c r="J138" s="98"/>
      <c r="K138" s="98"/>
      <c r="L138" s="98"/>
      <c r="M138" s="98"/>
      <c r="N138" s="98"/>
      <c r="O138" s="98"/>
      <c r="P138" s="98"/>
      <c r="Q138" s="98"/>
      <c r="R138" s="98"/>
      <c r="S138" s="98"/>
      <c r="T138" s="99">
        <f t="shared" si="9"/>
        <v>0</v>
      </c>
      <c r="U138" s="100"/>
      <c r="V138" s="1"/>
      <c r="W138" s="1"/>
      <c r="X138" s="1"/>
      <c r="Y138" s="1"/>
      <c r="Z138" s="1"/>
    </row>
    <row r="139" spans="1:26" ht="39.75" customHeight="1">
      <c r="A139" s="171"/>
      <c r="B139" s="171"/>
      <c r="C139" s="171"/>
      <c r="D139" s="5">
        <v>131</v>
      </c>
      <c r="E139" s="5" t="s">
        <v>254</v>
      </c>
      <c r="F139" s="98"/>
      <c r="G139" s="98"/>
      <c r="H139" s="98"/>
      <c r="I139" s="98"/>
      <c r="J139" s="98"/>
      <c r="K139" s="98"/>
      <c r="L139" s="98"/>
      <c r="M139" s="98"/>
      <c r="N139" s="99">
        <f>0.01*152</f>
        <v>1.52</v>
      </c>
      <c r="O139" s="98"/>
      <c r="P139" s="98"/>
      <c r="Q139" s="98"/>
      <c r="R139" s="98"/>
      <c r="S139" s="98"/>
      <c r="T139" s="99">
        <f t="shared" si="9"/>
        <v>1.52</v>
      </c>
      <c r="U139" s="102" t="s">
        <v>667</v>
      </c>
      <c r="V139" s="1"/>
      <c r="W139" s="1"/>
      <c r="X139" s="1"/>
      <c r="Y139" s="1"/>
      <c r="Z139" s="1"/>
    </row>
    <row r="140" spans="1:26" ht="39.75" customHeight="1">
      <c r="A140" s="171"/>
      <c r="B140" s="171"/>
      <c r="C140" s="171"/>
      <c r="D140" s="5">
        <v>132</v>
      </c>
      <c r="E140" s="5" t="s">
        <v>255</v>
      </c>
      <c r="F140" s="98"/>
      <c r="G140" s="98"/>
      <c r="H140" s="98"/>
      <c r="I140" s="98"/>
      <c r="J140" s="98"/>
      <c r="K140" s="98"/>
      <c r="L140" s="98"/>
      <c r="M140" s="98"/>
      <c r="N140" s="98"/>
      <c r="O140" s="98"/>
      <c r="P140" s="98"/>
      <c r="Q140" s="98"/>
      <c r="R140" s="98"/>
      <c r="S140" s="98"/>
      <c r="T140" s="99">
        <f t="shared" si="9"/>
        <v>0</v>
      </c>
      <c r="U140" s="100"/>
      <c r="V140" s="1"/>
      <c r="W140" s="1"/>
      <c r="X140" s="1"/>
      <c r="Y140" s="1"/>
      <c r="Z140" s="1"/>
    </row>
    <row r="141" spans="1:26" ht="39.75" customHeight="1">
      <c r="A141" s="171"/>
      <c r="B141" s="171"/>
      <c r="C141" s="171"/>
      <c r="D141" s="5">
        <v>133</v>
      </c>
      <c r="E141" s="5" t="s">
        <v>256</v>
      </c>
      <c r="F141" s="98"/>
      <c r="G141" s="98"/>
      <c r="H141" s="98"/>
      <c r="I141" s="98"/>
      <c r="J141" s="98"/>
      <c r="K141" s="98"/>
      <c r="L141" s="98"/>
      <c r="M141" s="98"/>
      <c r="N141" s="98"/>
      <c r="O141" s="98"/>
      <c r="P141" s="98"/>
      <c r="Q141" s="98"/>
      <c r="R141" s="98"/>
      <c r="S141" s="98"/>
      <c r="T141" s="99">
        <f t="shared" si="9"/>
        <v>0</v>
      </c>
      <c r="U141" s="100"/>
      <c r="V141" s="1"/>
      <c r="W141" s="1"/>
      <c r="X141" s="1"/>
      <c r="Y141" s="1"/>
      <c r="Z141" s="1"/>
    </row>
    <row r="142" spans="1:26" ht="39.75" customHeight="1">
      <c r="A142" s="171"/>
      <c r="B142" s="171"/>
      <c r="C142" s="171"/>
      <c r="D142" s="5">
        <v>134</v>
      </c>
      <c r="E142" s="5" t="s">
        <v>257</v>
      </c>
      <c r="F142" s="98"/>
      <c r="G142" s="98"/>
      <c r="H142" s="98"/>
      <c r="I142" s="98"/>
      <c r="J142" s="98"/>
      <c r="K142" s="98"/>
      <c r="L142" s="98"/>
      <c r="M142" s="98"/>
      <c r="N142" s="98"/>
      <c r="O142" s="98"/>
      <c r="P142" s="99">
        <f>(35*0.005*12)+(35*0.0025*12)+(7*4*0.1)</f>
        <v>5.9500000000000011</v>
      </c>
      <c r="Q142" s="98"/>
      <c r="R142" s="98"/>
      <c r="S142" s="98"/>
      <c r="T142" s="99">
        <f t="shared" si="9"/>
        <v>5.9500000000000011</v>
      </c>
      <c r="U142" s="100" t="s">
        <v>258</v>
      </c>
      <c r="V142" s="1"/>
      <c r="W142" s="1"/>
      <c r="X142" s="1"/>
      <c r="Y142" s="1"/>
      <c r="Z142" s="1"/>
    </row>
    <row r="143" spans="1:26" ht="39.75" customHeight="1">
      <c r="A143" s="171"/>
      <c r="B143" s="171"/>
      <c r="C143" s="171"/>
      <c r="D143" s="5">
        <v>135</v>
      </c>
      <c r="E143" s="5" t="s">
        <v>259</v>
      </c>
      <c r="F143" s="98"/>
      <c r="G143" s="98"/>
      <c r="H143" s="98"/>
      <c r="I143" s="98"/>
      <c r="J143" s="98"/>
      <c r="K143" s="98"/>
      <c r="L143" s="98"/>
      <c r="M143" s="98"/>
      <c r="N143" s="98"/>
      <c r="O143" s="98"/>
      <c r="P143" s="98"/>
      <c r="Q143" s="98"/>
      <c r="R143" s="98"/>
      <c r="S143" s="98"/>
      <c r="T143" s="99">
        <f t="shared" si="9"/>
        <v>0</v>
      </c>
      <c r="U143" s="100"/>
      <c r="V143" s="1"/>
      <c r="W143" s="1"/>
      <c r="X143" s="1"/>
      <c r="Y143" s="1"/>
      <c r="Z143" s="1"/>
    </row>
    <row r="144" spans="1:26" ht="39.75" customHeight="1">
      <c r="A144" s="171"/>
      <c r="B144" s="169"/>
      <c r="C144" s="169"/>
      <c r="D144" s="5">
        <v>136</v>
      </c>
      <c r="E144" s="5" t="s">
        <v>260</v>
      </c>
      <c r="F144" s="98"/>
      <c r="G144" s="98"/>
      <c r="H144" s="98"/>
      <c r="I144" s="98"/>
      <c r="J144" s="98"/>
      <c r="K144" s="98"/>
      <c r="L144" s="98"/>
      <c r="M144" s="98"/>
      <c r="N144" s="98"/>
      <c r="O144" s="98"/>
      <c r="P144" s="99"/>
      <c r="Q144" s="98"/>
      <c r="R144" s="98"/>
      <c r="S144" s="98"/>
      <c r="T144" s="99">
        <f t="shared" si="9"/>
        <v>0</v>
      </c>
      <c r="U144" s="101"/>
      <c r="V144" s="1"/>
      <c r="W144" s="1"/>
      <c r="X144" s="1"/>
      <c r="Y144" s="1"/>
      <c r="Z144" s="1"/>
    </row>
    <row r="145" spans="1:26" ht="39.75" customHeight="1">
      <c r="A145" s="171"/>
      <c r="B145" s="168" t="s">
        <v>261</v>
      </c>
      <c r="C145" s="168" t="s">
        <v>262</v>
      </c>
      <c r="D145" s="5">
        <v>137</v>
      </c>
      <c r="E145" s="5" t="s">
        <v>263</v>
      </c>
      <c r="F145" s="98"/>
      <c r="G145" s="98"/>
      <c r="H145" s="98"/>
      <c r="I145" s="98"/>
      <c r="J145" s="98"/>
      <c r="K145" s="98"/>
      <c r="L145" s="98"/>
      <c r="M145" s="99"/>
      <c r="N145" s="98"/>
      <c r="O145" s="98"/>
      <c r="P145" s="99">
        <f>0.24*7</f>
        <v>1.68</v>
      </c>
      <c r="Q145" s="98"/>
      <c r="R145" s="98"/>
      <c r="S145" s="98"/>
      <c r="T145" s="99">
        <f t="shared" si="9"/>
        <v>1.68</v>
      </c>
      <c r="U145" s="101" t="s">
        <v>264</v>
      </c>
      <c r="V145" s="1"/>
      <c r="W145" s="1"/>
      <c r="X145" s="1"/>
      <c r="Y145" s="1"/>
      <c r="Z145" s="1"/>
    </row>
    <row r="146" spans="1:26" ht="39.75" customHeight="1">
      <c r="A146" s="171"/>
      <c r="B146" s="169"/>
      <c r="C146" s="169"/>
      <c r="D146" s="5">
        <v>138</v>
      </c>
      <c r="E146" s="5" t="s">
        <v>265</v>
      </c>
      <c r="F146" s="103"/>
      <c r="G146" s="103"/>
      <c r="H146" s="104"/>
      <c r="I146" s="104"/>
      <c r="J146" s="103"/>
      <c r="K146" s="104"/>
      <c r="L146" s="103"/>
      <c r="M146" s="104"/>
      <c r="N146" s="103"/>
      <c r="O146" s="103"/>
      <c r="P146" s="103"/>
      <c r="Q146" s="103"/>
      <c r="R146" s="103"/>
      <c r="S146" s="103"/>
      <c r="T146" s="104">
        <f t="shared" si="9"/>
        <v>0</v>
      </c>
      <c r="U146" s="105"/>
      <c r="V146" s="1"/>
      <c r="W146" s="1"/>
      <c r="X146" s="1"/>
      <c r="Y146" s="1"/>
      <c r="Z146" s="1"/>
    </row>
    <row r="147" spans="1:26" ht="39.75" customHeight="1">
      <c r="A147" s="171"/>
      <c r="B147" s="168" t="s">
        <v>266</v>
      </c>
      <c r="C147" s="168" t="s">
        <v>267</v>
      </c>
      <c r="D147" s="5">
        <v>139</v>
      </c>
      <c r="E147" s="5" t="s">
        <v>268</v>
      </c>
      <c r="F147" s="98"/>
      <c r="G147" s="98"/>
      <c r="H147" s="98"/>
      <c r="I147" s="98"/>
      <c r="J147" s="98"/>
      <c r="K147" s="98"/>
      <c r="L147" s="98"/>
      <c r="M147" s="98"/>
      <c r="N147" s="99"/>
      <c r="O147" s="98"/>
      <c r="P147" s="99">
        <v>7</v>
      </c>
      <c r="Q147" s="98"/>
      <c r="R147" s="99"/>
      <c r="S147" s="98"/>
      <c r="T147" s="99">
        <f t="shared" si="9"/>
        <v>7</v>
      </c>
      <c r="U147" s="101" t="s">
        <v>668</v>
      </c>
      <c r="V147" s="1"/>
      <c r="W147" s="1"/>
      <c r="X147" s="1"/>
      <c r="Y147" s="1"/>
      <c r="Z147" s="1"/>
    </row>
    <row r="148" spans="1:26" ht="39.75" customHeight="1">
      <c r="A148" s="171"/>
      <c r="B148" s="171"/>
      <c r="C148" s="171"/>
      <c r="D148" s="5">
        <v>140</v>
      </c>
      <c r="E148" s="5" t="s">
        <v>269</v>
      </c>
      <c r="F148" s="98"/>
      <c r="G148" s="98"/>
      <c r="H148" s="98"/>
      <c r="I148" s="98"/>
      <c r="J148" s="98"/>
      <c r="K148" s="98"/>
      <c r="L148" s="98"/>
      <c r="M148" s="98"/>
      <c r="N148" s="98"/>
      <c r="O148" s="98"/>
      <c r="P148" s="99">
        <f>7+(7*0.055)+(0.08*4)</f>
        <v>7.7050000000000001</v>
      </c>
      <c r="Q148" s="98"/>
      <c r="R148" s="98"/>
      <c r="S148" s="98"/>
      <c r="T148" s="99">
        <f t="shared" si="9"/>
        <v>7.7050000000000001</v>
      </c>
      <c r="U148" s="101" t="s">
        <v>666</v>
      </c>
      <c r="V148" s="1"/>
      <c r="W148" s="1"/>
      <c r="X148" s="1"/>
      <c r="Y148" s="1"/>
      <c r="Z148" s="1"/>
    </row>
    <row r="149" spans="1:26" ht="39.75" customHeight="1">
      <c r="A149" s="171"/>
      <c r="B149" s="169"/>
      <c r="C149" s="169"/>
      <c r="D149" s="5">
        <v>141</v>
      </c>
      <c r="E149" s="5" t="s">
        <v>270</v>
      </c>
      <c r="F149" s="98"/>
      <c r="G149" s="98"/>
      <c r="H149" s="98"/>
      <c r="I149" s="98"/>
      <c r="J149" s="98"/>
      <c r="K149" s="98"/>
      <c r="L149" s="98"/>
      <c r="M149" s="98"/>
      <c r="N149" s="98"/>
      <c r="O149" s="98"/>
      <c r="P149" s="98"/>
      <c r="Q149" s="98"/>
      <c r="R149" s="98"/>
      <c r="S149" s="98"/>
      <c r="T149" s="99">
        <f t="shared" si="9"/>
        <v>0</v>
      </c>
      <c r="U149" s="100"/>
      <c r="V149" s="1"/>
      <c r="W149" s="1"/>
      <c r="X149" s="1"/>
      <c r="Y149" s="1"/>
      <c r="Z149" s="1"/>
    </row>
    <row r="150" spans="1:26" ht="39.75" customHeight="1">
      <c r="A150" s="171"/>
      <c r="B150" s="168" t="s">
        <v>271</v>
      </c>
      <c r="C150" s="168" t="s">
        <v>272</v>
      </c>
      <c r="D150" s="5">
        <v>142</v>
      </c>
      <c r="E150" s="5" t="s">
        <v>273</v>
      </c>
      <c r="F150" s="98"/>
      <c r="G150" s="98"/>
      <c r="H150" s="98"/>
      <c r="I150" s="98"/>
      <c r="J150" s="98"/>
      <c r="K150" s="98"/>
      <c r="L150" s="98"/>
      <c r="M150" s="98"/>
      <c r="N150" s="98"/>
      <c r="O150" s="98"/>
      <c r="P150" s="98"/>
      <c r="Q150" s="98"/>
      <c r="R150" s="98">
        <v>345.32</v>
      </c>
      <c r="S150" s="98"/>
      <c r="T150" s="99">
        <f t="shared" si="9"/>
        <v>345.32</v>
      </c>
      <c r="U150" s="100"/>
      <c r="V150" s="1"/>
      <c r="W150" s="1"/>
      <c r="X150" s="1"/>
      <c r="Y150" s="1"/>
      <c r="Z150" s="1"/>
    </row>
    <row r="151" spans="1:26" ht="39.75" customHeight="1">
      <c r="A151" s="171"/>
      <c r="B151" s="171"/>
      <c r="C151" s="171"/>
      <c r="D151" s="5">
        <v>143</v>
      </c>
      <c r="E151" s="5" t="s">
        <v>274</v>
      </c>
      <c r="F151" s="98"/>
      <c r="G151" s="98"/>
      <c r="H151" s="98"/>
      <c r="I151" s="98"/>
      <c r="J151" s="98"/>
      <c r="K151" s="98"/>
      <c r="L151" s="98"/>
      <c r="M151" s="98"/>
      <c r="N151" s="98"/>
      <c r="O151" s="98"/>
      <c r="P151" s="98"/>
      <c r="Q151" s="98"/>
      <c r="R151" s="98"/>
      <c r="S151" s="98"/>
      <c r="T151" s="99">
        <f t="shared" si="9"/>
        <v>0</v>
      </c>
      <c r="U151" s="100"/>
      <c r="V151" s="1"/>
      <c r="W151" s="1"/>
      <c r="X151" s="1"/>
      <c r="Y151" s="1"/>
      <c r="Z151" s="1"/>
    </row>
    <row r="152" spans="1:26" ht="39.75" customHeight="1">
      <c r="A152" s="171"/>
      <c r="B152" s="171"/>
      <c r="C152" s="171"/>
      <c r="D152" s="5">
        <v>144</v>
      </c>
      <c r="E152" s="5" t="s">
        <v>275</v>
      </c>
      <c r="F152" s="98"/>
      <c r="G152" s="98"/>
      <c r="H152" s="98"/>
      <c r="I152" s="98"/>
      <c r="J152" s="98"/>
      <c r="K152" s="98"/>
      <c r="L152" s="98"/>
      <c r="M152" s="98"/>
      <c r="N152" s="98"/>
      <c r="O152" s="98"/>
      <c r="P152" s="98"/>
      <c r="Q152" s="98"/>
      <c r="R152" s="98"/>
      <c r="S152" s="98"/>
      <c r="T152" s="99">
        <f t="shared" si="9"/>
        <v>0</v>
      </c>
      <c r="U152" s="100"/>
      <c r="V152" s="1"/>
      <c r="W152" s="1"/>
      <c r="X152" s="1"/>
      <c r="Y152" s="1"/>
      <c r="Z152" s="1"/>
    </row>
    <row r="153" spans="1:26" ht="39.75" customHeight="1">
      <c r="A153" s="171"/>
      <c r="B153" s="169"/>
      <c r="C153" s="169"/>
      <c r="D153" s="5">
        <v>145</v>
      </c>
      <c r="E153" s="5" t="s">
        <v>276</v>
      </c>
      <c r="F153" s="98"/>
      <c r="G153" s="98"/>
      <c r="H153" s="98"/>
      <c r="I153" s="98"/>
      <c r="J153" s="98"/>
      <c r="K153" s="98"/>
      <c r="L153" s="98"/>
      <c r="M153" s="98"/>
      <c r="N153" s="98"/>
      <c r="O153" s="98"/>
      <c r="P153" s="98"/>
      <c r="Q153" s="98"/>
      <c r="R153" s="98"/>
      <c r="S153" s="98"/>
      <c r="T153" s="99">
        <f t="shared" si="9"/>
        <v>0</v>
      </c>
      <c r="U153" s="100"/>
      <c r="V153" s="1"/>
      <c r="W153" s="1"/>
      <c r="X153" s="1"/>
      <c r="Y153" s="1"/>
      <c r="Z153" s="1"/>
    </row>
    <row r="154" spans="1:26" ht="39.75" customHeight="1">
      <c r="A154" s="171"/>
      <c r="B154" s="5" t="s">
        <v>277</v>
      </c>
      <c r="C154" s="5" t="s">
        <v>278</v>
      </c>
      <c r="D154" s="5">
        <v>146</v>
      </c>
      <c r="E154" s="5" t="s">
        <v>279</v>
      </c>
      <c r="F154" s="98"/>
      <c r="G154" s="98"/>
      <c r="H154" s="98"/>
      <c r="I154" s="98"/>
      <c r="J154" s="98"/>
      <c r="K154" s="98"/>
      <c r="L154" s="98"/>
      <c r="M154" s="98"/>
      <c r="N154" s="98"/>
      <c r="O154" s="98"/>
      <c r="P154" s="98"/>
      <c r="Q154" s="98"/>
      <c r="R154" s="99">
        <v>5.4</v>
      </c>
      <c r="S154" s="98"/>
      <c r="T154" s="99">
        <f t="shared" si="9"/>
        <v>5.4</v>
      </c>
      <c r="U154" s="102" t="s">
        <v>280</v>
      </c>
      <c r="V154" s="1"/>
      <c r="W154" s="1"/>
      <c r="X154" s="1"/>
      <c r="Y154" s="1"/>
      <c r="Z154" s="1"/>
    </row>
    <row r="155" spans="1:26" ht="39.75" customHeight="1">
      <c r="A155" s="171"/>
      <c r="B155" s="5" t="s">
        <v>281</v>
      </c>
      <c r="C155" s="5" t="s">
        <v>282</v>
      </c>
      <c r="D155" s="5">
        <v>147</v>
      </c>
      <c r="E155" s="5" t="s">
        <v>149</v>
      </c>
      <c r="F155" s="98"/>
      <c r="G155" s="98"/>
      <c r="H155" s="98"/>
      <c r="I155" s="98"/>
      <c r="J155" s="98"/>
      <c r="K155" s="98"/>
      <c r="L155" s="98"/>
      <c r="M155" s="98"/>
      <c r="N155" s="98"/>
      <c r="O155" s="98"/>
      <c r="P155" s="98"/>
      <c r="Q155" s="98"/>
      <c r="R155" s="98"/>
      <c r="S155" s="98"/>
      <c r="T155" s="99">
        <f t="shared" si="9"/>
        <v>0</v>
      </c>
      <c r="U155" s="100"/>
      <c r="V155" s="1"/>
      <c r="W155" s="1"/>
      <c r="X155" s="1"/>
      <c r="Y155" s="1"/>
      <c r="Z155" s="1"/>
    </row>
    <row r="156" spans="1:26" ht="39.75" customHeight="1">
      <c r="A156" s="171"/>
      <c r="B156" s="5" t="s">
        <v>283</v>
      </c>
      <c r="C156" s="5" t="s">
        <v>284</v>
      </c>
      <c r="D156" s="5">
        <v>148</v>
      </c>
      <c r="E156" s="5" t="s">
        <v>285</v>
      </c>
      <c r="F156" s="98"/>
      <c r="G156" s="98"/>
      <c r="H156" s="98"/>
      <c r="I156" s="98"/>
      <c r="J156" s="98"/>
      <c r="K156" s="98"/>
      <c r="L156" s="98"/>
      <c r="M156" s="98"/>
      <c r="N156" s="99"/>
      <c r="O156" s="98"/>
      <c r="P156" s="99"/>
      <c r="Q156" s="98"/>
      <c r="R156" s="98"/>
      <c r="S156" s="98"/>
      <c r="T156" s="99">
        <f t="shared" si="9"/>
        <v>0</v>
      </c>
      <c r="U156" s="101"/>
      <c r="V156" s="1"/>
      <c r="W156" s="1"/>
      <c r="X156" s="1"/>
      <c r="Y156" s="1"/>
      <c r="Z156" s="1"/>
    </row>
    <row r="157" spans="1:26" ht="39.75" customHeight="1">
      <c r="A157" s="171"/>
      <c r="B157" s="5" t="s">
        <v>286</v>
      </c>
      <c r="C157" s="5" t="s">
        <v>287</v>
      </c>
      <c r="D157" s="5">
        <v>149</v>
      </c>
      <c r="E157" s="5" t="s">
        <v>288</v>
      </c>
      <c r="F157" s="106"/>
      <c r="G157" s="106"/>
      <c r="H157" s="106"/>
      <c r="I157" s="106"/>
      <c r="J157" s="106"/>
      <c r="K157" s="106"/>
      <c r="L157" s="106"/>
      <c r="M157" s="106"/>
      <c r="N157" s="106"/>
      <c r="O157" s="106"/>
      <c r="P157" s="99">
        <f>(7*1.75)+(0.05*152)</f>
        <v>19.850000000000001</v>
      </c>
      <c r="Q157" s="106"/>
      <c r="R157" s="106"/>
      <c r="S157" s="106"/>
      <c r="T157" s="99">
        <f t="shared" si="9"/>
        <v>19.850000000000001</v>
      </c>
      <c r="U157" s="101"/>
      <c r="V157" s="1"/>
      <c r="W157" s="1"/>
      <c r="X157" s="1"/>
      <c r="Y157" s="1"/>
      <c r="Z157" s="1"/>
    </row>
    <row r="158" spans="1:26" ht="39.75" customHeight="1">
      <c r="A158" s="169"/>
      <c r="B158" s="176" t="s">
        <v>289</v>
      </c>
      <c r="C158" s="177"/>
      <c r="D158" s="178"/>
      <c r="E158" s="51"/>
      <c r="F158" s="51">
        <f t="shared" ref="F158:S158" si="10">SUM(F135:F157)</f>
        <v>0</v>
      </c>
      <c r="G158" s="51">
        <f t="shared" si="10"/>
        <v>0</v>
      </c>
      <c r="H158" s="51">
        <f t="shared" si="10"/>
        <v>0</v>
      </c>
      <c r="I158" s="51">
        <f t="shared" si="10"/>
        <v>0</v>
      </c>
      <c r="J158" s="51">
        <f t="shared" si="10"/>
        <v>0</v>
      </c>
      <c r="K158" s="51">
        <f t="shared" si="10"/>
        <v>0</v>
      </c>
      <c r="L158" s="51">
        <f t="shared" si="10"/>
        <v>0</v>
      </c>
      <c r="M158" s="51">
        <f t="shared" si="10"/>
        <v>0</v>
      </c>
      <c r="N158" s="51">
        <f t="shared" si="10"/>
        <v>1.52</v>
      </c>
      <c r="O158" s="51">
        <f t="shared" si="10"/>
        <v>0</v>
      </c>
      <c r="P158" s="51">
        <f t="shared" si="10"/>
        <v>42.185000000000002</v>
      </c>
      <c r="Q158" s="51">
        <f t="shared" si="10"/>
        <v>5.95</v>
      </c>
      <c r="R158" s="51">
        <f t="shared" si="10"/>
        <v>350.71999999999997</v>
      </c>
      <c r="S158" s="51">
        <f t="shared" si="10"/>
        <v>0</v>
      </c>
      <c r="T158" s="52">
        <f t="shared" si="9"/>
        <v>400.375</v>
      </c>
      <c r="U158" s="9"/>
      <c r="V158" s="29"/>
      <c r="W158" s="29"/>
      <c r="X158" s="29"/>
      <c r="Y158" s="29"/>
      <c r="Z158" s="29"/>
    </row>
    <row r="159" spans="1:26" ht="39.75" customHeight="1">
      <c r="A159" s="175" t="s">
        <v>290</v>
      </c>
      <c r="B159" s="168" t="s">
        <v>291</v>
      </c>
      <c r="C159" s="168" t="s">
        <v>247</v>
      </c>
      <c r="D159" s="5">
        <v>150</v>
      </c>
      <c r="E159" s="5" t="s">
        <v>292</v>
      </c>
      <c r="F159" s="5"/>
      <c r="G159" s="8">
        <v>535.5</v>
      </c>
      <c r="H159" s="8">
        <v>714</v>
      </c>
      <c r="I159" s="5"/>
      <c r="J159" s="5"/>
      <c r="K159" s="5"/>
      <c r="L159" s="5"/>
      <c r="M159" s="5"/>
      <c r="N159" s="6">
        <v>2.5</v>
      </c>
      <c r="O159" s="5"/>
      <c r="P159" s="8"/>
      <c r="Q159" s="5"/>
      <c r="R159" s="5"/>
      <c r="S159" s="5"/>
      <c r="T159" s="6">
        <f t="shared" si="9"/>
        <v>1252</v>
      </c>
      <c r="U159" s="62" t="s">
        <v>376</v>
      </c>
      <c r="V159" s="1"/>
      <c r="W159" s="1"/>
      <c r="X159" s="1"/>
      <c r="Y159" s="1"/>
      <c r="Z159" s="1"/>
    </row>
    <row r="160" spans="1:26" ht="39.75" customHeight="1">
      <c r="A160" s="171"/>
      <c r="B160" s="171"/>
      <c r="C160" s="171"/>
      <c r="D160" s="5">
        <v>151</v>
      </c>
      <c r="E160" s="5" t="s">
        <v>294</v>
      </c>
      <c r="F160" s="5"/>
      <c r="G160" s="8"/>
      <c r="H160" s="8"/>
      <c r="I160" s="6"/>
      <c r="J160" s="5"/>
      <c r="K160" s="5"/>
      <c r="L160" s="5"/>
      <c r="M160" s="5"/>
      <c r="N160" s="6"/>
      <c r="O160" s="8"/>
      <c r="P160" s="8"/>
      <c r="Q160" s="6"/>
      <c r="R160" s="8">
        <v>6</v>
      </c>
      <c r="S160" s="5"/>
      <c r="T160" s="6">
        <f t="shared" si="9"/>
        <v>6</v>
      </c>
      <c r="U160" s="9" t="s">
        <v>640</v>
      </c>
      <c r="V160" s="1"/>
      <c r="W160" s="1"/>
      <c r="X160" s="1"/>
      <c r="Y160" s="1"/>
      <c r="Z160" s="1"/>
    </row>
    <row r="161" spans="1:26" ht="39.75" customHeight="1">
      <c r="A161" s="171"/>
      <c r="B161" s="171"/>
      <c r="C161" s="171"/>
      <c r="D161" s="5">
        <v>152</v>
      </c>
      <c r="E161" s="5" t="s">
        <v>295</v>
      </c>
      <c r="F161" s="5"/>
      <c r="G161" s="5"/>
      <c r="H161" s="5"/>
      <c r="I161" s="5"/>
      <c r="J161" s="5"/>
      <c r="K161" s="5"/>
      <c r="L161" s="5"/>
      <c r="M161" s="5"/>
      <c r="N161" s="5"/>
      <c r="O161" s="5"/>
      <c r="P161" s="8">
        <v>15</v>
      </c>
      <c r="Q161" s="5"/>
      <c r="R161" s="5"/>
      <c r="S161" s="5"/>
      <c r="T161" s="6">
        <f t="shared" si="9"/>
        <v>15</v>
      </c>
      <c r="U161" s="9" t="s">
        <v>296</v>
      </c>
      <c r="V161" s="1"/>
      <c r="W161" s="1"/>
      <c r="X161" s="1"/>
      <c r="Y161" s="1"/>
      <c r="Z161" s="1"/>
    </row>
    <row r="162" spans="1:26" ht="39.75" customHeight="1">
      <c r="A162" s="171"/>
      <c r="B162" s="179"/>
      <c r="C162" s="179"/>
      <c r="D162" s="5">
        <v>153</v>
      </c>
      <c r="E162" s="5" t="s">
        <v>297</v>
      </c>
      <c r="F162" s="24"/>
      <c r="G162" s="24"/>
      <c r="H162" s="24"/>
      <c r="I162" s="24"/>
      <c r="J162" s="24"/>
      <c r="K162" s="24"/>
      <c r="L162" s="24"/>
      <c r="M162" s="24"/>
      <c r="N162" s="6"/>
      <c r="O162" s="24"/>
      <c r="P162" s="24"/>
      <c r="Q162" s="24"/>
      <c r="R162" s="24"/>
      <c r="S162" s="24"/>
      <c r="T162" s="6">
        <f t="shared" si="9"/>
        <v>0</v>
      </c>
      <c r="U162" s="9" t="s">
        <v>298</v>
      </c>
      <c r="V162" s="1"/>
      <c r="W162" s="1"/>
      <c r="X162" s="1"/>
      <c r="Y162" s="1"/>
      <c r="Z162" s="1"/>
    </row>
    <row r="163" spans="1:26" ht="39.75" customHeight="1">
      <c r="A163" s="171"/>
      <c r="B163" s="168" t="s">
        <v>299</v>
      </c>
      <c r="C163" s="168" t="s">
        <v>300</v>
      </c>
      <c r="D163" s="5">
        <v>154</v>
      </c>
      <c r="E163" s="5" t="s">
        <v>301</v>
      </c>
      <c r="F163" s="5"/>
      <c r="G163" s="5"/>
      <c r="H163" s="5"/>
      <c r="I163" s="5"/>
      <c r="J163" s="5"/>
      <c r="K163" s="6"/>
      <c r="L163" s="5"/>
      <c r="M163" s="6"/>
      <c r="N163" s="5"/>
      <c r="O163" s="5"/>
      <c r="P163" s="5"/>
      <c r="Q163" s="8"/>
      <c r="R163" s="5"/>
      <c r="S163" s="5"/>
      <c r="T163" s="6">
        <f t="shared" si="9"/>
        <v>0</v>
      </c>
      <c r="U163" s="9"/>
      <c r="V163" s="1"/>
      <c r="W163" s="1"/>
      <c r="X163" s="1"/>
      <c r="Y163" s="1"/>
      <c r="Z163" s="1"/>
    </row>
    <row r="164" spans="1:26" ht="39.75" customHeight="1">
      <c r="A164" s="171"/>
      <c r="B164" s="171"/>
      <c r="C164" s="171"/>
      <c r="D164" s="5">
        <v>155</v>
      </c>
      <c r="E164" s="5" t="s">
        <v>302</v>
      </c>
      <c r="F164" s="5"/>
      <c r="G164" s="5"/>
      <c r="H164" s="5"/>
      <c r="I164" s="5"/>
      <c r="J164" s="5"/>
      <c r="K164" s="5"/>
      <c r="L164" s="5"/>
      <c r="M164" s="5"/>
      <c r="N164" s="5"/>
      <c r="O164" s="5"/>
      <c r="P164" s="8"/>
      <c r="Q164" s="5"/>
      <c r="R164" s="5"/>
      <c r="S164" s="5"/>
      <c r="T164" s="6">
        <f t="shared" si="9"/>
        <v>0</v>
      </c>
      <c r="U164" s="9"/>
      <c r="V164" s="1"/>
      <c r="W164" s="1"/>
      <c r="X164" s="1"/>
      <c r="Y164" s="1"/>
      <c r="Z164" s="1"/>
    </row>
    <row r="165" spans="1:26" ht="39.75" customHeight="1">
      <c r="A165" s="171"/>
      <c r="B165" s="171"/>
      <c r="C165" s="171"/>
      <c r="D165" s="5">
        <v>156</v>
      </c>
      <c r="E165" s="5" t="s">
        <v>303</v>
      </c>
      <c r="F165" s="5"/>
      <c r="G165" s="5"/>
      <c r="H165" s="8"/>
      <c r="I165" s="6"/>
      <c r="J165" s="5"/>
      <c r="K165" s="5"/>
      <c r="L165" s="5"/>
      <c r="M165" s="5"/>
      <c r="N165" s="5"/>
      <c r="O165" s="5"/>
      <c r="P165" s="8">
        <v>3.2</v>
      </c>
      <c r="Q165" s="5"/>
      <c r="R165" s="5"/>
      <c r="S165" s="5"/>
      <c r="T165" s="6">
        <f t="shared" si="9"/>
        <v>3.2</v>
      </c>
      <c r="U165" s="9"/>
      <c r="V165" s="1"/>
      <c r="W165" s="1"/>
      <c r="X165" s="1"/>
      <c r="Y165" s="1"/>
      <c r="Z165" s="1"/>
    </row>
    <row r="166" spans="1:26" ht="39.75" customHeight="1">
      <c r="A166" s="171"/>
      <c r="B166" s="171"/>
      <c r="C166" s="171"/>
      <c r="D166" s="5">
        <v>157</v>
      </c>
      <c r="E166" s="5" t="s">
        <v>304</v>
      </c>
      <c r="F166" s="5"/>
      <c r="G166" s="5"/>
      <c r="H166" s="5"/>
      <c r="I166" s="5"/>
      <c r="J166" s="5"/>
      <c r="K166" s="5"/>
      <c r="L166" s="5"/>
      <c r="M166" s="5"/>
      <c r="N166" s="5"/>
      <c r="O166" s="5"/>
      <c r="P166" s="5"/>
      <c r="Q166" s="5"/>
      <c r="R166" s="5"/>
      <c r="S166" s="5"/>
      <c r="T166" s="6">
        <f t="shared" si="9"/>
        <v>0</v>
      </c>
      <c r="U166" s="9"/>
      <c r="V166" s="1"/>
      <c r="W166" s="1"/>
      <c r="X166" s="1"/>
      <c r="Y166" s="1"/>
      <c r="Z166" s="1"/>
    </row>
    <row r="167" spans="1:26" ht="39.75" customHeight="1">
      <c r="A167" s="171"/>
      <c r="B167" s="169"/>
      <c r="C167" s="169"/>
      <c r="D167" s="5">
        <v>158</v>
      </c>
      <c r="E167" s="5" t="s">
        <v>305</v>
      </c>
      <c r="F167" s="5"/>
      <c r="G167" s="5"/>
      <c r="H167" s="5"/>
      <c r="I167" s="5"/>
      <c r="J167" s="5"/>
      <c r="K167" s="5"/>
      <c r="L167" s="5"/>
      <c r="M167" s="5"/>
      <c r="N167" s="5"/>
      <c r="O167" s="5"/>
      <c r="P167" s="5"/>
      <c r="Q167" s="6"/>
      <c r="R167" s="5"/>
      <c r="S167" s="5"/>
      <c r="T167" s="6">
        <f t="shared" si="9"/>
        <v>0</v>
      </c>
      <c r="U167" s="9"/>
      <c r="V167" s="1"/>
      <c r="W167" s="1"/>
      <c r="X167" s="1"/>
      <c r="Y167" s="1"/>
      <c r="Z167" s="1"/>
    </row>
    <row r="168" spans="1:26" ht="39.75" customHeight="1">
      <c r="A168" s="171"/>
      <c r="B168" s="168" t="s">
        <v>306</v>
      </c>
      <c r="C168" s="168" t="s">
        <v>252</v>
      </c>
      <c r="D168" s="5">
        <v>159</v>
      </c>
      <c r="E168" s="5" t="s">
        <v>253</v>
      </c>
      <c r="F168" s="5"/>
      <c r="G168" s="5"/>
      <c r="H168" s="5"/>
      <c r="I168" s="5"/>
      <c r="J168" s="5"/>
      <c r="K168" s="6"/>
      <c r="L168" s="5"/>
      <c r="M168" s="5"/>
      <c r="N168" s="8">
        <v>35.54</v>
      </c>
      <c r="O168" s="8">
        <v>618.02</v>
      </c>
      <c r="P168" s="8">
        <v>61.92</v>
      </c>
      <c r="Q168" s="6">
        <v>6.34</v>
      </c>
      <c r="R168" s="5"/>
      <c r="S168" s="5"/>
      <c r="T168" s="6">
        <f t="shared" si="9"/>
        <v>721.81999999999994</v>
      </c>
      <c r="U168" s="9" t="s">
        <v>307</v>
      </c>
      <c r="V168" s="1"/>
      <c r="W168" s="1"/>
      <c r="X168" s="1"/>
      <c r="Y168" s="1"/>
      <c r="Z168" s="1"/>
    </row>
    <row r="169" spans="1:26" ht="39.75" customHeight="1">
      <c r="A169" s="171"/>
      <c r="B169" s="171"/>
      <c r="C169" s="171"/>
      <c r="D169" s="5">
        <v>160</v>
      </c>
      <c r="E169" s="5" t="s">
        <v>308</v>
      </c>
      <c r="F169" s="5"/>
      <c r="G169" s="5"/>
      <c r="H169" s="5"/>
      <c r="I169" s="5"/>
      <c r="J169" s="5"/>
      <c r="K169" s="5"/>
      <c r="L169" s="5"/>
      <c r="M169" s="5"/>
      <c r="N169" s="5"/>
      <c r="O169" s="5"/>
      <c r="P169" s="5"/>
      <c r="Q169" s="5"/>
      <c r="R169" s="5"/>
      <c r="S169" s="5"/>
      <c r="T169" s="6">
        <f t="shared" si="9"/>
        <v>0</v>
      </c>
      <c r="U169" s="9"/>
      <c r="V169" s="1"/>
      <c r="W169" s="1"/>
      <c r="X169" s="1"/>
      <c r="Y169" s="1"/>
      <c r="Z169" s="1"/>
    </row>
    <row r="170" spans="1:26" ht="39.75" customHeight="1">
      <c r="A170" s="171"/>
      <c r="B170" s="171"/>
      <c r="C170" s="171"/>
      <c r="D170" s="5">
        <v>161</v>
      </c>
      <c r="E170" s="5" t="s">
        <v>255</v>
      </c>
      <c r="F170" s="5"/>
      <c r="G170" s="5"/>
      <c r="H170" s="5"/>
      <c r="I170" s="5"/>
      <c r="J170" s="5"/>
      <c r="K170" s="5"/>
      <c r="L170" s="5"/>
      <c r="M170" s="5"/>
      <c r="N170" s="5"/>
      <c r="O170" s="5"/>
      <c r="P170" s="5"/>
      <c r="Q170" s="5"/>
      <c r="R170" s="5"/>
      <c r="S170" s="5"/>
      <c r="T170" s="6">
        <f t="shared" si="9"/>
        <v>0</v>
      </c>
      <c r="U170" s="9"/>
      <c r="V170" s="1"/>
      <c r="W170" s="1"/>
      <c r="X170" s="1"/>
      <c r="Y170" s="1"/>
      <c r="Z170" s="1"/>
    </row>
    <row r="171" spans="1:26" ht="39.75" customHeight="1">
      <c r="A171" s="171"/>
      <c r="B171" s="171"/>
      <c r="C171" s="171"/>
      <c r="D171" s="5">
        <v>162</v>
      </c>
      <c r="E171" s="5" t="s">
        <v>256</v>
      </c>
      <c r="F171" s="5"/>
      <c r="G171" s="5"/>
      <c r="H171" s="5"/>
      <c r="I171" s="5"/>
      <c r="J171" s="5"/>
      <c r="K171" s="5"/>
      <c r="L171" s="5"/>
      <c r="M171" s="5"/>
      <c r="N171" s="5"/>
      <c r="O171" s="5"/>
      <c r="P171" s="5"/>
      <c r="Q171" s="5"/>
      <c r="R171" s="5"/>
      <c r="S171" s="5"/>
      <c r="T171" s="6">
        <f t="shared" si="9"/>
        <v>0</v>
      </c>
      <c r="U171" s="9"/>
      <c r="V171" s="1"/>
      <c r="W171" s="1"/>
      <c r="X171" s="1"/>
      <c r="Y171" s="1"/>
      <c r="Z171" s="1"/>
    </row>
    <row r="172" spans="1:26" ht="39.75" customHeight="1">
      <c r="A172" s="171"/>
      <c r="B172" s="169"/>
      <c r="C172" s="169"/>
      <c r="D172" s="5">
        <v>163</v>
      </c>
      <c r="E172" s="5" t="s">
        <v>309</v>
      </c>
      <c r="F172" s="5"/>
      <c r="G172" s="5"/>
      <c r="H172" s="5"/>
      <c r="I172" s="5"/>
      <c r="J172" s="5"/>
      <c r="K172" s="5"/>
      <c r="L172" s="5"/>
      <c r="M172" s="5"/>
      <c r="N172" s="5"/>
      <c r="O172" s="8"/>
      <c r="P172" s="8">
        <v>2.5</v>
      </c>
      <c r="Q172" s="6">
        <v>3.5</v>
      </c>
      <c r="R172" s="5"/>
      <c r="S172" s="5"/>
      <c r="T172" s="6">
        <f t="shared" si="9"/>
        <v>6</v>
      </c>
      <c r="U172" s="9" t="s">
        <v>310</v>
      </c>
      <c r="V172" s="1"/>
      <c r="W172" s="1"/>
      <c r="X172" s="1"/>
      <c r="Y172" s="1"/>
      <c r="Z172" s="1"/>
    </row>
    <row r="173" spans="1:26" ht="39.75" customHeight="1">
      <c r="A173" s="171"/>
      <c r="B173" s="168" t="s">
        <v>311</v>
      </c>
      <c r="C173" s="168" t="s">
        <v>312</v>
      </c>
      <c r="D173" s="5">
        <v>164</v>
      </c>
      <c r="E173" s="5" t="s">
        <v>313</v>
      </c>
      <c r="F173" s="5"/>
      <c r="G173" s="8"/>
      <c r="H173" s="8"/>
      <c r="I173" s="5"/>
      <c r="J173" s="5"/>
      <c r="K173" s="5"/>
      <c r="L173" s="5"/>
      <c r="M173" s="5"/>
      <c r="N173" s="5"/>
      <c r="O173" s="5"/>
      <c r="P173" s="5"/>
      <c r="Q173" s="5"/>
      <c r="R173" s="5"/>
      <c r="S173" s="5"/>
      <c r="T173" s="6">
        <f t="shared" si="9"/>
        <v>0</v>
      </c>
      <c r="U173" s="9"/>
      <c r="V173" s="1"/>
      <c r="W173" s="1"/>
      <c r="X173" s="1"/>
      <c r="Y173" s="1"/>
      <c r="Z173" s="1"/>
    </row>
    <row r="174" spans="1:26" ht="39.75" customHeight="1">
      <c r="A174" s="171"/>
      <c r="B174" s="171"/>
      <c r="C174" s="171"/>
      <c r="D174" s="5">
        <v>165</v>
      </c>
      <c r="E174" s="5" t="s">
        <v>314</v>
      </c>
      <c r="F174" s="5"/>
      <c r="G174" s="8"/>
      <c r="H174" s="8"/>
      <c r="I174" s="5"/>
      <c r="J174" s="5"/>
      <c r="K174" s="5"/>
      <c r="L174" s="5"/>
      <c r="M174" s="5"/>
      <c r="N174" s="5"/>
      <c r="O174" s="5"/>
      <c r="P174" s="5"/>
      <c r="Q174" s="5"/>
      <c r="R174" s="5"/>
      <c r="S174" s="5"/>
      <c r="T174" s="6">
        <f t="shared" si="9"/>
        <v>0</v>
      </c>
      <c r="U174" s="9"/>
      <c r="V174" s="1"/>
      <c r="W174" s="1"/>
      <c r="X174" s="1"/>
      <c r="Y174" s="1"/>
      <c r="Z174" s="1"/>
    </row>
    <row r="175" spans="1:26" ht="39.75" customHeight="1">
      <c r="A175" s="171"/>
      <c r="B175" s="171"/>
      <c r="C175" s="171"/>
      <c r="D175" s="5">
        <v>166</v>
      </c>
      <c r="E175" s="5" t="s">
        <v>315</v>
      </c>
      <c r="F175" s="5"/>
      <c r="G175" s="8"/>
      <c r="H175" s="8"/>
      <c r="I175" s="5"/>
      <c r="J175" s="5"/>
      <c r="K175" s="5"/>
      <c r="L175" s="5"/>
      <c r="M175" s="5"/>
      <c r="N175" s="5"/>
      <c r="O175" s="5"/>
      <c r="P175" s="5"/>
      <c r="Q175" s="5"/>
      <c r="R175" s="5"/>
      <c r="S175" s="5"/>
      <c r="T175" s="6">
        <f t="shared" si="9"/>
        <v>0</v>
      </c>
      <c r="U175" s="9"/>
      <c r="V175" s="1"/>
      <c r="W175" s="1"/>
      <c r="X175" s="1"/>
      <c r="Y175" s="1"/>
      <c r="Z175" s="1"/>
    </row>
    <row r="176" spans="1:26" ht="39.75" customHeight="1">
      <c r="A176" s="171"/>
      <c r="B176" s="171"/>
      <c r="C176" s="171"/>
      <c r="D176" s="5">
        <v>167</v>
      </c>
      <c r="E176" s="5" t="s">
        <v>316</v>
      </c>
      <c r="F176" s="5"/>
      <c r="G176" s="8"/>
      <c r="H176" s="8"/>
      <c r="I176" s="5"/>
      <c r="J176" s="5"/>
      <c r="K176" s="5"/>
      <c r="L176" s="5"/>
      <c r="M176" s="5"/>
      <c r="N176" s="5"/>
      <c r="O176" s="5"/>
      <c r="P176" s="5"/>
      <c r="Q176" s="5"/>
      <c r="R176" s="5"/>
      <c r="S176" s="5"/>
      <c r="T176" s="6">
        <f t="shared" si="9"/>
        <v>0</v>
      </c>
      <c r="U176" s="9"/>
      <c r="V176" s="1"/>
      <c r="W176" s="1"/>
      <c r="X176" s="1"/>
      <c r="Y176" s="1"/>
      <c r="Z176" s="1"/>
    </row>
    <row r="177" spans="1:26" ht="39.75" customHeight="1">
      <c r="A177" s="171"/>
      <c r="B177" s="171"/>
      <c r="C177" s="171"/>
      <c r="D177" s="5">
        <v>168</v>
      </c>
      <c r="E177" s="5" t="s">
        <v>317</v>
      </c>
      <c r="F177" s="5"/>
      <c r="G177" s="8"/>
      <c r="H177" s="8"/>
      <c r="I177" s="5"/>
      <c r="J177" s="5"/>
      <c r="K177" s="5"/>
      <c r="L177" s="5"/>
      <c r="M177" s="5"/>
      <c r="N177" s="5"/>
      <c r="O177" s="5"/>
      <c r="P177" s="5"/>
      <c r="Q177" s="5"/>
      <c r="R177" s="5"/>
      <c r="S177" s="5"/>
      <c r="T177" s="6">
        <f t="shared" si="9"/>
        <v>0</v>
      </c>
      <c r="U177" s="9"/>
      <c r="V177" s="1"/>
      <c r="W177" s="1"/>
      <c r="X177" s="1"/>
      <c r="Y177" s="1"/>
      <c r="Z177" s="1"/>
    </row>
    <row r="178" spans="1:26" ht="39.75" customHeight="1">
      <c r="A178" s="171"/>
      <c r="B178" s="171"/>
      <c r="C178" s="171"/>
      <c r="D178" s="5">
        <v>169</v>
      </c>
      <c r="E178" s="5" t="s">
        <v>318</v>
      </c>
      <c r="F178" s="5"/>
      <c r="G178" s="8"/>
      <c r="H178" s="8"/>
      <c r="I178" s="6"/>
      <c r="J178" s="5"/>
      <c r="K178" s="5"/>
      <c r="L178" s="5"/>
      <c r="M178" s="5"/>
      <c r="N178" s="5"/>
      <c r="O178" s="5"/>
      <c r="P178" s="5"/>
      <c r="Q178" s="5"/>
      <c r="R178" s="5"/>
      <c r="S178" s="5"/>
      <c r="T178" s="6">
        <f t="shared" si="9"/>
        <v>0</v>
      </c>
      <c r="U178" s="9"/>
      <c r="V178" s="1"/>
      <c r="W178" s="1"/>
      <c r="X178" s="1"/>
      <c r="Y178" s="1"/>
      <c r="Z178" s="1"/>
    </row>
    <row r="179" spans="1:26" ht="39.75" customHeight="1">
      <c r="A179" s="171"/>
      <c r="B179" s="169"/>
      <c r="C179" s="169"/>
      <c r="D179" s="5">
        <v>170</v>
      </c>
      <c r="E179" s="5" t="s">
        <v>319</v>
      </c>
      <c r="F179" s="5"/>
      <c r="G179" s="5"/>
      <c r="H179" s="5"/>
      <c r="I179" s="5"/>
      <c r="J179" s="5"/>
      <c r="K179" s="5"/>
      <c r="L179" s="5"/>
      <c r="M179" s="5"/>
      <c r="N179" s="5"/>
      <c r="O179" s="5"/>
      <c r="P179" s="5"/>
      <c r="Q179" s="5"/>
      <c r="R179" s="5"/>
      <c r="S179" s="5"/>
      <c r="T179" s="6">
        <f t="shared" si="9"/>
        <v>0</v>
      </c>
      <c r="U179" s="9"/>
      <c r="V179" s="1"/>
      <c r="W179" s="1"/>
      <c r="X179" s="1"/>
      <c r="Y179" s="1"/>
      <c r="Z179" s="1"/>
    </row>
    <row r="180" spans="1:26" ht="39.75" customHeight="1">
      <c r="A180" s="171"/>
      <c r="B180" s="168" t="s">
        <v>320</v>
      </c>
      <c r="C180" s="168" t="s">
        <v>321</v>
      </c>
      <c r="D180" s="5">
        <v>171</v>
      </c>
      <c r="E180" s="5" t="s">
        <v>322</v>
      </c>
      <c r="F180" s="5"/>
      <c r="G180" s="5"/>
      <c r="H180" s="5"/>
      <c r="I180" s="5"/>
      <c r="J180" s="5"/>
      <c r="K180" s="5"/>
      <c r="L180" s="5"/>
      <c r="M180" s="5"/>
      <c r="N180" s="5"/>
      <c r="O180" s="5"/>
      <c r="P180" s="5"/>
      <c r="Q180" s="5"/>
      <c r="R180" s="5"/>
      <c r="S180" s="5"/>
      <c r="T180" s="6">
        <f t="shared" si="9"/>
        <v>0</v>
      </c>
      <c r="U180" s="9"/>
      <c r="V180" s="1"/>
      <c r="W180" s="1"/>
      <c r="X180" s="1"/>
      <c r="Y180" s="1"/>
      <c r="Z180" s="1"/>
    </row>
    <row r="181" spans="1:26" ht="39.75" customHeight="1">
      <c r="A181" s="171"/>
      <c r="B181" s="171"/>
      <c r="C181" s="171"/>
      <c r="D181" s="5">
        <v>172</v>
      </c>
      <c r="E181" s="5" t="s">
        <v>323</v>
      </c>
      <c r="F181" s="5"/>
      <c r="G181" s="5"/>
      <c r="H181" s="5"/>
      <c r="I181" s="5"/>
      <c r="J181" s="5"/>
      <c r="K181" s="5"/>
      <c r="L181" s="5"/>
      <c r="M181" s="5"/>
      <c r="N181" s="5"/>
      <c r="O181" s="5"/>
      <c r="P181" s="6"/>
      <c r="Q181" s="5"/>
      <c r="R181" s="5"/>
      <c r="S181" s="5"/>
      <c r="T181" s="6">
        <f t="shared" si="9"/>
        <v>0</v>
      </c>
      <c r="U181" s="9"/>
      <c r="V181" s="1"/>
      <c r="W181" s="1"/>
      <c r="X181" s="1"/>
      <c r="Y181" s="1"/>
      <c r="Z181" s="1"/>
    </row>
    <row r="182" spans="1:26" ht="39.75" customHeight="1">
      <c r="A182" s="171"/>
      <c r="B182" s="171"/>
      <c r="C182" s="171"/>
      <c r="D182" s="5">
        <v>173</v>
      </c>
      <c r="E182" s="5" t="s">
        <v>324</v>
      </c>
      <c r="F182" s="5"/>
      <c r="G182" s="5"/>
      <c r="H182" s="5"/>
      <c r="I182" s="5"/>
      <c r="J182" s="5"/>
      <c r="K182" s="5"/>
      <c r="L182" s="5"/>
      <c r="M182" s="5"/>
      <c r="N182" s="5"/>
      <c r="O182" s="5"/>
      <c r="P182" s="5"/>
      <c r="Q182" s="5"/>
      <c r="R182" s="5"/>
      <c r="S182" s="5"/>
      <c r="T182" s="6">
        <f t="shared" si="9"/>
        <v>0</v>
      </c>
      <c r="U182" s="9"/>
      <c r="V182" s="1"/>
      <c r="W182" s="1"/>
      <c r="X182" s="1"/>
      <c r="Y182" s="1"/>
      <c r="Z182" s="1"/>
    </row>
    <row r="183" spans="1:26" ht="39.75" customHeight="1">
      <c r="A183" s="171"/>
      <c r="B183" s="169"/>
      <c r="C183" s="169"/>
      <c r="D183" s="5">
        <v>174</v>
      </c>
      <c r="E183" s="5" t="s">
        <v>325</v>
      </c>
      <c r="F183" s="5"/>
      <c r="G183" s="5"/>
      <c r="H183" s="5"/>
      <c r="I183" s="5"/>
      <c r="J183" s="5"/>
      <c r="K183" s="5"/>
      <c r="L183" s="5"/>
      <c r="M183" s="5"/>
      <c r="N183" s="5"/>
      <c r="O183" s="5"/>
      <c r="P183" s="6"/>
      <c r="Q183" s="5"/>
      <c r="R183" s="5"/>
      <c r="S183" s="5"/>
      <c r="T183" s="6">
        <f t="shared" si="9"/>
        <v>0</v>
      </c>
      <c r="U183" s="9"/>
      <c r="V183" s="1"/>
      <c r="W183" s="1"/>
      <c r="X183" s="1"/>
      <c r="Y183" s="1"/>
      <c r="Z183" s="1"/>
    </row>
    <row r="184" spans="1:26" ht="39.75" customHeight="1">
      <c r="A184" s="171"/>
      <c r="B184" s="168" t="s">
        <v>326</v>
      </c>
      <c r="C184" s="168" t="s">
        <v>267</v>
      </c>
      <c r="D184" s="5">
        <v>175</v>
      </c>
      <c r="E184" s="5" t="s">
        <v>268</v>
      </c>
      <c r="F184" s="134"/>
      <c r="G184" s="134"/>
      <c r="H184" s="134"/>
      <c r="I184" s="135">
        <v>12.1</v>
      </c>
      <c r="J184" s="134"/>
      <c r="K184" s="134"/>
      <c r="L184" s="134"/>
      <c r="M184" s="134"/>
      <c r="N184" s="136">
        <f>10.34+1.5</f>
        <v>11.84</v>
      </c>
      <c r="O184" s="134"/>
      <c r="P184" s="135">
        <v>4</v>
      </c>
      <c r="Q184" s="137">
        <v>4.2857000000000003</v>
      </c>
      <c r="R184" s="135">
        <f>0.504+0.252</f>
        <v>0.75600000000000001</v>
      </c>
      <c r="S184" s="135"/>
      <c r="T184" s="136">
        <f t="shared" ref="T184:T186" si="11">SUM(F184:S184)</f>
        <v>32.981699999999996</v>
      </c>
      <c r="U184" s="138" t="s">
        <v>852</v>
      </c>
      <c r="V184" s="1"/>
      <c r="W184" s="1"/>
      <c r="X184" s="1"/>
      <c r="Y184" s="1"/>
      <c r="Z184" s="1"/>
    </row>
    <row r="185" spans="1:26" ht="39.75" customHeight="1">
      <c r="A185" s="171"/>
      <c r="B185" s="171"/>
      <c r="C185" s="171"/>
      <c r="D185" s="5">
        <v>176</v>
      </c>
      <c r="E185" s="5" t="s">
        <v>269</v>
      </c>
      <c r="F185" s="134"/>
      <c r="G185" s="134"/>
      <c r="H185" s="134"/>
      <c r="I185" s="134"/>
      <c r="J185" s="134"/>
      <c r="K185" s="134"/>
      <c r="L185" s="134"/>
      <c r="M185" s="135">
        <v>34.4</v>
      </c>
      <c r="N185" s="134"/>
      <c r="O185" s="134"/>
      <c r="P185" s="135">
        <v>60.604999999999997</v>
      </c>
      <c r="Q185" s="135">
        <v>6.57</v>
      </c>
      <c r="R185" s="134"/>
      <c r="S185" s="134"/>
      <c r="T185" s="136">
        <f t="shared" si="11"/>
        <v>101.57499999999999</v>
      </c>
      <c r="U185" s="138" t="s">
        <v>853</v>
      </c>
      <c r="V185" s="1"/>
      <c r="W185" s="1"/>
      <c r="X185" s="1"/>
      <c r="Y185" s="1"/>
      <c r="Z185" s="1"/>
    </row>
    <row r="186" spans="1:26" ht="39.75" customHeight="1">
      <c r="A186" s="171"/>
      <c r="B186" s="169"/>
      <c r="C186" s="169"/>
      <c r="D186" s="5">
        <v>177</v>
      </c>
      <c r="E186" s="5" t="s">
        <v>270</v>
      </c>
      <c r="F186" s="134"/>
      <c r="G186" s="134"/>
      <c r="H186" s="134"/>
      <c r="I186" s="134"/>
      <c r="J186" s="134"/>
      <c r="K186" s="134"/>
      <c r="L186" s="134"/>
      <c r="M186" s="134"/>
      <c r="N186" s="136">
        <v>1</v>
      </c>
      <c r="O186" s="134"/>
      <c r="P186" s="134"/>
      <c r="Q186" s="134"/>
      <c r="R186" s="134"/>
      <c r="S186" s="134"/>
      <c r="T186" s="136">
        <f t="shared" si="11"/>
        <v>1</v>
      </c>
      <c r="U186" s="138" t="s">
        <v>839</v>
      </c>
      <c r="V186" s="1"/>
      <c r="W186" s="1"/>
      <c r="X186" s="1"/>
      <c r="Y186" s="1"/>
      <c r="Z186" s="1"/>
    </row>
    <row r="187" spans="1:26" ht="39.75" customHeight="1">
      <c r="A187" s="171"/>
      <c r="B187" s="168" t="s">
        <v>327</v>
      </c>
      <c r="C187" s="168" t="s">
        <v>328</v>
      </c>
      <c r="D187" s="5">
        <v>178</v>
      </c>
      <c r="E187" s="5" t="s">
        <v>329</v>
      </c>
      <c r="F187" s="5"/>
      <c r="G187" s="5"/>
      <c r="H187" s="5"/>
      <c r="I187" s="5"/>
      <c r="J187" s="5"/>
      <c r="K187" s="5"/>
      <c r="L187" s="5"/>
      <c r="M187" s="5"/>
      <c r="N187" s="5"/>
      <c r="O187" s="5"/>
      <c r="P187" s="5"/>
      <c r="Q187" s="5"/>
      <c r="R187" s="5"/>
      <c r="S187" s="5"/>
      <c r="T187" s="6">
        <f t="shared" si="9"/>
        <v>0</v>
      </c>
      <c r="U187" s="9"/>
      <c r="V187" s="1"/>
      <c r="W187" s="1"/>
      <c r="X187" s="1"/>
      <c r="Y187" s="1"/>
      <c r="Z187" s="1"/>
    </row>
    <row r="188" spans="1:26" ht="39.75" customHeight="1">
      <c r="A188" s="171"/>
      <c r="B188" s="171"/>
      <c r="C188" s="171"/>
      <c r="D188" s="5">
        <v>179</v>
      </c>
      <c r="E188" s="5" t="s">
        <v>149</v>
      </c>
      <c r="F188" s="5"/>
      <c r="G188" s="5"/>
      <c r="H188" s="5"/>
      <c r="I188" s="5"/>
      <c r="J188" s="5"/>
      <c r="K188" s="5"/>
      <c r="L188" s="5"/>
      <c r="M188" s="5"/>
      <c r="N188" s="5"/>
      <c r="O188" s="5"/>
      <c r="P188" s="5"/>
      <c r="Q188" s="5"/>
      <c r="R188" s="5"/>
      <c r="S188" s="5"/>
      <c r="T188" s="6">
        <f t="shared" si="9"/>
        <v>0</v>
      </c>
      <c r="U188" s="9"/>
      <c r="V188" s="1"/>
      <c r="W188" s="1"/>
      <c r="X188" s="1"/>
      <c r="Y188" s="1"/>
      <c r="Z188" s="1"/>
    </row>
    <row r="189" spans="1:26" ht="39.75" customHeight="1">
      <c r="A189" s="171"/>
      <c r="B189" s="171"/>
      <c r="C189" s="171"/>
      <c r="D189" s="5">
        <v>180</v>
      </c>
      <c r="E189" s="5" t="s">
        <v>330</v>
      </c>
      <c r="F189" s="5"/>
      <c r="G189" s="5"/>
      <c r="H189" s="5"/>
      <c r="I189" s="5"/>
      <c r="J189" s="5"/>
      <c r="K189" s="6"/>
      <c r="L189" s="5"/>
      <c r="M189" s="5"/>
      <c r="N189" s="5"/>
      <c r="O189" s="5"/>
      <c r="P189" s="8"/>
      <c r="Q189" s="5"/>
      <c r="R189" s="5"/>
      <c r="S189" s="5"/>
      <c r="T189" s="6">
        <f t="shared" si="9"/>
        <v>0</v>
      </c>
      <c r="U189" s="9"/>
      <c r="V189" s="1"/>
      <c r="W189" s="1"/>
      <c r="X189" s="1"/>
      <c r="Y189" s="1"/>
      <c r="Z189" s="1"/>
    </row>
    <row r="190" spans="1:26" ht="39.75" customHeight="1">
      <c r="A190" s="171"/>
      <c r="B190" s="171"/>
      <c r="C190" s="171"/>
      <c r="D190" s="5">
        <v>181</v>
      </c>
      <c r="E190" s="5" t="s">
        <v>331</v>
      </c>
      <c r="F190" s="5"/>
      <c r="G190" s="5"/>
      <c r="H190" s="5"/>
      <c r="I190" s="5"/>
      <c r="J190" s="5"/>
      <c r="K190" s="5"/>
      <c r="L190" s="5"/>
      <c r="M190" s="5"/>
      <c r="N190" s="5"/>
      <c r="O190" s="5"/>
      <c r="P190" s="5"/>
      <c r="Q190" s="5"/>
      <c r="R190" s="5"/>
      <c r="S190" s="5"/>
      <c r="T190" s="6">
        <f t="shared" si="9"/>
        <v>0</v>
      </c>
      <c r="U190" s="9"/>
      <c r="V190" s="1"/>
      <c r="W190" s="1"/>
      <c r="X190" s="1"/>
      <c r="Y190" s="1"/>
      <c r="Z190" s="1"/>
    </row>
    <row r="191" spans="1:26" ht="39.75" customHeight="1">
      <c r="A191" s="171"/>
      <c r="B191" s="171"/>
      <c r="C191" s="171"/>
      <c r="D191" s="5">
        <v>182</v>
      </c>
      <c r="E191" s="5" t="s">
        <v>332</v>
      </c>
      <c r="F191" s="5"/>
      <c r="G191" s="5"/>
      <c r="H191" s="5"/>
      <c r="I191" s="5"/>
      <c r="J191" s="5"/>
      <c r="K191" s="5"/>
      <c r="L191" s="5"/>
      <c r="M191" s="5"/>
      <c r="N191" s="5"/>
      <c r="O191" s="5"/>
      <c r="P191" s="6">
        <v>9</v>
      </c>
      <c r="Q191" s="5"/>
      <c r="R191" s="5"/>
      <c r="S191" s="5"/>
      <c r="T191" s="6">
        <f t="shared" si="9"/>
        <v>9</v>
      </c>
      <c r="U191" s="9" t="s">
        <v>333</v>
      </c>
      <c r="V191" s="1"/>
      <c r="W191" s="1"/>
      <c r="X191" s="1"/>
      <c r="Y191" s="1"/>
      <c r="Z191" s="1"/>
    </row>
    <row r="192" spans="1:26" ht="39.75" customHeight="1">
      <c r="A192" s="171"/>
      <c r="B192" s="169"/>
      <c r="C192" s="169"/>
      <c r="D192" s="5">
        <v>183</v>
      </c>
      <c r="E192" s="5" t="s">
        <v>334</v>
      </c>
      <c r="F192" s="5"/>
      <c r="G192" s="5"/>
      <c r="H192" s="5"/>
      <c r="I192" s="5"/>
      <c r="J192" s="5"/>
      <c r="K192" s="5"/>
      <c r="L192" s="5"/>
      <c r="M192" s="5"/>
      <c r="N192" s="5"/>
      <c r="O192" s="5"/>
      <c r="P192" s="8"/>
      <c r="Q192" s="5"/>
      <c r="R192" s="5"/>
      <c r="S192" s="5"/>
      <c r="T192" s="6">
        <f t="shared" si="9"/>
        <v>0</v>
      </c>
      <c r="U192" s="9"/>
      <c r="V192" s="1"/>
      <c r="W192" s="1"/>
      <c r="X192" s="1"/>
      <c r="Y192" s="1"/>
      <c r="Z192" s="1"/>
    </row>
    <row r="193" spans="1:26" ht="39.75" customHeight="1">
      <c r="A193" s="171"/>
      <c r="B193" s="5" t="s">
        <v>335</v>
      </c>
      <c r="C193" s="5" t="s">
        <v>336</v>
      </c>
      <c r="D193" s="5">
        <v>184</v>
      </c>
      <c r="E193" s="5" t="s">
        <v>337</v>
      </c>
      <c r="F193" s="5"/>
      <c r="G193" s="5"/>
      <c r="H193" s="5"/>
      <c r="I193" s="5"/>
      <c r="J193" s="5"/>
      <c r="K193" s="5"/>
      <c r="L193" s="5"/>
      <c r="M193" s="5"/>
      <c r="N193" s="5"/>
      <c r="O193" s="5"/>
      <c r="P193" s="6"/>
      <c r="Q193" s="5"/>
      <c r="R193" s="5"/>
      <c r="S193" s="5"/>
      <c r="T193" s="6">
        <f t="shared" si="9"/>
        <v>0</v>
      </c>
      <c r="U193" s="9"/>
      <c r="V193" s="1"/>
      <c r="W193" s="1"/>
      <c r="X193" s="1"/>
      <c r="Y193" s="1"/>
      <c r="Z193" s="1"/>
    </row>
    <row r="194" spans="1:26" ht="39.75" customHeight="1">
      <c r="A194" s="171"/>
      <c r="B194" s="168" t="s">
        <v>338</v>
      </c>
      <c r="C194" s="168" t="s">
        <v>272</v>
      </c>
      <c r="D194" s="5">
        <v>185</v>
      </c>
      <c r="E194" s="5" t="s">
        <v>273</v>
      </c>
      <c r="F194" s="5"/>
      <c r="G194" s="5"/>
      <c r="H194" s="5"/>
      <c r="I194" s="5"/>
      <c r="J194" s="5"/>
      <c r="K194" s="5"/>
      <c r="L194" s="5"/>
      <c r="M194" s="5"/>
      <c r="N194" s="5"/>
      <c r="O194" s="5"/>
      <c r="P194" s="5"/>
      <c r="Q194" s="5"/>
      <c r="R194" s="5">
        <v>2303.6999999999998</v>
      </c>
      <c r="S194" s="5"/>
      <c r="T194" s="6">
        <f t="shared" si="9"/>
        <v>2303.6999999999998</v>
      </c>
      <c r="U194" s="9" t="s">
        <v>639</v>
      </c>
      <c r="V194" s="1"/>
      <c r="W194" s="1"/>
      <c r="X194" s="1"/>
      <c r="Y194" s="1"/>
      <c r="Z194" s="1"/>
    </row>
    <row r="195" spans="1:26" ht="39.75" customHeight="1">
      <c r="A195" s="171"/>
      <c r="B195" s="171"/>
      <c r="C195" s="171"/>
      <c r="D195" s="5">
        <v>186</v>
      </c>
      <c r="E195" s="5" t="s">
        <v>274</v>
      </c>
      <c r="F195" s="5"/>
      <c r="G195" s="5"/>
      <c r="H195" s="5"/>
      <c r="I195" s="5"/>
      <c r="J195" s="5"/>
      <c r="K195" s="5"/>
      <c r="L195" s="5"/>
      <c r="M195" s="5"/>
      <c r="N195" s="5"/>
      <c r="O195" s="5"/>
      <c r="P195" s="8">
        <v>6.53</v>
      </c>
      <c r="Q195" s="6"/>
      <c r="R195" s="5"/>
      <c r="S195" s="5"/>
      <c r="T195" s="6">
        <f t="shared" si="9"/>
        <v>6.53</v>
      </c>
      <c r="U195" s="9" t="s">
        <v>636</v>
      </c>
      <c r="V195" s="1"/>
      <c r="W195" s="1"/>
      <c r="X195" s="1"/>
      <c r="Y195" s="1"/>
      <c r="Z195" s="1"/>
    </row>
    <row r="196" spans="1:26" ht="39.75" customHeight="1">
      <c r="A196" s="171"/>
      <c r="B196" s="171"/>
      <c r="C196" s="171"/>
      <c r="D196" s="5">
        <v>187</v>
      </c>
      <c r="E196" s="5" t="s">
        <v>339</v>
      </c>
      <c r="F196" s="5"/>
      <c r="G196" s="5"/>
      <c r="H196" s="5"/>
      <c r="I196" s="5"/>
      <c r="J196" s="5"/>
      <c r="K196" s="5"/>
      <c r="L196" s="5"/>
      <c r="M196" s="5"/>
      <c r="N196" s="5"/>
      <c r="O196" s="5"/>
      <c r="P196" s="5"/>
      <c r="Q196" s="5"/>
      <c r="R196" s="5"/>
      <c r="S196" s="5"/>
      <c r="T196" s="6">
        <f t="shared" si="9"/>
        <v>0</v>
      </c>
      <c r="U196" s="9"/>
      <c r="V196" s="1"/>
      <c r="W196" s="1"/>
      <c r="X196" s="1"/>
      <c r="Y196" s="1"/>
      <c r="Z196" s="1"/>
    </row>
    <row r="197" spans="1:26" ht="39.75" customHeight="1">
      <c r="A197" s="171"/>
      <c r="B197" s="171"/>
      <c r="C197" s="171"/>
      <c r="D197" s="5">
        <v>188</v>
      </c>
      <c r="E197" s="5" t="s">
        <v>275</v>
      </c>
      <c r="F197" s="5"/>
      <c r="G197" s="5"/>
      <c r="H197" s="5"/>
      <c r="I197" s="5"/>
      <c r="J197" s="5"/>
      <c r="K197" s="5"/>
      <c r="L197" s="5"/>
      <c r="M197" s="5"/>
      <c r="N197" s="5"/>
      <c r="O197" s="5"/>
      <c r="P197" s="5"/>
      <c r="Q197" s="5"/>
      <c r="R197" s="5"/>
      <c r="S197" s="5"/>
      <c r="T197" s="6">
        <f t="shared" si="9"/>
        <v>0</v>
      </c>
      <c r="U197" s="9"/>
      <c r="V197" s="1"/>
      <c r="W197" s="1"/>
      <c r="X197" s="1"/>
      <c r="Y197" s="1"/>
      <c r="Z197" s="1"/>
    </row>
    <row r="198" spans="1:26" ht="39.75" customHeight="1">
      <c r="A198" s="171"/>
      <c r="B198" s="171"/>
      <c r="C198" s="171"/>
      <c r="D198" s="5">
        <v>189</v>
      </c>
      <c r="E198" s="5" t="s">
        <v>276</v>
      </c>
      <c r="F198" s="5"/>
      <c r="G198" s="5"/>
      <c r="H198" s="5"/>
      <c r="I198" s="5"/>
      <c r="J198" s="5"/>
      <c r="K198" s="5"/>
      <c r="L198" s="5"/>
      <c r="M198" s="5"/>
      <c r="N198" s="5"/>
      <c r="O198" s="5"/>
      <c r="P198" s="5"/>
      <c r="Q198" s="5"/>
      <c r="R198" s="5"/>
      <c r="S198" s="5"/>
      <c r="T198" s="6">
        <f t="shared" ref="T198:T208" si="12">SUM(F198:S198)</f>
        <v>0</v>
      </c>
      <c r="U198" s="9"/>
      <c r="V198" s="1"/>
      <c r="W198" s="1"/>
      <c r="X198" s="1"/>
      <c r="Y198" s="1"/>
      <c r="Z198" s="1"/>
    </row>
    <row r="199" spans="1:26" ht="39.75" customHeight="1">
      <c r="A199" s="171"/>
      <c r="B199" s="169"/>
      <c r="C199" s="169"/>
      <c r="D199" s="5">
        <v>190</v>
      </c>
      <c r="E199" s="5" t="s">
        <v>340</v>
      </c>
      <c r="F199" s="5"/>
      <c r="G199" s="5"/>
      <c r="H199" s="5"/>
      <c r="I199" s="5"/>
      <c r="J199" s="5"/>
      <c r="K199" s="5"/>
      <c r="L199" s="5"/>
      <c r="M199" s="5"/>
      <c r="N199" s="5"/>
      <c r="O199" s="5"/>
      <c r="P199" s="8"/>
      <c r="Q199" s="5"/>
      <c r="R199" s="5"/>
      <c r="S199" s="5"/>
      <c r="T199" s="6">
        <f t="shared" si="12"/>
        <v>0</v>
      </c>
      <c r="U199" s="9"/>
      <c r="V199" s="1"/>
      <c r="W199" s="1"/>
      <c r="X199" s="1"/>
      <c r="Y199" s="1"/>
      <c r="Z199" s="1"/>
    </row>
    <row r="200" spans="1:26" ht="39.75" customHeight="1">
      <c r="A200" s="171"/>
      <c r="B200" s="168" t="s">
        <v>341</v>
      </c>
      <c r="C200" s="168" t="s">
        <v>342</v>
      </c>
      <c r="D200" s="5">
        <v>191</v>
      </c>
      <c r="E200" s="5" t="s">
        <v>343</v>
      </c>
      <c r="F200" s="5"/>
      <c r="G200" s="5"/>
      <c r="H200" s="5"/>
      <c r="I200" s="5"/>
      <c r="J200" s="5"/>
      <c r="K200" s="5"/>
      <c r="L200" s="5"/>
      <c r="M200" s="5"/>
      <c r="N200" s="6"/>
      <c r="O200" s="5"/>
      <c r="P200" s="5"/>
      <c r="Q200" s="5"/>
      <c r="R200" s="5"/>
      <c r="S200" s="5"/>
      <c r="T200" s="6">
        <f t="shared" si="12"/>
        <v>0</v>
      </c>
      <c r="U200" s="9"/>
      <c r="V200" s="1"/>
      <c r="W200" s="1"/>
      <c r="X200" s="1"/>
      <c r="Y200" s="1"/>
      <c r="Z200" s="1"/>
    </row>
    <row r="201" spans="1:26" ht="39.75" customHeight="1">
      <c r="A201" s="171"/>
      <c r="B201" s="169"/>
      <c r="C201" s="169"/>
      <c r="D201" s="5">
        <v>192</v>
      </c>
      <c r="E201" s="5" t="s">
        <v>345</v>
      </c>
      <c r="F201" s="5"/>
      <c r="G201" s="5"/>
      <c r="H201" s="8"/>
      <c r="I201" s="5"/>
      <c r="J201" s="5"/>
      <c r="K201" s="5"/>
      <c r="L201" s="5"/>
      <c r="M201" s="5"/>
      <c r="N201" s="6">
        <v>0.5</v>
      </c>
      <c r="O201" s="5"/>
      <c r="P201" s="6"/>
      <c r="Q201" s="8"/>
      <c r="R201" s="5"/>
      <c r="S201" s="5"/>
      <c r="T201" s="6">
        <f t="shared" si="12"/>
        <v>0.5</v>
      </c>
      <c r="U201" s="61" t="s">
        <v>651</v>
      </c>
      <c r="V201" s="1"/>
      <c r="W201" s="1"/>
      <c r="X201" s="1"/>
      <c r="Y201" s="1"/>
      <c r="Z201" s="1"/>
    </row>
    <row r="202" spans="1:26" ht="39.75" customHeight="1">
      <c r="A202" s="171"/>
      <c r="B202" s="168" t="s">
        <v>346</v>
      </c>
      <c r="C202" s="168" t="s">
        <v>278</v>
      </c>
      <c r="D202" s="5">
        <v>193</v>
      </c>
      <c r="E202" s="5" t="s">
        <v>347</v>
      </c>
      <c r="F202" s="5"/>
      <c r="G202" s="5"/>
      <c r="H202" s="5"/>
      <c r="I202" s="5"/>
      <c r="J202" s="5"/>
      <c r="K202" s="5"/>
      <c r="L202" s="5"/>
      <c r="M202" s="5"/>
      <c r="N202" s="5"/>
      <c r="O202" s="5"/>
      <c r="P202" s="6"/>
      <c r="Q202" s="5"/>
      <c r="R202" s="5"/>
      <c r="S202" s="8"/>
      <c r="T202" s="6">
        <f t="shared" si="12"/>
        <v>0</v>
      </c>
      <c r="U202" s="9"/>
      <c r="V202" s="1"/>
      <c r="W202" s="1"/>
      <c r="X202" s="1"/>
      <c r="Y202" s="1"/>
      <c r="Z202" s="1"/>
    </row>
    <row r="203" spans="1:26" ht="39.75" customHeight="1">
      <c r="A203" s="171"/>
      <c r="B203" s="169"/>
      <c r="C203" s="169"/>
      <c r="D203" s="5">
        <v>194</v>
      </c>
      <c r="E203" s="5" t="s">
        <v>279</v>
      </c>
      <c r="F203" s="5"/>
      <c r="G203" s="5"/>
      <c r="H203" s="5"/>
      <c r="I203" s="5"/>
      <c r="J203" s="5"/>
      <c r="K203" s="5"/>
      <c r="L203" s="5"/>
      <c r="M203" s="5"/>
      <c r="N203" s="6"/>
      <c r="O203" s="5"/>
      <c r="P203" s="5"/>
      <c r="Q203" s="6"/>
      <c r="R203" s="6">
        <v>45.88</v>
      </c>
      <c r="S203" s="5"/>
      <c r="T203" s="6">
        <f t="shared" si="12"/>
        <v>45.88</v>
      </c>
      <c r="U203" s="9" t="s">
        <v>629</v>
      </c>
      <c r="V203" s="1"/>
      <c r="W203" s="1"/>
      <c r="X203" s="1"/>
      <c r="Y203" s="1"/>
      <c r="Z203" s="1"/>
    </row>
    <row r="204" spans="1:26" ht="39.75" customHeight="1">
      <c r="A204" s="171"/>
      <c r="B204" s="168" t="s">
        <v>348</v>
      </c>
      <c r="C204" s="168" t="s">
        <v>349</v>
      </c>
      <c r="D204" s="5">
        <v>195</v>
      </c>
      <c r="E204" s="5" t="s">
        <v>350</v>
      </c>
      <c r="F204" s="5"/>
      <c r="G204" s="5"/>
      <c r="H204" s="5"/>
      <c r="I204" s="5"/>
      <c r="J204" s="5"/>
      <c r="K204" s="5"/>
      <c r="L204" s="5"/>
      <c r="M204" s="5"/>
      <c r="N204" s="5"/>
      <c r="O204" s="5"/>
      <c r="P204" s="6">
        <v>2.1</v>
      </c>
      <c r="Q204" s="8">
        <v>1.44</v>
      </c>
      <c r="R204" s="6">
        <v>2.5</v>
      </c>
      <c r="S204" s="5"/>
      <c r="T204" s="6">
        <f t="shared" si="12"/>
        <v>6.04</v>
      </c>
      <c r="U204" s="61" t="s">
        <v>351</v>
      </c>
      <c r="V204" s="1"/>
      <c r="W204" s="1"/>
      <c r="X204" s="1"/>
      <c r="Y204" s="1"/>
      <c r="Z204" s="1"/>
    </row>
    <row r="205" spans="1:26" ht="39.75" customHeight="1">
      <c r="A205" s="171"/>
      <c r="B205" s="171"/>
      <c r="C205" s="171"/>
      <c r="D205" s="5">
        <v>196</v>
      </c>
      <c r="E205" s="5" t="s">
        <v>352</v>
      </c>
      <c r="F205" s="5"/>
      <c r="G205" s="5"/>
      <c r="H205" s="5"/>
      <c r="I205" s="5"/>
      <c r="J205" s="5"/>
      <c r="K205" s="5"/>
      <c r="L205" s="5"/>
      <c r="M205" s="5"/>
      <c r="N205" s="5"/>
      <c r="O205" s="5"/>
      <c r="P205" s="5"/>
      <c r="Q205" s="5"/>
      <c r="R205" s="5"/>
      <c r="S205" s="5"/>
      <c r="T205" s="6">
        <f t="shared" si="12"/>
        <v>0</v>
      </c>
      <c r="U205" s="9"/>
      <c r="V205" s="1"/>
      <c r="W205" s="1"/>
      <c r="X205" s="1"/>
      <c r="Y205" s="1"/>
      <c r="Z205" s="1"/>
    </row>
    <row r="206" spans="1:26" ht="39.75" customHeight="1">
      <c r="A206" s="171"/>
      <c r="B206" s="169"/>
      <c r="C206" s="169"/>
      <c r="D206" s="5">
        <v>197</v>
      </c>
      <c r="E206" s="5" t="s">
        <v>353</v>
      </c>
      <c r="F206" s="5"/>
      <c r="G206" s="5"/>
      <c r="H206" s="5"/>
      <c r="I206" s="5"/>
      <c r="J206" s="5"/>
      <c r="K206" s="5"/>
      <c r="L206" s="5"/>
      <c r="M206" s="5"/>
      <c r="N206" s="5"/>
      <c r="O206" s="5"/>
      <c r="P206" s="6"/>
      <c r="Q206" s="5"/>
      <c r="R206" s="5"/>
      <c r="S206" s="5"/>
      <c r="T206" s="6">
        <f t="shared" si="12"/>
        <v>0</v>
      </c>
      <c r="U206" s="9"/>
      <c r="V206" s="1"/>
      <c r="W206" s="1"/>
      <c r="X206" s="1"/>
      <c r="Y206" s="1"/>
      <c r="Z206" s="1"/>
    </row>
    <row r="207" spans="1:26" ht="39.75" customHeight="1">
      <c r="A207" s="171"/>
      <c r="B207" s="5" t="s">
        <v>354</v>
      </c>
      <c r="C207" s="5" t="s">
        <v>284</v>
      </c>
      <c r="D207" s="5">
        <v>198</v>
      </c>
      <c r="E207" s="5" t="s">
        <v>285</v>
      </c>
      <c r="F207" s="5"/>
      <c r="G207" s="5"/>
      <c r="H207" s="5"/>
      <c r="I207" s="5"/>
      <c r="J207" s="5"/>
      <c r="K207" s="5"/>
      <c r="L207" s="5"/>
      <c r="M207" s="5"/>
      <c r="N207" s="5"/>
      <c r="O207" s="5"/>
      <c r="P207" s="5"/>
      <c r="Q207" s="5"/>
      <c r="R207" s="5"/>
      <c r="S207" s="5"/>
      <c r="T207" s="6">
        <f t="shared" si="12"/>
        <v>0</v>
      </c>
      <c r="U207" s="9"/>
      <c r="V207" s="1"/>
      <c r="W207" s="1"/>
      <c r="X207" s="1"/>
      <c r="Y207" s="1"/>
      <c r="Z207" s="1"/>
    </row>
    <row r="208" spans="1:26" ht="39.75" customHeight="1">
      <c r="A208" s="171"/>
      <c r="B208" s="5" t="s">
        <v>355</v>
      </c>
      <c r="C208" s="5" t="s">
        <v>287</v>
      </c>
      <c r="D208" s="5">
        <v>199</v>
      </c>
      <c r="E208" s="5" t="s">
        <v>288</v>
      </c>
      <c r="F208" s="24"/>
      <c r="G208" s="24"/>
      <c r="H208" s="24"/>
      <c r="I208" s="24"/>
      <c r="J208" s="24"/>
      <c r="K208" s="24"/>
      <c r="L208" s="24"/>
      <c r="M208" s="24"/>
      <c r="N208" s="24"/>
      <c r="O208" s="24"/>
      <c r="P208" s="24">
        <v>255.4</v>
      </c>
      <c r="Q208" s="24"/>
      <c r="R208" s="24"/>
      <c r="S208" s="24"/>
      <c r="T208" s="6">
        <f t="shared" si="12"/>
        <v>255.4</v>
      </c>
      <c r="U208" s="76" t="s">
        <v>631</v>
      </c>
      <c r="V208" s="1"/>
      <c r="W208" s="1"/>
      <c r="X208" s="1"/>
      <c r="Y208" s="1"/>
      <c r="Z208" s="1"/>
    </row>
    <row r="209" spans="1:26" ht="39.75" customHeight="1">
      <c r="A209" s="169"/>
      <c r="B209" s="176" t="s">
        <v>356</v>
      </c>
      <c r="C209" s="183"/>
      <c r="D209" s="184"/>
      <c r="E209" s="51"/>
      <c r="F209" s="51">
        <f t="shared" ref="F209:T209" si="13">SUM(F159:F208)</f>
        <v>0</v>
      </c>
      <c r="G209" s="56">
        <f t="shared" si="13"/>
        <v>535.5</v>
      </c>
      <c r="H209" s="56">
        <f t="shared" si="13"/>
        <v>714</v>
      </c>
      <c r="I209" s="51">
        <f t="shared" si="13"/>
        <v>12.1</v>
      </c>
      <c r="J209" s="51">
        <f t="shared" si="13"/>
        <v>0</v>
      </c>
      <c r="K209" s="51">
        <f t="shared" si="13"/>
        <v>0</v>
      </c>
      <c r="L209" s="51">
        <f t="shared" si="13"/>
        <v>0</v>
      </c>
      <c r="M209" s="51">
        <f t="shared" si="13"/>
        <v>34.4</v>
      </c>
      <c r="N209" s="52">
        <f t="shared" si="13"/>
        <v>51.379999999999995</v>
      </c>
      <c r="O209" s="51">
        <f t="shared" si="13"/>
        <v>618.02</v>
      </c>
      <c r="P209" s="56">
        <f t="shared" si="13"/>
        <v>420.255</v>
      </c>
      <c r="Q209" s="51">
        <f t="shared" si="13"/>
        <v>22.135700000000003</v>
      </c>
      <c r="R209" s="51">
        <f t="shared" si="13"/>
        <v>2358.8359999999998</v>
      </c>
      <c r="S209" s="51">
        <f t="shared" si="13"/>
        <v>0</v>
      </c>
      <c r="T209" s="52">
        <f t="shared" si="13"/>
        <v>4766.6266999999998</v>
      </c>
      <c r="U209" s="9"/>
      <c r="V209" s="1"/>
      <c r="W209" s="1"/>
      <c r="X209" s="1"/>
      <c r="Y209" s="1"/>
      <c r="Z209" s="1"/>
    </row>
    <row r="210" spans="1:26" ht="39.75" customHeight="1">
      <c r="A210" s="180" t="s">
        <v>357</v>
      </c>
      <c r="B210" s="181"/>
      <c r="C210" s="181"/>
      <c r="D210" s="182"/>
      <c r="E210" s="64"/>
      <c r="F210" s="65">
        <f t="shared" ref="F210:T210" si="14">F209+F158+F134+F93+F68</f>
        <v>170.76999999999998</v>
      </c>
      <c r="G210" s="66">
        <f t="shared" si="14"/>
        <v>535.5</v>
      </c>
      <c r="H210" s="66">
        <f t="shared" si="14"/>
        <v>724</v>
      </c>
      <c r="I210" s="65">
        <f t="shared" si="14"/>
        <v>47.084999999999994</v>
      </c>
      <c r="J210" s="65">
        <f t="shared" si="14"/>
        <v>0</v>
      </c>
      <c r="K210" s="67">
        <f t="shared" si="14"/>
        <v>131.56200000000001</v>
      </c>
      <c r="L210" s="65">
        <f t="shared" si="14"/>
        <v>0</v>
      </c>
      <c r="M210" s="66">
        <f t="shared" si="14"/>
        <v>113.652</v>
      </c>
      <c r="N210" s="67">
        <f t="shared" si="14"/>
        <v>131.38955000000001</v>
      </c>
      <c r="O210" s="65">
        <f t="shared" si="14"/>
        <v>962.10075000000006</v>
      </c>
      <c r="P210" s="66">
        <f t="shared" si="14"/>
        <v>1011.1499999999999</v>
      </c>
      <c r="Q210" s="65">
        <f t="shared" si="14"/>
        <v>138.11169999999998</v>
      </c>
      <c r="R210" s="66">
        <f t="shared" si="14"/>
        <v>2793.8789999999995</v>
      </c>
      <c r="S210" s="66">
        <f t="shared" si="14"/>
        <v>7.8500000000000005</v>
      </c>
      <c r="T210" s="67">
        <f t="shared" si="14"/>
        <v>6767.0499999999993</v>
      </c>
      <c r="U210" s="9"/>
      <c r="V210" s="1"/>
      <c r="W210" s="1"/>
      <c r="X210" s="1"/>
      <c r="Y210" s="1"/>
      <c r="Z210" s="1"/>
    </row>
    <row r="211" spans="1:26" ht="24.75" customHeight="1">
      <c r="A211" s="1"/>
      <c r="B211" s="1"/>
      <c r="C211" s="1"/>
      <c r="D211" s="1"/>
      <c r="E211" s="1"/>
      <c r="F211" s="1"/>
      <c r="G211" s="1"/>
      <c r="H211" s="1"/>
      <c r="I211" s="1"/>
      <c r="J211" s="1"/>
      <c r="K211" s="1"/>
      <c r="L211" s="1"/>
      <c r="M211" s="1"/>
      <c r="N211" s="1"/>
      <c r="O211" s="1"/>
      <c r="P211" s="1"/>
      <c r="Q211" s="1"/>
      <c r="R211" s="1"/>
      <c r="S211" s="1"/>
      <c r="T211" s="32"/>
      <c r="U211" s="2"/>
      <c r="V211" s="1"/>
      <c r="W211" s="1"/>
      <c r="X211" s="1"/>
      <c r="Y211" s="1"/>
      <c r="Z211" s="1"/>
    </row>
    <row r="212" spans="1:26" ht="24.75" customHeight="1">
      <c r="A212" s="1"/>
      <c r="B212" s="1"/>
      <c r="C212" s="1"/>
      <c r="D212" s="1"/>
      <c r="E212" s="1"/>
      <c r="F212" s="1"/>
      <c r="G212" s="1"/>
      <c r="H212" s="1"/>
      <c r="I212" s="1"/>
      <c r="J212" s="1"/>
      <c r="K212" s="1"/>
      <c r="L212" s="1"/>
      <c r="M212" s="1"/>
      <c r="N212" s="1"/>
      <c r="O212" s="1"/>
      <c r="P212" s="1"/>
      <c r="Q212" s="1"/>
      <c r="R212" s="1"/>
      <c r="S212" s="1"/>
      <c r="T212" s="1"/>
      <c r="U212" s="2"/>
      <c r="V212" s="1"/>
      <c r="W212" s="1"/>
      <c r="X212" s="1"/>
      <c r="Y212" s="1"/>
      <c r="Z212" s="1"/>
    </row>
    <row r="213" spans="1:26" ht="24.75" customHeight="1">
      <c r="A213" s="1"/>
      <c r="B213" s="1"/>
      <c r="C213" s="1"/>
      <c r="D213" s="1"/>
      <c r="E213" s="1"/>
      <c r="F213" s="1"/>
      <c r="G213" s="1"/>
      <c r="H213" s="1"/>
      <c r="I213" s="1"/>
      <c r="J213" s="1"/>
      <c r="K213" s="1"/>
      <c r="L213" s="1"/>
      <c r="M213" s="1"/>
      <c r="N213" s="1"/>
      <c r="O213" s="1"/>
      <c r="P213" s="1"/>
      <c r="Q213" s="1"/>
      <c r="R213" s="1"/>
      <c r="S213" s="1"/>
      <c r="T213" s="1"/>
      <c r="U213" s="2"/>
      <c r="V213" s="1"/>
      <c r="W213" s="1"/>
      <c r="X213" s="1"/>
      <c r="Y213" s="1"/>
      <c r="Z213" s="1"/>
    </row>
    <row r="214" spans="1:26" ht="24.75" customHeight="1">
      <c r="A214" s="1"/>
      <c r="B214" s="1"/>
      <c r="C214" s="1"/>
      <c r="D214" s="1"/>
      <c r="E214" s="1"/>
      <c r="F214" s="1"/>
      <c r="G214" s="1"/>
      <c r="H214" s="1"/>
      <c r="I214" s="1"/>
      <c r="J214" s="1"/>
      <c r="K214" s="1"/>
      <c r="L214" s="1"/>
      <c r="M214" s="1"/>
      <c r="N214" s="1"/>
      <c r="O214" s="1"/>
      <c r="P214" s="1"/>
      <c r="Q214" s="1"/>
      <c r="R214" s="1"/>
      <c r="S214" s="1"/>
      <c r="T214" s="1"/>
      <c r="U214" s="2"/>
      <c r="V214" s="1"/>
      <c r="W214" s="1"/>
      <c r="X214" s="1"/>
      <c r="Y214" s="1"/>
      <c r="Z214" s="1"/>
    </row>
    <row r="215" spans="1:26" ht="24.75" customHeight="1">
      <c r="A215" s="1"/>
      <c r="B215" s="1"/>
      <c r="C215" s="1"/>
      <c r="D215" s="1"/>
      <c r="E215" s="1"/>
      <c r="F215" s="1"/>
      <c r="G215" s="1"/>
      <c r="H215" s="1"/>
      <c r="I215" s="1"/>
      <c r="J215" s="1"/>
      <c r="K215" s="1"/>
      <c r="L215" s="1"/>
      <c r="M215" s="1"/>
      <c r="N215" s="1"/>
      <c r="O215" s="1"/>
      <c r="P215" s="1"/>
      <c r="Q215" s="1"/>
      <c r="R215" s="1"/>
      <c r="S215" s="1"/>
      <c r="T215" s="1"/>
      <c r="U215" s="2"/>
      <c r="V215" s="1"/>
      <c r="W215" s="1"/>
      <c r="X215" s="1"/>
      <c r="Y215" s="1"/>
      <c r="Z215" s="1"/>
    </row>
    <row r="216" spans="1:26" ht="24.75" customHeight="1">
      <c r="A216" s="1"/>
      <c r="B216" s="1"/>
      <c r="C216" s="1"/>
      <c r="D216" s="1"/>
      <c r="E216" s="1"/>
      <c r="F216" s="1"/>
      <c r="G216" s="1"/>
      <c r="H216" s="1"/>
      <c r="I216" s="1"/>
      <c r="J216" s="1"/>
      <c r="K216" s="1"/>
      <c r="L216" s="1"/>
      <c r="M216" s="1"/>
      <c r="N216" s="1"/>
      <c r="O216" s="1"/>
      <c r="P216" s="1"/>
      <c r="Q216" s="1"/>
      <c r="R216" s="1"/>
      <c r="S216" s="1"/>
      <c r="T216" s="1"/>
      <c r="U216" s="2"/>
      <c r="V216" s="1"/>
      <c r="W216" s="1"/>
      <c r="X216" s="1"/>
      <c r="Y216" s="1"/>
      <c r="Z216" s="1"/>
    </row>
    <row r="217" spans="1:26" ht="24.75" customHeight="1">
      <c r="A217" s="1"/>
      <c r="B217" s="1"/>
      <c r="C217" s="1"/>
      <c r="D217" s="1"/>
      <c r="E217" s="1"/>
      <c r="F217" s="1"/>
      <c r="G217" s="1"/>
      <c r="H217" s="1"/>
      <c r="I217" s="1"/>
      <c r="J217" s="1"/>
      <c r="K217" s="1"/>
      <c r="L217" s="1"/>
      <c r="M217" s="1"/>
      <c r="N217" s="1"/>
      <c r="O217" s="1"/>
      <c r="P217" s="1"/>
      <c r="Q217" s="1"/>
      <c r="R217" s="1"/>
      <c r="S217" s="1"/>
      <c r="T217" s="1"/>
      <c r="U217" s="2"/>
      <c r="V217" s="1"/>
      <c r="W217" s="1"/>
      <c r="X217" s="1"/>
      <c r="Y217" s="1"/>
      <c r="Z217" s="1"/>
    </row>
    <row r="218" spans="1:26" ht="24.75" customHeight="1">
      <c r="A218" s="1"/>
      <c r="B218" s="1"/>
      <c r="C218" s="1"/>
      <c r="D218" s="1"/>
      <c r="E218" s="1"/>
      <c r="F218" s="1"/>
      <c r="G218" s="1"/>
      <c r="H218" s="1"/>
      <c r="I218" s="1"/>
      <c r="J218" s="1"/>
      <c r="K218" s="1"/>
      <c r="L218" s="1"/>
      <c r="M218" s="1"/>
      <c r="N218" s="1"/>
      <c r="O218" s="1"/>
      <c r="P218" s="1"/>
      <c r="Q218" s="1"/>
      <c r="R218" s="1"/>
      <c r="S218" s="1"/>
      <c r="T218" s="1"/>
      <c r="U218" s="2"/>
      <c r="V218" s="1"/>
      <c r="W218" s="1"/>
      <c r="X218" s="1"/>
      <c r="Y218" s="1"/>
      <c r="Z218" s="1"/>
    </row>
    <row r="219" spans="1:26" ht="24.75" customHeight="1">
      <c r="A219" s="1"/>
      <c r="B219" s="1"/>
      <c r="C219" s="1"/>
      <c r="D219" s="1"/>
      <c r="E219" s="1"/>
      <c r="F219" s="1"/>
      <c r="G219" s="1"/>
      <c r="H219" s="1"/>
      <c r="I219" s="1"/>
      <c r="J219" s="1"/>
      <c r="K219" s="1"/>
      <c r="L219" s="1"/>
      <c r="M219" s="1"/>
      <c r="N219" s="1"/>
      <c r="O219" s="1"/>
      <c r="P219" s="1"/>
      <c r="Q219" s="1"/>
      <c r="R219" s="1"/>
      <c r="S219" s="1"/>
      <c r="T219" s="1"/>
      <c r="U219" s="2"/>
      <c r="V219" s="1"/>
      <c r="W219" s="1"/>
      <c r="X219" s="1"/>
      <c r="Y219" s="1"/>
      <c r="Z219" s="1"/>
    </row>
    <row r="220" spans="1:26" ht="24.75" customHeight="1">
      <c r="A220" s="1"/>
      <c r="B220" s="1"/>
      <c r="C220" s="1"/>
      <c r="D220" s="1"/>
      <c r="E220" s="1"/>
      <c r="F220" s="1"/>
      <c r="G220" s="1"/>
      <c r="H220" s="1"/>
      <c r="I220" s="1"/>
      <c r="J220" s="1"/>
      <c r="K220" s="1"/>
      <c r="L220" s="1"/>
      <c r="M220" s="1"/>
      <c r="N220" s="1"/>
      <c r="O220" s="1"/>
      <c r="P220" s="1"/>
      <c r="Q220" s="1"/>
      <c r="R220" s="1"/>
      <c r="S220" s="1"/>
      <c r="T220" s="1"/>
      <c r="U220" s="2"/>
      <c r="V220" s="1"/>
      <c r="W220" s="1"/>
      <c r="X220" s="1"/>
      <c r="Y220" s="1"/>
      <c r="Z220" s="1"/>
    </row>
    <row r="221" spans="1:26" ht="24.75" customHeight="1">
      <c r="A221" s="1"/>
      <c r="B221" s="1"/>
      <c r="C221" s="1"/>
      <c r="D221" s="1"/>
      <c r="E221" s="1"/>
      <c r="F221" s="1"/>
      <c r="G221" s="1"/>
      <c r="H221" s="1"/>
      <c r="I221" s="1"/>
      <c r="J221" s="1"/>
      <c r="K221" s="1"/>
      <c r="L221" s="1"/>
      <c r="M221" s="1"/>
      <c r="N221" s="1"/>
      <c r="O221" s="1"/>
      <c r="P221" s="1"/>
      <c r="Q221" s="1"/>
      <c r="R221" s="1"/>
      <c r="S221" s="1"/>
      <c r="T221" s="1"/>
      <c r="U221" s="2"/>
      <c r="V221" s="1"/>
      <c r="W221" s="1"/>
      <c r="X221" s="1"/>
      <c r="Y221" s="1"/>
      <c r="Z221" s="1"/>
    </row>
    <row r="222" spans="1:26" ht="24.75" customHeight="1">
      <c r="A222" s="1"/>
      <c r="B222" s="1"/>
      <c r="C222" s="1"/>
      <c r="D222" s="1"/>
      <c r="E222" s="1"/>
      <c r="F222" s="1"/>
      <c r="G222" s="1"/>
      <c r="H222" s="1"/>
      <c r="I222" s="1"/>
      <c r="J222" s="1"/>
      <c r="K222" s="1"/>
      <c r="L222" s="1"/>
      <c r="M222" s="1"/>
      <c r="N222" s="1"/>
      <c r="O222" s="1"/>
      <c r="P222" s="1"/>
      <c r="Q222" s="1"/>
      <c r="R222" s="1"/>
      <c r="S222" s="1"/>
      <c r="T222" s="1"/>
      <c r="U222" s="2"/>
      <c r="V222" s="1"/>
      <c r="W222" s="1"/>
      <c r="X222" s="1"/>
      <c r="Y222" s="1"/>
      <c r="Z222" s="1"/>
    </row>
    <row r="223" spans="1:26" ht="24.75" customHeight="1">
      <c r="A223" s="1"/>
      <c r="B223" s="1"/>
      <c r="C223" s="1"/>
      <c r="D223" s="1"/>
      <c r="E223" s="1"/>
      <c r="F223" s="1"/>
      <c r="G223" s="1"/>
      <c r="H223" s="1"/>
      <c r="I223" s="1"/>
      <c r="J223" s="1"/>
      <c r="K223" s="1"/>
      <c r="L223" s="1"/>
      <c r="M223" s="1"/>
      <c r="N223" s="1"/>
      <c r="O223" s="1"/>
      <c r="P223" s="1"/>
      <c r="Q223" s="1"/>
      <c r="R223" s="1"/>
      <c r="S223" s="1"/>
      <c r="T223" s="1"/>
      <c r="U223" s="2"/>
      <c r="V223" s="1"/>
      <c r="W223" s="1"/>
      <c r="X223" s="1"/>
      <c r="Y223" s="1"/>
      <c r="Z223" s="1"/>
    </row>
    <row r="224" spans="1:26" ht="24.75" customHeight="1">
      <c r="A224" s="1"/>
      <c r="B224" s="1"/>
      <c r="C224" s="1"/>
      <c r="D224" s="1"/>
      <c r="E224" s="1"/>
      <c r="F224" s="1"/>
      <c r="G224" s="1"/>
      <c r="H224" s="1"/>
      <c r="I224" s="1"/>
      <c r="J224" s="1"/>
      <c r="K224" s="1"/>
      <c r="L224" s="1"/>
      <c r="M224" s="1"/>
      <c r="N224" s="1"/>
      <c r="O224" s="1"/>
      <c r="P224" s="1"/>
      <c r="Q224" s="1"/>
      <c r="R224" s="1"/>
      <c r="S224" s="1"/>
      <c r="T224" s="1"/>
      <c r="U224" s="2"/>
      <c r="V224" s="1"/>
      <c r="W224" s="1"/>
      <c r="X224" s="1"/>
      <c r="Y224" s="1"/>
      <c r="Z224" s="1"/>
    </row>
    <row r="225" spans="1:26" ht="24.75" customHeight="1">
      <c r="A225" s="1"/>
      <c r="B225" s="1"/>
      <c r="C225" s="1"/>
      <c r="D225" s="1"/>
      <c r="E225" s="1"/>
      <c r="F225" s="1"/>
      <c r="G225" s="1"/>
      <c r="H225" s="1"/>
      <c r="I225" s="1"/>
      <c r="J225" s="1"/>
      <c r="K225" s="1"/>
      <c r="L225" s="1"/>
      <c r="M225" s="1"/>
      <c r="N225" s="1"/>
      <c r="O225" s="1"/>
      <c r="P225" s="1"/>
      <c r="Q225" s="1"/>
      <c r="R225" s="1"/>
      <c r="S225" s="1"/>
      <c r="T225" s="1"/>
      <c r="U225" s="2"/>
      <c r="V225" s="1"/>
      <c r="W225" s="1"/>
      <c r="X225" s="1"/>
      <c r="Y225" s="1"/>
      <c r="Z225" s="1"/>
    </row>
    <row r="226" spans="1:26" ht="24.75" customHeight="1">
      <c r="A226" s="1"/>
      <c r="B226" s="1"/>
      <c r="C226" s="1"/>
      <c r="D226" s="1"/>
      <c r="E226" s="1"/>
      <c r="F226" s="1"/>
      <c r="G226" s="1"/>
      <c r="H226" s="1"/>
      <c r="I226" s="1"/>
      <c r="J226" s="1"/>
      <c r="K226" s="1"/>
      <c r="L226" s="1"/>
      <c r="M226" s="1"/>
      <c r="N226" s="1"/>
      <c r="O226" s="1"/>
      <c r="P226" s="1"/>
      <c r="Q226" s="1"/>
      <c r="R226" s="1"/>
      <c r="S226" s="1"/>
      <c r="T226" s="1"/>
      <c r="U226" s="2"/>
      <c r="V226" s="1"/>
      <c r="W226" s="1"/>
      <c r="X226" s="1"/>
      <c r="Y226" s="1"/>
      <c r="Z226" s="1"/>
    </row>
    <row r="227" spans="1:26" ht="24.75" customHeight="1">
      <c r="A227" s="1"/>
      <c r="B227" s="1"/>
      <c r="C227" s="1"/>
      <c r="D227" s="1"/>
      <c r="E227" s="1"/>
      <c r="F227" s="1"/>
      <c r="G227" s="1"/>
      <c r="H227" s="1"/>
      <c r="I227" s="1"/>
      <c r="J227" s="1"/>
      <c r="K227" s="1"/>
      <c r="L227" s="1"/>
      <c r="M227" s="1"/>
      <c r="N227" s="1"/>
      <c r="O227" s="1"/>
      <c r="P227" s="1"/>
      <c r="Q227" s="1"/>
      <c r="R227" s="1"/>
      <c r="S227" s="1"/>
      <c r="T227" s="1"/>
      <c r="U227" s="2"/>
      <c r="V227" s="1"/>
      <c r="W227" s="1"/>
      <c r="X227" s="1"/>
      <c r="Y227" s="1"/>
      <c r="Z227" s="1"/>
    </row>
    <row r="228" spans="1:26" ht="24.75" customHeight="1">
      <c r="A228" s="1"/>
      <c r="B228" s="1"/>
      <c r="C228" s="1"/>
      <c r="D228" s="1"/>
      <c r="E228" s="1"/>
      <c r="F228" s="1"/>
      <c r="G228" s="1"/>
      <c r="H228" s="1"/>
      <c r="I228" s="1"/>
      <c r="J228" s="1"/>
      <c r="K228" s="1"/>
      <c r="L228" s="1"/>
      <c r="M228" s="1"/>
      <c r="N228" s="1"/>
      <c r="O228" s="1"/>
      <c r="P228" s="1"/>
      <c r="Q228" s="1"/>
      <c r="R228" s="1"/>
      <c r="S228" s="1"/>
      <c r="T228" s="1"/>
      <c r="U228" s="2"/>
      <c r="V228" s="1"/>
      <c r="W228" s="1"/>
      <c r="X228" s="1"/>
      <c r="Y228" s="1"/>
      <c r="Z228" s="1"/>
    </row>
    <row r="229" spans="1:26" ht="24.75" customHeight="1">
      <c r="A229" s="1"/>
      <c r="B229" s="1"/>
      <c r="C229" s="1"/>
      <c r="D229" s="1"/>
      <c r="E229" s="1"/>
      <c r="F229" s="1"/>
      <c r="G229" s="1"/>
      <c r="H229" s="1"/>
      <c r="I229" s="1"/>
      <c r="J229" s="1"/>
      <c r="K229" s="1"/>
      <c r="L229" s="1"/>
      <c r="M229" s="1"/>
      <c r="N229" s="1"/>
      <c r="O229" s="1"/>
      <c r="P229" s="1"/>
      <c r="Q229" s="1"/>
      <c r="R229" s="1"/>
      <c r="S229" s="1"/>
      <c r="T229" s="1"/>
      <c r="U229" s="2"/>
      <c r="V229" s="1"/>
      <c r="W229" s="1"/>
      <c r="X229" s="1"/>
      <c r="Y229" s="1"/>
      <c r="Z229" s="1"/>
    </row>
    <row r="230" spans="1:26" ht="24.75" customHeight="1">
      <c r="A230" s="1"/>
      <c r="B230" s="1"/>
      <c r="C230" s="1"/>
      <c r="D230" s="1"/>
      <c r="E230" s="1"/>
      <c r="F230" s="1"/>
      <c r="G230" s="1"/>
      <c r="H230" s="1"/>
      <c r="I230" s="1"/>
      <c r="J230" s="1"/>
      <c r="K230" s="1"/>
      <c r="L230" s="1"/>
      <c r="M230" s="1"/>
      <c r="N230" s="1"/>
      <c r="O230" s="1"/>
      <c r="P230" s="1"/>
      <c r="Q230" s="1"/>
      <c r="R230" s="1"/>
      <c r="S230" s="1"/>
      <c r="T230" s="1"/>
      <c r="U230" s="2"/>
      <c r="V230" s="1"/>
      <c r="W230" s="1"/>
      <c r="X230" s="1"/>
      <c r="Y230" s="1"/>
      <c r="Z230" s="1"/>
    </row>
    <row r="231" spans="1:26" ht="24.75" customHeight="1">
      <c r="A231" s="1"/>
      <c r="B231" s="1"/>
      <c r="C231" s="1"/>
      <c r="D231" s="1"/>
      <c r="E231" s="1"/>
      <c r="F231" s="1"/>
      <c r="G231" s="1"/>
      <c r="H231" s="1"/>
      <c r="I231" s="1"/>
      <c r="J231" s="1"/>
      <c r="K231" s="1"/>
      <c r="L231" s="1"/>
      <c r="M231" s="1"/>
      <c r="N231" s="1"/>
      <c r="O231" s="1"/>
      <c r="P231" s="1"/>
      <c r="Q231" s="1"/>
      <c r="R231" s="1"/>
      <c r="S231" s="1"/>
      <c r="T231" s="1"/>
      <c r="U231" s="2"/>
      <c r="V231" s="1"/>
      <c r="W231" s="1"/>
      <c r="X231" s="1"/>
      <c r="Y231" s="1"/>
      <c r="Z231" s="1"/>
    </row>
    <row r="232" spans="1:26" ht="24.75" customHeight="1">
      <c r="A232" s="1"/>
      <c r="B232" s="1"/>
      <c r="C232" s="1"/>
      <c r="D232" s="1"/>
      <c r="E232" s="1"/>
      <c r="F232" s="1"/>
      <c r="G232" s="1"/>
      <c r="H232" s="1"/>
      <c r="I232" s="1"/>
      <c r="J232" s="1"/>
      <c r="K232" s="1"/>
      <c r="L232" s="1"/>
      <c r="M232" s="1"/>
      <c r="N232" s="1"/>
      <c r="O232" s="1"/>
      <c r="P232" s="1"/>
      <c r="Q232" s="1"/>
      <c r="R232" s="1"/>
      <c r="S232" s="1"/>
      <c r="T232" s="1"/>
      <c r="U232" s="2"/>
      <c r="V232" s="1"/>
      <c r="W232" s="1"/>
      <c r="X232" s="1"/>
      <c r="Y232" s="1"/>
      <c r="Z232" s="1"/>
    </row>
    <row r="233" spans="1:26" ht="24.75" customHeight="1">
      <c r="A233" s="1"/>
      <c r="B233" s="1"/>
      <c r="C233" s="1"/>
      <c r="D233" s="1"/>
      <c r="E233" s="1"/>
      <c r="F233" s="1"/>
      <c r="G233" s="1"/>
      <c r="H233" s="1"/>
      <c r="I233" s="1"/>
      <c r="J233" s="1"/>
      <c r="K233" s="1"/>
      <c r="L233" s="1"/>
      <c r="M233" s="1"/>
      <c r="N233" s="1"/>
      <c r="O233" s="1"/>
      <c r="P233" s="1"/>
      <c r="Q233" s="1"/>
      <c r="R233" s="1"/>
      <c r="S233" s="1"/>
      <c r="T233" s="1"/>
      <c r="U233" s="2"/>
      <c r="V233" s="1"/>
      <c r="W233" s="1"/>
      <c r="X233" s="1"/>
      <c r="Y233" s="1"/>
      <c r="Z233" s="1"/>
    </row>
    <row r="234" spans="1:26" ht="24.75" customHeight="1">
      <c r="A234" s="1"/>
      <c r="B234" s="1"/>
      <c r="C234" s="1"/>
      <c r="D234" s="1"/>
      <c r="E234" s="1"/>
      <c r="F234" s="1"/>
      <c r="G234" s="1"/>
      <c r="H234" s="1"/>
      <c r="I234" s="1"/>
      <c r="J234" s="1"/>
      <c r="K234" s="1"/>
      <c r="L234" s="1"/>
      <c r="M234" s="1"/>
      <c r="N234" s="1"/>
      <c r="O234" s="1"/>
      <c r="P234" s="1"/>
      <c r="Q234" s="1"/>
      <c r="R234" s="1"/>
      <c r="S234" s="1"/>
      <c r="T234" s="1"/>
      <c r="U234" s="2"/>
      <c r="V234" s="1"/>
      <c r="W234" s="1"/>
      <c r="X234" s="1"/>
      <c r="Y234" s="1"/>
      <c r="Z234" s="1"/>
    </row>
    <row r="235" spans="1:26" ht="24.75" customHeight="1">
      <c r="A235" s="1"/>
      <c r="B235" s="1"/>
      <c r="C235" s="1"/>
      <c r="D235" s="1"/>
      <c r="E235" s="1"/>
      <c r="F235" s="1"/>
      <c r="G235" s="1"/>
      <c r="H235" s="1"/>
      <c r="I235" s="1"/>
      <c r="J235" s="1"/>
      <c r="K235" s="1"/>
      <c r="L235" s="1"/>
      <c r="M235" s="1"/>
      <c r="N235" s="1"/>
      <c r="O235" s="1"/>
      <c r="P235" s="1"/>
      <c r="Q235" s="1"/>
      <c r="R235" s="1"/>
      <c r="S235" s="1"/>
      <c r="T235" s="1"/>
      <c r="U235" s="2"/>
      <c r="V235" s="1"/>
      <c r="W235" s="1"/>
      <c r="X235" s="1"/>
      <c r="Y235" s="1"/>
      <c r="Z235" s="1"/>
    </row>
    <row r="236" spans="1:26" ht="24.75" customHeight="1">
      <c r="A236" s="1"/>
      <c r="B236" s="1"/>
      <c r="C236" s="1"/>
      <c r="D236" s="1"/>
      <c r="E236" s="1"/>
      <c r="F236" s="1"/>
      <c r="G236" s="1"/>
      <c r="H236" s="1"/>
      <c r="I236" s="1"/>
      <c r="J236" s="1"/>
      <c r="K236" s="1"/>
      <c r="L236" s="1"/>
      <c r="M236" s="1"/>
      <c r="N236" s="1"/>
      <c r="O236" s="1"/>
      <c r="P236" s="1"/>
      <c r="Q236" s="1"/>
      <c r="R236" s="1"/>
      <c r="S236" s="1"/>
      <c r="T236" s="1"/>
      <c r="U236" s="2"/>
      <c r="V236" s="1"/>
      <c r="W236" s="1"/>
      <c r="X236" s="1"/>
      <c r="Y236" s="1"/>
      <c r="Z236" s="1"/>
    </row>
    <row r="237" spans="1:26" ht="24.75" customHeight="1">
      <c r="A237" s="1"/>
      <c r="B237" s="1"/>
      <c r="C237" s="1"/>
      <c r="D237" s="1"/>
      <c r="E237" s="1"/>
      <c r="F237" s="1"/>
      <c r="G237" s="1"/>
      <c r="H237" s="1"/>
      <c r="I237" s="1"/>
      <c r="J237" s="1"/>
      <c r="K237" s="1"/>
      <c r="L237" s="1"/>
      <c r="M237" s="1"/>
      <c r="N237" s="1"/>
      <c r="O237" s="1"/>
      <c r="P237" s="1"/>
      <c r="Q237" s="1"/>
      <c r="R237" s="1"/>
      <c r="S237" s="1"/>
      <c r="T237" s="1"/>
      <c r="U237" s="2"/>
      <c r="V237" s="1"/>
      <c r="W237" s="1"/>
      <c r="X237" s="1"/>
      <c r="Y237" s="1"/>
      <c r="Z237" s="1"/>
    </row>
    <row r="238" spans="1:26" ht="24.75" customHeight="1">
      <c r="A238" s="1"/>
      <c r="B238" s="1"/>
      <c r="C238" s="1"/>
      <c r="D238" s="1"/>
      <c r="E238" s="1"/>
      <c r="F238" s="1"/>
      <c r="G238" s="1"/>
      <c r="H238" s="1"/>
      <c r="I238" s="1"/>
      <c r="J238" s="1"/>
      <c r="K238" s="1"/>
      <c r="L238" s="1"/>
      <c r="M238" s="1"/>
      <c r="N238" s="1"/>
      <c r="O238" s="1"/>
      <c r="P238" s="1"/>
      <c r="Q238" s="1"/>
      <c r="R238" s="1"/>
      <c r="S238" s="1"/>
      <c r="T238" s="1"/>
      <c r="U238" s="2"/>
      <c r="V238" s="1"/>
      <c r="W238" s="1"/>
      <c r="X238" s="1"/>
      <c r="Y238" s="1"/>
      <c r="Z238" s="1"/>
    </row>
    <row r="239" spans="1:26" ht="24.75" customHeight="1">
      <c r="A239" s="1"/>
      <c r="B239" s="1"/>
      <c r="C239" s="1"/>
      <c r="D239" s="1"/>
      <c r="E239" s="1"/>
      <c r="F239" s="1"/>
      <c r="G239" s="1"/>
      <c r="H239" s="1"/>
      <c r="I239" s="1"/>
      <c r="J239" s="1"/>
      <c r="K239" s="1"/>
      <c r="L239" s="1"/>
      <c r="M239" s="1"/>
      <c r="N239" s="1"/>
      <c r="O239" s="1"/>
      <c r="P239" s="1"/>
      <c r="Q239" s="1"/>
      <c r="R239" s="1"/>
      <c r="S239" s="1"/>
      <c r="T239" s="1"/>
      <c r="U239" s="2"/>
      <c r="V239" s="1"/>
      <c r="W239" s="1"/>
      <c r="X239" s="1"/>
      <c r="Y239" s="1"/>
      <c r="Z239" s="1"/>
    </row>
    <row r="240" spans="1:26" ht="24.75" customHeight="1">
      <c r="A240" s="1"/>
      <c r="B240" s="1"/>
      <c r="C240" s="1"/>
      <c r="D240" s="1"/>
      <c r="E240" s="1"/>
      <c r="F240" s="1"/>
      <c r="G240" s="1"/>
      <c r="H240" s="1"/>
      <c r="I240" s="1"/>
      <c r="J240" s="1"/>
      <c r="K240" s="1"/>
      <c r="L240" s="1"/>
      <c r="M240" s="1"/>
      <c r="N240" s="1"/>
      <c r="O240" s="1"/>
      <c r="P240" s="1"/>
      <c r="Q240" s="1"/>
      <c r="R240" s="1"/>
      <c r="S240" s="1"/>
      <c r="T240" s="1"/>
      <c r="U240" s="2"/>
      <c r="V240" s="1"/>
      <c r="W240" s="1"/>
      <c r="X240" s="1"/>
      <c r="Y240" s="1"/>
      <c r="Z240" s="1"/>
    </row>
    <row r="241" spans="1:26" ht="24.75" customHeight="1">
      <c r="A241" s="1"/>
      <c r="B241" s="1"/>
      <c r="C241" s="1"/>
      <c r="D241" s="1"/>
      <c r="E241" s="1"/>
      <c r="F241" s="1"/>
      <c r="G241" s="1"/>
      <c r="H241" s="1"/>
      <c r="I241" s="1"/>
      <c r="J241" s="1"/>
      <c r="K241" s="1"/>
      <c r="L241" s="1"/>
      <c r="M241" s="1"/>
      <c r="N241" s="1"/>
      <c r="O241" s="1"/>
      <c r="P241" s="1"/>
      <c r="Q241" s="1"/>
      <c r="R241" s="1"/>
      <c r="S241" s="1"/>
      <c r="T241" s="1"/>
      <c r="U241" s="2"/>
      <c r="V241" s="1"/>
      <c r="W241" s="1"/>
      <c r="X241" s="1"/>
      <c r="Y241" s="1"/>
      <c r="Z241" s="1"/>
    </row>
    <row r="242" spans="1:26" ht="24.75" customHeight="1">
      <c r="A242" s="1"/>
      <c r="B242" s="1"/>
      <c r="C242" s="1"/>
      <c r="D242" s="1"/>
      <c r="E242" s="1"/>
      <c r="F242" s="1"/>
      <c r="G242" s="1"/>
      <c r="H242" s="1"/>
      <c r="I242" s="1"/>
      <c r="J242" s="1"/>
      <c r="K242" s="1"/>
      <c r="L242" s="1"/>
      <c r="M242" s="1"/>
      <c r="N242" s="1"/>
      <c r="O242" s="1"/>
      <c r="P242" s="1"/>
      <c r="Q242" s="1"/>
      <c r="R242" s="1"/>
      <c r="S242" s="1"/>
      <c r="T242" s="1"/>
      <c r="U242" s="2"/>
      <c r="V242" s="1"/>
      <c r="W242" s="1"/>
      <c r="X242" s="1"/>
      <c r="Y242" s="1"/>
      <c r="Z242" s="1"/>
    </row>
    <row r="243" spans="1:26" ht="24.75" customHeight="1">
      <c r="A243" s="1"/>
      <c r="B243" s="1"/>
      <c r="C243" s="1"/>
      <c r="D243" s="1"/>
      <c r="E243" s="1"/>
      <c r="F243" s="1"/>
      <c r="G243" s="1"/>
      <c r="H243" s="1"/>
      <c r="I243" s="1"/>
      <c r="J243" s="1"/>
      <c r="K243" s="1"/>
      <c r="L243" s="1"/>
      <c r="M243" s="1"/>
      <c r="N243" s="1"/>
      <c r="O243" s="1"/>
      <c r="P243" s="1"/>
      <c r="Q243" s="1"/>
      <c r="R243" s="1"/>
      <c r="S243" s="1"/>
      <c r="T243" s="1"/>
      <c r="U243" s="2"/>
      <c r="V243" s="1"/>
      <c r="W243" s="1"/>
      <c r="X243" s="1"/>
      <c r="Y243" s="1"/>
      <c r="Z243" s="1"/>
    </row>
    <row r="244" spans="1:26" ht="24.75" customHeight="1">
      <c r="A244" s="1"/>
      <c r="B244" s="1"/>
      <c r="C244" s="1"/>
      <c r="D244" s="1"/>
      <c r="E244" s="1"/>
      <c r="F244" s="1"/>
      <c r="G244" s="1"/>
      <c r="H244" s="1"/>
      <c r="I244" s="1"/>
      <c r="J244" s="1"/>
      <c r="K244" s="1"/>
      <c r="L244" s="1"/>
      <c r="M244" s="1"/>
      <c r="N244" s="1"/>
      <c r="O244" s="1"/>
      <c r="P244" s="1"/>
      <c r="Q244" s="1"/>
      <c r="R244" s="1"/>
      <c r="S244" s="1"/>
      <c r="T244" s="1"/>
      <c r="U244" s="2"/>
      <c r="V244" s="1"/>
      <c r="W244" s="1"/>
      <c r="X244" s="1"/>
      <c r="Y244" s="1"/>
      <c r="Z244" s="1"/>
    </row>
    <row r="245" spans="1:26" ht="24.75" customHeight="1">
      <c r="A245" s="1"/>
      <c r="B245" s="1"/>
      <c r="C245" s="1"/>
      <c r="D245" s="1"/>
      <c r="E245" s="1"/>
      <c r="F245" s="1"/>
      <c r="G245" s="1"/>
      <c r="H245" s="1"/>
      <c r="I245" s="1"/>
      <c r="J245" s="1"/>
      <c r="K245" s="1"/>
      <c r="L245" s="1"/>
      <c r="M245" s="1"/>
      <c r="N245" s="1"/>
      <c r="O245" s="1"/>
      <c r="P245" s="1"/>
      <c r="Q245" s="1"/>
      <c r="R245" s="1"/>
      <c r="S245" s="1"/>
      <c r="T245" s="1"/>
      <c r="U245" s="2"/>
      <c r="V245" s="1"/>
      <c r="W245" s="1"/>
      <c r="X245" s="1"/>
      <c r="Y245" s="1"/>
      <c r="Z245" s="1"/>
    </row>
    <row r="246" spans="1:26" ht="24.75" customHeight="1">
      <c r="A246" s="1"/>
      <c r="B246" s="1"/>
      <c r="C246" s="1"/>
      <c r="D246" s="1"/>
      <c r="E246" s="1"/>
      <c r="F246" s="1"/>
      <c r="G246" s="1"/>
      <c r="H246" s="1"/>
      <c r="I246" s="1"/>
      <c r="J246" s="1"/>
      <c r="K246" s="1"/>
      <c r="L246" s="1"/>
      <c r="M246" s="1"/>
      <c r="N246" s="1"/>
      <c r="O246" s="1"/>
      <c r="P246" s="1"/>
      <c r="Q246" s="1"/>
      <c r="R246" s="1"/>
      <c r="S246" s="1"/>
      <c r="T246" s="1"/>
      <c r="U246" s="2"/>
      <c r="V246" s="1"/>
      <c r="W246" s="1"/>
      <c r="X246" s="1"/>
      <c r="Y246" s="1"/>
      <c r="Z246" s="1"/>
    </row>
    <row r="247" spans="1:26" ht="24.75" customHeight="1">
      <c r="A247" s="1"/>
      <c r="B247" s="1"/>
      <c r="C247" s="1"/>
      <c r="D247" s="1"/>
      <c r="E247" s="1"/>
      <c r="F247" s="1"/>
      <c r="G247" s="1"/>
      <c r="H247" s="1"/>
      <c r="I247" s="1"/>
      <c r="J247" s="1"/>
      <c r="K247" s="1"/>
      <c r="L247" s="1"/>
      <c r="M247" s="1"/>
      <c r="N247" s="1"/>
      <c r="O247" s="1"/>
      <c r="P247" s="1"/>
      <c r="Q247" s="1"/>
      <c r="R247" s="1"/>
      <c r="S247" s="1"/>
      <c r="T247" s="1"/>
      <c r="U247" s="2"/>
      <c r="V247" s="1"/>
      <c r="W247" s="1"/>
      <c r="X247" s="1"/>
      <c r="Y247" s="1"/>
      <c r="Z247" s="1"/>
    </row>
    <row r="248" spans="1:26" ht="24.75" customHeight="1">
      <c r="A248" s="1"/>
      <c r="B248" s="1"/>
      <c r="C248" s="1"/>
      <c r="D248" s="1"/>
      <c r="E248" s="1"/>
      <c r="F248" s="1"/>
      <c r="G248" s="1"/>
      <c r="H248" s="1"/>
      <c r="I248" s="1"/>
      <c r="J248" s="1"/>
      <c r="K248" s="1"/>
      <c r="L248" s="1"/>
      <c r="M248" s="1"/>
      <c r="N248" s="1"/>
      <c r="O248" s="1"/>
      <c r="P248" s="1"/>
      <c r="Q248" s="1"/>
      <c r="R248" s="1"/>
      <c r="S248" s="1"/>
      <c r="T248" s="1"/>
      <c r="U248" s="2"/>
      <c r="V248" s="1"/>
      <c r="W248" s="1"/>
      <c r="X248" s="1"/>
      <c r="Y248" s="1"/>
      <c r="Z248" s="1"/>
    </row>
    <row r="249" spans="1:26" ht="24.75" customHeight="1">
      <c r="A249" s="1"/>
      <c r="B249" s="1"/>
      <c r="C249" s="1"/>
      <c r="D249" s="1"/>
      <c r="E249" s="1"/>
      <c r="F249" s="1"/>
      <c r="G249" s="1"/>
      <c r="H249" s="1"/>
      <c r="I249" s="1"/>
      <c r="J249" s="1"/>
      <c r="K249" s="1"/>
      <c r="L249" s="1"/>
      <c r="M249" s="1"/>
      <c r="N249" s="1"/>
      <c r="O249" s="1"/>
      <c r="P249" s="1"/>
      <c r="Q249" s="1"/>
      <c r="R249" s="1"/>
      <c r="S249" s="1"/>
      <c r="T249" s="1"/>
      <c r="U249" s="2"/>
      <c r="V249" s="1"/>
      <c r="W249" s="1"/>
      <c r="X249" s="1"/>
      <c r="Y249" s="1"/>
      <c r="Z249" s="1"/>
    </row>
    <row r="250" spans="1:26" ht="24.75" customHeight="1">
      <c r="A250" s="1"/>
      <c r="B250" s="1"/>
      <c r="C250" s="1"/>
      <c r="D250" s="1"/>
      <c r="E250" s="1"/>
      <c r="F250" s="1"/>
      <c r="G250" s="1"/>
      <c r="H250" s="1"/>
      <c r="I250" s="1"/>
      <c r="J250" s="1"/>
      <c r="K250" s="1"/>
      <c r="L250" s="1"/>
      <c r="M250" s="1"/>
      <c r="N250" s="1"/>
      <c r="O250" s="1"/>
      <c r="P250" s="1"/>
      <c r="Q250" s="1"/>
      <c r="R250" s="1"/>
      <c r="S250" s="1"/>
      <c r="T250" s="1"/>
      <c r="U250" s="2"/>
      <c r="V250" s="1"/>
      <c r="W250" s="1"/>
      <c r="X250" s="1"/>
      <c r="Y250" s="1"/>
      <c r="Z250" s="1"/>
    </row>
    <row r="251" spans="1:26" ht="24.75" customHeight="1">
      <c r="A251" s="1"/>
      <c r="B251" s="1"/>
      <c r="C251" s="1"/>
      <c r="D251" s="1"/>
      <c r="E251" s="1"/>
      <c r="F251" s="1"/>
      <c r="G251" s="1"/>
      <c r="H251" s="1"/>
      <c r="I251" s="1"/>
      <c r="J251" s="1"/>
      <c r="K251" s="1"/>
      <c r="L251" s="1"/>
      <c r="M251" s="1"/>
      <c r="N251" s="1"/>
      <c r="O251" s="1"/>
      <c r="P251" s="1"/>
      <c r="Q251" s="1"/>
      <c r="R251" s="1"/>
      <c r="S251" s="1"/>
      <c r="T251" s="1"/>
      <c r="U251" s="2"/>
      <c r="V251" s="1"/>
      <c r="W251" s="1"/>
      <c r="X251" s="1"/>
      <c r="Y251" s="1"/>
      <c r="Z251" s="1"/>
    </row>
    <row r="252" spans="1:26" ht="24.75" customHeight="1">
      <c r="A252" s="1"/>
      <c r="B252" s="1"/>
      <c r="C252" s="1"/>
      <c r="D252" s="1"/>
      <c r="E252" s="1"/>
      <c r="F252" s="1"/>
      <c r="G252" s="1"/>
      <c r="H252" s="1"/>
      <c r="I252" s="1"/>
      <c r="J252" s="1"/>
      <c r="K252" s="1"/>
      <c r="L252" s="1"/>
      <c r="M252" s="1"/>
      <c r="N252" s="1"/>
      <c r="O252" s="1"/>
      <c r="P252" s="1"/>
      <c r="Q252" s="1"/>
      <c r="R252" s="1"/>
      <c r="S252" s="1"/>
      <c r="T252" s="1"/>
      <c r="U252" s="2"/>
      <c r="V252" s="1"/>
      <c r="W252" s="1"/>
      <c r="X252" s="1"/>
      <c r="Y252" s="1"/>
      <c r="Z252" s="1"/>
    </row>
    <row r="253" spans="1:26" ht="24.75" customHeight="1">
      <c r="A253" s="1"/>
      <c r="B253" s="1"/>
      <c r="C253" s="1"/>
      <c r="D253" s="1"/>
      <c r="E253" s="1"/>
      <c r="F253" s="1"/>
      <c r="G253" s="1"/>
      <c r="H253" s="1"/>
      <c r="I253" s="1"/>
      <c r="J253" s="1"/>
      <c r="K253" s="1"/>
      <c r="L253" s="1"/>
      <c r="M253" s="1"/>
      <c r="N253" s="1"/>
      <c r="O253" s="1"/>
      <c r="P253" s="1"/>
      <c r="Q253" s="1"/>
      <c r="R253" s="1"/>
      <c r="S253" s="1"/>
      <c r="T253" s="1"/>
      <c r="U253" s="2"/>
      <c r="V253" s="1"/>
      <c r="W253" s="1"/>
      <c r="X253" s="1"/>
      <c r="Y253" s="1"/>
      <c r="Z253" s="1"/>
    </row>
    <row r="254" spans="1:26" ht="24.75" customHeight="1">
      <c r="A254" s="1"/>
      <c r="B254" s="1"/>
      <c r="C254" s="1"/>
      <c r="D254" s="1"/>
      <c r="E254" s="1"/>
      <c r="F254" s="1"/>
      <c r="G254" s="1"/>
      <c r="H254" s="1"/>
      <c r="I254" s="1"/>
      <c r="J254" s="1"/>
      <c r="K254" s="1"/>
      <c r="L254" s="1"/>
      <c r="M254" s="1"/>
      <c r="N254" s="1"/>
      <c r="O254" s="1"/>
      <c r="P254" s="1"/>
      <c r="Q254" s="1"/>
      <c r="R254" s="1"/>
      <c r="S254" s="1"/>
      <c r="T254" s="1"/>
      <c r="U254" s="2"/>
      <c r="V254" s="1"/>
      <c r="W254" s="1"/>
      <c r="X254" s="1"/>
      <c r="Y254" s="1"/>
      <c r="Z254" s="1"/>
    </row>
    <row r="255" spans="1:26" ht="24.75" customHeight="1">
      <c r="A255" s="1"/>
      <c r="B255" s="1"/>
      <c r="C255" s="1"/>
      <c r="D255" s="1"/>
      <c r="E255" s="1"/>
      <c r="F255" s="1"/>
      <c r="G255" s="1"/>
      <c r="H255" s="1"/>
      <c r="I255" s="1"/>
      <c r="J255" s="1"/>
      <c r="K255" s="1"/>
      <c r="L255" s="1"/>
      <c r="M255" s="1"/>
      <c r="N255" s="1"/>
      <c r="O255" s="1"/>
      <c r="P255" s="1"/>
      <c r="Q255" s="1"/>
      <c r="R255" s="1"/>
      <c r="S255" s="1"/>
      <c r="T255" s="1"/>
      <c r="U255" s="2"/>
      <c r="V255" s="1"/>
      <c r="W255" s="1"/>
      <c r="X255" s="1"/>
      <c r="Y255" s="1"/>
      <c r="Z255" s="1"/>
    </row>
    <row r="256" spans="1:26" ht="24.75" customHeight="1">
      <c r="A256" s="1"/>
      <c r="B256" s="1"/>
      <c r="C256" s="1"/>
      <c r="D256" s="1"/>
      <c r="E256" s="1"/>
      <c r="F256" s="1"/>
      <c r="G256" s="1"/>
      <c r="H256" s="1"/>
      <c r="I256" s="1"/>
      <c r="J256" s="1"/>
      <c r="K256" s="1"/>
      <c r="L256" s="1"/>
      <c r="M256" s="1"/>
      <c r="N256" s="1"/>
      <c r="O256" s="1"/>
      <c r="P256" s="1"/>
      <c r="Q256" s="1"/>
      <c r="R256" s="1"/>
      <c r="S256" s="1"/>
      <c r="T256" s="1"/>
      <c r="U256" s="2"/>
      <c r="V256" s="1"/>
      <c r="W256" s="1"/>
      <c r="X256" s="1"/>
      <c r="Y256" s="1"/>
      <c r="Z256" s="1"/>
    </row>
    <row r="257" spans="1:26" ht="24.75" customHeight="1">
      <c r="A257" s="1"/>
      <c r="B257" s="1"/>
      <c r="C257" s="1"/>
      <c r="D257" s="1"/>
      <c r="E257" s="1"/>
      <c r="F257" s="1"/>
      <c r="G257" s="1"/>
      <c r="H257" s="1"/>
      <c r="I257" s="1"/>
      <c r="J257" s="1"/>
      <c r="K257" s="1"/>
      <c r="L257" s="1"/>
      <c r="M257" s="1"/>
      <c r="N257" s="1"/>
      <c r="O257" s="1"/>
      <c r="P257" s="1"/>
      <c r="Q257" s="1"/>
      <c r="R257" s="1"/>
      <c r="S257" s="1"/>
      <c r="T257" s="1"/>
      <c r="U257" s="2"/>
      <c r="V257" s="1"/>
      <c r="W257" s="1"/>
      <c r="X257" s="1"/>
      <c r="Y257" s="1"/>
      <c r="Z257" s="1"/>
    </row>
    <row r="258" spans="1:26" ht="24.75" customHeight="1">
      <c r="A258" s="1"/>
      <c r="B258" s="1"/>
      <c r="C258" s="1"/>
      <c r="D258" s="1"/>
      <c r="E258" s="1"/>
      <c r="F258" s="1"/>
      <c r="G258" s="1"/>
      <c r="H258" s="1"/>
      <c r="I258" s="1"/>
      <c r="J258" s="1"/>
      <c r="K258" s="1"/>
      <c r="L258" s="1"/>
      <c r="M258" s="1"/>
      <c r="N258" s="1"/>
      <c r="O258" s="1"/>
      <c r="P258" s="1"/>
      <c r="Q258" s="1"/>
      <c r="R258" s="1"/>
      <c r="S258" s="1"/>
      <c r="T258" s="1"/>
      <c r="U258" s="2"/>
      <c r="V258" s="1"/>
      <c r="W258" s="1"/>
      <c r="X258" s="1"/>
      <c r="Y258" s="1"/>
      <c r="Z258" s="1"/>
    </row>
    <row r="259" spans="1:26" ht="24.75" customHeight="1">
      <c r="A259" s="1"/>
      <c r="B259" s="1"/>
      <c r="C259" s="1"/>
      <c r="D259" s="1"/>
      <c r="E259" s="1"/>
      <c r="F259" s="1"/>
      <c r="G259" s="1"/>
      <c r="H259" s="1"/>
      <c r="I259" s="1"/>
      <c r="J259" s="1"/>
      <c r="K259" s="1"/>
      <c r="L259" s="1"/>
      <c r="M259" s="1"/>
      <c r="N259" s="1"/>
      <c r="O259" s="1"/>
      <c r="P259" s="1"/>
      <c r="Q259" s="1"/>
      <c r="R259" s="1"/>
      <c r="S259" s="1"/>
      <c r="T259" s="1"/>
      <c r="U259" s="2"/>
      <c r="V259" s="1"/>
      <c r="W259" s="1"/>
      <c r="X259" s="1"/>
      <c r="Y259" s="1"/>
      <c r="Z259" s="1"/>
    </row>
    <row r="260" spans="1:26" ht="24.75" customHeight="1">
      <c r="A260" s="1"/>
      <c r="B260" s="1"/>
      <c r="C260" s="1"/>
      <c r="D260" s="1"/>
      <c r="E260" s="1"/>
      <c r="F260" s="1"/>
      <c r="G260" s="1"/>
      <c r="H260" s="1"/>
      <c r="I260" s="1"/>
      <c r="J260" s="1"/>
      <c r="K260" s="1"/>
      <c r="L260" s="1"/>
      <c r="M260" s="1"/>
      <c r="N260" s="1"/>
      <c r="O260" s="1"/>
      <c r="P260" s="1"/>
      <c r="Q260" s="1"/>
      <c r="R260" s="1"/>
      <c r="S260" s="1"/>
      <c r="T260" s="1"/>
      <c r="U260" s="2"/>
      <c r="V260" s="1"/>
      <c r="W260" s="1"/>
      <c r="X260" s="1"/>
      <c r="Y260" s="1"/>
      <c r="Z260" s="1"/>
    </row>
    <row r="261" spans="1:26" ht="24.75" customHeight="1">
      <c r="A261" s="1"/>
      <c r="B261" s="1"/>
      <c r="C261" s="1"/>
      <c r="D261" s="1"/>
      <c r="E261" s="1"/>
      <c r="F261" s="1"/>
      <c r="G261" s="1"/>
      <c r="H261" s="1"/>
      <c r="I261" s="1"/>
      <c r="J261" s="1"/>
      <c r="K261" s="1"/>
      <c r="L261" s="1"/>
      <c r="M261" s="1"/>
      <c r="N261" s="1"/>
      <c r="O261" s="1"/>
      <c r="P261" s="1"/>
      <c r="Q261" s="1"/>
      <c r="R261" s="1"/>
      <c r="S261" s="1"/>
      <c r="T261" s="1"/>
      <c r="U261" s="2"/>
      <c r="V261" s="1"/>
      <c r="W261" s="1"/>
      <c r="X261" s="1"/>
      <c r="Y261" s="1"/>
      <c r="Z261" s="1"/>
    </row>
    <row r="262" spans="1:26" ht="24.75" customHeight="1">
      <c r="A262" s="1"/>
      <c r="B262" s="1"/>
      <c r="C262" s="1"/>
      <c r="D262" s="1"/>
      <c r="E262" s="1"/>
      <c r="F262" s="1"/>
      <c r="G262" s="1"/>
      <c r="H262" s="1"/>
      <c r="I262" s="1"/>
      <c r="J262" s="1"/>
      <c r="K262" s="1"/>
      <c r="L262" s="1"/>
      <c r="M262" s="1"/>
      <c r="N262" s="1"/>
      <c r="O262" s="1"/>
      <c r="P262" s="1"/>
      <c r="Q262" s="1"/>
      <c r="R262" s="1"/>
      <c r="S262" s="1"/>
      <c r="T262" s="1"/>
      <c r="U262" s="2"/>
      <c r="V262" s="1"/>
      <c r="W262" s="1"/>
      <c r="X262" s="1"/>
      <c r="Y262" s="1"/>
      <c r="Z262" s="1"/>
    </row>
    <row r="263" spans="1:26" ht="24.75" customHeight="1">
      <c r="A263" s="1"/>
      <c r="B263" s="1"/>
      <c r="C263" s="1"/>
      <c r="D263" s="1"/>
      <c r="E263" s="1"/>
      <c r="F263" s="1"/>
      <c r="G263" s="1"/>
      <c r="H263" s="1"/>
      <c r="I263" s="1"/>
      <c r="J263" s="1"/>
      <c r="K263" s="1"/>
      <c r="L263" s="1"/>
      <c r="M263" s="1"/>
      <c r="N263" s="1"/>
      <c r="O263" s="1"/>
      <c r="P263" s="1"/>
      <c r="Q263" s="1"/>
      <c r="R263" s="1"/>
      <c r="S263" s="1"/>
      <c r="T263" s="1"/>
      <c r="U263" s="2"/>
      <c r="V263" s="1"/>
      <c r="W263" s="1"/>
      <c r="X263" s="1"/>
      <c r="Y263" s="1"/>
      <c r="Z263" s="1"/>
    </row>
    <row r="264" spans="1:26" ht="24.75" customHeight="1">
      <c r="A264" s="1"/>
      <c r="B264" s="1"/>
      <c r="C264" s="1"/>
      <c r="D264" s="1"/>
      <c r="E264" s="1"/>
      <c r="F264" s="1"/>
      <c r="G264" s="1"/>
      <c r="H264" s="1"/>
      <c r="I264" s="1"/>
      <c r="J264" s="1"/>
      <c r="K264" s="1"/>
      <c r="L264" s="1"/>
      <c r="M264" s="1"/>
      <c r="N264" s="1"/>
      <c r="O264" s="1"/>
      <c r="P264" s="1"/>
      <c r="Q264" s="1"/>
      <c r="R264" s="1"/>
      <c r="S264" s="1"/>
      <c r="T264" s="1"/>
      <c r="U264" s="2"/>
      <c r="V264" s="1"/>
      <c r="W264" s="1"/>
      <c r="X264" s="1"/>
      <c r="Y264" s="1"/>
      <c r="Z264" s="1"/>
    </row>
    <row r="265" spans="1:26" ht="24.75" customHeight="1">
      <c r="A265" s="1"/>
      <c r="B265" s="1"/>
      <c r="C265" s="1"/>
      <c r="D265" s="1"/>
      <c r="E265" s="1"/>
      <c r="F265" s="1"/>
      <c r="G265" s="1"/>
      <c r="H265" s="1"/>
      <c r="I265" s="1"/>
      <c r="J265" s="1"/>
      <c r="K265" s="1"/>
      <c r="L265" s="1"/>
      <c r="M265" s="1"/>
      <c r="N265" s="1"/>
      <c r="O265" s="1"/>
      <c r="P265" s="1"/>
      <c r="Q265" s="1"/>
      <c r="R265" s="1"/>
      <c r="S265" s="1"/>
      <c r="T265" s="1"/>
      <c r="U265" s="2"/>
      <c r="V265" s="1"/>
      <c r="W265" s="1"/>
      <c r="X265" s="1"/>
      <c r="Y265" s="1"/>
      <c r="Z265" s="1"/>
    </row>
    <row r="266" spans="1:26" ht="24.75" customHeight="1">
      <c r="A266" s="1"/>
      <c r="B266" s="1"/>
      <c r="C266" s="1"/>
      <c r="D266" s="1"/>
      <c r="E266" s="1"/>
      <c r="F266" s="1"/>
      <c r="G266" s="1"/>
      <c r="H266" s="1"/>
      <c r="I266" s="1"/>
      <c r="J266" s="1"/>
      <c r="K266" s="1"/>
      <c r="L266" s="1"/>
      <c r="M266" s="1"/>
      <c r="N266" s="1"/>
      <c r="O266" s="1"/>
      <c r="P266" s="1"/>
      <c r="Q266" s="1"/>
      <c r="R266" s="1"/>
      <c r="S266" s="1"/>
      <c r="T266" s="1"/>
      <c r="U266" s="2"/>
      <c r="V266" s="1"/>
      <c r="W266" s="1"/>
      <c r="X266" s="1"/>
      <c r="Y266" s="1"/>
      <c r="Z266" s="1"/>
    </row>
    <row r="267" spans="1:26" ht="24.75" customHeight="1">
      <c r="A267" s="1"/>
      <c r="B267" s="1"/>
      <c r="C267" s="1"/>
      <c r="D267" s="1"/>
      <c r="E267" s="1"/>
      <c r="F267" s="1"/>
      <c r="G267" s="1"/>
      <c r="H267" s="1"/>
      <c r="I267" s="1"/>
      <c r="J267" s="1"/>
      <c r="K267" s="1"/>
      <c r="L267" s="1"/>
      <c r="M267" s="1"/>
      <c r="N267" s="1"/>
      <c r="O267" s="1"/>
      <c r="P267" s="1"/>
      <c r="Q267" s="1"/>
      <c r="R267" s="1"/>
      <c r="S267" s="1"/>
      <c r="T267" s="1"/>
      <c r="U267" s="2"/>
      <c r="V267" s="1"/>
      <c r="W267" s="1"/>
      <c r="X267" s="1"/>
      <c r="Y267" s="1"/>
      <c r="Z267" s="1"/>
    </row>
    <row r="268" spans="1:26" ht="24.75" customHeight="1">
      <c r="A268" s="1"/>
      <c r="B268" s="1"/>
      <c r="C268" s="1"/>
      <c r="D268" s="1"/>
      <c r="E268" s="1"/>
      <c r="F268" s="1"/>
      <c r="G268" s="1"/>
      <c r="H268" s="1"/>
      <c r="I268" s="1"/>
      <c r="J268" s="1"/>
      <c r="K268" s="1"/>
      <c r="L268" s="1"/>
      <c r="M268" s="1"/>
      <c r="N268" s="1"/>
      <c r="O268" s="1"/>
      <c r="P268" s="1"/>
      <c r="Q268" s="1"/>
      <c r="R268" s="1"/>
      <c r="S268" s="1"/>
      <c r="T268" s="1"/>
      <c r="U268" s="2"/>
      <c r="V268" s="1"/>
      <c r="W268" s="1"/>
      <c r="X268" s="1"/>
      <c r="Y268" s="1"/>
      <c r="Z268" s="1"/>
    </row>
    <row r="269" spans="1:26" ht="24.75" customHeight="1">
      <c r="A269" s="1"/>
      <c r="B269" s="1"/>
      <c r="C269" s="1"/>
      <c r="D269" s="1"/>
      <c r="E269" s="1"/>
      <c r="F269" s="1"/>
      <c r="G269" s="1"/>
      <c r="H269" s="1"/>
      <c r="I269" s="1"/>
      <c r="J269" s="1"/>
      <c r="K269" s="1"/>
      <c r="L269" s="1"/>
      <c r="M269" s="1"/>
      <c r="N269" s="1"/>
      <c r="O269" s="1"/>
      <c r="P269" s="1"/>
      <c r="Q269" s="1"/>
      <c r="R269" s="1"/>
      <c r="S269" s="1"/>
      <c r="T269" s="1"/>
      <c r="U269" s="2"/>
      <c r="V269" s="1"/>
      <c r="W269" s="1"/>
      <c r="X269" s="1"/>
      <c r="Y269" s="1"/>
      <c r="Z269" s="1"/>
    </row>
    <row r="270" spans="1:26" ht="24.75" customHeight="1">
      <c r="A270" s="1"/>
      <c r="B270" s="1"/>
      <c r="C270" s="1"/>
      <c r="D270" s="1"/>
      <c r="E270" s="1"/>
      <c r="F270" s="1"/>
      <c r="G270" s="1"/>
      <c r="H270" s="1"/>
      <c r="I270" s="1"/>
      <c r="J270" s="1"/>
      <c r="K270" s="1"/>
      <c r="L270" s="1"/>
      <c r="M270" s="1"/>
      <c r="N270" s="1"/>
      <c r="O270" s="1"/>
      <c r="P270" s="1"/>
      <c r="Q270" s="1"/>
      <c r="R270" s="1"/>
      <c r="S270" s="1"/>
      <c r="T270" s="1"/>
      <c r="U270" s="2"/>
      <c r="V270" s="1"/>
      <c r="W270" s="1"/>
      <c r="X270" s="1"/>
      <c r="Y270" s="1"/>
      <c r="Z270" s="1"/>
    </row>
    <row r="271" spans="1:26" ht="24.75" customHeight="1">
      <c r="A271" s="1"/>
      <c r="B271" s="1"/>
      <c r="C271" s="1"/>
      <c r="D271" s="1"/>
      <c r="E271" s="1"/>
      <c r="F271" s="1"/>
      <c r="G271" s="1"/>
      <c r="H271" s="1"/>
      <c r="I271" s="1"/>
      <c r="J271" s="1"/>
      <c r="K271" s="1"/>
      <c r="L271" s="1"/>
      <c r="M271" s="1"/>
      <c r="N271" s="1"/>
      <c r="O271" s="1"/>
      <c r="P271" s="1"/>
      <c r="Q271" s="1"/>
      <c r="R271" s="1"/>
      <c r="S271" s="1"/>
      <c r="T271" s="1"/>
      <c r="U271" s="2"/>
      <c r="V271" s="1"/>
      <c r="W271" s="1"/>
      <c r="X271" s="1"/>
      <c r="Y271" s="1"/>
      <c r="Z271" s="1"/>
    </row>
    <row r="272" spans="1:26" ht="24.75" customHeight="1">
      <c r="A272" s="1"/>
      <c r="B272" s="1"/>
      <c r="C272" s="1"/>
      <c r="D272" s="1"/>
      <c r="E272" s="1"/>
      <c r="F272" s="1"/>
      <c r="G272" s="1"/>
      <c r="H272" s="1"/>
      <c r="I272" s="1"/>
      <c r="J272" s="1"/>
      <c r="K272" s="1"/>
      <c r="L272" s="1"/>
      <c r="M272" s="1"/>
      <c r="N272" s="1"/>
      <c r="O272" s="1"/>
      <c r="P272" s="1"/>
      <c r="Q272" s="1"/>
      <c r="R272" s="1"/>
      <c r="S272" s="1"/>
      <c r="T272" s="1"/>
      <c r="U272" s="2"/>
      <c r="V272" s="1"/>
      <c r="W272" s="1"/>
      <c r="X272" s="1"/>
      <c r="Y272" s="1"/>
      <c r="Z272" s="1"/>
    </row>
    <row r="273" spans="1:26" ht="24.75" customHeight="1">
      <c r="A273" s="1"/>
      <c r="B273" s="1"/>
      <c r="C273" s="1"/>
      <c r="D273" s="1"/>
      <c r="E273" s="1"/>
      <c r="F273" s="1"/>
      <c r="G273" s="1"/>
      <c r="H273" s="1"/>
      <c r="I273" s="1"/>
      <c r="J273" s="1"/>
      <c r="K273" s="1"/>
      <c r="L273" s="1"/>
      <c r="M273" s="1"/>
      <c r="N273" s="1"/>
      <c r="O273" s="1"/>
      <c r="P273" s="1"/>
      <c r="Q273" s="1"/>
      <c r="R273" s="1"/>
      <c r="S273" s="1"/>
      <c r="T273" s="1"/>
      <c r="U273" s="2"/>
      <c r="V273" s="1"/>
      <c r="W273" s="1"/>
      <c r="X273" s="1"/>
      <c r="Y273" s="1"/>
      <c r="Z273" s="1"/>
    </row>
    <row r="274" spans="1:26" ht="24.75" customHeight="1">
      <c r="A274" s="1"/>
      <c r="B274" s="1"/>
      <c r="C274" s="1"/>
      <c r="D274" s="1"/>
      <c r="E274" s="1"/>
      <c r="F274" s="1"/>
      <c r="G274" s="1"/>
      <c r="H274" s="1"/>
      <c r="I274" s="1"/>
      <c r="J274" s="1"/>
      <c r="K274" s="1"/>
      <c r="L274" s="1"/>
      <c r="M274" s="1"/>
      <c r="N274" s="1"/>
      <c r="O274" s="1"/>
      <c r="P274" s="1"/>
      <c r="Q274" s="1"/>
      <c r="R274" s="1"/>
      <c r="S274" s="1"/>
      <c r="T274" s="1"/>
      <c r="U274" s="2"/>
      <c r="V274" s="1"/>
      <c r="W274" s="1"/>
      <c r="X274" s="1"/>
      <c r="Y274" s="1"/>
      <c r="Z274" s="1"/>
    </row>
    <row r="275" spans="1:26" ht="24.75" customHeight="1">
      <c r="A275" s="1"/>
      <c r="B275" s="1"/>
      <c r="C275" s="1"/>
      <c r="D275" s="1"/>
      <c r="E275" s="1"/>
      <c r="F275" s="1"/>
      <c r="G275" s="1"/>
      <c r="H275" s="1"/>
      <c r="I275" s="1"/>
      <c r="J275" s="1"/>
      <c r="K275" s="1"/>
      <c r="L275" s="1"/>
      <c r="M275" s="1"/>
      <c r="N275" s="1"/>
      <c r="O275" s="1"/>
      <c r="P275" s="1"/>
      <c r="Q275" s="1"/>
      <c r="R275" s="1"/>
      <c r="S275" s="1"/>
      <c r="T275" s="1"/>
      <c r="U275" s="2"/>
      <c r="V275" s="1"/>
      <c r="W275" s="1"/>
      <c r="X275" s="1"/>
      <c r="Y275" s="1"/>
      <c r="Z275" s="1"/>
    </row>
    <row r="276" spans="1:26" ht="24.75" customHeight="1">
      <c r="A276" s="1"/>
      <c r="B276" s="1"/>
      <c r="C276" s="1"/>
      <c r="D276" s="1"/>
      <c r="E276" s="1"/>
      <c r="F276" s="1"/>
      <c r="G276" s="1"/>
      <c r="H276" s="1"/>
      <c r="I276" s="1"/>
      <c r="J276" s="1"/>
      <c r="K276" s="1"/>
      <c r="L276" s="1"/>
      <c r="M276" s="1"/>
      <c r="N276" s="1"/>
      <c r="O276" s="1"/>
      <c r="P276" s="1"/>
      <c r="Q276" s="1"/>
      <c r="R276" s="1"/>
      <c r="S276" s="1"/>
      <c r="T276" s="1"/>
      <c r="U276" s="2"/>
      <c r="V276" s="1"/>
      <c r="W276" s="1"/>
      <c r="X276" s="1"/>
      <c r="Y276" s="1"/>
      <c r="Z276" s="1"/>
    </row>
    <row r="277" spans="1:26" ht="24.75" customHeight="1">
      <c r="A277" s="1"/>
      <c r="B277" s="1"/>
      <c r="C277" s="1"/>
      <c r="D277" s="1"/>
      <c r="E277" s="1"/>
      <c r="F277" s="1"/>
      <c r="G277" s="1"/>
      <c r="H277" s="1"/>
      <c r="I277" s="1"/>
      <c r="J277" s="1"/>
      <c r="K277" s="1"/>
      <c r="L277" s="1"/>
      <c r="M277" s="1"/>
      <c r="N277" s="1"/>
      <c r="O277" s="1"/>
      <c r="P277" s="1"/>
      <c r="Q277" s="1"/>
      <c r="R277" s="1"/>
      <c r="S277" s="1"/>
      <c r="T277" s="1"/>
      <c r="U277" s="2"/>
      <c r="V277" s="1"/>
      <c r="W277" s="1"/>
      <c r="X277" s="1"/>
      <c r="Y277" s="1"/>
      <c r="Z277" s="1"/>
    </row>
    <row r="278" spans="1:26" ht="24.75" customHeight="1">
      <c r="A278" s="1"/>
      <c r="B278" s="1"/>
      <c r="C278" s="1"/>
      <c r="D278" s="1"/>
      <c r="E278" s="1"/>
      <c r="F278" s="1"/>
      <c r="G278" s="1"/>
      <c r="H278" s="1"/>
      <c r="I278" s="1"/>
      <c r="J278" s="1"/>
      <c r="K278" s="1"/>
      <c r="L278" s="1"/>
      <c r="M278" s="1"/>
      <c r="N278" s="1"/>
      <c r="O278" s="1"/>
      <c r="P278" s="1"/>
      <c r="Q278" s="1"/>
      <c r="R278" s="1"/>
      <c r="S278" s="1"/>
      <c r="T278" s="1"/>
      <c r="U278" s="2"/>
      <c r="V278" s="1"/>
      <c r="W278" s="1"/>
      <c r="X278" s="1"/>
      <c r="Y278" s="1"/>
      <c r="Z278" s="1"/>
    </row>
    <row r="279" spans="1:26" ht="24.75" customHeight="1">
      <c r="A279" s="1"/>
      <c r="B279" s="1"/>
      <c r="C279" s="1"/>
      <c r="D279" s="1"/>
      <c r="E279" s="1"/>
      <c r="F279" s="1"/>
      <c r="G279" s="1"/>
      <c r="H279" s="1"/>
      <c r="I279" s="1"/>
      <c r="J279" s="1"/>
      <c r="K279" s="1"/>
      <c r="L279" s="1"/>
      <c r="M279" s="1"/>
      <c r="N279" s="1"/>
      <c r="O279" s="1"/>
      <c r="P279" s="1"/>
      <c r="Q279" s="1"/>
      <c r="R279" s="1"/>
      <c r="S279" s="1"/>
      <c r="T279" s="1"/>
      <c r="U279" s="2"/>
      <c r="V279" s="1"/>
      <c r="W279" s="1"/>
      <c r="X279" s="1"/>
      <c r="Y279" s="1"/>
      <c r="Z279" s="1"/>
    </row>
    <row r="280" spans="1:26" ht="24.75" customHeight="1">
      <c r="A280" s="1"/>
      <c r="B280" s="1"/>
      <c r="C280" s="1"/>
      <c r="D280" s="1"/>
      <c r="E280" s="1"/>
      <c r="F280" s="1"/>
      <c r="G280" s="1"/>
      <c r="H280" s="1"/>
      <c r="I280" s="1"/>
      <c r="J280" s="1"/>
      <c r="K280" s="1"/>
      <c r="L280" s="1"/>
      <c r="M280" s="1"/>
      <c r="N280" s="1"/>
      <c r="O280" s="1"/>
      <c r="P280" s="1"/>
      <c r="Q280" s="1"/>
      <c r="R280" s="1"/>
      <c r="S280" s="1"/>
      <c r="T280" s="1"/>
      <c r="U280" s="2"/>
      <c r="V280" s="1"/>
      <c r="W280" s="1"/>
      <c r="X280" s="1"/>
      <c r="Y280" s="1"/>
      <c r="Z280" s="1"/>
    </row>
    <row r="281" spans="1:26" ht="24.75" customHeight="1">
      <c r="A281" s="1"/>
      <c r="B281" s="1"/>
      <c r="C281" s="1"/>
      <c r="D281" s="1"/>
      <c r="E281" s="1"/>
      <c r="F281" s="1"/>
      <c r="G281" s="1"/>
      <c r="H281" s="1"/>
      <c r="I281" s="1"/>
      <c r="J281" s="1"/>
      <c r="K281" s="1"/>
      <c r="L281" s="1"/>
      <c r="M281" s="1"/>
      <c r="N281" s="1"/>
      <c r="O281" s="1"/>
      <c r="P281" s="1"/>
      <c r="Q281" s="1"/>
      <c r="R281" s="1"/>
      <c r="S281" s="1"/>
      <c r="T281" s="1"/>
      <c r="U281" s="2"/>
      <c r="V281" s="1"/>
      <c r="W281" s="1"/>
      <c r="X281" s="1"/>
      <c r="Y281" s="1"/>
      <c r="Z281" s="1"/>
    </row>
    <row r="282" spans="1:26" ht="24.75" customHeight="1">
      <c r="A282" s="1"/>
      <c r="B282" s="1"/>
      <c r="C282" s="1"/>
      <c r="D282" s="1"/>
      <c r="E282" s="1"/>
      <c r="F282" s="1"/>
      <c r="G282" s="1"/>
      <c r="H282" s="1"/>
      <c r="I282" s="1"/>
      <c r="J282" s="1"/>
      <c r="K282" s="1"/>
      <c r="L282" s="1"/>
      <c r="M282" s="1"/>
      <c r="N282" s="1"/>
      <c r="O282" s="1"/>
      <c r="P282" s="1"/>
      <c r="Q282" s="1"/>
      <c r="R282" s="1"/>
      <c r="S282" s="1"/>
      <c r="T282" s="1"/>
      <c r="U282" s="2"/>
      <c r="V282" s="1"/>
      <c r="W282" s="1"/>
      <c r="X282" s="1"/>
      <c r="Y282" s="1"/>
      <c r="Z282" s="1"/>
    </row>
    <row r="283" spans="1:26" ht="24.75" customHeight="1">
      <c r="A283" s="1"/>
      <c r="B283" s="1"/>
      <c r="C283" s="1"/>
      <c r="D283" s="1"/>
      <c r="E283" s="1"/>
      <c r="F283" s="1"/>
      <c r="G283" s="1"/>
      <c r="H283" s="1"/>
      <c r="I283" s="1"/>
      <c r="J283" s="1"/>
      <c r="K283" s="1"/>
      <c r="L283" s="1"/>
      <c r="M283" s="1"/>
      <c r="N283" s="1"/>
      <c r="O283" s="1"/>
      <c r="P283" s="1"/>
      <c r="Q283" s="1"/>
      <c r="R283" s="1"/>
      <c r="S283" s="1"/>
      <c r="T283" s="1"/>
      <c r="U283" s="2"/>
      <c r="V283" s="1"/>
      <c r="W283" s="1"/>
      <c r="X283" s="1"/>
      <c r="Y283" s="1"/>
      <c r="Z283" s="1"/>
    </row>
    <row r="284" spans="1:26" ht="24.75" customHeight="1">
      <c r="A284" s="1"/>
      <c r="B284" s="1"/>
      <c r="C284" s="1"/>
      <c r="D284" s="1"/>
      <c r="E284" s="1"/>
      <c r="F284" s="1"/>
      <c r="G284" s="1"/>
      <c r="H284" s="1"/>
      <c r="I284" s="1"/>
      <c r="J284" s="1"/>
      <c r="K284" s="1"/>
      <c r="L284" s="1"/>
      <c r="M284" s="1"/>
      <c r="N284" s="1"/>
      <c r="O284" s="1"/>
      <c r="P284" s="1"/>
      <c r="Q284" s="1"/>
      <c r="R284" s="1"/>
      <c r="S284" s="1"/>
      <c r="T284" s="1"/>
      <c r="U284" s="2"/>
      <c r="V284" s="1"/>
      <c r="W284" s="1"/>
      <c r="X284" s="1"/>
      <c r="Y284" s="1"/>
      <c r="Z284" s="1"/>
    </row>
    <row r="285" spans="1:26" ht="24.75" customHeight="1">
      <c r="A285" s="1"/>
      <c r="B285" s="1"/>
      <c r="C285" s="1"/>
      <c r="D285" s="1"/>
      <c r="E285" s="1"/>
      <c r="F285" s="1"/>
      <c r="G285" s="1"/>
      <c r="H285" s="1"/>
      <c r="I285" s="1"/>
      <c r="J285" s="1"/>
      <c r="K285" s="1"/>
      <c r="L285" s="1"/>
      <c r="M285" s="1"/>
      <c r="N285" s="1"/>
      <c r="O285" s="1"/>
      <c r="P285" s="1"/>
      <c r="Q285" s="1"/>
      <c r="R285" s="1"/>
      <c r="S285" s="1"/>
      <c r="T285" s="1"/>
      <c r="U285" s="2"/>
      <c r="V285" s="1"/>
      <c r="W285" s="1"/>
      <c r="X285" s="1"/>
      <c r="Y285" s="1"/>
      <c r="Z285" s="1"/>
    </row>
    <row r="286" spans="1:26" ht="24.75" customHeight="1">
      <c r="A286" s="1"/>
      <c r="B286" s="1"/>
      <c r="C286" s="1"/>
      <c r="D286" s="1"/>
      <c r="E286" s="1"/>
      <c r="F286" s="1"/>
      <c r="G286" s="1"/>
      <c r="H286" s="1"/>
      <c r="I286" s="1"/>
      <c r="J286" s="1"/>
      <c r="K286" s="1"/>
      <c r="L286" s="1"/>
      <c r="M286" s="1"/>
      <c r="N286" s="1"/>
      <c r="O286" s="1"/>
      <c r="P286" s="1"/>
      <c r="Q286" s="1"/>
      <c r="R286" s="1"/>
      <c r="S286" s="1"/>
      <c r="T286" s="1"/>
      <c r="U286" s="2"/>
      <c r="V286" s="1"/>
      <c r="W286" s="1"/>
      <c r="X286" s="1"/>
      <c r="Y286" s="1"/>
      <c r="Z286" s="1"/>
    </row>
    <row r="287" spans="1:26" ht="24.75" customHeight="1">
      <c r="A287" s="1"/>
      <c r="B287" s="1"/>
      <c r="C287" s="1"/>
      <c r="D287" s="1"/>
      <c r="E287" s="1"/>
      <c r="F287" s="1"/>
      <c r="G287" s="1"/>
      <c r="H287" s="1"/>
      <c r="I287" s="1"/>
      <c r="J287" s="1"/>
      <c r="K287" s="1"/>
      <c r="L287" s="1"/>
      <c r="M287" s="1"/>
      <c r="N287" s="1"/>
      <c r="O287" s="1"/>
      <c r="P287" s="1"/>
      <c r="Q287" s="1"/>
      <c r="R287" s="1"/>
      <c r="S287" s="1"/>
      <c r="T287" s="1"/>
      <c r="U287" s="2"/>
      <c r="V287" s="1"/>
      <c r="W287" s="1"/>
      <c r="X287" s="1"/>
      <c r="Y287" s="1"/>
      <c r="Z287" s="1"/>
    </row>
    <row r="288" spans="1:26" ht="24.75" customHeight="1">
      <c r="A288" s="1"/>
      <c r="B288" s="1"/>
      <c r="C288" s="1"/>
      <c r="D288" s="1"/>
      <c r="E288" s="1"/>
      <c r="F288" s="1"/>
      <c r="G288" s="1"/>
      <c r="H288" s="1"/>
      <c r="I288" s="1"/>
      <c r="J288" s="1"/>
      <c r="K288" s="1"/>
      <c r="L288" s="1"/>
      <c r="M288" s="1"/>
      <c r="N288" s="1"/>
      <c r="O288" s="1"/>
      <c r="P288" s="1"/>
      <c r="Q288" s="1"/>
      <c r="R288" s="1"/>
      <c r="S288" s="1"/>
      <c r="T288" s="1"/>
      <c r="U288" s="2"/>
      <c r="V288" s="1"/>
      <c r="W288" s="1"/>
      <c r="X288" s="1"/>
      <c r="Y288" s="1"/>
      <c r="Z288" s="1"/>
    </row>
    <row r="289" spans="1:26" ht="24.75" customHeight="1">
      <c r="A289" s="1"/>
      <c r="B289" s="1"/>
      <c r="C289" s="1"/>
      <c r="D289" s="1"/>
      <c r="E289" s="1"/>
      <c r="F289" s="1"/>
      <c r="G289" s="1"/>
      <c r="H289" s="1"/>
      <c r="I289" s="1"/>
      <c r="J289" s="1"/>
      <c r="K289" s="1"/>
      <c r="L289" s="1"/>
      <c r="M289" s="1"/>
      <c r="N289" s="1"/>
      <c r="O289" s="1"/>
      <c r="P289" s="1"/>
      <c r="Q289" s="1"/>
      <c r="R289" s="1"/>
      <c r="S289" s="1"/>
      <c r="T289" s="1"/>
      <c r="U289" s="2"/>
      <c r="V289" s="1"/>
      <c r="W289" s="1"/>
      <c r="X289" s="1"/>
      <c r="Y289" s="1"/>
      <c r="Z289" s="1"/>
    </row>
    <row r="290" spans="1:26" ht="24.75" customHeight="1">
      <c r="A290" s="1"/>
      <c r="B290" s="1"/>
      <c r="C290" s="1"/>
      <c r="D290" s="1"/>
      <c r="E290" s="1"/>
      <c r="F290" s="1"/>
      <c r="G290" s="1"/>
      <c r="H290" s="1"/>
      <c r="I290" s="1"/>
      <c r="J290" s="1"/>
      <c r="K290" s="1"/>
      <c r="L290" s="1"/>
      <c r="M290" s="1"/>
      <c r="N290" s="1"/>
      <c r="O290" s="1"/>
      <c r="P290" s="1"/>
      <c r="Q290" s="1"/>
      <c r="R290" s="1"/>
      <c r="S290" s="1"/>
      <c r="T290" s="1"/>
      <c r="U290" s="2"/>
      <c r="V290" s="1"/>
      <c r="W290" s="1"/>
      <c r="X290" s="1"/>
      <c r="Y290" s="1"/>
      <c r="Z290" s="1"/>
    </row>
    <row r="291" spans="1:26" ht="24.75" customHeight="1">
      <c r="A291" s="1"/>
      <c r="B291" s="1"/>
      <c r="C291" s="1"/>
      <c r="D291" s="1"/>
      <c r="E291" s="1"/>
      <c r="F291" s="1"/>
      <c r="G291" s="1"/>
      <c r="H291" s="1"/>
      <c r="I291" s="1"/>
      <c r="J291" s="1"/>
      <c r="K291" s="1"/>
      <c r="L291" s="1"/>
      <c r="M291" s="1"/>
      <c r="N291" s="1"/>
      <c r="O291" s="1"/>
      <c r="P291" s="1"/>
      <c r="Q291" s="1"/>
      <c r="R291" s="1"/>
      <c r="S291" s="1"/>
      <c r="T291" s="1"/>
      <c r="U291" s="2"/>
      <c r="V291" s="1"/>
      <c r="W291" s="1"/>
      <c r="X291" s="1"/>
      <c r="Y291" s="1"/>
      <c r="Z291" s="1"/>
    </row>
    <row r="292" spans="1:26" ht="24.75" customHeight="1">
      <c r="A292" s="1"/>
      <c r="B292" s="1"/>
      <c r="C292" s="1"/>
      <c r="D292" s="1"/>
      <c r="E292" s="1"/>
      <c r="F292" s="1"/>
      <c r="G292" s="1"/>
      <c r="H292" s="1"/>
      <c r="I292" s="1"/>
      <c r="J292" s="1"/>
      <c r="K292" s="1"/>
      <c r="L292" s="1"/>
      <c r="M292" s="1"/>
      <c r="N292" s="1"/>
      <c r="O292" s="1"/>
      <c r="P292" s="1"/>
      <c r="Q292" s="1"/>
      <c r="R292" s="1"/>
      <c r="S292" s="1"/>
      <c r="T292" s="1"/>
      <c r="U292" s="2"/>
      <c r="V292" s="1"/>
      <c r="W292" s="1"/>
      <c r="X292" s="1"/>
      <c r="Y292" s="1"/>
      <c r="Z292" s="1"/>
    </row>
    <row r="293" spans="1:26" ht="24.75" customHeight="1">
      <c r="A293" s="1"/>
      <c r="B293" s="1"/>
      <c r="C293" s="1"/>
      <c r="D293" s="1"/>
      <c r="E293" s="1"/>
      <c r="F293" s="1"/>
      <c r="G293" s="1"/>
      <c r="H293" s="1"/>
      <c r="I293" s="1"/>
      <c r="J293" s="1"/>
      <c r="K293" s="1"/>
      <c r="L293" s="1"/>
      <c r="M293" s="1"/>
      <c r="N293" s="1"/>
      <c r="O293" s="1"/>
      <c r="P293" s="1"/>
      <c r="Q293" s="1"/>
      <c r="R293" s="1"/>
      <c r="S293" s="1"/>
      <c r="T293" s="1"/>
      <c r="U293" s="2"/>
      <c r="V293" s="1"/>
      <c r="W293" s="1"/>
      <c r="X293" s="1"/>
      <c r="Y293" s="1"/>
      <c r="Z293" s="1"/>
    </row>
    <row r="294" spans="1:26" ht="24.75" customHeight="1">
      <c r="A294" s="1"/>
      <c r="B294" s="1"/>
      <c r="C294" s="1"/>
      <c r="D294" s="1"/>
      <c r="E294" s="1"/>
      <c r="F294" s="1"/>
      <c r="G294" s="1"/>
      <c r="H294" s="1"/>
      <c r="I294" s="1"/>
      <c r="J294" s="1"/>
      <c r="K294" s="1"/>
      <c r="L294" s="1"/>
      <c r="M294" s="1"/>
      <c r="N294" s="1"/>
      <c r="O294" s="1"/>
      <c r="P294" s="1"/>
      <c r="Q294" s="1"/>
      <c r="R294" s="1"/>
      <c r="S294" s="1"/>
      <c r="T294" s="1"/>
      <c r="U294" s="2"/>
      <c r="V294" s="1"/>
      <c r="W294" s="1"/>
      <c r="X294" s="1"/>
      <c r="Y294" s="1"/>
      <c r="Z294" s="1"/>
    </row>
    <row r="295" spans="1:26" ht="24.75" customHeight="1">
      <c r="A295" s="1"/>
      <c r="B295" s="1"/>
      <c r="C295" s="1"/>
      <c r="D295" s="1"/>
      <c r="E295" s="1"/>
      <c r="F295" s="1"/>
      <c r="G295" s="1"/>
      <c r="H295" s="1"/>
      <c r="I295" s="1"/>
      <c r="J295" s="1"/>
      <c r="K295" s="1"/>
      <c r="L295" s="1"/>
      <c r="M295" s="1"/>
      <c r="N295" s="1"/>
      <c r="O295" s="1"/>
      <c r="P295" s="1"/>
      <c r="Q295" s="1"/>
      <c r="R295" s="1"/>
      <c r="S295" s="1"/>
      <c r="T295" s="1"/>
      <c r="U295" s="2"/>
      <c r="V295" s="1"/>
      <c r="W295" s="1"/>
      <c r="X295" s="1"/>
      <c r="Y295" s="1"/>
      <c r="Z295" s="1"/>
    </row>
    <row r="296" spans="1:26" ht="24.75" customHeight="1">
      <c r="A296" s="1"/>
      <c r="B296" s="1"/>
      <c r="C296" s="1"/>
      <c r="D296" s="1"/>
      <c r="E296" s="1"/>
      <c r="F296" s="1"/>
      <c r="G296" s="1"/>
      <c r="H296" s="1"/>
      <c r="I296" s="1"/>
      <c r="J296" s="1"/>
      <c r="K296" s="1"/>
      <c r="L296" s="1"/>
      <c r="M296" s="1"/>
      <c r="N296" s="1"/>
      <c r="O296" s="1"/>
      <c r="P296" s="1"/>
      <c r="Q296" s="1"/>
      <c r="R296" s="1"/>
      <c r="S296" s="1"/>
      <c r="T296" s="1"/>
      <c r="U296" s="2"/>
      <c r="V296" s="1"/>
      <c r="W296" s="1"/>
      <c r="X296" s="1"/>
      <c r="Y296" s="1"/>
      <c r="Z296" s="1"/>
    </row>
    <row r="297" spans="1:26" ht="24.75" customHeight="1">
      <c r="A297" s="1"/>
      <c r="B297" s="1"/>
      <c r="C297" s="1"/>
      <c r="D297" s="1"/>
      <c r="E297" s="1"/>
      <c r="F297" s="1"/>
      <c r="G297" s="1"/>
      <c r="H297" s="1"/>
      <c r="I297" s="1"/>
      <c r="J297" s="1"/>
      <c r="K297" s="1"/>
      <c r="L297" s="1"/>
      <c r="M297" s="1"/>
      <c r="N297" s="1"/>
      <c r="O297" s="1"/>
      <c r="P297" s="1"/>
      <c r="Q297" s="1"/>
      <c r="R297" s="1"/>
      <c r="S297" s="1"/>
      <c r="T297" s="1"/>
      <c r="U297" s="2"/>
      <c r="V297" s="1"/>
      <c r="W297" s="1"/>
      <c r="X297" s="1"/>
      <c r="Y297" s="1"/>
      <c r="Z297" s="1"/>
    </row>
    <row r="298" spans="1:26" ht="24.75" customHeight="1">
      <c r="A298" s="1"/>
      <c r="B298" s="1"/>
      <c r="C298" s="1"/>
      <c r="D298" s="1"/>
      <c r="E298" s="1"/>
      <c r="F298" s="1"/>
      <c r="G298" s="1"/>
      <c r="H298" s="1"/>
      <c r="I298" s="1"/>
      <c r="J298" s="1"/>
      <c r="K298" s="1"/>
      <c r="L298" s="1"/>
      <c r="M298" s="1"/>
      <c r="N298" s="1"/>
      <c r="O298" s="1"/>
      <c r="P298" s="1"/>
      <c r="Q298" s="1"/>
      <c r="R298" s="1"/>
      <c r="S298" s="1"/>
      <c r="T298" s="1"/>
      <c r="U298" s="2"/>
      <c r="V298" s="1"/>
      <c r="W298" s="1"/>
      <c r="X298" s="1"/>
      <c r="Y298" s="1"/>
      <c r="Z298" s="1"/>
    </row>
    <row r="299" spans="1:26" ht="24.75" customHeight="1">
      <c r="A299" s="1"/>
      <c r="B299" s="1"/>
      <c r="C299" s="1"/>
      <c r="D299" s="1"/>
      <c r="E299" s="1"/>
      <c r="F299" s="1"/>
      <c r="G299" s="1"/>
      <c r="H299" s="1"/>
      <c r="I299" s="1"/>
      <c r="J299" s="1"/>
      <c r="K299" s="1"/>
      <c r="L299" s="1"/>
      <c r="M299" s="1"/>
      <c r="N299" s="1"/>
      <c r="O299" s="1"/>
      <c r="P299" s="1"/>
      <c r="Q299" s="1"/>
      <c r="R299" s="1"/>
      <c r="S299" s="1"/>
      <c r="T299" s="1"/>
      <c r="U299" s="2"/>
      <c r="V299" s="1"/>
      <c r="W299" s="1"/>
      <c r="X299" s="1"/>
      <c r="Y299" s="1"/>
      <c r="Z299" s="1"/>
    </row>
    <row r="300" spans="1:26" ht="24.75" customHeight="1">
      <c r="A300" s="1"/>
      <c r="B300" s="1"/>
      <c r="C300" s="1"/>
      <c r="D300" s="1"/>
      <c r="E300" s="1"/>
      <c r="F300" s="1"/>
      <c r="G300" s="1"/>
      <c r="H300" s="1"/>
      <c r="I300" s="1"/>
      <c r="J300" s="1"/>
      <c r="K300" s="1"/>
      <c r="L300" s="1"/>
      <c r="M300" s="1"/>
      <c r="N300" s="1"/>
      <c r="O300" s="1"/>
      <c r="P300" s="1"/>
      <c r="Q300" s="1"/>
      <c r="R300" s="1"/>
      <c r="S300" s="1"/>
      <c r="T300" s="1"/>
      <c r="U300" s="2"/>
      <c r="V300" s="1"/>
      <c r="W300" s="1"/>
      <c r="X300" s="1"/>
      <c r="Y300" s="1"/>
      <c r="Z300" s="1"/>
    </row>
    <row r="301" spans="1:26" ht="24.75" customHeight="1">
      <c r="A301" s="1"/>
      <c r="B301" s="1"/>
      <c r="C301" s="1"/>
      <c r="D301" s="1"/>
      <c r="E301" s="1"/>
      <c r="F301" s="1"/>
      <c r="G301" s="1"/>
      <c r="H301" s="1"/>
      <c r="I301" s="1"/>
      <c r="J301" s="1"/>
      <c r="K301" s="1"/>
      <c r="L301" s="1"/>
      <c r="M301" s="1"/>
      <c r="N301" s="1"/>
      <c r="O301" s="1"/>
      <c r="P301" s="1"/>
      <c r="Q301" s="1"/>
      <c r="R301" s="1"/>
      <c r="S301" s="1"/>
      <c r="T301" s="1"/>
      <c r="U301" s="2"/>
      <c r="V301" s="1"/>
      <c r="W301" s="1"/>
      <c r="X301" s="1"/>
      <c r="Y301" s="1"/>
      <c r="Z301" s="1"/>
    </row>
    <row r="302" spans="1:26" ht="24.75" customHeight="1">
      <c r="A302" s="1"/>
      <c r="B302" s="1"/>
      <c r="C302" s="1"/>
      <c r="D302" s="1"/>
      <c r="E302" s="1"/>
      <c r="F302" s="1"/>
      <c r="G302" s="1"/>
      <c r="H302" s="1"/>
      <c r="I302" s="1"/>
      <c r="J302" s="1"/>
      <c r="K302" s="1"/>
      <c r="L302" s="1"/>
      <c r="M302" s="1"/>
      <c r="N302" s="1"/>
      <c r="O302" s="1"/>
      <c r="P302" s="1"/>
      <c r="Q302" s="1"/>
      <c r="R302" s="1"/>
      <c r="S302" s="1"/>
      <c r="T302" s="1"/>
      <c r="U302" s="2"/>
      <c r="V302" s="1"/>
      <c r="W302" s="1"/>
      <c r="X302" s="1"/>
      <c r="Y302" s="1"/>
      <c r="Z302" s="1"/>
    </row>
    <row r="303" spans="1:26" ht="24.75" customHeight="1">
      <c r="A303" s="1"/>
      <c r="B303" s="1"/>
      <c r="C303" s="1"/>
      <c r="D303" s="1"/>
      <c r="E303" s="1"/>
      <c r="F303" s="1"/>
      <c r="G303" s="1"/>
      <c r="H303" s="1"/>
      <c r="I303" s="1"/>
      <c r="J303" s="1"/>
      <c r="K303" s="1"/>
      <c r="L303" s="1"/>
      <c r="M303" s="1"/>
      <c r="N303" s="1"/>
      <c r="O303" s="1"/>
      <c r="P303" s="1"/>
      <c r="Q303" s="1"/>
      <c r="R303" s="1"/>
      <c r="S303" s="1"/>
      <c r="T303" s="1"/>
      <c r="U303" s="2"/>
      <c r="V303" s="1"/>
      <c r="W303" s="1"/>
      <c r="X303" s="1"/>
      <c r="Y303" s="1"/>
      <c r="Z303" s="1"/>
    </row>
    <row r="304" spans="1:26" ht="24.75" customHeight="1">
      <c r="A304" s="1"/>
      <c r="B304" s="1"/>
      <c r="C304" s="1"/>
      <c r="D304" s="1"/>
      <c r="E304" s="1"/>
      <c r="F304" s="1"/>
      <c r="G304" s="1"/>
      <c r="H304" s="1"/>
      <c r="I304" s="1"/>
      <c r="J304" s="1"/>
      <c r="K304" s="1"/>
      <c r="L304" s="1"/>
      <c r="M304" s="1"/>
      <c r="N304" s="1"/>
      <c r="O304" s="1"/>
      <c r="P304" s="1"/>
      <c r="Q304" s="1"/>
      <c r="R304" s="1"/>
      <c r="S304" s="1"/>
      <c r="T304" s="1"/>
      <c r="U304" s="2"/>
      <c r="V304" s="1"/>
      <c r="W304" s="1"/>
      <c r="X304" s="1"/>
      <c r="Y304" s="1"/>
      <c r="Z304" s="1"/>
    </row>
    <row r="305" spans="1:26" ht="24.75" customHeight="1">
      <c r="A305" s="1"/>
      <c r="B305" s="1"/>
      <c r="C305" s="1"/>
      <c r="D305" s="1"/>
      <c r="E305" s="1"/>
      <c r="F305" s="1"/>
      <c r="G305" s="1"/>
      <c r="H305" s="1"/>
      <c r="I305" s="1"/>
      <c r="J305" s="1"/>
      <c r="K305" s="1"/>
      <c r="L305" s="1"/>
      <c r="M305" s="1"/>
      <c r="N305" s="1"/>
      <c r="O305" s="1"/>
      <c r="P305" s="1"/>
      <c r="Q305" s="1"/>
      <c r="R305" s="1"/>
      <c r="S305" s="1"/>
      <c r="T305" s="1"/>
      <c r="U305" s="2"/>
      <c r="V305" s="1"/>
      <c r="W305" s="1"/>
      <c r="X305" s="1"/>
      <c r="Y305" s="1"/>
      <c r="Z305" s="1"/>
    </row>
    <row r="306" spans="1:26" ht="24.75" customHeight="1">
      <c r="A306" s="1"/>
      <c r="B306" s="1"/>
      <c r="C306" s="1"/>
      <c r="D306" s="1"/>
      <c r="E306" s="1"/>
      <c r="F306" s="1"/>
      <c r="G306" s="1"/>
      <c r="H306" s="1"/>
      <c r="I306" s="1"/>
      <c r="J306" s="1"/>
      <c r="K306" s="1"/>
      <c r="L306" s="1"/>
      <c r="M306" s="1"/>
      <c r="N306" s="1"/>
      <c r="O306" s="1"/>
      <c r="P306" s="1"/>
      <c r="Q306" s="1"/>
      <c r="R306" s="1"/>
      <c r="S306" s="1"/>
      <c r="T306" s="1"/>
      <c r="U306" s="2"/>
      <c r="V306" s="1"/>
      <c r="W306" s="1"/>
      <c r="X306" s="1"/>
      <c r="Y306" s="1"/>
      <c r="Z306" s="1"/>
    </row>
    <row r="307" spans="1:26" ht="24.75" customHeight="1">
      <c r="A307" s="1"/>
      <c r="B307" s="1"/>
      <c r="C307" s="1"/>
      <c r="D307" s="1"/>
      <c r="E307" s="1"/>
      <c r="F307" s="1"/>
      <c r="G307" s="1"/>
      <c r="H307" s="1"/>
      <c r="I307" s="1"/>
      <c r="J307" s="1"/>
      <c r="K307" s="1"/>
      <c r="L307" s="1"/>
      <c r="M307" s="1"/>
      <c r="N307" s="1"/>
      <c r="O307" s="1"/>
      <c r="P307" s="1"/>
      <c r="Q307" s="1"/>
      <c r="R307" s="1"/>
      <c r="S307" s="1"/>
      <c r="T307" s="1"/>
      <c r="U307" s="2"/>
      <c r="V307" s="1"/>
      <c r="W307" s="1"/>
      <c r="X307" s="1"/>
      <c r="Y307" s="1"/>
      <c r="Z307" s="1"/>
    </row>
    <row r="308" spans="1:26" ht="24.75" customHeight="1">
      <c r="A308" s="1"/>
      <c r="B308" s="1"/>
      <c r="C308" s="1"/>
      <c r="D308" s="1"/>
      <c r="E308" s="1"/>
      <c r="F308" s="1"/>
      <c r="G308" s="1"/>
      <c r="H308" s="1"/>
      <c r="I308" s="1"/>
      <c r="J308" s="1"/>
      <c r="K308" s="1"/>
      <c r="L308" s="1"/>
      <c r="M308" s="1"/>
      <c r="N308" s="1"/>
      <c r="O308" s="1"/>
      <c r="P308" s="1"/>
      <c r="Q308" s="1"/>
      <c r="R308" s="1"/>
      <c r="S308" s="1"/>
      <c r="T308" s="1"/>
      <c r="U308" s="2"/>
      <c r="V308" s="1"/>
      <c r="W308" s="1"/>
      <c r="X308" s="1"/>
      <c r="Y308" s="1"/>
      <c r="Z308" s="1"/>
    </row>
    <row r="309" spans="1:26" ht="24.75" customHeight="1">
      <c r="A309" s="1"/>
      <c r="B309" s="1"/>
      <c r="C309" s="1"/>
      <c r="D309" s="1"/>
      <c r="E309" s="1"/>
      <c r="F309" s="1"/>
      <c r="G309" s="1"/>
      <c r="H309" s="1"/>
      <c r="I309" s="1"/>
      <c r="J309" s="1"/>
      <c r="K309" s="1"/>
      <c r="L309" s="1"/>
      <c r="M309" s="1"/>
      <c r="N309" s="1"/>
      <c r="O309" s="1"/>
      <c r="P309" s="1"/>
      <c r="Q309" s="1"/>
      <c r="R309" s="1"/>
      <c r="S309" s="1"/>
      <c r="T309" s="1"/>
      <c r="U309" s="2"/>
      <c r="V309" s="1"/>
      <c r="W309" s="1"/>
      <c r="X309" s="1"/>
      <c r="Y309" s="1"/>
      <c r="Z309" s="1"/>
    </row>
    <row r="310" spans="1:26" ht="24.75" customHeight="1">
      <c r="A310" s="1"/>
      <c r="B310" s="1"/>
      <c r="C310" s="1"/>
      <c r="D310" s="1"/>
      <c r="E310" s="1"/>
      <c r="F310" s="1"/>
      <c r="G310" s="1"/>
      <c r="H310" s="1"/>
      <c r="I310" s="1"/>
      <c r="J310" s="1"/>
      <c r="K310" s="1"/>
      <c r="L310" s="1"/>
      <c r="M310" s="1"/>
      <c r="N310" s="1"/>
      <c r="O310" s="1"/>
      <c r="P310" s="1"/>
      <c r="Q310" s="1"/>
      <c r="R310" s="1"/>
      <c r="S310" s="1"/>
      <c r="T310" s="1"/>
      <c r="U310" s="2"/>
      <c r="V310" s="1"/>
      <c r="W310" s="1"/>
      <c r="X310" s="1"/>
      <c r="Y310" s="1"/>
      <c r="Z310" s="1"/>
    </row>
    <row r="311" spans="1:26" ht="24.75" customHeight="1">
      <c r="A311" s="1"/>
      <c r="B311" s="1"/>
      <c r="C311" s="1"/>
      <c r="D311" s="1"/>
      <c r="E311" s="1"/>
      <c r="F311" s="1"/>
      <c r="G311" s="1"/>
      <c r="H311" s="1"/>
      <c r="I311" s="1"/>
      <c r="J311" s="1"/>
      <c r="K311" s="1"/>
      <c r="L311" s="1"/>
      <c r="M311" s="1"/>
      <c r="N311" s="1"/>
      <c r="O311" s="1"/>
      <c r="P311" s="1"/>
      <c r="Q311" s="1"/>
      <c r="R311" s="1"/>
      <c r="S311" s="1"/>
      <c r="T311" s="1"/>
      <c r="U311" s="2"/>
      <c r="V311" s="1"/>
      <c r="W311" s="1"/>
      <c r="X311" s="1"/>
      <c r="Y311" s="1"/>
      <c r="Z311" s="1"/>
    </row>
    <row r="312" spans="1:26" ht="24.75" customHeight="1">
      <c r="A312" s="1"/>
      <c r="B312" s="1"/>
      <c r="C312" s="1"/>
      <c r="D312" s="1"/>
      <c r="E312" s="1"/>
      <c r="F312" s="1"/>
      <c r="G312" s="1"/>
      <c r="H312" s="1"/>
      <c r="I312" s="1"/>
      <c r="J312" s="1"/>
      <c r="K312" s="1"/>
      <c r="L312" s="1"/>
      <c r="M312" s="1"/>
      <c r="N312" s="1"/>
      <c r="O312" s="1"/>
      <c r="P312" s="1"/>
      <c r="Q312" s="1"/>
      <c r="R312" s="1"/>
      <c r="S312" s="1"/>
      <c r="T312" s="1"/>
      <c r="U312" s="2"/>
      <c r="V312" s="1"/>
      <c r="W312" s="1"/>
      <c r="X312" s="1"/>
      <c r="Y312" s="1"/>
      <c r="Z312" s="1"/>
    </row>
    <row r="313" spans="1:26" ht="24.75" customHeight="1">
      <c r="A313" s="1"/>
      <c r="B313" s="1"/>
      <c r="C313" s="1"/>
      <c r="D313" s="1"/>
      <c r="E313" s="1"/>
      <c r="F313" s="1"/>
      <c r="G313" s="1"/>
      <c r="H313" s="1"/>
      <c r="I313" s="1"/>
      <c r="J313" s="1"/>
      <c r="K313" s="1"/>
      <c r="L313" s="1"/>
      <c r="M313" s="1"/>
      <c r="N313" s="1"/>
      <c r="O313" s="1"/>
      <c r="P313" s="1"/>
      <c r="Q313" s="1"/>
      <c r="R313" s="1"/>
      <c r="S313" s="1"/>
      <c r="T313" s="1"/>
      <c r="U313" s="2"/>
      <c r="V313" s="1"/>
      <c r="W313" s="1"/>
      <c r="X313" s="1"/>
      <c r="Y313" s="1"/>
      <c r="Z313" s="1"/>
    </row>
    <row r="314" spans="1:26" ht="24.75" customHeight="1">
      <c r="A314" s="1"/>
      <c r="B314" s="1"/>
      <c r="C314" s="1"/>
      <c r="D314" s="1"/>
      <c r="E314" s="1"/>
      <c r="F314" s="1"/>
      <c r="G314" s="1"/>
      <c r="H314" s="1"/>
      <c r="I314" s="1"/>
      <c r="J314" s="1"/>
      <c r="K314" s="1"/>
      <c r="L314" s="1"/>
      <c r="M314" s="1"/>
      <c r="N314" s="1"/>
      <c r="O314" s="1"/>
      <c r="P314" s="1"/>
      <c r="Q314" s="1"/>
      <c r="R314" s="1"/>
      <c r="S314" s="1"/>
      <c r="T314" s="1"/>
      <c r="U314" s="2"/>
      <c r="V314" s="1"/>
      <c r="W314" s="1"/>
      <c r="X314" s="1"/>
      <c r="Y314" s="1"/>
      <c r="Z314" s="1"/>
    </row>
    <row r="315" spans="1:26" ht="24.75" customHeight="1">
      <c r="A315" s="1"/>
      <c r="B315" s="1"/>
      <c r="C315" s="1"/>
      <c r="D315" s="1"/>
      <c r="E315" s="1"/>
      <c r="F315" s="1"/>
      <c r="G315" s="1"/>
      <c r="H315" s="1"/>
      <c r="I315" s="1"/>
      <c r="J315" s="1"/>
      <c r="K315" s="1"/>
      <c r="L315" s="1"/>
      <c r="M315" s="1"/>
      <c r="N315" s="1"/>
      <c r="O315" s="1"/>
      <c r="P315" s="1"/>
      <c r="Q315" s="1"/>
      <c r="R315" s="1"/>
      <c r="S315" s="1"/>
      <c r="T315" s="1"/>
      <c r="U315" s="2"/>
      <c r="V315" s="1"/>
      <c r="W315" s="1"/>
      <c r="X315" s="1"/>
      <c r="Y315" s="1"/>
      <c r="Z315" s="1"/>
    </row>
    <row r="316" spans="1:26" ht="24.75" customHeight="1">
      <c r="A316" s="1"/>
      <c r="B316" s="1"/>
      <c r="C316" s="1"/>
      <c r="D316" s="1"/>
      <c r="E316" s="1"/>
      <c r="F316" s="1"/>
      <c r="G316" s="1"/>
      <c r="H316" s="1"/>
      <c r="I316" s="1"/>
      <c r="J316" s="1"/>
      <c r="K316" s="1"/>
      <c r="L316" s="1"/>
      <c r="M316" s="1"/>
      <c r="N316" s="1"/>
      <c r="O316" s="1"/>
      <c r="P316" s="1"/>
      <c r="Q316" s="1"/>
      <c r="R316" s="1"/>
      <c r="S316" s="1"/>
      <c r="T316" s="1"/>
      <c r="U316" s="2"/>
      <c r="V316" s="1"/>
      <c r="W316" s="1"/>
      <c r="X316" s="1"/>
      <c r="Y316" s="1"/>
      <c r="Z316" s="1"/>
    </row>
    <row r="317" spans="1:26" ht="24.75" customHeight="1">
      <c r="A317" s="1"/>
      <c r="B317" s="1"/>
      <c r="C317" s="1"/>
      <c r="D317" s="1"/>
      <c r="E317" s="1"/>
      <c r="F317" s="1"/>
      <c r="G317" s="1"/>
      <c r="H317" s="1"/>
      <c r="I317" s="1"/>
      <c r="J317" s="1"/>
      <c r="K317" s="1"/>
      <c r="L317" s="1"/>
      <c r="M317" s="1"/>
      <c r="N317" s="1"/>
      <c r="O317" s="1"/>
      <c r="P317" s="1"/>
      <c r="Q317" s="1"/>
      <c r="R317" s="1"/>
      <c r="S317" s="1"/>
      <c r="T317" s="1"/>
      <c r="U317" s="2"/>
      <c r="V317" s="1"/>
      <c r="W317" s="1"/>
      <c r="X317" s="1"/>
      <c r="Y317" s="1"/>
      <c r="Z317" s="1"/>
    </row>
    <row r="318" spans="1:26" ht="24.75" customHeight="1">
      <c r="A318" s="1"/>
      <c r="B318" s="1"/>
      <c r="C318" s="1"/>
      <c r="D318" s="1"/>
      <c r="E318" s="1"/>
      <c r="F318" s="1"/>
      <c r="G318" s="1"/>
      <c r="H318" s="1"/>
      <c r="I318" s="1"/>
      <c r="J318" s="1"/>
      <c r="K318" s="1"/>
      <c r="L318" s="1"/>
      <c r="M318" s="1"/>
      <c r="N318" s="1"/>
      <c r="O318" s="1"/>
      <c r="P318" s="1"/>
      <c r="Q318" s="1"/>
      <c r="R318" s="1"/>
      <c r="S318" s="1"/>
      <c r="T318" s="1"/>
      <c r="U318" s="2"/>
      <c r="V318" s="1"/>
      <c r="W318" s="1"/>
      <c r="X318" s="1"/>
      <c r="Y318" s="1"/>
      <c r="Z318" s="1"/>
    </row>
    <row r="319" spans="1:26" ht="24.75" customHeight="1">
      <c r="A319" s="1"/>
      <c r="B319" s="1"/>
      <c r="C319" s="1"/>
      <c r="D319" s="1"/>
      <c r="E319" s="1"/>
      <c r="F319" s="1"/>
      <c r="G319" s="1"/>
      <c r="H319" s="1"/>
      <c r="I319" s="1"/>
      <c r="J319" s="1"/>
      <c r="K319" s="1"/>
      <c r="L319" s="1"/>
      <c r="M319" s="1"/>
      <c r="N319" s="1"/>
      <c r="O319" s="1"/>
      <c r="P319" s="1"/>
      <c r="Q319" s="1"/>
      <c r="R319" s="1"/>
      <c r="S319" s="1"/>
      <c r="T319" s="1"/>
      <c r="U319" s="2"/>
      <c r="V319" s="1"/>
      <c r="W319" s="1"/>
      <c r="X319" s="1"/>
      <c r="Y319" s="1"/>
      <c r="Z319" s="1"/>
    </row>
    <row r="320" spans="1:26" ht="24.75" customHeight="1">
      <c r="A320" s="1"/>
      <c r="B320" s="1"/>
      <c r="C320" s="1"/>
      <c r="D320" s="1"/>
      <c r="E320" s="1"/>
      <c r="F320" s="1"/>
      <c r="G320" s="1"/>
      <c r="H320" s="1"/>
      <c r="I320" s="1"/>
      <c r="J320" s="1"/>
      <c r="K320" s="1"/>
      <c r="L320" s="1"/>
      <c r="M320" s="1"/>
      <c r="N320" s="1"/>
      <c r="O320" s="1"/>
      <c r="P320" s="1"/>
      <c r="Q320" s="1"/>
      <c r="R320" s="1"/>
      <c r="S320" s="1"/>
      <c r="T320" s="1"/>
      <c r="U320" s="2"/>
      <c r="V320" s="1"/>
      <c r="W320" s="1"/>
      <c r="X320" s="1"/>
      <c r="Y320" s="1"/>
      <c r="Z320" s="1"/>
    </row>
    <row r="321" spans="1:26" ht="24.75" customHeight="1">
      <c r="A321" s="1"/>
      <c r="B321" s="1"/>
      <c r="C321" s="1"/>
      <c r="D321" s="1"/>
      <c r="E321" s="1"/>
      <c r="F321" s="1"/>
      <c r="G321" s="1"/>
      <c r="H321" s="1"/>
      <c r="I321" s="1"/>
      <c r="J321" s="1"/>
      <c r="K321" s="1"/>
      <c r="L321" s="1"/>
      <c r="M321" s="1"/>
      <c r="N321" s="1"/>
      <c r="O321" s="1"/>
      <c r="P321" s="1"/>
      <c r="Q321" s="1"/>
      <c r="R321" s="1"/>
      <c r="S321" s="1"/>
      <c r="T321" s="1"/>
      <c r="U321" s="2"/>
      <c r="V321" s="1"/>
      <c r="W321" s="1"/>
      <c r="X321" s="1"/>
      <c r="Y321" s="1"/>
      <c r="Z321" s="1"/>
    </row>
    <row r="322" spans="1:26" ht="24.75" customHeight="1">
      <c r="A322" s="1"/>
      <c r="B322" s="1"/>
      <c r="C322" s="1"/>
      <c r="D322" s="1"/>
      <c r="E322" s="1"/>
      <c r="F322" s="1"/>
      <c r="G322" s="1"/>
      <c r="H322" s="1"/>
      <c r="I322" s="1"/>
      <c r="J322" s="1"/>
      <c r="K322" s="1"/>
      <c r="L322" s="1"/>
      <c r="M322" s="1"/>
      <c r="N322" s="1"/>
      <c r="O322" s="1"/>
      <c r="P322" s="1"/>
      <c r="Q322" s="1"/>
      <c r="R322" s="1"/>
      <c r="S322" s="1"/>
      <c r="T322" s="1"/>
      <c r="U322" s="2"/>
      <c r="V322" s="1"/>
      <c r="W322" s="1"/>
      <c r="X322" s="1"/>
      <c r="Y322" s="1"/>
      <c r="Z322" s="1"/>
    </row>
    <row r="323" spans="1:26" ht="24.75" customHeight="1">
      <c r="A323" s="1"/>
      <c r="B323" s="1"/>
      <c r="C323" s="1"/>
      <c r="D323" s="1"/>
      <c r="E323" s="1"/>
      <c r="F323" s="1"/>
      <c r="G323" s="1"/>
      <c r="H323" s="1"/>
      <c r="I323" s="1"/>
      <c r="J323" s="1"/>
      <c r="K323" s="1"/>
      <c r="L323" s="1"/>
      <c r="M323" s="1"/>
      <c r="N323" s="1"/>
      <c r="O323" s="1"/>
      <c r="P323" s="1"/>
      <c r="Q323" s="1"/>
      <c r="R323" s="1"/>
      <c r="S323" s="1"/>
      <c r="T323" s="1"/>
      <c r="U323" s="2"/>
      <c r="V323" s="1"/>
      <c r="W323" s="1"/>
      <c r="X323" s="1"/>
      <c r="Y323" s="1"/>
      <c r="Z323" s="1"/>
    </row>
    <row r="324" spans="1:26" ht="24.75" customHeight="1">
      <c r="A324" s="1"/>
      <c r="B324" s="1"/>
      <c r="C324" s="1"/>
      <c r="D324" s="1"/>
      <c r="E324" s="1"/>
      <c r="F324" s="1"/>
      <c r="G324" s="1"/>
      <c r="H324" s="1"/>
      <c r="I324" s="1"/>
      <c r="J324" s="1"/>
      <c r="K324" s="1"/>
      <c r="L324" s="1"/>
      <c r="M324" s="1"/>
      <c r="N324" s="1"/>
      <c r="O324" s="1"/>
      <c r="P324" s="1"/>
      <c r="Q324" s="1"/>
      <c r="R324" s="1"/>
      <c r="S324" s="1"/>
      <c r="T324" s="1"/>
      <c r="U324" s="2"/>
      <c r="V324" s="1"/>
      <c r="W324" s="1"/>
      <c r="X324" s="1"/>
      <c r="Y324" s="1"/>
      <c r="Z324" s="1"/>
    </row>
    <row r="325" spans="1:26" ht="24.75" customHeight="1">
      <c r="A325" s="1"/>
      <c r="B325" s="1"/>
      <c r="C325" s="1"/>
      <c r="D325" s="1"/>
      <c r="E325" s="1"/>
      <c r="F325" s="1"/>
      <c r="G325" s="1"/>
      <c r="H325" s="1"/>
      <c r="I325" s="1"/>
      <c r="J325" s="1"/>
      <c r="K325" s="1"/>
      <c r="L325" s="1"/>
      <c r="M325" s="1"/>
      <c r="N325" s="1"/>
      <c r="O325" s="1"/>
      <c r="P325" s="1"/>
      <c r="Q325" s="1"/>
      <c r="R325" s="1"/>
      <c r="S325" s="1"/>
      <c r="T325" s="1"/>
      <c r="U325" s="2"/>
      <c r="V325" s="1"/>
      <c r="W325" s="1"/>
      <c r="X325" s="1"/>
      <c r="Y325" s="1"/>
      <c r="Z325" s="1"/>
    </row>
    <row r="326" spans="1:26" ht="24.75" customHeight="1">
      <c r="A326" s="1"/>
      <c r="B326" s="1"/>
      <c r="C326" s="1"/>
      <c r="D326" s="1"/>
      <c r="E326" s="1"/>
      <c r="F326" s="1"/>
      <c r="G326" s="1"/>
      <c r="H326" s="1"/>
      <c r="I326" s="1"/>
      <c r="J326" s="1"/>
      <c r="K326" s="1"/>
      <c r="L326" s="1"/>
      <c r="M326" s="1"/>
      <c r="N326" s="1"/>
      <c r="O326" s="1"/>
      <c r="P326" s="1"/>
      <c r="Q326" s="1"/>
      <c r="R326" s="1"/>
      <c r="S326" s="1"/>
      <c r="T326" s="1"/>
      <c r="U326" s="2"/>
      <c r="V326" s="1"/>
      <c r="W326" s="1"/>
      <c r="X326" s="1"/>
      <c r="Y326" s="1"/>
      <c r="Z326" s="1"/>
    </row>
    <row r="327" spans="1:26" ht="24.75" customHeight="1">
      <c r="A327" s="1"/>
      <c r="B327" s="1"/>
      <c r="C327" s="1"/>
      <c r="D327" s="1"/>
      <c r="E327" s="1"/>
      <c r="F327" s="1"/>
      <c r="G327" s="1"/>
      <c r="H327" s="1"/>
      <c r="I327" s="1"/>
      <c r="J327" s="1"/>
      <c r="K327" s="1"/>
      <c r="L327" s="1"/>
      <c r="M327" s="1"/>
      <c r="N327" s="1"/>
      <c r="O327" s="1"/>
      <c r="P327" s="1"/>
      <c r="Q327" s="1"/>
      <c r="R327" s="1"/>
      <c r="S327" s="1"/>
      <c r="T327" s="1"/>
      <c r="U327" s="2"/>
      <c r="V327" s="1"/>
      <c r="W327" s="1"/>
      <c r="X327" s="1"/>
      <c r="Y327" s="1"/>
      <c r="Z327" s="1"/>
    </row>
    <row r="328" spans="1:26" ht="24.75" customHeight="1">
      <c r="A328" s="1"/>
      <c r="B328" s="1"/>
      <c r="C328" s="1"/>
      <c r="D328" s="1"/>
      <c r="E328" s="1"/>
      <c r="F328" s="1"/>
      <c r="G328" s="1"/>
      <c r="H328" s="1"/>
      <c r="I328" s="1"/>
      <c r="J328" s="1"/>
      <c r="K328" s="1"/>
      <c r="L328" s="1"/>
      <c r="M328" s="1"/>
      <c r="N328" s="1"/>
      <c r="O328" s="1"/>
      <c r="P328" s="1"/>
      <c r="Q328" s="1"/>
      <c r="R328" s="1"/>
      <c r="S328" s="1"/>
      <c r="T328" s="1"/>
      <c r="U328" s="2"/>
      <c r="V328" s="1"/>
      <c r="W328" s="1"/>
      <c r="X328" s="1"/>
      <c r="Y328" s="1"/>
      <c r="Z328" s="1"/>
    </row>
    <row r="329" spans="1:26" ht="24.75" customHeight="1">
      <c r="A329" s="1"/>
      <c r="B329" s="1"/>
      <c r="C329" s="1"/>
      <c r="D329" s="1"/>
      <c r="E329" s="1"/>
      <c r="F329" s="1"/>
      <c r="G329" s="1"/>
      <c r="H329" s="1"/>
      <c r="I329" s="1"/>
      <c r="J329" s="1"/>
      <c r="K329" s="1"/>
      <c r="L329" s="1"/>
      <c r="M329" s="1"/>
      <c r="N329" s="1"/>
      <c r="O329" s="1"/>
      <c r="P329" s="1"/>
      <c r="Q329" s="1"/>
      <c r="R329" s="1"/>
      <c r="S329" s="1"/>
      <c r="T329" s="1"/>
      <c r="U329" s="2"/>
      <c r="V329" s="1"/>
      <c r="W329" s="1"/>
      <c r="X329" s="1"/>
      <c r="Y329" s="1"/>
      <c r="Z329" s="1"/>
    </row>
    <row r="330" spans="1:26" ht="24.75" customHeight="1">
      <c r="A330" s="1"/>
      <c r="B330" s="1"/>
      <c r="C330" s="1"/>
      <c r="D330" s="1"/>
      <c r="E330" s="1"/>
      <c r="F330" s="1"/>
      <c r="G330" s="1"/>
      <c r="H330" s="1"/>
      <c r="I330" s="1"/>
      <c r="J330" s="1"/>
      <c r="K330" s="1"/>
      <c r="L330" s="1"/>
      <c r="M330" s="1"/>
      <c r="N330" s="1"/>
      <c r="O330" s="1"/>
      <c r="P330" s="1"/>
      <c r="Q330" s="1"/>
      <c r="R330" s="1"/>
      <c r="S330" s="1"/>
      <c r="T330" s="1"/>
      <c r="U330" s="2"/>
      <c r="V330" s="1"/>
      <c r="W330" s="1"/>
      <c r="X330" s="1"/>
      <c r="Y330" s="1"/>
      <c r="Z330" s="1"/>
    </row>
    <row r="331" spans="1:26" ht="24.75" customHeight="1">
      <c r="A331" s="1"/>
      <c r="B331" s="1"/>
      <c r="C331" s="1"/>
      <c r="D331" s="1"/>
      <c r="E331" s="1"/>
      <c r="F331" s="1"/>
      <c r="G331" s="1"/>
      <c r="H331" s="1"/>
      <c r="I331" s="1"/>
      <c r="J331" s="1"/>
      <c r="K331" s="1"/>
      <c r="L331" s="1"/>
      <c r="M331" s="1"/>
      <c r="N331" s="1"/>
      <c r="O331" s="1"/>
      <c r="P331" s="1"/>
      <c r="Q331" s="1"/>
      <c r="R331" s="1"/>
      <c r="S331" s="1"/>
      <c r="T331" s="1"/>
      <c r="U331" s="2"/>
      <c r="V331" s="1"/>
      <c r="W331" s="1"/>
      <c r="X331" s="1"/>
      <c r="Y331" s="1"/>
      <c r="Z331" s="1"/>
    </row>
    <row r="332" spans="1:26" ht="24.75" customHeight="1">
      <c r="A332" s="1"/>
      <c r="B332" s="1"/>
      <c r="C332" s="1"/>
      <c r="D332" s="1"/>
      <c r="E332" s="1"/>
      <c r="F332" s="1"/>
      <c r="G332" s="1"/>
      <c r="H332" s="1"/>
      <c r="I332" s="1"/>
      <c r="J332" s="1"/>
      <c r="K332" s="1"/>
      <c r="L332" s="1"/>
      <c r="M332" s="1"/>
      <c r="N332" s="1"/>
      <c r="O332" s="1"/>
      <c r="P332" s="1"/>
      <c r="Q332" s="1"/>
      <c r="R332" s="1"/>
      <c r="S332" s="1"/>
      <c r="T332" s="1"/>
      <c r="U332" s="2"/>
      <c r="V332" s="1"/>
      <c r="W332" s="1"/>
      <c r="X332" s="1"/>
      <c r="Y332" s="1"/>
      <c r="Z332" s="1"/>
    </row>
    <row r="333" spans="1:26" ht="24.75" customHeight="1">
      <c r="A333" s="1"/>
      <c r="B333" s="1"/>
      <c r="C333" s="1"/>
      <c r="D333" s="1"/>
      <c r="E333" s="1"/>
      <c r="F333" s="1"/>
      <c r="G333" s="1"/>
      <c r="H333" s="1"/>
      <c r="I333" s="1"/>
      <c r="J333" s="1"/>
      <c r="K333" s="1"/>
      <c r="L333" s="1"/>
      <c r="M333" s="1"/>
      <c r="N333" s="1"/>
      <c r="O333" s="1"/>
      <c r="P333" s="1"/>
      <c r="Q333" s="1"/>
      <c r="R333" s="1"/>
      <c r="S333" s="1"/>
      <c r="T333" s="1"/>
      <c r="U333" s="2"/>
      <c r="V333" s="1"/>
      <c r="W333" s="1"/>
      <c r="X333" s="1"/>
      <c r="Y333" s="1"/>
      <c r="Z333" s="1"/>
    </row>
    <row r="334" spans="1:26" ht="24.75" customHeight="1">
      <c r="A334" s="1"/>
      <c r="B334" s="1"/>
      <c r="C334" s="1"/>
      <c r="D334" s="1"/>
      <c r="E334" s="1"/>
      <c r="F334" s="1"/>
      <c r="G334" s="1"/>
      <c r="H334" s="1"/>
      <c r="I334" s="1"/>
      <c r="J334" s="1"/>
      <c r="K334" s="1"/>
      <c r="L334" s="1"/>
      <c r="M334" s="1"/>
      <c r="N334" s="1"/>
      <c r="O334" s="1"/>
      <c r="P334" s="1"/>
      <c r="Q334" s="1"/>
      <c r="R334" s="1"/>
      <c r="S334" s="1"/>
      <c r="T334" s="1"/>
      <c r="U334" s="2"/>
      <c r="V334" s="1"/>
      <c r="W334" s="1"/>
      <c r="X334" s="1"/>
      <c r="Y334" s="1"/>
      <c r="Z334" s="1"/>
    </row>
    <row r="335" spans="1:26" ht="24.75" customHeight="1">
      <c r="A335" s="1"/>
      <c r="B335" s="1"/>
      <c r="C335" s="1"/>
      <c r="D335" s="1"/>
      <c r="E335" s="1"/>
      <c r="F335" s="1"/>
      <c r="G335" s="1"/>
      <c r="H335" s="1"/>
      <c r="I335" s="1"/>
      <c r="J335" s="1"/>
      <c r="K335" s="1"/>
      <c r="L335" s="1"/>
      <c r="M335" s="1"/>
      <c r="N335" s="1"/>
      <c r="O335" s="1"/>
      <c r="P335" s="1"/>
      <c r="Q335" s="1"/>
      <c r="R335" s="1"/>
      <c r="S335" s="1"/>
      <c r="T335" s="1"/>
      <c r="U335" s="2"/>
      <c r="V335" s="1"/>
      <c r="W335" s="1"/>
      <c r="X335" s="1"/>
      <c r="Y335" s="1"/>
      <c r="Z335" s="1"/>
    </row>
    <row r="336" spans="1:26" ht="24.75" customHeight="1">
      <c r="A336" s="1"/>
      <c r="B336" s="1"/>
      <c r="C336" s="1"/>
      <c r="D336" s="1"/>
      <c r="E336" s="1"/>
      <c r="F336" s="1"/>
      <c r="G336" s="1"/>
      <c r="H336" s="1"/>
      <c r="I336" s="1"/>
      <c r="J336" s="1"/>
      <c r="K336" s="1"/>
      <c r="L336" s="1"/>
      <c r="M336" s="1"/>
      <c r="N336" s="1"/>
      <c r="O336" s="1"/>
      <c r="P336" s="1"/>
      <c r="Q336" s="1"/>
      <c r="R336" s="1"/>
      <c r="S336" s="1"/>
      <c r="T336" s="1"/>
      <c r="U336" s="2"/>
      <c r="V336" s="1"/>
      <c r="W336" s="1"/>
      <c r="X336" s="1"/>
      <c r="Y336" s="1"/>
      <c r="Z336" s="1"/>
    </row>
    <row r="337" spans="1:26" ht="24.75" customHeight="1">
      <c r="A337" s="1"/>
      <c r="B337" s="1"/>
      <c r="C337" s="1"/>
      <c r="D337" s="1"/>
      <c r="E337" s="1"/>
      <c r="F337" s="1"/>
      <c r="G337" s="1"/>
      <c r="H337" s="1"/>
      <c r="I337" s="1"/>
      <c r="J337" s="1"/>
      <c r="K337" s="1"/>
      <c r="L337" s="1"/>
      <c r="M337" s="1"/>
      <c r="N337" s="1"/>
      <c r="O337" s="1"/>
      <c r="P337" s="1"/>
      <c r="Q337" s="1"/>
      <c r="R337" s="1"/>
      <c r="S337" s="1"/>
      <c r="T337" s="1"/>
      <c r="U337" s="2"/>
      <c r="V337" s="1"/>
      <c r="W337" s="1"/>
      <c r="X337" s="1"/>
      <c r="Y337" s="1"/>
      <c r="Z337" s="1"/>
    </row>
    <row r="338" spans="1:26" ht="24.75" customHeight="1">
      <c r="A338" s="1"/>
      <c r="B338" s="1"/>
      <c r="C338" s="1"/>
      <c r="D338" s="1"/>
      <c r="E338" s="1"/>
      <c r="F338" s="1"/>
      <c r="G338" s="1"/>
      <c r="H338" s="1"/>
      <c r="I338" s="1"/>
      <c r="J338" s="1"/>
      <c r="K338" s="1"/>
      <c r="L338" s="1"/>
      <c r="M338" s="1"/>
      <c r="N338" s="1"/>
      <c r="O338" s="1"/>
      <c r="P338" s="1"/>
      <c r="Q338" s="1"/>
      <c r="R338" s="1"/>
      <c r="S338" s="1"/>
      <c r="T338" s="1"/>
      <c r="U338" s="2"/>
      <c r="V338" s="1"/>
      <c r="W338" s="1"/>
      <c r="X338" s="1"/>
      <c r="Y338" s="1"/>
      <c r="Z338" s="1"/>
    </row>
    <row r="339" spans="1:26" ht="24.75" customHeight="1">
      <c r="A339" s="1"/>
      <c r="B339" s="1"/>
      <c r="C339" s="1"/>
      <c r="D339" s="1"/>
      <c r="E339" s="1"/>
      <c r="F339" s="1"/>
      <c r="G339" s="1"/>
      <c r="H339" s="1"/>
      <c r="I339" s="1"/>
      <c r="J339" s="1"/>
      <c r="K339" s="1"/>
      <c r="L339" s="1"/>
      <c r="M339" s="1"/>
      <c r="N339" s="1"/>
      <c r="O339" s="1"/>
      <c r="P339" s="1"/>
      <c r="Q339" s="1"/>
      <c r="R339" s="1"/>
      <c r="S339" s="1"/>
      <c r="T339" s="1"/>
      <c r="U339" s="2"/>
      <c r="V339" s="1"/>
      <c r="W339" s="1"/>
      <c r="X339" s="1"/>
      <c r="Y339" s="1"/>
      <c r="Z339" s="1"/>
    </row>
    <row r="340" spans="1:26" ht="24.75" customHeight="1">
      <c r="A340" s="1"/>
      <c r="B340" s="1"/>
      <c r="C340" s="1"/>
      <c r="D340" s="1"/>
      <c r="E340" s="1"/>
      <c r="F340" s="1"/>
      <c r="G340" s="1"/>
      <c r="H340" s="1"/>
      <c r="I340" s="1"/>
      <c r="J340" s="1"/>
      <c r="K340" s="1"/>
      <c r="L340" s="1"/>
      <c r="M340" s="1"/>
      <c r="N340" s="1"/>
      <c r="O340" s="1"/>
      <c r="P340" s="1"/>
      <c r="Q340" s="1"/>
      <c r="R340" s="1"/>
      <c r="S340" s="1"/>
      <c r="T340" s="1"/>
      <c r="U340" s="2"/>
      <c r="V340" s="1"/>
      <c r="W340" s="1"/>
      <c r="X340" s="1"/>
      <c r="Y340" s="1"/>
      <c r="Z340" s="1"/>
    </row>
    <row r="341" spans="1:26" ht="24.75" customHeight="1">
      <c r="A341" s="1"/>
      <c r="B341" s="1"/>
      <c r="C341" s="1"/>
      <c r="D341" s="1"/>
      <c r="E341" s="1"/>
      <c r="F341" s="1"/>
      <c r="G341" s="1"/>
      <c r="H341" s="1"/>
      <c r="I341" s="1"/>
      <c r="J341" s="1"/>
      <c r="K341" s="1"/>
      <c r="L341" s="1"/>
      <c r="M341" s="1"/>
      <c r="N341" s="1"/>
      <c r="O341" s="1"/>
      <c r="P341" s="1"/>
      <c r="Q341" s="1"/>
      <c r="R341" s="1"/>
      <c r="S341" s="1"/>
      <c r="T341" s="1"/>
      <c r="U341" s="2"/>
      <c r="V341" s="1"/>
      <c r="W341" s="1"/>
      <c r="X341" s="1"/>
      <c r="Y341" s="1"/>
      <c r="Z341" s="1"/>
    </row>
    <row r="342" spans="1:26" ht="24.75" customHeight="1">
      <c r="A342" s="1"/>
      <c r="B342" s="1"/>
      <c r="C342" s="1"/>
      <c r="D342" s="1"/>
      <c r="E342" s="1"/>
      <c r="F342" s="1"/>
      <c r="G342" s="1"/>
      <c r="H342" s="1"/>
      <c r="I342" s="1"/>
      <c r="J342" s="1"/>
      <c r="K342" s="1"/>
      <c r="L342" s="1"/>
      <c r="M342" s="1"/>
      <c r="N342" s="1"/>
      <c r="O342" s="1"/>
      <c r="P342" s="1"/>
      <c r="Q342" s="1"/>
      <c r="R342" s="1"/>
      <c r="S342" s="1"/>
      <c r="T342" s="1"/>
      <c r="U342" s="2"/>
      <c r="V342" s="1"/>
      <c r="W342" s="1"/>
      <c r="X342" s="1"/>
      <c r="Y342" s="1"/>
      <c r="Z342" s="1"/>
    </row>
    <row r="343" spans="1:26" ht="24.75" customHeight="1">
      <c r="A343" s="1"/>
      <c r="B343" s="1"/>
      <c r="C343" s="1"/>
      <c r="D343" s="1"/>
      <c r="E343" s="1"/>
      <c r="F343" s="1"/>
      <c r="G343" s="1"/>
      <c r="H343" s="1"/>
      <c r="I343" s="1"/>
      <c r="J343" s="1"/>
      <c r="K343" s="1"/>
      <c r="L343" s="1"/>
      <c r="M343" s="1"/>
      <c r="N343" s="1"/>
      <c r="O343" s="1"/>
      <c r="P343" s="1"/>
      <c r="Q343" s="1"/>
      <c r="R343" s="1"/>
      <c r="S343" s="1"/>
      <c r="T343" s="1"/>
      <c r="U343" s="2"/>
      <c r="V343" s="1"/>
      <c r="W343" s="1"/>
      <c r="X343" s="1"/>
      <c r="Y343" s="1"/>
      <c r="Z343" s="1"/>
    </row>
    <row r="344" spans="1:26" ht="24.75" customHeight="1">
      <c r="A344" s="1"/>
      <c r="B344" s="1"/>
      <c r="C344" s="1"/>
      <c r="D344" s="1"/>
      <c r="E344" s="1"/>
      <c r="F344" s="1"/>
      <c r="G344" s="1"/>
      <c r="H344" s="1"/>
      <c r="I344" s="1"/>
      <c r="J344" s="1"/>
      <c r="K344" s="1"/>
      <c r="L344" s="1"/>
      <c r="M344" s="1"/>
      <c r="N344" s="1"/>
      <c r="O344" s="1"/>
      <c r="P344" s="1"/>
      <c r="Q344" s="1"/>
      <c r="R344" s="1"/>
      <c r="S344" s="1"/>
      <c r="T344" s="1"/>
      <c r="U344" s="2"/>
      <c r="V344" s="1"/>
      <c r="W344" s="1"/>
      <c r="X344" s="1"/>
      <c r="Y344" s="1"/>
      <c r="Z344" s="1"/>
    </row>
    <row r="345" spans="1:26" ht="24.75" customHeight="1">
      <c r="A345" s="1"/>
      <c r="B345" s="1"/>
      <c r="C345" s="1"/>
      <c r="D345" s="1"/>
      <c r="E345" s="1"/>
      <c r="F345" s="1"/>
      <c r="G345" s="1"/>
      <c r="H345" s="1"/>
      <c r="I345" s="1"/>
      <c r="J345" s="1"/>
      <c r="K345" s="1"/>
      <c r="L345" s="1"/>
      <c r="M345" s="1"/>
      <c r="N345" s="1"/>
      <c r="O345" s="1"/>
      <c r="P345" s="1"/>
      <c r="Q345" s="1"/>
      <c r="R345" s="1"/>
      <c r="S345" s="1"/>
      <c r="T345" s="1"/>
      <c r="U345" s="2"/>
      <c r="V345" s="1"/>
      <c r="W345" s="1"/>
      <c r="X345" s="1"/>
      <c r="Y345" s="1"/>
      <c r="Z345" s="1"/>
    </row>
    <row r="346" spans="1:26" ht="24.75" customHeight="1">
      <c r="A346" s="1"/>
      <c r="B346" s="1"/>
      <c r="C346" s="1"/>
      <c r="D346" s="1"/>
      <c r="E346" s="1"/>
      <c r="F346" s="1"/>
      <c r="G346" s="1"/>
      <c r="H346" s="1"/>
      <c r="I346" s="1"/>
      <c r="J346" s="1"/>
      <c r="K346" s="1"/>
      <c r="L346" s="1"/>
      <c r="M346" s="1"/>
      <c r="N346" s="1"/>
      <c r="O346" s="1"/>
      <c r="P346" s="1"/>
      <c r="Q346" s="1"/>
      <c r="R346" s="1"/>
      <c r="S346" s="1"/>
      <c r="T346" s="1"/>
      <c r="U346" s="2"/>
      <c r="V346" s="1"/>
      <c r="W346" s="1"/>
      <c r="X346" s="1"/>
      <c r="Y346" s="1"/>
      <c r="Z346" s="1"/>
    </row>
    <row r="347" spans="1:26" ht="24.75" customHeight="1">
      <c r="A347" s="1"/>
      <c r="B347" s="1"/>
      <c r="C347" s="1"/>
      <c r="D347" s="1"/>
      <c r="E347" s="1"/>
      <c r="F347" s="1"/>
      <c r="G347" s="1"/>
      <c r="H347" s="1"/>
      <c r="I347" s="1"/>
      <c r="J347" s="1"/>
      <c r="K347" s="1"/>
      <c r="L347" s="1"/>
      <c r="M347" s="1"/>
      <c r="N347" s="1"/>
      <c r="O347" s="1"/>
      <c r="P347" s="1"/>
      <c r="Q347" s="1"/>
      <c r="R347" s="1"/>
      <c r="S347" s="1"/>
      <c r="T347" s="1"/>
      <c r="U347" s="2"/>
      <c r="V347" s="1"/>
      <c r="W347" s="1"/>
      <c r="X347" s="1"/>
      <c r="Y347" s="1"/>
      <c r="Z347" s="1"/>
    </row>
    <row r="348" spans="1:26" ht="24.75" customHeight="1">
      <c r="A348" s="1"/>
      <c r="B348" s="1"/>
      <c r="C348" s="1"/>
      <c r="D348" s="1"/>
      <c r="E348" s="1"/>
      <c r="F348" s="1"/>
      <c r="G348" s="1"/>
      <c r="H348" s="1"/>
      <c r="I348" s="1"/>
      <c r="J348" s="1"/>
      <c r="K348" s="1"/>
      <c r="L348" s="1"/>
      <c r="M348" s="1"/>
      <c r="N348" s="1"/>
      <c r="O348" s="1"/>
      <c r="P348" s="1"/>
      <c r="Q348" s="1"/>
      <c r="R348" s="1"/>
      <c r="S348" s="1"/>
      <c r="T348" s="1"/>
      <c r="U348" s="2"/>
      <c r="V348" s="1"/>
      <c r="W348" s="1"/>
      <c r="X348" s="1"/>
      <c r="Y348" s="1"/>
      <c r="Z348" s="1"/>
    </row>
    <row r="349" spans="1:26" ht="24.75" customHeight="1">
      <c r="A349" s="1"/>
      <c r="B349" s="1"/>
      <c r="C349" s="1"/>
      <c r="D349" s="1"/>
      <c r="E349" s="1"/>
      <c r="F349" s="1"/>
      <c r="G349" s="1"/>
      <c r="H349" s="1"/>
      <c r="I349" s="1"/>
      <c r="J349" s="1"/>
      <c r="K349" s="1"/>
      <c r="L349" s="1"/>
      <c r="M349" s="1"/>
      <c r="N349" s="1"/>
      <c r="O349" s="1"/>
      <c r="P349" s="1"/>
      <c r="Q349" s="1"/>
      <c r="R349" s="1"/>
      <c r="S349" s="1"/>
      <c r="T349" s="1"/>
      <c r="U349" s="2"/>
      <c r="V349" s="1"/>
      <c r="W349" s="1"/>
      <c r="X349" s="1"/>
      <c r="Y349" s="1"/>
      <c r="Z349" s="1"/>
    </row>
    <row r="350" spans="1:26" ht="24.75" customHeight="1">
      <c r="A350" s="1"/>
      <c r="B350" s="1"/>
      <c r="C350" s="1"/>
      <c r="D350" s="1"/>
      <c r="E350" s="1"/>
      <c r="F350" s="1"/>
      <c r="G350" s="1"/>
      <c r="H350" s="1"/>
      <c r="I350" s="1"/>
      <c r="J350" s="1"/>
      <c r="K350" s="1"/>
      <c r="L350" s="1"/>
      <c r="M350" s="1"/>
      <c r="N350" s="1"/>
      <c r="O350" s="1"/>
      <c r="P350" s="1"/>
      <c r="Q350" s="1"/>
      <c r="R350" s="1"/>
      <c r="S350" s="1"/>
      <c r="T350" s="1"/>
      <c r="U350" s="2"/>
      <c r="V350" s="1"/>
      <c r="W350" s="1"/>
      <c r="X350" s="1"/>
      <c r="Y350" s="1"/>
      <c r="Z350" s="1"/>
    </row>
    <row r="351" spans="1:26" ht="24.75" customHeight="1">
      <c r="A351" s="1"/>
      <c r="B351" s="1"/>
      <c r="C351" s="1"/>
      <c r="D351" s="1"/>
      <c r="E351" s="1"/>
      <c r="F351" s="1"/>
      <c r="G351" s="1"/>
      <c r="H351" s="1"/>
      <c r="I351" s="1"/>
      <c r="J351" s="1"/>
      <c r="K351" s="1"/>
      <c r="L351" s="1"/>
      <c r="M351" s="1"/>
      <c r="N351" s="1"/>
      <c r="O351" s="1"/>
      <c r="P351" s="1"/>
      <c r="Q351" s="1"/>
      <c r="R351" s="1"/>
      <c r="S351" s="1"/>
      <c r="T351" s="1"/>
      <c r="U351" s="2"/>
      <c r="V351" s="1"/>
      <c r="W351" s="1"/>
      <c r="X351" s="1"/>
      <c r="Y351" s="1"/>
      <c r="Z351" s="1"/>
    </row>
    <row r="352" spans="1:26" ht="24.75" customHeight="1">
      <c r="A352" s="1"/>
      <c r="B352" s="1"/>
      <c r="C352" s="1"/>
      <c r="D352" s="1"/>
      <c r="E352" s="1"/>
      <c r="F352" s="1"/>
      <c r="G352" s="1"/>
      <c r="H352" s="1"/>
      <c r="I352" s="1"/>
      <c r="J352" s="1"/>
      <c r="K352" s="1"/>
      <c r="L352" s="1"/>
      <c r="M352" s="1"/>
      <c r="N352" s="1"/>
      <c r="O352" s="1"/>
      <c r="P352" s="1"/>
      <c r="Q352" s="1"/>
      <c r="R352" s="1"/>
      <c r="S352" s="1"/>
      <c r="T352" s="1"/>
      <c r="U352" s="2"/>
      <c r="V352" s="1"/>
      <c r="W352" s="1"/>
      <c r="X352" s="1"/>
      <c r="Y352" s="1"/>
      <c r="Z352" s="1"/>
    </row>
    <row r="353" spans="1:26" ht="24.75" customHeight="1">
      <c r="A353" s="1"/>
      <c r="B353" s="1"/>
      <c r="C353" s="1"/>
      <c r="D353" s="1"/>
      <c r="E353" s="1"/>
      <c r="F353" s="1"/>
      <c r="G353" s="1"/>
      <c r="H353" s="1"/>
      <c r="I353" s="1"/>
      <c r="J353" s="1"/>
      <c r="K353" s="1"/>
      <c r="L353" s="1"/>
      <c r="M353" s="1"/>
      <c r="N353" s="1"/>
      <c r="O353" s="1"/>
      <c r="P353" s="1"/>
      <c r="Q353" s="1"/>
      <c r="R353" s="1"/>
      <c r="S353" s="1"/>
      <c r="T353" s="1"/>
      <c r="U353" s="2"/>
      <c r="V353" s="1"/>
      <c r="W353" s="1"/>
      <c r="X353" s="1"/>
      <c r="Y353" s="1"/>
      <c r="Z353" s="1"/>
    </row>
    <row r="354" spans="1:26" ht="24.75" customHeight="1">
      <c r="A354" s="1"/>
      <c r="B354" s="1"/>
      <c r="C354" s="1"/>
      <c r="D354" s="1"/>
      <c r="E354" s="1"/>
      <c r="F354" s="1"/>
      <c r="G354" s="1"/>
      <c r="H354" s="1"/>
      <c r="I354" s="1"/>
      <c r="J354" s="1"/>
      <c r="K354" s="1"/>
      <c r="L354" s="1"/>
      <c r="M354" s="1"/>
      <c r="N354" s="1"/>
      <c r="O354" s="1"/>
      <c r="P354" s="1"/>
      <c r="Q354" s="1"/>
      <c r="R354" s="1"/>
      <c r="S354" s="1"/>
      <c r="T354" s="1"/>
      <c r="U354" s="2"/>
      <c r="V354" s="1"/>
      <c r="W354" s="1"/>
      <c r="X354" s="1"/>
      <c r="Y354" s="1"/>
      <c r="Z354" s="1"/>
    </row>
    <row r="355" spans="1:26" ht="24.75" customHeight="1">
      <c r="A355" s="1"/>
      <c r="B355" s="1"/>
      <c r="C355" s="1"/>
      <c r="D355" s="1"/>
      <c r="E355" s="1"/>
      <c r="F355" s="1"/>
      <c r="G355" s="1"/>
      <c r="H355" s="1"/>
      <c r="I355" s="1"/>
      <c r="J355" s="1"/>
      <c r="K355" s="1"/>
      <c r="L355" s="1"/>
      <c r="M355" s="1"/>
      <c r="N355" s="1"/>
      <c r="O355" s="1"/>
      <c r="P355" s="1"/>
      <c r="Q355" s="1"/>
      <c r="R355" s="1"/>
      <c r="S355" s="1"/>
      <c r="T355" s="1"/>
      <c r="U355" s="2"/>
      <c r="V355" s="1"/>
      <c r="W355" s="1"/>
      <c r="X355" s="1"/>
      <c r="Y355" s="1"/>
      <c r="Z355" s="1"/>
    </row>
    <row r="356" spans="1:26" ht="24.75" customHeight="1">
      <c r="A356" s="1"/>
      <c r="B356" s="1"/>
      <c r="C356" s="1"/>
      <c r="D356" s="1"/>
      <c r="E356" s="1"/>
      <c r="F356" s="1"/>
      <c r="G356" s="1"/>
      <c r="H356" s="1"/>
      <c r="I356" s="1"/>
      <c r="J356" s="1"/>
      <c r="K356" s="1"/>
      <c r="L356" s="1"/>
      <c r="M356" s="1"/>
      <c r="N356" s="1"/>
      <c r="O356" s="1"/>
      <c r="P356" s="1"/>
      <c r="Q356" s="1"/>
      <c r="R356" s="1"/>
      <c r="S356" s="1"/>
      <c r="T356" s="1"/>
      <c r="U356" s="2"/>
      <c r="V356" s="1"/>
      <c r="W356" s="1"/>
      <c r="X356" s="1"/>
      <c r="Y356" s="1"/>
      <c r="Z356" s="1"/>
    </row>
    <row r="357" spans="1:26" ht="24.75" customHeight="1">
      <c r="A357" s="1"/>
      <c r="B357" s="1"/>
      <c r="C357" s="1"/>
      <c r="D357" s="1"/>
      <c r="E357" s="1"/>
      <c r="F357" s="1"/>
      <c r="G357" s="1"/>
      <c r="H357" s="1"/>
      <c r="I357" s="1"/>
      <c r="J357" s="1"/>
      <c r="K357" s="1"/>
      <c r="L357" s="1"/>
      <c r="M357" s="1"/>
      <c r="N357" s="1"/>
      <c r="O357" s="1"/>
      <c r="P357" s="1"/>
      <c r="Q357" s="1"/>
      <c r="R357" s="1"/>
      <c r="S357" s="1"/>
      <c r="T357" s="1"/>
      <c r="U357" s="2"/>
      <c r="V357" s="1"/>
      <c r="W357" s="1"/>
      <c r="X357" s="1"/>
      <c r="Y357" s="1"/>
      <c r="Z357" s="1"/>
    </row>
    <row r="358" spans="1:26" ht="24.75" customHeight="1">
      <c r="A358" s="1"/>
      <c r="B358" s="1"/>
      <c r="C358" s="1"/>
      <c r="D358" s="1"/>
      <c r="E358" s="1"/>
      <c r="F358" s="1"/>
      <c r="G358" s="1"/>
      <c r="H358" s="1"/>
      <c r="I358" s="1"/>
      <c r="J358" s="1"/>
      <c r="K358" s="1"/>
      <c r="L358" s="1"/>
      <c r="M358" s="1"/>
      <c r="N358" s="1"/>
      <c r="O358" s="1"/>
      <c r="P358" s="1"/>
      <c r="Q358" s="1"/>
      <c r="R358" s="1"/>
      <c r="S358" s="1"/>
      <c r="T358" s="1"/>
      <c r="U358" s="2"/>
      <c r="V358" s="1"/>
      <c r="W358" s="1"/>
      <c r="X358" s="1"/>
      <c r="Y358" s="1"/>
      <c r="Z358" s="1"/>
    </row>
    <row r="359" spans="1:26" ht="24.75" customHeight="1">
      <c r="A359" s="1"/>
      <c r="B359" s="1"/>
      <c r="C359" s="1"/>
      <c r="D359" s="1"/>
      <c r="E359" s="1"/>
      <c r="F359" s="1"/>
      <c r="G359" s="1"/>
      <c r="H359" s="1"/>
      <c r="I359" s="1"/>
      <c r="J359" s="1"/>
      <c r="K359" s="1"/>
      <c r="L359" s="1"/>
      <c r="M359" s="1"/>
      <c r="N359" s="1"/>
      <c r="O359" s="1"/>
      <c r="P359" s="1"/>
      <c r="Q359" s="1"/>
      <c r="R359" s="1"/>
      <c r="S359" s="1"/>
      <c r="T359" s="1"/>
      <c r="U359" s="2"/>
      <c r="V359" s="1"/>
      <c r="W359" s="1"/>
      <c r="X359" s="1"/>
      <c r="Y359" s="1"/>
      <c r="Z359" s="1"/>
    </row>
    <row r="360" spans="1:26" ht="24.75" customHeight="1">
      <c r="A360" s="1"/>
      <c r="B360" s="1"/>
      <c r="C360" s="1"/>
      <c r="D360" s="1"/>
      <c r="E360" s="1"/>
      <c r="F360" s="1"/>
      <c r="G360" s="1"/>
      <c r="H360" s="1"/>
      <c r="I360" s="1"/>
      <c r="J360" s="1"/>
      <c r="K360" s="1"/>
      <c r="L360" s="1"/>
      <c r="M360" s="1"/>
      <c r="N360" s="1"/>
      <c r="O360" s="1"/>
      <c r="P360" s="1"/>
      <c r="Q360" s="1"/>
      <c r="R360" s="1"/>
      <c r="S360" s="1"/>
      <c r="T360" s="1"/>
      <c r="U360" s="2"/>
      <c r="V360" s="1"/>
      <c r="W360" s="1"/>
      <c r="X360" s="1"/>
      <c r="Y360" s="1"/>
      <c r="Z360" s="1"/>
    </row>
    <row r="361" spans="1:26" ht="24.75" customHeight="1">
      <c r="A361" s="1"/>
      <c r="B361" s="1"/>
      <c r="C361" s="1"/>
      <c r="D361" s="1"/>
      <c r="E361" s="1"/>
      <c r="F361" s="1"/>
      <c r="G361" s="1"/>
      <c r="H361" s="1"/>
      <c r="I361" s="1"/>
      <c r="J361" s="1"/>
      <c r="K361" s="1"/>
      <c r="L361" s="1"/>
      <c r="M361" s="1"/>
      <c r="N361" s="1"/>
      <c r="O361" s="1"/>
      <c r="P361" s="1"/>
      <c r="Q361" s="1"/>
      <c r="R361" s="1"/>
      <c r="S361" s="1"/>
      <c r="T361" s="1"/>
      <c r="U361" s="2"/>
      <c r="V361" s="1"/>
      <c r="W361" s="1"/>
      <c r="X361" s="1"/>
      <c r="Y361" s="1"/>
      <c r="Z361" s="1"/>
    </row>
    <row r="362" spans="1:26" ht="24.75" customHeight="1">
      <c r="A362" s="1"/>
      <c r="B362" s="1"/>
      <c r="C362" s="1"/>
      <c r="D362" s="1"/>
      <c r="E362" s="1"/>
      <c r="F362" s="1"/>
      <c r="G362" s="1"/>
      <c r="H362" s="1"/>
      <c r="I362" s="1"/>
      <c r="J362" s="1"/>
      <c r="K362" s="1"/>
      <c r="L362" s="1"/>
      <c r="M362" s="1"/>
      <c r="N362" s="1"/>
      <c r="O362" s="1"/>
      <c r="P362" s="1"/>
      <c r="Q362" s="1"/>
      <c r="R362" s="1"/>
      <c r="S362" s="1"/>
      <c r="T362" s="1"/>
      <c r="U362" s="2"/>
      <c r="V362" s="1"/>
      <c r="W362" s="1"/>
      <c r="X362" s="1"/>
      <c r="Y362" s="1"/>
      <c r="Z362" s="1"/>
    </row>
    <row r="363" spans="1:26" ht="24.75" customHeight="1">
      <c r="A363" s="1"/>
      <c r="B363" s="1"/>
      <c r="C363" s="1"/>
      <c r="D363" s="1"/>
      <c r="E363" s="1"/>
      <c r="F363" s="1"/>
      <c r="G363" s="1"/>
      <c r="H363" s="1"/>
      <c r="I363" s="1"/>
      <c r="J363" s="1"/>
      <c r="K363" s="1"/>
      <c r="L363" s="1"/>
      <c r="M363" s="1"/>
      <c r="N363" s="1"/>
      <c r="O363" s="1"/>
      <c r="P363" s="1"/>
      <c r="Q363" s="1"/>
      <c r="R363" s="1"/>
      <c r="S363" s="1"/>
      <c r="T363" s="1"/>
      <c r="U363" s="2"/>
      <c r="V363" s="1"/>
      <c r="W363" s="1"/>
      <c r="X363" s="1"/>
      <c r="Y363" s="1"/>
      <c r="Z363" s="1"/>
    </row>
    <row r="364" spans="1:26" ht="24.75" customHeight="1">
      <c r="A364" s="1"/>
      <c r="B364" s="1"/>
      <c r="C364" s="1"/>
      <c r="D364" s="1"/>
      <c r="E364" s="1"/>
      <c r="F364" s="1"/>
      <c r="G364" s="1"/>
      <c r="H364" s="1"/>
      <c r="I364" s="1"/>
      <c r="J364" s="1"/>
      <c r="K364" s="1"/>
      <c r="L364" s="1"/>
      <c r="M364" s="1"/>
      <c r="N364" s="1"/>
      <c r="O364" s="1"/>
      <c r="P364" s="1"/>
      <c r="Q364" s="1"/>
      <c r="R364" s="1"/>
      <c r="S364" s="1"/>
      <c r="T364" s="1"/>
      <c r="U364" s="2"/>
      <c r="V364" s="1"/>
      <c r="W364" s="1"/>
      <c r="X364" s="1"/>
      <c r="Y364" s="1"/>
      <c r="Z364" s="1"/>
    </row>
    <row r="365" spans="1:26" ht="24.75" customHeight="1">
      <c r="A365" s="1"/>
      <c r="B365" s="1"/>
      <c r="C365" s="1"/>
      <c r="D365" s="1"/>
      <c r="E365" s="1"/>
      <c r="F365" s="1"/>
      <c r="G365" s="1"/>
      <c r="H365" s="1"/>
      <c r="I365" s="1"/>
      <c r="J365" s="1"/>
      <c r="K365" s="1"/>
      <c r="L365" s="1"/>
      <c r="M365" s="1"/>
      <c r="N365" s="1"/>
      <c r="O365" s="1"/>
      <c r="P365" s="1"/>
      <c r="Q365" s="1"/>
      <c r="R365" s="1"/>
      <c r="S365" s="1"/>
      <c r="T365" s="1"/>
      <c r="U365" s="2"/>
      <c r="V365" s="1"/>
      <c r="W365" s="1"/>
      <c r="X365" s="1"/>
      <c r="Y365" s="1"/>
      <c r="Z365" s="1"/>
    </row>
    <row r="366" spans="1:26" ht="24.75" customHeight="1">
      <c r="A366" s="1"/>
      <c r="B366" s="1"/>
      <c r="C366" s="1"/>
      <c r="D366" s="1"/>
      <c r="E366" s="1"/>
      <c r="F366" s="1"/>
      <c r="G366" s="1"/>
      <c r="H366" s="1"/>
      <c r="I366" s="1"/>
      <c r="J366" s="1"/>
      <c r="K366" s="1"/>
      <c r="L366" s="1"/>
      <c r="M366" s="1"/>
      <c r="N366" s="1"/>
      <c r="O366" s="1"/>
      <c r="P366" s="1"/>
      <c r="Q366" s="1"/>
      <c r="R366" s="1"/>
      <c r="S366" s="1"/>
      <c r="T366" s="1"/>
      <c r="U366" s="2"/>
      <c r="V366" s="1"/>
      <c r="W366" s="1"/>
      <c r="X366" s="1"/>
      <c r="Y366" s="1"/>
      <c r="Z366" s="1"/>
    </row>
    <row r="367" spans="1:26" ht="24.75" customHeight="1">
      <c r="A367" s="1"/>
      <c r="B367" s="1"/>
      <c r="C367" s="1"/>
      <c r="D367" s="1"/>
      <c r="E367" s="1"/>
      <c r="F367" s="1"/>
      <c r="G367" s="1"/>
      <c r="H367" s="1"/>
      <c r="I367" s="1"/>
      <c r="J367" s="1"/>
      <c r="K367" s="1"/>
      <c r="L367" s="1"/>
      <c r="M367" s="1"/>
      <c r="N367" s="1"/>
      <c r="O367" s="1"/>
      <c r="P367" s="1"/>
      <c r="Q367" s="1"/>
      <c r="R367" s="1"/>
      <c r="S367" s="1"/>
      <c r="T367" s="1"/>
      <c r="U367" s="2"/>
      <c r="V367" s="1"/>
      <c r="W367" s="1"/>
      <c r="X367" s="1"/>
      <c r="Y367" s="1"/>
      <c r="Z367" s="1"/>
    </row>
    <row r="368" spans="1:26" ht="24.75" customHeight="1">
      <c r="A368" s="1"/>
      <c r="B368" s="1"/>
      <c r="C368" s="1"/>
      <c r="D368" s="1"/>
      <c r="E368" s="1"/>
      <c r="F368" s="1"/>
      <c r="G368" s="1"/>
      <c r="H368" s="1"/>
      <c r="I368" s="1"/>
      <c r="J368" s="1"/>
      <c r="K368" s="1"/>
      <c r="L368" s="1"/>
      <c r="M368" s="1"/>
      <c r="N368" s="1"/>
      <c r="O368" s="1"/>
      <c r="P368" s="1"/>
      <c r="Q368" s="1"/>
      <c r="R368" s="1"/>
      <c r="S368" s="1"/>
      <c r="T368" s="1"/>
      <c r="U368" s="2"/>
      <c r="V368" s="1"/>
      <c r="W368" s="1"/>
      <c r="X368" s="1"/>
      <c r="Y368" s="1"/>
      <c r="Z368" s="1"/>
    </row>
    <row r="369" spans="1:26" ht="24.75" customHeight="1">
      <c r="A369" s="1"/>
      <c r="B369" s="1"/>
      <c r="C369" s="1"/>
      <c r="D369" s="1"/>
      <c r="E369" s="1"/>
      <c r="F369" s="1"/>
      <c r="G369" s="1"/>
      <c r="H369" s="1"/>
      <c r="I369" s="1"/>
      <c r="J369" s="1"/>
      <c r="K369" s="1"/>
      <c r="L369" s="1"/>
      <c r="M369" s="1"/>
      <c r="N369" s="1"/>
      <c r="O369" s="1"/>
      <c r="P369" s="1"/>
      <c r="Q369" s="1"/>
      <c r="R369" s="1"/>
      <c r="S369" s="1"/>
      <c r="T369" s="1"/>
      <c r="U369" s="2"/>
      <c r="V369" s="1"/>
      <c r="W369" s="1"/>
      <c r="X369" s="1"/>
      <c r="Y369" s="1"/>
      <c r="Z369" s="1"/>
    </row>
    <row r="370" spans="1:26" ht="24.75" customHeight="1">
      <c r="A370" s="1"/>
      <c r="B370" s="1"/>
      <c r="C370" s="1"/>
      <c r="D370" s="1"/>
      <c r="E370" s="1"/>
      <c r="F370" s="1"/>
      <c r="G370" s="1"/>
      <c r="H370" s="1"/>
      <c r="I370" s="1"/>
      <c r="J370" s="1"/>
      <c r="K370" s="1"/>
      <c r="L370" s="1"/>
      <c r="M370" s="1"/>
      <c r="N370" s="1"/>
      <c r="O370" s="1"/>
      <c r="P370" s="1"/>
      <c r="Q370" s="1"/>
      <c r="R370" s="1"/>
      <c r="S370" s="1"/>
      <c r="T370" s="1"/>
      <c r="U370" s="2"/>
      <c r="V370" s="1"/>
      <c r="W370" s="1"/>
      <c r="X370" s="1"/>
      <c r="Y370" s="1"/>
      <c r="Z370" s="1"/>
    </row>
    <row r="371" spans="1:26" ht="24.75" customHeight="1">
      <c r="A371" s="1"/>
      <c r="B371" s="1"/>
      <c r="C371" s="1"/>
      <c r="D371" s="1"/>
      <c r="E371" s="1"/>
      <c r="F371" s="1"/>
      <c r="G371" s="1"/>
      <c r="H371" s="1"/>
      <c r="I371" s="1"/>
      <c r="J371" s="1"/>
      <c r="K371" s="1"/>
      <c r="L371" s="1"/>
      <c r="M371" s="1"/>
      <c r="N371" s="1"/>
      <c r="O371" s="1"/>
      <c r="P371" s="1"/>
      <c r="Q371" s="1"/>
      <c r="R371" s="1"/>
      <c r="S371" s="1"/>
      <c r="T371" s="1"/>
      <c r="U371" s="2"/>
      <c r="V371" s="1"/>
      <c r="W371" s="1"/>
      <c r="X371" s="1"/>
      <c r="Y371" s="1"/>
      <c r="Z371" s="1"/>
    </row>
    <row r="372" spans="1:26" ht="24.75" customHeight="1">
      <c r="A372" s="1"/>
      <c r="B372" s="1"/>
      <c r="C372" s="1"/>
      <c r="D372" s="1"/>
      <c r="E372" s="1"/>
      <c r="F372" s="1"/>
      <c r="G372" s="1"/>
      <c r="H372" s="1"/>
      <c r="I372" s="1"/>
      <c r="J372" s="1"/>
      <c r="K372" s="1"/>
      <c r="L372" s="1"/>
      <c r="M372" s="1"/>
      <c r="N372" s="1"/>
      <c r="O372" s="1"/>
      <c r="P372" s="1"/>
      <c r="Q372" s="1"/>
      <c r="R372" s="1"/>
      <c r="S372" s="1"/>
      <c r="T372" s="1"/>
      <c r="U372" s="2"/>
      <c r="V372" s="1"/>
      <c r="W372" s="1"/>
      <c r="X372" s="1"/>
      <c r="Y372" s="1"/>
      <c r="Z372" s="1"/>
    </row>
    <row r="373" spans="1:26" ht="24.75" customHeight="1">
      <c r="A373" s="1"/>
      <c r="B373" s="1"/>
      <c r="C373" s="1"/>
      <c r="D373" s="1"/>
      <c r="E373" s="1"/>
      <c r="F373" s="1"/>
      <c r="G373" s="1"/>
      <c r="H373" s="1"/>
      <c r="I373" s="1"/>
      <c r="J373" s="1"/>
      <c r="K373" s="1"/>
      <c r="L373" s="1"/>
      <c r="M373" s="1"/>
      <c r="N373" s="1"/>
      <c r="O373" s="1"/>
      <c r="P373" s="1"/>
      <c r="Q373" s="1"/>
      <c r="R373" s="1"/>
      <c r="S373" s="1"/>
      <c r="T373" s="1"/>
      <c r="U373" s="2"/>
      <c r="V373" s="1"/>
      <c r="W373" s="1"/>
      <c r="X373" s="1"/>
      <c r="Y373" s="1"/>
      <c r="Z373" s="1"/>
    </row>
    <row r="374" spans="1:26" ht="24.75" customHeight="1">
      <c r="A374" s="1"/>
      <c r="B374" s="1"/>
      <c r="C374" s="1"/>
      <c r="D374" s="1"/>
      <c r="E374" s="1"/>
      <c r="F374" s="1"/>
      <c r="G374" s="1"/>
      <c r="H374" s="1"/>
      <c r="I374" s="1"/>
      <c r="J374" s="1"/>
      <c r="K374" s="1"/>
      <c r="L374" s="1"/>
      <c r="M374" s="1"/>
      <c r="N374" s="1"/>
      <c r="O374" s="1"/>
      <c r="P374" s="1"/>
      <c r="Q374" s="1"/>
      <c r="R374" s="1"/>
      <c r="S374" s="1"/>
      <c r="T374" s="1"/>
      <c r="U374" s="2"/>
      <c r="V374" s="1"/>
      <c r="W374" s="1"/>
      <c r="X374" s="1"/>
      <c r="Y374" s="1"/>
      <c r="Z374" s="1"/>
    </row>
    <row r="375" spans="1:26" ht="24.75" customHeight="1">
      <c r="A375" s="1"/>
      <c r="B375" s="1"/>
      <c r="C375" s="1"/>
      <c r="D375" s="1"/>
      <c r="E375" s="1"/>
      <c r="F375" s="1"/>
      <c r="G375" s="1"/>
      <c r="H375" s="1"/>
      <c r="I375" s="1"/>
      <c r="J375" s="1"/>
      <c r="K375" s="1"/>
      <c r="L375" s="1"/>
      <c r="M375" s="1"/>
      <c r="N375" s="1"/>
      <c r="O375" s="1"/>
      <c r="P375" s="1"/>
      <c r="Q375" s="1"/>
      <c r="R375" s="1"/>
      <c r="S375" s="1"/>
      <c r="T375" s="1"/>
      <c r="U375" s="2"/>
      <c r="V375" s="1"/>
      <c r="W375" s="1"/>
      <c r="X375" s="1"/>
      <c r="Y375" s="1"/>
      <c r="Z375" s="1"/>
    </row>
    <row r="376" spans="1:26" ht="24.75" customHeight="1">
      <c r="A376" s="1"/>
      <c r="B376" s="1"/>
      <c r="C376" s="1"/>
      <c r="D376" s="1"/>
      <c r="E376" s="1"/>
      <c r="F376" s="1"/>
      <c r="G376" s="1"/>
      <c r="H376" s="1"/>
      <c r="I376" s="1"/>
      <c r="J376" s="1"/>
      <c r="K376" s="1"/>
      <c r="L376" s="1"/>
      <c r="M376" s="1"/>
      <c r="N376" s="1"/>
      <c r="O376" s="1"/>
      <c r="P376" s="1"/>
      <c r="Q376" s="1"/>
      <c r="R376" s="1"/>
      <c r="S376" s="1"/>
      <c r="T376" s="1"/>
      <c r="U376" s="2"/>
      <c r="V376" s="1"/>
      <c r="W376" s="1"/>
      <c r="X376" s="1"/>
      <c r="Y376" s="1"/>
      <c r="Z376" s="1"/>
    </row>
    <row r="377" spans="1:26" ht="24.75" customHeight="1">
      <c r="A377" s="1"/>
      <c r="B377" s="1"/>
      <c r="C377" s="1"/>
      <c r="D377" s="1"/>
      <c r="E377" s="1"/>
      <c r="F377" s="1"/>
      <c r="G377" s="1"/>
      <c r="H377" s="1"/>
      <c r="I377" s="1"/>
      <c r="J377" s="1"/>
      <c r="K377" s="1"/>
      <c r="L377" s="1"/>
      <c r="M377" s="1"/>
      <c r="N377" s="1"/>
      <c r="O377" s="1"/>
      <c r="P377" s="1"/>
      <c r="Q377" s="1"/>
      <c r="R377" s="1"/>
      <c r="S377" s="1"/>
      <c r="T377" s="1"/>
      <c r="U377" s="2"/>
      <c r="V377" s="1"/>
      <c r="W377" s="1"/>
      <c r="X377" s="1"/>
      <c r="Y377" s="1"/>
      <c r="Z377" s="1"/>
    </row>
    <row r="378" spans="1:26" ht="24.75" customHeight="1">
      <c r="A378" s="1"/>
      <c r="B378" s="1"/>
      <c r="C378" s="1"/>
      <c r="D378" s="1"/>
      <c r="E378" s="1"/>
      <c r="F378" s="1"/>
      <c r="G378" s="1"/>
      <c r="H378" s="1"/>
      <c r="I378" s="1"/>
      <c r="J378" s="1"/>
      <c r="K378" s="1"/>
      <c r="L378" s="1"/>
      <c r="M378" s="1"/>
      <c r="N378" s="1"/>
      <c r="O378" s="1"/>
      <c r="P378" s="1"/>
      <c r="Q378" s="1"/>
      <c r="R378" s="1"/>
      <c r="S378" s="1"/>
      <c r="T378" s="1"/>
      <c r="U378" s="2"/>
      <c r="V378" s="1"/>
      <c r="W378" s="1"/>
      <c r="X378" s="1"/>
      <c r="Y378" s="1"/>
      <c r="Z378" s="1"/>
    </row>
    <row r="379" spans="1:26" ht="24.75" customHeight="1">
      <c r="A379" s="1"/>
      <c r="B379" s="1"/>
      <c r="C379" s="1"/>
      <c r="D379" s="1"/>
      <c r="E379" s="1"/>
      <c r="F379" s="1"/>
      <c r="G379" s="1"/>
      <c r="H379" s="1"/>
      <c r="I379" s="1"/>
      <c r="J379" s="1"/>
      <c r="K379" s="1"/>
      <c r="L379" s="1"/>
      <c r="M379" s="1"/>
      <c r="N379" s="1"/>
      <c r="O379" s="1"/>
      <c r="P379" s="1"/>
      <c r="Q379" s="1"/>
      <c r="R379" s="1"/>
      <c r="S379" s="1"/>
      <c r="T379" s="1"/>
      <c r="U379" s="2"/>
      <c r="V379" s="1"/>
      <c r="W379" s="1"/>
      <c r="X379" s="1"/>
      <c r="Y379" s="1"/>
      <c r="Z379" s="1"/>
    </row>
    <row r="380" spans="1:26" ht="24.75" customHeight="1">
      <c r="A380" s="1"/>
      <c r="B380" s="1"/>
      <c r="C380" s="1"/>
      <c r="D380" s="1"/>
      <c r="E380" s="1"/>
      <c r="F380" s="1"/>
      <c r="G380" s="1"/>
      <c r="H380" s="1"/>
      <c r="I380" s="1"/>
      <c r="J380" s="1"/>
      <c r="K380" s="1"/>
      <c r="L380" s="1"/>
      <c r="M380" s="1"/>
      <c r="N380" s="1"/>
      <c r="O380" s="1"/>
      <c r="P380" s="1"/>
      <c r="Q380" s="1"/>
      <c r="R380" s="1"/>
      <c r="S380" s="1"/>
      <c r="T380" s="1"/>
      <c r="U380" s="2"/>
      <c r="V380" s="1"/>
      <c r="W380" s="1"/>
      <c r="X380" s="1"/>
      <c r="Y380" s="1"/>
      <c r="Z380" s="1"/>
    </row>
    <row r="381" spans="1:26" ht="24.75" customHeight="1">
      <c r="A381" s="1"/>
      <c r="B381" s="1"/>
      <c r="C381" s="1"/>
      <c r="D381" s="1"/>
      <c r="E381" s="1"/>
      <c r="F381" s="1"/>
      <c r="G381" s="1"/>
      <c r="H381" s="1"/>
      <c r="I381" s="1"/>
      <c r="J381" s="1"/>
      <c r="K381" s="1"/>
      <c r="L381" s="1"/>
      <c r="M381" s="1"/>
      <c r="N381" s="1"/>
      <c r="O381" s="1"/>
      <c r="P381" s="1"/>
      <c r="Q381" s="1"/>
      <c r="R381" s="1"/>
      <c r="S381" s="1"/>
      <c r="T381" s="1"/>
      <c r="U381" s="2"/>
      <c r="V381" s="1"/>
      <c r="W381" s="1"/>
      <c r="X381" s="1"/>
      <c r="Y381" s="1"/>
      <c r="Z381" s="1"/>
    </row>
    <row r="382" spans="1:26" ht="24.75" customHeight="1">
      <c r="A382" s="1"/>
      <c r="B382" s="1"/>
      <c r="C382" s="1"/>
      <c r="D382" s="1"/>
      <c r="E382" s="1"/>
      <c r="F382" s="1"/>
      <c r="G382" s="1"/>
      <c r="H382" s="1"/>
      <c r="I382" s="1"/>
      <c r="J382" s="1"/>
      <c r="K382" s="1"/>
      <c r="L382" s="1"/>
      <c r="M382" s="1"/>
      <c r="N382" s="1"/>
      <c r="O382" s="1"/>
      <c r="P382" s="1"/>
      <c r="Q382" s="1"/>
      <c r="R382" s="1"/>
      <c r="S382" s="1"/>
      <c r="T382" s="1"/>
      <c r="U382" s="2"/>
      <c r="V382" s="1"/>
      <c r="W382" s="1"/>
      <c r="X382" s="1"/>
      <c r="Y382" s="1"/>
      <c r="Z382" s="1"/>
    </row>
    <row r="383" spans="1:26" ht="24.75" customHeight="1">
      <c r="A383" s="1"/>
      <c r="B383" s="1"/>
      <c r="C383" s="1"/>
      <c r="D383" s="1"/>
      <c r="E383" s="1"/>
      <c r="F383" s="1"/>
      <c r="G383" s="1"/>
      <c r="H383" s="1"/>
      <c r="I383" s="1"/>
      <c r="J383" s="1"/>
      <c r="K383" s="1"/>
      <c r="L383" s="1"/>
      <c r="M383" s="1"/>
      <c r="N383" s="1"/>
      <c r="O383" s="1"/>
      <c r="P383" s="1"/>
      <c r="Q383" s="1"/>
      <c r="R383" s="1"/>
      <c r="S383" s="1"/>
      <c r="T383" s="1"/>
      <c r="U383" s="2"/>
      <c r="V383" s="1"/>
      <c r="W383" s="1"/>
      <c r="X383" s="1"/>
      <c r="Y383" s="1"/>
      <c r="Z383" s="1"/>
    </row>
    <row r="384" spans="1:26" ht="24.75" customHeight="1">
      <c r="A384" s="1"/>
      <c r="B384" s="1"/>
      <c r="C384" s="1"/>
      <c r="D384" s="1"/>
      <c r="E384" s="1"/>
      <c r="F384" s="1"/>
      <c r="G384" s="1"/>
      <c r="H384" s="1"/>
      <c r="I384" s="1"/>
      <c r="J384" s="1"/>
      <c r="K384" s="1"/>
      <c r="L384" s="1"/>
      <c r="M384" s="1"/>
      <c r="N384" s="1"/>
      <c r="O384" s="1"/>
      <c r="P384" s="1"/>
      <c r="Q384" s="1"/>
      <c r="R384" s="1"/>
      <c r="S384" s="1"/>
      <c r="T384" s="1"/>
      <c r="U384" s="2"/>
      <c r="V384" s="1"/>
      <c r="W384" s="1"/>
      <c r="X384" s="1"/>
      <c r="Y384" s="1"/>
      <c r="Z384" s="1"/>
    </row>
    <row r="385" spans="1:26" ht="24.75" customHeight="1">
      <c r="A385" s="1"/>
      <c r="B385" s="1"/>
      <c r="C385" s="1"/>
      <c r="D385" s="1"/>
      <c r="E385" s="1"/>
      <c r="F385" s="1"/>
      <c r="G385" s="1"/>
      <c r="H385" s="1"/>
      <c r="I385" s="1"/>
      <c r="J385" s="1"/>
      <c r="K385" s="1"/>
      <c r="L385" s="1"/>
      <c r="M385" s="1"/>
      <c r="N385" s="1"/>
      <c r="O385" s="1"/>
      <c r="P385" s="1"/>
      <c r="Q385" s="1"/>
      <c r="R385" s="1"/>
      <c r="S385" s="1"/>
      <c r="T385" s="1"/>
      <c r="U385" s="2"/>
      <c r="V385" s="1"/>
      <c r="W385" s="1"/>
      <c r="X385" s="1"/>
      <c r="Y385" s="1"/>
      <c r="Z385" s="1"/>
    </row>
    <row r="386" spans="1:26" ht="24.75" customHeight="1">
      <c r="A386" s="1"/>
      <c r="B386" s="1"/>
      <c r="C386" s="1"/>
      <c r="D386" s="1"/>
      <c r="E386" s="1"/>
      <c r="F386" s="1"/>
      <c r="G386" s="1"/>
      <c r="H386" s="1"/>
      <c r="I386" s="1"/>
      <c r="J386" s="1"/>
      <c r="K386" s="1"/>
      <c r="L386" s="1"/>
      <c r="M386" s="1"/>
      <c r="N386" s="1"/>
      <c r="O386" s="1"/>
      <c r="P386" s="1"/>
      <c r="Q386" s="1"/>
      <c r="R386" s="1"/>
      <c r="S386" s="1"/>
      <c r="T386" s="1"/>
      <c r="U386" s="2"/>
      <c r="V386" s="1"/>
      <c r="W386" s="1"/>
      <c r="X386" s="1"/>
      <c r="Y386" s="1"/>
      <c r="Z386" s="1"/>
    </row>
    <row r="387" spans="1:26" ht="24.75" customHeight="1">
      <c r="A387" s="1"/>
      <c r="B387" s="1"/>
      <c r="C387" s="1"/>
      <c r="D387" s="1"/>
      <c r="E387" s="1"/>
      <c r="F387" s="1"/>
      <c r="G387" s="1"/>
      <c r="H387" s="1"/>
      <c r="I387" s="1"/>
      <c r="J387" s="1"/>
      <c r="K387" s="1"/>
      <c r="L387" s="1"/>
      <c r="M387" s="1"/>
      <c r="N387" s="1"/>
      <c r="O387" s="1"/>
      <c r="P387" s="1"/>
      <c r="Q387" s="1"/>
      <c r="R387" s="1"/>
      <c r="S387" s="1"/>
      <c r="T387" s="1"/>
      <c r="U387" s="2"/>
      <c r="V387" s="1"/>
      <c r="W387" s="1"/>
      <c r="X387" s="1"/>
      <c r="Y387" s="1"/>
      <c r="Z387" s="1"/>
    </row>
    <row r="388" spans="1:26" ht="24.75" customHeight="1">
      <c r="A388" s="1"/>
      <c r="B388" s="1"/>
      <c r="C388" s="1"/>
      <c r="D388" s="1"/>
      <c r="E388" s="1"/>
      <c r="F388" s="1"/>
      <c r="G388" s="1"/>
      <c r="H388" s="1"/>
      <c r="I388" s="1"/>
      <c r="J388" s="1"/>
      <c r="K388" s="1"/>
      <c r="L388" s="1"/>
      <c r="M388" s="1"/>
      <c r="N388" s="1"/>
      <c r="O388" s="1"/>
      <c r="P388" s="1"/>
      <c r="Q388" s="1"/>
      <c r="R388" s="1"/>
      <c r="S388" s="1"/>
      <c r="T388" s="1"/>
      <c r="U388" s="2"/>
      <c r="V388" s="1"/>
      <c r="W388" s="1"/>
      <c r="X388" s="1"/>
      <c r="Y388" s="1"/>
      <c r="Z388" s="1"/>
    </row>
    <row r="389" spans="1:26" ht="24.75" customHeight="1">
      <c r="A389" s="1"/>
      <c r="B389" s="1"/>
      <c r="C389" s="1"/>
      <c r="D389" s="1"/>
      <c r="E389" s="1"/>
      <c r="F389" s="1"/>
      <c r="G389" s="1"/>
      <c r="H389" s="1"/>
      <c r="I389" s="1"/>
      <c r="J389" s="1"/>
      <c r="K389" s="1"/>
      <c r="L389" s="1"/>
      <c r="M389" s="1"/>
      <c r="N389" s="1"/>
      <c r="O389" s="1"/>
      <c r="P389" s="1"/>
      <c r="Q389" s="1"/>
      <c r="R389" s="1"/>
      <c r="S389" s="1"/>
      <c r="T389" s="1"/>
      <c r="U389" s="2"/>
      <c r="V389" s="1"/>
      <c r="W389" s="1"/>
      <c r="X389" s="1"/>
      <c r="Y389" s="1"/>
      <c r="Z389" s="1"/>
    </row>
    <row r="390" spans="1:26" ht="24.75" customHeight="1">
      <c r="A390" s="1"/>
      <c r="B390" s="1"/>
      <c r="C390" s="1"/>
      <c r="D390" s="1"/>
      <c r="E390" s="1"/>
      <c r="F390" s="1"/>
      <c r="G390" s="1"/>
      <c r="H390" s="1"/>
      <c r="I390" s="1"/>
      <c r="J390" s="1"/>
      <c r="K390" s="1"/>
      <c r="L390" s="1"/>
      <c r="M390" s="1"/>
      <c r="N390" s="1"/>
      <c r="O390" s="1"/>
      <c r="P390" s="1"/>
      <c r="Q390" s="1"/>
      <c r="R390" s="1"/>
      <c r="S390" s="1"/>
      <c r="T390" s="1"/>
      <c r="U390" s="2"/>
      <c r="V390" s="1"/>
      <c r="W390" s="1"/>
      <c r="X390" s="1"/>
      <c r="Y390" s="1"/>
      <c r="Z390" s="1"/>
    </row>
    <row r="391" spans="1:26" ht="24.75" customHeight="1">
      <c r="A391" s="1"/>
      <c r="B391" s="1"/>
      <c r="C391" s="1"/>
      <c r="D391" s="1"/>
      <c r="E391" s="1"/>
      <c r="F391" s="1"/>
      <c r="G391" s="1"/>
      <c r="H391" s="1"/>
      <c r="I391" s="1"/>
      <c r="J391" s="1"/>
      <c r="K391" s="1"/>
      <c r="L391" s="1"/>
      <c r="M391" s="1"/>
      <c r="N391" s="1"/>
      <c r="O391" s="1"/>
      <c r="P391" s="1"/>
      <c r="Q391" s="1"/>
      <c r="R391" s="1"/>
      <c r="S391" s="1"/>
      <c r="T391" s="1"/>
      <c r="U391" s="2"/>
      <c r="V391" s="1"/>
      <c r="W391" s="1"/>
      <c r="X391" s="1"/>
      <c r="Y391" s="1"/>
      <c r="Z391" s="1"/>
    </row>
    <row r="392" spans="1:26" ht="24.75" customHeight="1">
      <c r="A392" s="1"/>
      <c r="B392" s="1"/>
      <c r="C392" s="1"/>
      <c r="D392" s="1"/>
      <c r="E392" s="1"/>
      <c r="F392" s="1"/>
      <c r="G392" s="1"/>
      <c r="H392" s="1"/>
      <c r="I392" s="1"/>
      <c r="J392" s="1"/>
      <c r="K392" s="1"/>
      <c r="L392" s="1"/>
      <c r="M392" s="1"/>
      <c r="N392" s="1"/>
      <c r="O392" s="1"/>
      <c r="P392" s="1"/>
      <c r="Q392" s="1"/>
      <c r="R392" s="1"/>
      <c r="S392" s="1"/>
      <c r="T392" s="1"/>
      <c r="U392" s="2"/>
      <c r="V392" s="1"/>
      <c r="W392" s="1"/>
      <c r="X392" s="1"/>
      <c r="Y392" s="1"/>
      <c r="Z392" s="1"/>
    </row>
    <row r="393" spans="1:26" ht="24.75" customHeight="1">
      <c r="A393" s="1"/>
      <c r="B393" s="1"/>
      <c r="C393" s="1"/>
      <c r="D393" s="1"/>
      <c r="E393" s="1"/>
      <c r="F393" s="1"/>
      <c r="G393" s="1"/>
      <c r="H393" s="1"/>
      <c r="I393" s="1"/>
      <c r="J393" s="1"/>
      <c r="K393" s="1"/>
      <c r="L393" s="1"/>
      <c r="M393" s="1"/>
      <c r="N393" s="1"/>
      <c r="O393" s="1"/>
      <c r="P393" s="1"/>
      <c r="Q393" s="1"/>
      <c r="R393" s="1"/>
      <c r="S393" s="1"/>
      <c r="T393" s="1"/>
      <c r="U393" s="2"/>
      <c r="V393" s="1"/>
      <c r="W393" s="1"/>
      <c r="X393" s="1"/>
      <c r="Y393" s="1"/>
      <c r="Z393" s="1"/>
    </row>
    <row r="394" spans="1:26" ht="24.75" customHeight="1">
      <c r="A394" s="1"/>
      <c r="B394" s="1"/>
      <c r="C394" s="1"/>
      <c r="D394" s="1"/>
      <c r="E394" s="1"/>
      <c r="F394" s="1"/>
      <c r="G394" s="1"/>
      <c r="H394" s="1"/>
      <c r="I394" s="1"/>
      <c r="J394" s="1"/>
      <c r="K394" s="1"/>
      <c r="L394" s="1"/>
      <c r="M394" s="1"/>
      <c r="N394" s="1"/>
      <c r="O394" s="1"/>
      <c r="P394" s="1"/>
      <c r="Q394" s="1"/>
      <c r="R394" s="1"/>
      <c r="S394" s="1"/>
      <c r="T394" s="1"/>
      <c r="U394" s="2"/>
      <c r="V394" s="1"/>
      <c r="W394" s="1"/>
      <c r="X394" s="1"/>
      <c r="Y394" s="1"/>
      <c r="Z394" s="1"/>
    </row>
    <row r="395" spans="1:26" ht="24.75" customHeight="1">
      <c r="A395" s="1"/>
      <c r="B395" s="1"/>
      <c r="C395" s="1"/>
      <c r="D395" s="1"/>
      <c r="E395" s="1"/>
      <c r="F395" s="1"/>
      <c r="G395" s="1"/>
      <c r="H395" s="1"/>
      <c r="I395" s="1"/>
      <c r="J395" s="1"/>
      <c r="K395" s="1"/>
      <c r="L395" s="1"/>
      <c r="M395" s="1"/>
      <c r="N395" s="1"/>
      <c r="O395" s="1"/>
      <c r="P395" s="1"/>
      <c r="Q395" s="1"/>
      <c r="R395" s="1"/>
      <c r="S395" s="1"/>
      <c r="T395" s="1"/>
      <c r="U395" s="2"/>
      <c r="V395" s="1"/>
      <c r="W395" s="1"/>
      <c r="X395" s="1"/>
      <c r="Y395" s="1"/>
      <c r="Z395" s="1"/>
    </row>
    <row r="396" spans="1:26" ht="24.75" customHeight="1">
      <c r="A396" s="1"/>
      <c r="B396" s="1"/>
      <c r="C396" s="1"/>
      <c r="D396" s="1"/>
      <c r="E396" s="1"/>
      <c r="F396" s="1"/>
      <c r="G396" s="1"/>
      <c r="H396" s="1"/>
      <c r="I396" s="1"/>
      <c r="J396" s="1"/>
      <c r="K396" s="1"/>
      <c r="L396" s="1"/>
      <c r="M396" s="1"/>
      <c r="N396" s="1"/>
      <c r="O396" s="1"/>
      <c r="P396" s="1"/>
      <c r="Q396" s="1"/>
      <c r="R396" s="1"/>
      <c r="S396" s="1"/>
      <c r="T396" s="1"/>
      <c r="U396" s="2"/>
      <c r="V396" s="1"/>
      <c r="W396" s="1"/>
      <c r="X396" s="1"/>
      <c r="Y396" s="1"/>
      <c r="Z396" s="1"/>
    </row>
    <row r="397" spans="1:26" ht="24.75" customHeight="1">
      <c r="A397" s="1"/>
      <c r="B397" s="1"/>
      <c r="C397" s="1"/>
      <c r="D397" s="1"/>
      <c r="E397" s="1"/>
      <c r="F397" s="1"/>
      <c r="G397" s="1"/>
      <c r="H397" s="1"/>
      <c r="I397" s="1"/>
      <c r="J397" s="1"/>
      <c r="K397" s="1"/>
      <c r="L397" s="1"/>
      <c r="M397" s="1"/>
      <c r="N397" s="1"/>
      <c r="O397" s="1"/>
      <c r="P397" s="1"/>
      <c r="Q397" s="1"/>
      <c r="R397" s="1"/>
      <c r="S397" s="1"/>
      <c r="T397" s="1"/>
      <c r="U397" s="2"/>
      <c r="V397" s="1"/>
      <c r="W397" s="1"/>
      <c r="X397" s="1"/>
      <c r="Y397" s="1"/>
      <c r="Z397" s="1"/>
    </row>
    <row r="398" spans="1:26" ht="24.75" customHeight="1">
      <c r="A398" s="1"/>
      <c r="B398" s="1"/>
      <c r="C398" s="1"/>
      <c r="D398" s="1"/>
      <c r="E398" s="1"/>
      <c r="F398" s="1"/>
      <c r="G398" s="1"/>
      <c r="H398" s="1"/>
      <c r="I398" s="1"/>
      <c r="J398" s="1"/>
      <c r="K398" s="1"/>
      <c r="L398" s="1"/>
      <c r="M398" s="1"/>
      <c r="N398" s="1"/>
      <c r="O398" s="1"/>
      <c r="P398" s="1"/>
      <c r="Q398" s="1"/>
      <c r="R398" s="1"/>
      <c r="S398" s="1"/>
      <c r="T398" s="1"/>
      <c r="U398" s="2"/>
      <c r="V398" s="1"/>
      <c r="W398" s="1"/>
      <c r="X398" s="1"/>
      <c r="Y398" s="1"/>
      <c r="Z398" s="1"/>
    </row>
    <row r="399" spans="1:26" ht="24.75" customHeight="1">
      <c r="A399" s="1"/>
      <c r="B399" s="1"/>
      <c r="C399" s="1"/>
      <c r="D399" s="1"/>
      <c r="E399" s="1"/>
      <c r="F399" s="1"/>
      <c r="G399" s="1"/>
      <c r="H399" s="1"/>
      <c r="I399" s="1"/>
      <c r="J399" s="1"/>
      <c r="K399" s="1"/>
      <c r="L399" s="1"/>
      <c r="M399" s="1"/>
      <c r="N399" s="1"/>
      <c r="O399" s="1"/>
      <c r="P399" s="1"/>
      <c r="Q399" s="1"/>
      <c r="R399" s="1"/>
      <c r="S399" s="1"/>
      <c r="T399" s="1"/>
      <c r="U399" s="2"/>
      <c r="V399" s="1"/>
      <c r="W399" s="1"/>
      <c r="X399" s="1"/>
      <c r="Y399" s="1"/>
      <c r="Z399" s="1"/>
    </row>
    <row r="400" spans="1:26" ht="24.75" customHeight="1">
      <c r="A400" s="1"/>
      <c r="B400" s="1"/>
      <c r="C400" s="1"/>
      <c r="D400" s="1"/>
      <c r="E400" s="1"/>
      <c r="F400" s="1"/>
      <c r="G400" s="1"/>
      <c r="H400" s="1"/>
      <c r="I400" s="1"/>
      <c r="J400" s="1"/>
      <c r="K400" s="1"/>
      <c r="L400" s="1"/>
      <c r="M400" s="1"/>
      <c r="N400" s="1"/>
      <c r="O400" s="1"/>
      <c r="P400" s="1"/>
      <c r="Q400" s="1"/>
      <c r="R400" s="1"/>
      <c r="S400" s="1"/>
      <c r="T400" s="1"/>
      <c r="U400" s="2"/>
      <c r="V400" s="1"/>
      <c r="W400" s="1"/>
      <c r="X400" s="1"/>
      <c r="Y400" s="1"/>
      <c r="Z400" s="1"/>
    </row>
    <row r="401" spans="1:26" ht="24.75" customHeight="1">
      <c r="A401" s="1"/>
      <c r="B401" s="1"/>
      <c r="C401" s="1"/>
      <c r="D401" s="1"/>
      <c r="E401" s="1"/>
      <c r="F401" s="1"/>
      <c r="G401" s="1"/>
      <c r="H401" s="1"/>
      <c r="I401" s="1"/>
      <c r="J401" s="1"/>
      <c r="K401" s="1"/>
      <c r="L401" s="1"/>
      <c r="M401" s="1"/>
      <c r="N401" s="1"/>
      <c r="O401" s="1"/>
      <c r="P401" s="1"/>
      <c r="Q401" s="1"/>
      <c r="R401" s="1"/>
      <c r="S401" s="1"/>
      <c r="T401" s="1"/>
      <c r="U401" s="2"/>
      <c r="V401" s="1"/>
      <c r="W401" s="1"/>
      <c r="X401" s="1"/>
      <c r="Y401" s="1"/>
      <c r="Z401" s="1"/>
    </row>
    <row r="402" spans="1:26" ht="24.75" customHeight="1">
      <c r="A402" s="1"/>
      <c r="B402" s="1"/>
      <c r="C402" s="1"/>
      <c r="D402" s="1"/>
      <c r="E402" s="1"/>
      <c r="F402" s="1"/>
      <c r="G402" s="1"/>
      <c r="H402" s="1"/>
      <c r="I402" s="1"/>
      <c r="J402" s="1"/>
      <c r="K402" s="1"/>
      <c r="L402" s="1"/>
      <c r="M402" s="1"/>
      <c r="N402" s="1"/>
      <c r="O402" s="1"/>
      <c r="P402" s="1"/>
      <c r="Q402" s="1"/>
      <c r="R402" s="1"/>
      <c r="S402" s="1"/>
      <c r="T402" s="1"/>
      <c r="U402" s="2"/>
      <c r="V402" s="1"/>
      <c r="W402" s="1"/>
      <c r="X402" s="1"/>
      <c r="Y402" s="1"/>
      <c r="Z402" s="1"/>
    </row>
    <row r="403" spans="1:26" ht="24.75" customHeight="1">
      <c r="A403" s="1"/>
      <c r="B403" s="1"/>
      <c r="C403" s="1"/>
      <c r="D403" s="1"/>
      <c r="E403" s="1"/>
      <c r="F403" s="1"/>
      <c r="G403" s="1"/>
      <c r="H403" s="1"/>
      <c r="I403" s="1"/>
      <c r="J403" s="1"/>
      <c r="K403" s="1"/>
      <c r="L403" s="1"/>
      <c r="M403" s="1"/>
      <c r="N403" s="1"/>
      <c r="O403" s="1"/>
      <c r="P403" s="1"/>
      <c r="Q403" s="1"/>
      <c r="R403" s="1"/>
      <c r="S403" s="1"/>
      <c r="T403" s="1"/>
      <c r="U403" s="2"/>
      <c r="V403" s="1"/>
      <c r="W403" s="1"/>
      <c r="X403" s="1"/>
      <c r="Y403" s="1"/>
      <c r="Z403" s="1"/>
    </row>
    <row r="404" spans="1:26" ht="24.75" customHeight="1">
      <c r="A404" s="1"/>
      <c r="B404" s="1"/>
      <c r="C404" s="1"/>
      <c r="D404" s="1"/>
      <c r="E404" s="1"/>
      <c r="F404" s="1"/>
      <c r="G404" s="1"/>
      <c r="H404" s="1"/>
      <c r="I404" s="1"/>
      <c r="J404" s="1"/>
      <c r="K404" s="1"/>
      <c r="L404" s="1"/>
      <c r="M404" s="1"/>
      <c r="N404" s="1"/>
      <c r="O404" s="1"/>
      <c r="P404" s="1"/>
      <c r="Q404" s="1"/>
      <c r="R404" s="1"/>
      <c r="S404" s="1"/>
      <c r="T404" s="1"/>
      <c r="U404" s="2"/>
      <c r="V404" s="1"/>
      <c r="W404" s="1"/>
      <c r="X404" s="1"/>
      <c r="Y404" s="1"/>
      <c r="Z404" s="1"/>
    </row>
    <row r="405" spans="1:26" ht="24.75" customHeight="1">
      <c r="A405" s="1"/>
      <c r="B405" s="1"/>
      <c r="C405" s="1"/>
      <c r="D405" s="1"/>
      <c r="E405" s="1"/>
      <c r="F405" s="1"/>
      <c r="G405" s="1"/>
      <c r="H405" s="1"/>
      <c r="I405" s="1"/>
      <c r="J405" s="1"/>
      <c r="K405" s="1"/>
      <c r="L405" s="1"/>
      <c r="M405" s="1"/>
      <c r="N405" s="1"/>
      <c r="O405" s="1"/>
      <c r="P405" s="1"/>
      <c r="Q405" s="1"/>
      <c r="R405" s="1"/>
      <c r="S405" s="1"/>
      <c r="T405" s="1"/>
      <c r="U405" s="2"/>
      <c r="V405" s="1"/>
      <c r="W405" s="1"/>
      <c r="X405" s="1"/>
      <c r="Y405" s="1"/>
      <c r="Z405" s="1"/>
    </row>
    <row r="406" spans="1:26" ht="24.75" customHeight="1">
      <c r="A406" s="1"/>
      <c r="B406" s="1"/>
      <c r="C406" s="1"/>
      <c r="D406" s="1"/>
      <c r="E406" s="1"/>
      <c r="F406" s="1"/>
      <c r="G406" s="1"/>
      <c r="H406" s="1"/>
      <c r="I406" s="1"/>
      <c r="J406" s="1"/>
      <c r="K406" s="1"/>
      <c r="L406" s="1"/>
      <c r="M406" s="1"/>
      <c r="N406" s="1"/>
      <c r="O406" s="1"/>
      <c r="P406" s="1"/>
      <c r="Q406" s="1"/>
      <c r="R406" s="1"/>
      <c r="S406" s="1"/>
      <c r="T406" s="1"/>
      <c r="U406" s="2"/>
      <c r="V406" s="1"/>
      <c r="W406" s="1"/>
      <c r="X406" s="1"/>
      <c r="Y406" s="1"/>
      <c r="Z406" s="1"/>
    </row>
    <row r="407" spans="1:26" ht="24.75" customHeight="1">
      <c r="A407" s="1"/>
      <c r="B407" s="1"/>
      <c r="C407" s="1"/>
      <c r="D407" s="1"/>
      <c r="E407" s="1"/>
      <c r="F407" s="1"/>
      <c r="G407" s="1"/>
      <c r="H407" s="1"/>
      <c r="I407" s="1"/>
      <c r="J407" s="1"/>
      <c r="K407" s="1"/>
      <c r="L407" s="1"/>
      <c r="M407" s="1"/>
      <c r="N407" s="1"/>
      <c r="O407" s="1"/>
      <c r="P407" s="1"/>
      <c r="Q407" s="1"/>
      <c r="R407" s="1"/>
      <c r="S407" s="1"/>
      <c r="T407" s="1"/>
      <c r="U407" s="2"/>
      <c r="V407" s="1"/>
      <c r="W407" s="1"/>
      <c r="X407" s="1"/>
      <c r="Y407" s="1"/>
      <c r="Z407" s="1"/>
    </row>
    <row r="408" spans="1:26" ht="24.75" customHeight="1">
      <c r="A408" s="1"/>
      <c r="B408" s="1"/>
      <c r="C408" s="1"/>
      <c r="D408" s="1"/>
      <c r="E408" s="1"/>
      <c r="F408" s="1"/>
      <c r="G408" s="1"/>
      <c r="H408" s="1"/>
      <c r="I408" s="1"/>
      <c r="J408" s="1"/>
      <c r="K408" s="1"/>
      <c r="L408" s="1"/>
      <c r="M408" s="1"/>
      <c r="N408" s="1"/>
      <c r="O408" s="1"/>
      <c r="P408" s="1"/>
      <c r="Q408" s="1"/>
      <c r="R408" s="1"/>
      <c r="S408" s="1"/>
      <c r="T408" s="1"/>
      <c r="U408" s="2"/>
      <c r="V408" s="1"/>
      <c r="W408" s="1"/>
      <c r="X408" s="1"/>
      <c r="Y408" s="1"/>
      <c r="Z408" s="1"/>
    </row>
    <row r="409" spans="1:26" ht="24.75" customHeight="1">
      <c r="A409" s="1"/>
      <c r="B409" s="1"/>
      <c r="C409" s="1"/>
      <c r="D409" s="1"/>
      <c r="E409" s="1"/>
      <c r="F409" s="1"/>
      <c r="G409" s="1"/>
      <c r="H409" s="1"/>
      <c r="I409" s="1"/>
      <c r="J409" s="1"/>
      <c r="K409" s="1"/>
      <c r="L409" s="1"/>
      <c r="M409" s="1"/>
      <c r="N409" s="1"/>
      <c r="O409" s="1"/>
      <c r="P409" s="1"/>
      <c r="Q409" s="1"/>
      <c r="R409" s="1"/>
      <c r="S409" s="1"/>
      <c r="T409" s="1"/>
      <c r="U409" s="2"/>
      <c r="V409" s="1"/>
      <c r="W409" s="1"/>
      <c r="X409" s="1"/>
      <c r="Y409" s="1"/>
      <c r="Z409" s="1"/>
    </row>
    <row r="410" spans="1:26" ht="24.75" customHeight="1">
      <c r="A410" s="1"/>
      <c r="B410" s="1"/>
      <c r="C410" s="1"/>
      <c r="D410" s="1"/>
      <c r="E410" s="1"/>
      <c r="F410" s="1"/>
      <c r="G410" s="1"/>
      <c r="H410" s="1"/>
      <c r="I410" s="1"/>
      <c r="J410" s="1"/>
      <c r="K410" s="1"/>
      <c r="L410" s="1"/>
      <c r="M410" s="1"/>
      <c r="N410" s="1"/>
      <c r="O410" s="1"/>
      <c r="P410" s="1"/>
      <c r="Q410" s="1"/>
      <c r="R410" s="1"/>
      <c r="S410" s="1"/>
      <c r="T410" s="1"/>
      <c r="U410" s="2"/>
      <c r="V410" s="1"/>
      <c r="W410" s="1"/>
      <c r="X410" s="1"/>
      <c r="Y410" s="1"/>
      <c r="Z410" s="1"/>
    </row>
    <row r="411" spans="1:26" ht="24.75" customHeight="1">
      <c r="A411" s="1"/>
      <c r="B411" s="1"/>
      <c r="C411" s="1"/>
      <c r="D411" s="1"/>
      <c r="E411" s="1"/>
      <c r="F411" s="1"/>
      <c r="G411" s="1"/>
      <c r="H411" s="1"/>
      <c r="I411" s="1"/>
      <c r="J411" s="1"/>
      <c r="K411" s="1"/>
      <c r="L411" s="1"/>
      <c r="M411" s="1"/>
      <c r="N411" s="1"/>
      <c r="O411" s="1"/>
      <c r="P411" s="1"/>
      <c r="Q411" s="1"/>
      <c r="R411" s="1"/>
      <c r="S411" s="1"/>
      <c r="T411" s="1"/>
      <c r="U411" s="2"/>
      <c r="V411" s="1"/>
      <c r="W411" s="1"/>
      <c r="X411" s="1"/>
      <c r="Y411" s="1"/>
      <c r="Z411" s="1"/>
    </row>
    <row r="412" spans="1:26" ht="24.75" customHeight="1">
      <c r="A412" s="1"/>
      <c r="B412" s="1"/>
      <c r="C412" s="1"/>
      <c r="D412" s="1"/>
      <c r="E412" s="1"/>
      <c r="F412" s="1"/>
      <c r="G412" s="1"/>
      <c r="H412" s="1"/>
      <c r="I412" s="1"/>
      <c r="J412" s="1"/>
      <c r="K412" s="1"/>
      <c r="L412" s="1"/>
      <c r="M412" s="1"/>
      <c r="N412" s="1"/>
      <c r="O412" s="1"/>
      <c r="P412" s="1"/>
      <c r="Q412" s="1"/>
      <c r="R412" s="1"/>
      <c r="S412" s="1"/>
      <c r="T412" s="1"/>
      <c r="U412" s="2"/>
      <c r="V412" s="1"/>
      <c r="W412" s="1"/>
      <c r="X412" s="1"/>
      <c r="Y412" s="1"/>
      <c r="Z412" s="1"/>
    </row>
    <row r="413" spans="1:26" ht="24.75" customHeight="1">
      <c r="A413" s="1"/>
      <c r="B413" s="1"/>
      <c r="C413" s="1"/>
      <c r="D413" s="1"/>
      <c r="E413" s="1"/>
      <c r="F413" s="1"/>
      <c r="G413" s="1"/>
      <c r="H413" s="1"/>
      <c r="I413" s="1"/>
      <c r="J413" s="1"/>
      <c r="K413" s="1"/>
      <c r="L413" s="1"/>
      <c r="M413" s="1"/>
      <c r="N413" s="1"/>
      <c r="O413" s="1"/>
      <c r="P413" s="1"/>
      <c r="Q413" s="1"/>
      <c r="R413" s="1"/>
      <c r="S413" s="1"/>
      <c r="T413" s="1"/>
      <c r="U413" s="2"/>
      <c r="V413" s="1"/>
      <c r="W413" s="1"/>
      <c r="X413" s="1"/>
      <c r="Y413" s="1"/>
      <c r="Z413" s="1"/>
    </row>
    <row r="414" spans="1:26" ht="24.75" customHeight="1">
      <c r="A414" s="1"/>
      <c r="B414" s="1"/>
      <c r="C414" s="1"/>
      <c r="D414" s="1"/>
      <c r="E414" s="1"/>
      <c r="F414" s="1"/>
      <c r="G414" s="1"/>
      <c r="H414" s="1"/>
      <c r="I414" s="1"/>
      <c r="J414" s="1"/>
      <c r="K414" s="1"/>
      <c r="L414" s="1"/>
      <c r="M414" s="1"/>
      <c r="N414" s="1"/>
      <c r="O414" s="1"/>
      <c r="P414" s="1"/>
      <c r="Q414" s="1"/>
      <c r="R414" s="1"/>
      <c r="S414" s="1"/>
      <c r="T414" s="1"/>
      <c r="U414" s="2"/>
      <c r="V414" s="1"/>
      <c r="W414" s="1"/>
      <c r="X414" s="1"/>
      <c r="Y414" s="1"/>
      <c r="Z414" s="1"/>
    </row>
    <row r="415" spans="1:26" ht="24.75" customHeight="1">
      <c r="A415" s="1"/>
      <c r="B415" s="1"/>
      <c r="C415" s="1"/>
      <c r="D415" s="1"/>
      <c r="E415" s="1"/>
      <c r="F415" s="1"/>
      <c r="G415" s="1"/>
      <c r="H415" s="1"/>
      <c r="I415" s="1"/>
      <c r="J415" s="1"/>
      <c r="K415" s="1"/>
      <c r="L415" s="1"/>
      <c r="M415" s="1"/>
      <c r="N415" s="1"/>
      <c r="O415" s="1"/>
      <c r="P415" s="1"/>
      <c r="Q415" s="1"/>
      <c r="R415" s="1"/>
      <c r="S415" s="1"/>
      <c r="T415" s="1"/>
      <c r="U415" s="2"/>
      <c r="V415" s="1"/>
      <c r="W415" s="1"/>
      <c r="X415" s="1"/>
      <c r="Y415" s="1"/>
      <c r="Z415" s="1"/>
    </row>
    <row r="416" spans="1:26" ht="24.75" customHeight="1">
      <c r="A416" s="1"/>
      <c r="B416" s="1"/>
      <c r="C416" s="1"/>
      <c r="D416" s="1"/>
      <c r="E416" s="1"/>
      <c r="F416" s="1"/>
      <c r="G416" s="1"/>
      <c r="H416" s="1"/>
      <c r="I416" s="1"/>
      <c r="J416" s="1"/>
      <c r="K416" s="1"/>
      <c r="L416" s="1"/>
      <c r="M416" s="1"/>
      <c r="N416" s="1"/>
      <c r="O416" s="1"/>
      <c r="P416" s="1"/>
      <c r="Q416" s="1"/>
      <c r="R416" s="1"/>
      <c r="S416" s="1"/>
      <c r="T416" s="1"/>
      <c r="U416" s="2"/>
      <c r="V416" s="1"/>
      <c r="W416" s="1"/>
      <c r="X416" s="1"/>
      <c r="Y416" s="1"/>
      <c r="Z416" s="1"/>
    </row>
    <row r="417" spans="1:26" ht="24.75" customHeight="1">
      <c r="A417" s="1"/>
      <c r="B417" s="1"/>
      <c r="C417" s="1"/>
      <c r="D417" s="1"/>
      <c r="E417" s="1"/>
      <c r="F417" s="1"/>
      <c r="G417" s="1"/>
      <c r="H417" s="1"/>
      <c r="I417" s="1"/>
      <c r="J417" s="1"/>
      <c r="K417" s="1"/>
      <c r="L417" s="1"/>
      <c r="M417" s="1"/>
      <c r="N417" s="1"/>
      <c r="O417" s="1"/>
      <c r="P417" s="1"/>
      <c r="Q417" s="1"/>
      <c r="R417" s="1"/>
      <c r="S417" s="1"/>
      <c r="T417" s="1"/>
      <c r="U417" s="2"/>
      <c r="V417" s="1"/>
      <c r="W417" s="1"/>
      <c r="X417" s="1"/>
      <c r="Y417" s="1"/>
      <c r="Z417" s="1"/>
    </row>
    <row r="418" spans="1:26" ht="24.75" customHeight="1">
      <c r="A418" s="1"/>
      <c r="B418" s="1"/>
      <c r="C418" s="1"/>
      <c r="D418" s="1"/>
      <c r="E418" s="1"/>
      <c r="F418" s="1"/>
      <c r="G418" s="1"/>
      <c r="H418" s="1"/>
      <c r="I418" s="1"/>
      <c r="J418" s="1"/>
      <c r="K418" s="1"/>
      <c r="L418" s="1"/>
      <c r="M418" s="1"/>
      <c r="N418" s="1"/>
      <c r="O418" s="1"/>
      <c r="P418" s="1"/>
      <c r="Q418" s="1"/>
      <c r="R418" s="1"/>
      <c r="S418" s="1"/>
      <c r="T418" s="1"/>
      <c r="U418" s="2"/>
      <c r="V418" s="1"/>
      <c r="W418" s="1"/>
      <c r="X418" s="1"/>
      <c r="Y418" s="1"/>
      <c r="Z418" s="1"/>
    </row>
    <row r="419" spans="1:26" ht="24.75" customHeight="1">
      <c r="A419" s="1"/>
      <c r="B419" s="1"/>
      <c r="C419" s="1"/>
      <c r="D419" s="1"/>
      <c r="E419" s="1"/>
      <c r="F419" s="1"/>
      <c r="G419" s="1"/>
      <c r="H419" s="1"/>
      <c r="I419" s="1"/>
      <c r="J419" s="1"/>
      <c r="K419" s="1"/>
      <c r="L419" s="1"/>
      <c r="M419" s="1"/>
      <c r="N419" s="1"/>
      <c r="O419" s="1"/>
      <c r="P419" s="1"/>
      <c r="Q419" s="1"/>
      <c r="R419" s="1"/>
      <c r="S419" s="1"/>
      <c r="T419" s="1"/>
      <c r="U419" s="2"/>
      <c r="V419" s="1"/>
      <c r="W419" s="1"/>
      <c r="X419" s="1"/>
      <c r="Y419" s="1"/>
      <c r="Z419" s="1"/>
    </row>
    <row r="420" spans="1:26" ht="24.75" customHeight="1">
      <c r="A420" s="1"/>
      <c r="B420" s="1"/>
      <c r="C420" s="1"/>
      <c r="D420" s="1"/>
      <c r="E420" s="1"/>
      <c r="F420" s="1"/>
      <c r="G420" s="1"/>
      <c r="H420" s="1"/>
      <c r="I420" s="1"/>
      <c r="J420" s="1"/>
      <c r="K420" s="1"/>
      <c r="L420" s="1"/>
      <c r="M420" s="1"/>
      <c r="N420" s="1"/>
      <c r="O420" s="1"/>
      <c r="P420" s="1"/>
      <c r="Q420" s="1"/>
      <c r="R420" s="1"/>
      <c r="S420" s="1"/>
      <c r="T420" s="1"/>
      <c r="U420" s="2"/>
      <c r="V420" s="1"/>
      <c r="W420" s="1"/>
      <c r="X420" s="1"/>
      <c r="Y420" s="1"/>
      <c r="Z420" s="1"/>
    </row>
    <row r="421" spans="1:26" ht="24.75" customHeight="1">
      <c r="A421" s="1"/>
      <c r="B421" s="1"/>
      <c r="C421" s="1"/>
      <c r="D421" s="1"/>
      <c r="E421" s="1"/>
      <c r="F421" s="1"/>
      <c r="G421" s="1"/>
      <c r="H421" s="1"/>
      <c r="I421" s="1"/>
      <c r="J421" s="1"/>
      <c r="K421" s="1"/>
      <c r="L421" s="1"/>
      <c r="M421" s="1"/>
      <c r="N421" s="1"/>
      <c r="O421" s="1"/>
      <c r="P421" s="1"/>
      <c r="Q421" s="1"/>
      <c r="R421" s="1"/>
      <c r="S421" s="1"/>
      <c r="T421" s="1"/>
      <c r="U421" s="2"/>
      <c r="V421" s="1"/>
      <c r="W421" s="1"/>
      <c r="X421" s="1"/>
      <c r="Y421" s="1"/>
      <c r="Z421" s="1"/>
    </row>
    <row r="422" spans="1:26" ht="24.75" customHeight="1">
      <c r="A422" s="1"/>
      <c r="B422" s="1"/>
      <c r="C422" s="1"/>
      <c r="D422" s="1"/>
      <c r="E422" s="1"/>
      <c r="F422" s="1"/>
      <c r="G422" s="1"/>
      <c r="H422" s="1"/>
      <c r="I422" s="1"/>
      <c r="J422" s="1"/>
      <c r="K422" s="1"/>
      <c r="L422" s="1"/>
      <c r="M422" s="1"/>
      <c r="N422" s="1"/>
      <c r="O422" s="1"/>
      <c r="P422" s="1"/>
      <c r="Q422" s="1"/>
      <c r="R422" s="1"/>
      <c r="S422" s="1"/>
      <c r="T422" s="1"/>
      <c r="U422" s="2"/>
      <c r="V422" s="1"/>
      <c r="W422" s="1"/>
      <c r="X422" s="1"/>
      <c r="Y422" s="1"/>
      <c r="Z422" s="1"/>
    </row>
    <row r="423" spans="1:26" ht="24.75" customHeight="1">
      <c r="A423" s="1"/>
      <c r="B423" s="1"/>
      <c r="C423" s="1"/>
      <c r="D423" s="1"/>
      <c r="E423" s="1"/>
      <c r="F423" s="1"/>
      <c r="G423" s="1"/>
      <c r="H423" s="1"/>
      <c r="I423" s="1"/>
      <c r="J423" s="1"/>
      <c r="K423" s="1"/>
      <c r="L423" s="1"/>
      <c r="M423" s="1"/>
      <c r="N423" s="1"/>
      <c r="O423" s="1"/>
      <c r="P423" s="1"/>
      <c r="Q423" s="1"/>
      <c r="R423" s="1"/>
      <c r="S423" s="1"/>
      <c r="T423" s="1"/>
      <c r="U423" s="2"/>
      <c r="V423" s="1"/>
      <c r="W423" s="1"/>
      <c r="X423" s="1"/>
      <c r="Y423" s="1"/>
      <c r="Z423" s="1"/>
    </row>
    <row r="424" spans="1:26" ht="24.75" customHeight="1">
      <c r="A424" s="1"/>
      <c r="B424" s="1"/>
      <c r="C424" s="1"/>
      <c r="D424" s="1"/>
      <c r="E424" s="1"/>
      <c r="F424" s="1"/>
      <c r="G424" s="1"/>
      <c r="H424" s="1"/>
      <c r="I424" s="1"/>
      <c r="J424" s="1"/>
      <c r="K424" s="1"/>
      <c r="L424" s="1"/>
      <c r="M424" s="1"/>
      <c r="N424" s="1"/>
      <c r="O424" s="1"/>
      <c r="P424" s="1"/>
      <c r="Q424" s="1"/>
      <c r="R424" s="1"/>
      <c r="S424" s="1"/>
      <c r="T424" s="1"/>
      <c r="U424" s="2"/>
      <c r="V424" s="1"/>
      <c r="W424" s="1"/>
      <c r="X424" s="1"/>
      <c r="Y424" s="1"/>
      <c r="Z424" s="1"/>
    </row>
    <row r="425" spans="1:26" ht="24.75" customHeight="1">
      <c r="A425" s="1"/>
      <c r="B425" s="1"/>
      <c r="C425" s="1"/>
      <c r="D425" s="1"/>
      <c r="E425" s="1"/>
      <c r="F425" s="1"/>
      <c r="G425" s="1"/>
      <c r="H425" s="1"/>
      <c r="I425" s="1"/>
      <c r="J425" s="1"/>
      <c r="K425" s="1"/>
      <c r="L425" s="1"/>
      <c r="M425" s="1"/>
      <c r="N425" s="1"/>
      <c r="O425" s="1"/>
      <c r="P425" s="1"/>
      <c r="Q425" s="1"/>
      <c r="R425" s="1"/>
      <c r="S425" s="1"/>
      <c r="T425" s="1"/>
      <c r="U425" s="2"/>
      <c r="V425" s="1"/>
      <c r="W425" s="1"/>
      <c r="X425" s="1"/>
      <c r="Y425" s="1"/>
      <c r="Z425" s="1"/>
    </row>
    <row r="426" spans="1:26" ht="24.75" customHeight="1">
      <c r="A426" s="1"/>
      <c r="B426" s="1"/>
      <c r="C426" s="1"/>
      <c r="D426" s="1"/>
      <c r="E426" s="1"/>
      <c r="F426" s="1"/>
      <c r="G426" s="1"/>
      <c r="H426" s="1"/>
      <c r="I426" s="1"/>
      <c r="J426" s="1"/>
      <c r="K426" s="1"/>
      <c r="L426" s="1"/>
      <c r="M426" s="1"/>
      <c r="N426" s="1"/>
      <c r="O426" s="1"/>
      <c r="P426" s="1"/>
      <c r="Q426" s="1"/>
      <c r="R426" s="1"/>
      <c r="S426" s="1"/>
      <c r="T426" s="1"/>
      <c r="U426" s="2"/>
      <c r="V426" s="1"/>
      <c r="W426" s="1"/>
      <c r="X426" s="1"/>
      <c r="Y426" s="1"/>
      <c r="Z426" s="1"/>
    </row>
    <row r="427" spans="1:26" ht="24.75" customHeight="1">
      <c r="A427" s="1"/>
      <c r="B427" s="1"/>
      <c r="C427" s="1"/>
      <c r="D427" s="1"/>
      <c r="E427" s="1"/>
      <c r="F427" s="1"/>
      <c r="G427" s="1"/>
      <c r="H427" s="1"/>
      <c r="I427" s="1"/>
      <c r="J427" s="1"/>
      <c r="K427" s="1"/>
      <c r="L427" s="1"/>
      <c r="M427" s="1"/>
      <c r="N427" s="1"/>
      <c r="O427" s="1"/>
      <c r="P427" s="1"/>
      <c r="Q427" s="1"/>
      <c r="R427" s="1"/>
      <c r="S427" s="1"/>
      <c r="T427" s="1"/>
      <c r="U427" s="2"/>
      <c r="V427" s="1"/>
      <c r="W427" s="1"/>
      <c r="X427" s="1"/>
      <c r="Y427" s="1"/>
      <c r="Z427" s="1"/>
    </row>
    <row r="428" spans="1:26" ht="24.75" customHeight="1">
      <c r="A428" s="1"/>
      <c r="B428" s="1"/>
      <c r="C428" s="1"/>
      <c r="D428" s="1"/>
      <c r="E428" s="1"/>
      <c r="F428" s="1"/>
      <c r="G428" s="1"/>
      <c r="H428" s="1"/>
      <c r="I428" s="1"/>
      <c r="J428" s="1"/>
      <c r="K428" s="1"/>
      <c r="L428" s="1"/>
      <c r="M428" s="1"/>
      <c r="N428" s="1"/>
      <c r="O428" s="1"/>
      <c r="P428" s="1"/>
      <c r="Q428" s="1"/>
      <c r="R428" s="1"/>
      <c r="S428" s="1"/>
      <c r="T428" s="1"/>
      <c r="U428" s="2"/>
      <c r="V428" s="1"/>
      <c r="W428" s="1"/>
      <c r="X428" s="1"/>
      <c r="Y428" s="1"/>
      <c r="Z428" s="1"/>
    </row>
    <row r="429" spans="1:26" ht="24.75" customHeight="1">
      <c r="A429" s="1"/>
      <c r="B429" s="1"/>
      <c r="C429" s="1"/>
      <c r="D429" s="1"/>
      <c r="E429" s="1"/>
      <c r="F429" s="1"/>
      <c r="G429" s="1"/>
      <c r="H429" s="1"/>
      <c r="I429" s="1"/>
      <c r="J429" s="1"/>
      <c r="K429" s="1"/>
      <c r="L429" s="1"/>
      <c r="M429" s="1"/>
      <c r="N429" s="1"/>
      <c r="O429" s="1"/>
      <c r="P429" s="1"/>
      <c r="Q429" s="1"/>
      <c r="R429" s="1"/>
      <c r="S429" s="1"/>
      <c r="T429" s="1"/>
      <c r="U429" s="2"/>
      <c r="V429" s="1"/>
      <c r="W429" s="1"/>
      <c r="X429" s="1"/>
      <c r="Y429" s="1"/>
      <c r="Z429" s="1"/>
    </row>
    <row r="430" spans="1:26" ht="24.75" customHeight="1">
      <c r="A430" s="1"/>
      <c r="B430" s="1"/>
      <c r="C430" s="1"/>
      <c r="D430" s="1"/>
      <c r="E430" s="1"/>
      <c r="F430" s="1"/>
      <c r="G430" s="1"/>
      <c r="H430" s="1"/>
      <c r="I430" s="1"/>
      <c r="J430" s="1"/>
      <c r="K430" s="1"/>
      <c r="L430" s="1"/>
      <c r="M430" s="1"/>
      <c r="N430" s="1"/>
      <c r="O430" s="1"/>
      <c r="P430" s="1"/>
      <c r="Q430" s="1"/>
      <c r="R430" s="1"/>
      <c r="S430" s="1"/>
      <c r="T430" s="1"/>
      <c r="U430" s="2"/>
      <c r="V430" s="1"/>
      <c r="W430" s="1"/>
      <c r="X430" s="1"/>
      <c r="Y430" s="1"/>
      <c r="Z430" s="1"/>
    </row>
    <row r="431" spans="1:26" ht="24.75" customHeight="1">
      <c r="A431" s="1"/>
      <c r="B431" s="1"/>
      <c r="C431" s="1"/>
      <c r="D431" s="1"/>
      <c r="E431" s="1"/>
      <c r="F431" s="1"/>
      <c r="G431" s="1"/>
      <c r="H431" s="1"/>
      <c r="I431" s="1"/>
      <c r="J431" s="1"/>
      <c r="K431" s="1"/>
      <c r="L431" s="1"/>
      <c r="M431" s="1"/>
      <c r="N431" s="1"/>
      <c r="O431" s="1"/>
      <c r="P431" s="1"/>
      <c r="Q431" s="1"/>
      <c r="R431" s="1"/>
      <c r="S431" s="1"/>
      <c r="T431" s="1"/>
      <c r="U431" s="2"/>
      <c r="V431" s="1"/>
      <c r="W431" s="1"/>
      <c r="X431" s="1"/>
      <c r="Y431" s="1"/>
      <c r="Z431" s="1"/>
    </row>
    <row r="432" spans="1:26" ht="24.75" customHeight="1">
      <c r="A432" s="1"/>
      <c r="B432" s="1"/>
      <c r="C432" s="1"/>
      <c r="D432" s="1"/>
      <c r="E432" s="1"/>
      <c r="F432" s="1"/>
      <c r="G432" s="1"/>
      <c r="H432" s="1"/>
      <c r="I432" s="1"/>
      <c r="J432" s="1"/>
      <c r="K432" s="1"/>
      <c r="L432" s="1"/>
      <c r="M432" s="1"/>
      <c r="N432" s="1"/>
      <c r="O432" s="1"/>
      <c r="P432" s="1"/>
      <c r="Q432" s="1"/>
      <c r="R432" s="1"/>
      <c r="S432" s="1"/>
      <c r="T432" s="1"/>
      <c r="U432" s="2"/>
      <c r="V432" s="1"/>
      <c r="W432" s="1"/>
      <c r="X432" s="1"/>
      <c r="Y432" s="1"/>
      <c r="Z432" s="1"/>
    </row>
    <row r="433" spans="1:26" ht="24.75" customHeight="1">
      <c r="A433" s="1"/>
      <c r="B433" s="1"/>
      <c r="C433" s="1"/>
      <c r="D433" s="1"/>
      <c r="E433" s="1"/>
      <c r="F433" s="1"/>
      <c r="G433" s="1"/>
      <c r="H433" s="1"/>
      <c r="I433" s="1"/>
      <c r="J433" s="1"/>
      <c r="K433" s="1"/>
      <c r="L433" s="1"/>
      <c r="M433" s="1"/>
      <c r="N433" s="1"/>
      <c r="O433" s="1"/>
      <c r="P433" s="1"/>
      <c r="Q433" s="1"/>
      <c r="R433" s="1"/>
      <c r="S433" s="1"/>
      <c r="T433" s="1"/>
      <c r="U433" s="2"/>
      <c r="V433" s="1"/>
      <c r="W433" s="1"/>
      <c r="X433" s="1"/>
      <c r="Y433" s="1"/>
      <c r="Z433" s="1"/>
    </row>
    <row r="434" spans="1:26" ht="24.75" customHeight="1">
      <c r="A434" s="1"/>
      <c r="B434" s="1"/>
      <c r="C434" s="1"/>
      <c r="D434" s="1"/>
      <c r="E434" s="1"/>
      <c r="F434" s="1"/>
      <c r="G434" s="1"/>
      <c r="H434" s="1"/>
      <c r="I434" s="1"/>
      <c r="J434" s="1"/>
      <c r="K434" s="1"/>
      <c r="L434" s="1"/>
      <c r="M434" s="1"/>
      <c r="N434" s="1"/>
      <c r="O434" s="1"/>
      <c r="P434" s="1"/>
      <c r="Q434" s="1"/>
      <c r="R434" s="1"/>
      <c r="S434" s="1"/>
      <c r="T434" s="1"/>
      <c r="U434" s="2"/>
      <c r="V434" s="1"/>
      <c r="W434" s="1"/>
      <c r="X434" s="1"/>
      <c r="Y434" s="1"/>
      <c r="Z434" s="1"/>
    </row>
    <row r="435" spans="1:26" ht="24.75" customHeight="1">
      <c r="A435" s="1"/>
      <c r="B435" s="1"/>
      <c r="C435" s="1"/>
      <c r="D435" s="1"/>
      <c r="E435" s="1"/>
      <c r="F435" s="1"/>
      <c r="G435" s="1"/>
      <c r="H435" s="1"/>
      <c r="I435" s="1"/>
      <c r="J435" s="1"/>
      <c r="K435" s="1"/>
      <c r="L435" s="1"/>
      <c r="M435" s="1"/>
      <c r="N435" s="1"/>
      <c r="O435" s="1"/>
      <c r="P435" s="1"/>
      <c r="Q435" s="1"/>
      <c r="R435" s="1"/>
      <c r="S435" s="1"/>
      <c r="T435" s="1"/>
      <c r="U435" s="2"/>
      <c r="V435" s="1"/>
      <c r="W435" s="1"/>
      <c r="X435" s="1"/>
      <c r="Y435" s="1"/>
      <c r="Z435" s="1"/>
    </row>
    <row r="436" spans="1:26" ht="24.75" customHeight="1">
      <c r="A436" s="1"/>
      <c r="B436" s="1"/>
      <c r="C436" s="1"/>
      <c r="D436" s="1"/>
      <c r="E436" s="1"/>
      <c r="F436" s="1"/>
      <c r="G436" s="1"/>
      <c r="H436" s="1"/>
      <c r="I436" s="1"/>
      <c r="J436" s="1"/>
      <c r="K436" s="1"/>
      <c r="L436" s="1"/>
      <c r="M436" s="1"/>
      <c r="N436" s="1"/>
      <c r="O436" s="1"/>
      <c r="P436" s="1"/>
      <c r="Q436" s="1"/>
      <c r="R436" s="1"/>
      <c r="S436" s="1"/>
      <c r="T436" s="1"/>
      <c r="U436" s="2"/>
      <c r="V436" s="1"/>
      <c r="W436" s="1"/>
      <c r="X436" s="1"/>
      <c r="Y436" s="1"/>
      <c r="Z436" s="1"/>
    </row>
    <row r="437" spans="1:26" ht="24.75" customHeight="1">
      <c r="A437" s="1"/>
      <c r="B437" s="1"/>
      <c r="C437" s="1"/>
      <c r="D437" s="1"/>
      <c r="E437" s="1"/>
      <c r="F437" s="1"/>
      <c r="G437" s="1"/>
      <c r="H437" s="1"/>
      <c r="I437" s="1"/>
      <c r="J437" s="1"/>
      <c r="K437" s="1"/>
      <c r="L437" s="1"/>
      <c r="M437" s="1"/>
      <c r="N437" s="1"/>
      <c r="O437" s="1"/>
      <c r="P437" s="1"/>
      <c r="Q437" s="1"/>
      <c r="R437" s="1"/>
      <c r="S437" s="1"/>
      <c r="T437" s="1"/>
      <c r="U437" s="2"/>
      <c r="V437" s="1"/>
      <c r="W437" s="1"/>
      <c r="X437" s="1"/>
      <c r="Y437" s="1"/>
      <c r="Z437" s="1"/>
    </row>
    <row r="438" spans="1:26" ht="24.75" customHeight="1">
      <c r="A438" s="1"/>
      <c r="B438" s="1"/>
      <c r="C438" s="1"/>
      <c r="D438" s="1"/>
      <c r="E438" s="1"/>
      <c r="F438" s="1"/>
      <c r="G438" s="1"/>
      <c r="H438" s="1"/>
      <c r="I438" s="1"/>
      <c r="J438" s="1"/>
      <c r="K438" s="1"/>
      <c r="L438" s="1"/>
      <c r="M438" s="1"/>
      <c r="N438" s="1"/>
      <c r="O438" s="1"/>
      <c r="P438" s="1"/>
      <c r="Q438" s="1"/>
      <c r="R438" s="1"/>
      <c r="S438" s="1"/>
      <c r="T438" s="1"/>
      <c r="U438" s="2"/>
      <c r="V438" s="1"/>
      <c r="W438" s="1"/>
      <c r="X438" s="1"/>
      <c r="Y438" s="1"/>
      <c r="Z438" s="1"/>
    </row>
    <row r="439" spans="1:26" ht="24.75" customHeight="1">
      <c r="A439" s="1"/>
      <c r="B439" s="1"/>
      <c r="C439" s="1"/>
      <c r="D439" s="1"/>
      <c r="E439" s="1"/>
      <c r="F439" s="1"/>
      <c r="G439" s="1"/>
      <c r="H439" s="1"/>
      <c r="I439" s="1"/>
      <c r="J439" s="1"/>
      <c r="K439" s="1"/>
      <c r="L439" s="1"/>
      <c r="M439" s="1"/>
      <c r="N439" s="1"/>
      <c r="O439" s="1"/>
      <c r="P439" s="1"/>
      <c r="Q439" s="1"/>
      <c r="R439" s="1"/>
      <c r="S439" s="1"/>
      <c r="T439" s="1"/>
      <c r="U439" s="2"/>
      <c r="V439" s="1"/>
      <c r="W439" s="1"/>
      <c r="X439" s="1"/>
      <c r="Y439" s="1"/>
      <c r="Z439" s="1"/>
    </row>
    <row r="440" spans="1:26" ht="24.75" customHeight="1">
      <c r="A440" s="1"/>
      <c r="B440" s="1"/>
      <c r="C440" s="1"/>
      <c r="D440" s="1"/>
      <c r="E440" s="1"/>
      <c r="F440" s="1"/>
      <c r="G440" s="1"/>
      <c r="H440" s="1"/>
      <c r="I440" s="1"/>
      <c r="J440" s="1"/>
      <c r="K440" s="1"/>
      <c r="L440" s="1"/>
      <c r="M440" s="1"/>
      <c r="N440" s="1"/>
      <c r="O440" s="1"/>
      <c r="P440" s="1"/>
      <c r="Q440" s="1"/>
      <c r="R440" s="1"/>
      <c r="S440" s="1"/>
      <c r="T440" s="1"/>
      <c r="U440" s="2"/>
      <c r="V440" s="1"/>
      <c r="W440" s="1"/>
      <c r="X440" s="1"/>
      <c r="Y440" s="1"/>
      <c r="Z440" s="1"/>
    </row>
    <row r="441" spans="1:26" ht="24.75" customHeight="1">
      <c r="A441" s="1"/>
      <c r="B441" s="1"/>
      <c r="C441" s="1"/>
      <c r="D441" s="1"/>
      <c r="E441" s="1"/>
      <c r="F441" s="1"/>
      <c r="G441" s="1"/>
      <c r="H441" s="1"/>
      <c r="I441" s="1"/>
      <c r="J441" s="1"/>
      <c r="K441" s="1"/>
      <c r="L441" s="1"/>
      <c r="M441" s="1"/>
      <c r="N441" s="1"/>
      <c r="O441" s="1"/>
      <c r="P441" s="1"/>
      <c r="Q441" s="1"/>
      <c r="R441" s="1"/>
      <c r="S441" s="1"/>
      <c r="T441" s="1"/>
      <c r="U441" s="2"/>
      <c r="V441" s="1"/>
      <c r="W441" s="1"/>
      <c r="X441" s="1"/>
      <c r="Y441" s="1"/>
      <c r="Z441" s="1"/>
    </row>
    <row r="442" spans="1:26" ht="24.75" customHeight="1">
      <c r="A442" s="1"/>
      <c r="B442" s="1"/>
      <c r="C442" s="1"/>
      <c r="D442" s="1"/>
      <c r="E442" s="1"/>
      <c r="F442" s="1"/>
      <c r="G442" s="1"/>
      <c r="H442" s="1"/>
      <c r="I442" s="1"/>
      <c r="J442" s="1"/>
      <c r="K442" s="1"/>
      <c r="L442" s="1"/>
      <c r="M442" s="1"/>
      <c r="N442" s="1"/>
      <c r="O442" s="1"/>
      <c r="P442" s="1"/>
      <c r="Q442" s="1"/>
      <c r="R442" s="1"/>
      <c r="S442" s="1"/>
      <c r="T442" s="1"/>
      <c r="U442" s="2"/>
      <c r="V442" s="1"/>
      <c r="W442" s="1"/>
      <c r="X442" s="1"/>
      <c r="Y442" s="1"/>
      <c r="Z442" s="1"/>
    </row>
    <row r="443" spans="1:26" ht="24.75" customHeight="1">
      <c r="A443" s="1"/>
      <c r="B443" s="1"/>
      <c r="C443" s="1"/>
      <c r="D443" s="1"/>
      <c r="E443" s="1"/>
      <c r="F443" s="1"/>
      <c r="G443" s="1"/>
      <c r="H443" s="1"/>
      <c r="I443" s="1"/>
      <c r="J443" s="1"/>
      <c r="K443" s="1"/>
      <c r="L443" s="1"/>
      <c r="M443" s="1"/>
      <c r="N443" s="1"/>
      <c r="O443" s="1"/>
      <c r="P443" s="1"/>
      <c r="Q443" s="1"/>
      <c r="R443" s="1"/>
      <c r="S443" s="1"/>
      <c r="T443" s="1"/>
      <c r="U443" s="2"/>
      <c r="V443" s="1"/>
      <c r="W443" s="1"/>
      <c r="X443" s="1"/>
      <c r="Y443" s="1"/>
      <c r="Z443" s="1"/>
    </row>
    <row r="444" spans="1:26" ht="24.75" customHeight="1">
      <c r="A444" s="1"/>
      <c r="B444" s="1"/>
      <c r="C444" s="1"/>
      <c r="D444" s="1"/>
      <c r="E444" s="1"/>
      <c r="F444" s="1"/>
      <c r="G444" s="1"/>
      <c r="H444" s="1"/>
      <c r="I444" s="1"/>
      <c r="J444" s="1"/>
      <c r="K444" s="1"/>
      <c r="L444" s="1"/>
      <c r="M444" s="1"/>
      <c r="N444" s="1"/>
      <c r="O444" s="1"/>
      <c r="P444" s="1"/>
      <c r="Q444" s="1"/>
      <c r="R444" s="1"/>
      <c r="S444" s="1"/>
      <c r="T444" s="1"/>
      <c r="U444" s="2"/>
      <c r="V444" s="1"/>
      <c r="W444" s="1"/>
      <c r="X444" s="1"/>
      <c r="Y444" s="1"/>
      <c r="Z444" s="1"/>
    </row>
    <row r="445" spans="1:26" ht="24.75" customHeight="1">
      <c r="A445" s="1"/>
      <c r="B445" s="1"/>
      <c r="C445" s="1"/>
      <c r="D445" s="1"/>
      <c r="E445" s="1"/>
      <c r="F445" s="1"/>
      <c r="G445" s="1"/>
      <c r="H445" s="1"/>
      <c r="I445" s="1"/>
      <c r="J445" s="1"/>
      <c r="K445" s="1"/>
      <c r="L445" s="1"/>
      <c r="M445" s="1"/>
      <c r="N445" s="1"/>
      <c r="O445" s="1"/>
      <c r="P445" s="1"/>
      <c r="Q445" s="1"/>
      <c r="R445" s="1"/>
      <c r="S445" s="1"/>
      <c r="T445" s="1"/>
      <c r="U445" s="2"/>
      <c r="V445" s="1"/>
      <c r="W445" s="1"/>
      <c r="X445" s="1"/>
      <c r="Y445" s="1"/>
      <c r="Z445" s="1"/>
    </row>
    <row r="446" spans="1:26" ht="24.75" customHeight="1">
      <c r="A446" s="1"/>
      <c r="B446" s="1"/>
      <c r="C446" s="1"/>
      <c r="D446" s="1"/>
      <c r="E446" s="1"/>
      <c r="F446" s="1"/>
      <c r="G446" s="1"/>
      <c r="H446" s="1"/>
      <c r="I446" s="1"/>
      <c r="J446" s="1"/>
      <c r="K446" s="1"/>
      <c r="L446" s="1"/>
      <c r="M446" s="1"/>
      <c r="N446" s="1"/>
      <c r="O446" s="1"/>
      <c r="P446" s="1"/>
      <c r="Q446" s="1"/>
      <c r="R446" s="1"/>
      <c r="S446" s="1"/>
      <c r="T446" s="1"/>
      <c r="U446" s="2"/>
      <c r="V446" s="1"/>
      <c r="W446" s="1"/>
      <c r="X446" s="1"/>
      <c r="Y446" s="1"/>
      <c r="Z446" s="1"/>
    </row>
    <row r="447" spans="1:26" ht="24.75" customHeight="1">
      <c r="A447" s="1"/>
      <c r="B447" s="1"/>
      <c r="C447" s="1"/>
      <c r="D447" s="1"/>
      <c r="E447" s="1"/>
      <c r="F447" s="1"/>
      <c r="G447" s="1"/>
      <c r="H447" s="1"/>
      <c r="I447" s="1"/>
      <c r="J447" s="1"/>
      <c r="K447" s="1"/>
      <c r="L447" s="1"/>
      <c r="M447" s="1"/>
      <c r="N447" s="1"/>
      <c r="O447" s="1"/>
      <c r="P447" s="1"/>
      <c r="Q447" s="1"/>
      <c r="R447" s="1"/>
      <c r="S447" s="1"/>
      <c r="T447" s="1"/>
      <c r="U447" s="2"/>
      <c r="V447" s="1"/>
      <c r="W447" s="1"/>
      <c r="X447" s="1"/>
      <c r="Y447" s="1"/>
      <c r="Z447" s="1"/>
    </row>
    <row r="448" spans="1:26" ht="24.75" customHeight="1">
      <c r="A448" s="1"/>
      <c r="B448" s="1"/>
      <c r="C448" s="1"/>
      <c r="D448" s="1"/>
      <c r="E448" s="1"/>
      <c r="F448" s="1"/>
      <c r="G448" s="1"/>
      <c r="H448" s="1"/>
      <c r="I448" s="1"/>
      <c r="J448" s="1"/>
      <c r="K448" s="1"/>
      <c r="L448" s="1"/>
      <c r="M448" s="1"/>
      <c r="N448" s="1"/>
      <c r="O448" s="1"/>
      <c r="P448" s="1"/>
      <c r="Q448" s="1"/>
      <c r="R448" s="1"/>
      <c r="S448" s="1"/>
      <c r="T448" s="1"/>
      <c r="U448" s="2"/>
      <c r="V448" s="1"/>
      <c r="W448" s="1"/>
      <c r="X448" s="1"/>
      <c r="Y448" s="1"/>
      <c r="Z448" s="1"/>
    </row>
    <row r="449" spans="1:26" ht="24.75" customHeight="1">
      <c r="A449" s="1"/>
      <c r="B449" s="1"/>
      <c r="C449" s="1"/>
      <c r="D449" s="1"/>
      <c r="E449" s="1"/>
      <c r="F449" s="1"/>
      <c r="G449" s="1"/>
      <c r="H449" s="1"/>
      <c r="I449" s="1"/>
      <c r="J449" s="1"/>
      <c r="K449" s="1"/>
      <c r="L449" s="1"/>
      <c r="M449" s="1"/>
      <c r="N449" s="1"/>
      <c r="O449" s="1"/>
      <c r="P449" s="1"/>
      <c r="Q449" s="1"/>
      <c r="R449" s="1"/>
      <c r="S449" s="1"/>
      <c r="T449" s="1"/>
      <c r="U449" s="2"/>
      <c r="V449" s="1"/>
      <c r="W449" s="1"/>
      <c r="X449" s="1"/>
      <c r="Y449" s="1"/>
      <c r="Z449" s="1"/>
    </row>
    <row r="450" spans="1:26" ht="24.75" customHeight="1">
      <c r="A450" s="1"/>
      <c r="B450" s="1"/>
      <c r="C450" s="1"/>
      <c r="D450" s="1"/>
      <c r="E450" s="1"/>
      <c r="F450" s="1"/>
      <c r="G450" s="1"/>
      <c r="H450" s="1"/>
      <c r="I450" s="1"/>
      <c r="J450" s="1"/>
      <c r="K450" s="1"/>
      <c r="L450" s="1"/>
      <c r="M450" s="1"/>
      <c r="N450" s="1"/>
      <c r="O450" s="1"/>
      <c r="P450" s="1"/>
      <c r="Q450" s="1"/>
      <c r="R450" s="1"/>
      <c r="S450" s="1"/>
      <c r="T450" s="1"/>
      <c r="U450" s="2"/>
      <c r="V450" s="1"/>
      <c r="W450" s="1"/>
      <c r="X450" s="1"/>
      <c r="Y450" s="1"/>
      <c r="Z450" s="1"/>
    </row>
    <row r="451" spans="1:26" ht="24.75" customHeight="1">
      <c r="A451" s="1"/>
      <c r="B451" s="1"/>
      <c r="C451" s="1"/>
      <c r="D451" s="1"/>
      <c r="E451" s="1"/>
      <c r="F451" s="1"/>
      <c r="G451" s="1"/>
      <c r="H451" s="1"/>
      <c r="I451" s="1"/>
      <c r="J451" s="1"/>
      <c r="K451" s="1"/>
      <c r="L451" s="1"/>
      <c r="M451" s="1"/>
      <c r="N451" s="1"/>
      <c r="O451" s="1"/>
      <c r="P451" s="1"/>
      <c r="Q451" s="1"/>
      <c r="R451" s="1"/>
      <c r="S451" s="1"/>
      <c r="T451" s="1"/>
      <c r="U451" s="2"/>
      <c r="V451" s="1"/>
      <c r="W451" s="1"/>
      <c r="X451" s="1"/>
      <c r="Y451" s="1"/>
      <c r="Z451" s="1"/>
    </row>
    <row r="452" spans="1:26" ht="24.75" customHeight="1">
      <c r="A452" s="1"/>
      <c r="B452" s="1"/>
      <c r="C452" s="1"/>
      <c r="D452" s="1"/>
      <c r="E452" s="1"/>
      <c r="F452" s="1"/>
      <c r="G452" s="1"/>
      <c r="H452" s="1"/>
      <c r="I452" s="1"/>
      <c r="J452" s="1"/>
      <c r="K452" s="1"/>
      <c r="L452" s="1"/>
      <c r="M452" s="1"/>
      <c r="N452" s="1"/>
      <c r="O452" s="1"/>
      <c r="P452" s="1"/>
      <c r="Q452" s="1"/>
      <c r="R452" s="1"/>
      <c r="S452" s="1"/>
      <c r="T452" s="1"/>
      <c r="U452" s="2"/>
      <c r="V452" s="1"/>
      <c r="W452" s="1"/>
      <c r="X452" s="1"/>
      <c r="Y452" s="1"/>
      <c r="Z452" s="1"/>
    </row>
    <row r="453" spans="1:26" ht="24.75" customHeight="1">
      <c r="A453" s="1"/>
      <c r="B453" s="1"/>
      <c r="C453" s="1"/>
      <c r="D453" s="1"/>
      <c r="E453" s="1"/>
      <c r="F453" s="1"/>
      <c r="G453" s="1"/>
      <c r="H453" s="1"/>
      <c r="I453" s="1"/>
      <c r="J453" s="1"/>
      <c r="K453" s="1"/>
      <c r="L453" s="1"/>
      <c r="M453" s="1"/>
      <c r="N453" s="1"/>
      <c r="O453" s="1"/>
      <c r="P453" s="1"/>
      <c r="Q453" s="1"/>
      <c r="R453" s="1"/>
      <c r="S453" s="1"/>
      <c r="T453" s="1"/>
      <c r="U453" s="2"/>
      <c r="V453" s="1"/>
      <c r="W453" s="1"/>
      <c r="X453" s="1"/>
      <c r="Y453" s="1"/>
      <c r="Z453" s="1"/>
    </row>
    <row r="454" spans="1:26" ht="24.75" customHeight="1">
      <c r="A454" s="1"/>
      <c r="B454" s="1"/>
      <c r="C454" s="1"/>
      <c r="D454" s="1"/>
      <c r="E454" s="1"/>
      <c r="F454" s="1"/>
      <c r="G454" s="1"/>
      <c r="H454" s="1"/>
      <c r="I454" s="1"/>
      <c r="J454" s="1"/>
      <c r="K454" s="1"/>
      <c r="L454" s="1"/>
      <c r="M454" s="1"/>
      <c r="N454" s="1"/>
      <c r="O454" s="1"/>
      <c r="P454" s="1"/>
      <c r="Q454" s="1"/>
      <c r="R454" s="1"/>
      <c r="S454" s="1"/>
      <c r="T454" s="1"/>
      <c r="U454" s="2"/>
      <c r="V454" s="1"/>
      <c r="W454" s="1"/>
      <c r="X454" s="1"/>
      <c r="Y454" s="1"/>
      <c r="Z454" s="1"/>
    </row>
    <row r="455" spans="1:26" ht="24.75" customHeight="1">
      <c r="A455" s="1"/>
      <c r="B455" s="1"/>
      <c r="C455" s="1"/>
      <c r="D455" s="1"/>
      <c r="E455" s="1"/>
      <c r="F455" s="1"/>
      <c r="G455" s="1"/>
      <c r="H455" s="1"/>
      <c r="I455" s="1"/>
      <c r="J455" s="1"/>
      <c r="K455" s="1"/>
      <c r="L455" s="1"/>
      <c r="M455" s="1"/>
      <c r="N455" s="1"/>
      <c r="O455" s="1"/>
      <c r="P455" s="1"/>
      <c r="Q455" s="1"/>
      <c r="R455" s="1"/>
      <c r="S455" s="1"/>
      <c r="T455" s="1"/>
      <c r="U455" s="2"/>
      <c r="V455" s="1"/>
      <c r="W455" s="1"/>
      <c r="X455" s="1"/>
      <c r="Y455" s="1"/>
      <c r="Z455" s="1"/>
    </row>
    <row r="456" spans="1:26" ht="24.75" customHeight="1">
      <c r="A456" s="1"/>
      <c r="B456" s="1"/>
      <c r="C456" s="1"/>
      <c r="D456" s="1"/>
      <c r="E456" s="1"/>
      <c r="F456" s="1"/>
      <c r="G456" s="1"/>
      <c r="H456" s="1"/>
      <c r="I456" s="1"/>
      <c r="J456" s="1"/>
      <c r="K456" s="1"/>
      <c r="L456" s="1"/>
      <c r="M456" s="1"/>
      <c r="N456" s="1"/>
      <c r="O456" s="1"/>
      <c r="P456" s="1"/>
      <c r="Q456" s="1"/>
      <c r="R456" s="1"/>
      <c r="S456" s="1"/>
      <c r="T456" s="1"/>
      <c r="U456" s="2"/>
      <c r="V456" s="1"/>
      <c r="W456" s="1"/>
      <c r="X456" s="1"/>
      <c r="Y456" s="1"/>
      <c r="Z456" s="1"/>
    </row>
    <row r="457" spans="1:26" ht="24.75" customHeight="1">
      <c r="A457" s="1"/>
      <c r="B457" s="1"/>
      <c r="C457" s="1"/>
      <c r="D457" s="1"/>
      <c r="E457" s="1"/>
      <c r="F457" s="1"/>
      <c r="G457" s="1"/>
      <c r="H457" s="1"/>
      <c r="I457" s="1"/>
      <c r="J457" s="1"/>
      <c r="K457" s="1"/>
      <c r="L457" s="1"/>
      <c r="M457" s="1"/>
      <c r="N457" s="1"/>
      <c r="O457" s="1"/>
      <c r="P457" s="1"/>
      <c r="Q457" s="1"/>
      <c r="R457" s="1"/>
      <c r="S457" s="1"/>
      <c r="T457" s="1"/>
      <c r="U457" s="2"/>
      <c r="V457" s="1"/>
      <c r="W457" s="1"/>
      <c r="X457" s="1"/>
      <c r="Y457" s="1"/>
      <c r="Z457" s="1"/>
    </row>
    <row r="458" spans="1:26" ht="24.75" customHeight="1">
      <c r="A458" s="1"/>
      <c r="B458" s="1"/>
      <c r="C458" s="1"/>
      <c r="D458" s="1"/>
      <c r="E458" s="1"/>
      <c r="F458" s="1"/>
      <c r="G458" s="1"/>
      <c r="H458" s="1"/>
      <c r="I458" s="1"/>
      <c r="J458" s="1"/>
      <c r="K458" s="1"/>
      <c r="L458" s="1"/>
      <c r="M458" s="1"/>
      <c r="N458" s="1"/>
      <c r="O458" s="1"/>
      <c r="P458" s="1"/>
      <c r="Q458" s="1"/>
      <c r="R458" s="1"/>
      <c r="S458" s="1"/>
      <c r="T458" s="1"/>
      <c r="U458" s="2"/>
      <c r="V458" s="1"/>
      <c r="W458" s="1"/>
      <c r="X458" s="1"/>
      <c r="Y458" s="1"/>
      <c r="Z458" s="1"/>
    </row>
    <row r="459" spans="1:26" ht="24.75" customHeight="1">
      <c r="A459" s="1"/>
      <c r="B459" s="1"/>
      <c r="C459" s="1"/>
      <c r="D459" s="1"/>
      <c r="E459" s="1"/>
      <c r="F459" s="1"/>
      <c r="G459" s="1"/>
      <c r="H459" s="1"/>
      <c r="I459" s="1"/>
      <c r="J459" s="1"/>
      <c r="K459" s="1"/>
      <c r="L459" s="1"/>
      <c r="M459" s="1"/>
      <c r="N459" s="1"/>
      <c r="O459" s="1"/>
      <c r="P459" s="1"/>
      <c r="Q459" s="1"/>
      <c r="R459" s="1"/>
      <c r="S459" s="1"/>
      <c r="T459" s="1"/>
      <c r="U459" s="2"/>
      <c r="V459" s="1"/>
      <c r="W459" s="1"/>
      <c r="X459" s="1"/>
      <c r="Y459" s="1"/>
      <c r="Z459" s="1"/>
    </row>
    <row r="460" spans="1:26" ht="24.75" customHeight="1">
      <c r="A460" s="1"/>
      <c r="B460" s="1"/>
      <c r="C460" s="1"/>
      <c r="D460" s="1"/>
      <c r="E460" s="1"/>
      <c r="F460" s="1"/>
      <c r="G460" s="1"/>
      <c r="H460" s="1"/>
      <c r="I460" s="1"/>
      <c r="J460" s="1"/>
      <c r="K460" s="1"/>
      <c r="L460" s="1"/>
      <c r="M460" s="1"/>
      <c r="N460" s="1"/>
      <c r="O460" s="1"/>
      <c r="P460" s="1"/>
      <c r="Q460" s="1"/>
      <c r="R460" s="1"/>
      <c r="S460" s="1"/>
      <c r="T460" s="1"/>
      <c r="U460" s="2"/>
      <c r="V460" s="1"/>
      <c r="W460" s="1"/>
      <c r="X460" s="1"/>
      <c r="Y460" s="1"/>
      <c r="Z460" s="1"/>
    </row>
    <row r="461" spans="1:26" ht="24.75" customHeight="1">
      <c r="A461" s="1"/>
      <c r="B461" s="1"/>
      <c r="C461" s="1"/>
      <c r="D461" s="1"/>
      <c r="E461" s="1"/>
      <c r="F461" s="1"/>
      <c r="G461" s="1"/>
      <c r="H461" s="1"/>
      <c r="I461" s="1"/>
      <c r="J461" s="1"/>
      <c r="K461" s="1"/>
      <c r="L461" s="1"/>
      <c r="M461" s="1"/>
      <c r="N461" s="1"/>
      <c r="O461" s="1"/>
      <c r="P461" s="1"/>
      <c r="Q461" s="1"/>
      <c r="R461" s="1"/>
      <c r="S461" s="1"/>
      <c r="T461" s="1"/>
      <c r="U461" s="2"/>
      <c r="V461" s="1"/>
      <c r="W461" s="1"/>
      <c r="X461" s="1"/>
      <c r="Y461" s="1"/>
      <c r="Z461" s="1"/>
    </row>
    <row r="462" spans="1:26" ht="24.75" customHeight="1">
      <c r="A462" s="1"/>
      <c r="B462" s="1"/>
      <c r="C462" s="1"/>
      <c r="D462" s="1"/>
      <c r="E462" s="1"/>
      <c r="F462" s="1"/>
      <c r="G462" s="1"/>
      <c r="H462" s="1"/>
      <c r="I462" s="1"/>
      <c r="J462" s="1"/>
      <c r="K462" s="1"/>
      <c r="L462" s="1"/>
      <c r="M462" s="1"/>
      <c r="N462" s="1"/>
      <c r="O462" s="1"/>
      <c r="P462" s="1"/>
      <c r="Q462" s="1"/>
      <c r="R462" s="1"/>
      <c r="S462" s="1"/>
      <c r="T462" s="1"/>
      <c r="U462" s="2"/>
      <c r="V462" s="1"/>
      <c r="W462" s="1"/>
      <c r="X462" s="1"/>
      <c r="Y462" s="1"/>
      <c r="Z462" s="1"/>
    </row>
    <row r="463" spans="1:26" ht="24.75" customHeight="1">
      <c r="A463" s="1"/>
      <c r="B463" s="1"/>
      <c r="C463" s="1"/>
      <c r="D463" s="1"/>
      <c r="E463" s="1"/>
      <c r="F463" s="1"/>
      <c r="G463" s="1"/>
      <c r="H463" s="1"/>
      <c r="I463" s="1"/>
      <c r="J463" s="1"/>
      <c r="K463" s="1"/>
      <c r="L463" s="1"/>
      <c r="M463" s="1"/>
      <c r="N463" s="1"/>
      <c r="O463" s="1"/>
      <c r="P463" s="1"/>
      <c r="Q463" s="1"/>
      <c r="R463" s="1"/>
      <c r="S463" s="1"/>
      <c r="T463" s="1"/>
      <c r="U463" s="2"/>
      <c r="V463" s="1"/>
      <c r="W463" s="1"/>
      <c r="X463" s="1"/>
      <c r="Y463" s="1"/>
      <c r="Z463" s="1"/>
    </row>
    <row r="464" spans="1:26" ht="24.75" customHeight="1">
      <c r="A464" s="1"/>
      <c r="B464" s="1"/>
      <c r="C464" s="1"/>
      <c r="D464" s="1"/>
      <c r="E464" s="1"/>
      <c r="F464" s="1"/>
      <c r="G464" s="1"/>
      <c r="H464" s="1"/>
      <c r="I464" s="1"/>
      <c r="J464" s="1"/>
      <c r="K464" s="1"/>
      <c r="L464" s="1"/>
      <c r="M464" s="1"/>
      <c r="N464" s="1"/>
      <c r="O464" s="1"/>
      <c r="P464" s="1"/>
      <c r="Q464" s="1"/>
      <c r="R464" s="1"/>
      <c r="S464" s="1"/>
      <c r="T464" s="1"/>
      <c r="U464" s="2"/>
      <c r="V464" s="1"/>
      <c r="W464" s="1"/>
      <c r="X464" s="1"/>
      <c r="Y464" s="1"/>
      <c r="Z464" s="1"/>
    </row>
    <row r="465" spans="1:26" ht="24.75" customHeight="1">
      <c r="A465" s="1"/>
      <c r="B465" s="1"/>
      <c r="C465" s="1"/>
      <c r="D465" s="1"/>
      <c r="E465" s="1"/>
      <c r="F465" s="1"/>
      <c r="G465" s="1"/>
      <c r="H465" s="1"/>
      <c r="I465" s="1"/>
      <c r="J465" s="1"/>
      <c r="K465" s="1"/>
      <c r="L465" s="1"/>
      <c r="M465" s="1"/>
      <c r="N465" s="1"/>
      <c r="O465" s="1"/>
      <c r="P465" s="1"/>
      <c r="Q465" s="1"/>
      <c r="R465" s="1"/>
      <c r="S465" s="1"/>
      <c r="T465" s="1"/>
      <c r="U465" s="2"/>
      <c r="V465" s="1"/>
      <c r="W465" s="1"/>
      <c r="X465" s="1"/>
      <c r="Y465" s="1"/>
      <c r="Z465" s="1"/>
    </row>
    <row r="466" spans="1:26" ht="24.75" customHeight="1">
      <c r="A466" s="1"/>
      <c r="B466" s="1"/>
      <c r="C466" s="1"/>
      <c r="D466" s="1"/>
      <c r="E466" s="1"/>
      <c r="F466" s="1"/>
      <c r="G466" s="1"/>
      <c r="H466" s="1"/>
      <c r="I466" s="1"/>
      <c r="J466" s="1"/>
      <c r="K466" s="1"/>
      <c r="L466" s="1"/>
      <c r="M466" s="1"/>
      <c r="N466" s="1"/>
      <c r="O466" s="1"/>
      <c r="P466" s="1"/>
      <c r="Q466" s="1"/>
      <c r="R466" s="1"/>
      <c r="S466" s="1"/>
      <c r="T466" s="1"/>
      <c r="U466" s="2"/>
      <c r="V466" s="1"/>
      <c r="W466" s="1"/>
      <c r="X466" s="1"/>
      <c r="Y466" s="1"/>
      <c r="Z466" s="1"/>
    </row>
    <row r="467" spans="1:26" ht="24.75" customHeight="1">
      <c r="A467" s="1"/>
      <c r="B467" s="1"/>
      <c r="C467" s="1"/>
      <c r="D467" s="1"/>
      <c r="E467" s="1"/>
      <c r="F467" s="1"/>
      <c r="G467" s="1"/>
      <c r="H467" s="1"/>
      <c r="I467" s="1"/>
      <c r="J467" s="1"/>
      <c r="K467" s="1"/>
      <c r="L467" s="1"/>
      <c r="M467" s="1"/>
      <c r="N467" s="1"/>
      <c r="O467" s="1"/>
      <c r="P467" s="1"/>
      <c r="Q467" s="1"/>
      <c r="R467" s="1"/>
      <c r="S467" s="1"/>
      <c r="T467" s="1"/>
      <c r="U467" s="2"/>
      <c r="V467" s="1"/>
      <c r="W467" s="1"/>
      <c r="X467" s="1"/>
      <c r="Y467" s="1"/>
      <c r="Z467" s="1"/>
    </row>
    <row r="468" spans="1:26" ht="24.75" customHeight="1">
      <c r="A468" s="1"/>
      <c r="B468" s="1"/>
      <c r="C468" s="1"/>
      <c r="D468" s="1"/>
      <c r="E468" s="1"/>
      <c r="F468" s="1"/>
      <c r="G468" s="1"/>
      <c r="H468" s="1"/>
      <c r="I468" s="1"/>
      <c r="J468" s="1"/>
      <c r="K468" s="1"/>
      <c r="L468" s="1"/>
      <c r="M468" s="1"/>
      <c r="N468" s="1"/>
      <c r="O468" s="1"/>
      <c r="P468" s="1"/>
      <c r="Q468" s="1"/>
      <c r="R468" s="1"/>
      <c r="S468" s="1"/>
      <c r="T468" s="1"/>
      <c r="U468" s="2"/>
      <c r="V468" s="1"/>
      <c r="W468" s="1"/>
      <c r="X468" s="1"/>
      <c r="Y468" s="1"/>
      <c r="Z468" s="1"/>
    </row>
    <row r="469" spans="1:26" ht="24.75" customHeight="1">
      <c r="A469" s="1"/>
      <c r="B469" s="1"/>
      <c r="C469" s="1"/>
      <c r="D469" s="1"/>
      <c r="E469" s="1"/>
      <c r="F469" s="1"/>
      <c r="G469" s="1"/>
      <c r="H469" s="1"/>
      <c r="I469" s="1"/>
      <c r="J469" s="1"/>
      <c r="K469" s="1"/>
      <c r="L469" s="1"/>
      <c r="M469" s="1"/>
      <c r="N469" s="1"/>
      <c r="O469" s="1"/>
      <c r="P469" s="1"/>
      <c r="Q469" s="1"/>
      <c r="R469" s="1"/>
      <c r="S469" s="1"/>
      <c r="T469" s="1"/>
      <c r="U469" s="2"/>
      <c r="V469" s="1"/>
      <c r="W469" s="1"/>
      <c r="X469" s="1"/>
      <c r="Y469" s="1"/>
      <c r="Z469" s="1"/>
    </row>
    <row r="470" spans="1:26" ht="24.75" customHeight="1">
      <c r="A470" s="1"/>
      <c r="B470" s="1"/>
      <c r="C470" s="1"/>
      <c r="D470" s="1"/>
      <c r="E470" s="1"/>
      <c r="F470" s="1"/>
      <c r="G470" s="1"/>
      <c r="H470" s="1"/>
      <c r="I470" s="1"/>
      <c r="J470" s="1"/>
      <c r="K470" s="1"/>
      <c r="L470" s="1"/>
      <c r="M470" s="1"/>
      <c r="N470" s="1"/>
      <c r="O470" s="1"/>
      <c r="P470" s="1"/>
      <c r="Q470" s="1"/>
      <c r="R470" s="1"/>
      <c r="S470" s="1"/>
      <c r="T470" s="1"/>
      <c r="U470" s="2"/>
      <c r="V470" s="1"/>
      <c r="W470" s="1"/>
      <c r="X470" s="1"/>
      <c r="Y470" s="1"/>
      <c r="Z470" s="1"/>
    </row>
    <row r="471" spans="1:26" ht="24.75" customHeight="1">
      <c r="A471" s="1"/>
      <c r="B471" s="1"/>
      <c r="C471" s="1"/>
      <c r="D471" s="1"/>
      <c r="E471" s="1"/>
      <c r="F471" s="1"/>
      <c r="G471" s="1"/>
      <c r="H471" s="1"/>
      <c r="I471" s="1"/>
      <c r="J471" s="1"/>
      <c r="K471" s="1"/>
      <c r="L471" s="1"/>
      <c r="M471" s="1"/>
      <c r="N471" s="1"/>
      <c r="O471" s="1"/>
      <c r="P471" s="1"/>
      <c r="Q471" s="1"/>
      <c r="R471" s="1"/>
      <c r="S471" s="1"/>
      <c r="T471" s="1"/>
      <c r="U471" s="2"/>
      <c r="V471" s="1"/>
      <c r="W471" s="1"/>
      <c r="X471" s="1"/>
      <c r="Y471" s="1"/>
      <c r="Z471" s="1"/>
    </row>
    <row r="472" spans="1:26" ht="24.75" customHeight="1">
      <c r="A472" s="1"/>
      <c r="B472" s="1"/>
      <c r="C472" s="1"/>
      <c r="D472" s="1"/>
      <c r="E472" s="1"/>
      <c r="F472" s="1"/>
      <c r="G472" s="1"/>
      <c r="H472" s="1"/>
      <c r="I472" s="1"/>
      <c r="J472" s="1"/>
      <c r="K472" s="1"/>
      <c r="L472" s="1"/>
      <c r="M472" s="1"/>
      <c r="N472" s="1"/>
      <c r="O472" s="1"/>
      <c r="P472" s="1"/>
      <c r="Q472" s="1"/>
      <c r="R472" s="1"/>
      <c r="S472" s="1"/>
      <c r="T472" s="1"/>
      <c r="U472" s="2"/>
      <c r="V472" s="1"/>
      <c r="W472" s="1"/>
      <c r="X472" s="1"/>
      <c r="Y472" s="1"/>
      <c r="Z472" s="1"/>
    </row>
    <row r="473" spans="1:26" ht="24.75" customHeight="1">
      <c r="A473" s="1"/>
      <c r="B473" s="1"/>
      <c r="C473" s="1"/>
      <c r="D473" s="1"/>
      <c r="E473" s="1"/>
      <c r="F473" s="1"/>
      <c r="G473" s="1"/>
      <c r="H473" s="1"/>
      <c r="I473" s="1"/>
      <c r="J473" s="1"/>
      <c r="K473" s="1"/>
      <c r="L473" s="1"/>
      <c r="M473" s="1"/>
      <c r="N473" s="1"/>
      <c r="O473" s="1"/>
      <c r="P473" s="1"/>
      <c r="Q473" s="1"/>
      <c r="R473" s="1"/>
      <c r="S473" s="1"/>
      <c r="T473" s="1"/>
      <c r="U473" s="2"/>
      <c r="V473" s="1"/>
      <c r="W473" s="1"/>
      <c r="X473" s="1"/>
      <c r="Y473" s="1"/>
      <c r="Z473" s="1"/>
    </row>
    <row r="474" spans="1:26" ht="24.75" customHeight="1">
      <c r="A474" s="1"/>
      <c r="B474" s="1"/>
      <c r="C474" s="1"/>
      <c r="D474" s="1"/>
      <c r="E474" s="1"/>
      <c r="F474" s="1"/>
      <c r="G474" s="1"/>
      <c r="H474" s="1"/>
      <c r="I474" s="1"/>
      <c r="J474" s="1"/>
      <c r="K474" s="1"/>
      <c r="L474" s="1"/>
      <c r="M474" s="1"/>
      <c r="N474" s="1"/>
      <c r="O474" s="1"/>
      <c r="P474" s="1"/>
      <c r="Q474" s="1"/>
      <c r="R474" s="1"/>
      <c r="S474" s="1"/>
      <c r="T474" s="1"/>
      <c r="U474" s="2"/>
      <c r="V474" s="1"/>
      <c r="W474" s="1"/>
      <c r="X474" s="1"/>
      <c r="Y474" s="1"/>
      <c r="Z474" s="1"/>
    </row>
    <row r="475" spans="1:26" ht="24.75" customHeight="1">
      <c r="A475" s="1"/>
      <c r="B475" s="1"/>
      <c r="C475" s="1"/>
      <c r="D475" s="1"/>
      <c r="E475" s="1"/>
      <c r="F475" s="1"/>
      <c r="G475" s="1"/>
      <c r="H475" s="1"/>
      <c r="I475" s="1"/>
      <c r="J475" s="1"/>
      <c r="K475" s="1"/>
      <c r="L475" s="1"/>
      <c r="M475" s="1"/>
      <c r="N475" s="1"/>
      <c r="O475" s="1"/>
      <c r="P475" s="1"/>
      <c r="Q475" s="1"/>
      <c r="R475" s="1"/>
      <c r="S475" s="1"/>
      <c r="T475" s="1"/>
      <c r="U475" s="2"/>
      <c r="V475" s="1"/>
      <c r="W475" s="1"/>
      <c r="X475" s="1"/>
      <c r="Y475" s="1"/>
      <c r="Z475" s="1"/>
    </row>
    <row r="476" spans="1:26" ht="24.75" customHeight="1">
      <c r="A476" s="1"/>
      <c r="B476" s="1"/>
      <c r="C476" s="1"/>
      <c r="D476" s="1"/>
      <c r="E476" s="1"/>
      <c r="F476" s="1"/>
      <c r="G476" s="1"/>
      <c r="H476" s="1"/>
      <c r="I476" s="1"/>
      <c r="J476" s="1"/>
      <c r="K476" s="1"/>
      <c r="L476" s="1"/>
      <c r="M476" s="1"/>
      <c r="N476" s="1"/>
      <c r="O476" s="1"/>
      <c r="P476" s="1"/>
      <c r="Q476" s="1"/>
      <c r="R476" s="1"/>
      <c r="S476" s="1"/>
      <c r="T476" s="1"/>
      <c r="U476" s="2"/>
      <c r="V476" s="1"/>
      <c r="W476" s="1"/>
      <c r="X476" s="1"/>
      <c r="Y476" s="1"/>
      <c r="Z476" s="1"/>
    </row>
    <row r="477" spans="1:26" ht="24.75" customHeight="1">
      <c r="A477" s="1"/>
      <c r="B477" s="1"/>
      <c r="C477" s="1"/>
      <c r="D477" s="1"/>
      <c r="E477" s="1"/>
      <c r="F477" s="1"/>
      <c r="G477" s="1"/>
      <c r="H477" s="1"/>
      <c r="I477" s="1"/>
      <c r="J477" s="1"/>
      <c r="K477" s="1"/>
      <c r="L477" s="1"/>
      <c r="M477" s="1"/>
      <c r="N477" s="1"/>
      <c r="O477" s="1"/>
      <c r="P477" s="1"/>
      <c r="Q477" s="1"/>
      <c r="R477" s="1"/>
      <c r="S477" s="1"/>
      <c r="T477" s="1"/>
      <c r="U477" s="2"/>
      <c r="V477" s="1"/>
      <c r="W477" s="1"/>
      <c r="X477" s="1"/>
      <c r="Y477" s="1"/>
      <c r="Z477" s="1"/>
    </row>
    <row r="478" spans="1:26" ht="24.75" customHeight="1">
      <c r="A478" s="1"/>
      <c r="B478" s="1"/>
      <c r="C478" s="1"/>
      <c r="D478" s="1"/>
      <c r="E478" s="1"/>
      <c r="F478" s="1"/>
      <c r="G478" s="1"/>
      <c r="H478" s="1"/>
      <c r="I478" s="1"/>
      <c r="J478" s="1"/>
      <c r="K478" s="1"/>
      <c r="L478" s="1"/>
      <c r="M478" s="1"/>
      <c r="N478" s="1"/>
      <c r="O478" s="1"/>
      <c r="P478" s="1"/>
      <c r="Q478" s="1"/>
      <c r="R478" s="1"/>
      <c r="S478" s="1"/>
      <c r="T478" s="1"/>
      <c r="U478" s="2"/>
      <c r="V478" s="1"/>
      <c r="W478" s="1"/>
      <c r="X478" s="1"/>
      <c r="Y478" s="1"/>
      <c r="Z478" s="1"/>
    </row>
    <row r="479" spans="1:26" ht="24.75" customHeight="1">
      <c r="A479" s="1"/>
      <c r="B479" s="1"/>
      <c r="C479" s="1"/>
      <c r="D479" s="1"/>
      <c r="E479" s="1"/>
      <c r="F479" s="1"/>
      <c r="G479" s="1"/>
      <c r="H479" s="1"/>
      <c r="I479" s="1"/>
      <c r="J479" s="1"/>
      <c r="K479" s="1"/>
      <c r="L479" s="1"/>
      <c r="M479" s="1"/>
      <c r="N479" s="1"/>
      <c r="O479" s="1"/>
      <c r="P479" s="1"/>
      <c r="Q479" s="1"/>
      <c r="R479" s="1"/>
      <c r="S479" s="1"/>
      <c r="T479" s="1"/>
      <c r="U479" s="2"/>
      <c r="V479" s="1"/>
      <c r="W479" s="1"/>
      <c r="X479" s="1"/>
      <c r="Y479" s="1"/>
      <c r="Z479" s="1"/>
    </row>
    <row r="480" spans="1:26" ht="24.75" customHeight="1">
      <c r="A480" s="1"/>
      <c r="B480" s="1"/>
      <c r="C480" s="1"/>
      <c r="D480" s="1"/>
      <c r="E480" s="1"/>
      <c r="F480" s="1"/>
      <c r="G480" s="1"/>
      <c r="H480" s="1"/>
      <c r="I480" s="1"/>
      <c r="J480" s="1"/>
      <c r="K480" s="1"/>
      <c r="L480" s="1"/>
      <c r="M480" s="1"/>
      <c r="N480" s="1"/>
      <c r="O480" s="1"/>
      <c r="P480" s="1"/>
      <c r="Q480" s="1"/>
      <c r="R480" s="1"/>
      <c r="S480" s="1"/>
      <c r="T480" s="1"/>
      <c r="U480" s="2"/>
      <c r="V480" s="1"/>
      <c r="W480" s="1"/>
      <c r="X480" s="1"/>
      <c r="Y480" s="1"/>
      <c r="Z480" s="1"/>
    </row>
    <row r="481" spans="1:26" ht="24.75" customHeight="1">
      <c r="A481" s="1"/>
      <c r="B481" s="1"/>
      <c r="C481" s="1"/>
      <c r="D481" s="1"/>
      <c r="E481" s="1"/>
      <c r="F481" s="1"/>
      <c r="G481" s="1"/>
      <c r="H481" s="1"/>
      <c r="I481" s="1"/>
      <c r="J481" s="1"/>
      <c r="K481" s="1"/>
      <c r="L481" s="1"/>
      <c r="M481" s="1"/>
      <c r="N481" s="1"/>
      <c r="O481" s="1"/>
      <c r="P481" s="1"/>
      <c r="Q481" s="1"/>
      <c r="R481" s="1"/>
      <c r="S481" s="1"/>
      <c r="T481" s="1"/>
      <c r="U481" s="2"/>
      <c r="V481" s="1"/>
      <c r="W481" s="1"/>
      <c r="X481" s="1"/>
      <c r="Y481" s="1"/>
      <c r="Z481" s="1"/>
    </row>
    <row r="482" spans="1:26" ht="24.75" customHeight="1">
      <c r="A482" s="1"/>
      <c r="B482" s="1"/>
      <c r="C482" s="1"/>
      <c r="D482" s="1"/>
      <c r="E482" s="1"/>
      <c r="F482" s="1"/>
      <c r="G482" s="1"/>
      <c r="H482" s="1"/>
      <c r="I482" s="1"/>
      <c r="J482" s="1"/>
      <c r="K482" s="1"/>
      <c r="L482" s="1"/>
      <c r="M482" s="1"/>
      <c r="N482" s="1"/>
      <c r="O482" s="1"/>
      <c r="P482" s="1"/>
      <c r="Q482" s="1"/>
      <c r="R482" s="1"/>
      <c r="S482" s="1"/>
      <c r="T482" s="1"/>
      <c r="U482" s="2"/>
      <c r="V482" s="1"/>
      <c r="W482" s="1"/>
      <c r="X482" s="1"/>
      <c r="Y482" s="1"/>
      <c r="Z482" s="1"/>
    </row>
    <row r="483" spans="1:26" ht="24.75" customHeight="1">
      <c r="A483" s="1"/>
      <c r="B483" s="1"/>
      <c r="C483" s="1"/>
      <c r="D483" s="1"/>
      <c r="E483" s="1"/>
      <c r="F483" s="1"/>
      <c r="G483" s="1"/>
      <c r="H483" s="1"/>
      <c r="I483" s="1"/>
      <c r="J483" s="1"/>
      <c r="K483" s="1"/>
      <c r="L483" s="1"/>
      <c r="M483" s="1"/>
      <c r="N483" s="1"/>
      <c r="O483" s="1"/>
      <c r="P483" s="1"/>
      <c r="Q483" s="1"/>
      <c r="R483" s="1"/>
      <c r="S483" s="1"/>
      <c r="T483" s="1"/>
      <c r="U483" s="2"/>
      <c r="V483" s="1"/>
      <c r="W483" s="1"/>
      <c r="X483" s="1"/>
      <c r="Y483" s="1"/>
      <c r="Z483" s="1"/>
    </row>
    <row r="484" spans="1:26" ht="24.75" customHeight="1">
      <c r="A484" s="1"/>
      <c r="B484" s="1"/>
      <c r="C484" s="1"/>
      <c r="D484" s="1"/>
      <c r="E484" s="1"/>
      <c r="F484" s="1"/>
      <c r="G484" s="1"/>
      <c r="H484" s="1"/>
      <c r="I484" s="1"/>
      <c r="J484" s="1"/>
      <c r="K484" s="1"/>
      <c r="L484" s="1"/>
      <c r="M484" s="1"/>
      <c r="N484" s="1"/>
      <c r="O484" s="1"/>
      <c r="P484" s="1"/>
      <c r="Q484" s="1"/>
      <c r="R484" s="1"/>
      <c r="S484" s="1"/>
      <c r="T484" s="1"/>
      <c r="U484" s="2"/>
      <c r="V484" s="1"/>
      <c r="W484" s="1"/>
      <c r="X484" s="1"/>
      <c r="Y484" s="1"/>
      <c r="Z484" s="1"/>
    </row>
    <row r="485" spans="1:26" ht="24.75" customHeight="1">
      <c r="A485" s="1"/>
      <c r="B485" s="1"/>
      <c r="C485" s="1"/>
      <c r="D485" s="1"/>
      <c r="E485" s="1"/>
      <c r="F485" s="1"/>
      <c r="G485" s="1"/>
      <c r="H485" s="1"/>
      <c r="I485" s="1"/>
      <c r="J485" s="1"/>
      <c r="K485" s="1"/>
      <c r="L485" s="1"/>
      <c r="M485" s="1"/>
      <c r="N485" s="1"/>
      <c r="O485" s="1"/>
      <c r="P485" s="1"/>
      <c r="Q485" s="1"/>
      <c r="R485" s="1"/>
      <c r="S485" s="1"/>
      <c r="T485" s="1"/>
      <c r="U485" s="2"/>
      <c r="V485" s="1"/>
      <c r="W485" s="1"/>
      <c r="X485" s="1"/>
      <c r="Y485" s="1"/>
      <c r="Z485" s="1"/>
    </row>
    <row r="486" spans="1:26" ht="24.75" customHeight="1">
      <c r="A486" s="1"/>
      <c r="B486" s="1"/>
      <c r="C486" s="1"/>
      <c r="D486" s="1"/>
      <c r="E486" s="1"/>
      <c r="F486" s="1"/>
      <c r="G486" s="1"/>
      <c r="H486" s="1"/>
      <c r="I486" s="1"/>
      <c r="J486" s="1"/>
      <c r="K486" s="1"/>
      <c r="L486" s="1"/>
      <c r="M486" s="1"/>
      <c r="N486" s="1"/>
      <c r="O486" s="1"/>
      <c r="P486" s="1"/>
      <c r="Q486" s="1"/>
      <c r="R486" s="1"/>
      <c r="S486" s="1"/>
      <c r="T486" s="1"/>
      <c r="U486" s="2"/>
      <c r="V486" s="1"/>
      <c r="W486" s="1"/>
      <c r="X486" s="1"/>
      <c r="Y486" s="1"/>
      <c r="Z486" s="1"/>
    </row>
    <row r="487" spans="1:26" ht="24.75" customHeight="1">
      <c r="A487" s="1"/>
      <c r="B487" s="1"/>
      <c r="C487" s="1"/>
      <c r="D487" s="1"/>
      <c r="E487" s="1"/>
      <c r="F487" s="1"/>
      <c r="G487" s="1"/>
      <c r="H487" s="1"/>
      <c r="I487" s="1"/>
      <c r="J487" s="1"/>
      <c r="K487" s="1"/>
      <c r="L487" s="1"/>
      <c r="M487" s="1"/>
      <c r="N487" s="1"/>
      <c r="O487" s="1"/>
      <c r="P487" s="1"/>
      <c r="Q487" s="1"/>
      <c r="R487" s="1"/>
      <c r="S487" s="1"/>
      <c r="T487" s="1"/>
      <c r="U487" s="2"/>
      <c r="V487" s="1"/>
      <c r="W487" s="1"/>
      <c r="X487" s="1"/>
      <c r="Y487" s="1"/>
      <c r="Z487" s="1"/>
    </row>
    <row r="488" spans="1:26" ht="24.75" customHeight="1">
      <c r="A488" s="1"/>
      <c r="B488" s="1"/>
      <c r="C488" s="1"/>
      <c r="D488" s="1"/>
      <c r="E488" s="1"/>
      <c r="F488" s="1"/>
      <c r="G488" s="1"/>
      <c r="H488" s="1"/>
      <c r="I488" s="1"/>
      <c r="J488" s="1"/>
      <c r="K488" s="1"/>
      <c r="L488" s="1"/>
      <c r="M488" s="1"/>
      <c r="N488" s="1"/>
      <c r="O488" s="1"/>
      <c r="P488" s="1"/>
      <c r="Q488" s="1"/>
      <c r="R488" s="1"/>
      <c r="S488" s="1"/>
      <c r="T488" s="1"/>
      <c r="U488" s="2"/>
      <c r="V488" s="1"/>
      <c r="W488" s="1"/>
      <c r="X488" s="1"/>
      <c r="Y488" s="1"/>
      <c r="Z488" s="1"/>
    </row>
    <row r="489" spans="1:26" ht="24.75" customHeight="1">
      <c r="A489" s="1"/>
      <c r="B489" s="1"/>
      <c r="C489" s="1"/>
      <c r="D489" s="1"/>
      <c r="E489" s="1"/>
      <c r="F489" s="1"/>
      <c r="G489" s="1"/>
      <c r="H489" s="1"/>
      <c r="I489" s="1"/>
      <c r="J489" s="1"/>
      <c r="K489" s="1"/>
      <c r="L489" s="1"/>
      <c r="M489" s="1"/>
      <c r="N489" s="1"/>
      <c r="O489" s="1"/>
      <c r="P489" s="1"/>
      <c r="Q489" s="1"/>
      <c r="R489" s="1"/>
      <c r="S489" s="1"/>
      <c r="T489" s="1"/>
      <c r="U489" s="2"/>
      <c r="V489" s="1"/>
      <c r="W489" s="1"/>
      <c r="X489" s="1"/>
      <c r="Y489" s="1"/>
      <c r="Z489" s="1"/>
    </row>
    <row r="490" spans="1:26" ht="24.75" customHeight="1">
      <c r="A490" s="1"/>
      <c r="B490" s="1"/>
      <c r="C490" s="1"/>
      <c r="D490" s="1"/>
      <c r="E490" s="1"/>
      <c r="F490" s="1"/>
      <c r="G490" s="1"/>
      <c r="H490" s="1"/>
      <c r="I490" s="1"/>
      <c r="J490" s="1"/>
      <c r="K490" s="1"/>
      <c r="L490" s="1"/>
      <c r="M490" s="1"/>
      <c r="N490" s="1"/>
      <c r="O490" s="1"/>
      <c r="P490" s="1"/>
      <c r="Q490" s="1"/>
      <c r="R490" s="1"/>
      <c r="S490" s="1"/>
      <c r="T490" s="1"/>
      <c r="U490" s="2"/>
      <c r="V490" s="1"/>
      <c r="W490" s="1"/>
      <c r="X490" s="1"/>
      <c r="Y490" s="1"/>
      <c r="Z490" s="1"/>
    </row>
    <row r="491" spans="1:26" ht="24.75" customHeight="1">
      <c r="A491" s="1"/>
      <c r="B491" s="1"/>
      <c r="C491" s="1"/>
      <c r="D491" s="1"/>
      <c r="E491" s="1"/>
      <c r="F491" s="1"/>
      <c r="G491" s="1"/>
      <c r="H491" s="1"/>
      <c r="I491" s="1"/>
      <c r="J491" s="1"/>
      <c r="K491" s="1"/>
      <c r="L491" s="1"/>
      <c r="M491" s="1"/>
      <c r="N491" s="1"/>
      <c r="O491" s="1"/>
      <c r="P491" s="1"/>
      <c r="Q491" s="1"/>
      <c r="R491" s="1"/>
      <c r="S491" s="1"/>
      <c r="T491" s="1"/>
      <c r="U491" s="2"/>
      <c r="V491" s="1"/>
      <c r="W491" s="1"/>
      <c r="X491" s="1"/>
      <c r="Y491" s="1"/>
      <c r="Z491" s="1"/>
    </row>
    <row r="492" spans="1:26" ht="24.75" customHeight="1">
      <c r="A492" s="1"/>
      <c r="B492" s="1"/>
      <c r="C492" s="1"/>
      <c r="D492" s="1"/>
      <c r="E492" s="1"/>
      <c r="F492" s="1"/>
      <c r="G492" s="1"/>
      <c r="H492" s="1"/>
      <c r="I492" s="1"/>
      <c r="J492" s="1"/>
      <c r="K492" s="1"/>
      <c r="L492" s="1"/>
      <c r="M492" s="1"/>
      <c r="N492" s="1"/>
      <c r="O492" s="1"/>
      <c r="P492" s="1"/>
      <c r="Q492" s="1"/>
      <c r="R492" s="1"/>
      <c r="S492" s="1"/>
      <c r="T492" s="1"/>
      <c r="U492" s="2"/>
      <c r="V492" s="1"/>
      <c r="W492" s="1"/>
      <c r="X492" s="1"/>
      <c r="Y492" s="1"/>
      <c r="Z492" s="1"/>
    </row>
    <row r="493" spans="1:26" ht="24.75" customHeight="1">
      <c r="A493" s="1"/>
      <c r="B493" s="1"/>
      <c r="C493" s="1"/>
      <c r="D493" s="1"/>
      <c r="E493" s="1"/>
      <c r="F493" s="1"/>
      <c r="G493" s="1"/>
      <c r="H493" s="1"/>
      <c r="I493" s="1"/>
      <c r="J493" s="1"/>
      <c r="K493" s="1"/>
      <c r="L493" s="1"/>
      <c r="M493" s="1"/>
      <c r="N493" s="1"/>
      <c r="O493" s="1"/>
      <c r="P493" s="1"/>
      <c r="Q493" s="1"/>
      <c r="R493" s="1"/>
      <c r="S493" s="1"/>
      <c r="T493" s="1"/>
      <c r="U493" s="2"/>
      <c r="V493" s="1"/>
      <c r="W493" s="1"/>
      <c r="X493" s="1"/>
      <c r="Y493" s="1"/>
      <c r="Z493" s="1"/>
    </row>
    <row r="494" spans="1:26" ht="24.75" customHeight="1">
      <c r="A494" s="1"/>
      <c r="B494" s="1"/>
      <c r="C494" s="1"/>
      <c r="D494" s="1"/>
      <c r="E494" s="1"/>
      <c r="F494" s="1"/>
      <c r="G494" s="1"/>
      <c r="H494" s="1"/>
      <c r="I494" s="1"/>
      <c r="J494" s="1"/>
      <c r="K494" s="1"/>
      <c r="L494" s="1"/>
      <c r="M494" s="1"/>
      <c r="N494" s="1"/>
      <c r="O494" s="1"/>
      <c r="P494" s="1"/>
      <c r="Q494" s="1"/>
      <c r="R494" s="1"/>
      <c r="S494" s="1"/>
      <c r="T494" s="1"/>
      <c r="U494" s="2"/>
      <c r="V494" s="1"/>
      <c r="W494" s="1"/>
      <c r="X494" s="1"/>
      <c r="Y494" s="1"/>
      <c r="Z494" s="1"/>
    </row>
    <row r="495" spans="1:26" ht="24.75" customHeight="1">
      <c r="A495" s="1"/>
      <c r="B495" s="1"/>
      <c r="C495" s="1"/>
      <c r="D495" s="1"/>
      <c r="E495" s="1"/>
      <c r="F495" s="1"/>
      <c r="G495" s="1"/>
      <c r="H495" s="1"/>
      <c r="I495" s="1"/>
      <c r="J495" s="1"/>
      <c r="K495" s="1"/>
      <c r="L495" s="1"/>
      <c r="M495" s="1"/>
      <c r="N495" s="1"/>
      <c r="O495" s="1"/>
      <c r="P495" s="1"/>
      <c r="Q495" s="1"/>
      <c r="R495" s="1"/>
      <c r="S495" s="1"/>
      <c r="T495" s="1"/>
      <c r="U495" s="2"/>
      <c r="V495" s="1"/>
      <c r="W495" s="1"/>
      <c r="X495" s="1"/>
      <c r="Y495" s="1"/>
      <c r="Z495" s="1"/>
    </row>
    <row r="496" spans="1:26" ht="24.75" customHeight="1">
      <c r="A496" s="1"/>
      <c r="B496" s="1"/>
      <c r="C496" s="1"/>
      <c r="D496" s="1"/>
      <c r="E496" s="1"/>
      <c r="F496" s="1"/>
      <c r="G496" s="1"/>
      <c r="H496" s="1"/>
      <c r="I496" s="1"/>
      <c r="J496" s="1"/>
      <c r="K496" s="1"/>
      <c r="L496" s="1"/>
      <c r="M496" s="1"/>
      <c r="N496" s="1"/>
      <c r="O496" s="1"/>
      <c r="P496" s="1"/>
      <c r="Q496" s="1"/>
      <c r="R496" s="1"/>
      <c r="S496" s="1"/>
      <c r="T496" s="1"/>
      <c r="U496" s="2"/>
      <c r="V496" s="1"/>
      <c r="W496" s="1"/>
      <c r="X496" s="1"/>
      <c r="Y496" s="1"/>
      <c r="Z496" s="1"/>
    </row>
    <row r="497" spans="1:26" ht="24.75" customHeight="1">
      <c r="A497" s="1"/>
      <c r="B497" s="1"/>
      <c r="C497" s="1"/>
      <c r="D497" s="1"/>
      <c r="E497" s="1"/>
      <c r="F497" s="1"/>
      <c r="G497" s="1"/>
      <c r="H497" s="1"/>
      <c r="I497" s="1"/>
      <c r="J497" s="1"/>
      <c r="K497" s="1"/>
      <c r="L497" s="1"/>
      <c r="M497" s="1"/>
      <c r="N497" s="1"/>
      <c r="O497" s="1"/>
      <c r="P497" s="1"/>
      <c r="Q497" s="1"/>
      <c r="R497" s="1"/>
      <c r="S497" s="1"/>
      <c r="T497" s="1"/>
      <c r="U497" s="2"/>
      <c r="V497" s="1"/>
      <c r="W497" s="1"/>
      <c r="X497" s="1"/>
      <c r="Y497" s="1"/>
      <c r="Z497" s="1"/>
    </row>
    <row r="498" spans="1:26" ht="24.75" customHeight="1">
      <c r="A498" s="1"/>
      <c r="B498" s="1"/>
      <c r="C498" s="1"/>
      <c r="D498" s="1"/>
      <c r="E498" s="1"/>
      <c r="F498" s="1"/>
      <c r="G498" s="1"/>
      <c r="H498" s="1"/>
      <c r="I498" s="1"/>
      <c r="J498" s="1"/>
      <c r="K498" s="1"/>
      <c r="L498" s="1"/>
      <c r="M498" s="1"/>
      <c r="N498" s="1"/>
      <c r="O498" s="1"/>
      <c r="P498" s="1"/>
      <c r="Q498" s="1"/>
      <c r="R498" s="1"/>
      <c r="S498" s="1"/>
      <c r="T498" s="1"/>
      <c r="U498" s="2"/>
      <c r="V498" s="1"/>
      <c r="W498" s="1"/>
      <c r="X498" s="1"/>
      <c r="Y498" s="1"/>
      <c r="Z498" s="1"/>
    </row>
    <row r="499" spans="1:26" ht="24.75" customHeight="1">
      <c r="A499" s="1"/>
      <c r="B499" s="1"/>
      <c r="C499" s="1"/>
      <c r="D499" s="1"/>
      <c r="E499" s="1"/>
      <c r="F499" s="1"/>
      <c r="G499" s="1"/>
      <c r="H499" s="1"/>
      <c r="I499" s="1"/>
      <c r="J499" s="1"/>
      <c r="K499" s="1"/>
      <c r="L499" s="1"/>
      <c r="M499" s="1"/>
      <c r="N499" s="1"/>
      <c r="O499" s="1"/>
      <c r="P499" s="1"/>
      <c r="Q499" s="1"/>
      <c r="R499" s="1"/>
      <c r="S499" s="1"/>
      <c r="T499" s="1"/>
      <c r="U499" s="2"/>
      <c r="V499" s="1"/>
      <c r="W499" s="1"/>
      <c r="X499" s="1"/>
      <c r="Y499" s="1"/>
      <c r="Z499" s="1"/>
    </row>
    <row r="500" spans="1:26" ht="24.75" customHeight="1">
      <c r="A500" s="1"/>
      <c r="B500" s="1"/>
      <c r="C500" s="1"/>
      <c r="D500" s="1"/>
      <c r="E500" s="1"/>
      <c r="F500" s="1"/>
      <c r="G500" s="1"/>
      <c r="H500" s="1"/>
      <c r="I500" s="1"/>
      <c r="J500" s="1"/>
      <c r="K500" s="1"/>
      <c r="L500" s="1"/>
      <c r="M500" s="1"/>
      <c r="N500" s="1"/>
      <c r="O500" s="1"/>
      <c r="P500" s="1"/>
      <c r="Q500" s="1"/>
      <c r="R500" s="1"/>
      <c r="S500" s="1"/>
      <c r="T500" s="1"/>
      <c r="U500" s="2"/>
      <c r="V500" s="1"/>
      <c r="W500" s="1"/>
      <c r="X500" s="1"/>
      <c r="Y500" s="1"/>
      <c r="Z500" s="1"/>
    </row>
    <row r="501" spans="1:26" ht="24.75" customHeight="1">
      <c r="A501" s="1"/>
      <c r="B501" s="1"/>
      <c r="C501" s="1"/>
      <c r="D501" s="1"/>
      <c r="E501" s="1"/>
      <c r="F501" s="1"/>
      <c r="G501" s="1"/>
      <c r="H501" s="1"/>
      <c r="I501" s="1"/>
      <c r="J501" s="1"/>
      <c r="K501" s="1"/>
      <c r="L501" s="1"/>
      <c r="M501" s="1"/>
      <c r="N501" s="1"/>
      <c r="O501" s="1"/>
      <c r="P501" s="1"/>
      <c r="Q501" s="1"/>
      <c r="R501" s="1"/>
      <c r="S501" s="1"/>
      <c r="T501" s="1"/>
      <c r="U501" s="2"/>
      <c r="V501" s="1"/>
      <c r="W501" s="1"/>
      <c r="X501" s="1"/>
      <c r="Y501" s="1"/>
      <c r="Z501" s="1"/>
    </row>
    <row r="502" spans="1:26" ht="24.75" customHeight="1">
      <c r="A502" s="1"/>
      <c r="B502" s="1"/>
      <c r="C502" s="1"/>
      <c r="D502" s="1"/>
      <c r="E502" s="1"/>
      <c r="F502" s="1"/>
      <c r="G502" s="1"/>
      <c r="H502" s="1"/>
      <c r="I502" s="1"/>
      <c r="J502" s="1"/>
      <c r="K502" s="1"/>
      <c r="L502" s="1"/>
      <c r="M502" s="1"/>
      <c r="N502" s="1"/>
      <c r="O502" s="1"/>
      <c r="P502" s="1"/>
      <c r="Q502" s="1"/>
      <c r="R502" s="1"/>
      <c r="S502" s="1"/>
      <c r="T502" s="1"/>
      <c r="U502" s="2"/>
      <c r="V502" s="1"/>
      <c r="W502" s="1"/>
      <c r="X502" s="1"/>
      <c r="Y502" s="1"/>
      <c r="Z502" s="1"/>
    </row>
    <row r="503" spans="1:26" ht="24.75" customHeight="1">
      <c r="A503" s="1"/>
      <c r="B503" s="1"/>
      <c r="C503" s="1"/>
      <c r="D503" s="1"/>
      <c r="E503" s="1"/>
      <c r="F503" s="1"/>
      <c r="G503" s="1"/>
      <c r="H503" s="1"/>
      <c r="I503" s="1"/>
      <c r="J503" s="1"/>
      <c r="K503" s="1"/>
      <c r="L503" s="1"/>
      <c r="M503" s="1"/>
      <c r="N503" s="1"/>
      <c r="O503" s="1"/>
      <c r="P503" s="1"/>
      <c r="Q503" s="1"/>
      <c r="R503" s="1"/>
      <c r="S503" s="1"/>
      <c r="T503" s="1"/>
      <c r="U503" s="2"/>
      <c r="V503" s="1"/>
      <c r="W503" s="1"/>
      <c r="X503" s="1"/>
      <c r="Y503" s="1"/>
      <c r="Z503" s="1"/>
    </row>
    <row r="504" spans="1:26" ht="24.75" customHeight="1">
      <c r="A504" s="1"/>
      <c r="B504" s="1"/>
      <c r="C504" s="1"/>
      <c r="D504" s="1"/>
      <c r="E504" s="1"/>
      <c r="F504" s="1"/>
      <c r="G504" s="1"/>
      <c r="H504" s="1"/>
      <c r="I504" s="1"/>
      <c r="J504" s="1"/>
      <c r="K504" s="1"/>
      <c r="L504" s="1"/>
      <c r="M504" s="1"/>
      <c r="N504" s="1"/>
      <c r="O504" s="1"/>
      <c r="P504" s="1"/>
      <c r="Q504" s="1"/>
      <c r="R504" s="1"/>
      <c r="S504" s="1"/>
      <c r="T504" s="1"/>
      <c r="U504" s="2"/>
      <c r="V504" s="1"/>
      <c r="W504" s="1"/>
      <c r="X504" s="1"/>
      <c r="Y504" s="1"/>
      <c r="Z504" s="1"/>
    </row>
    <row r="505" spans="1:26" ht="24.75" customHeight="1">
      <c r="A505" s="1"/>
      <c r="B505" s="1"/>
      <c r="C505" s="1"/>
      <c r="D505" s="1"/>
      <c r="E505" s="1"/>
      <c r="F505" s="1"/>
      <c r="G505" s="1"/>
      <c r="H505" s="1"/>
      <c r="I505" s="1"/>
      <c r="J505" s="1"/>
      <c r="K505" s="1"/>
      <c r="L505" s="1"/>
      <c r="M505" s="1"/>
      <c r="N505" s="1"/>
      <c r="O505" s="1"/>
      <c r="P505" s="1"/>
      <c r="Q505" s="1"/>
      <c r="R505" s="1"/>
      <c r="S505" s="1"/>
      <c r="T505" s="1"/>
      <c r="U505" s="2"/>
      <c r="V505" s="1"/>
      <c r="W505" s="1"/>
      <c r="X505" s="1"/>
      <c r="Y505" s="1"/>
      <c r="Z505" s="1"/>
    </row>
    <row r="506" spans="1:26" ht="24.75" customHeight="1">
      <c r="A506" s="1"/>
      <c r="B506" s="1"/>
      <c r="C506" s="1"/>
      <c r="D506" s="1"/>
      <c r="E506" s="1"/>
      <c r="F506" s="1"/>
      <c r="G506" s="1"/>
      <c r="H506" s="1"/>
      <c r="I506" s="1"/>
      <c r="J506" s="1"/>
      <c r="K506" s="1"/>
      <c r="L506" s="1"/>
      <c r="M506" s="1"/>
      <c r="N506" s="1"/>
      <c r="O506" s="1"/>
      <c r="P506" s="1"/>
      <c r="Q506" s="1"/>
      <c r="R506" s="1"/>
      <c r="S506" s="1"/>
      <c r="T506" s="1"/>
      <c r="U506" s="2"/>
      <c r="V506" s="1"/>
      <c r="W506" s="1"/>
      <c r="X506" s="1"/>
      <c r="Y506" s="1"/>
      <c r="Z506" s="1"/>
    </row>
    <row r="507" spans="1:26" ht="24.75" customHeight="1">
      <c r="A507" s="1"/>
      <c r="B507" s="1"/>
      <c r="C507" s="1"/>
      <c r="D507" s="1"/>
      <c r="E507" s="1"/>
      <c r="F507" s="1"/>
      <c r="G507" s="1"/>
      <c r="H507" s="1"/>
      <c r="I507" s="1"/>
      <c r="J507" s="1"/>
      <c r="K507" s="1"/>
      <c r="L507" s="1"/>
      <c r="M507" s="1"/>
      <c r="N507" s="1"/>
      <c r="O507" s="1"/>
      <c r="P507" s="1"/>
      <c r="Q507" s="1"/>
      <c r="R507" s="1"/>
      <c r="S507" s="1"/>
      <c r="T507" s="1"/>
      <c r="U507" s="2"/>
      <c r="V507" s="1"/>
      <c r="W507" s="1"/>
      <c r="X507" s="1"/>
      <c r="Y507" s="1"/>
      <c r="Z507" s="1"/>
    </row>
    <row r="508" spans="1:26" ht="24.75" customHeight="1">
      <c r="A508" s="1"/>
      <c r="B508" s="1"/>
      <c r="C508" s="1"/>
      <c r="D508" s="1"/>
      <c r="E508" s="1"/>
      <c r="F508" s="1"/>
      <c r="G508" s="1"/>
      <c r="H508" s="1"/>
      <c r="I508" s="1"/>
      <c r="J508" s="1"/>
      <c r="K508" s="1"/>
      <c r="L508" s="1"/>
      <c r="M508" s="1"/>
      <c r="N508" s="1"/>
      <c r="O508" s="1"/>
      <c r="P508" s="1"/>
      <c r="Q508" s="1"/>
      <c r="R508" s="1"/>
      <c r="S508" s="1"/>
      <c r="T508" s="1"/>
      <c r="U508" s="2"/>
      <c r="V508" s="1"/>
      <c r="W508" s="1"/>
      <c r="X508" s="1"/>
      <c r="Y508" s="1"/>
      <c r="Z508" s="1"/>
    </row>
    <row r="509" spans="1:26" ht="24.75" customHeight="1">
      <c r="A509" s="1"/>
      <c r="B509" s="1"/>
      <c r="C509" s="1"/>
      <c r="D509" s="1"/>
      <c r="E509" s="1"/>
      <c r="F509" s="1"/>
      <c r="G509" s="1"/>
      <c r="H509" s="1"/>
      <c r="I509" s="1"/>
      <c r="J509" s="1"/>
      <c r="K509" s="1"/>
      <c r="L509" s="1"/>
      <c r="M509" s="1"/>
      <c r="N509" s="1"/>
      <c r="O509" s="1"/>
      <c r="P509" s="1"/>
      <c r="Q509" s="1"/>
      <c r="R509" s="1"/>
      <c r="S509" s="1"/>
      <c r="T509" s="1"/>
      <c r="U509" s="2"/>
      <c r="V509" s="1"/>
      <c r="W509" s="1"/>
      <c r="X509" s="1"/>
      <c r="Y509" s="1"/>
      <c r="Z509" s="1"/>
    </row>
    <row r="510" spans="1:26" ht="24.75" customHeight="1">
      <c r="A510" s="1"/>
      <c r="B510" s="1"/>
      <c r="C510" s="1"/>
      <c r="D510" s="1"/>
      <c r="E510" s="1"/>
      <c r="F510" s="1"/>
      <c r="G510" s="1"/>
      <c r="H510" s="1"/>
      <c r="I510" s="1"/>
      <c r="J510" s="1"/>
      <c r="K510" s="1"/>
      <c r="L510" s="1"/>
      <c r="M510" s="1"/>
      <c r="N510" s="1"/>
      <c r="O510" s="1"/>
      <c r="P510" s="1"/>
      <c r="Q510" s="1"/>
      <c r="R510" s="1"/>
      <c r="S510" s="1"/>
      <c r="T510" s="1"/>
      <c r="U510" s="2"/>
      <c r="V510" s="1"/>
      <c r="W510" s="1"/>
      <c r="X510" s="1"/>
      <c r="Y510" s="1"/>
      <c r="Z510" s="1"/>
    </row>
    <row r="511" spans="1:26" ht="24.75" customHeight="1">
      <c r="A511" s="1"/>
      <c r="B511" s="1"/>
      <c r="C511" s="1"/>
      <c r="D511" s="1"/>
      <c r="E511" s="1"/>
      <c r="F511" s="1"/>
      <c r="G511" s="1"/>
      <c r="H511" s="1"/>
      <c r="I511" s="1"/>
      <c r="J511" s="1"/>
      <c r="K511" s="1"/>
      <c r="L511" s="1"/>
      <c r="M511" s="1"/>
      <c r="N511" s="1"/>
      <c r="O511" s="1"/>
      <c r="P511" s="1"/>
      <c r="Q511" s="1"/>
      <c r="R511" s="1"/>
      <c r="S511" s="1"/>
      <c r="T511" s="1"/>
      <c r="U511" s="2"/>
      <c r="V511" s="1"/>
      <c r="W511" s="1"/>
      <c r="X511" s="1"/>
      <c r="Y511" s="1"/>
      <c r="Z511" s="1"/>
    </row>
    <row r="512" spans="1:26" ht="24.75" customHeight="1">
      <c r="A512" s="1"/>
      <c r="B512" s="1"/>
      <c r="C512" s="1"/>
      <c r="D512" s="1"/>
      <c r="E512" s="1"/>
      <c r="F512" s="1"/>
      <c r="G512" s="1"/>
      <c r="H512" s="1"/>
      <c r="I512" s="1"/>
      <c r="J512" s="1"/>
      <c r="K512" s="1"/>
      <c r="L512" s="1"/>
      <c r="M512" s="1"/>
      <c r="N512" s="1"/>
      <c r="O512" s="1"/>
      <c r="P512" s="1"/>
      <c r="Q512" s="1"/>
      <c r="R512" s="1"/>
      <c r="S512" s="1"/>
      <c r="T512" s="1"/>
      <c r="U512" s="2"/>
      <c r="V512" s="1"/>
      <c r="W512" s="1"/>
      <c r="X512" s="1"/>
      <c r="Y512" s="1"/>
      <c r="Z512" s="1"/>
    </row>
    <row r="513" spans="1:26" ht="24.75" customHeight="1">
      <c r="A513" s="1"/>
      <c r="B513" s="1"/>
      <c r="C513" s="1"/>
      <c r="D513" s="1"/>
      <c r="E513" s="1"/>
      <c r="F513" s="1"/>
      <c r="G513" s="1"/>
      <c r="H513" s="1"/>
      <c r="I513" s="1"/>
      <c r="J513" s="1"/>
      <c r="K513" s="1"/>
      <c r="L513" s="1"/>
      <c r="M513" s="1"/>
      <c r="N513" s="1"/>
      <c r="O513" s="1"/>
      <c r="P513" s="1"/>
      <c r="Q513" s="1"/>
      <c r="R513" s="1"/>
      <c r="S513" s="1"/>
      <c r="T513" s="1"/>
      <c r="U513" s="2"/>
      <c r="V513" s="1"/>
      <c r="W513" s="1"/>
      <c r="X513" s="1"/>
      <c r="Y513" s="1"/>
      <c r="Z513" s="1"/>
    </row>
    <row r="514" spans="1:26" ht="24.75" customHeight="1">
      <c r="A514" s="1"/>
      <c r="B514" s="1"/>
      <c r="C514" s="1"/>
      <c r="D514" s="1"/>
      <c r="E514" s="1"/>
      <c r="F514" s="1"/>
      <c r="G514" s="1"/>
      <c r="H514" s="1"/>
      <c r="I514" s="1"/>
      <c r="J514" s="1"/>
      <c r="K514" s="1"/>
      <c r="L514" s="1"/>
      <c r="M514" s="1"/>
      <c r="N514" s="1"/>
      <c r="O514" s="1"/>
      <c r="P514" s="1"/>
      <c r="Q514" s="1"/>
      <c r="R514" s="1"/>
      <c r="S514" s="1"/>
      <c r="T514" s="1"/>
      <c r="U514" s="2"/>
      <c r="V514" s="1"/>
      <c r="W514" s="1"/>
      <c r="X514" s="1"/>
      <c r="Y514" s="1"/>
      <c r="Z514" s="1"/>
    </row>
    <row r="515" spans="1:26" ht="24.75" customHeight="1">
      <c r="A515" s="1"/>
      <c r="B515" s="1"/>
      <c r="C515" s="1"/>
      <c r="D515" s="1"/>
      <c r="E515" s="1"/>
      <c r="F515" s="1"/>
      <c r="G515" s="1"/>
      <c r="H515" s="1"/>
      <c r="I515" s="1"/>
      <c r="J515" s="1"/>
      <c r="K515" s="1"/>
      <c r="L515" s="1"/>
      <c r="M515" s="1"/>
      <c r="N515" s="1"/>
      <c r="O515" s="1"/>
      <c r="P515" s="1"/>
      <c r="Q515" s="1"/>
      <c r="R515" s="1"/>
      <c r="S515" s="1"/>
      <c r="T515" s="1"/>
      <c r="U515" s="2"/>
      <c r="V515" s="1"/>
      <c r="W515" s="1"/>
      <c r="X515" s="1"/>
      <c r="Y515" s="1"/>
      <c r="Z515" s="1"/>
    </row>
    <row r="516" spans="1:26" ht="24.75" customHeight="1">
      <c r="A516" s="1"/>
      <c r="B516" s="1"/>
      <c r="C516" s="1"/>
      <c r="D516" s="1"/>
      <c r="E516" s="1"/>
      <c r="F516" s="1"/>
      <c r="G516" s="1"/>
      <c r="H516" s="1"/>
      <c r="I516" s="1"/>
      <c r="J516" s="1"/>
      <c r="K516" s="1"/>
      <c r="L516" s="1"/>
      <c r="M516" s="1"/>
      <c r="N516" s="1"/>
      <c r="O516" s="1"/>
      <c r="P516" s="1"/>
      <c r="Q516" s="1"/>
      <c r="R516" s="1"/>
      <c r="S516" s="1"/>
      <c r="T516" s="1"/>
      <c r="U516" s="2"/>
      <c r="V516" s="1"/>
      <c r="W516" s="1"/>
      <c r="X516" s="1"/>
      <c r="Y516" s="1"/>
      <c r="Z516" s="1"/>
    </row>
    <row r="517" spans="1:26" ht="24.75" customHeight="1">
      <c r="A517" s="1"/>
      <c r="B517" s="1"/>
      <c r="C517" s="1"/>
      <c r="D517" s="1"/>
      <c r="E517" s="1"/>
      <c r="F517" s="1"/>
      <c r="G517" s="1"/>
      <c r="H517" s="1"/>
      <c r="I517" s="1"/>
      <c r="J517" s="1"/>
      <c r="K517" s="1"/>
      <c r="L517" s="1"/>
      <c r="M517" s="1"/>
      <c r="N517" s="1"/>
      <c r="O517" s="1"/>
      <c r="P517" s="1"/>
      <c r="Q517" s="1"/>
      <c r="R517" s="1"/>
      <c r="S517" s="1"/>
      <c r="T517" s="1"/>
      <c r="U517" s="2"/>
      <c r="V517" s="1"/>
      <c r="W517" s="1"/>
      <c r="X517" s="1"/>
      <c r="Y517" s="1"/>
      <c r="Z517" s="1"/>
    </row>
    <row r="518" spans="1:26" ht="24.75" customHeight="1">
      <c r="A518" s="1"/>
      <c r="B518" s="1"/>
      <c r="C518" s="1"/>
      <c r="D518" s="1"/>
      <c r="E518" s="1"/>
      <c r="F518" s="1"/>
      <c r="G518" s="1"/>
      <c r="H518" s="1"/>
      <c r="I518" s="1"/>
      <c r="J518" s="1"/>
      <c r="K518" s="1"/>
      <c r="L518" s="1"/>
      <c r="M518" s="1"/>
      <c r="N518" s="1"/>
      <c r="O518" s="1"/>
      <c r="P518" s="1"/>
      <c r="Q518" s="1"/>
      <c r="R518" s="1"/>
      <c r="S518" s="1"/>
      <c r="T518" s="1"/>
      <c r="U518" s="2"/>
      <c r="V518" s="1"/>
      <c r="W518" s="1"/>
      <c r="X518" s="1"/>
      <c r="Y518" s="1"/>
      <c r="Z518" s="1"/>
    </row>
    <row r="519" spans="1:26" ht="24.75" customHeight="1">
      <c r="A519" s="1"/>
      <c r="B519" s="1"/>
      <c r="C519" s="1"/>
      <c r="D519" s="1"/>
      <c r="E519" s="1"/>
      <c r="F519" s="1"/>
      <c r="G519" s="1"/>
      <c r="H519" s="1"/>
      <c r="I519" s="1"/>
      <c r="J519" s="1"/>
      <c r="K519" s="1"/>
      <c r="L519" s="1"/>
      <c r="M519" s="1"/>
      <c r="N519" s="1"/>
      <c r="O519" s="1"/>
      <c r="P519" s="1"/>
      <c r="Q519" s="1"/>
      <c r="R519" s="1"/>
      <c r="S519" s="1"/>
      <c r="T519" s="1"/>
      <c r="U519" s="2"/>
      <c r="V519" s="1"/>
      <c r="W519" s="1"/>
      <c r="X519" s="1"/>
      <c r="Y519" s="1"/>
      <c r="Z519" s="1"/>
    </row>
    <row r="520" spans="1:26" ht="24.75" customHeight="1">
      <c r="A520" s="1"/>
      <c r="B520" s="1"/>
      <c r="C520" s="1"/>
      <c r="D520" s="1"/>
      <c r="E520" s="1"/>
      <c r="F520" s="1"/>
      <c r="G520" s="1"/>
      <c r="H520" s="1"/>
      <c r="I520" s="1"/>
      <c r="J520" s="1"/>
      <c r="K520" s="1"/>
      <c r="L520" s="1"/>
      <c r="M520" s="1"/>
      <c r="N520" s="1"/>
      <c r="O520" s="1"/>
      <c r="P520" s="1"/>
      <c r="Q520" s="1"/>
      <c r="R520" s="1"/>
      <c r="S520" s="1"/>
      <c r="T520" s="1"/>
      <c r="U520" s="2"/>
      <c r="V520" s="1"/>
      <c r="W520" s="1"/>
      <c r="X520" s="1"/>
      <c r="Y520" s="1"/>
      <c r="Z520" s="1"/>
    </row>
    <row r="521" spans="1:26" ht="24.75" customHeight="1">
      <c r="A521" s="1"/>
      <c r="B521" s="1"/>
      <c r="C521" s="1"/>
      <c r="D521" s="1"/>
      <c r="E521" s="1"/>
      <c r="F521" s="1"/>
      <c r="G521" s="1"/>
      <c r="H521" s="1"/>
      <c r="I521" s="1"/>
      <c r="J521" s="1"/>
      <c r="K521" s="1"/>
      <c r="L521" s="1"/>
      <c r="M521" s="1"/>
      <c r="N521" s="1"/>
      <c r="O521" s="1"/>
      <c r="P521" s="1"/>
      <c r="Q521" s="1"/>
      <c r="R521" s="1"/>
      <c r="S521" s="1"/>
      <c r="T521" s="1"/>
      <c r="U521" s="2"/>
      <c r="V521" s="1"/>
      <c r="W521" s="1"/>
      <c r="X521" s="1"/>
      <c r="Y521" s="1"/>
      <c r="Z521" s="1"/>
    </row>
    <row r="522" spans="1:26" ht="24.75" customHeight="1">
      <c r="A522" s="1"/>
      <c r="B522" s="1"/>
      <c r="C522" s="1"/>
      <c r="D522" s="1"/>
      <c r="E522" s="1"/>
      <c r="F522" s="1"/>
      <c r="G522" s="1"/>
      <c r="H522" s="1"/>
      <c r="I522" s="1"/>
      <c r="J522" s="1"/>
      <c r="K522" s="1"/>
      <c r="L522" s="1"/>
      <c r="M522" s="1"/>
      <c r="N522" s="1"/>
      <c r="O522" s="1"/>
      <c r="P522" s="1"/>
      <c r="Q522" s="1"/>
      <c r="R522" s="1"/>
      <c r="S522" s="1"/>
      <c r="T522" s="1"/>
      <c r="U522" s="2"/>
      <c r="V522" s="1"/>
      <c r="W522" s="1"/>
      <c r="X522" s="1"/>
      <c r="Y522" s="1"/>
      <c r="Z522" s="1"/>
    </row>
    <row r="523" spans="1:26" ht="24.75" customHeight="1">
      <c r="A523" s="1"/>
      <c r="B523" s="1"/>
      <c r="C523" s="1"/>
      <c r="D523" s="1"/>
      <c r="E523" s="1"/>
      <c r="F523" s="1"/>
      <c r="G523" s="1"/>
      <c r="H523" s="1"/>
      <c r="I523" s="1"/>
      <c r="J523" s="1"/>
      <c r="K523" s="1"/>
      <c r="L523" s="1"/>
      <c r="M523" s="1"/>
      <c r="N523" s="1"/>
      <c r="O523" s="1"/>
      <c r="P523" s="1"/>
      <c r="Q523" s="1"/>
      <c r="R523" s="1"/>
      <c r="S523" s="1"/>
      <c r="T523" s="1"/>
      <c r="U523" s="2"/>
      <c r="V523" s="1"/>
      <c r="W523" s="1"/>
      <c r="X523" s="1"/>
      <c r="Y523" s="1"/>
      <c r="Z523" s="1"/>
    </row>
    <row r="524" spans="1:26" ht="24.75" customHeight="1">
      <c r="A524" s="1"/>
      <c r="B524" s="1"/>
      <c r="C524" s="1"/>
      <c r="D524" s="1"/>
      <c r="E524" s="1"/>
      <c r="F524" s="1"/>
      <c r="G524" s="1"/>
      <c r="H524" s="1"/>
      <c r="I524" s="1"/>
      <c r="J524" s="1"/>
      <c r="K524" s="1"/>
      <c r="L524" s="1"/>
      <c r="M524" s="1"/>
      <c r="N524" s="1"/>
      <c r="O524" s="1"/>
      <c r="P524" s="1"/>
      <c r="Q524" s="1"/>
      <c r="R524" s="1"/>
      <c r="S524" s="1"/>
      <c r="T524" s="1"/>
      <c r="U524" s="2"/>
      <c r="V524" s="1"/>
      <c r="W524" s="1"/>
      <c r="X524" s="1"/>
      <c r="Y524" s="1"/>
      <c r="Z524" s="1"/>
    </row>
    <row r="525" spans="1:26" ht="24.75" customHeight="1">
      <c r="A525" s="1"/>
      <c r="B525" s="1"/>
      <c r="C525" s="1"/>
      <c r="D525" s="1"/>
      <c r="E525" s="1"/>
      <c r="F525" s="1"/>
      <c r="G525" s="1"/>
      <c r="H525" s="1"/>
      <c r="I525" s="1"/>
      <c r="J525" s="1"/>
      <c r="K525" s="1"/>
      <c r="L525" s="1"/>
      <c r="M525" s="1"/>
      <c r="N525" s="1"/>
      <c r="O525" s="1"/>
      <c r="P525" s="1"/>
      <c r="Q525" s="1"/>
      <c r="R525" s="1"/>
      <c r="S525" s="1"/>
      <c r="T525" s="1"/>
      <c r="U525" s="2"/>
      <c r="V525" s="1"/>
      <c r="W525" s="1"/>
      <c r="X525" s="1"/>
      <c r="Y525" s="1"/>
      <c r="Z525" s="1"/>
    </row>
    <row r="526" spans="1:26" ht="24.75" customHeight="1">
      <c r="A526" s="1"/>
      <c r="B526" s="1"/>
      <c r="C526" s="1"/>
      <c r="D526" s="1"/>
      <c r="E526" s="1"/>
      <c r="F526" s="1"/>
      <c r="G526" s="1"/>
      <c r="H526" s="1"/>
      <c r="I526" s="1"/>
      <c r="J526" s="1"/>
      <c r="K526" s="1"/>
      <c r="L526" s="1"/>
      <c r="M526" s="1"/>
      <c r="N526" s="1"/>
      <c r="O526" s="1"/>
      <c r="P526" s="1"/>
      <c r="Q526" s="1"/>
      <c r="R526" s="1"/>
      <c r="S526" s="1"/>
      <c r="T526" s="1"/>
      <c r="U526" s="2"/>
      <c r="V526" s="1"/>
      <c r="W526" s="1"/>
      <c r="X526" s="1"/>
      <c r="Y526" s="1"/>
      <c r="Z526" s="1"/>
    </row>
    <row r="527" spans="1:26" ht="24.75" customHeight="1">
      <c r="A527" s="1"/>
      <c r="B527" s="1"/>
      <c r="C527" s="1"/>
      <c r="D527" s="1"/>
      <c r="E527" s="1"/>
      <c r="F527" s="1"/>
      <c r="G527" s="1"/>
      <c r="H527" s="1"/>
      <c r="I527" s="1"/>
      <c r="J527" s="1"/>
      <c r="K527" s="1"/>
      <c r="L527" s="1"/>
      <c r="M527" s="1"/>
      <c r="N527" s="1"/>
      <c r="O527" s="1"/>
      <c r="P527" s="1"/>
      <c r="Q527" s="1"/>
      <c r="R527" s="1"/>
      <c r="S527" s="1"/>
      <c r="T527" s="1"/>
      <c r="U527" s="2"/>
      <c r="V527" s="1"/>
      <c r="W527" s="1"/>
      <c r="X527" s="1"/>
      <c r="Y527" s="1"/>
      <c r="Z527" s="1"/>
    </row>
    <row r="528" spans="1:26" ht="24.75" customHeight="1">
      <c r="A528" s="1"/>
      <c r="B528" s="1"/>
      <c r="C528" s="1"/>
      <c r="D528" s="1"/>
      <c r="E528" s="1"/>
      <c r="F528" s="1"/>
      <c r="G528" s="1"/>
      <c r="H528" s="1"/>
      <c r="I528" s="1"/>
      <c r="J528" s="1"/>
      <c r="K528" s="1"/>
      <c r="L528" s="1"/>
      <c r="M528" s="1"/>
      <c r="N528" s="1"/>
      <c r="O528" s="1"/>
      <c r="P528" s="1"/>
      <c r="Q528" s="1"/>
      <c r="R528" s="1"/>
      <c r="S528" s="1"/>
      <c r="T528" s="1"/>
      <c r="U528" s="2"/>
      <c r="V528" s="1"/>
      <c r="W528" s="1"/>
      <c r="X528" s="1"/>
      <c r="Y528" s="1"/>
      <c r="Z528" s="1"/>
    </row>
    <row r="529" spans="1:26" ht="24.75" customHeight="1">
      <c r="A529" s="1"/>
      <c r="B529" s="1"/>
      <c r="C529" s="1"/>
      <c r="D529" s="1"/>
      <c r="E529" s="1"/>
      <c r="F529" s="1"/>
      <c r="G529" s="1"/>
      <c r="H529" s="1"/>
      <c r="I529" s="1"/>
      <c r="J529" s="1"/>
      <c r="K529" s="1"/>
      <c r="L529" s="1"/>
      <c r="M529" s="1"/>
      <c r="N529" s="1"/>
      <c r="O529" s="1"/>
      <c r="P529" s="1"/>
      <c r="Q529" s="1"/>
      <c r="R529" s="1"/>
      <c r="S529" s="1"/>
      <c r="T529" s="1"/>
      <c r="U529" s="2"/>
      <c r="V529" s="1"/>
      <c r="W529" s="1"/>
      <c r="X529" s="1"/>
      <c r="Y529" s="1"/>
      <c r="Z529" s="1"/>
    </row>
    <row r="530" spans="1:26" ht="24.75" customHeight="1">
      <c r="A530" s="1"/>
      <c r="B530" s="1"/>
      <c r="C530" s="1"/>
      <c r="D530" s="1"/>
      <c r="E530" s="1"/>
      <c r="F530" s="1"/>
      <c r="G530" s="1"/>
      <c r="H530" s="1"/>
      <c r="I530" s="1"/>
      <c r="J530" s="1"/>
      <c r="K530" s="1"/>
      <c r="L530" s="1"/>
      <c r="M530" s="1"/>
      <c r="N530" s="1"/>
      <c r="O530" s="1"/>
      <c r="P530" s="1"/>
      <c r="Q530" s="1"/>
      <c r="R530" s="1"/>
      <c r="S530" s="1"/>
      <c r="T530" s="1"/>
      <c r="U530" s="2"/>
      <c r="V530" s="1"/>
      <c r="W530" s="1"/>
      <c r="X530" s="1"/>
      <c r="Y530" s="1"/>
      <c r="Z530" s="1"/>
    </row>
    <row r="531" spans="1:26" ht="24.75" customHeight="1">
      <c r="A531" s="1"/>
      <c r="B531" s="1"/>
      <c r="C531" s="1"/>
      <c r="D531" s="1"/>
      <c r="E531" s="1"/>
      <c r="F531" s="1"/>
      <c r="G531" s="1"/>
      <c r="H531" s="1"/>
      <c r="I531" s="1"/>
      <c r="J531" s="1"/>
      <c r="K531" s="1"/>
      <c r="L531" s="1"/>
      <c r="M531" s="1"/>
      <c r="N531" s="1"/>
      <c r="O531" s="1"/>
      <c r="P531" s="1"/>
      <c r="Q531" s="1"/>
      <c r="R531" s="1"/>
      <c r="S531" s="1"/>
      <c r="T531" s="1"/>
      <c r="U531" s="2"/>
      <c r="V531" s="1"/>
      <c r="W531" s="1"/>
      <c r="X531" s="1"/>
      <c r="Y531" s="1"/>
      <c r="Z531" s="1"/>
    </row>
    <row r="532" spans="1:26" ht="24.75" customHeight="1">
      <c r="A532" s="1"/>
      <c r="B532" s="1"/>
      <c r="C532" s="1"/>
      <c r="D532" s="1"/>
      <c r="E532" s="1"/>
      <c r="F532" s="1"/>
      <c r="G532" s="1"/>
      <c r="H532" s="1"/>
      <c r="I532" s="1"/>
      <c r="J532" s="1"/>
      <c r="K532" s="1"/>
      <c r="L532" s="1"/>
      <c r="M532" s="1"/>
      <c r="N532" s="1"/>
      <c r="O532" s="1"/>
      <c r="P532" s="1"/>
      <c r="Q532" s="1"/>
      <c r="R532" s="1"/>
      <c r="S532" s="1"/>
      <c r="T532" s="1"/>
      <c r="U532" s="2"/>
      <c r="V532" s="1"/>
      <c r="W532" s="1"/>
      <c r="X532" s="1"/>
      <c r="Y532" s="1"/>
      <c r="Z532" s="1"/>
    </row>
    <row r="533" spans="1:26" ht="24.75" customHeight="1">
      <c r="A533" s="1"/>
      <c r="B533" s="1"/>
      <c r="C533" s="1"/>
      <c r="D533" s="1"/>
      <c r="E533" s="1"/>
      <c r="F533" s="1"/>
      <c r="G533" s="1"/>
      <c r="H533" s="1"/>
      <c r="I533" s="1"/>
      <c r="J533" s="1"/>
      <c r="K533" s="1"/>
      <c r="L533" s="1"/>
      <c r="M533" s="1"/>
      <c r="N533" s="1"/>
      <c r="O533" s="1"/>
      <c r="P533" s="1"/>
      <c r="Q533" s="1"/>
      <c r="R533" s="1"/>
      <c r="S533" s="1"/>
      <c r="T533" s="1"/>
      <c r="U533" s="2"/>
      <c r="V533" s="1"/>
      <c r="W533" s="1"/>
      <c r="X533" s="1"/>
      <c r="Y533" s="1"/>
      <c r="Z533" s="1"/>
    </row>
    <row r="534" spans="1:26" ht="24.75" customHeight="1">
      <c r="A534" s="1"/>
      <c r="B534" s="1"/>
      <c r="C534" s="1"/>
      <c r="D534" s="1"/>
      <c r="E534" s="1"/>
      <c r="F534" s="1"/>
      <c r="G534" s="1"/>
      <c r="H534" s="1"/>
      <c r="I534" s="1"/>
      <c r="J534" s="1"/>
      <c r="K534" s="1"/>
      <c r="L534" s="1"/>
      <c r="M534" s="1"/>
      <c r="N534" s="1"/>
      <c r="O534" s="1"/>
      <c r="P534" s="1"/>
      <c r="Q534" s="1"/>
      <c r="R534" s="1"/>
      <c r="S534" s="1"/>
      <c r="T534" s="1"/>
      <c r="U534" s="2"/>
      <c r="V534" s="1"/>
      <c r="W534" s="1"/>
      <c r="X534" s="1"/>
      <c r="Y534" s="1"/>
      <c r="Z534" s="1"/>
    </row>
    <row r="535" spans="1:26" ht="24.75" customHeight="1">
      <c r="A535" s="1"/>
      <c r="B535" s="1"/>
      <c r="C535" s="1"/>
      <c r="D535" s="1"/>
      <c r="E535" s="1"/>
      <c r="F535" s="1"/>
      <c r="G535" s="1"/>
      <c r="H535" s="1"/>
      <c r="I535" s="1"/>
      <c r="J535" s="1"/>
      <c r="K535" s="1"/>
      <c r="L535" s="1"/>
      <c r="M535" s="1"/>
      <c r="N535" s="1"/>
      <c r="O535" s="1"/>
      <c r="P535" s="1"/>
      <c r="Q535" s="1"/>
      <c r="R535" s="1"/>
      <c r="S535" s="1"/>
      <c r="T535" s="1"/>
      <c r="U535" s="2"/>
      <c r="V535" s="1"/>
      <c r="W535" s="1"/>
      <c r="X535" s="1"/>
      <c r="Y535" s="1"/>
      <c r="Z535" s="1"/>
    </row>
    <row r="536" spans="1:26" ht="24.75" customHeight="1">
      <c r="A536" s="1"/>
      <c r="B536" s="1"/>
      <c r="C536" s="1"/>
      <c r="D536" s="1"/>
      <c r="E536" s="1"/>
      <c r="F536" s="1"/>
      <c r="G536" s="1"/>
      <c r="H536" s="1"/>
      <c r="I536" s="1"/>
      <c r="J536" s="1"/>
      <c r="K536" s="1"/>
      <c r="L536" s="1"/>
      <c r="M536" s="1"/>
      <c r="N536" s="1"/>
      <c r="O536" s="1"/>
      <c r="P536" s="1"/>
      <c r="Q536" s="1"/>
      <c r="R536" s="1"/>
      <c r="S536" s="1"/>
      <c r="T536" s="1"/>
      <c r="U536" s="2"/>
      <c r="V536" s="1"/>
      <c r="W536" s="1"/>
      <c r="X536" s="1"/>
      <c r="Y536" s="1"/>
      <c r="Z536" s="1"/>
    </row>
    <row r="537" spans="1:26" ht="24.75" customHeight="1">
      <c r="A537" s="1"/>
      <c r="B537" s="1"/>
      <c r="C537" s="1"/>
      <c r="D537" s="1"/>
      <c r="E537" s="1"/>
      <c r="F537" s="1"/>
      <c r="G537" s="1"/>
      <c r="H537" s="1"/>
      <c r="I537" s="1"/>
      <c r="J537" s="1"/>
      <c r="K537" s="1"/>
      <c r="L537" s="1"/>
      <c r="M537" s="1"/>
      <c r="N537" s="1"/>
      <c r="O537" s="1"/>
      <c r="P537" s="1"/>
      <c r="Q537" s="1"/>
      <c r="R537" s="1"/>
      <c r="S537" s="1"/>
      <c r="T537" s="1"/>
      <c r="U537" s="2"/>
      <c r="V537" s="1"/>
      <c r="W537" s="1"/>
      <c r="X537" s="1"/>
      <c r="Y537" s="1"/>
      <c r="Z537" s="1"/>
    </row>
    <row r="538" spans="1:26" ht="24.75" customHeight="1">
      <c r="A538" s="1"/>
      <c r="B538" s="1"/>
      <c r="C538" s="1"/>
      <c r="D538" s="1"/>
      <c r="E538" s="1"/>
      <c r="F538" s="1"/>
      <c r="G538" s="1"/>
      <c r="H538" s="1"/>
      <c r="I538" s="1"/>
      <c r="J538" s="1"/>
      <c r="K538" s="1"/>
      <c r="L538" s="1"/>
      <c r="M538" s="1"/>
      <c r="N538" s="1"/>
      <c r="O538" s="1"/>
      <c r="P538" s="1"/>
      <c r="Q538" s="1"/>
      <c r="R538" s="1"/>
      <c r="S538" s="1"/>
      <c r="T538" s="1"/>
      <c r="U538" s="2"/>
      <c r="V538" s="1"/>
      <c r="W538" s="1"/>
      <c r="X538" s="1"/>
      <c r="Y538" s="1"/>
      <c r="Z538" s="1"/>
    </row>
    <row r="539" spans="1:26" ht="24.75" customHeight="1">
      <c r="A539" s="1"/>
      <c r="B539" s="1"/>
      <c r="C539" s="1"/>
      <c r="D539" s="1"/>
      <c r="E539" s="1"/>
      <c r="F539" s="1"/>
      <c r="G539" s="1"/>
      <c r="H539" s="1"/>
      <c r="I539" s="1"/>
      <c r="J539" s="1"/>
      <c r="K539" s="1"/>
      <c r="L539" s="1"/>
      <c r="M539" s="1"/>
      <c r="N539" s="1"/>
      <c r="O539" s="1"/>
      <c r="P539" s="1"/>
      <c r="Q539" s="1"/>
      <c r="R539" s="1"/>
      <c r="S539" s="1"/>
      <c r="T539" s="1"/>
      <c r="U539" s="2"/>
      <c r="V539" s="1"/>
      <c r="W539" s="1"/>
      <c r="X539" s="1"/>
      <c r="Y539" s="1"/>
      <c r="Z539" s="1"/>
    </row>
    <row r="540" spans="1:26" ht="24.75" customHeight="1">
      <c r="A540" s="1"/>
      <c r="B540" s="1"/>
      <c r="C540" s="1"/>
      <c r="D540" s="1"/>
      <c r="E540" s="1"/>
      <c r="F540" s="1"/>
      <c r="G540" s="1"/>
      <c r="H540" s="1"/>
      <c r="I540" s="1"/>
      <c r="J540" s="1"/>
      <c r="K540" s="1"/>
      <c r="L540" s="1"/>
      <c r="M540" s="1"/>
      <c r="N540" s="1"/>
      <c r="O540" s="1"/>
      <c r="P540" s="1"/>
      <c r="Q540" s="1"/>
      <c r="R540" s="1"/>
      <c r="S540" s="1"/>
      <c r="T540" s="1"/>
      <c r="U540" s="2"/>
      <c r="V540" s="1"/>
      <c r="W540" s="1"/>
      <c r="X540" s="1"/>
      <c r="Y540" s="1"/>
      <c r="Z540" s="1"/>
    </row>
    <row r="541" spans="1:26" ht="24.75" customHeight="1">
      <c r="A541" s="1"/>
      <c r="B541" s="1"/>
      <c r="C541" s="1"/>
      <c r="D541" s="1"/>
      <c r="E541" s="1"/>
      <c r="F541" s="1"/>
      <c r="G541" s="1"/>
      <c r="H541" s="1"/>
      <c r="I541" s="1"/>
      <c r="J541" s="1"/>
      <c r="K541" s="1"/>
      <c r="L541" s="1"/>
      <c r="M541" s="1"/>
      <c r="N541" s="1"/>
      <c r="O541" s="1"/>
      <c r="P541" s="1"/>
      <c r="Q541" s="1"/>
      <c r="R541" s="1"/>
      <c r="S541" s="1"/>
      <c r="T541" s="1"/>
      <c r="U541" s="2"/>
      <c r="V541" s="1"/>
      <c r="W541" s="1"/>
      <c r="X541" s="1"/>
      <c r="Y541" s="1"/>
      <c r="Z541" s="1"/>
    </row>
    <row r="542" spans="1:26" ht="24.75" customHeight="1">
      <c r="A542" s="1"/>
      <c r="B542" s="1"/>
      <c r="C542" s="1"/>
      <c r="D542" s="1"/>
      <c r="E542" s="1"/>
      <c r="F542" s="1"/>
      <c r="G542" s="1"/>
      <c r="H542" s="1"/>
      <c r="I542" s="1"/>
      <c r="J542" s="1"/>
      <c r="K542" s="1"/>
      <c r="L542" s="1"/>
      <c r="M542" s="1"/>
      <c r="N542" s="1"/>
      <c r="O542" s="1"/>
      <c r="P542" s="1"/>
      <c r="Q542" s="1"/>
      <c r="R542" s="1"/>
      <c r="S542" s="1"/>
      <c r="T542" s="1"/>
      <c r="U542" s="2"/>
      <c r="V542" s="1"/>
      <c r="W542" s="1"/>
      <c r="X542" s="1"/>
      <c r="Y542" s="1"/>
      <c r="Z542" s="1"/>
    </row>
    <row r="543" spans="1:26" ht="24.75" customHeight="1">
      <c r="A543" s="1"/>
      <c r="B543" s="1"/>
      <c r="C543" s="1"/>
      <c r="D543" s="1"/>
      <c r="E543" s="1"/>
      <c r="F543" s="1"/>
      <c r="G543" s="1"/>
      <c r="H543" s="1"/>
      <c r="I543" s="1"/>
      <c r="J543" s="1"/>
      <c r="K543" s="1"/>
      <c r="L543" s="1"/>
      <c r="M543" s="1"/>
      <c r="N543" s="1"/>
      <c r="O543" s="1"/>
      <c r="P543" s="1"/>
      <c r="Q543" s="1"/>
      <c r="R543" s="1"/>
      <c r="S543" s="1"/>
      <c r="T543" s="1"/>
      <c r="U543" s="2"/>
      <c r="V543" s="1"/>
      <c r="W543" s="1"/>
      <c r="X543" s="1"/>
      <c r="Y543" s="1"/>
      <c r="Z543" s="1"/>
    </row>
    <row r="544" spans="1:26" ht="24.75" customHeight="1">
      <c r="A544" s="1"/>
      <c r="B544" s="1"/>
      <c r="C544" s="1"/>
      <c r="D544" s="1"/>
      <c r="E544" s="1"/>
      <c r="F544" s="1"/>
      <c r="G544" s="1"/>
      <c r="H544" s="1"/>
      <c r="I544" s="1"/>
      <c r="J544" s="1"/>
      <c r="K544" s="1"/>
      <c r="L544" s="1"/>
      <c r="M544" s="1"/>
      <c r="N544" s="1"/>
      <c r="O544" s="1"/>
      <c r="P544" s="1"/>
      <c r="Q544" s="1"/>
      <c r="R544" s="1"/>
      <c r="S544" s="1"/>
      <c r="T544" s="1"/>
      <c r="U544" s="2"/>
      <c r="V544" s="1"/>
      <c r="W544" s="1"/>
      <c r="X544" s="1"/>
      <c r="Y544" s="1"/>
      <c r="Z544" s="1"/>
    </row>
    <row r="545" spans="1:26" ht="24.75" customHeight="1">
      <c r="A545" s="1"/>
      <c r="B545" s="1"/>
      <c r="C545" s="1"/>
      <c r="D545" s="1"/>
      <c r="E545" s="1"/>
      <c r="F545" s="1"/>
      <c r="G545" s="1"/>
      <c r="H545" s="1"/>
      <c r="I545" s="1"/>
      <c r="J545" s="1"/>
      <c r="K545" s="1"/>
      <c r="L545" s="1"/>
      <c r="M545" s="1"/>
      <c r="N545" s="1"/>
      <c r="O545" s="1"/>
      <c r="P545" s="1"/>
      <c r="Q545" s="1"/>
      <c r="R545" s="1"/>
      <c r="S545" s="1"/>
      <c r="T545" s="1"/>
      <c r="U545" s="2"/>
      <c r="V545" s="1"/>
      <c r="W545" s="1"/>
      <c r="X545" s="1"/>
      <c r="Y545" s="1"/>
      <c r="Z545" s="1"/>
    </row>
    <row r="546" spans="1:26" ht="24.75" customHeight="1">
      <c r="A546" s="1"/>
      <c r="B546" s="1"/>
      <c r="C546" s="1"/>
      <c r="D546" s="1"/>
      <c r="E546" s="1"/>
      <c r="F546" s="1"/>
      <c r="G546" s="1"/>
      <c r="H546" s="1"/>
      <c r="I546" s="1"/>
      <c r="J546" s="1"/>
      <c r="K546" s="1"/>
      <c r="L546" s="1"/>
      <c r="M546" s="1"/>
      <c r="N546" s="1"/>
      <c r="O546" s="1"/>
      <c r="P546" s="1"/>
      <c r="Q546" s="1"/>
      <c r="R546" s="1"/>
      <c r="S546" s="1"/>
      <c r="T546" s="1"/>
      <c r="U546" s="2"/>
      <c r="V546" s="1"/>
      <c r="W546" s="1"/>
      <c r="X546" s="1"/>
      <c r="Y546" s="1"/>
      <c r="Z546" s="1"/>
    </row>
    <row r="547" spans="1:26" ht="24.75" customHeight="1">
      <c r="A547" s="1"/>
      <c r="B547" s="1"/>
      <c r="C547" s="1"/>
      <c r="D547" s="1"/>
      <c r="E547" s="1"/>
      <c r="F547" s="1"/>
      <c r="G547" s="1"/>
      <c r="H547" s="1"/>
      <c r="I547" s="1"/>
      <c r="J547" s="1"/>
      <c r="K547" s="1"/>
      <c r="L547" s="1"/>
      <c r="M547" s="1"/>
      <c r="N547" s="1"/>
      <c r="O547" s="1"/>
      <c r="P547" s="1"/>
      <c r="Q547" s="1"/>
      <c r="R547" s="1"/>
      <c r="S547" s="1"/>
      <c r="T547" s="1"/>
      <c r="U547" s="2"/>
      <c r="V547" s="1"/>
      <c r="W547" s="1"/>
      <c r="X547" s="1"/>
      <c r="Y547" s="1"/>
      <c r="Z547" s="1"/>
    </row>
    <row r="548" spans="1:26" ht="24.75" customHeight="1">
      <c r="A548" s="1"/>
      <c r="B548" s="1"/>
      <c r="C548" s="1"/>
      <c r="D548" s="1"/>
      <c r="E548" s="1"/>
      <c r="F548" s="1"/>
      <c r="G548" s="1"/>
      <c r="H548" s="1"/>
      <c r="I548" s="1"/>
      <c r="J548" s="1"/>
      <c r="K548" s="1"/>
      <c r="L548" s="1"/>
      <c r="M548" s="1"/>
      <c r="N548" s="1"/>
      <c r="O548" s="1"/>
      <c r="P548" s="1"/>
      <c r="Q548" s="1"/>
      <c r="R548" s="1"/>
      <c r="S548" s="1"/>
      <c r="T548" s="1"/>
      <c r="U548" s="2"/>
      <c r="V548" s="1"/>
      <c r="W548" s="1"/>
      <c r="X548" s="1"/>
      <c r="Y548" s="1"/>
      <c r="Z548" s="1"/>
    </row>
    <row r="549" spans="1:26" ht="24.75" customHeight="1">
      <c r="A549" s="1"/>
      <c r="B549" s="1"/>
      <c r="C549" s="1"/>
      <c r="D549" s="1"/>
      <c r="E549" s="1"/>
      <c r="F549" s="1"/>
      <c r="G549" s="1"/>
      <c r="H549" s="1"/>
      <c r="I549" s="1"/>
      <c r="J549" s="1"/>
      <c r="K549" s="1"/>
      <c r="L549" s="1"/>
      <c r="M549" s="1"/>
      <c r="N549" s="1"/>
      <c r="O549" s="1"/>
      <c r="P549" s="1"/>
      <c r="Q549" s="1"/>
      <c r="R549" s="1"/>
      <c r="S549" s="1"/>
      <c r="T549" s="1"/>
      <c r="U549" s="2"/>
      <c r="V549" s="1"/>
      <c r="W549" s="1"/>
      <c r="X549" s="1"/>
      <c r="Y549" s="1"/>
      <c r="Z549" s="1"/>
    </row>
    <row r="550" spans="1:26" ht="24.75" customHeight="1">
      <c r="A550" s="1"/>
      <c r="B550" s="1"/>
      <c r="C550" s="1"/>
      <c r="D550" s="1"/>
      <c r="E550" s="1"/>
      <c r="F550" s="1"/>
      <c r="G550" s="1"/>
      <c r="H550" s="1"/>
      <c r="I550" s="1"/>
      <c r="J550" s="1"/>
      <c r="K550" s="1"/>
      <c r="L550" s="1"/>
      <c r="M550" s="1"/>
      <c r="N550" s="1"/>
      <c r="O550" s="1"/>
      <c r="P550" s="1"/>
      <c r="Q550" s="1"/>
      <c r="R550" s="1"/>
      <c r="S550" s="1"/>
      <c r="T550" s="1"/>
      <c r="U550" s="2"/>
      <c r="V550" s="1"/>
      <c r="W550" s="1"/>
      <c r="X550" s="1"/>
      <c r="Y550" s="1"/>
      <c r="Z550" s="1"/>
    </row>
    <row r="551" spans="1:26" ht="24.75" customHeight="1">
      <c r="A551" s="1"/>
      <c r="B551" s="1"/>
      <c r="C551" s="1"/>
      <c r="D551" s="1"/>
      <c r="E551" s="1"/>
      <c r="F551" s="1"/>
      <c r="G551" s="1"/>
      <c r="H551" s="1"/>
      <c r="I551" s="1"/>
      <c r="J551" s="1"/>
      <c r="K551" s="1"/>
      <c r="L551" s="1"/>
      <c r="M551" s="1"/>
      <c r="N551" s="1"/>
      <c r="O551" s="1"/>
      <c r="P551" s="1"/>
      <c r="Q551" s="1"/>
      <c r="R551" s="1"/>
      <c r="S551" s="1"/>
      <c r="T551" s="1"/>
      <c r="U551" s="2"/>
      <c r="V551" s="1"/>
      <c r="W551" s="1"/>
      <c r="X551" s="1"/>
      <c r="Y551" s="1"/>
      <c r="Z551" s="1"/>
    </row>
    <row r="552" spans="1:26" ht="24.75" customHeight="1">
      <c r="A552" s="1"/>
      <c r="B552" s="1"/>
      <c r="C552" s="1"/>
      <c r="D552" s="1"/>
      <c r="E552" s="1"/>
      <c r="F552" s="1"/>
      <c r="G552" s="1"/>
      <c r="H552" s="1"/>
      <c r="I552" s="1"/>
      <c r="J552" s="1"/>
      <c r="K552" s="1"/>
      <c r="L552" s="1"/>
      <c r="M552" s="1"/>
      <c r="N552" s="1"/>
      <c r="O552" s="1"/>
      <c r="P552" s="1"/>
      <c r="Q552" s="1"/>
      <c r="R552" s="1"/>
      <c r="S552" s="1"/>
      <c r="T552" s="1"/>
      <c r="U552" s="2"/>
      <c r="V552" s="1"/>
      <c r="W552" s="1"/>
      <c r="X552" s="1"/>
      <c r="Y552" s="1"/>
      <c r="Z552" s="1"/>
    </row>
    <row r="553" spans="1:26" ht="24.75" customHeight="1">
      <c r="A553" s="1"/>
      <c r="B553" s="1"/>
      <c r="C553" s="1"/>
      <c r="D553" s="1"/>
      <c r="E553" s="1"/>
      <c r="F553" s="1"/>
      <c r="G553" s="1"/>
      <c r="H553" s="1"/>
      <c r="I553" s="1"/>
      <c r="J553" s="1"/>
      <c r="K553" s="1"/>
      <c r="L553" s="1"/>
      <c r="M553" s="1"/>
      <c r="N553" s="1"/>
      <c r="O553" s="1"/>
      <c r="P553" s="1"/>
      <c r="Q553" s="1"/>
      <c r="R553" s="1"/>
      <c r="S553" s="1"/>
      <c r="T553" s="1"/>
      <c r="U553" s="2"/>
      <c r="V553" s="1"/>
      <c r="W553" s="1"/>
      <c r="X553" s="1"/>
      <c r="Y553" s="1"/>
      <c r="Z553" s="1"/>
    </row>
    <row r="554" spans="1:26" ht="24.75" customHeight="1">
      <c r="A554" s="1"/>
      <c r="B554" s="1"/>
      <c r="C554" s="1"/>
      <c r="D554" s="1"/>
      <c r="E554" s="1"/>
      <c r="F554" s="1"/>
      <c r="G554" s="1"/>
      <c r="H554" s="1"/>
      <c r="I554" s="1"/>
      <c r="J554" s="1"/>
      <c r="K554" s="1"/>
      <c r="L554" s="1"/>
      <c r="M554" s="1"/>
      <c r="N554" s="1"/>
      <c r="O554" s="1"/>
      <c r="P554" s="1"/>
      <c r="Q554" s="1"/>
      <c r="R554" s="1"/>
      <c r="S554" s="1"/>
      <c r="T554" s="1"/>
      <c r="U554" s="2"/>
      <c r="V554" s="1"/>
      <c r="W554" s="1"/>
      <c r="X554" s="1"/>
      <c r="Y554" s="1"/>
      <c r="Z554" s="1"/>
    </row>
    <row r="555" spans="1:26" ht="24.75" customHeight="1">
      <c r="A555" s="1"/>
      <c r="B555" s="1"/>
      <c r="C555" s="1"/>
      <c r="D555" s="1"/>
      <c r="E555" s="1"/>
      <c r="F555" s="1"/>
      <c r="G555" s="1"/>
      <c r="H555" s="1"/>
      <c r="I555" s="1"/>
      <c r="J555" s="1"/>
      <c r="K555" s="1"/>
      <c r="L555" s="1"/>
      <c r="M555" s="1"/>
      <c r="N555" s="1"/>
      <c r="O555" s="1"/>
      <c r="P555" s="1"/>
      <c r="Q555" s="1"/>
      <c r="R555" s="1"/>
      <c r="S555" s="1"/>
      <c r="T555" s="1"/>
      <c r="U555" s="2"/>
      <c r="V555" s="1"/>
      <c r="W555" s="1"/>
      <c r="X555" s="1"/>
      <c r="Y555" s="1"/>
      <c r="Z555" s="1"/>
    </row>
    <row r="556" spans="1:26" ht="24.75" customHeight="1">
      <c r="A556" s="1"/>
      <c r="B556" s="1"/>
      <c r="C556" s="1"/>
      <c r="D556" s="1"/>
      <c r="E556" s="1"/>
      <c r="F556" s="1"/>
      <c r="G556" s="1"/>
      <c r="H556" s="1"/>
      <c r="I556" s="1"/>
      <c r="J556" s="1"/>
      <c r="K556" s="1"/>
      <c r="L556" s="1"/>
      <c r="M556" s="1"/>
      <c r="N556" s="1"/>
      <c r="O556" s="1"/>
      <c r="P556" s="1"/>
      <c r="Q556" s="1"/>
      <c r="R556" s="1"/>
      <c r="S556" s="1"/>
      <c r="T556" s="1"/>
      <c r="U556" s="2"/>
      <c r="V556" s="1"/>
      <c r="W556" s="1"/>
      <c r="X556" s="1"/>
      <c r="Y556" s="1"/>
      <c r="Z556" s="1"/>
    </row>
    <row r="557" spans="1:26" ht="24.75" customHeight="1">
      <c r="A557" s="1"/>
      <c r="B557" s="1"/>
      <c r="C557" s="1"/>
      <c r="D557" s="1"/>
      <c r="E557" s="1"/>
      <c r="F557" s="1"/>
      <c r="G557" s="1"/>
      <c r="H557" s="1"/>
      <c r="I557" s="1"/>
      <c r="J557" s="1"/>
      <c r="K557" s="1"/>
      <c r="L557" s="1"/>
      <c r="M557" s="1"/>
      <c r="N557" s="1"/>
      <c r="O557" s="1"/>
      <c r="P557" s="1"/>
      <c r="Q557" s="1"/>
      <c r="R557" s="1"/>
      <c r="S557" s="1"/>
      <c r="T557" s="1"/>
      <c r="U557" s="2"/>
      <c r="V557" s="1"/>
      <c r="W557" s="1"/>
      <c r="X557" s="1"/>
      <c r="Y557" s="1"/>
      <c r="Z557" s="1"/>
    </row>
    <row r="558" spans="1:26" ht="24.75" customHeight="1">
      <c r="A558" s="1"/>
      <c r="B558" s="1"/>
      <c r="C558" s="1"/>
      <c r="D558" s="1"/>
      <c r="E558" s="1"/>
      <c r="F558" s="1"/>
      <c r="G558" s="1"/>
      <c r="H558" s="1"/>
      <c r="I558" s="1"/>
      <c r="J558" s="1"/>
      <c r="K558" s="1"/>
      <c r="L558" s="1"/>
      <c r="M558" s="1"/>
      <c r="N558" s="1"/>
      <c r="O558" s="1"/>
      <c r="P558" s="1"/>
      <c r="Q558" s="1"/>
      <c r="R558" s="1"/>
      <c r="S558" s="1"/>
      <c r="T558" s="1"/>
      <c r="U558" s="2"/>
      <c r="V558" s="1"/>
      <c r="W558" s="1"/>
      <c r="X558" s="1"/>
      <c r="Y558" s="1"/>
      <c r="Z558" s="1"/>
    </row>
    <row r="559" spans="1:26" ht="24.75" customHeight="1">
      <c r="A559" s="1"/>
      <c r="B559" s="1"/>
      <c r="C559" s="1"/>
      <c r="D559" s="1"/>
      <c r="E559" s="1"/>
      <c r="F559" s="1"/>
      <c r="G559" s="1"/>
      <c r="H559" s="1"/>
      <c r="I559" s="1"/>
      <c r="J559" s="1"/>
      <c r="K559" s="1"/>
      <c r="L559" s="1"/>
      <c r="M559" s="1"/>
      <c r="N559" s="1"/>
      <c r="O559" s="1"/>
      <c r="P559" s="1"/>
      <c r="Q559" s="1"/>
      <c r="R559" s="1"/>
      <c r="S559" s="1"/>
      <c r="T559" s="1"/>
      <c r="U559" s="2"/>
      <c r="V559" s="1"/>
      <c r="W559" s="1"/>
      <c r="X559" s="1"/>
      <c r="Y559" s="1"/>
      <c r="Z559" s="1"/>
    </row>
    <row r="560" spans="1:26" ht="24.75" customHeight="1">
      <c r="A560" s="1"/>
      <c r="B560" s="1"/>
      <c r="C560" s="1"/>
      <c r="D560" s="1"/>
      <c r="E560" s="1"/>
      <c r="F560" s="1"/>
      <c r="G560" s="1"/>
      <c r="H560" s="1"/>
      <c r="I560" s="1"/>
      <c r="J560" s="1"/>
      <c r="K560" s="1"/>
      <c r="L560" s="1"/>
      <c r="M560" s="1"/>
      <c r="N560" s="1"/>
      <c r="O560" s="1"/>
      <c r="P560" s="1"/>
      <c r="Q560" s="1"/>
      <c r="R560" s="1"/>
      <c r="S560" s="1"/>
      <c r="T560" s="1"/>
      <c r="U560" s="2"/>
      <c r="V560" s="1"/>
      <c r="W560" s="1"/>
      <c r="X560" s="1"/>
      <c r="Y560" s="1"/>
      <c r="Z560" s="1"/>
    </row>
    <row r="561" spans="1:26" ht="24.75" customHeight="1">
      <c r="A561" s="1"/>
      <c r="B561" s="1"/>
      <c r="C561" s="1"/>
      <c r="D561" s="1"/>
      <c r="E561" s="1"/>
      <c r="F561" s="1"/>
      <c r="G561" s="1"/>
      <c r="H561" s="1"/>
      <c r="I561" s="1"/>
      <c r="J561" s="1"/>
      <c r="K561" s="1"/>
      <c r="L561" s="1"/>
      <c r="M561" s="1"/>
      <c r="N561" s="1"/>
      <c r="O561" s="1"/>
      <c r="P561" s="1"/>
      <c r="Q561" s="1"/>
      <c r="R561" s="1"/>
      <c r="S561" s="1"/>
      <c r="T561" s="1"/>
      <c r="U561" s="2"/>
      <c r="V561" s="1"/>
      <c r="W561" s="1"/>
      <c r="X561" s="1"/>
      <c r="Y561" s="1"/>
      <c r="Z561" s="1"/>
    </row>
    <row r="562" spans="1:26" ht="24.75" customHeight="1">
      <c r="A562" s="1"/>
      <c r="B562" s="1"/>
      <c r="C562" s="1"/>
      <c r="D562" s="1"/>
      <c r="E562" s="1"/>
      <c r="F562" s="1"/>
      <c r="G562" s="1"/>
      <c r="H562" s="1"/>
      <c r="I562" s="1"/>
      <c r="J562" s="1"/>
      <c r="K562" s="1"/>
      <c r="L562" s="1"/>
      <c r="M562" s="1"/>
      <c r="N562" s="1"/>
      <c r="O562" s="1"/>
      <c r="P562" s="1"/>
      <c r="Q562" s="1"/>
      <c r="R562" s="1"/>
      <c r="S562" s="1"/>
      <c r="T562" s="1"/>
      <c r="U562" s="2"/>
      <c r="V562" s="1"/>
      <c r="W562" s="1"/>
      <c r="X562" s="1"/>
      <c r="Y562" s="1"/>
      <c r="Z562" s="1"/>
    </row>
    <row r="563" spans="1:26" ht="24.75" customHeight="1">
      <c r="A563" s="1"/>
      <c r="B563" s="1"/>
      <c r="C563" s="1"/>
      <c r="D563" s="1"/>
      <c r="E563" s="1"/>
      <c r="F563" s="1"/>
      <c r="G563" s="1"/>
      <c r="H563" s="1"/>
      <c r="I563" s="1"/>
      <c r="J563" s="1"/>
      <c r="K563" s="1"/>
      <c r="L563" s="1"/>
      <c r="M563" s="1"/>
      <c r="N563" s="1"/>
      <c r="O563" s="1"/>
      <c r="P563" s="1"/>
      <c r="Q563" s="1"/>
      <c r="R563" s="1"/>
      <c r="S563" s="1"/>
      <c r="T563" s="1"/>
      <c r="U563" s="2"/>
      <c r="V563" s="1"/>
      <c r="W563" s="1"/>
      <c r="X563" s="1"/>
      <c r="Y563" s="1"/>
      <c r="Z563" s="1"/>
    </row>
    <row r="564" spans="1:26" ht="24.75" customHeight="1">
      <c r="A564" s="1"/>
      <c r="B564" s="1"/>
      <c r="C564" s="1"/>
      <c r="D564" s="1"/>
      <c r="E564" s="1"/>
      <c r="F564" s="1"/>
      <c r="G564" s="1"/>
      <c r="H564" s="1"/>
      <c r="I564" s="1"/>
      <c r="J564" s="1"/>
      <c r="K564" s="1"/>
      <c r="L564" s="1"/>
      <c r="M564" s="1"/>
      <c r="N564" s="1"/>
      <c r="O564" s="1"/>
      <c r="P564" s="1"/>
      <c r="Q564" s="1"/>
      <c r="R564" s="1"/>
      <c r="S564" s="1"/>
      <c r="T564" s="1"/>
      <c r="U564" s="2"/>
      <c r="V564" s="1"/>
      <c r="W564" s="1"/>
      <c r="X564" s="1"/>
      <c r="Y564" s="1"/>
      <c r="Z564" s="1"/>
    </row>
    <row r="565" spans="1:26" ht="24.75" customHeight="1">
      <c r="A565" s="1"/>
      <c r="B565" s="1"/>
      <c r="C565" s="1"/>
      <c r="D565" s="1"/>
      <c r="E565" s="1"/>
      <c r="F565" s="1"/>
      <c r="G565" s="1"/>
      <c r="H565" s="1"/>
      <c r="I565" s="1"/>
      <c r="J565" s="1"/>
      <c r="K565" s="1"/>
      <c r="L565" s="1"/>
      <c r="M565" s="1"/>
      <c r="N565" s="1"/>
      <c r="O565" s="1"/>
      <c r="P565" s="1"/>
      <c r="Q565" s="1"/>
      <c r="R565" s="1"/>
      <c r="S565" s="1"/>
      <c r="T565" s="1"/>
      <c r="U565" s="2"/>
      <c r="V565" s="1"/>
      <c r="W565" s="1"/>
      <c r="X565" s="1"/>
      <c r="Y565" s="1"/>
      <c r="Z565" s="1"/>
    </row>
    <row r="566" spans="1:26" ht="24.75" customHeight="1">
      <c r="A566" s="1"/>
      <c r="B566" s="1"/>
      <c r="C566" s="1"/>
      <c r="D566" s="1"/>
      <c r="E566" s="1"/>
      <c r="F566" s="1"/>
      <c r="G566" s="1"/>
      <c r="H566" s="1"/>
      <c r="I566" s="1"/>
      <c r="J566" s="1"/>
      <c r="K566" s="1"/>
      <c r="L566" s="1"/>
      <c r="M566" s="1"/>
      <c r="N566" s="1"/>
      <c r="O566" s="1"/>
      <c r="P566" s="1"/>
      <c r="Q566" s="1"/>
      <c r="R566" s="1"/>
      <c r="S566" s="1"/>
      <c r="T566" s="1"/>
      <c r="U566" s="2"/>
      <c r="V566" s="1"/>
      <c r="W566" s="1"/>
      <c r="X566" s="1"/>
      <c r="Y566" s="1"/>
      <c r="Z566" s="1"/>
    </row>
    <row r="567" spans="1:26" ht="24.75" customHeight="1">
      <c r="A567" s="1"/>
      <c r="B567" s="1"/>
      <c r="C567" s="1"/>
      <c r="D567" s="1"/>
      <c r="E567" s="1"/>
      <c r="F567" s="1"/>
      <c r="G567" s="1"/>
      <c r="H567" s="1"/>
      <c r="I567" s="1"/>
      <c r="J567" s="1"/>
      <c r="K567" s="1"/>
      <c r="L567" s="1"/>
      <c r="M567" s="1"/>
      <c r="N567" s="1"/>
      <c r="O567" s="1"/>
      <c r="P567" s="1"/>
      <c r="Q567" s="1"/>
      <c r="R567" s="1"/>
      <c r="S567" s="1"/>
      <c r="T567" s="1"/>
      <c r="U567" s="2"/>
      <c r="V567" s="1"/>
      <c r="W567" s="1"/>
      <c r="X567" s="1"/>
      <c r="Y567" s="1"/>
      <c r="Z567" s="1"/>
    </row>
    <row r="568" spans="1:26" ht="24.75" customHeight="1">
      <c r="A568" s="1"/>
      <c r="B568" s="1"/>
      <c r="C568" s="1"/>
      <c r="D568" s="1"/>
      <c r="E568" s="1"/>
      <c r="F568" s="1"/>
      <c r="G568" s="1"/>
      <c r="H568" s="1"/>
      <c r="I568" s="1"/>
      <c r="J568" s="1"/>
      <c r="K568" s="1"/>
      <c r="L568" s="1"/>
      <c r="M568" s="1"/>
      <c r="N568" s="1"/>
      <c r="O568" s="1"/>
      <c r="P568" s="1"/>
      <c r="Q568" s="1"/>
      <c r="R568" s="1"/>
      <c r="S568" s="1"/>
      <c r="T568" s="1"/>
      <c r="U568" s="2"/>
      <c r="V568" s="1"/>
      <c r="W568" s="1"/>
      <c r="X568" s="1"/>
      <c r="Y568" s="1"/>
      <c r="Z568" s="1"/>
    </row>
    <row r="569" spans="1:26" ht="24.75" customHeight="1">
      <c r="A569" s="1"/>
      <c r="B569" s="1"/>
      <c r="C569" s="1"/>
      <c r="D569" s="1"/>
      <c r="E569" s="1"/>
      <c r="F569" s="1"/>
      <c r="G569" s="1"/>
      <c r="H569" s="1"/>
      <c r="I569" s="1"/>
      <c r="J569" s="1"/>
      <c r="K569" s="1"/>
      <c r="L569" s="1"/>
      <c r="M569" s="1"/>
      <c r="N569" s="1"/>
      <c r="O569" s="1"/>
      <c r="P569" s="1"/>
      <c r="Q569" s="1"/>
      <c r="R569" s="1"/>
      <c r="S569" s="1"/>
      <c r="T569" s="1"/>
      <c r="U569" s="2"/>
      <c r="V569" s="1"/>
      <c r="W569" s="1"/>
      <c r="X569" s="1"/>
      <c r="Y569" s="1"/>
      <c r="Z569" s="1"/>
    </row>
    <row r="570" spans="1:26" ht="24.75" customHeight="1">
      <c r="A570" s="1"/>
      <c r="B570" s="1"/>
      <c r="C570" s="1"/>
      <c r="D570" s="1"/>
      <c r="E570" s="1"/>
      <c r="F570" s="1"/>
      <c r="G570" s="1"/>
      <c r="H570" s="1"/>
      <c r="I570" s="1"/>
      <c r="J570" s="1"/>
      <c r="K570" s="1"/>
      <c r="L570" s="1"/>
      <c r="M570" s="1"/>
      <c r="N570" s="1"/>
      <c r="O570" s="1"/>
      <c r="P570" s="1"/>
      <c r="Q570" s="1"/>
      <c r="R570" s="1"/>
      <c r="S570" s="1"/>
      <c r="T570" s="1"/>
      <c r="U570" s="2"/>
      <c r="V570" s="1"/>
      <c r="W570" s="1"/>
      <c r="X570" s="1"/>
      <c r="Y570" s="1"/>
      <c r="Z570" s="1"/>
    </row>
    <row r="571" spans="1:26" ht="24.75" customHeight="1">
      <c r="A571" s="1"/>
      <c r="B571" s="1"/>
      <c r="C571" s="1"/>
      <c r="D571" s="1"/>
      <c r="E571" s="1"/>
      <c r="F571" s="1"/>
      <c r="G571" s="1"/>
      <c r="H571" s="1"/>
      <c r="I571" s="1"/>
      <c r="J571" s="1"/>
      <c r="K571" s="1"/>
      <c r="L571" s="1"/>
      <c r="M571" s="1"/>
      <c r="N571" s="1"/>
      <c r="O571" s="1"/>
      <c r="P571" s="1"/>
      <c r="Q571" s="1"/>
      <c r="R571" s="1"/>
      <c r="S571" s="1"/>
      <c r="T571" s="1"/>
      <c r="U571" s="2"/>
      <c r="V571" s="1"/>
      <c r="W571" s="1"/>
      <c r="X571" s="1"/>
      <c r="Y571" s="1"/>
      <c r="Z571" s="1"/>
    </row>
    <row r="572" spans="1:26" ht="24.75" customHeight="1">
      <c r="A572" s="1"/>
      <c r="B572" s="1"/>
      <c r="C572" s="1"/>
      <c r="D572" s="1"/>
      <c r="E572" s="1"/>
      <c r="F572" s="1"/>
      <c r="G572" s="1"/>
      <c r="H572" s="1"/>
      <c r="I572" s="1"/>
      <c r="J572" s="1"/>
      <c r="K572" s="1"/>
      <c r="L572" s="1"/>
      <c r="M572" s="1"/>
      <c r="N572" s="1"/>
      <c r="O572" s="1"/>
      <c r="P572" s="1"/>
      <c r="Q572" s="1"/>
      <c r="R572" s="1"/>
      <c r="S572" s="1"/>
      <c r="T572" s="1"/>
      <c r="U572" s="2"/>
      <c r="V572" s="1"/>
      <c r="W572" s="1"/>
      <c r="X572" s="1"/>
      <c r="Y572" s="1"/>
      <c r="Z572" s="1"/>
    </row>
    <row r="573" spans="1:26" ht="24.75" customHeight="1">
      <c r="A573" s="1"/>
      <c r="B573" s="1"/>
      <c r="C573" s="1"/>
      <c r="D573" s="1"/>
      <c r="E573" s="1"/>
      <c r="F573" s="1"/>
      <c r="G573" s="1"/>
      <c r="H573" s="1"/>
      <c r="I573" s="1"/>
      <c r="J573" s="1"/>
      <c r="K573" s="1"/>
      <c r="L573" s="1"/>
      <c r="M573" s="1"/>
      <c r="N573" s="1"/>
      <c r="O573" s="1"/>
      <c r="P573" s="1"/>
      <c r="Q573" s="1"/>
      <c r="R573" s="1"/>
      <c r="S573" s="1"/>
      <c r="T573" s="1"/>
      <c r="U573" s="2"/>
      <c r="V573" s="1"/>
      <c r="W573" s="1"/>
      <c r="X573" s="1"/>
      <c r="Y573" s="1"/>
      <c r="Z573" s="1"/>
    </row>
    <row r="574" spans="1:26" ht="24.75" customHeight="1">
      <c r="A574" s="1"/>
      <c r="B574" s="1"/>
      <c r="C574" s="1"/>
      <c r="D574" s="1"/>
      <c r="E574" s="1"/>
      <c r="F574" s="1"/>
      <c r="G574" s="1"/>
      <c r="H574" s="1"/>
      <c r="I574" s="1"/>
      <c r="J574" s="1"/>
      <c r="K574" s="1"/>
      <c r="L574" s="1"/>
      <c r="M574" s="1"/>
      <c r="N574" s="1"/>
      <c r="O574" s="1"/>
      <c r="P574" s="1"/>
      <c r="Q574" s="1"/>
      <c r="R574" s="1"/>
      <c r="S574" s="1"/>
      <c r="T574" s="1"/>
      <c r="U574" s="2"/>
      <c r="V574" s="1"/>
      <c r="W574" s="1"/>
      <c r="X574" s="1"/>
      <c r="Y574" s="1"/>
      <c r="Z574" s="1"/>
    </row>
    <row r="575" spans="1:26" ht="24.75" customHeight="1">
      <c r="A575" s="1"/>
      <c r="B575" s="1"/>
      <c r="C575" s="1"/>
      <c r="D575" s="1"/>
      <c r="E575" s="1"/>
      <c r="F575" s="1"/>
      <c r="G575" s="1"/>
      <c r="H575" s="1"/>
      <c r="I575" s="1"/>
      <c r="J575" s="1"/>
      <c r="K575" s="1"/>
      <c r="L575" s="1"/>
      <c r="M575" s="1"/>
      <c r="N575" s="1"/>
      <c r="O575" s="1"/>
      <c r="P575" s="1"/>
      <c r="Q575" s="1"/>
      <c r="R575" s="1"/>
      <c r="S575" s="1"/>
      <c r="T575" s="1"/>
      <c r="U575" s="2"/>
      <c r="V575" s="1"/>
      <c r="W575" s="1"/>
      <c r="X575" s="1"/>
      <c r="Y575" s="1"/>
      <c r="Z575" s="1"/>
    </row>
    <row r="576" spans="1:26" ht="24.75" customHeight="1">
      <c r="A576" s="1"/>
      <c r="B576" s="1"/>
      <c r="C576" s="1"/>
      <c r="D576" s="1"/>
      <c r="E576" s="1"/>
      <c r="F576" s="1"/>
      <c r="G576" s="1"/>
      <c r="H576" s="1"/>
      <c r="I576" s="1"/>
      <c r="J576" s="1"/>
      <c r="K576" s="1"/>
      <c r="L576" s="1"/>
      <c r="M576" s="1"/>
      <c r="N576" s="1"/>
      <c r="O576" s="1"/>
      <c r="P576" s="1"/>
      <c r="Q576" s="1"/>
      <c r="R576" s="1"/>
      <c r="S576" s="1"/>
      <c r="T576" s="1"/>
      <c r="U576" s="2"/>
      <c r="V576" s="1"/>
      <c r="W576" s="1"/>
      <c r="X576" s="1"/>
      <c r="Y576" s="1"/>
      <c r="Z576" s="1"/>
    </row>
    <row r="577" spans="1:26" ht="24.75" customHeight="1">
      <c r="A577" s="1"/>
      <c r="B577" s="1"/>
      <c r="C577" s="1"/>
      <c r="D577" s="1"/>
      <c r="E577" s="1"/>
      <c r="F577" s="1"/>
      <c r="G577" s="1"/>
      <c r="H577" s="1"/>
      <c r="I577" s="1"/>
      <c r="J577" s="1"/>
      <c r="K577" s="1"/>
      <c r="L577" s="1"/>
      <c r="M577" s="1"/>
      <c r="N577" s="1"/>
      <c r="O577" s="1"/>
      <c r="P577" s="1"/>
      <c r="Q577" s="1"/>
      <c r="R577" s="1"/>
      <c r="S577" s="1"/>
      <c r="T577" s="1"/>
      <c r="U577" s="2"/>
      <c r="V577" s="1"/>
      <c r="W577" s="1"/>
      <c r="X577" s="1"/>
      <c r="Y577" s="1"/>
      <c r="Z577" s="1"/>
    </row>
    <row r="578" spans="1:26" ht="24.75" customHeight="1">
      <c r="A578" s="1"/>
      <c r="B578" s="1"/>
      <c r="C578" s="1"/>
      <c r="D578" s="1"/>
      <c r="E578" s="1"/>
      <c r="F578" s="1"/>
      <c r="G578" s="1"/>
      <c r="H578" s="1"/>
      <c r="I578" s="1"/>
      <c r="J578" s="1"/>
      <c r="K578" s="1"/>
      <c r="L578" s="1"/>
      <c r="M578" s="1"/>
      <c r="N578" s="1"/>
      <c r="O578" s="1"/>
      <c r="P578" s="1"/>
      <c r="Q578" s="1"/>
      <c r="R578" s="1"/>
      <c r="S578" s="1"/>
      <c r="T578" s="1"/>
      <c r="U578" s="2"/>
      <c r="V578" s="1"/>
      <c r="W578" s="1"/>
      <c r="X578" s="1"/>
      <c r="Y578" s="1"/>
      <c r="Z578" s="1"/>
    </row>
    <row r="579" spans="1:26" ht="24.75" customHeight="1">
      <c r="A579" s="1"/>
      <c r="B579" s="1"/>
      <c r="C579" s="1"/>
      <c r="D579" s="1"/>
      <c r="E579" s="1"/>
      <c r="F579" s="1"/>
      <c r="G579" s="1"/>
      <c r="H579" s="1"/>
      <c r="I579" s="1"/>
      <c r="J579" s="1"/>
      <c r="K579" s="1"/>
      <c r="L579" s="1"/>
      <c r="M579" s="1"/>
      <c r="N579" s="1"/>
      <c r="O579" s="1"/>
      <c r="P579" s="1"/>
      <c r="Q579" s="1"/>
      <c r="R579" s="1"/>
      <c r="S579" s="1"/>
      <c r="T579" s="1"/>
      <c r="U579" s="2"/>
      <c r="V579" s="1"/>
      <c r="W579" s="1"/>
      <c r="X579" s="1"/>
      <c r="Y579" s="1"/>
      <c r="Z579" s="1"/>
    </row>
    <row r="580" spans="1:26" ht="24.75" customHeight="1">
      <c r="A580" s="1"/>
      <c r="B580" s="1"/>
      <c r="C580" s="1"/>
      <c r="D580" s="1"/>
      <c r="E580" s="1"/>
      <c r="F580" s="1"/>
      <c r="G580" s="1"/>
      <c r="H580" s="1"/>
      <c r="I580" s="1"/>
      <c r="J580" s="1"/>
      <c r="K580" s="1"/>
      <c r="L580" s="1"/>
      <c r="M580" s="1"/>
      <c r="N580" s="1"/>
      <c r="O580" s="1"/>
      <c r="P580" s="1"/>
      <c r="Q580" s="1"/>
      <c r="R580" s="1"/>
      <c r="S580" s="1"/>
      <c r="T580" s="1"/>
      <c r="U580" s="2"/>
      <c r="V580" s="1"/>
      <c r="W580" s="1"/>
      <c r="X580" s="1"/>
      <c r="Y580" s="1"/>
      <c r="Z580" s="1"/>
    </row>
    <row r="581" spans="1:26" ht="24.75" customHeight="1">
      <c r="A581" s="1"/>
      <c r="B581" s="1"/>
      <c r="C581" s="1"/>
      <c r="D581" s="1"/>
      <c r="E581" s="1"/>
      <c r="F581" s="1"/>
      <c r="G581" s="1"/>
      <c r="H581" s="1"/>
      <c r="I581" s="1"/>
      <c r="J581" s="1"/>
      <c r="K581" s="1"/>
      <c r="L581" s="1"/>
      <c r="M581" s="1"/>
      <c r="N581" s="1"/>
      <c r="O581" s="1"/>
      <c r="P581" s="1"/>
      <c r="Q581" s="1"/>
      <c r="R581" s="1"/>
      <c r="S581" s="1"/>
      <c r="T581" s="1"/>
      <c r="U581" s="2"/>
      <c r="V581" s="1"/>
      <c r="W581" s="1"/>
      <c r="X581" s="1"/>
      <c r="Y581" s="1"/>
      <c r="Z581" s="1"/>
    </row>
    <row r="582" spans="1:26" ht="24.75" customHeight="1">
      <c r="A582" s="1"/>
      <c r="B582" s="1"/>
      <c r="C582" s="1"/>
      <c r="D582" s="1"/>
      <c r="E582" s="1"/>
      <c r="F582" s="1"/>
      <c r="G582" s="1"/>
      <c r="H582" s="1"/>
      <c r="I582" s="1"/>
      <c r="J582" s="1"/>
      <c r="K582" s="1"/>
      <c r="L582" s="1"/>
      <c r="M582" s="1"/>
      <c r="N582" s="1"/>
      <c r="O582" s="1"/>
      <c r="P582" s="1"/>
      <c r="Q582" s="1"/>
      <c r="R582" s="1"/>
      <c r="S582" s="1"/>
      <c r="T582" s="1"/>
      <c r="U582" s="2"/>
      <c r="V582" s="1"/>
      <c r="W582" s="1"/>
      <c r="X582" s="1"/>
      <c r="Y582" s="1"/>
      <c r="Z582" s="1"/>
    </row>
    <row r="583" spans="1:26" ht="24.75" customHeight="1">
      <c r="A583" s="1"/>
      <c r="B583" s="1"/>
      <c r="C583" s="1"/>
      <c r="D583" s="1"/>
      <c r="E583" s="1"/>
      <c r="F583" s="1"/>
      <c r="G583" s="1"/>
      <c r="H583" s="1"/>
      <c r="I583" s="1"/>
      <c r="J583" s="1"/>
      <c r="K583" s="1"/>
      <c r="L583" s="1"/>
      <c r="M583" s="1"/>
      <c r="N583" s="1"/>
      <c r="O583" s="1"/>
      <c r="P583" s="1"/>
      <c r="Q583" s="1"/>
      <c r="R583" s="1"/>
      <c r="S583" s="1"/>
      <c r="T583" s="1"/>
      <c r="U583" s="2"/>
      <c r="V583" s="1"/>
      <c r="W583" s="1"/>
      <c r="X583" s="1"/>
      <c r="Y583" s="1"/>
      <c r="Z583" s="1"/>
    </row>
    <row r="584" spans="1:26" ht="24.75" customHeight="1">
      <c r="A584" s="1"/>
      <c r="B584" s="1"/>
      <c r="C584" s="1"/>
      <c r="D584" s="1"/>
      <c r="E584" s="1"/>
      <c r="F584" s="1"/>
      <c r="G584" s="1"/>
      <c r="H584" s="1"/>
      <c r="I584" s="1"/>
      <c r="J584" s="1"/>
      <c r="K584" s="1"/>
      <c r="L584" s="1"/>
      <c r="M584" s="1"/>
      <c r="N584" s="1"/>
      <c r="O584" s="1"/>
      <c r="P584" s="1"/>
      <c r="Q584" s="1"/>
      <c r="R584" s="1"/>
      <c r="S584" s="1"/>
      <c r="T584" s="1"/>
      <c r="U584" s="2"/>
      <c r="V584" s="1"/>
      <c r="W584" s="1"/>
      <c r="X584" s="1"/>
      <c r="Y584" s="1"/>
      <c r="Z584" s="1"/>
    </row>
    <row r="585" spans="1:26" ht="24.75" customHeight="1">
      <c r="A585" s="1"/>
      <c r="B585" s="1"/>
      <c r="C585" s="1"/>
      <c r="D585" s="1"/>
      <c r="E585" s="1"/>
      <c r="F585" s="1"/>
      <c r="G585" s="1"/>
      <c r="H585" s="1"/>
      <c r="I585" s="1"/>
      <c r="J585" s="1"/>
      <c r="K585" s="1"/>
      <c r="L585" s="1"/>
      <c r="M585" s="1"/>
      <c r="N585" s="1"/>
      <c r="O585" s="1"/>
      <c r="P585" s="1"/>
      <c r="Q585" s="1"/>
      <c r="R585" s="1"/>
      <c r="S585" s="1"/>
      <c r="T585" s="1"/>
      <c r="U585" s="2"/>
      <c r="V585" s="1"/>
      <c r="W585" s="1"/>
      <c r="X585" s="1"/>
      <c r="Y585" s="1"/>
      <c r="Z585" s="1"/>
    </row>
    <row r="586" spans="1:26" ht="24.75" customHeight="1">
      <c r="A586" s="1"/>
      <c r="B586" s="1"/>
      <c r="C586" s="1"/>
      <c r="D586" s="1"/>
      <c r="E586" s="1"/>
      <c r="F586" s="1"/>
      <c r="G586" s="1"/>
      <c r="H586" s="1"/>
      <c r="I586" s="1"/>
      <c r="J586" s="1"/>
      <c r="K586" s="1"/>
      <c r="L586" s="1"/>
      <c r="M586" s="1"/>
      <c r="N586" s="1"/>
      <c r="O586" s="1"/>
      <c r="P586" s="1"/>
      <c r="Q586" s="1"/>
      <c r="R586" s="1"/>
      <c r="S586" s="1"/>
      <c r="T586" s="1"/>
      <c r="U586" s="2"/>
      <c r="V586" s="1"/>
      <c r="W586" s="1"/>
      <c r="X586" s="1"/>
      <c r="Y586" s="1"/>
      <c r="Z586" s="1"/>
    </row>
    <row r="587" spans="1:26" ht="24.75" customHeight="1">
      <c r="A587" s="1"/>
      <c r="B587" s="1"/>
      <c r="C587" s="1"/>
      <c r="D587" s="1"/>
      <c r="E587" s="1"/>
      <c r="F587" s="1"/>
      <c r="G587" s="1"/>
      <c r="H587" s="1"/>
      <c r="I587" s="1"/>
      <c r="J587" s="1"/>
      <c r="K587" s="1"/>
      <c r="L587" s="1"/>
      <c r="M587" s="1"/>
      <c r="N587" s="1"/>
      <c r="O587" s="1"/>
      <c r="P587" s="1"/>
      <c r="Q587" s="1"/>
      <c r="R587" s="1"/>
      <c r="S587" s="1"/>
      <c r="T587" s="1"/>
      <c r="U587" s="2"/>
      <c r="V587" s="1"/>
      <c r="W587" s="1"/>
      <c r="X587" s="1"/>
      <c r="Y587" s="1"/>
      <c r="Z587" s="1"/>
    </row>
    <row r="588" spans="1:26" ht="24.75" customHeight="1">
      <c r="A588" s="1"/>
      <c r="B588" s="1"/>
      <c r="C588" s="1"/>
      <c r="D588" s="1"/>
      <c r="E588" s="1"/>
      <c r="F588" s="1"/>
      <c r="G588" s="1"/>
      <c r="H588" s="1"/>
      <c r="I588" s="1"/>
      <c r="J588" s="1"/>
      <c r="K588" s="1"/>
      <c r="L588" s="1"/>
      <c r="M588" s="1"/>
      <c r="N588" s="1"/>
      <c r="O588" s="1"/>
      <c r="P588" s="1"/>
      <c r="Q588" s="1"/>
      <c r="R588" s="1"/>
      <c r="S588" s="1"/>
      <c r="T588" s="1"/>
      <c r="U588" s="2"/>
      <c r="V588" s="1"/>
      <c r="W588" s="1"/>
      <c r="X588" s="1"/>
      <c r="Y588" s="1"/>
      <c r="Z588" s="1"/>
    </row>
    <row r="589" spans="1:26" ht="24.75" customHeight="1">
      <c r="A589" s="1"/>
      <c r="B589" s="1"/>
      <c r="C589" s="1"/>
      <c r="D589" s="1"/>
      <c r="E589" s="1"/>
      <c r="F589" s="1"/>
      <c r="G589" s="1"/>
      <c r="H589" s="1"/>
      <c r="I589" s="1"/>
      <c r="J589" s="1"/>
      <c r="K589" s="1"/>
      <c r="L589" s="1"/>
      <c r="M589" s="1"/>
      <c r="N589" s="1"/>
      <c r="O589" s="1"/>
      <c r="P589" s="1"/>
      <c r="Q589" s="1"/>
      <c r="R589" s="1"/>
      <c r="S589" s="1"/>
      <c r="T589" s="1"/>
      <c r="U589" s="2"/>
      <c r="V589" s="1"/>
      <c r="W589" s="1"/>
      <c r="X589" s="1"/>
      <c r="Y589" s="1"/>
      <c r="Z589" s="1"/>
    </row>
    <row r="590" spans="1:26" ht="24.75" customHeight="1">
      <c r="A590" s="1"/>
      <c r="B590" s="1"/>
      <c r="C590" s="1"/>
      <c r="D590" s="1"/>
      <c r="E590" s="1"/>
      <c r="F590" s="1"/>
      <c r="G590" s="1"/>
      <c r="H590" s="1"/>
      <c r="I590" s="1"/>
      <c r="J590" s="1"/>
      <c r="K590" s="1"/>
      <c r="L590" s="1"/>
      <c r="M590" s="1"/>
      <c r="N590" s="1"/>
      <c r="O590" s="1"/>
      <c r="P590" s="1"/>
      <c r="Q590" s="1"/>
      <c r="R590" s="1"/>
      <c r="S590" s="1"/>
      <c r="T590" s="1"/>
      <c r="U590" s="2"/>
      <c r="V590" s="1"/>
      <c r="W590" s="1"/>
      <c r="X590" s="1"/>
      <c r="Y590" s="1"/>
      <c r="Z590" s="1"/>
    </row>
    <row r="591" spans="1:26" ht="24.75" customHeight="1">
      <c r="A591" s="1"/>
      <c r="B591" s="1"/>
      <c r="C591" s="1"/>
      <c r="D591" s="1"/>
      <c r="E591" s="1"/>
      <c r="F591" s="1"/>
      <c r="G591" s="1"/>
      <c r="H591" s="1"/>
      <c r="I591" s="1"/>
      <c r="J591" s="1"/>
      <c r="K591" s="1"/>
      <c r="L591" s="1"/>
      <c r="M591" s="1"/>
      <c r="N591" s="1"/>
      <c r="O591" s="1"/>
      <c r="P591" s="1"/>
      <c r="Q591" s="1"/>
      <c r="R591" s="1"/>
      <c r="S591" s="1"/>
      <c r="T591" s="1"/>
      <c r="U591" s="2"/>
      <c r="V591" s="1"/>
      <c r="W591" s="1"/>
      <c r="X591" s="1"/>
      <c r="Y591" s="1"/>
      <c r="Z591" s="1"/>
    </row>
    <row r="592" spans="1:26" ht="24.75" customHeight="1">
      <c r="A592" s="1"/>
      <c r="B592" s="1"/>
      <c r="C592" s="1"/>
      <c r="D592" s="1"/>
      <c r="E592" s="1"/>
      <c r="F592" s="1"/>
      <c r="G592" s="1"/>
      <c r="H592" s="1"/>
      <c r="I592" s="1"/>
      <c r="J592" s="1"/>
      <c r="K592" s="1"/>
      <c r="L592" s="1"/>
      <c r="M592" s="1"/>
      <c r="N592" s="1"/>
      <c r="O592" s="1"/>
      <c r="P592" s="1"/>
      <c r="Q592" s="1"/>
      <c r="R592" s="1"/>
      <c r="S592" s="1"/>
      <c r="T592" s="1"/>
      <c r="U592" s="2"/>
      <c r="V592" s="1"/>
      <c r="W592" s="1"/>
      <c r="X592" s="1"/>
      <c r="Y592" s="1"/>
      <c r="Z592" s="1"/>
    </row>
    <row r="593" spans="1:26" ht="24.75" customHeight="1">
      <c r="A593" s="1"/>
      <c r="B593" s="1"/>
      <c r="C593" s="1"/>
      <c r="D593" s="1"/>
      <c r="E593" s="1"/>
      <c r="F593" s="1"/>
      <c r="G593" s="1"/>
      <c r="H593" s="1"/>
      <c r="I593" s="1"/>
      <c r="J593" s="1"/>
      <c r="K593" s="1"/>
      <c r="L593" s="1"/>
      <c r="M593" s="1"/>
      <c r="N593" s="1"/>
      <c r="O593" s="1"/>
      <c r="P593" s="1"/>
      <c r="Q593" s="1"/>
      <c r="R593" s="1"/>
      <c r="S593" s="1"/>
      <c r="T593" s="1"/>
      <c r="U593" s="2"/>
      <c r="V593" s="1"/>
      <c r="W593" s="1"/>
      <c r="X593" s="1"/>
      <c r="Y593" s="1"/>
      <c r="Z593" s="1"/>
    </row>
    <row r="594" spans="1:26" ht="24.75" customHeight="1">
      <c r="A594" s="1"/>
      <c r="B594" s="1"/>
      <c r="C594" s="1"/>
      <c r="D594" s="1"/>
      <c r="E594" s="1"/>
      <c r="F594" s="1"/>
      <c r="G594" s="1"/>
      <c r="H594" s="1"/>
      <c r="I594" s="1"/>
      <c r="J594" s="1"/>
      <c r="K594" s="1"/>
      <c r="L594" s="1"/>
      <c r="M594" s="1"/>
      <c r="N594" s="1"/>
      <c r="O594" s="1"/>
      <c r="P594" s="1"/>
      <c r="Q594" s="1"/>
      <c r="R594" s="1"/>
      <c r="S594" s="1"/>
      <c r="T594" s="1"/>
      <c r="U594" s="2"/>
      <c r="V594" s="1"/>
      <c r="W594" s="1"/>
      <c r="X594" s="1"/>
      <c r="Y594" s="1"/>
      <c r="Z594" s="1"/>
    </row>
    <row r="595" spans="1:26" ht="24.75" customHeight="1">
      <c r="A595" s="1"/>
      <c r="B595" s="1"/>
      <c r="C595" s="1"/>
      <c r="D595" s="1"/>
      <c r="E595" s="1"/>
      <c r="F595" s="1"/>
      <c r="G595" s="1"/>
      <c r="H595" s="1"/>
      <c r="I595" s="1"/>
      <c r="J595" s="1"/>
      <c r="K595" s="1"/>
      <c r="L595" s="1"/>
      <c r="M595" s="1"/>
      <c r="N595" s="1"/>
      <c r="O595" s="1"/>
      <c r="P595" s="1"/>
      <c r="Q595" s="1"/>
      <c r="R595" s="1"/>
      <c r="S595" s="1"/>
      <c r="T595" s="1"/>
      <c r="U595" s="2"/>
      <c r="V595" s="1"/>
      <c r="W595" s="1"/>
      <c r="X595" s="1"/>
      <c r="Y595" s="1"/>
      <c r="Z595" s="1"/>
    </row>
    <row r="596" spans="1:26" ht="24.75" customHeight="1">
      <c r="A596" s="1"/>
      <c r="B596" s="1"/>
      <c r="C596" s="1"/>
      <c r="D596" s="1"/>
      <c r="E596" s="1"/>
      <c r="F596" s="1"/>
      <c r="G596" s="1"/>
      <c r="H596" s="1"/>
      <c r="I596" s="1"/>
      <c r="J596" s="1"/>
      <c r="K596" s="1"/>
      <c r="L596" s="1"/>
      <c r="M596" s="1"/>
      <c r="N596" s="1"/>
      <c r="O596" s="1"/>
      <c r="P596" s="1"/>
      <c r="Q596" s="1"/>
      <c r="R596" s="1"/>
      <c r="S596" s="1"/>
      <c r="T596" s="1"/>
      <c r="U596" s="2"/>
      <c r="V596" s="1"/>
      <c r="W596" s="1"/>
      <c r="X596" s="1"/>
      <c r="Y596" s="1"/>
      <c r="Z596" s="1"/>
    </row>
    <row r="597" spans="1:26" ht="24.75" customHeight="1">
      <c r="A597" s="1"/>
      <c r="B597" s="1"/>
      <c r="C597" s="1"/>
      <c r="D597" s="1"/>
      <c r="E597" s="1"/>
      <c r="F597" s="1"/>
      <c r="G597" s="1"/>
      <c r="H597" s="1"/>
      <c r="I597" s="1"/>
      <c r="J597" s="1"/>
      <c r="K597" s="1"/>
      <c r="L597" s="1"/>
      <c r="M597" s="1"/>
      <c r="N597" s="1"/>
      <c r="O597" s="1"/>
      <c r="P597" s="1"/>
      <c r="Q597" s="1"/>
      <c r="R597" s="1"/>
      <c r="S597" s="1"/>
      <c r="T597" s="1"/>
      <c r="U597" s="2"/>
      <c r="V597" s="1"/>
      <c r="W597" s="1"/>
      <c r="X597" s="1"/>
      <c r="Y597" s="1"/>
      <c r="Z597" s="1"/>
    </row>
    <row r="598" spans="1:26" ht="24.75" customHeight="1">
      <c r="A598" s="1"/>
      <c r="B598" s="1"/>
      <c r="C598" s="1"/>
      <c r="D598" s="1"/>
      <c r="E598" s="1"/>
      <c r="F598" s="1"/>
      <c r="G598" s="1"/>
      <c r="H598" s="1"/>
      <c r="I598" s="1"/>
      <c r="J598" s="1"/>
      <c r="K598" s="1"/>
      <c r="L598" s="1"/>
      <c r="M598" s="1"/>
      <c r="N598" s="1"/>
      <c r="O598" s="1"/>
      <c r="P598" s="1"/>
      <c r="Q598" s="1"/>
      <c r="R598" s="1"/>
      <c r="S598" s="1"/>
      <c r="T598" s="1"/>
      <c r="U598" s="2"/>
      <c r="V598" s="1"/>
      <c r="W598" s="1"/>
      <c r="X598" s="1"/>
      <c r="Y598" s="1"/>
      <c r="Z598" s="1"/>
    </row>
    <row r="599" spans="1:26" ht="24.75" customHeight="1">
      <c r="A599" s="1"/>
      <c r="B599" s="1"/>
      <c r="C599" s="1"/>
      <c r="D599" s="1"/>
      <c r="E599" s="1"/>
      <c r="F599" s="1"/>
      <c r="G599" s="1"/>
      <c r="H599" s="1"/>
      <c r="I599" s="1"/>
      <c r="J599" s="1"/>
      <c r="K599" s="1"/>
      <c r="L599" s="1"/>
      <c r="M599" s="1"/>
      <c r="N599" s="1"/>
      <c r="O599" s="1"/>
      <c r="P599" s="1"/>
      <c r="Q599" s="1"/>
      <c r="R599" s="1"/>
      <c r="S599" s="1"/>
      <c r="T599" s="1"/>
      <c r="U599" s="2"/>
      <c r="V599" s="1"/>
      <c r="W599" s="1"/>
      <c r="X599" s="1"/>
      <c r="Y599" s="1"/>
      <c r="Z599" s="1"/>
    </row>
    <row r="600" spans="1:26" ht="24.75" customHeight="1">
      <c r="A600" s="1"/>
      <c r="B600" s="1"/>
      <c r="C600" s="1"/>
      <c r="D600" s="1"/>
      <c r="E600" s="1"/>
      <c r="F600" s="1"/>
      <c r="G600" s="1"/>
      <c r="H600" s="1"/>
      <c r="I600" s="1"/>
      <c r="J600" s="1"/>
      <c r="K600" s="1"/>
      <c r="L600" s="1"/>
      <c r="M600" s="1"/>
      <c r="N600" s="1"/>
      <c r="O600" s="1"/>
      <c r="P600" s="1"/>
      <c r="Q600" s="1"/>
      <c r="R600" s="1"/>
      <c r="S600" s="1"/>
      <c r="T600" s="1"/>
      <c r="U600" s="2"/>
      <c r="V600" s="1"/>
      <c r="W600" s="1"/>
      <c r="X600" s="1"/>
      <c r="Y600" s="1"/>
      <c r="Z600" s="1"/>
    </row>
    <row r="601" spans="1:26" ht="24.75" customHeight="1">
      <c r="A601" s="1"/>
      <c r="B601" s="1"/>
      <c r="C601" s="1"/>
      <c r="D601" s="1"/>
      <c r="E601" s="1"/>
      <c r="F601" s="1"/>
      <c r="G601" s="1"/>
      <c r="H601" s="1"/>
      <c r="I601" s="1"/>
      <c r="J601" s="1"/>
      <c r="K601" s="1"/>
      <c r="L601" s="1"/>
      <c r="M601" s="1"/>
      <c r="N601" s="1"/>
      <c r="O601" s="1"/>
      <c r="P601" s="1"/>
      <c r="Q601" s="1"/>
      <c r="R601" s="1"/>
      <c r="S601" s="1"/>
      <c r="T601" s="1"/>
      <c r="U601" s="2"/>
      <c r="V601" s="1"/>
      <c r="W601" s="1"/>
      <c r="X601" s="1"/>
      <c r="Y601" s="1"/>
      <c r="Z601" s="1"/>
    </row>
    <row r="602" spans="1:26" ht="24.75" customHeight="1">
      <c r="A602" s="1"/>
      <c r="B602" s="1"/>
      <c r="C602" s="1"/>
      <c r="D602" s="1"/>
      <c r="E602" s="1"/>
      <c r="F602" s="1"/>
      <c r="G602" s="1"/>
      <c r="H602" s="1"/>
      <c r="I602" s="1"/>
      <c r="J602" s="1"/>
      <c r="K602" s="1"/>
      <c r="L602" s="1"/>
      <c r="M602" s="1"/>
      <c r="N602" s="1"/>
      <c r="O602" s="1"/>
      <c r="P602" s="1"/>
      <c r="Q602" s="1"/>
      <c r="R602" s="1"/>
      <c r="S602" s="1"/>
      <c r="T602" s="1"/>
      <c r="U602" s="2"/>
      <c r="V602" s="1"/>
      <c r="W602" s="1"/>
      <c r="X602" s="1"/>
      <c r="Y602" s="1"/>
      <c r="Z602" s="1"/>
    </row>
    <row r="603" spans="1:26" ht="24.75" customHeight="1">
      <c r="A603" s="1"/>
      <c r="B603" s="1"/>
      <c r="C603" s="1"/>
      <c r="D603" s="1"/>
      <c r="E603" s="1"/>
      <c r="F603" s="1"/>
      <c r="G603" s="1"/>
      <c r="H603" s="1"/>
      <c r="I603" s="1"/>
      <c r="J603" s="1"/>
      <c r="K603" s="1"/>
      <c r="L603" s="1"/>
      <c r="M603" s="1"/>
      <c r="N603" s="1"/>
      <c r="O603" s="1"/>
      <c r="P603" s="1"/>
      <c r="Q603" s="1"/>
      <c r="R603" s="1"/>
      <c r="S603" s="1"/>
      <c r="T603" s="1"/>
      <c r="U603" s="2"/>
      <c r="V603" s="1"/>
      <c r="W603" s="1"/>
      <c r="X603" s="1"/>
      <c r="Y603" s="1"/>
      <c r="Z603" s="1"/>
    </row>
    <row r="604" spans="1:26" ht="24.75" customHeight="1">
      <c r="A604" s="1"/>
      <c r="B604" s="1"/>
      <c r="C604" s="1"/>
      <c r="D604" s="1"/>
      <c r="E604" s="1"/>
      <c r="F604" s="1"/>
      <c r="G604" s="1"/>
      <c r="H604" s="1"/>
      <c r="I604" s="1"/>
      <c r="J604" s="1"/>
      <c r="K604" s="1"/>
      <c r="L604" s="1"/>
      <c r="M604" s="1"/>
      <c r="N604" s="1"/>
      <c r="O604" s="1"/>
      <c r="P604" s="1"/>
      <c r="Q604" s="1"/>
      <c r="R604" s="1"/>
      <c r="S604" s="1"/>
      <c r="T604" s="1"/>
      <c r="U604" s="2"/>
      <c r="V604" s="1"/>
      <c r="W604" s="1"/>
      <c r="X604" s="1"/>
      <c r="Y604" s="1"/>
      <c r="Z604" s="1"/>
    </row>
    <row r="605" spans="1:26" ht="24.75" customHeight="1">
      <c r="A605" s="1"/>
      <c r="B605" s="1"/>
      <c r="C605" s="1"/>
      <c r="D605" s="1"/>
      <c r="E605" s="1"/>
      <c r="F605" s="1"/>
      <c r="G605" s="1"/>
      <c r="H605" s="1"/>
      <c r="I605" s="1"/>
      <c r="J605" s="1"/>
      <c r="K605" s="1"/>
      <c r="L605" s="1"/>
      <c r="M605" s="1"/>
      <c r="N605" s="1"/>
      <c r="O605" s="1"/>
      <c r="P605" s="1"/>
      <c r="Q605" s="1"/>
      <c r="R605" s="1"/>
      <c r="S605" s="1"/>
      <c r="T605" s="1"/>
      <c r="U605" s="2"/>
      <c r="V605" s="1"/>
      <c r="W605" s="1"/>
      <c r="X605" s="1"/>
      <c r="Y605" s="1"/>
      <c r="Z605" s="1"/>
    </row>
    <row r="606" spans="1:26" ht="24.75" customHeight="1">
      <c r="A606" s="1"/>
      <c r="B606" s="1"/>
      <c r="C606" s="1"/>
      <c r="D606" s="1"/>
      <c r="E606" s="1"/>
      <c r="F606" s="1"/>
      <c r="G606" s="1"/>
      <c r="H606" s="1"/>
      <c r="I606" s="1"/>
      <c r="J606" s="1"/>
      <c r="K606" s="1"/>
      <c r="L606" s="1"/>
      <c r="M606" s="1"/>
      <c r="N606" s="1"/>
      <c r="O606" s="1"/>
      <c r="P606" s="1"/>
      <c r="Q606" s="1"/>
      <c r="R606" s="1"/>
      <c r="S606" s="1"/>
      <c r="T606" s="1"/>
      <c r="U606" s="2"/>
      <c r="V606" s="1"/>
      <c r="W606" s="1"/>
      <c r="X606" s="1"/>
      <c r="Y606" s="1"/>
      <c r="Z606" s="1"/>
    </row>
    <row r="607" spans="1:26" ht="24.75" customHeight="1">
      <c r="A607" s="1"/>
      <c r="B607" s="1"/>
      <c r="C607" s="1"/>
      <c r="D607" s="1"/>
      <c r="E607" s="1"/>
      <c r="F607" s="1"/>
      <c r="G607" s="1"/>
      <c r="H607" s="1"/>
      <c r="I607" s="1"/>
      <c r="J607" s="1"/>
      <c r="K607" s="1"/>
      <c r="L607" s="1"/>
      <c r="M607" s="1"/>
      <c r="N607" s="1"/>
      <c r="O607" s="1"/>
      <c r="P607" s="1"/>
      <c r="Q607" s="1"/>
      <c r="R607" s="1"/>
      <c r="S607" s="1"/>
      <c r="T607" s="1"/>
      <c r="U607" s="2"/>
      <c r="V607" s="1"/>
      <c r="W607" s="1"/>
      <c r="X607" s="1"/>
      <c r="Y607" s="1"/>
      <c r="Z607" s="1"/>
    </row>
    <row r="608" spans="1:26" ht="24.75" customHeight="1">
      <c r="A608" s="1"/>
      <c r="B608" s="1"/>
      <c r="C608" s="1"/>
      <c r="D608" s="1"/>
      <c r="E608" s="1"/>
      <c r="F608" s="1"/>
      <c r="G608" s="1"/>
      <c r="H608" s="1"/>
      <c r="I608" s="1"/>
      <c r="J608" s="1"/>
      <c r="K608" s="1"/>
      <c r="L608" s="1"/>
      <c r="M608" s="1"/>
      <c r="N608" s="1"/>
      <c r="O608" s="1"/>
      <c r="P608" s="1"/>
      <c r="Q608" s="1"/>
      <c r="R608" s="1"/>
      <c r="S608" s="1"/>
      <c r="T608" s="1"/>
      <c r="U608" s="2"/>
      <c r="V608" s="1"/>
      <c r="W608" s="1"/>
      <c r="X608" s="1"/>
      <c r="Y608" s="1"/>
      <c r="Z608" s="1"/>
    </row>
    <row r="609" spans="1:26" ht="24.75" customHeight="1">
      <c r="A609" s="1"/>
      <c r="B609" s="1"/>
      <c r="C609" s="1"/>
      <c r="D609" s="1"/>
      <c r="E609" s="1"/>
      <c r="F609" s="1"/>
      <c r="G609" s="1"/>
      <c r="H609" s="1"/>
      <c r="I609" s="1"/>
      <c r="J609" s="1"/>
      <c r="K609" s="1"/>
      <c r="L609" s="1"/>
      <c r="M609" s="1"/>
      <c r="N609" s="1"/>
      <c r="O609" s="1"/>
      <c r="P609" s="1"/>
      <c r="Q609" s="1"/>
      <c r="R609" s="1"/>
      <c r="S609" s="1"/>
      <c r="T609" s="1"/>
      <c r="U609" s="2"/>
      <c r="V609" s="1"/>
      <c r="W609" s="1"/>
      <c r="X609" s="1"/>
      <c r="Y609" s="1"/>
      <c r="Z609" s="1"/>
    </row>
    <row r="610" spans="1:26" ht="24.75" customHeight="1">
      <c r="A610" s="1"/>
      <c r="B610" s="1"/>
      <c r="C610" s="1"/>
      <c r="D610" s="1"/>
      <c r="E610" s="1"/>
      <c r="F610" s="1"/>
      <c r="G610" s="1"/>
      <c r="H610" s="1"/>
      <c r="I610" s="1"/>
      <c r="J610" s="1"/>
      <c r="K610" s="1"/>
      <c r="L610" s="1"/>
      <c r="M610" s="1"/>
      <c r="N610" s="1"/>
      <c r="O610" s="1"/>
      <c r="P610" s="1"/>
      <c r="Q610" s="1"/>
      <c r="R610" s="1"/>
      <c r="S610" s="1"/>
      <c r="T610" s="1"/>
      <c r="U610" s="2"/>
      <c r="V610" s="1"/>
      <c r="W610" s="1"/>
      <c r="X610" s="1"/>
      <c r="Y610" s="1"/>
      <c r="Z610" s="1"/>
    </row>
    <row r="611" spans="1:26" ht="24.75" customHeight="1">
      <c r="A611" s="1"/>
      <c r="B611" s="1"/>
      <c r="C611" s="1"/>
      <c r="D611" s="1"/>
      <c r="E611" s="1"/>
      <c r="F611" s="1"/>
      <c r="G611" s="1"/>
      <c r="H611" s="1"/>
      <c r="I611" s="1"/>
      <c r="J611" s="1"/>
      <c r="K611" s="1"/>
      <c r="L611" s="1"/>
      <c r="M611" s="1"/>
      <c r="N611" s="1"/>
      <c r="O611" s="1"/>
      <c r="P611" s="1"/>
      <c r="Q611" s="1"/>
      <c r="R611" s="1"/>
      <c r="S611" s="1"/>
      <c r="T611" s="1"/>
      <c r="U611" s="2"/>
      <c r="V611" s="1"/>
      <c r="W611" s="1"/>
      <c r="X611" s="1"/>
      <c r="Y611" s="1"/>
      <c r="Z611" s="1"/>
    </row>
    <row r="612" spans="1:26" ht="24.75" customHeight="1">
      <c r="A612" s="1"/>
      <c r="B612" s="1"/>
      <c r="C612" s="1"/>
      <c r="D612" s="1"/>
      <c r="E612" s="1"/>
      <c r="F612" s="1"/>
      <c r="G612" s="1"/>
      <c r="H612" s="1"/>
      <c r="I612" s="1"/>
      <c r="J612" s="1"/>
      <c r="K612" s="1"/>
      <c r="L612" s="1"/>
      <c r="M612" s="1"/>
      <c r="N612" s="1"/>
      <c r="O612" s="1"/>
      <c r="P612" s="1"/>
      <c r="Q612" s="1"/>
      <c r="R612" s="1"/>
      <c r="S612" s="1"/>
      <c r="T612" s="1"/>
      <c r="U612" s="2"/>
      <c r="V612" s="1"/>
      <c r="W612" s="1"/>
      <c r="X612" s="1"/>
      <c r="Y612" s="1"/>
      <c r="Z612" s="1"/>
    </row>
    <row r="613" spans="1:26" ht="24.75" customHeight="1">
      <c r="A613" s="1"/>
      <c r="B613" s="1"/>
      <c r="C613" s="1"/>
      <c r="D613" s="1"/>
      <c r="E613" s="1"/>
      <c r="F613" s="1"/>
      <c r="G613" s="1"/>
      <c r="H613" s="1"/>
      <c r="I613" s="1"/>
      <c r="J613" s="1"/>
      <c r="K613" s="1"/>
      <c r="L613" s="1"/>
      <c r="M613" s="1"/>
      <c r="N613" s="1"/>
      <c r="O613" s="1"/>
      <c r="P613" s="1"/>
      <c r="Q613" s="1"/>
      <c r="R613" s="1"/>
      <c r="S613" s="1"/>
      <c r="T613" s="1"/>
      <c r="U613" s="2"/>
      <c r="V613" s="1"/>
      <c r="W613" s="1"/>
      <c r="X613" s="1"/>
      <c r="Y613" s="1"/>
      <c r="Z613" s="1"/>
    </row>
    <row r="614" spans="1:26" ht="24.75" customHeight="1">
      <c r="A614" s="1"/>
      <c r="B614" s="1"/>
      <c r="C614" s="1"/>
      <c r="D614" s="1"/>
      <c r="E614" s="1"/>
      <c r="F614" s="1"/>
      <c r="G614" s="1"/>
      <c r="H614" s="1"/>
      <c r="I614" s="1"/>
      <c r="J614" s="1"/>
      <c r="K614" s="1"/>
      <c r="L614" s="1"/>
      <c r="M614" s="1"/>
      <c r="N614" s="1"/>
      <c r="O614" s="1"/>
      <c r="P614" s="1"/>
      <c r="Q614" s="1"/>
      <c r="R614" s="1"/>
      <c r="S614" s="1"/>
      <c r="T614" s="1"/>
      <c r="U614" s="2"/>
      <c r="V614" s="1"/>
      <c r="W614" s="1"/>
      <c r="X614" s="1"/>
      <c r="Y614" s="1"/>
      <c r="Z614" s="1"/>
    </row>
    <row r="615" spans="1:26" ht="24.75" customHeight="1">
      <c r="A615" s="1"/>
      <c r="B615" s="1"/>
      <c r="C615" s="1"/>
      <c r="D615" s="1"/>
      <c r="E615" s="1"/>
      <c r="F615" s="1"/>
      <c r="G615" s="1"/>
      <c r="H615" s="1"/>
      <c r="I615" s="1"/>
      <c r="J615" s="1"/>
      <c r="K615" s="1"/>
      <c r="L615" s="1"/>
      <c r="M615" s="1"/>
      <c r="N615" s="1"/>
      <c r="O615" s="1"/>
      <c r="P615" s="1"/>
      <c r="Q615" s="1"/>
      <c r="R615" s="1"/>
      <c r="S615" s="1"/>
      <c r="T615" s="1"/>
      <c r="U615" s="2"/>
      <c r="V615" s="1"/>
      <c r="W615" s="1"/>
      <c r="X615" s="1"/>
      <c r="Y615" s="1"/>
      <c r="Z615" s="1"/>
    </row>
    <row r="616" spans="1:26" ht="24.75" customHeight="1">
      <c r="A616" s="1"/>
      <c r="B616" s="1"/>
      <c r="C616" s="1"/>
      <c r="D616" s="1"/>
      <c r="E616" s="1"/>
      <c r="F616" s="1"/>
      <c r="G616" s="1"/>
      <c r="H616" s="1"/>
      <c r="I616" s="1"/>
      <c r="J616" s="1"/>
      <c r="K616" s="1"/>
      <c r="L616" s="1"/>
      <c r="M616" s="1"/>
      <c r="N616" s="1"/>
      <c r="O616" s="1"/>
      <c r="P616" s="1"/>
      <c r="Q616" s="1"/>
      <c r="R616" s="1"/>
      <c r="S616" s="1"/>
      <c r="T616" s="1"/>
      <c r="U616" s="2"/>
      <c r="V616" s="1"/>
      <c r="W616" s="1"/>
      <c r="X616" s="1"/>
      <c r="Y616" s="1"/>
      <c r="Z616" s="1"/>
    </row>
    <row r="617" spans="1:26" ht="24.75" customHeight="1">
      <c r="A617" s="1"/>
      <c r="B617" s="1"/>
      <c r="C617" s="1"/>
      <c r="D617" s="1"/>
      <c r="E617" s="1"/>
      <c r="F617" s="1"/>
      <c r="G617" s="1"/>
      <c r="H617" s="1"/>
      <c r="I617" s="1"/>
      <c r="J617" s="1"/>
      <c r="K617" s="1"/>
      <c r="L617" s="1"/>
      <c r="M617" s="1"/>
      <c r="N617" s="1"/>
      <c r="O617" s="1"/>
      <c r="P617" s="1"/>
      <c r="Q617" s="1"/>
      <c r="R617" s="1"/>
      <c r="S617" s="1"/>
      <c r="T617" s="1"/>
      <c r="U617" s="2"/>
      <c r="V617" s="1"/>
      <c r="W617" s="1"/>
      <c r="X617" s="1"/>
      <c r="Y617" s="1"/>
      <c r="Z617" s="1"/>
    </row>
    <row r="618" spans="1:26" ht="24.75" customHeight="1">
      <c r="A618" s="1"/>
      <c r="B618" s="1"/>
      <c r="C618" s="1"/>
      <c r="D618" s="1"/>
      <c r="E618" s="1"/>
      <c r="F618" s="1"/>
      <c r="G618" s="1"/>
      <c r="H618" s="1"/>
      <c r="I618" s="1"/>
      <c r="J618" s="1"/>
      <c r="K618" s="1"/>
      <c r="L618" s="1"/>
      <c r="M618" s="1"/>
      <c r="N618" s="1"/>
      <c r="O618" s="1"/>
      <c r="P618" s="1"/>
      <c r="Q618" s="1"/>
      <c r="R618" s="1"/>
      <c r="S618" s="1"/>
      <c r="T618" s="1"/>
      <c r="U618" s="2"/>
      <c r="V618" s="1"/>
      <c r="W618" s="1"/>
      <c r="X618" s="1"/>
      <c r="Y618" s="1"/>
      <c r="Z618" s="1"/>
    </row>
    <row r="619" spans="1:26" ht="24.75" customHeight="1">
      <c r="A619" s="1"/>
      <c r="B619" s="1"/>
      <c r="C619" s="1"/>
      <c r="D619" s="1"/>
      <c r="E619" s="1"/>
      <c r="F619" s="1"/>
      <c r="G619" s="1"/>
      <c r="H619" s="1"/>
      <c r="I619" s="1"/>
      <c r="J619" s="1"/>
      <c r="K619" s="1"/>
      <c r="L619" s="1"/>
      <c r="M619" s="1"/>
      <c r="N619" s="1"/>
      <c r="O619" s="1"/>
      <c r="P619" s="1"/>
      <c r="Q619" s="1"/>
      <c r="R619" s="1"/>
      <c r="S619" s="1"/>
      <c r="T619" s="1"/>
      <c r="U619" s="2"/>
      <c r="V619" s="1"/>
      <c r="W619" s="1"/>
      <c r="X619" s="1"/>
      <c r="Y619" s="1"/>
      <c r="Z619" s="1"/>
    </row>
    <row r="620" spans="1:26" ht="24.75" customHeight="1">
      <c r="A620" s="1"/>
      <c r="B620" s="1"/>
      <c r="C620" s="1"/>
      <c r="D620" s="1"/>
      <c r="E620" s="1"/>
      <c r="F620" s="1"/>
      <c r="G620" s="1"/>
      <c r="H620" s="1"/>
      <c r="I620" s="1"/>
      <c r="J620" s="1"/>
      <c r="K620" s="1"/>
      <c r="L620" s="1"/>
      <c r="M620" s="1"/>
      <c r="N620" s="1"/>
      <c r="O620" s="1"/>
      <c r="P620" s="1"/>
      <c r="Q620" s="1"/>
      <c r="R620" s="1"/>
      <c r="S620" s="1"/>
      <c r="T620" s="1"/>
      <c r="U620" s="2"/>
      <c r="V620" s="1"/>
      <c r="W620" s="1"/>
      <c r="X620" s="1"/>
      <c r="Y620" s="1"/>
      <c r="Z620" s="1"/>
    </row>
    <row r="621" spans="1:26" ht="24.75" customHeight="1">
      <c r="A621" s="1"/>
      <c r="B621" s="1"/>
      <c r="C621" s="1"/>
      <c r="D621" s="1"/>
      <c r="E621" s="1"/>
      <c r="F621" s="1"/>
      <c r="G621" s="1"/>
      <c r="H621" s="1"/>
      <c r="I621" s="1"/>
      <c r="J621" s="1"/>
      <c r="K621" s="1"/>
      <c r="L621" s="1"/>
      <c r="M621" s="1"/>
      <c r="N621" s="1"/>
      <c r="O621" s="1"/>
      <c r="P621" s="1"/>
      <c r="Q621" s="1"/>
      <c r="R621" s="1"/>
      <c r="S621" s="1"/>
      <c r="T621" s="1"/>
      <c r="U621" s="2"/>
      <c r="V621" s="1"/>
      <c r="W621" s="1"/>
      <c r="X621" s="1"/>
      <c r="Y621" s="1"/>
      <c r="Z621" s="1"/>
    </row>
    <row r="622" spans="1:26" ht="24.75" customHeight="1">
      <c r="A622" s="1"/>
      <c r="B622" s="1"/>
      <c r="C622" s="1"/>
      <c r="D622" s="1"/>
      <c r="E622" s="1"/>
      <c r="F622" s="1"/>
      <c r="G622" s="1"/>
      <c r="H622" s="1"/>
      <c r="I622" s="1"/>
      <c r="J622" s="1"/>
      <c r="K622" s="1"/>
      <c r="L622" s="1"/>
      <c r="M622" s="1"/>
      <c r="N622" s="1"/>
      <c r="O622" s="1"/>
      <c r="P622" s="1"/>
      <c r="Q622" s="1"/>
      <c r="R622" s="1"/>
      <c r="S622" s="1"/>
      <c r="T622" s="1"/>
      <c r="U622" s="2"/>
      <c r="V622" s="1"/>
      <c r="W622" s="1"/>
      <c r="X622" s="1"/>
      <c r="Y622" s="1"/>
      <c r="Z622" s="1"/>
    </row>
    <row r="623" spans="1:26" ht="24.75" customHeight="1">
      <c r="A623" s="1"/>
      <c r="B623" s="1"/>
      <c r="C623" s="1"/>
      <c r="D623" s="1"/>
      <c r="E623" s="1"/>
      <c r="F623" s="1"/>
      <c r="G623" s="1"/>
      <c r="H623" s="1"/>
      <c r="I623" s="1"/>
      <c r="J623" s="1"/>
      <c r="K623" s="1"/>
      <c r="L623" s="1"/>
      <c r="M623" s="1"/>
      <c r="N623" s="1"/>
      <c r="O623" s="1"/>
      <c r="P623" s="1"/>
      <c r="Q623" s="1"/>
      <c r="R623" s="1"/>
      <c r="S623" s="1"/>
      <c r="T623" s="1"/>
      <c r="U623" s="2"/>
      <c r="V623" s="1"/>
      <c r="W623" s="1"/>
      <c r="X623" s="1"/>
      <c r="Y623" s="1"/>
      <c r="Z623" s="1"/>
    </row>
    <row r="624" spans="1:26" ht="24.75" customHeight="1">
      <c r="A624" s="1"/>
      <c r="B624" s="1"/>
      <c r="C624" s="1"/>
      <c r="D624" s="1"/>
      <c r="E624" s="1"/>
      <c r="F624" s="1"/>
      <c r="G624" s="1"/>
      <c r="H624" s="1"/>
      <c r="I624" s="1"/>
      <c r="J624" s="1"/>
      <c r="K624" s="1"/>
      <c r="L624" s="1"/>
      <c r="M624" s="1"/>
      <c r="N624" s="1"/>
      <c r="O624" s="1"/>
      <c r="P624" s="1"/>
      <c r="Q624" s="1"/>
      <c r="R624" s="1"/>
      <c r="S624" s="1"/>
      <c r="T624" s="1"/>
      <c r="U624" s="2"/>
      <c r="V624" s="1"/>
      <c r="W624" s="1"/>
      <c r="X624" s="1"/>
      <c r="Y624" s="1"/>
      <c r="Z624" s="1"/>
    </row>
    <row r="625" spans="1:26" ht="24.75" customHeight="1">
      <c r="A625" s="1"/>
      <c r="B625" s="1"/>
      <c r="C625" s="1"/>
      <c r="D625" s="1"/>
      <c r="E625" s="1"/>
      <c r="F625" s="1"/>
      <c r="G625" s="1"/>
      <c r="H625" s="1"/>
      <c r="I625" s="1"/>
      <c r="J625" s="1"/>
      <c r="K625" s="1"/>
      <c r="L625" s="1"/>
      <c r="M625" s="1"/>
      <c r="N625" s="1"/>
      <c r="O625" s="1"/>
      <c r="P625" s="1"/>
      <c r="Q625" s="1"/>
      <c r="R625" s="1"/>
      <c r="S625" s="1"/>
      <c r="T625" s="1"/>
      <c r="U625" s="2"/>
      <c r="V625" s="1"/>
      <c r="W625" s="1"/>
      <c r="X625" s="1"/>
      <c r="Y625" s="1"/>
      <c r="Z625" s="1"/>
    </row>
    <row r="626" spans="1:26" ht="24.75" customHeight="1">
      <c r="A626" s="1"/>
      <c r="B626" s="1"/>
      <c r="C626" s="1"/>
      <c r="D626" s="1"/>
      <c r="E626" s="1"/>
      <c r="F626" s="1"/>
      <c r="G626" s="1"/>
      <c r="H626" s="1"/>
      <c r="I626" s="1"/>
      <c r="J626" s="1"/>
      <c r="K626" s="1"/>
      <c r="L626" s="1"/>
      <c r="M626" s="1"/>
      <c r="N626" s="1"/>
      <c r="O626" s="1"/>
      <c r="P626" s="1"/>
      <c r="Q626" s="1"/>
      <c r="R626" s="1"/>
      <c r="S626" s="1"/>
      <c r="T626" s="1"/>
      <c r="U626" s="2"/>
      <c r="V626" s="1"/>
      <c r="W626" s="1"/>
      <c r="X626" s="1"/>
      <c r="Y626" s="1"/>
      <c r="Z626" s="1"/>
    </row>
    <row r="627" spans="1:26" ht="24.75" customHeight="1">
      <c r="A627" s="1"/>
      <c r="B627" s="1"/>
      <c r="C627" s="1"/>
      <c r="D627" s="1"/>
      <c r="E627" s="1"/>
      <c r="F627" s="1"/>
      <c r="G627" s="1"/>
      <c r="H627" s="1"/>
      <c r="I627" s="1"/>
      <c r="J627" s="1"/>
      <c r="K627" s="1"/>
      <c r="L627" s="1"/>
      <c r="M627" s="1"/>
      <c r="N627" s="1"/>
      <c r="O627" s="1"/>
      <c r="P627" s="1"/>
      <c r="Q627" s="1"/>
      <c r="R627" s="1"/>
      <c r="S627" s="1"/>
      <c r="T627" s="1"/>
      <c r="U627" s="2"/>
      <c r="V627" s="1"/>
      <c r="W627" s="1"/>
      <c r="X627" s="1"/>
      <c r="Y627" s="1"/>
      <c r="Z627" s="1"/>
    </row>
    <row r="628" spans="1:26" ht="24.75" customHeight="1">
      <c r="A628" s="1"/>
      <c r="B628" s="1"/>
      <c r="C628" s="1"/>
      <c r="D628" s="1"/>
      <c r="E628" s="1"/>
      <c r="F628" s="1"/>
      <c r="G628" s="1"/>
      <c r="H628" s="1"/>
      <c r="I628" s="1"/>
      <c r="J628" s="1"/>
      <c r="K628" s="1"/>
      <c r="L628" s="1"/>
      <c r="M628" s="1"/>
      <c r="N628" s="1"/>
      <c r="O628" s="1"/>
      <c r="P628" s="1"/>
      <c r="Q628" s="1"/>
      <c r="R628" s="1"/>
      <c r="S628" s="1"/>
      <c r="T628" s="1"/>
      <c r="U628" s="2"/>
      <c r="V628" s="1"/>
      <c r="W628" s="1"/>
      <c r="X628" s="1"/>
      <c r="Y628" s="1"/>
      <c r="Z628" s="1"/>
    </row>
    <row r="629" spans="1:26" ht="24.75" customHeight="1">
      <c r="A629" s="1"/>
      <c r="B629" s="1"/>
      <c r="C629" s="1"/>
      <c r="D629" s="1"/>
      <c r="E629" s="1"/>
      <c r="F629" s="1"/>
      <c r="G629" s="1"/>
      <c r="H629" s="1"/>
      <c r="I629" s="1"/>
      <c r="J629" s="1"/>
      <c r="K629" s="1"/>
      <c r="L629" s="1"/>
      <c r="M629" s="1"/>
      <c r="N629" s="1"/>
      <c r="O629" s="1"/>
      <c r="P629" s="1"/>
      <c r="Q629" s="1"/>
      <c r="R629" s="1"/>
      <c r="S629" s="1"/>
      <c r="T629" s="1"/>
      <c r="U629" s="2"/>
      <c r="V629" s="1"/>
      <c r="W629" s="1"/>
      <c r="X629" s="1"/>
      <c r="Y629" s="1"/>
      <c r="Z629" s="1"/>
    </row>
    <row r="630" spans="1:26" ht="24.75" customHeight="1">
      <c r="A630" s="1"/>
      <c r="B630" s="1"/>
      <c r="C630" s="1"/>
      <c r="D630" s="1"/>
      <c r="E630" s="1"/>
      <c r="F630" s="1"/>
      <c r="G630" s="1"/>
      <c r="H630" s="1"/>
      <c r="I630" s="1"/>
      <c r="J630" s="1"/>
      <c r="K630" s="1"/>
      <c r="L630" s="1"/>
      <c r="M630" s="1"/>
      <c r="N630" s="1"/>
      <c r="O630" s="1"/>
      <c r="P630" s="1"/>
      <c r="Q630" s="1"/>
      <c r="R630" s="1"/>
      <c r="S630" s="1"/>
      <c r="T630" s="1"/>
      <c r="U630" s="2"/>
      <c r="V630" s="1"/>
      <c r="W630" s="1"/>
      <c r="X630" s="1"/>
      <c r="Y630" s="1"/>
      <c r="Z630" s="1"/>
    </row>
    <row r="631" spans="1:26" ht="24.75" customHeight="1">
      <c r="A631" s="1"/>
      <c r="B631" s="1"/>
      <c r="C631" s="1"/>
      <c r="D631" s="1"/>
      <c r="E631" s="1"/>
      <c r="F631" s="1"/>
      <c r="G631" s="1"/>
      <c r="H631" s="1"/>
      <c r="I631" s="1"/>
      <c r="J631" s="1"/>
      <c r="K631" s="1"/>
      <c r="L631" s="1"/>
      <c r="M631" s="1"/>
      <c r="N631" s="1"/>
      <c r="O631" s="1"/>
      <c r="P631" s="1"/>
      <c r="Q631" s="1"/>
      <c r="R631" s="1"/>
      <c r="S631" s="1"/>
      <c r="T631" s="1"/>
      <c r="U631" s="2"/>
      <c r="V631" s="1"/>
      <c r="W631" s="1"/>
      <c r="X631" s="1"/>
      <c r="Y631" s="1"/>
      <c r="Z631" s="1"/>
    </row>
    <row r="632" spans="1:26" ht="24.75" customHeight="1">
      <c r="A632" s="1"/>
      <c r="B632" s="1"/>
      <c r="C632" s="1"/>
      <c r="D632" s="1"/>
      <c r="E632" s="1"/>
      <c r="F632" s="1"/>
      <c r="G632" s="1"/>
      <c r="H632" s="1"/>
      <c r="I632" s="1"/>
      <c r="J632" s="1"/>
      <c r="K632" s="1"/>
      <c r="L632" s="1"/>
      <c r="M632" s="1"/>
      <c r="N632" s="1"/>
      <c r="O632" s="1"/>
      <c r="P632" s="1"/>
      <c r="Q632" s="1"/>
      <c r="R632" s="1"/>
      <c r="S632" s="1"/>
      <c r="T632" s="1"/>
      <c r="U632" s="2"/>
      <c r="V632" s="1"/>
      <c r="W632" s="1"/>
      <c r="X632" s="1"/>
      <c r="Y632" s="1"/>
      <c r="Z632" s="1"/>
    </row>
    <row r="633" spans="1:26" ht="24.75" customHeight="1">
      <c r="A633" s="1"/>
      <c r="B633" s="1"/>
      <c r="C633" s="1"/>
      <c r="D633" s="1"/>
      <c r="E633" s="1"/>
      <c r="F633" s="1"/>
      <c r="G633" s="1"/>
      <c r="H633" s="1"/>
      <c r="I633" s="1"/>
      <c r="J633" s="1"/>
      <c r="K633" s="1"/>
      <c r="L633" s="1"/>
      <c r="M633" s="1"/>
      <c r="N633" s="1"/>
      <c r="O633" s="1"/>
      <c r="P633" s="1"/>
      <c r="Q633" s="1"/>
      <c r="R633" s="1"/>
      <c r="S633" s="1"/>
      <c r="T633" s="1"/>
      <c r="U633" s="2"/>
      <c r="V633" s="1"/>
      <c r="W633" s="1"/>
      <c r="X633" s="1"/>
      <c r="Y633" s="1"/>
      <c r="Z633" s="1"/>
    </row>
    <row r="634" spans="1:26" ht="24.75" customHeight="1">
      <c r="A634" s="1"/>
      <c r="B634" s="1"/>
      <c r="C634" s="1"/>
      <c r="D634" s="1"/>
      <c r="E634" s="1"/>
      <c r="F634" s="1"/>
      <c r="G634" s="1"/>
      <c r="H634" s="1"/>
      <c r="I634" s="1"/>
      <c r="J634" s="1"/>
      <c r="K634" s="1"/>
      <c r="L634" s="1"/>
      <c r="M634" s="1"/>
      <c r="N634" s="1"/>
      <c r="O634" s="1"/>
      <c r="P634" s="1"/>
      <c r="Q634" s="1"/>
      <c r="R634" s="1"/>
      <c r="S634" s="1"/>
      <c r="T634" s="1"/>
      <c r="U634" s="2"/>
      <c r="V634" s="1"/>
      <c r="W634" s="1"/>
      <c r="X634" s="1"/>
      <c r="Y634" s="1"/>
      <c r="Z634" s="1"/>
    </row>
    <row r="635" spans="1:26" ht="24.75" customHeight="1">
      <c r="A635" s="1"/>
      <c r="B635" s="1"/>
      <c r="C635" s="1"/>
      <c r="D635" s="1"/>
      <c r="E635" s="1"/>
      <c r="F635" s="1"/>
      <c r="G635" s="1"/>
      <c r="H635" s="1"/>
      <c r="I635" s="1"/>
      <c r="J635" s="1"/>
      <c r="K635" s="1"/>
      <c r="L635" s="1"/>
      <c r="M635" s="1"/>
      <c r="N635" s="1"/>
      <c r="O635" s="1"/>
      <c r="P635" s="1"/>
      <c r="Q635" s="1"/>
      <c r="R635" s="1"/>
      <c r="S635" s="1"/>
      <c r="T635" s="1"/>
      <c r="U635" s="2"/>
      <c r="V635" s="1"/>
      <c r="W635" s="1"/>
      <c r="X635" s="1"/>
      <c r="Y635" s="1"/>
      <c r="Z635" s="1"/>
    </row>
    <row r="636" spans="1:26" ht="24.75" customHeight="1">
      <c r="A636" s="1"/>
      <c r="B636" s="1"/>
      <c r="C636" s="1"/>
      <c r="D636" s="1"/>
      <c r="E636" s="1"/>
      <c r="F636" s="1"/>
      <c r="G636" s="1"/>
      <c r="H636" s="1"/>
      <c r="I636" s="1"/>
      <c r="J636" s="1"/>
      <c r="K636" s="1"/>
      <c r="L636" s="1"/>
      <c r="M636" s="1"/>
      <c r="N636" s="1"/>
      <c r="O636" s="1"/>
      <c r="P636" s="1"/>
      <c r="Q636" s="1"/>
      <c r="R636" s="1"/>
      <c r="S636" s="1"/>
      <c r="T636" s="1"/>
      <c r="U636" s="2"/>
      <c r="V636" s="1"/>
      <c r="W636" s="1"/>
      <c r="X636" s="1"/>
      <c r="Y636" s="1"/>
      <c r="Z636" s="1"/>
    </row>
    <row r="637" spans="1:26" ht="24.75" customHeight="1">
      <c r="A637" s="1"/>
      <c r="B637" s="1"/>
      <c r="C637" s="1"/>
      <c r="D637" s="1"/>
      <c r="E637" s="1"/>
      <c r="F637" s="1"/>
      <c r="G637" s="1"/>
      <c r="H637" s="1"/>
      <c r="I637" s="1"/>
      <c r="J637" s="1"/>
      <c r="K637" s="1"/>
      <c r="L637" s="1"/>
      <c r="M637" s="1"/>
      <c r="N637" s="1"/>
      <c r="O637" s="1"/>
      <c r="P637" s="1"/>
      <c r="Q637" s="1"/>
      <c r="R637" s="1"/>
      <c r="S637" s="1"/>
      <c r="T637" s="1"/>
      <c r="U637" s="2"/>
      <c r="V637" s="1"/>
      <c r="W637" s="1"/>
      <c r="X637" s="1"/>
      <c r="Y637" s="1"/>
      <c r="Z637" s="1"/>
    </row>
    <row r="638" spans="1:26" ht="24.75" customHeight="1">
      <c r="A638" s="1"/>
      <c r="B638" s="1"/>
      <c r="C638" s="1"/>
      <c r="D638" s="1"/>
      <c r="E638" s="1"/>
      <c r="F638" s="1"/>
      <c r="G638" s="1"/>
      <c r="H638" s="1"/>
      <c r="I638" s="1"/>
      <c r="J638" s="1"/>
      <c r="K638" s="1"/>
      <c r="L638" s="1"/>
      <c r="M638" s="1"/>
      <c r="N638" s="1"/>
      <c r="O638" s="1"/>
      <c r="P638" s="1"/>
      <c r="Q638" s="1"/>
      <c r="R638" s="1"/>
      <c r="S638" s="1"/>
      <c r="T638" s="1"/>
      <c r="U638" s="2"/>
      <c r="V638" s="1"/>
      <c r="W638" s="1"/>
      <c r="X638" s="1"/>
      <c r="Y638" s="1"/>
      <c r="Z638" s="1"/>
    </row>
    <row r="639" spans="1:26" ht="24.75" customHeight="1">
      <c r="A639" s="1"/>
      <c r="B639" s="1"/>
      <c r="C639" s="1"/>
      <c r="D639" s="1"/>
      <c r="E639" s="1"/>
      <c r="F639" s="1"/>
      <c r="G639" s="1"/>
      <c r="H639" s="1"/>
      <c r="I639" s="1"/>
      <c r="J639" s="1"/>
      <c r="K639" s="1"/>
      <c r="L639" s="1"/>
      <c r="M639" s="1"/>
      <c r="N639" s="1"/>
      <c r="O639" s="1"/>
      <c r="P639" s="1"/>
      <c r="Q639" s="1"/>
      <c r="R639" s="1"/>
      <c r="S639" s="1"/>
      <c r="T639" s="1"/>
      <c r="U639" s="2"/>
      <c r="V639" s="1"/>
      <c r="W639" s="1"/>
      <c r="X639" s="1"/>
      <c r="Y639" s="1"/>
      <c r="Z639" s="1"/>
    </row>
    <row r="640" spans="1:26" ht="24.75" customHeight="1">
      <c r="A640" s="1"/>
      <c r="B640" s="1"/>
      <c r="C640" s="1"/>
      <c r="D640" s="1"/>
      <c r="E640" s="1"/>
      <c r="F640" s="1"/>
      <c r="G640" s="1"/>
      <c r="H640" s="1"/>
      <c r="I640" s="1"/>
      <c r="J640" s="1"/>
      <c r="K640" s="1"/>
      <c r="L640" s="1"/>
      <c r="M640" s="1"/>
      <c r="N640" s="1"/>
      <c r="O640" s="1"/>
      <c r="P640" s="1"/>
      <c r="Q640" s="1"/>
      <c r="R640" s="1"/>
      <c r="S640" s="1"/>
      <c r="T640" s="1"/>
      <c r="U640" s="2"/>
      <c r="V640" s="1"/>
      <c r="W640" s="1"/>
      <c r="X640" s="1"/>
      <c r="Y640" s="1"/>
      <c r="Z640" s="1"/>
    </row>
    <row r="641" spans="1:26" ht="24.75" customHeight="1">
      <c r="A641" s="1"/>
      <c r="B641" s="1"/>
      <c r="C641" s="1"/>
      <c r="D641" s="1"/>
      <c r="E641" s="1"/>
      <c r="F641" s="1"/>
      <c r="G641" s="1"/>
      <c r="H641" s="1"/>
      <c r="I641" s="1"/>
      <c r="J641" s="1"/>
      <c r="K641" s="1"/>
      <c r="L641" s="1"/>
      <c r="M641" s="1"/>
      <c r="N641" s="1"/>
      <c r="O641" s="1"/>
      <c r="P641" s="1"/>
      <c r="Q641" s="1"/>
      <c r="R641" s="1"/>
      <c r="S641" s="1"/>
      <c r="T641" s="1"/>
      <c r="U641" s="2"/>
      <c r="V641" s="1"/>
      <c r="W641" s="1"/>
      <c r="X641" s="1"/>
      <c r="Y641" s="1"/>
      <c r="Z641" s="1"/>
    </row>
    <row r="642" spans="1:26" ht="24.75" customHeight="1">
      <c r="A642" s="1"/>
      <c r="B642" s="1"/>
      <c r="C642" s="1"/>
      <c r="D642" s="1"/>
      <c r="E642" s="1"/>
      <c r="F642" s="1"/>
      <c r="G642" s="1"/>
      <c r="H642" s="1"/>
      <c r="I642" s="1"/>
      <c r="J642" s="1"/>
      <c r="K642" s="1"/>
      <c r="L642" s="1"/>
      <c r="M642" s="1"/>
      <c r="N642" s="1"/>
      <c r="O642" s="1"/>
      <c r="P642" s="1"/>
      <c r="Q642" s="1"/>
      <c r="R642" s="1"/>
      <c r="S642" s="1"/>
      <c r="T642" s="1"/>
      <c r="U642" s="2"/>
      <c r="V642" s="1"/>
      <c r="W642" s="1"/>
      <c r="X642" s="1"/>
      <c r="Y642" s="1"/>
      <c r="Z642" s="1"/>
    </row>
    <row r="643" spans="1:26" ht="24.75" customHeight="1">
      <c r="A643" s="1"/>
      <c r="B643" s="1"/>
      <c r="C643" s="1"/>
      <c r="D643" s="1"/>
      <c r="E643" s="1"/>
      <c r="F643" s="1"/>
      <c r="G643" s="1"/>
      <c r="H643" s="1"/>
      <c r="I643" s="1"/>
      <c r="J643" s="1"/>
      <c r="K643" s="1"/>
      <c r="L643" s="1"/>
      <c r="M643" s="1"/>
      <c r="N643" s="1"/>
      <c r="O643" s="1"/>
      <c r="P643" s="1"/>
      <c r="Q643" s="1"/>
      <c r="R643" s="1"/>
      <c r="S643" s="1"/>
      <c r="T643" s="1"/>
      <c r="U643" s="2"/>
      <c r="V643" s="1"/>
      <c r="W643" s="1"/>
      <c r="X643" s="1"/>
      <c r="Y643" s="1"/>
      <c r="Z643" s="1"/>
    </row>
    <row r="644" spans="1:26" ht="24.75" customHeight="1">
      <c r="A644" s="1"/>
      <c r="B644" s="1"/>
      <c r="C644" s="1"/>
      <c r="D644" s="1"/>
      <c r="E644" s="1"/>
      <c r="F644" s="1"/>
      <c r="G644" s="1"/>
      <c r="H644" s="1"/>
      <c r="I644" s="1"/>
      <c r="J644" s="1"/>
      <c r="K644" s="1"/>
      <c r="L644" s="1"/>
      <c r="M644" s="1"/>
      <c r="N644" s="1"/>
      <c r="O644" s="1"/>
      <c r="P644" s="1"/>
      <c r="Q644" s="1"/>
      <c r="R644" s="1"/>
      <c r="S644" s="1"/>
      <c r="T644" s="1"/>
      <c r="U644" s="2"/>
      <c r="V644" s="1"/>
      <c r="W644" s="1"/>
      <c r="X644" s="1"/>
      <c r="Y644" s="1"/>
      <c r="Z644" s="1"/>
    </row>
    <row r="645" spans="1:26" ht="24.75" customHeight="1">
      <c r="A645" s="1"/>
      <c r="B645" s="1"/>
      <c r="C645" s="1"/>
      <c r="D645" s="1"/>
      <c r="E645" s="1"/>
      <c r="F645" s="1"/>
      <c r="G645" s="1"/>
      <c r="H645" s="1"/>
      <c r="I645" s="1"/>
      <c r="J645" s="1"/>
      <c r="K645" s="1"/>
      <c r="L645" s="1"/>
      <c r="M645" s="1"/>
      <c r="N645" s="1"/>
      <c r="O645" s="1"/>
      <c r="P645" s="1"/>
      <c r="Q645" s="1"/>
      <c r="R645" s="1"/>
      <c r="S645" s="1"/>
      <c r="T645" s="1"/>
      <c r="U645" s="2"/>
      <c r="V645" s="1"/>
      <c r="W645" s="1"/>
      <c r="X645" s="1"/>
      <c r="Y645" s="1"/>
      <c r="Z645" s="1"/>
    </row>
    <row r="646" spans="1:26" ht="24.75" customHeight="1">
      <c r="A646" s="1"/>
      <c r="B646" s="1"/>
      <c r="C646" s="1"/>
      <c r="D646" s="1"/>
      <c r="E646" s="1"/>
      <c r="F646" s="1"/>
      <c r="G646" s="1"/>
      <c r="H646" s="1"/>
      <c r="I646" s="1"/>
      <c r="J646" s="1"/>
      <c r="K646" s="1"/>
      <c r="L646" s="1"/>
      <c r="M646" s="1"/>
      <c r="N646" s="1"/>
      <c r="O646" s="1"/>
      <c r="P646" s="1"/>
      <c r="Q646" s="1"/>
      <c r="R646" s="1"/>
      <c r="S646" s="1"/>
      <c r="T646" s="1"/>
      <c r="U646" s="2"/>
      <c r="V646" s="1"/>
      <c r="W646" s="1"/>
      <c r="X646" s="1"/>
      <c r="Y646" s="1"/>
      <c r="Z646" s="1"/>
    </row>
    <row r="647" spans="1:26" ht="24.75" customHeight="1">
      <c r="A647" s="1"/>
      <c r="B647" s="1"/>
      <c r="C647" s="1"/>
      <c r="D647" s="1"/>
      <c r="E647" s="1"/>
      <c r="F647" s="1"/>
      <c r="G647" s="1"/>
      <c r="H647" s="1"/>
      <c r="I647" s="1"/>
      <c r="J647" s="1"/>
      <c r="K647" s="1"/>
      <c r="L647" s="1"/>
      <c r="M647" s="1"/>
      <c r="N647" s="1"/>
      <c r="O647" s="1"/>
      <c r="P647" s="1"/>
      <c r="Q647" s="1"/>
      <c r="R647" s="1"/>
      <c r="S647" s="1"/>
      <c r="T647" s="1"/>
      <c r="U647" s="2"/>
      <c r="V647" s="1"/>
      <c r="W647" s="1"/>
      <c r="X647" s="1"/>
      <c r="Y647" s="1"/>
      <c r="Z647" s="1"/>
    </row>
    <row r="648" spans="1:26" ht="24.75" customHeight="1">
      <c r="A648" s="1"/>
      <c r="B648" s="1"/>
      <c r="C648" s="1"/>
      <c r="D648" s="1"/>
      <c r="E648" s="1"/>
      <c r="F648" s="1"/>
      <c r="G648" s="1"/>
      <c r="H648" s="1"/>
      <c r="I648" s="1"/>
      <c r="J648" s="1"/>
      <c r="K648" s="1"/>
      <c r="L648" s="1"/>
      <c r="M648" s="1"/>
      <c r="N648" s="1"/>
      <c r="O648" s="1"/>
      <c r="P648" s="1"/>
      <c r="Q648" s="1"/>
      <c r="R648" s="1"/>
      <c r="S648" s="1"/>
      <c r="T648" s="1"/>
      <c r="U648" s="2"/>
      <c r="V648" s="1"/>
      <c r="W648" s="1"/>
      <c r="X648" s="1"/>
      <c r="Y648" s="1"/>
      <c r="Z648" s="1"/>
    </row>
    <row r="649" spans="1:26" ht="24.75" customHeight="1">
      <c r="A649" s="1"/>
      <c r="B649" s="1"/>
      <c r="C649" s="1"/>
      <c r="D649" s="1"/>
      <c r="E649" s="1"/>
      <c r="F649" s="1"/>
      <c r="G649" s="1"/>
      <c r="H649" s="1"/>
      <c r="I649" s="1"/>
      <c r="J649" s="1"/>
      <c r="K649" s="1"/>
      <c r="L649" s="1"/>
      <c r="M649" s="1"/>
      <c r="N649" s="1"/>
      <c r="O649" s="1"/>
      <c r="P649" s="1"/>
      <c r="Q649" s="1"/>
      <c r="R649" s="1"/>
      <c r="S649" s="1"/>
      <c r="T649" s="1"/>
      <c r="U649" s="2"/>
      <c r="V649" s="1"/>
      <c r="W649" s="1"/>
      <c r="X649" s="1"/>
      <c r="Y649" s="1"/>
      <c r="Z649" s="1"/>
    </row>
    <row r="650" spans="1:26" ht="24.75" customHeight="1">
      <c r="A650" s="1"/>
      <c r="B650" s="1"/>
      <c r="C650" s="1"/>
      <c r="D650" s="1"/>
      <c r="E650" s="1"/>
      <c r="F650" s="1"/>
      <c r="G650" s="1"/>
      <c r="H650" s="1"/>
      <c r="I650" s="1"/>
      <c r="J650" s="1"/>
      <c r="K650" s="1"/>
      <c r="L650" s="1"/>
      <c r="M650" s="1"/>
      <c r="N650" s="1"/>
      <c r="O650" s="1"/>
      <c r="P650" s="1"/>
      <c r="Q650" s="1"/>
      <c r="R650" s="1"/>
      <c r="S650" s="1"/>
      <c r="T650" s="1"/>
      <c r="U650" s="2"/>
      <c r="V650" s="1"/>
      <c r="W650" s="1"/>
      <c r="X650" s="1"/>
      <c r="Y650" s="1"/>
      <c r="Z650" s="1"/>
    </row>
    <row r="651" spans="1:26" ht="24.75" customHeight="1">
      <c r="A651" s="1"/>
      <c r="B651" s="1"/>
      <c r="C651" s="1"/>
      <c r="D651" s="1"/>
      <c r="E651" s="1"/>
      <c r="F651" s="1"/>
      <c r="G651" s="1"/>
      <c r="H651" s="1"/>
      <c r="I651" s="1"/>
      <c r="J651" s="1"/>
      <c r="K651" s="1"/>
      <c r="L651" s="1"/>
      <c r="M651" s="1"/>
      <c r="N651" s="1"/>
      <c r="O651" s="1"/>
      <c r="P651" s="1"/>
      <c r="Q651" s="1"/>
      <c r="R651" s="1"/>
      <c r="S651" s="1"/>
      <c r="T651" s="1"/>
      <c r="U651" s="2"/>
      <c r="V651" s="1"/>
      <c r="W651" s="1"/>
      <c r="X651" s="1"/>
      <c r="Y651" s="1"/>
      <c r="Z651" s="1"/>
    </row>
    <row r="652" spans="1:26" ht="24.75" customHeight="1">
      <c r="A652" s="1"/>
      <c r="B652" s="1"/>
      <c r="C652" s="1"/>
      <c r="D652" s="1"/>
      <c r="E652" s="1"/>
      <c r="F652" s="1"/>
      <c r="G652" s="1"/>
      <c r="H652" s="1"/>
      <c r="I652" s="1"/>
      <c r="J652" s="1"/>
      <c r="K652" s="1"/>
      <c r="L652" s="1"/>
      <c r="M652" s="1"/>
      <c r="N652" s="1"/>
      <c r="O652" s="1"/>
      <c r="P652" s="1"/>
      <c r="Q652" s="1"/>
      <c r="R652" s="1"/>
      <c r="S652" s="1"/>
      <c r="T652" s="1"/>
      <c r="U652" s="2"/>
      <c r="V652" s="1"/>
      <c r="W652" s="1"/>
      <c r="X652" s="1"/>
      <c r="Y652" s="1"/>
      <c r="Z652" s="1"/>
    </row>
    <row r="653" spans="1:26" ht="24.75" customHeight="1">
      <c r="A653" s="1"/>
      <c r="B653" s="1"/>
      <c r="C653" s="1"/>
      <c r="D653" s="1"/>
      <c r="E653" s="1"/>
      <c r="F653" s="1"/>
      <c r="G653" s="1"/>
      <c r="H653" s="1"/>
      <c r="I653" s="1"/>
      <c r="J653" s="1"/>
      <c r="K653" s="1"/>
      <c r="L653" s="1"/>
      <c r="M653" s="1"/>
      <c r="N653" s="1"/>
      <c r="O653" s="1"/>
      <c r="P653" s="1"/>
      <c r="Q653" s="1"/>
      <c r="R653" s="1"/>
      <c r="S653" s="1"/>
      <c r="T653" s="1"/>
      <c r="U653" s="2"/>
      <c r="V653" s="1"/>
      <c r="W653" s="1"/>
      <c r="X653" s="1"/>
      <c r="Y653" s="1"/>
      <c r="Z653" s="1"/>
    </row>
    <row r="654" spans="1:26" ht="24.75" customHeight="1">
      <c r="A654" s="1"/>
      <c r="B654" s="1"/>
      <c r="C654" s="1"/>
      <c r="D654" s="1"/>
      <c r="E654" s="1"/>
      <c r="F654" s="1"/>
      <c r="G654" s="1"/>
      <c r="H654" s="1"/>
      <c r="I654" s="1"/>
      <c r="J654" s="1"/>
      <c r="K654" s="1"/>
      <c r="L654" s="1"/>
      <c r="M654" s="1"/>
      <c r="N654" s="1"/>
      <c r="O654" s="1"/>
      <c r="P654" s="1"/>
      <c r="Q654" s="1"/>
      <c r="R654" s="1"/>
      <c r="S654" s="1"/>
      <c r="T654" s="1"/>
      <c r="U654" s="2"/>
      <c r="V654" s="1"/>
      <c r="W654" s="1"/>
      <c r="X654" s="1"/>
      <c r="Y654" s="1"/>
      <c r="Z654" s="1"/>
    </row>
    <row r="655" spans="1:26" ht="24.75" customHeight="1">
      <c r="A655" s="1"/>
      <c r="B655" s="1"/>
      <c r="C655" s="1"/>
      <c r="D655" s="1"/>
      <c r="E655" s="1"/>
      <c r="F655" s="1"/>
      <c r="G655" s="1"/>
      <c r="H655" s="1"/>
      <c r="I655" s="1"/>
      <c r="J655" s="1"/>
      <c r="K655" s="1"/>
      <c r="L655" s="1"/>
      <c r="M655" s="1"/>
      <c r="N655" s="1"/>
      <c r="O655" s="1"/>
      <c r="P655" s="1"/>
      <c r="Q655" s="1"/>
      <c r="R655" s="1"/>
      <c r="S655" s="1"/>
      <c r="T655" s="1"/>
      <c r="U655" s="2"/>
      <c r="V655" s="1"/>
      <c r="W655" s="1"/>
      <c r="X655" s="1"/>
      <c r="Y655" s="1"/>
      <c r="Z655" s="1"/>
    </row>
    <row r="656" spans="1:26" ht="24.75" customHeight="1">
      <c r="A656" s="1"/>
      <c r="B656" s="1"/>
      <c r="C656" s="1"/>
      <c r="D656" s="1"/>
      <c r="E656" s="1"/>
      <c r="F656" s="1"/>
      <c r="G656" s="1"/>
      <c r="H656" s="1"/>
      <c r="I656" s="1"/>
      <c r="J656" s="1"/>
      <c r="K656" s="1"/>
      <c r="L656" s="1"/>
      <c r="M656" s="1"/>
      <c r="N656" s="1"/>
      <c r="O656" s="1"/>
      <c r="P656" s="1"/>
      <c r="Q656" s="1"/>
      <c r="R656" s="1"/>
      <c r="S656" s="1"/>
      <c r="T656" s="1"/>
      <c r="U656" s="2"/>
      <c r="V656" s="1"/>
      <c r="W656" s="1"/>
      <c r="X656" s="1"/>
      <c r="Y656" s="1"/>
      <c r="Z656" s="1"/>
    </row>
    <row r="657" spans="1:26" ht="24.75" customHeight="1">
      <c r="A657" s="1"/>
      <c r="B657" s="1"/>
      <c r="C657" s="1"/>
      <c r="D657" s="1"/>
      <c r="E657" s="1"/>
      <c r="F657" s="1"/>
      <c r="G657" s="1"/>
      <c r="H657" s="1"/>
      <c r="I657" s="1"/>
      <c r="J657" s="1"/>
      <c r="K657" s="1"/>
      <c r="L657" s="1"/>
      <c r="M657" s="1"/>
      <c r="N657" s="1"/>
      <c r="O657" s="1"/>
      <c r="P657" s="1"/>
      <c r="Q657" s="1"/>
      <c r="R657" s="1"/>
      <c r="S657" s="1"/>
      <c r="T657" s="1"/>
      <c r="U657" s="2"/>
      <c r="V657" s="1"/>
      <c r="W657" s="1"/>
      <c r="X657" s="1"/>
      <c r="Y657" s="1"/>
      <c r="Z657" s="1"/>
    </row>
    <row r="658" spans="1:26" ht="24.75" customHeight="1">
      <c r="A658" s="1"/>
      <c r="B658" s="1"/>
      <c r="C658" s="1"/>
      <c r="D658" s="1"/>
      <c r="E658" s="1"/>
      <c r="F658" s="1"/>
      <c r="G658" s="1"/>
      <c r="H658" s="1"/>
      <c r="I658" s="1"/>
      <c r="J658" s="1"/>
      <c r="K658" s="1"/>
      <c r="L658" s="1"/>
      <c r="M658" s="1"/>
      <c r="N658" s="1"/>
      <c r="O658" s="1"/>
      <c r="P658" s="1"/>
      <c r="Q658" s="1"/>
      <c r="R658" s="1"/>
      <c r="S658" s="1"/>
      <c r="T658" s="1"/>
      <c r="U658" s="2"/>
      <c r="V658" s="1"/>
      <c r="W658" s="1"/>
      <c r="X658" s="1"/>
      <c r="Y658" s="1"/>
      <c r="Z658" s="1"/>
    </row>
    <row r="659" spans="1:26" ht="24.75" customHeight="1">
      <c r="A659" s="1"/>
      <c r="B659" s="1"/>
      <c r="C659" s="1"/>
      <c r="D659" s="1"/>
      <c r="E659" s="1"/>
      <c r="F659" s="1"/>
      <c r="G659" s="1"/>
      <c r="H659" s="1"/>
      <c r="I659" s="1"/>
      <c r="J659" s="1"/>
      <c r="K659" s="1"/>
      <c r="L659" s="1"/>
      <c r="M659" s="1"/>
      <c r="N659" s="1"/>
      <c r="O659" s="1"/>
      <c r="P659" s="1"/>
      <c r="Q659" s="1"/>
      <c r="R659" s="1"/>
      <c r="S659" s="1"/>
      <c r="T659" s="1"/>
      <c r="U659" s="2"/>
      <c r="V659" s="1"/>
      <c r="W659" s="1"/>
      <c r="X659" s="1"/>
      <c r="Y659" s="1"/>
      <c r="Z659" s="1"/>
    </row>
    <row r="660" spans="1:26" ht="24.75" customHeight="1">
      <c r="A660" s="1"/>
      <c r="B660" s="1"/>
      <c r="C660" s="1"/>
      <c r="D660" s="1"/>
      <c r="E660" s="1"/>
      <c r="F660" s="1"/>
      <c r="G660" s="1"/>
      <c r="H660" s="1"/>
      <c r="I660" s="1"/>
      <c r="J660" s="1"/>
      <c r="K660" s="1"/>
      <c r="L660" s="1"/>
      <c r="M660" s="1"/>
      <c r="N660" s="1"/>
      <c r="O660" s="1"/>
      <c r="P660" s="1"/>
      <c r="Q660" s="1"/>
      <c r="R660" s="1"/>
      <c r="S660" s="1"/>
      <c r="T660" s="1"/>
      <c r="U660" s="2"/>
      <c r="V660" s="1"/>
      <c r="W660" s="1"/>
      <c r="X660" s="1"/>
      <c r="Y660" s="1"/>
      <c r="Z660" s="1"/>
    </row>
    <row r="661" spans="1:26" ht="24.75" customHeight="1">
      <c r="A661" s="1"/>
      <c r="B661" s="1"/>
      <c r="C661" s="1"/>
      <c r="D661" s="1"/>
      <c r="E661" s="1"/>
      <c r="F661" s="1"/>
      <c r="G661" s="1"/>
      <c r="H661" s="1"/>
      <c r="I661" s="1"/>
      <c r="J661" s="1"/>
      <c r="K661" s="1"/>
      <c r="L661" s="1"/>
      <c r="M661" s="1"/>
      <c r="N661" s="1"/>
      <c r="O661" s="1"/>
      <c r="P661" s="1"/>
      <c r="Q661" s="1"/>
      <c r="R661" s="1"/>
      <c r="S661" s="1"/>
      <c r="T661" s="1"/>
      <c r="U661" s="2"/>
      <c r="V661" s="1"/>
      <c r="W661" s="1"/>
      <c r="X661" s="1"/>
      <c r="Y661" s="1"/>
      <c r="Z661" s="1"/>
    </row>
    <row r="662" spans="1:26" ht="24.75" customHeight="1">
      <c r="A662" s="1"/>
      <c r="B662" s="1"/>
      <c r="C662" s="1"/>
      <c r="D662" s="1"/>
      <c r="E662" s="1"/>
      <c r="F662" s="1"/>
      <c r="G662" s="1"/>
      <c r="H662" s="1"/>
      <c r="I662" s="1"/>
      <c r="J662" s="1"/>
      <c r="K662" s="1"/>
      <c r="L662" s="1"/>
      <c r="M662" s="1"/>
      <c r="N662" s="1"/>
      <c r="O662" s="1"/>
      <c r="P662" s="1"/>
      <c r="Q662" s="1"/>
      <c r="R662" s="1"/>
      <c r="S662" s="1"/>
      <c r="T662" s="1"/>
      <c r="U662" s="2"/>
      <c r="V662" s="1"/>
      <c r="W662" s="1"/>
      <c r="X662" s="1"/>
      <c r="Y662" s="1"/>
      <c r="Z662" s="1"/>
    </row>
    <row r="663" spans="1:26" ht="24.75" customHeight="1">
      <c r="A663" s="1"/>
      <c r="B663" s="1"/>
      <c r="C663" s="1"/>
      <c r="D663" s="1"/>
      <c r="E663" s="1"/>
      <c r="F663" s="1"/>
      <c r="G663" s="1"/>
      <c r="H663" s="1"/>
      <c r="I663" s="1"/>
      <c r="J663" s="1"/>
      <c r="K663" s="1"/>
      <c r="L663" s="1"/>
      <c r="M663" s="1"/>
      <c r="N663" s="1"/>
      <c r="O663" s="1"/>
      <c r="P663" s="1"/>
      <c r="Q663" s="1"/>
      <c r="R663" s="1"/>
      <c r="S663" s="1"/>
      <c r="T663" s="1"/>
      <c r="U663" s="2"/>
      <c r="V663" s="1"/>
      <c r="W663" s="1"/>
      <c r="X663" s="1"/>
      <c r="Y663" s="1"/>
      <c r="Z663" s="1"/>
    </row>
    <row r="664" spans="1:26" ht="24.75" customHeight="1">
      <c r="A664" s="1"/>
      <c r="B664" s="1"/>
      <c r="C664" s="1"/>
      <c r="D664" s="1"/>
      <c r="E664" s="1"/>
      <c r="F664" s="1"/>
      <c r="G664" s="1"/>
      <c r="H664" s="1"/>
      <c r="I664" s="1"/>
      <c r="J664" s="1"/>
      <c r="K664" s="1"/>
      <c r="L664" s="1"/>
      <c r="M664" s="1"/>
      <c r="N664" s="1"/>
      <c r="O664" s="1"/>
      <c r="P664" s="1"/>
      <c r="Q664" s="1"/>
      <c r="R664" s="1"/>
      <c r="S664" s="1"/>
      <c r="T664" s="1"/>
      <c r="U664" s="2"/>
      <c r="V664" s="1"/>
      <c r="W664" s="1"/>
      <c r="X664" s="1"/>
      <c r="Y664" s="1"/>
      <c r="Z664" s="1"/>
    </row>
    <row r="665" spans="1:26" ht="24.75" customHeight="1">
      <c r="A665" s="1"/>
      <c r="B665" s="1"/>
      <c r="C665" s="1"/>
      <c r="D665" s="1"/>
      <c r="E665" s="1"/>
      <c r="F665" s="1"/>
      <c r="G665" s="1"/>
      <c r="H665" s="1"/>
      <c r="I665" s="1"/>
      <c r="J665" s="1"/>
      <c r="K665" s="1"/>
      <c r="L665" s="1"/>
      <c r="M665" s="1"/>
      <c r="N665" s="1"/>
      <c r="O665" s="1"/>
      <c r="P665" s="1"/>
      <c r="Q665" s="1"/>
      <c r="R665" s="1"/>
      <c r="S665" s="1"/>
      <c r="T665" s="1"/>
      <c r="U665" s="2"/>
      <c r="V665" s="1"/>
      <c r="W665" s="1"/>
      <c r="X665" s="1"/>
      <c r="Y665" s="1"/>
      <c r="Z665" s="1"/>
    </row>
    <row r="666" spans="1:26" ht="24.75" customHeight="1">
      <c r="A666" s="1"/>
      <c r="B666" s="1"/>
      <c r="C666" s="1"/>
      <c r="D666" s="1"/>
      <c r="E666" s="1"/>
      <c r="F666" s="1"/>
      <c r="G666" s="1"/>
      <c r="H666" s="1"/>
      <c r="I666" s="1"/>
      <c r="J666" s="1"/>
      <c r="K666" s="1"/>
      <c r="L666" s="1"/>
      <c r="M666" s="1"/>
      <c r="N666" s="1"/>
      <c r="O666" s="1"/>
      <c r="P666" s="1"/>
      <c r="Q666" s="1"/>
      <c r="R666" s="1"/>
      <c r="S666" s="1"/>
      <c r="T666" s="1"/>
      <c r="U666" s="2"/>
      <c r="V666" s="1"/>
      <c r="W666" s="1"/>
      <c r="X666" s="1"/>
      <c r="Y666" s="1"/>
      <c r="Z666" s="1"/>
    </row>
    <row r="667" spans="1:26" ht="24.75" customHeight="1">
      <c r="A667" s="1"/>
      <c r="B667" s="1"/>
      <c r="C667" s="1"/>
      <c r="D667" s="1"/>
      <c r="E667" s="1"/>
      <c r="F667" s="1"/>
      <c r="G667" s="1"/>
      <c r="H667" s="1"/>
      <c r="I667" s="1"/>
      <c r="J667" s="1"/>
      <c r="K667" s="1"/>
      <c r="L667" s="1"/>
      <c r="M667" s="1"/>
      <c r="N667" s="1"/>
      <c r="O667" s="1"/>
      <c r="P667" s="1"/>
      <c r="Q667" s="1"/>
      <c r="R667" s="1"/>
      <c r="S667" s="1"/>
      <c r="T667" s="1"/>
      <c r="U667" s="2"/>
      <c r="V667" s="1"/>
      <c r="W667" s="1"/>
      <c r="X667" s="1"/>
      <c r="Y667" s="1"/>
      <c r="Z667" s="1"/>
    </row>
    <row r="668" spans="1:26" ht="24.75" customHeight="1">
      <c r="A668" s="1"/>
      <c r="B668" s="1"/>
      <c r="C668" s="1"/>
      <c r="D668" s="1"/>
      <c r="E668" s="1"/>
      <c r="F668" s="1"/>
      <c r="G668" s="1"/>
      <c r="H668" s="1"/>
      <c r="I668" s="1"/>
      <c r="J668" s="1"/>
      <c r="K668" s="1"/>
      <c r="L668" s="1"/>
      <c r="M668" s="1"/>
      <c r="N668" s="1"/>
      <c r="O668" s="1"/>
      <c r="P668" s="1"/>
      <c r="Q668" s="1"/>
      <c r="R668" s="1"/>
      <c r="S668" s="1"/>
      <c r="T668" s="1"/>
      <c r="U668" s="2"/>
      <c r="V668" s="1"/>
      <c r="W668" s="1"/>
      <c r="X668" s="1"/>
      <c r="Y668" s="1"/>
      <c r="Z668" s="1"/>
    </row>
    <row r="669" spans="1:26" ht="24.75" customHeight="1">
      <c r="A669" s="1"/>
      <c r="B669" s="1"/>
      <c r="C669" s="1"/>
      <c r="D669" s="1"/>
      <c r="E669" s="1"/>
      <c r="F669" s="1"/>
      <c r="G669" s="1"/>
      <c r="H669" s="1"/>
      <c r="I669" s="1"/>
      <c r="J669" s="1"/>
      <c r="K669" s="1"/>
      <c r="L669" s="1"/>
      <c r="M669" s="1"/>
      <c r="N669" s="1"/>
      <c r="O669" s="1"/>
      <c r="P669" s="1"/>
      <c r="Q669" s="1"/>
      <c r="R669" s="1"/>
      <c r="S669" s="1"/>
      <c r="T669" s="1"/>
      <c r="U669" s="2"/>
      <c r="V669" s="1"/>
      <c r="W669" s="1"/>
      <c r="X669" s="1"/>
      <c r="Y669" s="1"/>
      <c r="Z669" s="1"/>
    </row>
    <row r="670" spans="1:26" ht="24.75" customHeight="1">
      <c r="A670" s="1"/>
      <c r="B670" s="1"/>
      <c r="C670" s="1"/>
      <c r="D670" s="1"/>
      <c r="E670" s="1"/>
      <c r="F670" s="1"/>
      <c r="G670" s="1"/>
      <c r="H670" s="1"/>
      <c r="I670" s="1"/>
      <c r="J670" s="1"/>
      <c r="K670" s="1"/>
      <c r="L670" s="1"/>
      <c r="M670" s="1"/>
      <c r="N670" s="1"/>
      <c r="O670" s="1"/>
      <c r="P670" s="1"/>
      <c r="Q670" s="1"/>
      <c r="R670" s="1"/>
      <c r="S670" s="1"/>
      <c r="T670" s="1"/>
      <c r="U670" s="2"/>
      <c r="V670" s="1"/>
      <c r="W670" s="1"/>
      <c r="X670" s="1"/>
      <c r="Y670" s="1"/>
      <c r="Z670" s="1"/>
    </row>
    <row r="671" spans="1:26" ht="24.75" customHeight="1">
      <c r="A671" s="1"/>
      <c r="B671" s="1"/>
      <c r="C671" s="1"/>
      <c r="D671" s="1"/>
      <c r="E671" s="1"/>
      <c r="F671" s="1"/>
      <c r="G671" s="1"/>
      <c r="H671" s="1"/>
      <c r="I671" s="1"/>
      <c r="J671" s="1"/>
      <c r="K671" s="1"/>
      <c r="L671" s="1"/>
      <c r="M671" s="1"/>
      <c r="N671" s="1"/>
      <c r="O671" s="1"/>
      <c r="P671" s="1"/>
      <c r="Q671" s="1"/>
      <c r="R671" s="1"/>
      <c r="S671" s="1"/>
      <c r="T671" s="1"/>
      <c r="U671" s="2"/>
      <c r="V671" s="1"/>
      <c r="W671" s="1"/>
      <c r="X671" s="1"/>
      <c r="Y671" s="1"/>
      <c r="Z671" s="1"/>
    </row>
    <row r="672" spans="1:26" ht="24.75" customHeight="1">
      <c r="A672" s="1"/>
      <c r="B672" s="1"/>
      <c r="C672" s="1"/>
      <c r="D672" s="1"/>
      <c r="E672" s="1"/>
      <c r="F672" s="1"/>
      <c r="G672" s="1"/>
      <c r="H672" s="1"/>
      <c r="I672" s="1"/>
      <c r="J672" s="1"/>
      <c r="K672" s="1"/>
      <c r="L672" s="1"/>
      <c r="M672" s="1"/>
      <c r="N672" s="1"/>
      <c r="O672" s="1"/>
      <c r="P672" s="1"/>
      <c r="Q672" s="1"/>
      <c r="R672" s="1"/>
      <c r="S672" s="1"/>
      <c r="T672" s="1"/>
      <c r="U672" s="2"/>
      <c r="V672" s="1"/>
      <c r="W672" s="1"/>
      <c r="X672" s="1"/>
      <c r="Y672" s="1"/>
      <c r="Z672" s="1"/>
    </row>
    <row r="673" spans="1:26" ht="24.75" customHeight="1">
      <c r="A673" s="1"/>
      <c r="B673" s="1"/>
      <c r="C673" s="1"/>
      <c r="D673" s="1"/>
      <c r="E673" s="1"/>
      <c r="F673" s="1"/>
      <c r="G673" s="1"/>
      <c r="H673" s="1"/>
      <c r="I673" s="1"/>
      <c r="J673" s="1"/>
      <c r="K673" s="1"/>
      <c r="L673" s="1"/>
      <c r="M673" s="1"/>
      <c r="N673" s="1"/>
      <c r="O673" s="1"/>
      <c r="P673" s="1"/>
      <c r="Q673" s="1"/>
      <c r="R673" s="1"/>
      <c r="S673" s="1"/>
      <c r="T673" s="1"/>
      <c r="U673" s="2"/>
      <c r="V673" s="1"/>
      <c r="W673" s="1"/>
      <c r="X673" s="1"/>
      <c r="Y673" s="1"/>
      <c r="Z673" s="1"/>
    </row>
    <row r="674" spans="1:26" ht="24.75" customHeight="1">
      <c r="A674" s="1"/>
      <c r="B674" s="1"/>
      <c r="C674" s="1"/>
      <c r="D674" s="1"/>
      <c r="E674" s="1"/>
      <c r="F674" s="1"/>
      <c r="G674" s="1"/>
      <c r="H674" s="1"/>
      <c r="I674" s="1"/>
      <c r="J674" s="1"/>
      <c r="K674" s="1"/>
      <c r="L674" s="1"/>
      <c r="M674" s="1"/>
      <c r="N674" s="1"/>
      <c r="O674" s="1"/>
      <c r="P674" s="1"/>
      <c r="Q674" s="1"/>
      <c r="R674" s="1"/>
      <c r="S674" s="1"/>
      <c r="T674" s="1"/>
      <c r="U674" s="2"/>
      <c r="V674" s="1"/>
      <c r="W674" s="1"/>
      <c r="X674" s="1"/>
      <c r="Y674" s="1"/>
      <c r="Z674" s="1"/>
    </row>
    <row r="675" spans="1:26" ht="24.75" customHeight="1">
      <c r="A675" s="1"/>
      <c r="B675" s="1"/>
      <c r="C675" s="1"/>
      <c r="D675" s="1"/>
      <c r="E675" s="1"/>
      <c r="F675" s="1"/>
      <c r="G675" s="1"/>
      <c r="H675" s="1"/>
      <c r="I675" s="1"/>
      <c r="J675" s="1"/>
      <c r="K675" s="1"/>
      <c r="L675" s="1"/>
      <c r="M675" s="1"/>
      <c r="N675" s="1"/>
      <c r="O675" s="1"/>
      <c r="P675" s="1"/>
      <c r="Q675" s="1"/>
      <c r="R675" s="1"/>
      <c r="S675" s="1"/>
      <c r="T675" s="1"/>
      <c r="U675" s="2"/>
      <c r="V675" s="1"/>
      <c r="W675" s="1"/>
      <c r="X675" s="1"/>
      <c r="Y675" s="1"/>
      <c r="Z675" s="1"/>
    </row>
    <row r="676" spans="1:26" ht="24.75" customHeight="1">
      <c r="A676" s="1"/>
      <c r="B676" s="1"/>
      <c r="C676" s="1"/>
      <c r="D676" s="1"/>
      <c r="E676" s="1"/>
      <c r="F676" s="1"/>
      <c r="G676" s="1"/>
      <c r="H676" s="1"/>
      <c r="I676" s="1"/>
      <c r="J676" s="1"/>
      <c r="K676" s="1"/>
      <c r="L676" s="1"/>
      <c r="M676" s="1"/>
      <c r="N676" s="1"/>
      <c r="O676" s="1"/>
      <c r="P676" s="1"/>
      <c r="Q676" s="1"/>
      <c r="R676" s="1"/>
      <c r="S676" s="1"/>
      <c r="T676" s="1"/>
      <c r="U676" s="2"/>
      <c r="V676" s="1"/>
      <c r="W676" s="1"/>
      <c r="X676" s="1"/>
      <c r="Y676" s="1"/>
      <c r="Z676" s="1"/>
    </row>
    <row r="677" spans="1:26" ht="24.75" customHeight="1">
      <c r="A677" s="1"/>
      <c r="B677" s="1"/>
      <c r="C677" s="1"/>
      <c r="D677" s="1"/>
      <c r="E677" s="1"/>
      <c r="F677" s="1"/>
      <c r="G677" s="1"/>
      <c r="H677" s="1"/>
      <c r="I677" s="1"/>
      <c r="J677" s="1"/>
      <c r="K677" s="1"/>
      <c r="L677" s="1"/>
      <c r="M677" s="1"/>
      <c r="N677" s="1"/>
      <c r="O677" s="1"/>
      <c r="P677" s="1"/>
      <c r="Q677" s="1"/>
      <c r="R677" s="1"/>
      <c r="S677" s="1"/>
      <c r="T677" s="1"/>
      <c r="U677" s="2"/>
      <c r="V677" s="1"/>
      <c r="W677" s="1"/>
      <c r="X677" s="1"/>
      <c r="Y677" s="1"/>
      <c r="Z677" s="1"/>
    </row>
    <row r="678" spans="1:26" ht="24.75" customHeight="1">
      <c r="A678" s="1"/>
      <c r="B678" s="1"/>
      <c r="C678" s="1"/>
      <c r="D678" s="1"/>
      <c r="E678" s="1"/>
      <c r="F678" s="1"/>
      <c r="G678" s="1"/>
      <c r="H678" s="1"/>
      <c r="I678" s="1"/>
      <c r="J678" s="1"/>
      <c r="K678" s="1"/>
      <c r="L678" s="1"/>
      <c r="M678" s="1"/>
      <c r="N678" s="1"/>
      <c r="O678" s="1"/>
      <c r="P678" s="1"/>
      <c r="Q678" s="1"/>
      <c r="R678" s="1"/>
      <c r="S678" s="1"/>
      <c r="T678" s="1"/>
      <c r="U678" s="2"/>
      <c r="V678" s="1"/>
      <c r="W678" s="1"/>
      <c r="X678" s="1"/>
      <c r="Y678" s="1"/>
      <c r="Z678" s="1"/>
    </row>
    <row r="679" spans="1:26" ht="24.75" customHeight="1">
      <c r="A679" s="1"/>
      <c r="B679" s="1"/>
      <c r="C679" s="1"/>
      <c r="D679" s="1"/>
      <c r="E679" s="1"/>
      <c r="F679" s="1"/>
      <c r="G679" s="1"/>
      <c r="H679" s="1"/>
      <c r="I679" s="1"/>
      <c r="J679" s="1"/>
      <c r="K679" s="1"/>
      <c r="L679" s="1"/>
      <c r="M679" s="1"/>
      <c r="N679" s="1"/>
      <c r="O679" s="1"/>
      <c r="P679" s="1"/>
      <c r="Q679" s="1"/>
      <c r="R679" s="1"/>
      <c r="S679" s="1"/>
      <c r="T679" s="1"/>
      <c r="U679" s="2"/>
      <c r="V679" s="1"/>
      <c r="W679" s="1"/>
      <c r="X679" s="1"/>
      <c r="Y679" s="1"/>
      <c r="Z679" s="1"/>
    </row>
    <row r="680" spans="1:26" ht="24.75" customHeight="1">
      <c r="A680" s="1"/>
      <c r="B680" s="1"/>
      <c r="C680" s="1"/>
      <c r="D680" s="1"/>
      <c r="E680" s="1"/>
      <c r="F680" s="1"/>
      <c r="G680" s="1"/>
      <c r="H680" s="1"/>
      <c r="I680" s="1"/>
      <c r="J680" s="1"/>
      <c r="K680" s="1"/>
      <c r="L680" s="1"/>
      <c r="M680" s="1"/>
      <c r="N680" s="1"/>
      <c r="O680" s="1"/>
      <c r="P680" s="1"/>
      <c r="Q680" s="1"/>
      <c r="R680" s="1"/>
      <c r="S680" s="1"/>
      <c r="T680" s="1"/>
      <c r="U680" s="2"/>
      <c r="V680" s="1"/>
      <c r="W680" s="1"/>
      <c r="X680" s="1"/>
      <c r="Y680" s="1"/>
      <c r="Z680" s="1"/>
    </row>
    <row r="681" spans="1:26" ht="24.75" customHeight="1">
      <c r="A681" s="1"/>
      <c r="B681" s="1"/>
      <c r="C681" s="1"/>
      <c r="D681" s="1"/>
      <c r="E681" s="1"/>
      <c r="F681" s="1"/>
      <c r="G681" s="1"/>
      <c r="H681" s="1"/>
      <c r="I681" s="1"/>
      <c r="J681" s="1"/>
      <c r="K681" s="1"/>
      <c r="L681" s="1"/>
      <c r="M681" s="1"/>
      <c r="N681" s="1"/>
      <c r="O681" s="1"/>
      <c r="P681" s="1"/>
      <c r="Q681" s="1"/>
      <c r="R681" s="1"/>
      <c r="S681" s="1"/>
      <c r="T681" s="1"/>
      <c r="U681" s="2"/>
      <c r="V681" s="1"/>
      <c r="W681" s="1"/>
      <c r="X681" s="1"/>
      <c r="Y681" s="1"/>
      <c r="Z681" s="1"/>
    </row>
    <row r="682" spans="1:26" ht="24.75" customHeight="1">
      <c r="A682" s="1"/>
      <c r="B682" s="1"/>
      <c r="C682" s="1"/>
      <c r="D682" s="1"/>
      <c r="E682" s="1"/>
      <c r="F682" s="1"/>
      <c r="G682" s="1"/>
      <c r="H682" s="1"/>
      <c r="I682" s="1"/>
      <c r="J682" s="1"/>
      <c r="K682" s="1"/>
      <c r="L682" s="1"/>
      <c r="M682" s="1"/>
      <c r="N682" s="1"/>
      <c r="O682" s="1"/>
      <c r="P682" s="1"/>
      <c r="Q682" s="1"/>
      <c r="R682" s="1"/>
      <c r="S682" s="1"/>
      <c r="T682" s="1"/>
      <c r="U682" s="2"/>
      <c r="V682" s="1"/>
      <c r="W682" s="1"/>
      <c r="X682" s="1"/>
      <c r="Y682" s="1"/>
      <c r="Z682" s="1"/>
    </row>
    <row r="683" spans="1:26" ht="24.75" customHeight="1">
      <c r="A683" s="1"/>
      <c r="B683" s="1"/>
      <c r="C683" s="1"/>
      <c r="D683" s="1"/>
      <c r="E683" s="1"/>
      <c r="F683" s="1"/>
      <c r="G683" s="1"/>
      <c r="H683" s="1"/>
      <c r="I683" s="1"/>
      <c r="J683" s="1"/>
      <c r="K683" s="1"/>
      <c r="L683" s="1"/>
      <c r="M683" s="1"/>
      <c r="N683" s="1"/>
      <c r="O683" s="1"/>
      <c r="P683" s="1"/>
      <c r="Q683" s="1"/>
      <c r="R683" s="1"/>
      <c r="S683" s="1"/>
      <c r="T683" s="1"/>
      <c r="U683" s="2"/>
      <c r="V683" s="1"/>
      <c r="W683" s="1"/>
      <c r="X683" s="1"/>
      <c r="Y683" s="1"/>
      <c r="Z683" s="1"/>
    </row>
    <row r="684" spans="1:26" ht="24.75" customHeight="1">
      <c r="A684" s="1"/>
      <c r="B684" s="1"/>
      <c r="C684" s="1"/>
      <c r="D684" s="1"/>
      <c r="E684" s="1"/>
      <c r="F684" s="1"/>
      <c r="G684" s="1"/>
      <c r="H684" s="1"/>
      <c r="I684" s="1"/>
      <c r="J684" s="1"/>
      <c r="K684" s="1"/>
      <c r="L684" s="1"/>
      <c r="M684" s="1"/>
      <c r="N684" s="1"/>
      <c r="O684" s="1"/>
      <c r="P684" s="1"/>
      <c r="Q684" s="1"/>
      <c r="R684" s="1"/>
      <c r="S684" s="1"/>
      <c r="T684" s="1"/>
      <c r="U684" s="2"/>
      <c r="V684" s="1"/>
      <c r="W684" s="1"/>
      <c r="X684" s="1"/>
      <c r="Y684" s="1"/>
      <c r="Z684" s="1"/>
    </row>
    <row r="685" spans="1:26" ht="24.75" customHeight="1">
      <c r="A685" s="1"/>
      <c r="B685" s="1"/>
      <c r="C685" s="1"/>
      <c r="D685" s="1"/>
      <c r="E685" s="1"/>
      <c r="F685" s="1"/>
      <c r="G685" s="1"/>
      <c r="H685" s="1"/>
      <c r="I685" s="1"/>
      <c r="J685" s="1"/>
      <c r="K685" s="1"/>
      <c r="L685" s="1"/>
      <c r="M685" s="1"/>
      <c r="N685" s="1"/>
      <c r="O685" s="1"/>
      <c r="P685" s="1"/>
      <c r="Q685" s="1"/>
      <c r="R685" s="1"/>
      <c r="S685" s="1"/>
      <c r="T685" s="1"/>
      <c r="U685" s="2"/>
      <c r="V685" s="1"/>
      <c r="W685" s="1"/>
      <c r="X685" s="1"/>
      <c r="Y685" s="1"/>
      <c r="Z685" s="1"/>
    </row>
    <row r="686" spans="1:26" ht="24.75" customHeight="1">
      <c r="A686" s="1"/>
      <c r="B686" s="1"/>
      <c r="C686" s="1"/>
      <c r="D686" s="1"/>
      <c r="E686" s="1"/>
      <c r="F686" s="1"/>
      <c r="G686" s="1"/>
      <c r="H686" s="1"/>
      <c r="I686" s="1"/>
      <c r="J686" s="1"/>
      <c r="K686" s="1"/>
      <c r="L686" s="1"/>
      <c r="M686" s="1"/>
      <c r="N686" s="1"/>
      <c r="O686" s="1"/>
      <c r="P686" s="1"/>
      <c r="Q686" s="1"/>
      <c r="R686" s="1"/>
      <c r="S686" s="1"/>
      <c r="T686" s="1"/>
      <c r="U686" s="2"/>
      <c r="V686" s="1"/>
      <c r="W686" s="1"/>
      <c r="X686" s="1"/>
      <c r="Y686" s="1"/>
      <c r="Z686" s="1"/>
    </row>
    <row r="687" spans="1:26" ht="24.75" customHeight="1">
      <c r="A687" s="1"/>
      <c r="B687" s="1"/>
      <c r="C687" s="1"/>
      <c r="D687" s="1"/>
      <c r="E687" s="1"/>
      <c r="F687" s="1"/>
      <c r="G687" s="1"/>
      <c r="H687" s="1"/>
      <c r="I687" s="1"/>
      <c r="J687" s="1"/>
      <c r="K687" s="1"/>
      <c r="L687" s="1"/>
      <c r="M687" s="1"/>
      <c r="N687" s="1"/>
      <c r="O687" s="1"/>
      <c r="P687" s="1"/>
      <c r="Q687" s="1"/>
      <c r="R687" s="1"/>
      <c r="S687" s="1"/>
      <c r="T687" s="1"/>
      <c r="U687" s="2"/>
      <c r="V687" s="1"/>
      <c r="W687" s="1"/>
      <c r="X687" s="1"/>
      <c r="Y687" s="1"/>
      <c r="Z687" s="1"/>
    </row>
    <row r="688" spans="1:26" ht="24.75" customHeight="1">
      <c r="A688" s="1"/>
      <c r="B688" s="1"/>
      <c r="C688" s="1"/>
      <c r="D688" s="1"/>
      <c r="E688" s="1"/>
      <c r="F688" s="1"/>
      <c r="G688" s="1"/>
      <c r="H688" s="1"/>
      <c r="I688" s="1"/>
      <c r="J688" s="1"/>
      <c r="K688" s="1"/>
      <c r="L688" s="1"/>
      <c r="M688" s="1"/>
      <c r="N688" s="1"/>
      <c r="O688" s="1"/>
      <c r="P688" s="1"/>
      <c r="Q688" s="1"/>
      <c r="R688" s="1"/>
      <c r="S688" s="1"/>
      <c r="T688" s="1"/>
      <c r="U688" s="2"/>
      <c r="V688" s="1"/>
      <c r="W688" s="1"/>
      <c r="X688" s="1"/>
      <c r="Y688" s="1"/>
      <c r="Z688" s="1"/>
    </row>
    <row r="689" spans="1:26" ht="24.75" customHeight="1">
      <c r="A689" s="1"/>
      <c r="B689" s="1"/>
      <c r="C689" s="1"/>
      <c r="D689" s="1"/>
      <c r="E689" s="1"/>
      <c r="F689" s="1"/>
      <c r="G689" s="1"/>
      <c r="H689" s="1"/>
      <c r="I689" s="1"/>
      <c r="J689" s="1"/>
      <c r="K689" s="1"/>
      <c r="L689" s="1"/>
      <c r="M689" s="1"/>
      <c r="N689" s="1"/>
      <c r="O689" s="1"/>
      <c r="P689" s="1"/>
      <c r="Q689" s="1"/>
      <c r="R689" s="1"/>
      <c r="S689" s="1"/>
      <c r="T689" s="1"/>
      <c r="U689" s="2"/>
      <c r="V689" s="1"/>
      <c r="W689" s="1"/>
      <c r="X689" s="1"/>
      <c r="Y689" s="1"/>
      <c r="Z689" s="1"/>
    </row>
    <row r="690" spans="1:26" ht="24.75" customHeight="1">
      <c r="A690" s="1"/>
      <c r="B690" s="1"/>
      <c r="C690" s="1"/>
      <c r="D690" s="1"/>
      <c r="E690" s="1"/>
      <c r="F690" s="1"/>
      <c r="G690" s="1"/>
      <c r="H690" s="1"/>
      <c r="I690" s="1"/>
      <c r="J690" s="1"/>
      <c r="K690" s="1"/>
      <c r="L690" s="1"/>
      <c r="M690" s="1"/>
      <c r="N690" s="1"/>
      <c r="O690" s="1"/>
      <c r="P690" s="1"/>
      <c r="Q690" s="1"/>
      <c r="R690" s="1"/>
      <c r="S690" s="1"/>
      <c r="T690" s="1"/>
      <c r="U690" s="2"/>
      <c r="V690" s="1"/>
      <c r="W690" s="1"/>
      <c r="X690" s="1"/>
      <c r="Y690" s="1"/>
      <c r="Z690" s="1"/>
    </row>
    <row r="691" spans="1:26" ht="24.75" customHeight="1">
      <c r="A691" s="1"/>
      <c r="B691" s="1"/>
      <c r="C691" s="1"/>
      <c r="D691" s="1"/>
      <c r="E691" s="1"/>
      <c r="F691" s="1"/>
      <c r="G691" s="1"/>
      <c r="H691" s="1"/>
      <c r="I691" s="1"/>
      <c r="J691" s="1"/>
      <c r="K691" s="1"/>
      <c r="L691" s="1"/>
      <c r="M691" s="1"/>
      <c r="N691" s="1"/>
      <c r="O691" s="1"/>
      <c r="P691" s="1"/>
      <c r="Q691" s="1"/>
      <c r="R691" s="1"/>
      <c r="S691" s="1"/>
      <c r="T691" s="1"/>
      <c r="U691" s="2"/>
      <c r="V691" s="1"/>
      <c r="W691" s="1"/>
      <c r="X691" s="1"/>
      <c r="Y691" s="1"/>
      <c r="Z691" s="1"/>
    </row>
    <row r="692" spans="1:26" ht="24.75" customHeight="1">
      <c r="A692" s="1"/>
      <c r="B692" s="1"/>
      <c r="C692" s="1"/>
      <c r="D692" s="1"/>
      <c r="E692" s="1"/>
      <c r="F692" s="1"/>
      <c r="G692" s="1"/>
      <c r="H692" s="1"/>
      <c r="I692" s="1"/>
      <c r="J692" s="1"/>
      <c r="K692" s="1"/>
      <c r="L692" s="1"/>
      <c r="M692" s="1"/>
      <c r="N692" s="1"/>
      <c r="O692" s="1"/>
      <c r="P692" s="1"/>
      <c r="Q692" s="1"/>
      <c r="R692" s="1"/>
      <c r="S692" s="1"/>
      <c r="T692" s="1"/>
      <c r="U692" s="2"/>
      <c r="V692" s="1"/>
      <c r="W692" s="1"/>
      <c r="X692" s="1"/>
      <c r="Y692" s="1"/>
      <c r="Z692" s="1"/>
    </row>
    <row r="693" spans="1:26" ht="24.75" customHeight="1">
      <c r="A693" s="1"/>
      <c r="B693" s="1"/>
      <c r="C693" s="1"/>
      <c r="D693" s="1"/>
      <c r="E693" s="1"/>
      <c r="F693" s="1"/>
      <c r="G693" s="1"/>
      <c r="H693" s="1"/>
      <c r="I693" s="1"/>
      <c r="J693" s="1"/>
      <c r="K693" s="1"/>
      <c r="L693" s="1"/>
      <c r="M693" s="1"/>
      <c r="N693" s="1"/>
      <c r="O693" s="1"/>
      <c r="P693" s="1"/>
      <c r="Q693" s="1"/>
      <c r="R693" s="1"/>
      <c r="S693" s="1"/>
      <c r="T693" s="1"/>
      <c r="U693" s="2"/>
      <c r="V693" s="1"/>
      <c r="W693" s="1"/>
      <c r="X693" s="1"/>
      <c r="Y693" s="1"/>
      <c r="Z693" s="1"/>
    </row>
    <row r="694" spans="1:26" ht="24.75" customHeight="1">
      <c r="A694" s="1"/>
      <c r="B694" s="1"/>
      <c r="C694" s="1"/>
      <c r="D694" s="1"/>
      <c r="E694" s="1"/>
      <c r="F694" s="1"/>
      <c r="G694" s="1"/>
      <c r="H694" s="1"/>
      <c r="I694" s="1"/>
      <c r="J694" s="1"/>
      <c r="K694" s="1"/>
      <c r="L694" s="1"/>
      <c r="M694" s="1"/>
      <c r="N694" s="1"/>
      <c r="O694" s="1"/>
      <c r="P694" s="1"/>
      <c r="Q694" s="1"/>
      <c r="R694" s="1"/>
      <c r="S694" s="1"/>
      <c r="T694" s="1"/>
      <c r="U694" s="2"/>
      <c r="V694" s="1"/>
      <c r="W694" s="1"/>
      <c r="X694" s="1"/>
      <c r="Y694" s="1"/>
      <c r="Z694" s="1"/>
    </row>
    <row r="695" spans="1:26" ht="24.75" customHeight="1">
      <c r="A695" s="1"/>
      <c r="B695" s="1"/>
      <c r="C695" s="1"/>
      <c r="D695" s="1"/>
      <c r="E695" s="1"/>
      <c r="F695" s="1"/>
      <c r="G695" s="1"/>
      <c r="H695" s="1"/>
      <c r="I695" s="1"/>
      <c r="J695" s="1"/>
      <c r="K695" s="1"/>
      <c r="L695" s="1"/>
      <c r="M695" s="1"/>
      <c r="N695" s="1"/>
      <c r="O695" s="1"/>
      <c r="P695" s="1"/>
      <c r="Q695" s="1"/>
      <c r="R695" s="1"/>
      <c r="S695" s="1"/>
      <c r="T695" s="1"/>
      <c r="U695" s="2"/>
      <c r="V695" s="1"/>
      <c r="W695" s="1"/>
      <c r="X695" s="1"/>
      <c r="Y695" s="1"/>
      <c r="Z695" s="1"/>
    </row>
    <row r="696" spans="1:26" ht="24.75" customHeight="1">
      <c r="A696" s="1"/>
      <c r="B696" s="1"/>
      <c r="C696" s="1"/>
      <c r="D696" s="1"/>
      <c r="E696" s="1"/>
      <c r="F696" s="1"/>
      <c r="G696" s="1"/>
      <c r="H696" s="1"/>
      <c r="I696" s="1"/>
      <c r="J696" s="1"/>
      <c r="K696" s="1"/>
      <c r="L696" s="1"/>
      <c r="M696" s="1"/>
      <c r="N696" s="1"/>
      <c r="O696" s="1"/>
      <c r="P696" s="1"/>
      <c r="Q696" s="1"/>
      <c r="R696" s="1"/>
      <c r="S696" s="1"/>
      <c r="T696" s="1"/>
      <c r="U696" s="2"/>
      <c r="V696" s="1"/>
      <c r="W696" s="1"/>
      <c r="X696" s="1"/>
      <c r="Y696" s="1"/>
      <c r="Z696" s="1"/>
    </row>
    <row r="697" spans="1:26" ht="24.75" customHeight="1">
      <c r="A697" s="1"/>
      <c r="B697" s="1"/>
      <c r="C697" s="1"/>
      <c r="D697" s="1"/>
      <c r="E697" s="1"/>
      <c r="F697" s="1"/>
      <c r="G697" s="1"/>
      <c r="H697" s="1"/>
      <c r="I697" s="1"/>
      <c r="J697" s="1"/>
      <c r="K697" s="1"/>
      <c r="L697" s="1"/>
      <c r="M697" s="1"/>
      <c r="N697" s="1"/>
      <c r="O697" s="1"/>
      <c r="P697" s="1"/>
      <c r="Q697" s="1"/>
      <c r="R697" s="1"/>
      <c r="S697" s="1"/>
      <c r="T697" s="1"/>
      <c r="U697" s="2"/>
      <c r="V697" s="1"/>
      <c r="W697" s="1"/>
      <c r="X697" s="1"/>
      <c r="Y697" s="1"/>
      <c r="Z697" s="1"/>
    </row>
    <row r="698" spans="1:26" ht="24.75" customHeight="1">
      <c r="A698" s="1"/>
      <c r="B698" s="1"/>
      <c r="C698" s="1"/>
      <c r="D698" s="1"/>
      <c r="E698" s="1"/>
      <c r="F698" s="1"/>
      <c r="G698" s="1"/>
      <c r="H698" s="1"/>
      <c r="I698" s="1"/>
      <c r="J698" s="1"/>
      <c r="K698" s="1"/>
      <c r="L698" s="1"/>
      <c r="M698" s="1"/>
      <c r="N698" s="1"/>
      <c r="O698" s="1"/>
      <c r="P698" s="1"/>
      <c r="Q698" s="1"/>
      <c r="R698" s="1"/>
      <c r="S698" s="1"/>
      <c r="T698" s="1"/>
      <c r="U698" s="2"/>
      <c r="V698" s="1"/>
      <c r="W698" s="1"/>
      <c r="X698" s="1"/>
      <c r="Y698" s="1"/>
      <c r="Z698" s="1"/>
    </row>
    <row r="699" spans="1:26" ht="24.75" customHeight="1">
      <c r="A699" s="1"/>
      <c r="B699" s="1"/>
      <c r="C699" s="1"/>
      <c r="D699" s="1"/>
      <c r="E699" s="1"/>
      <c r="F699" s="1"/>
      <c r="G699" s="1"/>
      <c r="H699" s="1"/>
      <c r="I699" s="1"/>
      <c r="J699" s="1"/>
      <c r="K699" s="1"/>
      <c r="L699" s="1"/>
      <c r="M699" s="1"/>
      <c r="N699" s="1"/>
      <c r="O699" s="1"/>
      <c r="P699" s="1"/>
      <c r="Q699" s="1"/>
      <c r="R699" s="1"/>
      <c r="S699" s="1"/>
      <c r="T699" s="1"/>
      <c r="U699" s="2"/>
      <c r="V699" s="1"/>
      <c r="W699" s="1"/>
      <c r="X699" s="1"/>
      <c r="Y699" s="1"/>
      <c r="Z699" s="1"/>
    </row>
    <row r="700" spans="1:26" ht="24.75" customHeight="1">
      <c r="A700" s="1"/>
      <c r="B700" s="1"/>
      <c r="C700" s="1"/>
      <c r="D700" s="1"/>
      <c r="E700" s="1"/>
      <c r="F700" s="1"/>
      <c r="G700" s="1"/>
      <c r="H700" s="1"/>
      <c r="I700" s="1"/>
      <c r="J700" s="1"/>
      <c r="K700" s="1"/>
      <c r="L700" s="1"/>
      <c r="M700" s="1"/>
      <c r="N700" s="1"/>
      <c r="O700" s="1"/>
      <c r="P700" s="1"/>
      <c r="Q700" s="1"/>
      <c r="R700" s="1"/>
      <c r="S700" s="1"/>
      <c r="T700" s="1"/>
      <c r="U700" s="2"/>
      <c r="V700" s="1"/>
      <c r="W700" s="1"/>
      <c r="X700" s="1"/>
      <c r="Y700" s="1"/>
      <c r="Z700" s="1"/>
    </row>
    <row r="701" spans="1:26" ht="24.75" customHeight="1">
      <c r="A701" s="1"/>
      <c r="B701" s="1"/>
      <c r="C701" s="1"/>
      <c r="D701" s="1"/>
      <c r="E701" s="1"/>
      <c r="F701" s="1"/>
      <c r="G701" s="1"/>
      <c r="H701" s="1"/>
      <c r="I701" s="1"/>
      <c r="J701" s="1"/>
      <c r="K701" s="1"/>
      <c r="L701" s="1"/>
      <c r="M701" s="1"/>
      <c r="N701" s="1"/>
      <c r="O701" s="1"/>
      <c r="P701" s="1"/>
      <c r="Q701" s="1"/>
      <c r="R701" s="1"/>
      <c r="S701" s="1"/>
      <c r="T701" s="1"/>
      <c r="U701" s="2"/>
      <c r="V701" s="1"/>
      <c r="W701" s="1"/>
      <c r="X701" s="1"/>
      <c r="Y701" s="1"/>
      <c r="Z701" s="1"/>
    </row>
    <row r="702" spans="1:26" ht="24.75" customHeight="1">
      <c r="A702" s="1"/>
      <c r="B702" s="1"/>
      <c r="C702" s="1"/>
      <c r="D702" s="1"/>
      <c r="E702" s="1"/>
      <c r="F702" s="1"/>
      <c r="G702" s="1"/>
      <c r="H702" s="1"/>
      <c r="I702" s="1"/>
      <c r="J702" s="1"/>
      <c r="K702" s="1"/>
      <c r="L702" s="1"/>
      <c r="M702" s="1"/>
      <c r="N702" s="1"/>
      <c r="O702" s="1"/>
      <c r="P702" s="1"/>
      <c r="Q702" s="1"/>
      <c r="R702" s="1"/>
      <c r="S702" s="1"/>
      <c r="T702" s="1"/>
      <c r="U702" s="2"/>
      <c r="V702" s="1"/>
      <c r="W702" s="1"/>
      <c r="X702" s="1"/>
      <c r="Y702" s="1"/>
      <c r="Z702" s="1"/>
    </row>
    <row r="703" spans="1:26" ht="24.75" customHeight="1">
      <c r="A703" s="1"/>
      <c r="B703" s="1"/>
      <c r="C703" s="1"/>
      <c r="D703" s="1"/>
      <c r="E703" s="1"/>
      <c r="F703" s="1"/>
      <c r="G703" s="1"/>
      <c r="H703" s="1"/>
      <c r="I703" s="1"/>
      <c r="J703" s="1"/>
      <c r="K703" s="1"/>
      <c r="L703" s="1"/>
      <c r="M703" s="1"/>
      <c r="N703" s="1"/>
      <c r="O703" s="1"/>
      <c r="P703" s="1"/>
      <c r="Q703" s="1"/>
      <c r="R703" s="1"/>
      <c r="S703" s="1"/>
      <c r="T703" s="1"/>
      <c r="U703" s="2"/>
      <c r="V703" s="1"/>
      <c r="W703" s="1"/>
      <c r="X703" s="1"/>
      <c r="Y703" s="1"/>
      <c r="Z703" s="1"/>
    </row>
    <row r="704" spans="1:26" ht="24.75" customHeight="1">
      <c r="A704" s="1"/>
      <c r="B704" s="1"/>
      <c r="C704" s="1"/>
      <c r="D704" s="1"/>
      <c r="E704" s="1"/>
      <c r="F704" s="1"/>
      <c r="G704" s="1"/>
      <c r="H704" s="1"/>
      <c r="I704" s="1"/>
      <c r="J704" s="1"/>
      <c r="K704" s="1"/>
      <c r="L704" s="1"/>
      <c r="M704" s="1"/>
      <c r="N704" s="1"/>
      <c r="O704" s="1"/>
      <c r="P704" s="1"/>
      <c r="Q704" s="1"/>
      <c r="R704" s="1"/>
      <c r="S704" s="1"/>
      <c r="T704" s="1"/>
      <c r="U704" s="2"/>
      <c r="V704" s="1"/>
      <c r="W704" s="1"/>
      <c r="X704" s="1"/>
      <c r="Y704" s="1"/>
      <c r="Z704" s="1"/>
    </row>
    <row r="705" spans="1:26" ht="24.75" customHeight="1">
      <c r="A705" s="1"/>
      <c r="B705" s="1"/>
      <c r="C705" s="1"/>
      <c r="D705" s="1"/>
      <c r="E705" s="1"/>
      <c r="F705" s="1"/>
      <c r="G705" s="1"/>
      <c r="H705" s="1"/>
      <c r="I705" s="1"/>
      <c r="J705" s="1"/>
      <c r="K705" s="1"/>
      <c r="L705" s="1"/>
      <c r="M705" s="1"/>
      <c r="N705" s="1"/>
      <c r="O705" s="1"/>
      <c r="P705" s="1"/>
      <c r="Q705" s="1"/>
      <c r="R705" s="1"/>
      <c r="S705" s="1"/>
      <c r="T705" s="1"/>
      <c r="U705" s="2"/>
      <c r="V705" s="1"/>
      <c r="W705" s="1"/>
      <c r="X705" s="1"/>
      <c r="Y705" s="1"/>
      <c r="Z705" s="1"/>
    </row>
    <row r="706" spans="1:26" ht="24.75" customHeight="1">
      <c r="A706" s="1"/>
      <c r="B706" s="1"/>
      <c r="C706" s="1"/>
      <c r="D706" s="1"/>
      <c r="E706" s="1"/>
      <c r="F706" s="1"/>
      <c r="G706" s="1"/>
      <c r="H706" s="1"/>
      <c r="I706" s="1"/>
      <c r="J706" s="1"/>
      <c r="K706" s="1"/>
      <c r="L706" s="1"/>
      <c r="M706" s="1"/>
      <c r="N706" s="1"/>
      <c r="O706" s="1"/>
      <c r="P706" s="1"/>
      <c r="Q706" s="1"/>
      <c r="R706" s="1"/>
      <c r="S706" s="1"/>
      <c r="T706" s="1"/>
      <c r="U706" s="2"/>
      <c r="V706" s="1"/>
      <c r="W706" s="1"/>
      <c r="X706" s="1"/>
      <c r="Y706" s="1"/>
      <c r="Z706" s="1"/>
    </row>
    <row r="707" spans="1:26" ht="24.75" customHeight="1">
      <c r="A707" s="1"/>
      <c r="B707" s="1"/>
      <c r="C707" s="1"/>
      <c r="D707" s="1"/>
      <c r="E707" s="1"/>
      <c r="F707" s="1"/>
      <c r="G707" s="1"/>
      <c r="H707" s="1"/>
      <c r="I707" s="1"/>
      <c r="J707" s="1"/>
      <c r="K707" s="1"/>
      <c r="L707" s="1"/>
      <c r="M707" s="1"/>
      <c r="N707" s="1"/>
      <c r="O707" s="1"/>
      <c r="P707" s="1"/>
      <c r="Q707" s="1"/>
      <c r="R707" s="1"/>
      <c r="S707" s="1"/>
      <c r="T707" s="1"/>
      <c r="U707" s="2"/>
      <c r="V707" s="1"/>
      <c r="W707" s="1"/>
      <c r="X707" s="1"/>
      <c r="Y707" s="1"/>
      <c r="Z707" s="1"/>
    </row>
    <row r="708" spans="1:26" ht="24.75" customHeight="1">
      <c r="A708" s="1"/>
      <c r="B708" s="1"/>
      <c r="C708" s="1"/>
      <c r="D708" s="1"/>
      <c r="E708" s="1"/>
      <c r="F708" s="1"/>
      <c r="G708" s="1"/>
      <c r="H708" s="1"/>
      <c r="I708" s="1"/>
      <c r="J708" s="1"/>
      <c r="K708" s="1"/>
      <c r="L708" s="1"/>
      <c r="M708" s="1"/>
      <c r="N708" s="1"/>
      <c r="O708" s="1"/>
      <c r="P708" s="1"/>
      <c r="Q708" s="1"/>
      <c r="R708" s="1"/>
      <c r="S708" s="1"/>
      <c r="T708" s="1"/>
      <c r="U708" s="2"/>
      <c r="V708" s="1"/>
      <c r="W708" s="1"/>
      <c r="X708" s="1"/>
      <c r="Y708" s="1"/>
      <c r="Z708" s="1"/>
    </row>
    <row r="709" spans="1:26" ht="24.75" customHeight="1">
      <c r="A709" s="1"/>
      <c r="B709" s="1"/>
      <c r="C709" s="1"/>
      <c r="D709" s="1"/>
      <c r="E709" s="1"/>
      <c r="F709" s="1"/>
      <c r="G709" s="1"/>
      <c r="H709" s="1"/>
      <c r="I709" s="1"/>
      <c r="J709" s="1"/>
      <c r="K709" s="1"/>
      <c r="L709" s="1"/>
      <c r="M709" s="1"/>
      <c r="N709" s="1"/>
      <c r="O709" s="1"/>
      <c r="P709" s="1"/>
      <c r="Q709" s="1"/>
      <c r="R709" s="1"/>
      <c r="S709" s="1"/>
      <c r="T709" s="1"/>
      <c r="U709" s="2"/>
      <c r="V709" s="1"/>
      <c r="W709" s="1"/>
      <c r="X709" s="1"/>
      <c r="Y709" s="1"/>
      <c r="Z709" s="1"/>
    </row>
    <row r="710" spans="1:26" ht="24.75" customHeight="1">
      <c r="A710" s="1"/>
      <c r="B710" s="1"/>
      <c r="C710" s="1"/>
      <c r="D710" s="1"/>
      <c r="E710" s="1"/>
      <c r="F710" s="1"/>
      <c r="G710" s="1"/>
      <c r="H710" s="1"/>
      <c r="I710" s="1"/>
      <c r="J710" s="1"/>
      <c r="K710" s="1"/>
      <c r="L710" s="1"/>
      <c r="M710" s="1"/>
      <c r="N710" s="1"/>
      <c r="O710" s="1"/>
      <c r="P710" s="1"/>
      <c r="Q710" s="1"/>
      <c r="R710" s="1"/>
      <c r="S710" s="1"/>
      <c r="T710" s="1"/>
      <c r="U710" s="2"/>
      <c r="V710" s="1"/>
      <c r="W710" s="1"/>
      <c r="X710" s="1"/>
      <c r="Y710" s="1"/>
      <c r="Z710" s="1"/>
    </row>
    <row r="711" spans="1:26" ht="24.75" customHeight="1">
      <c r="A711" s="1"/>
      <c r="B711" s="1"/>
      <c r="C711" s="1"/>
      <c r="D711" s="1"/>
      <c r="E711" s="1"/>
      <c r="F711" s="1"/>
      <c r="G711" s="1"/>
      <c r="H711" s="1"/>
      <c r="I711" s="1"/>
      <c r="J711" s="1"/>
      <c r="K711" s="1"/>
      <c r="L711" s="1"/>
      <c r="M711" s="1"/>
      <c r="N711" s="1"/>
      <c r="O711" s="1"/>
      <c r="P711" s="1"/>
      <c r="Q711" s="1"/>
      <c r="R711" s="1"/>
      <c r="S711" s="1"/>
      <c r="T711" s="1"/>
      <c r="U711" s="2"/>
      <c r="V711" s="1"/>
      <c r="W711" s="1"/>
      <c r="X711" s="1"/>
      <c r="Y711" s="1"/>
      <c r="Z711" s="1"/>
    </row>
    <row r="712" spans="1:26" ht="24.75" customHeight="1">
      <c r="A712" s="1"/>
      <c r="B712" s="1"/>
      <c r="C712" s="1"/>
      <c r="D712" s="1"/>
      <c r="E712" s="1"/>
      <c r="F712" s="1"/>
      <c r="G712" s="1"/>
      <c r="H712" s="1"/>
      <c r="I712" s="1"/>
      <c r="J712" s="1"/>
      <c r="K712" s="1"/>
      <c r="L712" s="1"/>
      <c r="M712" s="1"/>
      <c r="N712" s="1"/>
      <c r="O712" s="1"/>
      <c r="P712" s="1"/>
      <c r="Q712" s="1"/>
      <c r="R712" s="1"/>
      <c r="S712" s="1"/>
      <c r="T712" s="1"/>
      <c r="U712" s="2"/>
      <c r="V712" s="1"/>
      <c r="W712" s="1"/>
      <c r="X712" s="1"/>
      <c r="Y712" s="1"/>
      <c r="Z712" s="1"/>
    </row>
    <row r="713" spans="1:26" ht="24.75" customHeight="1">
      <c r="A713" s="1"/>
      <c r="B713" s="1"/>
      <c r="C713" s="1"/>
      <c r="D713" s="1"/>
      <c r="E713" s="1"/>
      <c r="F713" s="1"/>
      <c r="G713" s="1"/>
      <c r="H713" s="1"/>
      <c r="I713" s="1"/>
      <c r="J713" s="1"/>
      <c r="K713" s="1"/>
      <c r="L713" s="1"/>
      <c r="M713" s="1"/>
      <c r="N713" s="1"/>
      <c r="O713" s="1"/>
      <c r="P713" s="1"/>
      <c r="Q713" s="1"/>
      <c r="R713" s="1"/>
      <c r="S713" s="1"/>
      <c r="T713" s="1"/>
      <c r="U713" s="2"/>
      <c r="V713" s="1"/>
      <c r="W713" s="1"/>
      <c r="X713" s="1"/>
      <c r="Y713" s="1"/>
      <c r="Z713" s="1"/>
    </row>
    <row r="714" spans="1:26" ht="24.75" customHeight="1">
      <c r="A714" s="1"/>
      <c r="B714" s="1"/>
      <c r="C714" s="1"/>
      <c r="D714" s="1"/>
      <c r="E714" s="1"/>
      <c r="F714" s="1"/>
      <c r="G714" s="1"/>
      <c r="H714" s="1"/>
      <c r="I714" s="1"/>
      <c r="J714" s="1"/>
      <c r="K714" s="1"/>
      <c r="L714" s="1"/>
      <c r="M714" s="1"/>
      <c r="N714" s="1"/>
      <c r="O714" s="1"/>
      <c r="P714" s="1"/>
      <c r="Q714" s="1"/>
      <c r="R714" s="1"/>
      <c r="S714" s="1"/>
      <c r="T714" s="1"/>
      <c r="U714" s="2"/>
      <c r="V714" s="1"/>
      <c r="W714" s="1"/>
      <c r="X714" s="1"/>
      <c r="Y714" s="1"/>
      <c r="Z714" s="1"/>
    </row>
    <row r="715" spans="1:26" ht="24.75" customHeight="1">
      <c r="A715" s="1"/>
      <c r="B715" s="1"/>
      <c r="C715" s="1"/>
      <c r="D715" s="1"/>
      <c r="E715" s="1"/>
      <c r="F715" s="1"/>
      <c r="G715" s="1"/>
      <c r="H715" s="1"/>
      <c r="I715" s="1"/>
      <c r="J715" s="1"/>
      <c r="K715" s="1"/>
      <c r="L715" s="1"/>
      <c r="M715" s="1"/>
      <c r="N715" s="1"/>
      <c r="O715" s="1"/>
      <c r="P715" s="1"/>
      <c r="Q715" s="1"/>
      <c r="R715" s="1"/>
      <c r="S715" s="1"/>
      <c r="T715" s="1"/>
      <c r="U715" s="2"/>
      <c r="V715" s="1"/>
      <c r="W715" s="1"/>
      <c r="X715" s="1"/>
      <c r="Y715" s="1"/>
      <c r="Z715" s="1"/>
    </row>
    <row r="716" spans="1:26" ht="24.75" customHeight="1">
      <c r="A716" s="1"/>
      <c r="B716" s="1"/>
      <c r="C716" s="1"/>
      <c r="D716" s="1"/>
      <c r="E716" s="1"/>
      <c r="F716" s="1"/>
      <c r="G716" s="1"/>
      <c r="H716" s="1"/>
      <c r="I716" s="1"/>
      <c r="J716" s="1"/>
      <c r="K716" s="1"/>
      <c r="L716" s="1"/>
      <c r="M716" s="1"/>
      <c r="N716" s="1"/>
      <c r="O716" s="1"/>
      <c r="P716" s="1"/>
      <c r="Q716" s="1"/>
      <c r="R716" s="1"/>
      <c r="S716" s="1"/>
      <c r="T716" s="1"/>
      <c r="U716" s="2"/>
      <c r="V716" s="1"/>
      <c r="W716" s="1"/>
      <c r="X716" s="1"/>
      <c r="Y716" s="1"/>
      <c r="Z716" s="1"/>
    </row>
    <row r="717" spans="1:26" ht="24.75" customHeight="1">
      <c r="A717" s="1"/>
      <c r="B717" s="1"/>
      <c r="C717" s="1"/>
      <c r="D717" s="1"/>
      <c r="E717" s="1"/>
      <c r="F717" s="1"/>
      <c r="G717" s="1"/>
      <c r="H717" s="1"/>
      <c r="I717" s="1"/>
      <c r="J717" s="1"/>
      <c r="K717" s="1"/>
      <c r="L717" s="1"/>
      <c r="M717" s="1"/>
      <c r="N717" s="1"/>
      <c r="O717" s="1"/>
      <c r="P717" s="1"/>
      <c r="Q717" s="1"/>
      <c r="R717" s="1"/>
      <c r="S717" s="1"/>
      <c r="T717" s="1"/>
      <c r="U717" s="2"/>
      <c r="V717" s="1"/>
      <c r="W717" s="1"/>
      <c r="X717" s="1"/>
      <c r="Y717" s="1"/>
      <c r="Z717" s="1"/>
    </row>
    <row r="718" spans="1:26" ht="24.75" customHeight="1">
      <c r="A718" s="1"/>
      <c r="B718" s="1"/>
      <c r="C718" s="1"/>
      <c r="D718" s="1"/>
      <c r="E718" s="1"/>
      <c r="F718" s="1"/>
      <c r="G718" s="1"/>
      <c r="H718" s="1"/>
      <c r="I718" s="1"/>
      <c r="J718" s="1"/>
      <c r="K718" s="1"/>
      <c r="L718" s="1"/>
      <c r="M718" s="1"/>
      <c r="N718" s="1"/>
      <c r="O718" s="1"/>
      <c r="P718" s="1"/>
      <c r="Q718" s="1"/>
      <c r="R718" s="1"/>
      <c r="S718" s="1"/>
      <c r="T718" s="1"/>
      <c r="U718" s="2"/>
      <c r="V718" s="1"/>
      <c r="W718" s="1"/>
      <c r="X718" s="1"/>
      <c r="Y718" s="1"/>
      <c r="Z718" s="1"/>
    </row>
    <row r="719" spans="1:26" ht="24.75" customHeight="1">
      <c r="A719" s="1"/>
      <c r="B719" s="1"/>
      <c r="C719" s="1"/>
      <c r="D719" s="1"/>
      <c r="E719" s="1"/>
      <c r="F719" s="1"/>
      <c r="G719" s="1"/>
      <c r="H719" s="1"/>
      <c r="I719" s="1"/>
      <c r="J719" s="1"/>
      <c r="K719" s="1"/>
      <c r="L719" s="1"/>
      <c r="M719" s="1"/>
      <c r="N719" s="1"/>
      <c r="O719" s="1"/>
      <c r="P719" s="1"/>
      <c r="Q719" s="1"/>
      <c r="R719" s="1"/>
      <c r="S719" s="1"/>
      <c r="T719" s="1"/>
      <c r="U719" s="2"/>
      <c r="V719" s="1"/>
      <c r="W719" s="1"/>
      <c r="X719" s="1"/>
      <c r="Y719" s="1"/>
      <c r="Z719" s="1"/>
    </row>
    <row r="720" spans="1:26" ht="24.75" customHeight="1">
      <c r="A720" s="1"/>
      <c r="B720" s="1"/>
      <c r="C720" s="1"/>
      <c r="D720" s="1"/>
      <c r="E720" s="1"/>
      <c r="F720" s="1"/>
      <c r="G720" s="1"/>
      <c r="H720" s="1"/>
      <c r="I720" s="1"/>
      <c r="J720" s="1"/>
      <c r="K720" s="1"/>
      <c r="L720" s="1"/>
      <c r="M720" s="1"/>
      <c r="N720" s="1"/>
      <c r="O720" s="1"/>
      <c r="P720" s="1"/>
      <c r="Q720" s="1"/>
      <c r="R720" s="1"/>
      <c r="S720" s="1"/>
      <c r="T720" s="1"/>
      <c r="U720" s="2"/>
      <c r="V720" s="1"/>
      <c r="W720" s="1"/>
      <c r="X720" s="1"/>
      <c r="Y720" s="1"/>
      <c r="Z720" s="1"/>
    </row>
    <row r="721" spans="1:26" ht="24.75" customHeight="1">
      <c r="A721" s="1"/>
      <c r="B721" s="1"/>
      <c r="C721" s="1"/>
      <c r="D721" s="1"/>
      <c r="E721" s="1"/>
      <c r="F721" s="1"/>
      <c r="G721" s="1"/>
      <c r="H721" s="1"/>
      <c r="I721" s="1"/>
      <c r="J721" s="1"/>
      <c r="K721" s="1"/>
      <c r="L721" s="1"/>
      <c r="M721" s="1"/>
      <c r="N721" s="1"/>
      <c r="O721" s="1"/>
      <c r="P721" s="1"/>
      <c r="Q721" s="1"/>
      <c r="R721" s="1"/>
      <c r="S721" s="1"/>
      <c r="T721" s="1"/>
      <c r="U721" s="2"/>
      <c r="V721" s="1"/>
      <c r="W721" s="1"/>
      <c r="X721" s="1"/>
      <c r="Y721" s="1"/>
      <c r="Z721" s="1"/>
    </row>
    <row r="722" spans="1:26" ht="24.75" customHeight="1">
      <c r="A722" s="1"/>
      <c r="B722" s="1"/>
      <c r="C722" s="1"/>
      <c r="D722" s="1"/>
      <c r="E722" s="1"/>
      <c r="F722" s="1"/>
      <c r="G722" s="1"/>
      <c r="H722" s="1"/>
      <c r="I722" s="1"/>
      <c r="J722" s="1"/>
      <c r="K722" s="1"/>
      <c r="L722" s="1"/>
      <c r="M722" s="1"/>
      <c r="N722" s="1"/>
      <c r="O722" s="1"/>
      <c r="P722" s="1"/>
      <c r="Q722" s="1"/>
      <c r="R722" s="1"/>
      <c r="S722" s="1"/>
      <c r="T722" s="1"/>
      <c r="U722" s="2"/>
      <c r="V722" s="1"/>
      <c r="W722" s="1"/>
      <c r="X722" s="1"/>
      <c r="Y722" s="1"/>
      <c r="Z722" s="1"/>
    </row>
    <row r="723" spans="1:26" ht="24.75" customHeight="1">
      <c r="A723" s="1"/>
      <c r="B723" s="1"/>
      <c r="C723" s="1"/>
      <c r="D723" s="1"/>
      <c r="E723" s="1"/>
      <c r="F723" s="1"/>
      <c r="G723" s="1"/>
      <c r="H723" s="1"/>
      <c r="I723" s="1"/>
      <c r="J723" s="1"/>
      <c r="K723" s="1"/>
      <c r="L723" s="1"/>
      <c r="M723" s="1"/>
      <c r="N723" s="1"/>
      <c r="O723" s="1"/>
      <c r="P723" s="1"/>
      <c r="Q723" s="1"/>
      <c r="R723" s="1"/>
      <c r="S723" s="1"/>
      <c r="T723" s="1"/>
      <c r="U723" s="2"/>
      <c r="V723" s="1"/>
      <c r="W723" s="1"/>
      <c r="X723" s="1"/>
      <c r="Y723" s="1"/>
      <c r="Z723" s="1"/>
    </row>
    <row r="724" spans="1:26" ht="24.75" customHeight="1">
      <c r="A724" s="1"/>
      <c r="B724" s="1"/>
      <c r="C724" s="1"/>
      <c r="D724" s="1"/>
      <c r="E724" s="1"/>
      <c r="F724" s="1"/>
      <c r="G724" s="1"/>
      <c r="H724" s="1"/>
      <c r="I724" s="1"/>
      <c r="J724" s="1"/>
      <c r="K724" s="1"/>
      <c r="L724" s="1"/>
      <c r="M724" s="1"/>
      <c r="N724" s="1"/>
      <c r="O724" s="1"/>
      <c r="P724" s="1"/>
      <c r="Q724" s="1"/>
      <c r="R724" s="1"/>
      <c r="S724" s="1"/>
      <c r="T724" s="1"/>
      <c r="U724" s="2"/>
      <c r="V724" s="1"/>
      <c r="W724" s="1"/>
      <c r="X724" s="1"/>
      <c r="Y724" s="1"/>
      <c r="Z724" s="1"/>
    </row>
    <row r="725" spans="1:26" ht="24.75" customHeight="1">
      <c r="A725" s="1"/>
      <c r="B725" s="1"/>
      <c r="C725" s="1"/>
      <c r="D725" s="1"/>
      <c r="E725" s="1"/>
      <c r="F725" s="1"/>
      <c r="G725" s="1"/>
      <c r="H725" s="1"/>
      <c r="I725" s="1"/>
      <c r="J725" s="1"/>
      <c r="K725" s="1"/>
      <c r="L725" s="1"/>
      <c r="M725" s="1"/>
      <c r="N725" s="1"/>
      <c r="O725" s="1"/>
      <c r="P725" s="1"/>
      <c r="Q725" s="1"/>
      <c r="R725" s="1"/>
      <c r="S725" s="1"/>
      <c r="T725" s="1"/>
      <c r="U725" s="2"/>
      <c r="V725" s="1"/>
      <c r="W725" s="1"/>
      <c r="X725" s="1"/>
      <c r="Y725" s="1"/>
      <c r="Z725" s="1"/>
    </row>
    <row r="726" spans="1:26" ht="24.75" customHeight="1">
      <c r="A726" s="1"/>
      <c r="B726" s="1"/>
      <c r="C726" s="1"/>
      <c r="D726" s="1"/>
      <c r="E726" s="1"/>
      <c r="F726" s="1"/>
      <c r="G726" s="1"/>
      <c r="H726" s="1"/>
      <c r="I726" s="1"/>
      <c r="J726" s="1"/>
      <c r="K726" s="1"/>
      <c r="L726" s="1"/>
      <c r="M726" s="1"/>
      <c r="N726" s="1"/>
      <c r="O726" s="1"/>
      <c r="P726" s="1"/>
      <c r="Q726" s="1"/>
      <c r="R726" s="1"/>
      <c r="S726" s="1"/>
      <c r="T726" s="1"/>
      <c r="U726" s="2"/>
      <c r="V726" s="1"/>
      <c r="W726" s="1"/>
      <c r="X726" s="1"/>
      <c r="Y726" s="1"/>
      <c r="Z726" s="1"/>
    </row>
    <row r="727" spans="1:26" ht="24.75" customHeight="1">
      <c r="A727" s="1"/>
      <c r="B727" s="1"/>
      <c r="C727" s="1"/>
      <c r="D727" s="1"/>
      <c r="E727" s="1"/>
      <c r="F727" s="1"/>
      <c r="G727" s="1"/>
      <c r="H727" s="1"/>
      <c r="I727" s="1"/>
      <c r="J727" s="1"/>
      <c r="K727" s="1"/>
      <c r="L727" s="1"/>
      <c r="M727" s="1"/>
      <c r="N727" s="1"/>
      <c r="O727" s="1"/>
      <c r="P727" s="1"/>
      <c r="Q727" s="1"/>
      <c r="R727" s="1"/>
      <c r="S727" s="1"/>
      <c r="T727" s="1"/>
      <c r="U727" s="2"/>
      <c r="V727" s="1"/>
      <c r="W727" s="1"/>
      <c r="X727" s="1"/>
      <c r="Y727" s="1"/>
      <c r="Z727" s="1"/>
    </row>
    <row r="728" spans="1:26" ht="24.75" customHeight="1">
      <c r="A728" s="1"/>
      <c r="B728" s="1"/>
      <c r="C728" s="1"/>
      <c r="D728" s="1"/>
      <c r="E728" s="1"/>
      <c r="F728" s="1"/>
      <c r="G728" s="1"/>
      <c r="H728" s="1"/>
      <c r="I728" s="1"/>
      <c r="J728" s="1"/>
      <c r="K728" s="1"/>
      <c r="L728" s="1"/>
      <c r="M728" s="1"/>
      <c r="N728" s="1"/>
      <c r="O728" s="1"/>
      <c r="P728" s="1"/>
      <c r="Q728" s="1"/>
      <c r="R728" s="1"/>
      <c r="S728" s="1"/>
      <c r="T728" s="1"/>
      <c r="U728" s="2"/>
      <c r="V728" s="1"/>
      <c r="W728" s="1"/>
      <c r="X728" s="1"/>
      <c r="Y728" s="1"/>
      <c r="Z728" s="1"/>
    </row>
    <row r="729" spans="1:26" ht="24.75" customHeight="1">
      <c r="A729" s="1"/>
      <c r="B729" s="1"/>
      <c r="C729" s="1"/>
      <c r="D729" s="1"/>
      <c r="E729" s="1"/>
      <c r="F729" s="1"/>
      <c r="G729" s="1"/>
      <c r="H729" s="1"/>
      <c r="I729" s="1"/>
      <c r="J729" s="1"/>
      <c r="K729" s="1"/>
      <c r="L729" s="1"/>
      <c r="M729" s="1"/>
      <c r="N729" s="1"/>
      <c r="O729" s="1"/>
      <c r="P729" s="1"/>
      <c r="Q729" s="1"/>
      <c r="R729" s="1"/>
      <c r="S729" s="1"/>
      <c r="T729" s="1"/>
      <c r="U729" s="2"/>
      <c r="V729" s="1"/>
      <c r="W729" s="1"/>
      <c r="X729" s="1"/>
      <c r="Y729" s="1"/>
      <c r="Z729" s="1"/>
    </row>
    <row r="730" spans="1:26" ht="24.75" customHeight="1">
      <c r="A730" s="1"/>
      <c r="B730" s="1"/>
      <c r="C730" s="1"/>
      <c r="D730" s="1"/>
      <c r="E730" s="1"/>
      <c r="F730" s="1"/>
      <c r="G730" s="1"/>
      <c r="H730" s="1"/>
      <c r="I730" s="1"/>
      <c r="J730" s="1"/>
      <c r="K730" s="1"/>
      <c r="L730" s="1"/>
      <c r="M730" s="1"/>
      <c r="N730" s="1"/>
      <c r="O730" s="1"/>
      <c r="P730" s="1"/>
      <c r="Q730" s="1"/>
      <c r="R730" s="1"/>
      <c r="S730" s="1"/>
      <c r="T730" s="1"/>
      <c r="U730" s="2"/>
      <c r="V730" s="1"/>
      <c r="W730" s="1"/>
      <c r="X730" s="1"/>
      <c r="Y730" s="1"/>
      <c r="Z730" s="1"/>
    </row>
    <row r="731" spans="1:26" ht="24.75" customHeight="1">
      <c r="A731" s="1"/>
      <c r="B731" s="1"/>
      <c r="C731" s="1"/>
      <c r="D731" s="1"/>
      <c r="E731" s="1"/>
      <c r="F731" s="1"/>
      <c r="G731" s="1"/>
      <c r="H731" s="1"/>
      <c r="I731" s="1"/>
      <c r="J731" s="1"/>
      <c r="K731" s="1"/>
      <c r="L731" s="1"/>
      <c r="M731" s="1"/>
      <c r="N731" s="1"/>
      <c r="O731" s="1"/>
      <c r="P731" s="1"/>
      <c r="Q731" s="1"/>
      <c r="R731" s="1"/>
      <c r="S731" s="1"/>
      <c r="T731" s="1"/>
      <c r="U731" s="2"/>
      <c r="V731" s="1"/>
      <c r="W731" s="1"/>
      <c r="X731" s="1"/>
      <c r="Y731" s="1"/>
      <c r="Z731" s="1"/>
    </row>
    <row r="732" spans="1:26" ht="24.75" customHeight="1">
      <c r="A732" s="1"/>
      <c r="B732" s="1"/>
      <c r="C732" s="1"/>
      <c r="D732" s="1"/>
      <c r="E732" s="1"/>
      <c r="F732" s="1"/>
      <c r="G732" s="1"/>
      <c r="H732" s="1"/>
      <c r="I732" s="1"/>
      <c r="J732" s="1"/>
      <c r="K732" s="1"/>
      <c r="L732" s="1"/>
      <c r="M732" s="1"/>
      <c r="N732" s="1"/>
      <c r="O732" s="1"/>
      <c r="P732" s="1"/>
      <c r="Q732" s="1"/>
      <c r="R732" s="1"/>
      <c r="S732" s="1"/>
      <c r="T732" s="1"/>
      <c r="U732" s="2"/>
      <c r="V732" s="1"/>
      <c r="W732" s="1"/>
      <c r="X732" s="1"/>
      <c r="Y732" s="1"/>
      <c r="Z732" s="1"/>
    </row>
    <row r="733" spans="1:26" ht="24.75" customHeight="1">
      <c r="A733" s="1"/>
      <c r="B733" s="1"/>
      <c r="C733" s="1"/>
      <c r="D733" s="1"/>
      <c r="E733" s="1"/>
      <c r="F733" s="1"/>
      <c r="G733" s="1"/>
      <c r="H733" s="1"/>
      <c r="I733" s="1"/>
      <c r="J733" s="1"/>
      <c r="K733" s="1"/>
      <c r="L733" s="1"/>
      <c r="M733" s="1"/>
      <c r="N733" s="1"/>
      <c r="O733" s="1"/>
      <c r="P733" s="1"/>
      <c r="Q733" s="1"/>
      <c r="R733" s="1"/>
      <c r="S733" s="1"/>
      <c r="T733" s="1"/>
      <c r="U733" s="2"/>
      <c r="V733" s="1"/>
      <c r="W733" s="1"/>
      <c r="X733" s="1"/>
      <c r="Y733" s="1"/>
      <c r="Z733" s="1"/>
    </row>
    <row r="734" spans="1:26" ht="24.75" customHeight="1">
      <c r="A734" s="1"/>
      <c r="B734" s="1"/>
      <c r="C734" s="1"/>
      <c r="D734" s="1"/>
      <c r="E734" s="1"/>
      <c r="F734" s="1"/>
      <c r="G734" s="1"/>
      <c r="H734" s="1"/>
      <c r="I734" s="1"/>
      <c r="J734" s="1"/>
      <c r="K734" s="1"/>
      <c r="L734" s="1"/>
      <c r="M734" s="1"/>
      <c r="N734" s="1"/>
      <c r="O734" s="1"/>
      <c r="P734" s="1"/>
      <c r="Q734" s="1"/>
      <c r="R734" s="1"/>
      <c r="S734" s="1"/>
      <c r="T734" s="1"/>
      <c r="U734" s="2"/>
      <c r="V734" s="1"/>
      <c r="W734" s="1"/>
      <c r="X734" s="1"/>
      <c r="Y734" s="1"/>
      <c r="Z734" s="1"/>
    </row>
    <row r="735" spans="1:26" ht="24.75" customHeight="1">
      <c r="A735" s="1"/>
      <c r="B735" s="1"/>
      <c r="C735" s="1"/>
      <c r="D735" s="1"/>
      <c r="E735" s="1"/>
      <c r="F735" s="1"/>
      <c r="G735" s="1"/>
      <c r="H735" s="1"/>
      <c r="I735" s="1"/>
      <c r="J735" s="1"/>
      <c r="K735" s="1"/>
      <c r="L735" s="1"/>
      <c r="M735" s="1"/>
      <c r="N735" s="1"/>
      <c r="O735" s="1"/>
      <c r="P735" s="1"/>
      <c r="Q735" s="1"/>
      <c r="R735" s="1"/>
      <c r="S735" s="1"/>
      <c r="T735" s="1"/>
      <c r="U735" s="2"/>
      <c r="V735" s="1"/>
      <c r="W735" s="1"/>
      <c r="X735" s="1"/>
      <c r="Y735" s="1"/>
      <c r="Z735" s="1"/>
    </row>
    <row r="736" spans="1:26" ht="24.75" customHeight="1">
      <c r="A736" s="1"/>
      <c r="B736" s="1"/>
      <c r="C736" s="1"/>
      <c r="D736" s="1"/>
      <c r="E736" s="1"/>
      <c r="F736" s="1"/>
      <c r="G736" s="1"/>
      <c r="H736" s="1"/>
      <c r="I736" s="1"/>
      <c r="J736" s="1"/>
      <c r="K736" s="1"/>
      <c r="L736" s="1"/>
      <c r="M736" s="1"/>
      <c r="N736" s="1"/>
      <c r="O736" s="1"/>
      <c r="P736" s="1"/>
      <c r="Q736" s="1"/>
      <c r="R736" s="1"/>
      <c r="S736" s="1"/>
      <c r="T736" s="1"/>
      <c r="U736" s="2"/>
      <c r="V736" s="1"/>
      <c r="W736" s="1"/>
      <c r="X736" s="1"/>
      <c r="Y736" s="1"/>
      <c r="Z736" s="1"/>
    </row>
    <row r="737" spans="1:26" ht="24.75" customHeight="1">
      <c r="A737" s="1"/>
      <c r="B737" s="1"/>
      <c r="C737" s="1"/>
      <c r="D737" s="1"/>
      <c r="E737" s="1"/>
      <c r="F737" s="1"/>
      <c r="G737" s="1"/>
      <c r="H737" s="1"/>
      <c r="I737" s="1"/>
      <c r="J737" s="1"/>
      <c r="K737" s="1"/>
      <c r="L737" s="1"/>
      <c r="M737" s="1"/>
      <c r="N737" s="1"/>
      <c r="O737" s="1"/>
      <c r="P737" s="1"/>
      <c r="Q737" s="1"/>
      <c r="R737" s="1"/>
      <c r="S737" s="1"/>
      <c r="T737" s="1"/>
      <c r="U737" s="2"/>
      <c r="V737" s="1"/>
      <c r="W737" s="1"/>
      <c r="X737" s="1"/>
      <c r="Y737" s="1"/>
      <c r="Z737" s="1"/>
    </row>
    <row r="738" spans="1:26" ht="24.75" customHeight="1">
      <c r="A738" s="1"/>
      <c r="B738" s="1"/>
      <c r="C738" s="1"/>
      <c r="D738" s="1"/>
      <c r="E738" s="1"/>
      <c r="F738" s="1"/>
      <c r="G738" s="1"/>
      <c r="H738" s="1"/>
      <c r="I738" s="1"/>
      <c r="J738" s="1"/>
      <c r="K738" s="1"/>
      <c r="L738" s="1"/>
      <c r="M738" s="1"/>
      <c r="N738" s="1"/>
      <c r="O738" s="1"/>
      <c r="P738" s="1"/>
      <c r="Q738" s="1"/>
      <c r="R738" s="1"/>
      <c r="S738" s="1"/>
      <c r="T738" s="1"/>
      <c r="U738" s="2"/>
      <c r="V738" s="1"/>
      <c r="W738" s="1"/>
      <c r="X738" s="1"/>
      <c r="Y738" s="1"/>
      <c r="Z738" s="1"/>
    </row>
    <row r="739" spans="1:26" ht="24.75" customHeight="1">
      <c r="A739" s="1"/>
      <c r="B739" s="1"/>
      <c r="C739" s="1"/>
      <c r="D739" s="1"/>
      <c r="E739" s="1"/>
      <c r="F739" s="1"/>
      <c r="G739" s="1"/>
      <c r="H739" s="1"/>
      <c r="I739" s="1"/>
      <c r="J739" s="1"/>
      <c r="K739" s="1"/>
      <c r="L739" s="1"/>
      <c r="M739" s="1"/>
      <c r="N739" s="1"/>
      <c r="O739" s="1"/>
      <c r="P739" s="1"/>
      <c r="Q739" s="1"/>
      <c r="R739" s="1"/>
      <c r="S739" s="1"/>
      <c r="T739" s="1"/>
      <c r="U739" s="2"/>
      <c r="V739" s="1"/>
      <c r="W739" s="1"/>
      <c r="X739" s="1"/>
      <c r="Y739" s="1"/>
      <c r="Z739" s="1"/>
    </row>
    <row r="740" spans="1:26" ht="24.75" customHeight="1">
      <c r="A740" s="1"/>
      <c r="B740" s="1"/>
      <c r="C740" s="1"/>
      <c r="D740" s="1"/>
      <c r="E740" s="1"/>
      <c r="F740" s="1"/>
      <c r="G740" s="1"/>
      <c r="H740" s="1"/>
      <c r="I740" s="1"/>
      <c r="J740" s="1"/>
      <c r="K740" s="1"/>
      <c r="L740" s="1"/>
      <c r="M740" s="1"/>
      <c r="N740" s="1"/>
      <c r="O740" s="1"/>
      <c r="P740" s="1"/>
      <c r="Q740" s="1"/>
      <c r="R740" s="1"/>
      <c r="S740" s="1"/>
      <c r="T740" s="1"/>
      <c r="U740" s="2"/>
      <c r="V740" s="1"/>
      <c r="W740" s="1"/>
      <c r="X740" s="1"/>
      <c r="Y740" s="1"/>
      <c r="Z740" s="1"/>
    </row>
    <row r="741" spans="1:26" ht="24.75" customHeight="1">
      <c r="A741" s="1"/>
      <c r="B741" s="1"/>
      <c r="C741" s="1"/>
      <c r="D741" s="1"/>
      <c r="E741" s="1"/>
      <c r="F741" s="1"/>
      <c r="G741" s="1"/>
      <c r="H741" s="1"/>
      <c r="I741" s="1"/>
      <c r="J741" s="1"/>
      <c r="K741" s="1"/>
      <c r="L741" s="1"/>
      <c r="M741" s="1"/>
      <c r="N741" s="1"/>
      <c r="O741" s="1"/>
      <c r="P741" s="1"/>
      <c r="Q741" s="1"/>
      <c r="R741" s="1"/>
      <c r="S741" s="1"/>
      <c r="T741" s="1"/>
      <c r="U741" s="2"/>
      <c r="V741" s="1"/>
      <c r="W741" s="1"/>
      <c r="X741" s="1"/>
      <c r="Y741" s="1"/>
      <c r="Z741" s="1"/>
    </row>
    <row r="742" spans="1:26" ht="24.75" customHeight="1">
      <c r="A742" s="1"/>
      <c r="B742" s="1"/>
      <c r="C742" s="1"/>
      <c r="D742" s="1"/>
      <c r="E742" s="1"/>
      <c r="F742" s="1"/>
      <c r="G742" s="1"/>
      <c r="H742" s="1"/>
      <c r="I742" s="1"/>
      <c r="J742" s="1"/>
      <c r="K742" s="1"/>
      <c r="L742" s="1"/>
      <c r="M742" s="1"/>
      <c r="N742" s="1"/>
      <c r="O742" s="1"/>
      <c r="P742" s="1"/>
      <c r="Q742" s="1"/>
      <c r="R742" s="1"/>
      <c r="S742" s="1"/>
      <c r="T742" s="1"/>
      <c r="U742" s="2"/>
      <c r="V742" s="1"/>
      <c r="W742" s="1"/>
      <c r="X742" s="1"/>
      <c r="Y742" s="1"/>
      <c r="Z742" s="1"/>
    </row>
    <row r="743" spans="1:26" ht="24.75" customHeight="1">
      <c r="A743" s="1"/>
      <c r="B743" s="1"/>
      <c r="C743" s="1"/>
      <c r="D743" s="1"/>
      <c r="E743" s="1"/>
      <c r="F743" s="1"/>
      <c r="G743" s="1"/>
      <c r="H743" s="1"/>
      <c r="I743" s="1"/>
      <c r="J743" s="1"/>
      <c r="K743" s="1"/>
      <c r="L743" s="1"/>
      <c r="M743" s="1"/>
      <c r="N743" s="1"/>
      <c r="O743" s="1"/>
      <c r="P743" s="1"/>
      <c r="Q743" s="1"/>
      <c r="R743" s="1"/>
      <c r="S743" s="1"/>
      <c r="T743" s="1"/>
      <c r="U743" s="2"/>
      <c r="V743" s="1"/>
      <c r="W743" s="1"/>
      <c r="X743" s="1"/>
      <c r="Y743" s="1"/>
      <c r="Z743" s="1"/>
    </row>
    <row r="744" spans="1:26" ht="24.75" customHeight="1">
      <c r="A744" s="1"/>
      <c r="B744" s="1"/>
      <c r="C744" s="1"/>
      <c r="D744" s="1"/>
      <c r="E744" s="1"/>
      <c r="F744" s="1"/>
      <c r="G744" s="1"/>
      <c r="H744" s="1"/>
      <c r="I744" s="1"/>
      <c r="J744" s="1"/>
      <c r="K744" s="1"/>
      <c r="L744" s="1"/>
      <c r="M744" s="1"/>
      <c r="N744" s="1"/>
      <c r="O744" s="1"/>
      <c r="P744" s="1"/>
      <c r="Q744" s="1"/>
      <c r="R744" s="1"/>
      <c r="S744" s="1"/>
      <c r="T744" s="1"/>
      <c r="U744" s="2"/>
      <c r="V744" s="1"/>
      <c r="W744" s="1"/>
      <c r="X744" s="1"/>
      <c r="Y744" s="1"/>
      <c r="Z744" s="1"/>
    </row>
    <row r="745" spans="1:26" ht="24.75" customHeight="1">
      <c r="A745" s="1"/>
      <c r="B745" s="1"/>
      <c r="C745" s="1"/>
      <c r="D745" s="1"/>
      <c r="E745" s="1"/>
      <c r="F745" s="1"/>
      <c r="G745" s="1"/>
      <c r="H745" s="1"/>
      <c r="I745" s="1"/>
      <c r="J745" s="1"/>
      <c r="K745" s="1"/>
      <c r="L745" s="1"/>
      <c r="M745" s="1"/>
      <c r="N745" s="1"/>
      <c r="O745" s="1"/>
      <c r="P745" s="1"/>
      <c r="Q745" s="1"/>
      <c r="R745" s="1"/>
      <c r="S745" s="1"/>
      <c r="T745" s="1"/>
      <c r="U745" s="2"/>
      <c r="V745" s="1"/>
      <c r="W745" s="1"/>
      <c r="X745" s="1"/>
      <c r="Y745" s="1"/>
      <c r="Z745" s="1"/>
    </row>
    <row r="746" spans="1:26" ht="24.75" customHeight="1">
      <c r="A746" s="1"/>
      <c r="B746" s="1"/>
      <c r="C746" s="1"/>
      <c r="D746" s="1"/>
      <c r="E746" s="1"/>
      <c r="F746" s="1"/>
      <c r="G746" s="1"/>
      <c r="H746" s="1"/>
      <c r="I746" s="1"/>
      <c r="J746" s="1"/>
      <c r="K746" s="1"/>
      <c r="L746" s="1"/>
      <c r="M746" s="1"/>
      <c r="N746" s="1"/>
      <c r="O746" s="1"/>
      <c r="P746" s="1"/>
      <c r="Q746" s="1"/>
      <c r="R746" s="1"/>
      <c r="S746" s="1"/>
      <c r="T746" s="1"/>
      <c r="U746" s="2"/>
      <c r="V746" s="1"/>
      <c r="W746" s="1"/>
      <c r="X746" s="1"/>
      <c r="Y746" s="1"/>
      <c r="Z746" s="1"/>
    </row>
    <row r="747" spans="1:26" ht="24.75" customHeight="1">
      <c r="A747" s="1"/>
      <c r="B747" s="1"/>
      <c r="C747" s="1"/>
      <c r="D747" s="1"/>
      <c r="E747" s="1"/>
      <c r="F747" s="1"/>
      <c r="G747" s="1"/>
      <c r="H747" s="1"/>
      <c r="I747" s="1"/>
      <c r="J747" s="1"/>
      <c r="K747" s="1"/>
      <c r="L747" s="1"/>
      <c r="M747" s="1"/>
      <c r="N747" s="1"/>
      <c r="O747" s="1"/>
      <c r="P747" s="1"/>
      <c r="Q747" s="1"/>
      <c r="R747" s="1"/>
      <c r="S747" s="1"/>
      <c r="T747" s="1"/>
      <c r="U747" s="2"/>
      <c r="V747" s="1"/>
      <c r="W747" s="1"/>
      <c r="X747" s="1"/>
      <c r="Y747" s="1"/>
      <c r="Z747" s="1"/>
    </row>
    <row r="748" spans="1:26" ht="24.75" customHeight="1">
      <c r="A748" s="1"/>
      <c r="B748" s="1"/>
      <c r="C748" s="1"/>
      <c r="D748" s="1"/>
      <c r="E748" s="1"/>
      <c r="F748" s="1"/>
      <c r="G748" s="1"/>
      <c r="H748" s="1"/>
      <c r="I748" s="1"/>
      <c r="J748" s="1"/>
      <c r="K748" s="1"/>
      <c r="L748" s="1"/>
      <c r="M748" s="1"/>
      <c r="N748" s="1"/>
      <c r="O748" s="1"/>
      <c r="P748" s="1"/>
      <c r="Q748" s="1"/>
      <c r="R748" s="1"/>
      <c r="S748" s="1"/>
      <c r="T748" s="1"/>
      <c r="U748" s="2"/>
      <c r="V748" s="1"/>
      <c r="W748" s="1"/>
      <c r="X748" s="1"/>
      <c r="Y748" s="1"/>
      <c r="Z748" s="1"/>
    </row>
    <row r="749" spans="1:26" ht="24.75" customHeight="1">
      <c r="A749" s="1"/>
      <c r="B749" s="1"/>
      <c r="C749" s="1"/>
      <c r="D749" s="1"/>
      <c r="E749" s="1"/>
      <c r="F749" s="1"/>
      <c r="G749" s="1"/>
      <c r="H749" s="1"/>
      <c r="I749" s="1"/>
      <c r="J749" s="1"/>
      <c r="K749" s="1"/>
      <c r="L749" s="1"/>
      <c r="M749" s="1"/>
      <c r="N749" s="1"/>
      <c r="O749" s="1"/>
      <c r="P749" s="1"/>
      <c r="Q749" s="1"/>
      <c r="R749" s="1"/>
      <c r="S749" s="1"/>
      <c r="T749" s="1"/>
      <c r="U749" s="2"/>
      <c r="V749" s="1"/>
      <c r="W749" s="1"/>
      <c r="X749" s="1"/>
      <c r="Y749" s="1"/>
      <c r="Z749" s="1"/>
    </row>
    <row r="750" spans="1:26" ht="24.75" customHeight="1">
      <c r="A750" s="1"/>
      <c r="B750" s="1"/>
      <c r="C750" s="1"/>
      <c r="D750" s="1"/>
      <c r="E750" s="1"/>
      <c r="F750" s="1"/>
      <c r="G750" s="1"/>
      <c r="H750" s="1"/>
      <c r="I750" s="1"/>
      <c r="J750" s="1"/>
      <c r="K750" s="1"/>
      <c r="L750" s="1"/>
      <c r="M750" s="1"/>
      <c r="N750" s="1"/>
      <c r="O750" s="1"/>
      <c r="P750" s="1"/>
      <c r="Q750" s="1"/>
      <c r="R750" s="1"/>
      <c r="S750" s="1"/>
      <c r="T750" s="1"/>
      <c r="U750" s="2"/>
      <c r="V750" s="1"/>
      <c r="W750" s="1"/>
      <c r="X750" s="1"/>
      <c r="Y750" s="1"/>
      <c r="Z750" s="1"/>
    </row>
    <row r="751" spans="1:26" ht="24.75" customHeight="1">
      <c r="A751" s="1"/>
      <c r="B751" s="1"/>
      <c r="C751" s="1"/>
      <c r="D751" s="1"/>
      <c r="E751" s="1"/>
      <c r="F751" s="1"/>
      <c r="G751" s="1"/>
      <c r="H751" s="1"/>
      <c r="I751" s="1"/>
      <c r="J751" s="1"/>
      <c r="K751" s="1"/>
      <c r="L751" s="1"/>
      <c r="M751" s="1"/>
      <c r="N751" s="1"/>
      <c r="O751" s="1"/>
      <c r="P751" s="1"/>
      <c r="Q751" s="1"/>
      <c r="R751" s="1"/>
      <c r="S751" s="1"/>
      <c r="T751" s="1"/>
      <c r="U751" s="2"/>
      <c r="V751" s="1"/>
      <c r="W751" s="1"/>
      <c r="X751" s="1"/>
      <c r="Y751" s="1"/>
      <c r="Z751" s="1"/>
    </row>
    <row r="752" spans="1:26" ht="24.75" customHeight="1">
      <c r="A752" s="1"/>
      <c r="B752" s="1"/>
      <c r="C752" s="1"/>
      <c r="D752" s="1"/>
      <c r="E752" s="1"/>
      <c r="F752" s="1"/>
      <c r="G752" s="1"/>
      <c r="H752" s="1"/>
      <c r="I752" s="1"/>
      <c r="J752" s="1"/>
      <c r="K752" s="1"/>
      <c r="L752" s="1"/>
      <c r="M752" s="1"/>
      <c r="N752" s="1"/>
      <c r="O752" s="1"/>
      <c r="P752" s="1"/>
      <c r="Q752" s="1"/>
      <c r="R752" s="1"/>
      <c r="S752" s="1"/>
      <c r="T752" s="1"/>
      <c r="U752" s="2"/>
      <c r="V752" s="1"/>
      <c r="W752" s="1"/>
      <c r="X752" s="1"/>
      <c r="Y752" s="1"/>
      <c r="Z752" s="1"/>
    </row>
    <row r="753" spans="1:26" ht="24.75" customHeight="1">
      <c r="A753" s="1"/>
      <c r="B753" s="1"/>
      <c r="C753" s="1"/>
      <c r="D753" s="1"/>
      <c r="E753" s="1"/>
      <c r="F753" s="1"/>
      <c r="G753" s="1"/>
      <c r="H753" s="1"/>
      <c r="I753" s="1"/>
      <c r="J753" s="1"/>
      <c r="K753" s="1"/>
      <c r="L753" s="1"/>
      <c r="M753" s="1"/>
      <c r="N753" s="1"/>
      <c r="O753" s="1"/>
      <c r="P753" s="1"/>
      <c r="Q753" s="1"/>
      <c r="R753" s="1"/>
      <c r="S753" s="1"/>
      <c r="T753" s="1"/>
      <c r="U753" s="2"/>
      <c r="V753" s="1"/>
      <c r="W753" s="1"/>
      <c r="X753" s="1"/>
      <c r="Y753" s="1"/>
      <c r="Z753" s="1"/>
    </row>
    <row r="754" spans="1:26" ht="24.75" customHeight="1">
      <c r="A754" s="1"/>
      <c r="B754" s="1"/>
      <c r="C754" s="1"/>
      <c r="D754" s="1"/>
      <c r="E754" s="1"/>
      <c r="F754" s="1"/>
      <c r="G754" s="1"/>
      <c r="H754" s="1"/>
      <c r="I754" s="1"/>
      <c r="J754" s="1"/>
      <c r="K754" s="1"/>
      <c r="L754" s="1"/>
      <c r="M754" s="1"/>
      <c r="N754" s="1"/>
      <c r="O754" s="1"/>
      <c r="P754" s="1"/>
      <c r="Q754" s="1"/>
      <c r="R754" s="1"/>
      <c r="S754" s="1"/>
      <c r="T754" s="1"/>
      <c r="U754" s="2"/>
      <c r="V754" s="1"/>
      <c r="W754" s="1"/>
      <c r="X754" s="1"/>
      <c r="Y754" s="1"/>
      <c r="Z754" s="1"/>
    </row>
    <row r="755" spans="1:26" ht="24.75" customHeight="1">
      <c r="A755" s="1"/>
      <c r="B755" s="1"/>
      <c r="C755" s="1"/>
      <c r="D755" s="1"/>
      <c r="E755" s="1"/>
      <c r="F755" s="1"/>
      <c r="G755" s="1"/>
      <c r="H755" s="1"/>
      <c r="I755" s="1"/>
      <c r="J755" s="1"/>
      <c r="K755" s="1"/>
      <c r="L755" s="1"/>
      <c r="M755" s="1"/>
      <c r="N755" s="1"/>
      <c r="O755" s="1"/>
      <c r="P755" s="1"/>
      <c r="Q755" s="1"/>
      <c r="R755" s="1"/>
      <c r="S755" s="1"/>
      <c r="T755" s="1"/>
      <c r="U755" s="2"/>
      <c r="V755" s="1"/>
      <c r="W755" s="1"/>
      <c r="X755" s="1"/>
      <c r="Y755" s="1"/>
      <c r="Z755" s="1"/>
    </row>
    <row r="756" spans="1:26" ht="24.75" customHeight="1">
      <c r="A756" s="1"/>
      <c r="B756" s="1"/>
      <c r="C756" s="1"/>
      <c r="D756" s="1"/>
      <c r="E756" s="1"/>
      <c r="F756" s="1"/>
      <c r="G756" s="1"/>
      <c r="H756" s="1"/>
      <c r="I756" s="1"/>
      <c r="J756" s="1"/>
      <c r="K756" s="1"/>
      <c r="L756" s="1"/>
      <c r="M756" s="1"/>
      <c r="N756" s="1"/>
      <c r="O756" s="1"/>
      <c r="P756" s="1"/>
      <c r="Q756" s="1"/>
      <c r="R756" s="1"/>
      <c r="S756" s="1"/>
      <c r="T756" s="1"/>
      <c r="U756" s="2"/>
      <c r="V756" s="1"/>
      <c r="W756" s="1"/>
      <c r="X756" s="1"/>
      <c r="Y756" s="1"/>
      <c r="Z756" s="1"/>
    </row>
    <row r="757" spans="1:26" ht="24.75" customHeight="1">
      <c r="A757" s="1"/>
      <c r="B757" s="1"/>
      <c r="C757" s="1"/>
      <c r="D757" s="1"/>
      <c r="E757" s="1"/>
      <c r="F757" s="1"/>
      <c r="G757" s="1"/>
      <c r="H757" s="1"/>
      <c r="I757" s="1"/>
      <c r="J757" s="1"/>
      <c r="K757" s="1"/>
      <c r="L757" s="1"/>
      <c r="M757" s="1"/>
      <c r="N757" s="1"/>
      <c r="O757" s="1"/>
      <c r="P757" s="1"/>
      <c r="Q757" s="1"/>
      <c r="R757" s="1"/>
      <c r="S757" s="1"/>
      <c r="T757" s="1"/>
      <c r="U757" s="2"/>
      <c r="V757" s="1"/>
      <c r="W757" s="1"/>
      <c r="X757" s="1"/>
      <c r="Y757" s="1"/>
      <c r="Z757" s="1"/>
    </row>
    <row r="758" spans="1:26" ht="24.75" customHeight="1">
      <c r="A758" s="1"/>
      <c r="B758" s="1"/>
      <c r="C758" s="1"/>
      <c r="D758" s="1"/>
      <c r="E758" s="1"/>
      <c r="F758" s="1"/>
      <c r="G758" s="1"/>
      <c r="H758" s="1"/>
      <c r="I758" s="1"/>
      <c r="J758" s="1"/>
      <c r="K758" s="1"/>
      <c r="L758" s="1"/>
      <c r="M758" s="1"/>
      <c r="N758" s="1"/>
      <c r="O758" s="1"/>
      <c r="P758" s="1"/>
      <c r="Q758" s="1"/>
      <c r="R758" s="1"/>
      <c r="S758" s="1"/>
      <c r="T758" s="1"/>
      <c r="U758" s="2"/>
      <c r="V758" s="1"/>
      <c r="W758" s="1"/>
      <c r="X758" s="1"/>
      <c r="Y758" s="1"/>
      <c r="Z758" s="1"/>
    </row>
    <row r="759" spans="1:26" ht="24.75" customHeight="1">
      <c r="A759" s="1"/>
      <c r="B759" s="1"/>
      <c r="C759" s="1"/>
      <c r="D759" s="1"/>
      <c r="E759" s="1"/>
      <c r="F759" s="1"/>
      <c r="G759" s="1"/>
      <c r="H759" s="1"/>
      <c r="I759" s="1"/>
      <c r="J759" s="1"/>
      <c r="K759" s="1"/>
      <c r="L759" s="1"/>
      <c r="M759" s="1"/>
      <c r="N759" s="1"/>
      <c r="O759" s="1"/>
      <c r="P759" s="1"/>
      <c r="Q759" s="1"/>
      <c r="R759" s="1"/>
      <c r="S759" s="1"/>
      <c r="T759" s="1"/>
      <c r="U759" s="2"/>
      <c r="V759" s="1"/>
      <c r="W759" s="1"/>
      <c r="X759" s="1"/>
      <c r="Y759" s="1"/>
      <c r="Z759" s="1"/>
    </row>
    <row r="760" spans="1:26" ht="24.75" customHeight="1">
      <c r="A760" s="1"/>
      <c r="B760" s="1"/>
      <c r="C760" s="1"/>
      <c r="D760" s="1"/>
      <c r="E760" s="1"/>
      <c r="F760" s="1"/>
      <c r="G760" s="1"/>
      <c r="H760" s="1"/>
      <c r="I760" s="1"/>
      <c r="J760" s="1"/>
      <c r="K760" s="1"/>
      <c r="L760" s="1"/>
      <c r="M760" s="1"/>
      <c r="N760" s="1"/>
      <c r="O760" s="1"/>
      <c r="P760" s="1"/>
      <c r="Q760" s="1"/>
      <c r="R760" s="1"/>
      <c r="S760" s="1"/>
      <c r="T760" s="1"/>
      <c r="U760" s="2"/>
      <c r="V760" s="1"/>
      <c r="W760" s="1"/>
      <c r="X760" s="1"/>
      <c r="Y760" s="1"/>
      <c r="Z760" s="1"/>
    </row>
    <row r="761" spans="1:26" ht="24.75" customHeight="1">
      <c r="A761" s="1"/>
      <c r="B761" s="1"/>
      <c r="C761" s="1"/>
      <c r="D761" s="1"/>
      <c r="E761" s="1"/>
      <c r="F761" s="1"/>
      <c r="G761" s="1"/>
      <c r="H761" s="1"/>
      <c r="I761" s="1"/>
      <c r="J761" s="1"/>
      <c r="K761" s="1"/>
      <c r="L761" s="1"/>
      <c r="M761" s="1"/>
      <c r="N761" s="1"/>
      <c r="O761" s="1"/>
      <c r="P761" s="1"/>
      <c r="Q761" s="1"/>
      <c r="R761" s="1"/>
      <c r="S761" s="1"/>
      <c r="T761" s="1"/>
      <c r="U761" s="2"/>
      <c r="V761" s="1"/>
      <c r="W761" s="1"/>
      <c r="X761" s="1"/>
      <c r="Y761" s="1"/>
      <c r="Z761" s="1"/>
    </row>
    <row r="762" spans="1:26" ht="24.75" customHeight="1">
      <c r="A762" s="1"/>
      <c r="B762" s="1"/>
      <c r="C762" s="1"/>
      <c r="D762" s="1"/>
      <c r="E762" s="1"/>
      <c r="F762" s="1"/>
      <c r="G762" s="1"/>
      <c r="H762" s="1"/>
      <c r="I762" s="1"/>
      <c r="J762" s="1"/>
      <c r="K762" s="1"/>
      <c r="L762" s="1"/>
      <c r="M762" s="1"/>
      <c r="N762" s="1"/>
      <c r="O762" s="1"/>
      <c r="P762" s="1"/>
      <c r="Q762" s="1"/>
      <c r="R762" s="1"/>
      <c r="S762" s="1"/>
      <c r="T762" s="1"/>
      <c r="U762" s="2"/>
      <c r="V762" s="1"/>
      <c r="W762" s="1"/>
      <c r="X762" s="1"/>
      <c r="Y762" s="1"/>
      <c r="Z762" s="1"/>
    </row>
    <row r="763" spans="1:26" ht="24.75" customHeight="1">
      <c r="A763" s="1"/>
      <c r="B763" s="1"/>
      <c r="C763" s="1"/>
      <c r="D763" s="1"/>
      <c r="E763" s="1"/>
      <c r="F763" s="1"/>
      <c r="G763" s="1"/>
      <c r="H763" s="1"/>
      <c r="I763" s="1"/>
      <c r="J763" s="1"/>
      <c r="K763" s="1"/>
      <c r="L763" s="1"/>
      <c r="M763" s="1"/>
      <c r="N763" s="1"/>
      <c r="O763" s="1"/>
      <c r="P763" s="1"/>
      <c r="Q763" s="1"/>
      <c r="R763" s="1"/>
      <c r="S763" s="1"/>
      <c r="T763" s="1"/>
      <c r="U763" s="2"/>
      <c r="V763" s="1"/>
      <c r="W763" s="1"/>
      <c r="X763" s="1"/>
      <c r="Y763" s="1"/>
      <c r="Z763" s="1"/>
    </row>
    <row r="764" spans="1:26" ht="24.75" customHeight="1">
      <c r="A764" s="1"/>
      <c r="B764" s="1"/>
      <c r="C764" s="1"/>
      <c r="D764" s="1"/>
      <c r="E764" s="1"/>
      <c r="F764" s="1"/>
      <c r="G764" s="1"/>
      <c r="H764" s="1"/>
      <c r="I764" s="1"/>
      <c r="J764" s="1"/>
      <c r="K764" s="1"/>
      <c r="L764" s="1"/>
      <c r="M764" s="1"/>
      <c r="N764" s="1"/>
      <c r="O764" s="1"/>
      <c r="P764" s="1"/>
      <c r="Q764" s="1"/>
      <c r="R764" s="1"/>
      <c r="S764" s="1"/>
      <c r="T764" s="1"/>
      <c r="U764" s="2"/>
      <c r="V764" s="1"/>
      <c r="W764" s="1"/>
      <c r="X764" s="1"/>
      <c r="Y764" s="1"/>
      <c r="Z764" s="1"/>
    </row>
    <row r="765" spans="1:26" ht="24.75" customHeight="1">
      <c r="A765" s="1"/>
      <c r="B765" s="1"/>
      <c r="C765" s="1"/>
      <c r="D765" s="1"/>
      <c r="E765" s="1"/>
      <c r="F765" s="1"/>
      <c r="G765" s="1"/>
      <c r="H765" s="1"/>
      <c r="I765" s="1"/>
      <c r="J765" s="1"/>
      <c r="K765" s="1"/>
      <c r="L765" s="1"/>
      <c r="M765" s="1"/>
      <c r="N765" s="1"/>
      <c r="O765" s="1"/>
      <c r="P765" s="1"/>
      <c r="Q765" s="1"/>
      <c r="R765" s="1"/>
      <c r="S765" s="1"/>
      <c r="T765" s="1"/>
      <c r="U765" s="2"/>
      <c r="V765" s="1"/>
      <c r="W765" s="1"/>
      <c r="X765" s="1"/>
      <c r="Y765" s="1"/>
      <c r="Z765" s="1"/>
    </row>
    <row r="766" spans="1:26" ht="24.75" customHeight="1">
      <c r="A766" s="1"/>
      <c r="B766" s="1"/>
      <c r="C766" s="1"/>
      <c r="D766" s="1"/>
      <c r="E766" s="1"/>
      <c r="F766" s="1"/>
      <c r="G766" s="1"/>
      <c r="H766" s="1"/>
      <c r="I766" s="1"/>
      <c r="J766" s="1"/>
      <c r="K766" s="1"/>
      <c r="L766" s="1"/>
      <c r="M766" s="1"/>
      <c r="N766" s="1"/>
      <c r="O766" s="1"/>
      <c r="P766" s="1"/>
      <c r="Q766" s="1"/>
      <c r="R766" s="1"/>
      <c r="S766" s="1"/>
      <c r="T766" s="1"/>
      <c r="U766" s="2"/>
      <c r="V766" s="1"/>
      <c r="W766" s="1"/>
      <c r="X766" s="1"/>
      <c r="Y766" s="1"/>
      <c r="Z766" s="1"/>
    </row>
    <row r="767" spans="1:26" ht="24.75" customHeight="1">
      <c r="A767" s="1"/>
      <c r="B767" s="1"/>
      <c r="C767" s="1"/>
      <c r="D767" s="1"/>
      <c r="E767" s="1"/>
      <c r="F767" s="1"/>
      <c r="G767" s="1"/>
      <c r="H767" s="1"/>
      <c r="I767" s="1"/>
      <c r="J767" s="1"/>
      <c r="K767" s="1"/>
      <c r="L767" s="1"/>
      <c r="M767" s="1"/>
      <c r="N767" s="1"/>
      <c r="O767" s="1"/>
      <c r="P767" s="1"/>
      <c r="Q767" s="1"/>
      <c r="R767" s="1"/>
      <c r="S767" s="1"/>
      <c r="T767" s="1"/>
      <c r="U767" s="2"/>
      <c r="V767" s="1"/>
      <c r="W767" s="1"/>
      <c r="X767" s="1"/>
      <c r="Y767" s="1"/>
      <c r="Z767" s="1"/>
    </row>
    <row r="768" spans="1:26" ht="24.75" customHeight="1">
      <c r="A768" s="1"/>
      <c r="B768" s="1"/>
      <c r="C768" s="1"/>
      <c r="D768" s="1"/>
      <c r="E768" s="1"/>
      <c r="F768" s="1"/>
      <c r="G768" s="1"/>
      <c r="H768" s="1"/>
      <c r="I768" s="1"/>
      <c r="J768" s="1"/>
      <c r="K768" s="1"/>
      <c r="L768" s="1"/>
      <c r="M768" s="1"/>
      <c r="N768" s="1"/>
      <c r="O768" s="1"/>
      <c r="P768" s="1"/>
      <c r="Q768" s="1"/>
      <c r="R768" s="1"/>
      <c r="S768" s="1"/>
      <c r="T768" s="1"/>
      <c r="U768" s="2"/>
      <c r="V768" s="1"/>
      <c r="W768" s="1"/>
      <c r="X768" s="1"/>
      <c r="Y768" s="1"/>
      <c r="Z768" s="1"/>
    </row>
    <row r="769" spans="1:26" ht="24.75" customHeight="1">
      <c r="A769" s="1"/>
      <c r="B769" s="1"/>
      <c r="C769" s="1"/>
      <c r="D769" s="1"/>
      <c r="E769" s="1"/>
      <c r="F769" s="1"/>
      <c r="G769" s="1"/>
      <c r="H769" s="1"/>
      <c r="I769" s="1"/>
      <c r="J769" s="1"/>
      <c r="K769" s="1"/>
      <c r="L769" s="1"/>
      <c r="M769" s="1"/>
      <c r="N769" s="1"/>
      <c r="O769" s="1"/>
      <c r="P769" s="1"/>
      <c r="Q769" s="1"/>
      <c r="R769" s="1"/>
      <c r="S769" s="1"/>
      <c r="T769" s="1"/>
      <c r="U769" s="2"/>
      <c r="V769" s="1"/>
      <c r="W769" s="1"/>
      <c r="X769" s="1"/>
      <c r="Y769" s="1"/>
      <c r="Z769" s="1"/>
    </row>
    <row r="770" spans="1:26" ht="24.75" customHeight="1">
      <c r="A770" s="1"/>
      <c r="B770" s="1"/>
      <c r="C770" s="1"/>
      <c r="D770" s="1"/>
      <c r="E770" s="1"/>
      <c r="F770" s="1"/>
      <c r="G770" s="1"/>
      <c r="H770" s="1"/>
      <c r="I770" s="1"/>
      <c r="J770" s="1"/>
      <c r="K770" s="1"/>
      <c r="L770" s="1"/>
      <c r="M770" s="1"/>
      <c r="N770" s="1"/>
      <c r="O770" s="1"/>
      <c r="P770" s="1"/>
      <c r="Q770" s="1"/>
      <c r="R770" s="1"/>
      <c r="S770" s="1"/>
      <c r="T770" s="1"/>
      <c r="U770" s="2"/>
      <c r="V770" s="1"/>
      <c r="W770" s="1"/>
      <c r="X770" s="1"/>
      <c r="Y770" s="1"/>
      <c r="Z770" s="1"/>
    </row>
    <row r="771" spans="1:26" ht="24.75" customHeight="1">
      <c r="A771" s="1"/>
      <c r="B771" s="1"/>
      <c r="C771" s="1"/>
      <c r="D771" s="1"/>
      <c r="E771" s="1"/>
      <c r="F771" s="1"/>
      <c r="G771" s="1"/>
      <c r="H771" s="1"/>
      <c r="I771" s="1"/>
      <c r="J771" s="1"/>
      <c r="K771" s="1"/>
      <c r="L771" s="1"/>
      <c r="M771" s="1"/>
      <c r="N771" s="1"/>
      <c r="O771" s="1"/>
      <c r="P771" s="1"/>
      <c r="Q771" s="1"/>
      <c r="R771" s="1"/>
      <c r="S771" s="1"/>
      <c r="T771" s="1"/>
      <c r="U771" s="2"/>
      <c r="V771" s="1"/>
      <c r="W771" s="1"/>
      <c r="X771" s="1"/>
      <c r="Y771" s="1"/>
      <c r="Z771" s="1"/>
    </row>
    <row r="772" spans="1:26" ht="24.75" customHeight="1">
      <c r="A772" s="1"/>
      <c r="B772" s="1"/>
      <c r="C772" s="1"/>
      <c r="D772" s="1"/>
      <c r="E772" s="1"/>
      <c r="F772" s="1"/>
      <c r="G772" s="1"/>
      <c r="H772" s="1"/>
      <c r="I772" s="1"/>
      <c r="J772" s="1"/>
      <c r="K772" s="1"/>
      <c r="L772" s="1"/>
      <c r="M772" s="1"/>
      <c r="N772" s="1"/>
      <c r="O772" s="1"/>
      <c r="P772" s="1"/>
      <c r="Q772" s="1"/>
      <c r="R772" s="1"/>
      <c r="S772" s="1"/>
      <c r="T772" s="1"/>
      <c r="U772" s="2"/>
      <c r="V772" s="1"/>
      <c r="W772" s="1"/>
      <c r="X772" s="1"/>
      <c r="Y772" s="1"/>
      <c r="Z772" s="1"/>
    </row>
    <row r="773" spans="1:26" ht="24.75" customHeight="1">
      <c r="A773" s="1"/>
      <c r="B773" s="1"/>
      <c r="C773" s="1"/>
      <c r="D773" s="1"/>
      <c r="E773" s="1"/>
      <c r="F773" s="1"/>
      <c r="G773" s="1"/>
      <c r="H773" s="1"/>
      <c r="I773" s="1"/>
      <c r="J773" s="1"/>
      <c r="K773" s="1"/>
      <c r="L773" s="1"/>
      <c r="M773" s="1"/>
      <c r="N773" s="1"/>
      <c r="O773" s="1"/>
      <c r="P773" s="1"/>
      <c r="Q773" s="1"/>
      <c r="R773" s="1"/>
      <c r="S773" s="1"/>
      <c r="T773" s="1"/>
      <c r="U773" s="2"/>
      <c r="V773" s="1"/>
      <c r="W773" s="1"/>
      <c r="X773" s="1"/>
      <c r="Y773" s="1"/>
      <c r="Z773" s="1"/>
    </row>
    <row r="774" spans="1:26" ht="24.75" customHeight="1">
      <c r="A774" s="1"/>
      <c r="B774" s="1"/>
      <c r="C774" s="1"/>
      <c r="D774" s="1"/>
      <c r="E774" s="1"/>
      <c r="F774" s="1"/>
      <c r="G774" s="1"/>
      <c r="H774" s="1"/>
      <c r="I774" s="1"/>
      <c r="J774" s="1"/>
      <c r="K774" s="1"/>
      <c r="L774" s="1"/>
      <c r="M774" s="1"/>
      <c r="N774" s="1"/>
      <c r="O774" s="1"/>
      <c r="P774" s="1"/>
      <c r="Q774" s="1"/>
      <c r="R774" s="1"/>
      <c r="S774" s="1"/>
      <c r="T774" s="1"/>
      <c r="U774" s="2"/>
      <c r="V774" s="1"/>
      <c r="W774" s="1"/>
      <c r="X774" s="1"/>
      <c r="Y774" s="1"/>
      <c r="Z774" s="1"/>
    </row>
    <row r="775" spans="1:26" ht="24.75" customHeight="1">
      <c r="A775" s="1"/>
      <c r="B775" s="1"/>
      <c r="C775" s="1"/>
      <c r="D775" s="1"/>
      <c r="E775" s="1"/>
      <c r="F775" s="1"/>
      <c r="G775" s="1"/>
      <c r="H775" s="1"/>
      <c r="I775" s="1"/>
      <c r="J775" s="1"/>
      <c r="K775" s="1"/>
      <c r="L775" s="1"/>
      <c r="M775" s="1"/>
      <c r="N775" s="1"/>
      <c r="O775" s="1"/>
      <c r="P775" s="1"/>
      <c r="Q775" s="1"/>
      <c r="R775" s="1"/>
      <c r="S775" s="1"/>
      <c r="T775" s="1"/>
      <c r="U775" s="2"/>
      <c r="V775" s="1"/>
      <c r="W775" s="1"/>
      <c r="X775" s="1"/>
      <c r="Y775" s="1"/>
      <c r="Z775" s="1"/>
    </row>
    <row r="776" spans="1:26" ht="24.75" customHeight="1">
      <c r="A776" s="1"/>
      <c r="B776" s="1"/>
      <c r="C776" s="1"/>
      <c r="D776" s="1"/>
      <c r="E776" s="1"/>
      <c r="F776" s="1"/>
      <c r="G776" s="1"/>
      <c r="H776" s="1"/>
      <c r="I776" s="1"/>
      <c r="J776" s="1"/>
      <c r="K776" s="1"/>
      <c r="L776" s="1"/>
      <c r="M776" s="1"/>
      <c r="N776" s="1"/>
      <c r="O776" s="1"/>
      <c r="P776" s="1"/>
      <c r="Q776" s="1"/>
      <c r="R776" s="1"/>
      <c r="S776" s="1"/>
      <c r="T776" s="1"/>
      <c r="U776" s="2"/>
      <c r="V776" s="1"/>
      <c r="W776" s="1"/>
      <c r="X776" s="1"/>
      <c r="Y776" s="1"/>
      <c r="Z776" s="1"/>
    </row>
    <row r="777" spans="1:26" ht="24.75" customHeight="1">
      <c r="A777" s="1"/>
      <c r="B777" s="1"/>
      <c r="C777" s="1"/>
      <c r="D777" s="1"/>
      <c r="E777" s="1"/>
      <c r="F777" s="1"/>
      <c r="G777" s="1"/>
      <c r="H777" s="1"/>
      <c r="I777" s="1"/>
      <c r="J777" s="1"/>
      <c r="K777" s="1"/>
      <c r="L777" s="1"/>
      <c r="M777" s="1"/>
      <c r="N777" s="1"/>
      <c r="O777" s="1"/>
      <c r="P777" s="1"/>
      <c r="Q777" s="1"/>
      <c r="R777" s="1"/>
      <c r="S777" s="1"/>
      <c r="T777" s="1"/>
      <c r="U777" s="2"/>
      <c r="V777" s="1"/>
      <c r="W777" s="1"/>
      <c r="X777" s="1"/>
      <c r="Y777" s="1"/>
      <c r="Z777" s="1"/>
    </row>
    <row r="778" spans="1:26" ht="24.75" customHeight="1">
      <c r="A778" s="1"/>
      <c r="B778" s="1"/>
      <c r="C778" s="1"/>
      <c r="D778" s="1"/>
      <c r="E778" s="1"/>
      <c r="F778" s="1"/>
      <c r="G778" s="1"/>
      <c r="H778" s="1"/>
      <c r="I778" s="1"/>
      <c r="J778" s="1"/>
      <c r="K778" s="1"/>
      <c r="L778" s="1"/>
      <c r="M778" s="1"/>
      <c r="N778" s="1"/>
      <c r="O778" s="1"/>
      <c r="P778" s="1"/>
      <c r="Q778" s="1"/>
      <c r="R778" s="1"/>
      <c r="S778" s="1"/>
      <c r="T778" s="1"/>
      <c r="U778" s="2"/>
      <c r="V778" s="1"/>
      <c r="W778" s="1"/>
      <c r="X778" s="1"/>
      <c r="Y778" s="1"/>
      <c r="Z778" s="1"/>
    </row>
    <row r="779" spans="1:26" ht="24.75" customHeight="1">
      <c r="A779" s="1"/>
      <c r="B779" s="1"/>
      <c r="C779" s="1"/>
      <c r="D779" s="1"/>
      <c r="E779" s="1"/>
      <c r="F779" s="1"/>
      <c r="G779" s="1"/>
      <c r="H779" s="1"/>
      <c r="I779" s="1"/>
      <c r="J779" s="1"/>
      <c r="K779" s="1"/>
      <c r="L779" s="1"/>
      <c r="M779" s="1"/>
      <c r="N779" s="1"/>
      <c r="O779" s="1"/>
      <c r="P779" s="1"/>
      <c r="Q779" s="1"/>
      <c r="R779" s="1"/>
      <c r="S779" s="1"/>
      <c r="T779" s="1"/>
      <c r="U779" s="2"/>
      <c r="V779" s="1"/>
      <c r="W779" s="1"/>
      <c r="X779" s="1"/>
      <c r="Y779" s="1"/>
      <c r="Z779" s="1"/>
    </row>
    <row r="780" spans="1:26" ht="24.75" customHeight="1">
      <c r="A780" s="1"/>
      <c r="B780" s="1"/>
      <c r="C780" s="1"/>
      <c r="D780" s="1"/>
      <c r="E780" s="1"/>
      <c r="F780" s="1"/>
      <c r="G780" s="1"/>
      <c r="H780" s="1"/>
      <c r="I780" s="1"/>
      <c r="J780" s="1"/>
      <c r="K780" s="1"/>
      <c r="L780" s="1"/>
      <c r="M780" s="1"/>
      <c r="N780" s="1"/>
      <c r="O780" s="1"/>
      <c r="P780" s="1"/>
      <c r="Q780" s="1"/>
      <c r="R780" s="1"/>
      <c r="S780" s="1"/>
      <c r="T780" s="1"/>
      <c r="U780" s="2"/>
      <c r="V780" s="1"/>
      <c r="W780" s="1"/>
      <c r="X780" s="1"/>
      <c r="Y780" s="1"/>
      <c r="Z780" s="1"/>
    </row>
    <row r="781" spans="1:26" ht="24.75" customHeight="1">
      <c r="A781" s="1"/>
      <c r="B781" s="1"/>
      <c r="C781" s="1"/>
      <c r="D781" s="1"/>
      <c r="E781" s="1"/>
      <c r="F781" s="1"/>
      <c r="G781" s="1"/>
      <c r="H781" s="1"/>
      <c r="I781" s="1"/>
      <c r="J781" s="1"/>
      <c r="K781" s="1"/>
      <c r="L781" s="1"/>
      <c r="M781" s="1"/>
      <c r="N781" s="1"/>
      <c r="O781" s="1"/>
      <c r="P781" s="1"/>
      <c r="Q781" s="1"/>
      <c r="R781" s="1"/>
      <c r="S781" s="1"/>
      <c r="T781" s="1"/>
      <c r="U781" s="2"/>
      <c r="V781" s="1"/>
      <c r="W781" s="1"/>
      <c r="X781" s="1"/>
      <c r="Y781" s="1"/>
      <c r="Z781" s="1"/>
    </row>
    <row r="782" spans="1:26" ht="24.75" customHeight="1">
      <c r="A782" s="1"/>
      <c r="B782" s="1"/>
      <c r="C782" s="1"/>
      <c r="D782" s="1"/>
      <c r="E782" s="1"/>
      <c r="F782" s="1"/>
      <c r="G782" s="1"/>
      <c r="H782" s="1"/>
      <c r="I782" s="1"/>
      <c r="J782" s="1"/>
      <c r="K782" s="1"/>
      <c r="L782" s="1"/>
      <c r="M782" s="1"/>
      <c r="N782" s="1"/>
      <c r="O782" s="1"/>
      <c r="P782" s="1"/>
      <c r="Q782" s="1"/>
      <c r="R782" s="1"/>
      <c r="S782" s="1"/>
      <c r="T782" s="1"/>
      <c r="U782" s="2"/>
      <c r="V782" s="1"/>
      <c r="W782" s="1"/>
      <c r="X782" s="1"/>
      <c r="Y782" s="1"/>
      <c r="Z782" s="1"/>
    </row>
    <row r="783" spans="1:26" ht="24.75" customHeight="1">
      <c r="A783" s="1"/>
      <c r="B783" s="1"/>
      <c r="C783" s="1"/>
      <c r="D783" s="1"/>
      <c r="E783" s="1"/>
      <c r="F783" s="1"/>
      <c r="G783" s="1"/>
      <c r="H783" s="1"/>
      <c r="I783" s="1"/>
      <c r="J783" s="1"/>
      <c r="K783" s="1"/>
      <c r="L783" s="1"/>
      <c r="M783" s="1"/>
      <c r="N783" s="1"/>
      <c r="O783" s="1"/>
      <c r="P783" s="1"/>
      <c r="Q783" s="1"/>
      <c r="R783" s="1"/>
      <c r="S783" s="1"/>
      <c r="T783" s="1"/>
      <c r="U783" s="2"/>
      <c r="V783" s="1"/>
      <c r="W783" s="1"/>
      <c r="X783" s="1"/>
      <c r="Y783" s="1"/>
      <c r="Z783" s="1"/>
    </row>
    <row r="784" spans="1:26" ht="24.75" customHeight="1">
      <c r="A784" s="1"/>
      <c r="B784" s="1"/>
      <c r="C784" s="1"/>
      <c r="D784" s="1"/>
      <c r="E784" s="1"/>
      <c r="F784" s="1"/>
      <c r="G784" s="1"/>
      <c r="H784" s="1"/>
      <c r="I784" s="1"/>
      <c r="J784" s="1"/>
      <c r="K784" s="1"/>
      <c r="L784" s="1"/>
      <c r="M784" s="1"/>
      <c r="N784" s="1"/>
      <c r="O784" s="1"/>
      <c r="P784" s="1"/>
      <c r="Q784" s="1"/>
      <c r="R784" s="1"/>
      <c r="S784" s="1"/>
      <c r="T784" s="1"/>
      <c r="U784" s="2"/>
      <c r="V784" s="1"/>
      <c r="W784" s="1"/>
      <c r="X784" s="1"/>
      <c r="Y784" s="1"/>
      <c r="Z784" s="1"/>
    </row>
    <row r="785" spans="1:26" ht="24.75" customHeight="1">
      <c r="A785" s="1"/>
      <c r="B785" s="1"/>
      <c r="C785" s="1"/>
      <c r="D785" s="1"/>
      <c r="E785" s="1"/>
      <c r="F785" s="1"/>
      <c r="G785" s="1"/>
      <c r="H785" s="1"/>
      <c r="I785" s="1"/>
      <c r="J785" s="1"/>
      <c r="K785" s="1"/>
      <c r="L785" s="1"/>
      <c r="M785" s="1"/>
      <c r="N785" s="1"/>
      <c r="O785" s="1"/>
      <c r="P785" s="1"/>
      <c r="Q785" s="1"/>
      <c r="R785" s="1"/>
      <c r="S785" s="1"/>
      <c r="T785" s="1"/>
      <c r="U785" s="2"/>
      <c r="V785" s="1"/>
      <c r="W785" s="1"/>
      <c r="X785" s="1"/>
      <c r="Y785" s="1"/>
      <c r="Z785" s="1"/>
    </row>
    <row r="786" spans="1:26" ht="24.75" customHeight="1">
      <c r="A786" s="1"/>
      <c r="B786" s="1"/>
      <c r="C786" s="1"/>
      <c r="D786" s="1"/>
      <c r="E786" s="1"/>
      <c r="F786" s="1"/>
      <c r="G786" s="1"/>
      <c r="H786" s="1"/>
      <c r="I786" s="1"/>
      <c r="J786" s="1"/>
      <c r="K786" s="1"/>
      <c r="L786" s="1"/>
      <c r="M786" s="1"/>
      <c r="N786" s="1"/>
      <c r="O786" s="1"/>
      <c r="P786" s="1"/>
      <c r="Q786" s="1"/>
      <c r="R786" s="1"/>
      <c r="S786" s="1"/>
      <c r="T786" s="1"/>
      <c r="U786" s="2"/>
      <c r="V786" s="1"/>
      <c r="W786" s="1"/>
      <c r="X786" s="1"/>
      <c r="Y786" s="1"/>
      <c r="Z786" s="1"/>
    </row>
    <row r="787" spans="1:26" ht="24.75" customHeight="1">
      <c r="A787" s="1"/>
      <c r="B787" s="1"/>
      <c r="C787" s="1"/>
      <c r="D787" s="1"/>
      <c r="E787" s="1"/>
      <c r="F787" s="1"/>
      <c r="G787" s="1"/>
      <c r="H787" s="1"/>
      <c r="I787" s="1"/>
      <c r="J787" s="1"/>
      <c r="K787" s="1"/>
      <c r="L787" s="1"/>
      <c r="M787" s="1"/>
      <c r="N787" s="1"/>
      <c r="O787" s="1"/>
      <c r="P787" s="1"/>
      <c r="Q787" s="1"/>
      <c r="R787" s="1"/>
      <c r="S787" s="1"/>
      <c r="T787" s="1"/>
      <c r="U787" s="2"/>
      <c r="V787" s="1"/>
      <c r="W787" s="1"/>
      <c r="X787" s="1"/>
      <c r="Y787" s="1"/>
      <c r="Z787" s="1"/>
    </row>
    <row r="788" spans="1:26" ht="24.75" customHeight="1">
      <c r="A788" s="1"/>
      <c r="B788" s="1"/>
      <c r="C788" s="1"/>
      <c r="D788" s="1"/>
      <c r="E788" s="1"/>
      <c r="F788" s="1"/>
      <c r="G788" s="1"/>
      <c r="H788" s="1"/>
      <c r="I788" s="1"/>
      <c r="J788" s="1"/>
      <c r="K788" s="1"/>
      <c r="L788" s="1"/>
      <c r="M788" s="1"/>
      <c r="N788" s="1"/>
      <c r="O788" s="1"/>
      <c r="P788" s="1"/>
      <c r="Q788" s="1"/>
      <c r="R788" s="1"/>
      <c r="S788" s="1"/>
      <c r="T788" s="1"/>
      <c r="U788" s="2"/>
      <c r="V788" s="1"/>
      <c r="W788" s="1"/>
      <c r="X788" s="1"/>
      <c r="Y788" s="1"/>
      <c r="Z788" s="1"/>
    </row>
    <row r="789" spans="1:26" ht="24.75" customHeight="1">
      <c r="A789" s="1"/>
      <c r="B789" s="1"/>
      <c r="C789" s="1"/>
      <c r="D789" s="1"/>
      <c r="E789" s="1"/>
      <c r="F789" s="1"/>
      <c r="G789" s="1"/>
      <c r="H789" s="1"/>
      <c r="I789" s="1"/>
      <c r="J789" s="1"/>
      <c r="K789" s="1"/>
      <c r="L789" s="1"/>
      <c r="M789" s="1"/>
      <c r="N789" s="1"/>
      <c r="O789" s="1"/>
      <c r="P789" s="1"/>
      <c r="Q789" s="1"/>
      <c r="R789" s="1"/>
      <c r="S789" s="1"/>
      <c r="T789" s="1"/>
      <c r="U789" s="2"/>
      <c r="V789" s="1"/>
      <c r="W789" s="1"/>
      <c r="X789" s="1"/>
      <c r="Y789" s="1"/>
      <c r="Z789" s="1"/>
    </row>
    <row r="790" spans="1:26" ht="24.75" customHeight="1">
      <c r="A790" s="1"/>
      <c r="B790" s="1"/>
      <c r="C790" s="1"/>
      <c r="D790" s="1"/>
      <c r="E790" s="1"/>
      <c r="F790" s="1"/>
      <c r="G790" s="1"/>
      <c r="H790" s="1"/>
      <c r="I790" s="1"/>
      <c r="J790" s="1"/>
      <c r="K790" s="1"/>
      <c r="L790" s="1"/>
      <c r="M790" s="1"/>
      <c r="N790" s="1"/>
      <c r="O790" s="1"/>
      <c r="P790" s="1"/>
      <c r="Q790" s="1"/>
      <c r="R790" s="1"/>
      <c r="S790" s="1"/>
      <c r="T790" s="1"/>
      <c r="U790" s="2"/>
      <c r="V790" s="1"/>
      <c r="W790" s="1"/>
      <c r="X790" s="1"/>
      <c r="Y790" s="1"/>
      <c r="Z790" s="1"/>
    </row>
    <row r="791" spans="1:26" ht="24.75" customHeight="1">
      <c r="A791" s="1"/>
      <c r="B791" s="1"/>
      <c r="C791" s="1"/>
      <c r="D791" s="1"/>
      <c r="E791" s="1"/>
      <c r="F791" s="1"/>
      <c r="G791" s="1"/>
      <c r="H791" s="1"/>
      <c r="I791" s="1"/>
      <c r="J791" s="1"/>
      <c r="K791" s="1"/>
      <c r="L791" s="1"/>
      <c r="M791" s="1"/>
      <c r="N791" s="1"/>
      <c r="O791" s="1"/>
      <c r="P791" s="1"/>
      <c r="Q791" s="1"/>
      <c r="R791" s="1"/>
      <c r="S791" s="1"/>
      <c r="T791" s="1"/>
      <c r="U791" s="2"/>
      <c r="V791" s="1"/>
      <c r="W791" s="1"/>
      <c r="X791" s="1"/>
      <c r="Y791" s="1"/>
      <c r="Z791" s="1"/>
    </row>
    <row r="792" spans="1:26" ht="24.75" customHeight="1">
      <c r="A792" s="1"/>
      <c r="B792" s="1"/>
      <c r="C792" s="1"/>
      <c r="D792" s="1"/>
      <c r="E792" s="1"/>
      <c r="F792" s="1"/>
      <c r="G792" s="1"/>
      <c r="H792" s="1"/>
      <c r="I792" s="1"/>
      <c r="J792" s="1"/>
      <c r="K792" s="1"/>
      <c r="L792" s="1"/>
      <c r="M792" s="1"/>
      <c r="N792" s="1"/>
      <c r="O792" s="1"/>
      <c r="P792" s="1"/>
      <c r="Q792" s="1"/>
      <c r="R792" s="1"/>
      <c r="S792" s="1"/>
      <c r="T792" s="1"/>
      <c r="U792" s="2"/>
      <c r="V792" s="1"/>
      <c r="W792" s="1"/>
      <c r="X792" s="1"/>
      <c r="Y792" s="1"/>
      <c r="Z792" s="1"/>
    </row>
    <row r="793" spans="1:26" ht="24.75" customHeight="1">
      <c r="A793" s="1"/>
      <c r="B793" s="1"/>
      <c r="C793" s="1"/>
      <c r="D793" s="1"/>
      <c r="E793" s="1"/>
      <c r="F793" s="1"/>
      <c r="G793" s="1"/>
      <c r="H793" s="1"/>
      <c r="I793" s="1"/>
      <c r="J793" s="1"/>
      <c r="K793" s="1"/>
      <c r="L793" s="1"/>
      <c r="M793" s="1"/>
      <c r="N793" s="1"/>
      <c r="O793" s="1"/>
      <c r="P793" s="1"/>
      <c r="Q793" s="1"/>
      <c r="R793" s="1"/>
      <c r="S793" s="1"/>
      <c r="T793" s="1"/>
      <c r="U793" s="2"/>
      <c r="V793" s="1"/>
      <c r="W793" s="1"/>
      <c r="X793" s="1"/>
      <c r="Y793" s="1"/>
      <c r="Z793" s="1"/>
    </row>
    <row r="794" spans="1:26" ht="24.75" customHeight="1">
      <c r="A794" s="1"/>
      <c r="B794" s="1"/>
      <c r="C794" s="1"/>
      <c r="D794" s="1"/>
      <c r="E794" s="1"/>
      <c r="F794" s="1"/>
      <c r="G794" s="1"/>
      <c r="H794" s="1"/>
      <c r="I794" s="1"/>
      <c r="J794" s="1"/>
      <c r="K794" s="1"/>
      <c r="L794" s="1"/>
      <c r="M794" s="1"/>
      <c r="N794" s="1"/>
      <c r="O794" s="1"/>
      <c r="P794" s="1"/>
      <c r="Q794" s="1"/>
      <c r="R794" s="1"/>
      <c r="S794" s="1"/>
      <c r="T794" s="1"/>
      <c r="U794" s="2"/>
      <c r="V794" s="1"/>
      <c r="W794" s="1"/>
      <c r="X794" s="1"/>
      <c r="Y794" s="1"/>
      <c r="Z794" s="1"/>
    </row>
    <row r="795" spans="1:26" ht="24.75" customHeight="1">
      <c r="A795" s="1"/>
      <c r="B795" s="1"/>
      <c r="C795" s="1"/>
      <c r="D795" s="1"/>
      <c r="E795" s="1"/>
      <c r="F795" s="1"/>
      <c r="G795" s="1"/>
      <c r="H795" s="1"/>
      <c r="I795" s="1"/>
      <c r="J795" s="1"/>
      <c r="K795" s="1"/>
      <c r="L795" s="1"/>
      <c r="M795" s="1"/>
      <c r="N795" s="1"/>
      <c r="O795" s="1"/>
      <c r="P795" s="1"/>
      <c r="Q795" s="1"/>
      <c r="R795" s="1"/>
      <c r="S795" s="1"/>
      <c r="T795" s="1"/>
      <c r="U795" s="2"/>
      <c r="V795" s="1"/>
      <c r="W795" s="1"/>
      <c r="X795" s="1"/>
      <c r="Y795" s="1"/>
      <c r="Z795" s="1"/>
    </row>
    <row r="796" spans="1:26" ht="24.75" customHeight="1">
      <c r="A796" s="1"/>
      <c r="B796" s="1"/>
      <c r="C796" s="1"/>
      <c r="D796" s="1"/>
      <c r="E796" s="1"/>
      <c r="F796" s="1"/>
      <c r="G796" s="1"/>
      <c r="H796" s="1"/>
      <c r="I796" s="1"/>
      <c r="J796" s="1"/>
      <c r="K796" s="1"/>
      <c r="L796" s="1"/>
      <c r="M796" s="1"/>
      <c r="N796" s="1"/>
      <c r="O796" s="1"/>
      <c r="P796" s="1"/>
      <c r="Q796" s="1"/>
      <c r="R796" s="1"/>
      <c r="S796" s="1"/>
      <c r="T796" s="1"/>
      <c r="U796" s="2"/>
      <c r="V796" s="1"/>
      <c r="W796" s="1"/>
      <c r="X796" s="1"/>
      <c r="Y796" s="1"/>
      <c r="Z796" s="1"/>
    </row>
    <row r="797" spans="1:26" ht="24.75" customHeight="1">
      <c r="A797" s="1"/>
      <c r="B797" s="1"/>
      <c r="C797" s="1"/>
      <c r="D797" s="1"/>
      <c r="E797" s="1"/>
      <c r="F797" s="1"/>
      <c r="G797" s="1"/>
      <c r="H797" s="1"/>
      <c r="I797" s="1"/>
      <c r="J797" s="1"/>
      <c r="K797" s="1"/>
      <c r="L797" s="1"/>
      <c r="M797" s="1"/>
      <c r="N797" s="1"/>
      <c r="O797" s="1"/>
      <c r="P797" s="1"/>
      <c r="Q797" s="1"/>
      <c r="R797" s="1"/>
      <c r="S797" s="1"/>
      <c r="T797" s="1"/>
      <c r="U797" s="2"/>
      <c r="V797" s="1"/>
      <c r="W797" s="1"/>
      <c r="X797" s="1"/>
      <c r="Y797" s="1"/>
      <c r="Z797" s="1"/>
    </row>
    <row r="798" spans="1:26" ht="24.75" customHeight="1">
      <c r="A798" s="1"/>
      <c r="B798" s="1"/>
      <c r="C798" s="1"/>
      <c r="D798" s="1"/>
      <c r="E798" s="1"/>
      <c r="F798" s="1"/>
      <c r="G798" s="1"/>
      <c r="H798" s="1"/>
      <c r="I798" s="1"/>
      <c r="J798" s="1"/>
      <c r="K798" s="1"/>
      <c r="L798" s="1"/>
      <c r="M798" s="1"/>
      <c r="N798" s="1"/>
      <c r="O798" s="1"/>
      <c r="P798" s="1"/>
      <c r="Q798" s="1"/>
      <c r="R798" s="1"/>
      <c r="S798" s="1"/>
      <c r="T798" s="1"/>
      <c r="U798" s="2"/>
      <c r="V798" s="1"/>
      <c r="W798" s="1"/>
      <c r="X798" s="1"/>
      <c r="Y798" s="1"/>
      <c r="Z798" s="1"/>
    </row>
    <row r="799" spans="1:26" ht="24.75" customHeight="1">
      <c r="A799" s="1"/>
      <c r="B799" s="1"/>
      <c r="C799" s="1"/>
      <c r="D799" s="1"/>
      <c r="E799" s="1"/>
      <c r="F799" s="1"/>
      <c r="G799" s="1"/>
      <c r="H799" s="1"/>
      <c r="I799" s="1"/>
      <c r="J799" s="1"/>
      <c r="K799" s="1"/>
      <c r="L799" s="1"/>
      <c r="M799" s="1"/>
      <c r="N799" s="1"/>
      <c r="O799" s="1"/>
      <c r="P799" s="1"/>
      <c r="Q799" s="1"/>
      <c r="R799" s="1"/>
      <c r="S799" s="1"/>
      <c r="T799" s="1"/>
      <c r="U799" s="2"/>
      <c r="V799" s="1"/>
      <c r="W799" s="1"/>
      <c r="X799" s="1"/>
      <c r="Y799" s="1"/>
      <c r="Z799" s="1"/>
    </row>
    <row r="800" spans="1:26" ht="24.75" customHeight="1">
      <c r="A800" s="1"/>
      <c r="B800" s="1"/>
      <c r="C800" s="1"/>
      <c r="D800" s="1"/>
      <c r="E800" s="1"/>
      <c r="F800" s="1"/>
      <c r="G800" s="1"/>
      <c r="H800" s="1"/>
      <c r="I800" s="1"/>
      <c r="J800" s="1"/>
      <c r="K800" s="1"/>
      <c r="L800" s="1"/>
      <c r="M800" s="1"/>
      <c r="N800" s="1"/>
      <c r="O800" s="1"/>
      <c r="P800" s="1"/>
      <c r="Q800" s="1"/>
      <c r="R800" s="1"/>
      <c r="S800" s="1"/>
      <c r="T800" s="1"/>
      <c r="U800" s="2"/>
      <c r="V800" s="1"/>
      <c r="W800" s="1"/>
      <c r="X800" s="1"/>
      <c r="Y800" s="1"/>
      <c r="Z800" s="1"/>
    </row>
    <row r="801" spans="1:26" ht="24.75" customHeight="1">
      <c r="A801" s="1"/>
      <c r="B801" s="1"/>
      <c r="C801" s="1"/>
      <c r="D801" s="1"/>
      <c r="E801" s="1"/>
      <c r="F801" s="1"/>
      <c r="G801" s="1"/>
      <c r="H801" s="1"/>
      <c r="I801" s="1"/>
      <c r="J801" s="1"/>
      <c r="K801" s="1"/>
      <c r="L801" s="1"/>
      <c r="M801" s="1"/>
      <c r="N801" s="1"/>
      <c r="O801" s="1"/>
      <c r="P801" s="1"/>
      <c r="Q801" s="1"/>
      <c r="R801" s="1"/>
      <c r="S801" s="1"/>
      <c r="T801" s="1"/>
      <c r="U801" s="2"/>
      <c r="V801" s="1"/>
      <c r="W801" s="1"/>
      <c r="X801" s="1"/>
      <c r="Y801" s="1"/>
      <c r="Z801" s="1"/>
    </row>
    <row r="802" spans="1:26" ht="24.75" customHeight="1">
      <c r="A802" s="1"/>
      <c r="B802" s="1"/>
      <c r="C802" s="1"/>
      <c r="D802" s="1"/>
      <c r="E802" s="1"/>
      <c r="F802" s="1"/>
      <c r="G802" s="1"/>
      <c r="H802" s="1"/>
      <c r="I802" s="1"/>
      <c r="J802" s="1"/>
      <c r="K802" s="1"/>
      <c r="L802" s="1"/>
      <c r="M802" s="1"/>
      <c r="N802" s="1"/>
      <c r="O802" s="1"/>
      <c r="P802" s="1"/>
      <c r="Q802" s="1"/>
      <c r="R802" s="1"/>
      <c r="S802" s="1"/>
      <c r="T802" s="1"/>
      <c r="U802" s="2"/>
      <c r="V802" s="1"/>
      <c r="W802" s="1"/>
      <c r="X802" s="1"/>
      <c r="Y802" s="1"/>
      <c r="Z802" s="1"/>
    </row>
    <row r="803" spans="1:26" ht="24.75" customHeight="1">
      <c r="A803" s="1"/>
      <c r="B803" s="1"/>
      <c r="C803" s="1"/>
      <c r="D803" s="1"/>
      <c r="E803" s="1"/>
      <c r="F803" s="1"/>
      <c r="G803" s="1"/>
      <c r="H803" s="1"/>
      <c r="I803" s="1"/>
      <c r="J803" s="1"/>
      <c r="K803" s="1"/>
      <c r="L803" s="1"/>
      <c r="M803" s="1"/>
      <c r="N803" s="1"/>
      <c r="O803" s="1"/>
      <c r="P803" s="1"/>
      <c r="Q803" s="1"/>
      <c r="R803" s="1"/>
      <c r="S803" s="1"/>
      <c r="T803" s="1"/>
      <c r="U803" s="2"/>
      <c r="V803" s="1"/>
      <c r="W803" s="1"/>
      <c r="X803" s="1"/>
      <c r="Y803" s="1"/>
      <c r="Z803" s="1"/>
    </row>
    <row r="804" spans="1:26" ht="24.75" customHeight="1">
      <c r="A804" s="1"/>
      <c r="B804" s="1"/>
      <c r="C804" s="1"/>
      <c r="D804" s="1"/>
      <c r="E804" s="1"/>
      <c r="F804" s="1"/>
      <c r="G804" s="1"/>
      <c r="H804" s="1"/>
      <c r="I804" s="1"/>
      <c r="J804" s="1"/>
      <c r="K804" s="1"/>
      <c r="L804" s="1"/>
      <c r="M804" s="1"/>
      <c r="N804" s="1"/>
      <c r="O804" s="1"/>
      <c r="P804" s="1"/>
      <c r="Q804" s="1"/>
      <c r="R804" s="1"/>
      <c r="S804" s="1"/>
      <c r="T804" s="1"/>
      <c r="U804" s="2"/>
      <c r="V804" s="1"/>
      <c r="W804" s="1"/>
      <c r="X804" s="1"/>
      <c r="Y804" s="1"/>
      <c r="Z804" s="1"/>
    </row>
    <row r="805" spans="1:26" ht="24.75" customHeight="1">
      <c r="A805" s="1"/>
      <c r="B805" s="1"/>
      <c r="C805" s="1"/>
      <c r="D805" s="1"/>
      <c r="E805" s="1"/>
      <c r="F805" s="1"/>
      <c r="G805" s="1"/>
      <c r="H805" s="1"/>
      <c r="I805" s="1"/>
      <c r="J805" s="1"/>
      <c r="K805" s="1"/>
      <c r="L805" s="1"/>
      <c r="M805" s="1"/>
      <c r="N805" s="1"/>
      <c r="O805" s="1"/>
      <c r="P805" s="1"/>
      <c r="Q805" s="1"/>
      <c r="R805" s="1"/>
      <c r="S805" s="1"/>
      <c r="T805" s="1"/>
      <c r="U805" s="2"/>
      <c r="V805" s="1"/>
      <c r="W805" s="1"/>
      <c r="X805" s="1"/>
      <c r="Y805" s="1"/>
      <c r="Z805" s="1"/>
    </row>
    <row r="806" spans="1:26" ht="24.75" customHeight="1">
      <c r="A806" s="1"/>
      <c r="B806" s="1"/>
      <c r="C806" s="1"/>
      <c r="D806" s="1"/>
      <c r="E806" s="1"/>
      <c r="F806" s="1"/>
      <c r="G806" s="1"/>
      <c r="H806" s="1"/>
      <c r="I806" s="1"/>
      <c r="J806" s="1"/>
      <c r="K806" s="1"/>
      <c r="L806" s="1"/>
      <c r="M806" s="1"/>
      <c r="N806" s="1"/>
      <c r="O806" s="1"/>
      <c r="P806" s="1"/>
      <c r="Q806" s="1"/>
      <c r="R806" s="1"/>
      <c r="S806" s="1"/>
      <c r="T806" s="1"/>
      <c r="U806" s="2"/>
      <c r="V806" s="1"/>
      <c r="W806" s="1"/>
      <c r="X806" s="1"/>
      <c r="Y806" s="1"/>
      <c r="Z806" s="1"/>
    </row>
    <row r="807" spans="1:26" ht="24.75" customHeight="1">
      <c r="A807" s="1"/>
      <c r="B807" s="1"/>
      <c r="C807" s="1"/>
      <c r="D807" s="1"/>
      <c r="E807" s="1"/>
      <c r="F807" s="1"/>
      <c r="G807" s="1"/>
      <c r="H807" s="1"/>
      <c r="I807" s="1"/>
      <c r="J807" s="1"/>
      <c r="K807" s="1"/>
      <c r="L807" s="1"/>
      <c r="M807" s="1"/>
      <c r="N807" s="1"/>
      <c r="O807" s="1"/>
      <c r="P807" s="1"/>
      <c r="Q807" s="1"/>
      <c r="R807" s="1"/>
      <c r="S807" s="1"/>
      <c r="T807" s="1"/>
      <c r="U807" s="2"/>
      <c r="V807" s="1"/>
      <c r="W807" s="1"/>
      <c r="X807" s="1"/>
      <c r="Y807" s="1"/>
      <c r="Z807" s="1"/>
    </row>
    <row r="808" spans="1:26" ht="24.75" customHeight="1">
      <c r="A808" s="1"/>
      <c r="B808" s="1"/>
      <c r="C808" s="1"/>
      <c r="D808" s="1"/>
      <c r="E808" s="1"/>
      <c r="F808" s="1"/>
      <c r="G808" s="1"/>
      <c r="H808" s="1"/>
      <c r="I808" s="1"/>
      <c r="J808" s="1"/>
      <c r="K808" s="1"/>
      <c r="L808" s="1"/>
      <c r="M808" s="1"/>
      <c r="N808" s="1"/>
      <c r="O808" s="1"/>
      <c r="P808" s="1"/>
      <c r="Q808" s="1"/>
      <c r="R808" s="1"/>
      <c r="S808" s="1"/>
      <c r="T808" s="1"/>
      <c r="U808" s="2"/>
      <c r="V808" s="1"/>
      <c r="W808" s="1"/>
      <c r="X808" s="1"/>
      <c r="Y808" s="1"/>
      <c r="Z808" s="1"/>
    </row>
    <row r="809" spans="1:26" ht="24.75" customHeight="1">
      <c r="A809" s="1"/>
      <c r="B809" s="1"/>
      <c r="C809" s="1"/>
      <c r="D809" s="1"/>
      <c r="E809" s="1"/>
      <c r="F809" s="1"/>
      <c r="G809" s="1"/>
      <c r="H809" s="1"/>
      <c r="I809" s="1"/>
      <c r="J809" s="1"/>
      <c r="K809" s="1"/>
      <c r="L809" s="1"/>
      <c r="M809" s="1"/>
      <c r="N809" s="1"/>
      <c r="O809" s="1"/>
      <c r="P809" s="1"/>
      <c r="Q809" s="1"/>
      <c r="R809" s="1"/>
      <c r="S809" s="1"/>
      <c r="T809" s="1"/>
      <c r="U809" s="2"/>
      <c r="V809" s="1"/>
      <c r="W809" s="1"/>
      <c r="X809" s="1"/>
      <c r="Y809" s="1"/>
      <c r="Z809" s="1"/>
    </row>
    <row r="810" spans="1:26" ht="24.75" customHeight="1">
      <c r="A810" s="1"/>
      <c r="B810" s="1"/>
      <c r="C810" s="1"/>
      <c r="D810" s="1"/>
      <c r="E810" s="1"/>
      <c r="F810" s="1"/>
      <c r="G810" s="1"/>
      <c r="H810" s="1"/>
      <c r="I810" s="1"/>
      <c r="J810" s="1"/>
      <c r="K810" s="1"/>
      <c r="L810" s="1"/>
      <c r="M810" s="1"/>
      <c r="N810" s="1"/>
      <c r="O810" s="1"/>
      <c r="P810" s="1"/>
      <c r="Q810" s="1"/>
      <c r="R810" s="1"/>
      <c r="S810" s="1"/>
      <c r="T810" s="1"/>
      <c r="U810" s="2"/>
      <c r="V810" s="1"/>
      <c r="W810" s="1"/>
      <c r="X810" s="1"/>
      <c r="Y810" s="1"/>
      <c r="Z810" s="1"/>
    </row>
    <row r="811" spans="1:26" ht="24.75" customHeight="1">
      <c r="A811" s="1"/>
      <c r="B811" s="1"/>
      <c r="C811" s="1"/>
      <c r="D811" s="1"/>
      <c r="E811" s="1"/>
      <c r="F811" s="1"/>
      <c r="G811" s="1"/>
      <c r="H811" s="1"/>
      <c r="I811" s="1"/>
      <c r="J811" s="1"/>
      <c r="K811" s="1"/>
      <c r="L811" s="1"/>
      <c r="M811" s="1"/>
      <c r="N811" s="1"/>
      <c r="O811" s="1"/>
      <c r="P811" s="1"/>
      <c r="Q811" s="1"/>
      <c r="R811" s="1"/>
      <c r="S811" s="1"/>
      <c r="T811" s="1"/>
      <c r="U811" s="2"/>
      <c r="V811" s="1"/>
      <c r="W811" s="1"/>
      <c r="X811" s="1"/>
      <c r="Y811" s="1"/>
      <c r="Z811" s="1"/>
    </row>
    <row r="812" spans="1:26" ht="24.75" customHeight="1">
      <c r="A812" s="1"/>
      <c r="B812" s="1"/>
      <c r="C812" s="1"/>
      <c r="D812" s="1"/>
      <c r="E812" s="1"/>
      <c r="F812" s="1"/>
      <c r="G812" s="1"/>
      <c r="H812" s="1"/>
      <c r="I812" s="1"/>
      <c r="J812" s="1"/>
      <c r="K812" s="1"/>
      <c r="L812" s="1"/>
      <c r="M812" s="1"/>
      <c r="N812" s="1"/>
      <c r="O812" s="1"/>
      <c r="P812" s="1"/>
      <c r="Q812" s="1"/>
      <c r="R812" s="1"/>
      <c r="S812" s="1"/>
      <c r="T812" s="1"/>
      <c r="U812" s="2"/>
      <c r="V812" s="1"/>
      <c r="W812" s="1"/>
      <c r="X812" s="1"/>
      <c r="Y812" s="1"/>
      <c r="Z812" s="1"/>
    </row>
    <row r="813" spans="1:26" ht="24.75" customHeight="1">
      <c r="A813" s="1"/>
      <c r="B813" s="1"/>
      <c r="C813" s="1"/>
      <c r="D813" s="1"/>
      <c r="E813" s="1"/>
      <c r="F813" s="1"/>
      <c r="G813" s="1"/>
      <c r="H813" s="1"/>
      <c r="I813" s="1"/>
      <c r="J813" s="1"/>
      <c r="K813" s="1"/>
      <c r="L813" s="1"/>
      <c r="M813" s="1"/>
      <c r="N813" s="1"/>
      <c r="O813" s="1"/>
      <c r="P813" s="1"/>
      <c r="Q813" s="1"/>
      <c r="R813" s="1"/>
      <c r="S813" s="1"/>
      <c r="T813" s="1"/>
      <c r="U813" s="2"/>
      <c r="V813" s="1"/>
      <c r="W813" s="1"/>
      <c r="X813" s="1"/>
      <c r="Y813" s="1"/>
      <c r="Z813" s="1"/>
    </row>
    <row r="814" spans="1:26" ht="24.75" customHeight="1">
      <c r="A814" s="1"/>
      <c r="B814" s="1"/>
      <c r="C814" s="1"/>
      <c r="D814" s="1"/>
      <c r="E814" s="1"/>
      <c r="F814" s="1"/>
      <c r="G814" s="1"/>
      <c r="H814" s="1"/>
      <c r="I814" s="1"/>
      <c r="J814" s="1"/>
      <c r="K814" s="1"/>
      <c r="L814" s="1"/>
      <c r="M814" s="1"/>
      <c r="N814" s="1"/>
      <c r="O814" s="1"/>
      <c r="P814" s="1"/>
      <c r="Q814" s="1"/>
      <c r="R814" s="1"/>
      <c r="S814" s="1"/>
      <c r="T814" s="1"/>
      <c r="U814" s="2"/>
      <c r="V814" s="1"/>
      <c r="W814" s="1"/>
      <c r="X814" s="1"/>
      <c r="Y814" s="1"/>
      <c r="Z814" s="1"/>
    </row>
    <row r="815" spans="1:26" ht="24.75" customHeight="1">
      <c r="A815" s="1"/>
      <c r="B815" s="1"/>
      <c r="C815" s="1"/>
      <c r="D815" s="1"/>
      <c r="E815" s="1"/>
      <c r="F815" s="1"/>
      <c r="G815" s="1"/>
      <c r="H815" s="1"/>
      <c r="I815" s="1"/>
      <c r="J815" s="1"/>
      <c r="K815" s="1"/>
      <c r="L815" s="1"/>
      <c r="M815" s="1"/>
      <c r="N815" s="1"/>
      <c r="O815" s="1"/>
      <c r="P815" s="1"/>
      <c r="Q815" s="1"/>
      <c r="R815" s="1"/>
      <c r="S815" s="1"/>
      <c r="T815" s="1"/>
      <c r="U815" s="2"/>
      <c r="V815" s="1"/>
      <c r="W815" s="1"/>
      <c r="X815" s="1"/>
      <c r="Y815" s="1"/>
      <c r="Z815" s="1"/>
    </row>
    <row r="816" spans="1:26" ht="24.75" customHeight="1">
      <c r="A816" s="1"/>
      <c r="B816" s="1"/>
      <c r="C816" s="1"/>
      <c r="D816" s="1"/>
      <c r="E816" s="1"/>
      <c r="F816" s="1"/>
      <c r="G816" s="1"/>
      <c r="H816" s="1"/>
      <c r="I816" s="1"/>
      <c r="J816" s="1"/>
      <c r="K816" s="1"/>
      <c r="L816" s="1"/>
      <c r="M816" s="1"/>
      <c r="N816" s="1"/>
      <c r="O816" s="1"/>
      <c r="P816" s="1"/>
      <c r="Q816" s="1"/>
      <c r="R816" s="1"/>
      <c r="S816" s="1"/>
      <c r="T816" s="1"/>
      <c r="U816" s="2"/>
      <c r="V816" s="1"/>
      <c r="W816" s="1"/>
      <c r="X816" s="1"/>
      <c r="Y816" s="1"/>
      <c r="Z816" s="1"/>
    </row>
    <row r="817" spans="1:26" ht="24.75" customHeight="1">
      <c r="A817" s="1"/>
      <c r="B817" s="1"/>
      <c r="C817" s="1"/>
      <c r="D817" s="1"/>
      <c r="E817" s="1"/>
      <c r="F817" s="1"/>
      <c r="G817" s="1"/>
      <c r="H817" s="1"/>
      <c r="I817" s="1"/>
      <c r="J817" s="1"/>
      <c r="K817" s="1"/>
      <c r="L817" s="1"/>
      <c r="M817" s="1"/>
      <c r="N817" s="1"/>
      <c r="O817" s="1"/>
      <c r="P817" s="1"/>
      <c r="Q817" s="1"/>
      <c r="R817" s="1"/>
      <c r="S817" s="1"/>
      <c r="T817" s="1"/>
      <c r="U817" s="2"/>
      <c r="V817" s="1"/>
      <c r="W817" s="1"/>
      <c r="X817" s="1"/>
      <c r="Y817" s="1"/>
      <c r="Z817" s="1"/>
    </row>
    <row r="818" spans="1:26" ht="24.75" customHeight="1">
      <c r="A818" s="1"/>
      <c r="B818" s="1"/>
      <c r="C818" s="1"/>
      <c r="D818" s="1"/>
      <c r="E818" s="1"/>
      <c r="F818" s="1"/>
      <c r="G818" s="1"/>
      <c r="H818" s="1"/>
      <c r="I818" s="1"/>
      <c r="J818" s="1"/>
      <c r="K818" s="1"/>
      <c r="L818" s="1"/>
      <c r="M818" s="1"/>
      <c r="N818" s="1"/>
      <c r="O818" s="1"/>
      <c r="P818" s="1"/>
      <c r="Q818" s="1"/>
      <c r="R818" s="1"/>
      <c r="S818" s="1"/>
      <c r="T818" s="1"/>
      <c r="U818" s="2"/>
      <c r="V818" s="1"/>
      <c r="W818" s="1"/>
      <c r="X818" s="1"/>
      <c r="Y818" s="1"/>
      <c r="Z818" s="1"/>
    </row>
    <row r="819" spans="1:26" ht="24.75" customHeight="1">
      <c r="A819" s="1"/>
      <c r="B819" s="1"/>
      <c r="C819" s="1"/>
      <c r="D819" s="1"/>
      <c r="E819" s="1"/>
      <c r="F819" s="1"/>
      <c r="G819" s="1"/>
      <c r="H819" s="1"/>
      <c r="I819" s="1"/>
      <c r="J819" s="1"/>
      <c r="K819" s="1"/>
      <c r="L819" s="1"/>
      <c r="M819" s="1"/>
      <c r="N819" s="1"/>
      <c r="O819" s="1"/>
      <c r="P819" s="1"/>
      <c r="Q819" s="1"/>
      <c r="R819" s="1"/>
      <c r="S819" s="1"/>
      <c r="T819" s="1"/>
      <c r="U819" s="2"/>
      <c r="V819" s="1"/>
      <c r="W819" s="1"/>
      <c r="X819" s="1"/>
      <c r="Y819" s="1"/>
      <c r="Z819" s="1"/>
    </row>
    <row r="820" spans="1:26" ht="24.75" customHeight="1">
      <c r="A820" s="1"/>
      <c r="B820" s="1"/>
      <c r="C820" s="1"/>
      <c r="D820" s="1"/>
      <c r="E820" s="1"/>
      <c r="F820" s="1"/>
      <c r="G820" s="1"/>
      <c r="H820" s="1"/>
      <c r="I820" s="1"/>
      <c r="J820" s="1"/>
      <c r="K820" s="1"/>
      <c r="L820" s="1"/>
      <c r="M820" s="1"/>
      <c r="N820" s="1"/>
      <c r="O820" s="1"/>
      <c r="P820" s="1"/>
      <c r="Q820" s="1"/>
      <c r="R820" s="1"/>
      <c r="S820" s="1"/>
      <c r="T820" s="1"/>
      <c r="U820" s="2"/>
      <c r="V820" s="1"/>
      <c r="W820" s="1"/>
      <c r="X820" s="1"/>
      <c r="Y820" s="1"/>
      <c r="Z820" s="1"/>
    </row>
    <row r="821" spans="1:26" ht="24.75" customHeight="1">
      <c r="A821" s="1"/>
      <c r="B821" s="1"/>
      <c r="C821" s="1"/>
      <c r="D821" s="1"/>
      <c r="E821" s="1"/>
      <c r="F821" s="1"/>
      <c r="G821" s="1"/>
      <c r="H821" s="1"/>
      <c r="I821" s="1"/>
      <c r="J821" s="1"/>
      <c r="K821" s="1"/>
      <c r="L821" s="1"/>
      <c r="M821" s="1"/>
      <c r="N821" s="1"/>
      <c r="O821" s="1"/>
      <c r="P821" s="1"/>
      <c r="Q821" s="1"/>
      <c r="R821" s="1"/>
      <c r="S821" s="1"/>
      <c r="T821" s="1"/>
      <c r="U821" s="2"/>
      <c r="V821" s="1"/>
      <c r="W821" s="1"/>
      <c r="X821" s="1"/>
      <c r="Y821" s="1"/>
      <c r="Z821" s="1"/>
    </row>
    <row r="822" spans="1:26" ht="24.75" customHeight="1">
      <c r="A822" s="1"/>
      <c r="B822" s="1"/>
      <c r="C822" s="1"/>
      <c r="D822" s="1"/>
      <c r="E822" s="1"/>
      <c r="F822" s="1"/>
      <c r="G822" s="1"/>
      <c r="H822" s="1"/>
      <c r="I822" s="1"/>
      <c r="J822" s="1"/>
      <c r="K822" s="1"/>
      <c r="L822" s="1"/>
      <c r="M822" s="1"/>
      <c r="N822" s="1"/>
      <c r="O822" s="1"/>
      <c r="P822" s="1"/>
      <c r="Q822" s="1"/>
      <c r="R822" s="1"/>
      <c r="S822" s="1"/>
      <c r="T822" s="1"/>
      <c r="U822" s="2"/>
      <c r="V822" s="1"/>
      <c r="W822" s="1"/>
      <c r="X822" s="1"/>
      <c r="Y822" s="1"/>
      <c r="Z822" s="1"/>
    </row>
    <row r="823" spans="1:26" ht="24.75" customHeight="1">
      <c r="A823" s="1"/>
      <c r="B823" s="1"/>
      <c r="C823" s="1"/>
      <c r="D823" s="1"/>
      <c r="E823" s="1"/>
      <c r="F823" s="1"/>
      <c r="G823" s="1"/>
      <c r="H823" s="1"/>
      <c r="I823" s="1"/>
      <c r="J823" s="1"/>
      <c r="K823" s="1"/>
      <c r="L823" s="1"/>
      <c r="M823" s="1"/>
      <c r="N823" s="1"/>
      <c r="O823" s="1"/>
      <c r="P823" s="1"/>
      <c r="Q823" s="1"/>
      <c r="R823" s="1"/>
      <c r="S823" s="1"/>
      <c r="T823" s="1"/>
      <c r="U823" s="2"/>
      <c r="V823" s="1"/>
      <c r="W823" s="1"/>
      <c r="X823" s="1"/>
      <c r="Y823" s="1"/>
      <c r="Z823" s="1"/>
    </row>
    <row r="824" spans="1:26" ht="24.75" customHeight="1">
      <c r="A824" s="1"/>
      <c r="B824" s="1"/>
      <c r="C824" s="1"/>
      <c r="D824" s="1"/>
      <c r="E824" s="1"/>
      <c r="F824" s="1"/>
      <c r="G824" s="1"/>
      <c r="H824" s="1"/>
      <c r="I824" s="1"/>
      <c r="J824" s="1"/>
      <c r="K824" s="1"/>
      <c r="L824" s="1"/>
      <c r="M824" s="1"/>
      <c r="N824" s="1"/>
      <c r="O824" s="1"/>
      <c r="P824" s="1"/>
      <c r="Q824" s="1"/>
      <c r="R824" s="1"/>
      <c r="S824" s="1"/>
      <c r="T824" s="1"/>
      <c r="U824" s="2"/>
      <c r="V824" s="1"/>
      <c r="W824" s="1"/>
      <c r="X824" s="1"/>
      <c r="Y824" s="1"/>
      <c r="Z824" s="1"/>
    </row>
    <row r="825" spans="1:26" ht="24.75" customHeight="1">
      <c r="A825" s="1"/>
      <c r="B825" s="1"/>
      <c r="C825" s="1"/>
      <c r="D825" s="1"/>
      <c r="E825" s="1"/>
      <c r="F825" s="1"/>
      <c r="G825" s="1"/>
      <c r="H825" s="1"/>
      <c r="I825" s="1"/>
      <c r="J825" s="1"/>
      <c r="K825" s="1"/>
      <c r="L825" s="1"/>
      <c r="M825" s="1"/>
      <c r="N825" s="1"/>
      <c r="O825" s="1"/>
      <c r="P825" s="1"/>
      <c r="Q825" s="1"/>
      <c r="R825" s="1"/>
      <c r="S825" s="1"/>
      <c r="T825" s="1"/>
      <c r="U825" s="2"/>
      <c r="V825" s="1"/>
      <c r="W825" s="1"/>
      <c r="X825" s="1"/>
      <c r="Y825" s="1"/>
      <c r="Z825" s="1"/>
    </row>
    <row r="826" spans="1:26" ht="24.75" customHeight="1">
      <c r="A826" s="1"/>
      <c r="B826" s="1"/>
      <c r="C826" s="1"/>
      <c r="D826" s="1"/>
      <c r="E826" s="1"/>
      <c r="F826" s="1"/>
      <c r="G826" s="1"/>
      <c r="H826" s="1"/>
      <c r="I826" s="1"/>
      <c r="J826" s="1"/>
      <c r="K826" s="1"/>
      <c r="L826" s="1"/>
      <c r="M826" s="1"/>
      <c r="N826" s="1"/>
      <c r="O826" s="1"/>
      <c r="P826" s="1"/>
      <c r="Q826" s="1"/>
      <c r="R826" s="1"/>
      <c r="S826" s="1"/>
      <c r="T826" s="1"/>
      <c r="U826" s="2"/>
      <c r="V826" s="1"/>
      <c r="W826" s="1"/>
      <c r="X826" s="1"/>
      <c r="Y826" s="1"/>
      <c r="Z826" s="1"/>
    </row>
    <row r="827" spans="1:26" ht="24.75" customHeight="1">
      <c r="A827" s="1"/>
      <c r="B827" s="1"/>
      <c r="C827" s="1"/>
      <c r="D827" s="1"/>
      <c r="E827" s="1"/>
      <c r="F827" s="1"/>
      <c r="G827" s="1"/>
      <c r="H827" s="1"/>
      <c r="I827" s="1"/>
      <c r="J827" s="1"/>
      <c r="K827" s="1"/>
      <c r="L827" s="1"/>
      <c r="M827" s="1"/>
      <c r="N827" s="1"/>
      <c r="O827" s="1"/>
      <c r="P827" s="1"/>
      <c r="Q827" s="1"/>
      <c r="R827" s="1"/>
      <c r="S827" s="1"/>
      <c r="T827" s="1"/>
      <c r="U827" s="2"/>
      <c r="V827" s="1"/>
      <c r="W827" s="1"/>
      <c r="X827" s="1"/>
      <c r="Y827" s="1"/>
      <c r="Z827" s="1"/>
    </row>
    <row r="828" spans="1:26" ht="24.75" customHeight="1">
      <c r="A828" s="1"/>
      <c r="B828" s="1"/>
      <c r="C828" s="1"/>
      <c r="D828" s="1"/>
      <c r="E828" s="1"/>
      <c r="F828" s="1"/>
      <c r="G828" s="1"/>
      <c r="H828" s="1"/>
      <c r="I828" s="1"/>
      <c r="J828" s="1"/>
      <c r="K828" s="1"/>
      <c r="L828" s="1"/>
      <c r="M828" s="1"/>
      <c r="N828" s="1"/>
      <c r="O828" s="1"/>
      <c r="P828" s="1"/>
      <c r="Q828" s="1"/>
      <c r="R828" s="1"/>
      <c r="S828" s="1"/>
      <c r="T828" s="1"/>
      <c r="U828" s="2"/>
      <c r="V828" s="1"/>
      <c r="W828" s="1"/>
      <c r="X828" s="1"/>
      <c r="Y828" s="1"/>
      <c r="Z828" s="1"/>
    </row>
    <row r="829" spans="1:26" ht="24.75" customHeight="1">
      <c r="A829" s="1"/>
      <c r="B829" s="1"/>
      <c r="C829" s="1"/>
      <c r="D829" s="1"/>
      <c r="E829" s="1"/>
      <c r="F829" s="1"/>
      <c r="G829" s="1"/>
      <c r="H829" s="1"/>
      <c r="I829" s="1"/>
      <c r="J829" s="1"/>
      <c r="K829" s="1"/>
      <c r="L829" s="1"/>
      <c r="M829" s="1"/>
      <c r="N829" s="1"/>
      <c r="O829" s="1"/>
      <c r="P829" s="1"/>
      <c r="Q829" s="1"/>
      <c r="R829" s="1"/>
      <c r="S829" s="1"/>
      <c r="T829" s="1"/>
      <c r="U829" s="2"/>
      <c r="V829" s="1"/>
      <c r="W829" s="1"/>
      <c r="X829" s="1"/>
      <c r="Y829" s="1"/>
      <c r="Z829" s="1"/>
    </row>
    <row r="830" spans="1:26" ht="24.75" customHeight="1">
      <c r="A830" s="1"/>
      <c r="B830" s="1"/>
      <c r="C830" s="1"/>
      <c r="D830" s="1"/>
      <c r="E830" s="1"/>
      <c r="F830" s="1"/>
      <c r="G830" s="1"/>
      <c r="H830" s="1"/>
      <c r="I830" s="1"/>
      <c r="J830" s="1"/>
      <c r="K830" s="1"/>
      <c r="L830" s="1"/>
      <c r="M830" s="1"/>
      <c r="N830" s="1"/>
      <c r="O830" s="1"/>
      <c r="P830" s="1"/>
      <c r="Q830" s="1"/>
      <c r="R830" s="1"/>
      <c r="S830" s="1"/>
      <c r="T830" s="1"/>
      <c r="U830" s="2"/>
      <c r="V830" s="1"/>
      <c r="W830" s="1"/>
      <c r="X830" s="1"/>
      <c r="Y830" s="1"/>
      <c r="Z830" s="1"/>
    </row>
    <row r="831" spans="1:26" ht="24.75" customHeight="1">
      <c r="A831" s="1"/>
      <c r="B831" s="1"/>
      <c r="C831" s="1"/>
      <c r="D831" s="1"/>
      <c r="E831" s="1"/>
      <c r="F831" s="1"/>
      <c r="G831" s="1"/>
      <c r="H831" s="1"/>
      <c r="I831" s="1"/>
      <c r="J831" s="1"/>
      <c r="K831" s="1"/>
      <c r="L831" s="1"/>
      <c r="M831" s="1"/>
      <c r="N831" s="1"/>
      <c r="O831" s="1"/>
      <c r="P831" s="1"/>
      <c r="Q831" s="1"/>
      <c r="R831" s="1"/>
      <c r="S831" s="1"/>
      <c r="T831" s="1"/>
      <c r="U831" s="2"/>
      <c r="V831" s="1"/>
      <c r="W831" s="1"/>
      <c r="X831" s="1"/>
      <c r="Y831" s="1"/>
      <c r="Z831" s="1"/>
    </row>
    <row r="832" spans="1:26" ht="24.75" customHeight="1">
      <c r="A832" s="1"/>
      <c r="B832" s="1"/>
      <c r="C832" s="1"/>
      <c r="D832" s="1"/>
      <c r="E832" s="1"/>
      <c r="F832" s="1"/>
      <c r="G832" s="1"/>
      <c r="H832" s="1"/>
      <c r="I832" s="1"/>
      <c r="J832" s="1"/>
      <c r="K832" s="1"/>
      <c r="L832" s="1"/>
      <c r="M832" s="1"/>
      <c r="N832" s="1"/>
      <c r="O832" s="1"/>
      <c r="P832" s="1"/>
      <c r="Q832" s="1"/>
      <c r="R832" s="1"/>
      <c r="S832" s="1"/>
      <c r="T832" s="1"/>
      <c r="U832" s="2"/>
      <c r="V832" s="1"/>
      <c r="W832" s="1"/>
      <c r="X832" s="1"/>
      <c r="Y832" s="1"/>
      <c r="Z832" s="1"/>
    </row>
    <row r="833" spans="1:26" ht="24.75" customHeight="1">
      <c r="A833" s="1"/>
      <c r="B833" s="1"/>
      <c r="C833" s="1"/>
      <c r="D833" s="1"/>
      <c r="E833" s="1"/>
      <c r="F833" s="1"/>
      <c r="G833" s="1"/>
      <c r="H833" s="1"/>
      <c r="I833" s="1"/>
      <c r="J833" s="1"/>
      <c r="K833" s="1"/>
      <c r="L833" s="1"/>
      <c r="M833" s="1"/>
      <c r="N833" s="1"/>
      <c r="O833" s="1"/>
      <c r="P833" s="1"/>
      <c r="Q833" s="1"/>
      <c r="R833" s="1"/>
      <c r="S833" s="1"/>
      <c r="T833" s="1"/>
      <c r="U833" s="2"/>
      <c r="V833" s="1"/>
      <c r="W833" s="1"/>
      <c r="X833" s="1"/>
      <c r="Y833" s="1"/>
      <c r="Z833" s="1"/>
    </row>
    <row r="834" spans="1:26" ht="24.75" customHeight="1">
      <c r="A834" s="1"/>
      <c r="B834" s="1"/>
      <c r="C834" s="1"/>
      <c r="D834" s="1"/>
      <c r="E834" s="1"/>
      <c r="F834" s="1"/>
      <c r="G834" s="1"/>
      <c r="H834" s="1"/>
      <c r="I834" s="1"/>
      <c r="J834" s="1"/>
      <c r="K834" s="1"/>
      <c r="L834" s="1"/>
      <c r="M834" s="1"/>
      <c r="N834" s="1"/>
      <c r="O834" s="1"/>
      <c r="P834" s="1"/>
      <c r="Q834" s="1"/>
      <c r="R834" s="1"/>
      <c r="S834" s="1"/>
      <c r="T834" s="1"/>
      <c r="U834" s="2"/>
      <c r="V834" s="1"/>
      <c r="W834" s="1"/>
      <c r="X834" s="1"/>
      <c r="Y834" s="1"/>
      <c r="Z834" s="1"/>
    </row>
    <row r="835" spans="1:26" ht="24.75" customHeight="1">
      <c r="A835" s="1"/>
      <c r="B835" s="1"/>
      <c r="C835" s="1"/>
      <c r="D835" s="1"/>
      <c r="E835" s="1"/>
      <c r="F835" s="1"/>
      <c r="G835" s="1"/>
      <c r="H835" s="1"/>
      <c r="I835" s="1"/>
      <c r="J835" s="1"/>
      <c r="K835" s="1"/>
      <c r="L835" s="1"/>
      <c r="M835" s="1"/>
      <c r="N835" s="1"/>
      <c r="O835" s="1"/>
      <c r="P835" s="1"/>
      <c r="Q835" s="1"/>
      <c r="R835" s="1"/>
      <c r="S835" s="1"/>
      <c r="T835" s="1"/>
      <c r="U835" s="2"/>
      <c r="V835" s="1"/>
      <c r="W835" s="1"/>
      <c r="X835" s="1"/>
      <c r="Y835" s="1"/>
      <c r="Z835" s="1"/>
    </row>
    <row r="836" spans="1:26" ht="24.75" customHeight="1">
      <c r="A836" s="1"/>
      <c r="B836" s="1"/>
      <c r="C836" s="1"/>
      <c r="D836" s="1"/>
      <c r="E836" s="1"/>
      <c r="F836" s="1"/>
      <c r="G836" s="1"/>
      <c r="H836" s="1"/>
      <c r="I836" s="1"/>
      <c r="J836" s="1"/>
      <c r="K836" s="1"/>
      <c r="L836" s="1"/>
      <c r="M836" s="1"/>
      <c r="N836" s="1"/>
      <c r="O836" s="1"/>
      <c r="P836" s="1"/>
      <c r="Q836" s="1"/>
      <c r="R836" s="1"/>
      <c r="S836" s="1"/>
      <c r="T836" s="1"/>
      <c r="U836" s="2"/>
      <c r="V836" s="1"/>
      <c r="W836" s="1"/>
      <c r="X836" s="1"/>
      <c r="Y836" s="1"/>
      <c r="Z836" s="1"/>
    </row>
    <row r="837" spans="1:26" ht="24.75" customHeight="1">
      <c r="A837" s="1"/>
      <c r="B837" s="1"/>
      <c r="C837" s="1"/>
      <c r="D837" s="1"/>
      <c r="E837" s="1"/>
      <c r="F837" s="1"/>
      <c r="G837" s="1"/>
      <c r="H837" s="1"/>
      <c r="I837" s="1"/>
      <c r="J837" s="1"/>
      <c r="K837" s="1"/>
      <c r="L837" s="1"/>
      <c r="M837" s="1"/>
      <c r="N837" s="1"/>
      <c r="O837" s="1"/>
      <c r="P837" s="1"/>
      <c r="Q837" s="1"/>
      <c r="R837" s="1"/>
      <c r="S837" s="1"/>
      <c r="T837" s="1"/>
      <c r="U837" s="2"/>
      <c r="V837" s="1"/>
      <c r="W837" s="1"/>
      <c r="X837" s="1"/>
      <c r="Y837" s="1"/>
      <c r="Z837" s="1"/>
    </row>
    <row r="838" spans="1:26" ht="24.75" customHeight="1">
      <c r="A838" s="1"/>
      <c r="B838" s="1"/>
      <c r="C838" s="1"/>
      <c r="D838" s="1"/>
      <c r="E838" s="1"/>
      <c r="F838" s="1"/>
      <c r="G838" s="1"/>
      <c r="H838" s="1"/>
      <c r="I838" s="1"/>
      <c r="J838" s="1"/>
      <c r="K838" s="1"/>
      <c r="L838" s="1"/>
      <c r="M838" s="1"/>
      <c r="N838" s="1"/>
      <c r="O838" s="1"/>
      <c r="P838" s="1"/>
      <c r="Q838" s="1"/>
      <c r="R838" s="1"/>
      <c r="S838" s="1"/>
      <c r="T838" s="1"/>
      <c r="U838" s="2"/>
      <c r="V838" s="1"/>
      <c r="W838" s="1"/>
      <c r="X838" s="1"/>
      <c r="Y838" s="1"/>
      <c r="Z838" s="1"/>
    </row>
    <row r="839" spans="1:26" ht="24.75" customHeight="1">
      <c r="A839" s="1"/>
      <c r="B839" s="1"/>
      <c r="C839" s="1"/>
      <c r="D839" s="1"/>
      <c r="E839" s="1"/>
      <c r="F839" s="1"/>
      <c r="G839" s="1"/>
      <c r="H839" s="1"/>
      <c r="I839" s="1"/>
      <c r="J839" s="1"/>
      <c r="K839" s="1"/>
      <c r="L839" s="1"/>
      <c r="M839" s="1"/>
      <c r="N839" s="1"/>
      <c r="O839" s="1"/>
      <c r="P839" s="1"/>
      <c r="Q839" s="1"/>
      <c r="R839" s="1"/>
      <c r="S839" s="1"/>
      <c r="T839" s="1"/>
      <c r="U839" s="2"/>
      <c r="V839" s="1"/>
      <c r="W839" s="1"/>
      <c r="X839" s="1"/>
      <c r="Y839" s="1"/>
      <c r="Z839" s="1"/>
    </row>
    <row r="840" spans="1:26" ht="24.75" customHeight="1">
      <c r="A840" s="1"/>
      <c r="B840" s="1"/>
      <c r="C840" s="1"/>
      <c r="D840" s="1"/>
      <c r="E840" s="1"/>
      <c r="F840" s="1"/>
      <c r="G840" s="1"/>
      <c r="H840" s="1"/>
      <c r="I840" s="1"/>
      <c r="J840" s="1"/>
      <c r="K840" s="1"/>
      <c r="L840" s="1"/>
      <c r="M840" s="1"/>
      <c r="N840" s="1"/>
      <c r="O840" s="1"/>
      <c r="P840" s="1"/>
      <c r="Q840" s="1"/>
      <c r="R840" s="1"/>
      <c r="S840" s="1"/>
      <c r="T840" s="1"/>
      <c r="U840" s="2"/>
      <c r="V840" s="1"/>
      <c r="W840" s="1"/>
      <c r="X840" s="1"/>
      <c r="Y840" s="1"/>
      <c r="Z840" s="1"/>
    </row>
    <row r="841" spans="1:26" ht="24.75" customHeight="1">
      <c r="A841" s="1"/>
      <c r="B841" s="1"/>
      <c r="C841" s="1"/>
      <c r="D841" s="1"/>
      <c r="E841" s="1"/>
      <c r="F841" s="1"/>
      <c r="G841" s="1"/>
      <c r="H841" s="1"/>
      <c r="I841" s="1"/>
      <c r="J841" s="1"/>
      <c r="K841" s="1"/>
      <c r="L841" s="1"/>
      <c r="M841" s="1"/>
      <c r="N841" s="1"/>
      <c r="O841" s="1"/>
      <c r="P841" s="1"/>
      <c r="Q841" s="1"/>
      <c r="R841" s="1"/>
      <c r="S841" s="1"/>
      <c r="T841" s="1"/>
      <c r="U841" s="2"/>
      <c r="V841" s="1"/>
      <c r="W841" s="1"/>
      <c r="X841" s="1"/>
      <c r="Y841" s="1"/>
      <c r="Z841" s="1"/>
    </row>
    <row r="842" spans="1:26" ht="24.75" customHeight="1">
      <c r="A842" s="1"/>
      <c r="B842" s="1"/>
      <c r="C842" s="1"/>
      <c r="D842" s="1"/>
      <c r="E842" s="1"/>
      <c r="F842" s="1"/>
      <c r="G842" s="1"/>
      <c r="H842" s="1"/>
      <c r="I842" s="1"/>
      <c r="J842" s="1"/>
      <c r="K842" s="1"/>
      <c r="L842" s="1"/>
      <c r="M842" s="1"/>
      <c r="N842" s="1"/>
      <c r="O842" s="1"/>
      <c r="P842" s="1"/>
      <c r="Q842" s="1"/>
      <c r="R842" s="1"/>
      <c r="S842" s="1"/>
      <c r="T842" s="1"/>
      <c r="U842" s="2"/>
      <c r="V842" s="1"/>
      <c r="W842" s="1"/>
      <c r="X842" s="1"/>
      <c r="Y842" s="1"/>
      <c r="Z842" s="1"/>
    </row>
    <row r="843" spans="1:26" ht="24.75" customHeight="1">
      <c r="A843" s="1"/>
      <c r="B843" s="1"/>
      <c r="C843" s="1"/>
      <c r="D843" s="1"/>
      <c r="E843" s="1"/>
      <c r="F843" s="1"/>
      <c r="G843" s="1"/>
      <c r="H843" s="1"/>
      <c r="I843" s="1"/>
      <c r="J843" s="1"/>
      <c r="K843" s="1"/>
      <c r="L843" s="1"/>
      <c r="M843" s="1"/>
      <c r="N843" s="1"/>
      <c r="O843" s="1"/>
      <c r="P843" s="1"/>
      <c r="Q843" s="1"/>
      <c r="R843" s="1"/>
      <c r="S843" s="1"/>
      <c r="T843" s="1"/>
      <c r="U843" s="2"/>
      <c r="V843" s="1"/>
      <c r="W843" s="1"/>
      <c r="X843" s="1"/>
      <c r="Y843" s="1"/>
      <c r="Z843" s="1"/>
    </row>
    <row r="844" spans="1:26" ht="24.75" customHeight="1">
      <c r="A844" s="1"/>
      <c r="B844" s="1"/>
      <c r="C844" s="1"/>
      <c r="D844" s="1"/>
      <c r="E844" s="1"/>
      <c r="F844" s="1"/>
      <c r="G844" s="1"/>
      <c r="H844" s="1"/>
      <c r="I844" s="1"/>
      <c r="J844" s="1"/>
      <c r="K844" s="1"/>
      <c r="L844" s="1"/>
      <c r="M844" s="1"/>
      <c r="N844" s="1"/>
      <c r="O844" s="1"/>
      <c r="P844" s="1"/>
      <c r="Q844" s="1"/>
      <c r="R844" s="1"/>
      <c r="S844" s="1"/>
      <c r="T844" s="1"/>
      <c r="U844" s="2"/>
      <c r="V844" s="1"/>
      <c r="W844" s="1"/>
      <c r="X844" s="1"/>
      <c r="Y844" s="1"/>
      <c r="Z844" s="1"/>
    </row>
    <row r="845" spans="1:26" ht="24.75" customHeight="1">
      <c r="A845" s="1"/>
      <c r="B845" s="1"/>
      <c r="C845" s="1"/>
      <c r="D845" s="1"/>
      <c r="E845" s="1"/>
      <c r="F845" s="1"/>
      <c r="G845" s="1"/>
      <c r="H845" s="1"/>
      <c r="I845" s="1"/>
      <c r="J845" s="1"/>
      <c r="K845" s="1"/>
      <c r="L845" s="1"/>
      <c r="M845" s="1"/>
      <c r="N845" s="1"/>
      <c r="O845" s="1"/>
      <c r="P845" s="1"/>
      <c r="Q845" s="1"/>
      <c r="R845" s="1"/>
      <c r="S845" s="1"/>
      <c r="T845" s="1"/>
      <c r="U845" s="2"/>
      <c r="V845" s="1"/>
      <c r="W845" s="1"/>
      <c r="X845" s="1"/>
      <c r="Y845" s="1"/>
      <c r="Z845" s="1"/>
    </row>
    <row r="846" spans="1:26" ht="24.75" customHeight="1">
      <c r="A846" s="1"/>
      <c r="B846" s="1"/>
      <c r="C846" s="1"/>
      <c r="D846" s="1"/>
      <c r="E846" s="1"/>
      <c r="F846" s="1"/>
      <c r="G846" s="1"/>
      <c r="H846" s="1"/>
      <c r="I846" s="1"/>
      <c r="J846" s="1"/>
      <c r="K846" s="1"/>
      <c r="L846" s="1"/>
      <c r="M846" s="1"/>
      <c r="N846" s="1"/>
      <c r="O846" s="1"/>
      <c r="P846" s="1"/>
      <c r="Q846" s="1"/>
      <c r="R846" s="1"/>
      <c r="S846" s="1"/>
      <c r="T846" s="1"/>
      <c r="U846" s="2"/>
      <c r="V846" s="1"/>
      <c r="W846" s="1"/>
      <c r="X846" s="1"/>
      <c r="Y846" s="1"/>
      <c r="Z846" s="1"/>
    </row>
    <row r="847" spans="1:26" ht="24.75" customHeight="1">
      <c r="A847" s="1"/>
      <c r="B847" s="1"/>
      <c r="C847" s="1"/>
      <c r="D847" s="1"/>
      <c r="E847" s="1"/>
      <c r="F847" s="1"/>
      <c r="G847" s="1"/>
      <c r="H847" s="1"/>
      <c r="I847" s="1"/>
      <c r="J847" s="1"/>
      <c r="K847" s="1"/>
      <c r="L847" s="1"/>
      <c r="M847" s="1"/>
      <c r="N847" s="1"/>
      <c r="O847" s="1"/>
      <c r="P847" s="1"/>
      <c r="Q847" s="1"/>
      <c r="R847" s="1"/>
      <c r="S847" s="1"/>
      <c r="T847" s="1"/>
      <c r="U847" s="2"/>
      <c r="V847" s="1"/>
      <c r="W847" s="1"/>
      <c r="X847" s="1"/>
      <c r="Y847" s="1"/>
      <c r="Z847" s="1"/>
    </row>
    <row r="848" spans="1:26" ht="24.75" customHeight="1">
      <c r="A848" s="1"/>
      <c r="B848" s="1"/>
      <c r="C848" s="1"/>
      <c r="D848" s="1"/>
      <c r="E848" s="1"/>
      <c r="F848" s="1"/>
      <c r="G848" s="1"/>
      <c r="H848" s="1"/>
      <c r="I848" s="1"/>
      <c r="J848" s="1"/>
      <c r="K848" s="1"/>
      <c r="L848" s="1"/>
      <c r="M848" s="1"/>
      <c r="N848" s="1"/>
      <c r="O848" s="1"/>
      <c r="P848" s="1"/>
      <c r="Q848" s="1"/>
      <c r="R848" s="1"/>
      <c r="S848" s="1"/>
      <c r="T848" s="1"/>
      <c r="U848" s="2"/>
      <c r="V848" s="1"/>
      <c r="W848" s="1"/>
      <c r="X848" s="1"/>
      <c r="Y848" s="1"/>
      <c r="Z848" s="1"/>
    </row>
    <row r="849" spans="1:26" ht="24.75" customHeight="1">
      <c r="A849" s="1"/>
      <c r="B849" s="1"/>
      <c r="C849" s="1"/>
      <c r="D849" s="1"/>
      <c r="E849" s="1"/>
      <c r="F849" s="1"/>
      <c r="G849" s="1"/>
      <c r="H849" s="1"/>
      <c r="I849" s="1"/>
      <c r="J849" s="1"/>
      <c r="K849" s="1"/>
      <c r="L849" s="1"/>
      <c r="M849" s="1"/>
      <c r="N849" s="1"/>
      <c r="O849" s="1"/>
      <c r="P849" s="1"/>
      <c r="Q849" s="1"/>
      <c r="R849" s="1"/>
      <c r="S849" s="1"/>
      <c r="T849" s="1"/>
      <c r="U849" s="2"/>
      <c r="V849" s="1"/>
      <c r="W849" s="1"/>
      <c r="X849" s="1"/>
      <c r="Y849" s="1"/>
      <c r="Z849" s="1"/>
    </row>
    <row r="850" spans="1:26" ht="24.75" customHeight="1">
      <c r="A850" s="1"/>
      <c r="B850" s="1"/>
      <c r="C850" s="1"/>
      <c r="D850" s="1"/>
      <c r="E850" s="1"/>
      <c r="F850" s="1"/>
      <c r="G850" s="1"/>
      <c r="H850" s="1"/>
      <c r="I850" s="1"/>
      <c r="J850" s="1"/>
      <c r="K850" s="1"/>
      <c r="L850" s="1"/>
      <c r="M850" s="1"/>
      <c r="N850" s="1"/>
      <c r="O850" s="1"/>
      <c r="P850" s="1"/>
      <c r="Q850" s="1"/>
      <c r="R850" s="1"/>
      <c r="S850" s="1"/>
      <c r="T850" s="1"/>
      <c r="U850" s="2"/>
      <c r="V850" s="1"/>
      <c r="W850" s="1"/>
      <c r="X850" s="1"/>
      <c r="Y850" s="1"/>
      <c r="Z850" s="1"/>
    </row>
    <row r="851" spans="1:26" ht="24.75" customHeight="1">
      <c r="A851" s="1"/>
      <c r="B851" s="1"/>
      <c r="C851" s="1"/>
      <c r="D851" s="1"/>
      <c r="E851" s="1"/>
      <c r="F851" s="1"/>
      <c r="G851" s="1"/>
      <c r="H851" s="1"/>
      <c r="I851" s="1"/>
      <c r="J851" s="1"/>
      <c r="K851" s="1"/>
      <c r="L851" s="1"/>
      <c r="M851" s="1"/>
      <c r="N851" s="1"/>
      <c r="O851" s="1"/>
      <c r="P851" s="1"/>
      <c r="Q851" s="1"/>
      <c r="R851" s="1"/>
      <c r="S851" s="1"/>
      <c r="T851" s="1"/>
      <c r="U851" s="2"/>
      <c r="V851" s="1"/>
      <c r="W851" s="1"/>
      <c r="X851" s="1"/>
      <c r="Y851" s="1"/>
      <c r="Z851" s="1"/>
    </row>
    <row r="852" spans="1:26" ht="24.75" customHeight="1">
      <c r="A852" s="1"/>
      <c r="B852" s="1"/>
      <c r="C852" s="1"/>
      <c r="D852" s="1"/>
      <c r="E852" s="1"/>
      <c r="F852" s="1"/>
      <c r="G852" s="1"/>
      <c r="H852" s="1"/>
      <c r="I852" s="1"/>
      <c r="J852" s="1"/>
      <c r="K852" s="1"/>
      <c r="L852" s="1"/>
      <c r="M852" s="1"/>
      <c r="N852" s="1"/>
      <c r="O852" s="1"/>
      <c r="P852" s="1"/>
      <c r="Q852" s="1"/>
      <c r="R852" s="1"/>
      <c r="S852" s="1"/>
      <c r="T852" s="1"/>
      <c r="U852" s="2"/>
      <c r="V852" s="1"/>
      <c r="W852" s="1"/>
      <c r="X852" s="1"/>
      <c r="Y852" s="1"/>
      <c r="Z852" s="1"/>
    </row>
    <row r="853" spans="1:26" ht="24.75" customHeight="1">
      <c r="A853" s="1"/>
      <c r="B853" s="1"/>
      <c r="C853" s="1"/>
      <c r="D853" s="1"/>
      <c r="E853" s="1"/>
      <c r="F853" s="1"/>
      <c r="G853" s="1"/>
      <c r="H853" s="1"/>
      <c r="I853" s="1"/>
      <c r="J853" s="1"/>
      <c r="K853" s="1"/>
      <c r="L853" s="1"/>
      <c r="M853" s="1"/>
      <c r="N853" s="1"/>
      <c r="O853" s="1"/>
      <c r="P853" s="1"/>
      <c r="Q853" s="1"/>
      <c r="R853" s="1"/>
      <c r="S853" s="1"/>
      <c r="T853" s="1"/>
      <c r="U853" s="2"/>
      <c r="V853" s="1"/>
      <c r="W853" s="1"/>
      <c r="X853" s="1"/>
      <c r="Y853" s="1"/>
      <c r="Z853" s="1"/>
    </row>
    <row r="854" spans="1:26" ht="24.75" customHeight="1">
      <c r="A854" s="1"/>
      <c r="B854" s="1"/>
      <c r="C854" s="1"/>
      <c r="D854" s="1"/>
      <c r="E854" s="1"/>
      <c r="F854" s="1"/>
      <c r="G854" s="1"/>
      <c r="H854" s="1"/>
      <c r="I854" s="1"/>
      <c r="J854" s="1"/>
      <c r="K854" s="1"/>
      <c r="L854" s="1"/>
      <c r="M854" s="1"/>
      <c r="N854" s="1"/>
      <c r="O854" s="1"/>
      <c r="P854" s="1"/>
      <c r="Q854" s="1"/>
      <c r="R854" s="1"/>
      <c r="S854" s="1"/>
      <c r="T854" s="1"/>
      <c r="U854" s="2"/>
      <c r="V854" s="1"/>
      <c r="W854" s="1"/>
      <c r="X854" s="1"/>
      <c r="Y854" s="1"/>
      <c r="Z854" s="1"/>
    </row>
    <row r="855" spans="1:26" ht="24.75" customHeight="1">
      <c r="A855" s="1"/>
      <c r="B855" s="1"/>
      <c r="C855" s="1"/>
      <c r="D855" s="1"/>
      <c r="E855" s="1"/>
      <c r="F855" s="1"/>
      <c r="G855" s="1"/>
      <c r="H855" s="1"/>
      <c r="I855" s="1"/>
      <c r="J855" s="1"/>
      <c r="K855" s="1"/>
      <c r="L855" s="1"/>
      <c r="M855" s="1"/>
      <c r="N855" s="1"/>
      <c r="O855" s="1"/>
      <c r="P855" s="1"/>
      <c r="Q855" s="1"/>
      <c r="R855" s="1"/>
      <c r="S855" s="1"/>
      <c r="T855" s="1"/>
      <c r="U855" s="2"/>
      <c r="V855" s="1"/>
      <c r="W855" s="1"/>
      <c r="X855" s="1"/>
      <c r="Y855" s="1"/>
      <c r="Z855" s="1"/>
    </row>
    <row r="856" spans="1:26" ht="24.75" customHeight="1">
      <c r="A856" s="1"/>
      <c r="B856" s="1"/>
      <c r="C856" s="1"/>
      <c r="D856" s="1"/>
      <c r="E856" s="1"/>
      <c r="F856" s="1"/>
      <c r="G856" s="1"/>
      <c r="H856" s="1"/>
      <c r="I856" s="1"/>
      <c r="J856" s="1"/>
      <c r="K856" s="1"/>
      <c r="L856" s="1"/>
      <c r="M856" s="1"/>
      <c r="N856" s="1"/>
      <c r="O856" s="1"/>
      <c r="P856" s="1"/>
      <c r="Q856" s="1"/>
      <c r="R856" s="1"/>
      <c r="S856" s="1"/>
      <c r="T856" s="1"/>
      <c r="U856" s="2"/>
      <c r="V856" s="1"/>
      <c r="W856" s="1"/>
      <c r="X856" s="1"/>
      <c r="Y856" s="1"/>
      <c r="Z856" s="1"/>
    </row>
    <row r="857" spans="1:26" ht="24.75" customHeight="1">
      <c r="A857" s="1"/>
      <c r="B857" s="1"/>
      <c r="C857" s="1"/>
      <c r="D857" s="1"/>
      <c r="E857" s="1"/>
      <c r="F857" s="1"/>
      <c r="G857" s="1"/>
      <c r="H857" s="1"/>
      <c r="I857" s="1"/>
      <c r="J857" s="1"/>
      <c r="K857" s="1"/>
      <c r="L857" s="1"/>
      <c r="M857" s="1"/>
      <c r="N857" s="1"/>
      <c r="O857" s="1"/>
      <c r="P857" s="1"/>
      <c r="Q857" s="1"/>
      <c r="R857" s="1"/>
      <c r="S857" s="1"/>
      <c r="T857" s="1"/>
      <c r="U857" s="2"/>
      <c r="V857" s="1"/>
      <c r="W857" s="1"/>
      <c r="X857" s="1"/>
      <c r="Y857" s="1"/>
      <c r="Z857" s="1"/>
    </row>
    <row r="858" spans="1:26" ht="24.75" customHeight="1">
      <c r="A858" s="1"/>
      <c r="B858" s="1"/>
      <c r="C858" s="1"/>
      <c r="D858" s="1"/>
      <c r="E858" s="1"/>
      <c r="F858" s="1"/>
      <c r="G858" s="1"/>
      <c r="H858" s="1"/>
      <c r="I858" s="1"/>
      <c r="J858" s="1"/>
      <c r="K858" s="1"/>
      <c r="L858" s="1"/>
      <c r="M858" s="1"/>
      <c r="N858" s="1"/>
      <c r="O858" s="1"/>
      <c r="P858" s="1"/>
      <c r="Q858" s="1"/>
      <c r="R858" s="1"/>
      <c r="S858" s="1"/>
      <c r="T858" s="1"/>
      <c r="U858" s="2"/>
      <c r="V858" s="1"/>
      <c r="W858" s="1"/>
      <c r="X858" s="1"/>
      <c r="Y858" s="1"/>
      <c r="Z858" s="1"/>
    </row>
    <row r="859" spans="1:26" ht="24.75" customHeight="1">
      <c r="A859" s="1"/>
      <c r="B859" s="1"/>
      <c r="C859" s="1"/>
      <c r="D859" s="1"/>
      <c r="E859" s="1"/>
      <c r="F859" s="1"/>
      <c r="G859" s="1"/>
      <c r="H859" s="1"/>
      <c r="I859" s="1"/>
      <c r="J859" s="1"/>
      <c r="K859" s="1"/>
      <c r="L859" s="1"/>
      <c r="M859" s="1"/>
      <c r="N859" s="1"/>
      <c r="O859" s="1"/>
      <c r="P859" s="1"/>
      <c r="Q859" s="1"/>
      <c r="R859" s="1"/>
      <c r="S859" s="1"/>
      <c r="T859" s="1"/>
      <c r="U859" s="2"/>
      <c r="V859" s="1"/>
      <c r="W859" s="1"/>
      <c r="X859" s="1"/>
      <c r="Y859" s="1"/>
      <c r="Z859" s="1"/>
    </row>
    <row r="860" spans="1:26" ht="24.75" customHeight="1">
      <c r="A860" s="1"/>
      <c r="B860" s="1"/>
      <c r="C860" s="1"/>
      <c r="D860" s="1"/>
      <c r="E860" s="1"/>
      <c r="F860" s="1"/>
      <c r="G860" s="1"/>
      <c r="H860" s="1"/>
      <c r="I860" s="1"/>
      <c r="J860" s="1"/>
      <c r="K860" s="1"/>
      <c r="L860" s="1"/>
      <c r="M860" s="1"/>
      <c r="N860" s="1"/>
      <c r="O860" s="1"/>
      <c r="P860" s="1"/>
      <c r="Q860" s="1"/>
      <c r="R860" s="1"/>
      <c r="S860" s="1"/>
      <c r="T860" s="1"/>
      <c r="U860" s="2"/>
      <c r="V860" s="1"/>
      <c r="W860" s="1"/>
      <c r="X860" s="1"/>
      <c r="Y860" s="1"/>
      <c r="Z860" s="1"/>
    </row>
    <row r="861" spans="1:26" ht="24.75" customHeight="1">
      <c r="A861" s="1"/>
      <c r="B861" s="1"/>
      <c r="C861" s="1"/>
      <c r="D861" s="1"/>
      <c r="E861" s="1"/>
      <c r="F861" s="1"/>
      <c r="G861" s="1"/>
      <c r="H861" s="1"/>
      <c r="I861" s="1"/>
      <c r="J861" s="1"/>
      <c r="K861" s="1"/>
      <c r="L861" s="1"/>
      <c r="M861" s="1"/>
      <c r="N861" s="1"/>
      <c r="O861" s="1"/>
      <c r="P861" s="1"/>
      <c r="Q861" s="1"/>
      <c r="R861" s="1"/>
      <c r="S861" s="1"/>
      <c r="T861" s="1"/>
      <c r="U861" s="2"/>
      <c r="V861" s="1"/>
      <c r="W861" s="1"/>
      <c r="X861" s="1"/>
      <c r="Y861" s="1"/>
      <c r="Z861" s="1"/>
    </row>
    <row r="862" spans="1:26" ht="24.75" customHeight="1">
      <c r="A862" s="1"/>
      <c r="B862" s="1"/>
      <c r="C862" s="1"/>
      <c r="D862" s="1"/>
      <c r="E862" s="1"/>
      <c r="F862" s="1"/>
      <c r="G862" s="1"/>
      <c r="H862" s="1"/>
      <c r="I862" s="1"/>
      <c r="J862" s="1"/>
      <c r="K862" s="1"/>
      <c r="L862" s="1"/>
      <c r="M862" s="1"/>
      <c r="N862" s="1"/>
      <c r="O862" s="1"/>
      <c r="P862" s="1"/>
      <c r="Q862" s="1"/>
      <c r="R862" s="1"/>
      <c r="S862" s="1"/>
      <c r="T862" s="1"/>
      <c r="U862" s="2"/>
      <c r="V862" s="1"/>
      <c r="W862" s="1"/>
      <c r="X862" s="1"/>
      <c r="Y862" s="1"/>
      <c r="Z862" s="1"/>
    </row>
    <row r="863" spans="1:26" ht="24.75" customHeight="1">
      <c r="A863" s="1"/>
      <c r="B863" s="1"/>
      <c r="C863" s="1"/>
      <c r="D863" s="1"/>
      <c r="E863" s="1"/>
      <c r="F863" s="1"/>
      <c r="G863" s="1"/>
      <c r="H863" s="1"/>
      <c r="I863" s="1"/>
      <c r="J863" s="1"/>
      <c r="K863" s="1"/>
      <c r="L863" s="1"/>
      <c r="M863" s="1"/>
      <c r="N863" s="1"/>
      <c r="O863" s="1"/>
      <c r="P863" s="1"/>
      <c r="Q863" s="1"/>
      <c r="R863" s="1"/>
      <c r="S863" s="1"/>
      <c r="T863" s="1"/>
      <c r="U863" s="2"/>
      <c r="V863" s="1"/>
      <c r="W863" s="1"/>
      <c r="X863" s="1"/>
      <c r="Y863" s="1"/>
      <c r="Z863" s="1"/>
    </row>
    <row r="864" spans="1:26" ht="24.75" customHeight="1">
      <c r="A864" s="1"/>
      <c r="B864" s="1"/>
      <c r="C864" s="1"/>
      <c r="D864" s="1"/>
      <c r="E864" s="1"/>
      <c r="F864" s="1"/>
      <c r="G864" s="1"/>
      <c r="H864" s="1"/>
      <c r="I864" s="1"/>
      <c r="J864" s="1"/>
      <c r="K864" s="1"/>
      <c r="L864" s="1"/>
      <c r="M864" s="1"/>
      <c r="N864" s="1"/>
      <c r="O864" s="1"/>
      <c r="P864" s="1"/>
      <c r="Q864" s="1"/>
      <c r="R864" s="1"/>
      <c r="S864" s="1"/>
      <c r="T864" s="1"/>
      <c r="U864" s="2"/>
      <c r="V864" s="1"/>
      <c r="W864" s="1"/>
      <c r="X864" s="1"/>
      <c r="Y864" s="1"/>
      <c r="Z864" s="1"/>
    </row>
    <row r="865" spans="1:26" ht="24.75" customHeight="1">
      <c r="A865" s="1"/>
      <c r="B865" s="1"/>
      <c r="C865" s="1"/>
      <c r="D865" s="1"/>
      <c r="E865" s="1"/>
      <c r="F865" s="1"/>
      <c r="G865" s="1"/>
      <c r="H865" s="1"/>
      <c r="I865" s="1"/>
      <c r="J865" s="1"/>
      <c r="K865" s="1"/>
      <c r="L865" s="1"/>
      <c r="M865" s="1"/>
      <c r="N865" s="1"/>
      <c r="O865" s="1"/>
      <c r="P865" s="1"/>
      <c r="Q865" s="1"/>
      <c r="R865" s="1"/>
      <c r="S865" s="1"/>
      <c r="T865" s="1"/>
      <c r="U865" s="2"/>
      <c r="V865" s="1"/>
      <c r="W865" s="1"/>
      <c r="X865" s="1"/>
      <c r="Y865" s="1"/>
      <c r="Z865" s="1"/>
    </row>
    <row r="866" spans="1:26" ht="24.75" customHeight="1">
      <c r="A866" s="1"/>
      <c r="B866" s="1"/>
      <c r="C866" s="1"/>
      <c r="D866" s="1"/>
      <c r="E866" s="1"/>
      <c r="F866" s="1"/>
      <c r="G866" s="1"/>
      <c r="H866" s="1"/>
      <c r="I866" s="1"/>
      <c r="J866" s="1"/>
      <c r="K866" s="1"/>
      <c r="L866" s="1"/>
      <c r="M866" s="1"/>
      <c r="N866" s="1"/>
      <c r="O866" s="1"/>
      <c r="P866" s="1"/>
      <c r="Q866" s="1"/>
      <c r="R866" s="1"/>
      <c r="S866" s="1"/>
      <c r="T866" s="1"/>
      <c r="U866" s="2"/>
      <c r="V866" s="1"/>
      <c r="W866" s="1"/>
      <c r="X866" s="1"/>
      <c r="Y866" s="1"/>
      <c r="Z866" s="1"/>
    </row>
    <row r="867" spans="1:26" ht="24.75" customHeight="1">
      <c r="A867" s="1"/>
      <c r="B867" s="1"/>
      <c r="C867" s="1"/>
      <c r="D867" s="1"/>
      <c r="E867" s="1"/>
      <c r="F867" s="1"/>
      <c r="G867" s="1"/>
      <c r="H867" s="1"/>
      <c r="I867" s="1"/>
      <c r="J867" s="1"/>
      <c r="K867" s="1"/>
      <c r="L867" s="1"/>
      <c r="M867" s="1"/>
      <c r="N867" s="1"/>
      <c r="O867" s="1"/>
      <c r="P867" s="1"/>
      <c r="Q867" s="1"/>
      <c r="R867" s="1"/>
      <c r="S867" s="1"/>
      <c r="T867" s="1"/>
      <c r="U867" s="2"/>
      <c r="V867" s="1"/>
      <c r="W867" s="1"/>
      <c r="X867" s="1"/>
      <c r="Y867" s="1"/>
      <c r="Z867" s="1"/>
    </row>
    <row r="868" spans="1:26" ht="24.75" customHeight="1">
      <c r="A868" s="1"/>
      <c r="B868" s="1"/>
      <c r="C868" s="1"/>
      <c r="D868" s="1"/>
      <c r="E868" s="1"/>
      <c r="F868" s="1"/>
      <c r="G868" s="1"/>
      <c r="H868" s="1"/>
      <c r="I868" s="1"/>
      <c r="J868" s="1"/>
      <c r="K868" s="1"/>
      <c r="L868" s="1"/>
      <c r="M868" s="1"/>
      <c r="N868" s="1"/>
      <c r="O868" s="1"/>
      <c r="P868" s="1"/>
      <c r="Q868" s="1"/>
      <c r="R868" s="1"/>
      <c r="S868" s="1"/>
      <c r="T868" s="1"/>
      <c r="U868" s="2"/>
      <c r="V868" s="1"/>
      <c r="W868" s="1"/>
      <c r="X868" s="1"/>
      <c r="Y868" s="1"/>
      <c r="Z868" s="1"/>
    </row>
    <row r="869" spans="1:26" ht="24.75" customHeight="1">
      <c r="A869" s="1"/>
      <c r="B869" s="1"/>
      <c r="C869" s="1"/>
      <c r="D869" s="1"/>
      <c r="E869" s="1"/>
      <c r="F869" s="1"/>
      <c r="G869" s="1"/>
      <c r="H869" s="1"/>
      <c r="I869" s="1"/>
      <c r="J869" s="1"/>
      <c r="K869" s="1"/>
      <c r="L869" s="1"/>
      <c r="M869" s="1"/>
      <c r="N869" s="1"/>
      <c r="O869" s="1"/>
      <c r="P869" s="1"/>
      <c r="Q869" s="1"/>
      <c r="R869" s="1"/>
      <c r="S869" s="1"/>
      <c r="T869" s="1"/>
      <c r="U869" s="2"/>
      <c r="V869" s="1"/>
      <c r="W869" s="1"/>
      <c r="X869" s="1"/>
      <c r="Y869" s="1"/>
      <c r="Z869" s="1"/>
    </row>
    <row r="870" spans="1:26" ht="24.75" customHeight="1">
      <c r="A870" s="1"/>
      <c r="B870" s="1"/>
      <c r="C870" s="1"/>
      <c r="D870" s="1"/>
      <c r="E870" s="1"/>
      <c r="F870" s="1"/>
      <c r="G870" s="1"/>
      <c r="H870" s="1"/>
      <c r="I870" s="1"/>
      <c r="J870" s="1"/>
      <c r="K870" s="1"/>
      <c r="L870" s="1"/>
      <c r="M870" s="1"/>
      <c r="N870" s="1"/>
      <c r="O870" s="1"/>
      <c r="P870" s="1"/>
      <c r="Q870" s="1"/>
      <c r="R870" s="1"/>
      <c r="S870" s="1"/>
      <c r="T870" s="1"/>
      <c r="U870" s="2"/>
      <c r="V870" s="1"/>
      <c r="W870" s="1"/>
      <c r="X870" s="1"/>
      <c r="Y870" s="1"/>
      <c r="Z870" s="1"/>
    </row>
    <row r="871" spans="1:26" ht="24.75" customHeight="1">
      <c r="A871" s="1"/>
      <c r="B871" s="1"/>
      <c r="C871" s="1"/>
      <c r="D871" s="1"/>
      <c r="E871" s="1"/>
      <c r="F871" s="1"/>
      <c r="G871" s="1"/>
      <c r="H871" s="1"/>
      <c r="I871" s="1"/>
      <c r="J871" s="1"/>
      <c r="K871" s="1"/>
      <c r="L871" s="1"/>
      <c r="M871" s="1"/>
      <c r="N871" s="1"/>
      <c r="O871" s="1"/>
      <c r="P871" s="1"/>
      <c r="Q871" s="1"/>
      <c r="R871" s="1"/>
      <c r="S871" s="1"/>
      <c r="T871" s="1"/>
      <c r="U871" s="2"/>
      <c r="V871" s="1"/>
      <c r="W871" s="1"/>
      <c r="X871" s="1"/>
      <c r="Y871" s="1"/>
      <c r="Z871" s="1"/>
    </row>
    <row r="872" spans="1:26" ht="24.75" customHeight="1">
      <c r="A872" s="1"/>
      <c r="B872" s="1"/>
      <c r="C872" s="1"/>
      <c r="D872" s="1"/>
      <c r="E872" s="1"/>
      <c r="F872" s="1"/>
      <c r="G872" s="1"/>
      <c r="H872" s="1"/>
      <c r="I872" s="1"/>
      <c r="J872" s="1"/>
      <c r="K872" s="1"/>
      <c r="L872" s="1"/>
      <c r="M872" s="1"/>
      <c r="N872" s="1"/>
      <c r="O872" s="1"/>
      <c r="P872" s="1"/>
      <c r="Q872" s="1"/>
      <c r="R872" s="1"/>
      <c r="S872" s="1"/>
      <c r="T872" s="1"/>
      <c r="U872" s="2"/>
      <c r="V872" s="1"/>
      <c r="W872" s="1"/>
      <c r="X872" s="1"/>
      <c r="Y872" s="1"/>
      <c r="Z872" s="1"/>
    </row>
    <row r="873" spans="1:26" ht="24.75" customHeight="1">
      <c r="A873" s="1"/>
      <c r="B873" s="1"/>
      <c r="C873" s="1"/>
      <c r="D873" s="1"/>
      <c r="E873" s="1"/>
      <c r="F873" s="1"/>
      <c r="G873" s="1"/>
      <c r="H873" s="1"/>
      <c r="I873" s="1"/>
      <c r="J873" s="1"/>
      <c r="K873" s="1"/>
      <c r="L873" s="1"/>
      <c r="M873" s="1"/>
      <c r="N873" s="1"/>
      <c r="O873" s="1"/>
      <c r="P873" s="1"/>
      <c r="Q873" s="1"/>
      <c r="R873" s="1"/>
      <c r="S873" s="1"/>
      <c r="T873" s="1"/>
      <c r="U873" s="2"/>
      <c r="V873" s="1"/>
      <c r="W873" s="1"/>
      <c r="X873" s="1"/>
      <c r="Y873" s="1"/>
      <c r="Z873" s="1"/>
    </row>
    <row r="874" spans="1:26" ht="24.75" customHeight="1">
      <c r="A874" s="1"/>
      <c r="B874" s="1"/>
      <c r="C874" s="1"/>
      <c r="D874" s="1"/>
      <c r="E874" s="1"/>
      <c r="F874" s="1"/>
      <c r="G874" s="1"/>
      <c r="H874" s="1"/>
      <c r="I874" s="1"/>
      <c r="J874" s="1"/>
      <c r="K874" s="1"/>
      <c r="L874" s="1"/>
      <c r="M874" s="1"/>
      <c r="N874" s="1"/>
      <c r="O874" s="1"/>
      <c r="P874" s="1"/>
      <c r="Q874" s="1"/>
      <c r="R874" s="1"/>
      <c r="S874" s="1"/>
      <c r="T874" s="1"/>
      <c r="U874" s="2"/>
      <c r="V874" s="1"/>
      <c r="W874" s="1"/>
      <c r="X874" s="1"/>
      <c r="Y874" s="1"/>
      <c r="Z874" s="1"/>
    </row>
    <row r="875" spans="1:26" ht="24.75" customHeight="1">
      <c r="A875" s="1"/>
      <c r="B875" s="1"/>
      <c r="C875" s="1"/>
      <c r="D875" s="1"/>
      <c r="E875" s="1"/>
      <c r="F875" s="1"/>
      <c r="G875" s="1"/>
      <c r="H875" s="1"/>
      <c r="I875" s="1"/>
      <c r="J875" s="1"/>
      <c r="K875" s="1"/>
      <c r="L875" s="1"/>
      <c r="M875" s="1"/>
      <c r="N875" s="1"/>
      <c r="O875" s="1"/>
      <c r="P875" s="1"/>
      <c r="Q875" s="1"/>
      <c r="R875" s="1"/>
      <c r="S875" s="1"/>
      <c r="T875" s="1"/>
      <c r="U875" s="2"/>
      <c r="V875" s="1"/>
      <c r="W875" s="1"/>
      <c r="X875" s="1"/>
      <c r="Y875" s="1"/>
      <c r="Z875" s="1"/>
    </row>
    <row r="876" spans="1:26" ht="24.75" customHeight="1">
      <c r="A876" s="1"/>
      <c r="B876" s="1"/>
      <c r="C876" s="1"/>
      <c r="D876" s="1"/>
      <c r="E876" s="1"/>
      <c r="F876" s="1"/>
      <c r="G876" s="1"/>
      <c r="H876" s="1"/>
      <c r="I876" s="1"/>
      <c r="J876" s="1"/>
      <c r="K876" s="1"/>
      <c r="L876" s="1"/>
      <c r="M876" s="1"/>
      <c r="N876" s="1"/>
      <c r="O876" s="1"/>
      <c r="P876" s="1"/>
      <c r="Q876" s="1"/>
      <c r="R876" s="1"/>
      <c r="S876" s="1"/>
      <c r="T876" s="1"/>
      <c r="U876" s="2"/>
      <c r="V876" s="1"/>
      <c r="W876" s="1"/>
      <c r="X876" s="1"/>
      <c r="Y876" s="1"/>
      <c r="Z876" s="1"/>
    </row>
    <row r="877" spans="1:26" ht="24.75" customHeight="1">
      <c r="A877" s="1"/>
      <c r="B877" s="1"/>
      <c r="C877" s="1"/>
      <c r="D877" s="1"/>
      <c r="E877" s="1"/>
      <c r="F877" s="1"/>
      <c r="G877" s="1"/>
      <c r="H877" s="1"/>
      <c r="I877" s="1"/>
      <c r="J877" s="1"/>
      <c r="K877" s="1"/>
      <c r="L877" s="1"/>
      <c r="M877" s="1"/>
      <c r="N877" s="1"/>
      <c r="O877" s="1"/>
      <c r="P877" s="1"/>
      <c r="Q877" s="1"/>
      <c r="R877" s="1"/>
      <c r="S877" s="1"/>
      <c r="T877" s="1"/>
      <c r="U877" s="2"/>
      <c r="V877" s="1"/>
      <c r="W877" s="1"/>
      <c r="X877" s="1"/>
      <c r="Y877" s="1"/>
      <c r="Z877" s="1"/>
    </row>
    <row r="878" spans="1:26" ht="24.75" customHeight="1">
      <c r="A878" s="1"/>
      <c r="B878" s="1"/>
      <c r="C878" s="1"/>
      <c r="D878" s="1"/>
      <c r="E878" s="1"/>
      <c r="F878" s="1"/>
      <c r="G878" s="1"/>
      <c r="H878" s="1"/>
      <c r="I878" s="1"/>
      <c r="J878" s="1"/>
      <c r="K878" s="1"/>
      <c r="L878" s="1"/>
      <c r="M878" s="1"/>
      <c r="N878" s="1"/>
      <c r="O878" s="1"/>
      <c r="P878" s="1"/>
      <c r="Q878" s="1"/>
      <c r="R878" s="1"/>
      <c r="S878" s="1"/>
      <c r="T878" s="1"/>
      <c r="U878" s="2"/>
      <c r="V878" s="1"/>
      <c r="W878" s="1"/>
      <c r="X878" s="1"/>
      <c r="Y878" s="1"/>
      <c r="Z878" s="1"/>
    </row>
    <row r="879" spans="1:26" ht="24.75" customHeight="1">
      <c r="A879" s="1"/>
      <c r="B879" s="1"/>
      <c r="C879" s="1"/>
      <c r="D879" s="1"/>
      <c r="E879" s="1"/>
      <c r="F879" s="1"/>
      <c r="G879" s="1"/>
      <c r="H879" s="1"/>
      <c r="I879" s="1"/>
      <c r="J879" s="1"/>
      <c r="K879" s="1"/>
      <c r="L879" s="1"/>
      <c r="M879" s="1"/>
      <c r="N879" s="1"/>
      <c r="O879" s="1"/>
      <c r="P879" s="1"/>
      <c r="Q879" s="1"/>
      <c r="R879" s="1"/>
      <c r="S879" s="1"/>
      <c r="T879" s="1"/>
      <c r="U879" s="2"/>
      <c r="V879" s="1"/>
      <c r="W879" s="1"/>
      <c r="X879" s="1"/>
      <c r="Y879" s="1"/>
      <c r="Z879" s="1"/>
    </row>
    <row r="880" spans="1:26" ht="24.75" customHeight="1">
      <c r="A880" s="1"/>
      <c r="B880" s="1"/>
      <c r="C880" s="1"/>
      <c r="D880" s="1"/>
      <c r="E880" s="1"/>
      <c r="F880" s="1"/>
      <c r="G880" s="1"/>
      <c r="H880" s="1"/>
      <c r="I880" s="1"/>
      <c r="J880" s="1"/>
      <c r="K880" s="1"/>
      <c r="L880" s="1"/>
      <c r="M880" s="1"/>
      <c r="N880" s="1"/>
      <c r="O880" s="1"/>
      <c r="P880" s="1"/>
      <c r="Q880" s="1"/>
      <c r="R880" s="1"/>
      <c r="S880" s="1"/>
      <c r="T880" s="1"/>
      <c r="U880" s="2"/>
      <c r="V880" s="1"/>
      <c r="W880" s="1"/>
      <c r="X880" s="1"/>
      <c r="Y880" s="1"/>
      <c r="Z880" s="1"/>
    </row>
    <row r="881" spans="1:26" ht="24.75" customHeight="1">
      <c r="A881" s="1"/>
      <c r="B881" s="1"/>
      <c r="C881" s="1"/>
      <c r="D881" s="1"/>
      <c r="E881" s="1"/>
      <c r="F881" s="1"/>
      <c r="G881" s="1"/>
      <c r="H881" s="1"/>
      <c r="I881" s="1"/>
      <c r="J881" s="1"/>
      <c r="K881" s="1"/>
      <c r="L881" s="1"/>
      <c r="M881" s="1"/>
      <c r="N881" s="1"/>
      <c r="O881" s="1"/>
      <c r="P881" s="1"/>
      <c r="Q881" s="1"/>
      <c r="R881" s="1"/>
      <c r="S881" s="1"/>
      <c r="T881" s="1"/>
      <c r="U881" s="2"/>
      <c r="V881" s="1"/>
      <c r="W881" s="1"/>
      <c r="X881" s="1"/>
      <c r="Y881" s="1"/>
      <c r="Z881" s="1"/>
    </row>
    <row r="882" spans="1:26" ht="24.75" customHeight="1">
      <c r="A882" s="1"/>
      <c r="B882" s="1"/>
      <c r="C882" s="1"/>
      <c r="D882" s="1"/>
      <c r="E882" s="1"/>
      <c r="F882" s="1"/>
      <c r="G882" s="1"/>
      <c r="H882" s="1"/>
      <c r="I882" s="1"/>
      <c r="J882" s="1"/>
      <c r="K882" s="1"/>
      <c r="L882" s="1"/>
      <c r="M882" s="1"/>
      <c r="N882" s="1"/>
      <c r="O882" s="1"/>
      <c r="P882" s="1"/>
      <c r="Q882" s="1"/>
      <c r="R882" s="1"/>
      <c r="S882" s="1"/>
      <c r="T882" s="1"/>
      <c r="U882" s="2"/>
      <c r="V882" s="1"/>
      <c r="W882" s="1"/>
      <c r="X882" s="1"/>
      <c r="Y882" s="1"/>
      <c r="Z882" s="1"/>
    </row>
    <row r="883" spans="1:26" ht="24.75" customHeight="1">
      <c r="A883" s="1"/>
      <c r="B883" s="1"/>
      <c r="C883" s="1"/>
      <c r="D883" s="1"/>
      <c r="E883" s="1"/>
      <c r="F883" s="1"/>
      <c r="G883" s="1"/>
      <c r="H883" s="1"/>
      <c r="I883" s="1"/>
      <c r="J883" s="1"/>
      <c r="K883" s="1"/>
      <c r="L883" s="1"/>
      <c r="M883" s="1"/>
      <c r="N883" s="1"/>
      <c r="O883" s="1"/>
      <c r="P883" s="1"/>
      <c r="Q883" s="1"/>
      <c r="R883" s="1"/>
      <c r="S883" s="1"/>
      <c r="T883" s="1"/>
      <c r="U883" s="2"/>
      <c r="V883" s="1"/>
      <c r="W883" s="1"/>
      <c r="X883" s="1"/>
      <c r="Y883" s="1"/>
      <c r="Z883" s="1"/>
    </row>
    <row r="884" spans="1:26" ht="24.75" customHeight="1">
      <c r="A884" s="1"/>
      <c r="B884" s="1"/>
      <c r="C884" s="1"/>
      <c r="D884" s="1"/>
      <c r="E884" s="1"/>
      <c r="F884" s="1"/>
      <c r="G884" s="1"/>
      <c r="H884" s="1"/>
      <c r="I884" s="1"/>
      <c r="J884" s="1"/>
      <c r="K884" s="1"/>
      <c r="L884" s="1"/>
      <c r="M884" s="1"/>
      <c r="N884" s="1"/>
      <c r="O884" s="1"/>
      <c r="P884" s="1"/>
      <c r="Q884" s="1"/>
      <c r="R884" s="1"/>
      <c r="S884" s="1"/>
      <c r="T884" s="1"/>
      <c r="U884" s="2"/>
      <c r="V884" s="1"/>
      <c r="W884" s="1"/>
      <c r="X884" s="1"/>
      <c r="Y884" s="1"/>
      <c r="Z884" s="1"/>
    </row>
    <row r="885" spans="1:26" ht="24.75" customHeight="1">
      <c r="A885" s="1"/>
      <c r="B885" s="1"/>
      <c r="C885" s="1"/>
      <c r="D885" s="1"/>
      <c r="E885" s="1"/>
      <c r="F885" s="1"/>
      <c r="G885" s="1"/>
      <c r="H885" s="1"/>
      <c r="I885" s="1"/>
      <c r="J885" s="1"/>
      <c r="K885" s="1"/>
      <c r="L885" s="1"/>
      <c r="M885" s="1"/>
      <c r="N885" s="1"/>
      <c r="O885" s="1"/>
      <c r="P885" s="1"/>
      <c r="Q885" s="1"/>
      <c r="R885" s="1"/>
      <c r="S885" s="1"/>
      <c r="T885" s="1"/>
      <c r="U885" s="2"/>
      <c r="V885" s="1"/>
      <c r="W885" s="1"/>
      <c r="X885" s="1"/>
      <c r="Y885" s="1"/>
      <c r="Z885" s="1"/>
    </row>
    <row r="886" spans="1:26" ht="24.75" customHeight="1">
      <c r="A886" s="1"/>
      <c r="B886" s="1"/>
      <c r="C886" s="1"/>
      <c r="D886" s="1"/>
      <c r="E886" s="1"/>
      <c r="F886" s="1"/>
      <c r="G886" s="1"/>
      <c r="H886" s="1"/>
      <c r="I886" s="1"/>
      <c r="J886" s="1"/>
      <c r="K886" s="1"/>
      <c r="L886" s="1"/>
      <c r="M886" s="1"/>
      <c r="N886" s="1"/>
      <c r="O886" s="1"/>
      <c r="P886" s="1"/>
      <c r="Q886" s="1"/>
      <c r="R886" s="1"/>
      <c r="S886" s="1"/>
      <c r="T886" s="1"/>
      <c r="U886" s="2"/>
      <c r="V886" s="1"/>
      <c r="W886" s="1"/>
      <c r="X886" s="1"/>
      <c r="Y886" s="1"/>
      <c r="Z886" s="1"/>
    </row>
    <row r="887" spans="1:26" ht="24.75" customHeight="1">
      <c r="A887" s="1"/>
      <c r="B887" s="1"/>
      <c r="C887" s="1"/>
      <c r="D887" s="1"/>
      <c r="E887" s="1"/>
      <c r="F887" s="1"/>
      <c r="G887" s="1"/>
      <c r="H887" s="1"/>
      <c r="I887" s="1"/>
      <c r="J887" s="1"/>
      <c r="K887" s="1"/>
      <c r="L887" s="1"/>
      <c r="M887" s="1"/>
      <c r="N887" s="1"/>
      <c r="O887" s="1"/>
      <c r="P887" s="1"/>
      <c r="Q887" s="1"/>
      <c r="R887" s="1"/>
      <c r="S887" s="1"/>
      <c r="T887" s="1"/>
      <c r="U887" s="2"/>
      <c r="V887" s="1"/>
      <c r="W887" s="1"/>
      <c r="X887" s="1"/>
      <c r="Y887" s="1"/>
      <c r="Z887" s="1"/>
    </row>
    <row r="888" spans="1:26" ht="24.75" customHeight="1">
      <c r="A888" s="1"/>
      <c r="B888" s="1"/>
      <c r="C888" s="1"/>
      <c r="D888" s="1"/>
      <c r="E888" s="1"/>
      <c r="F888" s="1"/>
      <c r="G888" s="1"/>
      <c r="H888" s="1"/>
      <c r="I888" s="1"/>
      <c r="J888" s="1"/>
      <c r="K888" s="1"/>
      <c r="L888" s="1"/>
      <c r="M888" s="1"/>
      <c r="N888" s="1"/>
      <c r="O888" s="1"/>
      <c r="P888" s="1"/>
      <c r="Q888" s="1"/>
      <c r="R888" s="1"/>
      <c r="S888" s="1"/>
      <c r="T888" s="1"/>
      <c r="U888" s="2"/>
      <c r="V888" s="1"/>
      <c r="W888" s="1"/>
      <c r="X888" s="1"/>
      <c r="Y888" s="1"/>
      <c r="Z888" s="1"/>
    </row>
    <row r="889" spans="1:26" ht="24.75" customHeight="1">
      <c r="A889" s="1"/>
      <c r="B889" s="1"/>
      <c r="C889" s="1"/>
      <c r="D889" s="1"/>
      <c r="E889" s="1"/>
      <c r="F889" s="1"/>
      <c r="G889" s="1"/>
      <c r="H889" s="1"/>
      <c r="I889" s="1"/>
      <c r="J889" s="1"/>
      <c r="K889" s="1"/>
      <c r="L889" s="1"/>
      <c r="M889" s="1"/>
      <c r="N889" s="1"/>
      <c r="O889" s="1"/>
      <c r="P889" s="1"/>
      <c r="Q889" s="1"/>
      <c r="R889" s="1"/>
      <c r="S889" s="1"/>
      <c r="T889" s="1"/>
      <c r="U889" s="2"/>
      <c r="V889" s="1"/>
      <c r="W889" s="1"/>
      <c r="X889" s="1"/>
      <c r="Y889" s="1"/>
      <c r="Z889" s="1"/>
    </row>
    <row r="890" spans="1:26" ht="24.75" customHeight="1">
      <c r="A890" s="1"/>
      <c r="B890" s="1"/>
      <c r="C890" s="1"/>
      <c r="D890" s="1"/>
      <c r="E890" s="1"/>
      <c r="F890" s="1"/>
      <c r="G890" s="1"/>
      <c r="H890" s="1"/>
      <c r="I890" s="1"/>
      <c r="J890" s="1"/>
      <c r="K890" s="1"/>
      <c r="L890" s="1"/>
      <c r="M890" s="1"/>
      <c r="N890" s="1"/>
      <c r="O890" s="1"/>
      <c r="P890" s="1"/>
      <c r="Q890" s="1"/>
      <c r="R890" s="1"/>
      <c r="S890" s="1"/>
      <c r="T890" s="1"/>
      <c r="U890" s="2"/>
      <c r="V890" s="1"/>
      <c r="W890" s="1"/>
      <c r="X890" s="1"/>
      <c r="Y890" s="1"/>
      <c r="Z890" s="1"/>
    </row>
    <row r="891" spans="1:26" ht="24.75" customHeight="1">
      <c r="A891" s="1"/>
      <c r="B891" s="1"/>
      <c r="C891" s="1"/>
      <c r="D891" s="1"/>
      <c r="E891" s="1"/>
      <c r="F891" s="1"/>
      <c r="G891" s="1"/>
      <c r="H891" s="1"/>
      <c r="I891" s="1"/>
      <c r="J891" s="1"/>
      <c r="K891" s="1"/>
      <c r="L891" s="1"/>
      <c r="M891" s="1"/>
      <c r="N891" s="1"/>
      <c r="O891" s="1"/>
      <c r="P891" s="1"/>
      <c r="Q891" s="1"/>
      <c r="R891" s="1"/>
      <c r="S891" s="1"/>
      <c r="T891" s="1"/>
      <c r="U891" s="2"/>
      <c r="V891" s="1"/>
      <c r="W891" s="1"/>
      <c r="X891" s="1"/>
      <c r="Y891" s="1"/>
      <c r="Z891" s="1"/>
    </row>
    <row r="892" spans="1:26" ht="24.75" customHeight="1">
      <c r="A892" s="1"/>
      <c r="B892" s="1"/>
      <c r="C892" s="1"/>
      <c r="D892" s="1"/>
      <c r="E892" s="1"/>
      <c r="F892" s="1"/>
      <c r="G892" s="1"/>
      <c r="H892" s="1"/>
      <c r="I892" s="1"/>
      <c r="J892" s="1"/>
      <c r="K892" s="1"/>
      <c r="L892" s="1"/>
      <c r="M892" s="1"/>
      <c r="N892" s="1"/>
      <c r="O892" s="1"/>
      <c r="P892" s="1"/>
      <c r="Q892" s="1"/>
      <c r="R892" s="1"/>
      <c r="S892" s="1"/>
      <c r="T892" s="1"/>
      <c r="U892" s="2"/>
      <c r="V892" s="1"/>
      <c r="W892" s="1"/>
      <c r="X892" s="1"/>
      <c r="Y892" s="1"/>
      <c r="Z892" s="1"/>
    </row>
    <row r="893" spans="1:26" ht="24.75" customHeight="1">
      <c r="A893" s="1"/>
      <c r="B893" s="1"/>
      <c r="C893" s="1"/>
      <c r="D893" s="1"/>
      <c r="E893" s="1"/>
      <c r="F893" s="1"/>
      <c r="G893" s="1"/>
      <c r="H893" s="1"/>
      <c r="I893" s="1"/>
      <c r="J893" s="1"/>
      <c r="K893" s="1"/>
      <c r="L893" s="1"/>
      <c r="M893" s="1"/>
      <c r="N893" s="1"/>
      <c r="O893" s="1"/>
      <c r="P893" s="1"/>
      <c r="Q893" s="1"/>
      <c r="R893" s="1"/>
      <c r="S893" s="1"/>
      <c r="T893" s="1"/>
      <c r="U893" s="2"/>
      <c r="V893" s="1"/>
      <c r="W893" s="1"/>
      <c r="X893" s="1"/>
      <c r="Y893" s="1"/>
      <c r="Z893" s="1"/>
    </row>
    <row r="894" spans="1:26" ht="24.75" customHeight="1">
      <c r="A894" s="1"/>
      <c r="B894" s="1"/>
      <c r="C894" s="1"/>
      <c r="D894" s="1"/>
      <c r="E894" s="1"/>
      <c r="F894" s="1"/>
      <c r="G894" s="1"/>
      <c r="H894" s="1"/>
      <c r="I894" s="1"/>
      <c r="J894" s="1"/>
      <c r="K894" s="1"/>
      <c r="L894" s="1"/>
      <c r="M894" s="1"/>
      <c r="N894" s="1"/>
      <c r="O894" s="1"/>
      <c r="P894" s="1"/>
      <c r="Q894" s="1"/>
      <c r="R894" s="1"/>
      <c r="S894" s="1"/>
      <c r="T894" s="1"/>
      <c r="U894" s="2"/>
      <c r="V894" s="1"/>
      <c r="W894" s="1"/>
      <c r="X894" s="1"/>
      <c r="Y894" s="1"/>
      <c r="Z894" s="1"/>
    </row>
    <row r="895" spans="1:26" ht="24.75" customHeight="1">
      <c r="A895" s="1"/>
      <c r="B895" s="1"/>
      <c r="C895" s="1"/>
      <c r="D895" s="1"/>
      <c r="E895" s="1"/>
      <c r="F895" s="1"/>
      <c r="G895" s="1"/>
      <c r="H895" s="1"/>
      <c r="I895" s="1"/>
      <c r="J895" s="1"/>
      <c r="K895" s="1"/>
      <c r="L895" s="1"/>
      <c r="M895" s="1"/>
      <c r="N895" s="1"/>
      <c r="O895" s="1"/>
      <c r="P895" s="1"/>
      <c r="Q895" s="1"/>
      <c r="R895" s="1"/>
      <c r="S895" s="1"/>
      <c r="T895" s="1"/>
      <c r="U895" s="2"/>
      <c r="V895" s="1"/>
      <c r="W895" s="1"/>
      <c r="X895" s="1"/>
      <c r="Y895" s="1"/>
      <c r="Z895" s="1"/>
    </row>
    <row r="896" spans="1:26" ht="24.75" customHeight="1">
      <c r="A896" s="1"/>
      <c r="B896" s="1"/>
      <c r="C896" s="1"/>
      <c r="D896" s="1"/>
      <c r="E896" s="1"/>
      <c r="F896" s="1"/>
      <c r="G896" s="1"/>
      <c r="H896" s="1"/>
      <c r="I896" s="1"/>
      <c r="J896" s="1"/>
      <c r="K896" s="1"/>
      <c r="L896" s="1"/>
      <c r="M896" s="1"/>
      <c r="N896" s="1"/>
      <c r="O896" s="1"/>
      <c r="P896" s="1"/>
      <c r="Q896" s="1"/>
      <c r="R896" s="1"/>
      <c r="S896" s="1"/>
      <c r="T896" s="1"/>
      <c r="U896" s="2"/>
      <c r="V896" s="1"/>
      <c r="W896" s="1"/>
      <c r="X896" s="1"/>
      <c r="Y896" s="1"/>
      <c r="Z896" s="1"/>
    </row>
    <row r="897" spans="1:26" ht="24.75" customHeight="1">
      <c r="A897" s="1"/>
      <c r="B897" s="1"/>
      <c r="C897" s="1"/>
      <c r="D897" s="1"/>
      <c r="E897" s="1"/>
      <c r="F897" s="1"/>
      <c r="G897" s="1"/>
      <c r="H897" s="1"/>
      <c r="I897" s="1"/>
      <c r="J897" s="1"/>
      <c r="K897" s="1"/>
      <c r="L897" s="1"/>
      <c r="M897" s="1"/>
      <c r="N897" s="1"/>
      <c r="O897" s="1"/>
      <c r="P897" s="1"/>
      <c r="Q897" s="1"/>
      <c r="R897" s="1"/>
      <c r="S897" s="1"/>
      <c r="T897" s="1"/>
      <c r="U897" s="2"/>
      <c r="V897" s="1"/>
      <c r="W897" s="1"/>
      <c r="X897" s="1"/>
      <c r="Y897" s="1"/>
      <c r="Z897" s="1"/>
    </row>
    <row r="898" spans="1:26" ht="24.75" customHeight="1">
      <c r="A898" s="1"/>
      <c r="B898" s="1"/>
      <c r="C898" s="1"/>
      <c r="D898" s="1"/>
      <c r="E898" s="1"/>
      <c r="F898" s="1"/>
      <c r="G898" s="1"/>
      <c r="H898" s="1"/>
      <c r="I898" s="1"/>
      <c r="J898" s="1"/>
      <c r="K898" s="1"/>
      <c r="L898" s="1"/>
      <c r="M898" s="1"/>
      <c r="N898" s="1"/>
      <c r="O898" s="1"/>
      <c r="P898" s="1"/>
      <c r="Q898" s="1"/>
      <c r="R898" s="1"/>
      <c r="S898" s="1"/>
      <c r="T898" s="1"/>
      <c r="U898" s="2"/>
      <c r="V898" s="1"/>
      <c r="W898" s="1"/>
      <c r="X898" s="1"/>
      <c r="Y898" s="1"/>
      <c r="Z898" s="1"/>
    </row>
    <row r="899" spans="1:26" ht="24.75" customHeight="1">
      <c r="A899" s="1"/>
      <c r="B899" s="1"/>
      <c r="C899" s="1"/>
      <c r="D899" s="1"/>
      <c r="E899" s="1"/>
      <c r="F899" s="1"/>
      <c r="G899" s="1"/>
      <c r="H899" s="1"/>
      <c r="I899" s="1"/>
      <c r="J899" s="1"/>
      <c r="K899" s="1"/>
      <c r="L899" s="1"/>
      <c r="M899" s="1"/>
      <c r="N899" s="1"/>
      <c r="O899" s="1"/>
      <c r="P899" s="1"/>
      <c r="Q899" s="1"/>
      <c r="R899" s="1"/>
      <c r="S899" s="1"/>
      <c r="T899" s="1"/>
      <c r="U899" s="2"/>
      <c r="V899" s="1"/>
      <c r="W899" s="1"/>
      <c r="X899" s="1"/>
      <c r="Y899" s="1"/>
      <c r="Z899" s="1"/>
    </row>
    <row r="900" spans="1:26" ht="24.75" customHeight="1">
      <c r="A900" s="1"/>
      <c r="B900" s="1"/>
      <c r="C900" s="1"/>
      <c r="D900" s="1"/>
      <c r="E900" s="1"/>
      <c r="F900" s="1"/>
      <c r="G900" s="1"/>
      <c r="H900" s="1"/>
      <c r="I900" s="1"/>
      <c r="J900" s="1"/>
      <c r="K900" s="1"/>
      <c r="L900" s="1"/>
      <c r="M900" s="1"/>
      <c r="N900" s="1"/>
      <c r="O900" s="1"/>
      <c r="P900" s="1"/>
      <c r="Q900" s="1"/>
      <c r="R900" s="1"/>
      <c r="S900" s="1"/>
      <c r="T900" s="1"/>
      <c r="U900" s="2"/>
      <c r="V900" s="1"/>
      <c r="W900" s="1"/>
      <c r="X900" s="1"/>
      <c r="Y900" s="1"/>
      <c r="Z900" s="1"/>
    </row>
    <row r="901" spans="1:26" ht="24.75" customHeight="1">
      <c r="A901" s="1"/>
      <c r="B901" s="1"/>
      <c r="C901" s="1"/>
      <c r="D901" s="1"/>
      <c r="E901" s="1"/>
      <c r="F901" s="1"/>
      <c r="G901" s="1"/>
      <c r="H901" s="1"/>
      <c r="I901" s="1"/>
      <c r="J901" s="1"/>
      <c r="K901" s="1"/>
      <c r="L901" s="1"/>
      <c r="M901" s="1"/>
      <c r="N901" s="1"/>
      <c r="O901" s="1"/>
      <c r="P901" s="1"/>
      <c r="Q901" s="1"/>
      <c r="R901" s="1"/>
      <c r="S901" s="1"/>
      <c r="T901" s="1"/>
      <c r="U901" s="2"/>
      <c r="V901" s="1"/>
      <c r="W901" s="1"/>
      <c r="X901" s="1"/>
      <c r="Y901" s="1"/>
      <c r="Z901" s="1"/>
    </row>
    <row r="902" spans="1:26" ht="24.75" customHeight="1">
      <c r="A902" s="1"/>
      <c r="B902" s="1"/>
      <c r="C902" s="1"/>
      <c r="D902" s="1"/>
      <c r="E902" s="1"/>
      <c r="F902" s="1"/>
      <c r="G902" s="1"/>
      <c r="H902" s="1"/>
      <c r="I902" s="1"/>
      <c r="J902" s="1"/>
      <c r="K902" s="1"/>
      <c r="L902" s="1"/>
      <c r="M902" s="1"/>
      <c r="N902" s="1"/>
      <c r="O902" s="1"/>
      <c r="P902" s="1"/>
      <c r="Q902" s="1"/>
      <c r="R902" s="1"/>
      <c r="S902" s="1"/>
      <c r="T902" s="1"/>
      <c r="U902" s="2"/>
      <c r="V902" s="1"/>
      <c r="W902" s="1"/>
      <c r="X902" s="1"/>
      <c r="Y902" s="1"/>
      <c r="Z902" s="1"/>
    </row>
    <row r="903" spans="1:26" ht="24.75" customHeight="1">
      <c r="A903" s="1"/>
      <c r="B903" s="1"/>
      <c r="C903" s="1"/>
      <c r="D903" s="1"/>
      <c r="E903" s="1"/>
      <c r="F903" s="1"/>
      <c r="G903" s="1"/>
      <c r="H903" s="1"/>
      <c r="I903" s="1"/>
      <c r="J903" s="1"/>
      <c r="K903" s="1"/>
      <c r="L903" s="1"/>
      <c r="M903" s="1"/>
      <c r="N903" s="1"/>
      <c r="O903" s="1"/>
      <c r="P903" s="1"/>
      <c r="Q903" s="1"/>
      <c r="R903" s="1"/>
      <c r="S903" s="1"/>
      <c r="T903" s="1"/>
      <c r="U903" s="2"/>
      <c r="V903" s="1"/>
      <c r="W903" s="1"/>
      <c r="X903" s="1"/>
      <c r="Y903" s="1"/>
      <c r="Z903" s="1"/>
    </row>
    <row r="904" spans="1:26" ht="24.75" customHeight="1">
      <c r="A904" s="1"/>
      <c r="B904" s="1"/>
      <c r="C904" s="1"/>
      <c r="D904" s="1"/>
      <c r="E904" s="1"/>
      <c r="F904" s="1"/>
      <c r="G904" s="1"/>
      <c r="H904" s="1"/>
      <c r="I904" s="1"/>
      <c r="J904" s="1"/>
      <c r="K904" s="1"/>
      <c r="L904" s="1"/>
      <c r="M904" s="1"/>
      <c r="N904" s="1"/>
      <c r="O904" s="1"/>
      <c r="P904" s="1"/>
      <c r="Q904" s="1"/>
      <c r="R904" s="1"/>
      <c r="S904" s="1"/>
      <c r="T904" s="1"/>
      <c r="U904" s="2"/>
      <c r="V904" s="1"/>
      <c r="W904" s="1"/>
      <c r="X904" s="1"/>
      <c r="Y904" s="1"/>
      <c r="Z904" s="1"/>
    </row>
    <row r="905" spans="1:26" ht="24.75" customHeight="1">
      <c r="A905" s="1"/>
      <c r="B905" s="1"/>
      <c r="C905" s="1"/>
      <c r="D905" s="1"/>
      <c r="E905" s="1"/>
      <c r="F905" s="1"/>
      <c r="G905" s="1"/>
      <c r="H905" s="1"/>
      <c r="I905" s="1"/>
      <c r="J905" s="1"/>
      <c r="K905" s="1"/>
      <c r="L905" s="1"/>
      <c r="M905" s="1"/>
      <c r="N905" s="1"/>
      <c r="O905" s="1"/>
      <c r="P905" s="1"/>
      <c r="Q905" s="1"/>
      <c r="R905" s="1"/>
      <c r="S905" s="1"/>
      <c r="T905" s="1"/>
      <c r="U905" s="2"/>
      <c r="V905" s="1"/>
      <c r="W905" s="1"/>
      <c r="X905" s="1"/>
      <c r="Y905" s="1"/>
      <c r="Z905" s="1"/>
    </row>
    <row r="906" spans="1:26" ht="24.75" customHeight="1">
      <c r="A906" s="1"/>
      <c r="B906" s="1"/>
      <c r="C906" s="1"/>
      <c r="D906" s="1"/>
      <c r="E906" s="1"/>
      <c r="F906" s="1"/>
      <c r="G906" s="1"/>
      <c r="H906" s="1"/>
      <c r="I906" s="1"/>
      <c r="J906" s="1"/>
      <c r="K906" s="1"/>
      <c r="L906" s="1"/>
      <c r="M906" s="1"/>
      <c r="N906" s="1"/>
      <c r="O906" s="1"/>
      <c r="P906" s="1"/>
      <c r="Q906" s="1"/>
      <c r="R906" s="1"/>
      <c r="S906" s="1"/>
      <c r="T906" s="1"/>
      <c r="U906" s="2"/>
      <c r="V906" s="1"/>
      <c r="W906" s="1"/>
      <c r="X906" s="1"/>
      <c r="Y906" s="1"/>
      <c r="Z906" s="1"/>
    </row>
    <row r="907" spans="1:26" ht="24.75" customHeight="1">
      <c r="A907" s="1"/>
      <c r="B907" s="1"/>
      <c r="C907" s="1"/>
      <c r="D907" s="1"/>
      <c r="E907" s="1"/>
      <c r="F907" s="1"/>
      <c r="G907" s="1"/>
      <c r="H907" s="1"/>
      <c r="I907" s="1"/>
      <c r="J907" s="1"/>
      <c r="K907" s="1"/>
      <c r="L907" s="1"/>
      <c r="M907" s="1"/>
      <c r="N907" s="1"/>
      <c r="O907" s="1"/>
      <c r="P907" s="1"/>
      <c r="Q907" s="1"/>
      <c r="R907" s="1"/>
      <c r="S907" s="1"/>
      <c r="T907" s="1"/>
      <c r="U907" s="2"/>
      <c r="V907" s="1"/>
      <c r="W907" s="1"/>
      <c r="X907" s="1"/>
      <c r="Y907" s="1"/>
      <c r="Z907" s="1"/>
    </row>
    <row r="908" spans="1:26" ht="24.75" customHeight="1">
      <c r="A908" s="1"/>
      <c r="B908" s="1"/>
      <c r="C908" s="1"/>
      <c r="D908" s="1"/>
      <c r="E908" s="1"/>
      <c r="F908" s="1"/>
      <c r="G908" s="1"/>
      <c r="H908" s="1"/>
      <c r="I908" s="1"/>
      <c r="J908" s="1"/>
      <c r="K908" s="1"/>
      <c r="L908" s="1"/>
      <c r="M908" s="1"/>
      <c r="N908" s="1"/>
      <c r="O908" s="1"/>
      <c r="P908" s="1"/>
      <c r="Q908" s="1"/>
      <c r="R908" s="1"/>
      <c r="S908" s="1"/>
      <c r="T908" s="1"/>
      <c r="U908" s="2"/>
      <c r="V908" s="1"/>
      <c r="W908" s="1"/>
      <c r="X908" s="1"/>
      <c r="Y908" s="1"/>
      <c r="Z908" s="1"/>
    </row>
    <row r="909" spans="1:26" ht="24.75" customHeight="1">
      <c r="A909" s="1"/>
      <c r="B909" s="1"/>
      <c r="C909" s="1"/>
      <c r="D909" s="1"/>
      <c r="E909" s="1"/>
      <c r="F909" s="1"/>
      <c r="G909" s="1"/>
      <c r="H909" s="1"/>
      <c r="I909" s="1"/>
      <c r="J909" s="1"/>
      <c r="K909" s="1"/>
      <c r="L909" s="1"/>
      <c r="M909" s="1"/>
      <c r="N909" s="1"/>
      <c r="O909" s="1"/>
      <c r="P909" s="1"/>
      <c r="Q909" s="1"/>
      <c r="R909" s="1"/>
      <c r="S909" s="1"/>
      <c r="T909" s="1"/>
      <c r="U909" s="2"/>
      <c r="V909" s="1"/>
      <c r="W909" s="1"/>
      <c r="X909" s="1"/>
      <c r="Y909" s="1"/>
      <c r="Z909" s="1"/>
    </row>
    <row r="910" spans="1:26" ht="24.75" customHeight="1">
      <c r="A910" s="1"/>
      <c r="B910" s="1"/>
      <c r="C910" s="1"/>
      <c r="D910" s="1"/>
      <c r="E910" s="1"/>
      <c r="F910" s="1"/>
      <c r="G910" s="1"/>
      <c r="H910" s="1"/>
      <c r="I910" s="1"/>
      <c r="J910" s="1"/>
      <c r="K910" s="1"/>
      <c r="L910" s="1"/>
      <c r="M910" s="1"/>
      <c r="N910" s="1"/>
      <c r="O910" s="1"/>
      <c r="P910" s="1"/>
      <c r="Q910" s="1"/>
      <c r="R910" s="1"/>
      <c r="S910" s="1"/>
      <c r="T910" s="1"/>
      <c r="U910" s="2"/>
      <c r="V910" s="1"/>
      <c r="W910" s="1"/>
      <c r="X910" s="1"/>
      <c r="Y910" s="1"/>
      <c r="Z910" s="1"/>
    </row>
    <row r="911" spans="1:26" ht="24.75" customHeight="1">
      <c r="A911" s="1"/>
      <c r="B911" s="1"/>
      <c r="C911" s="1"/>
      <c r="D911" s="1"/>
      <c r="E911" s="1"/>
      <c r="F911" s="1"/>
      <c r="G911" s="1"/>
      <c r="H911" s="1"/>
      <c r="I911" s="1"/>
      <c r="J911" s="1"/>
      <c r="K911" s="1"/>
      <c r="L911" s="1"/>
      <c r="M911" s="1"/>
      <c r="N911" s="1"/>
      <c r="O911" s="1"/>
      <c r="P911" s="1"/>
      <c r="Q911" s="1"/>
      <c r="R911" s="1"/>
      <c r="S911" s="1"/>
      <c r="T911" s="1"/>
      <c r="U911" s="2"/>
      <c r="V911" s="1"/>
      <c r="W911" s="1"/>
      <c r="X911" s="1"/>
      <c r="Y911" s="1"/>
      <c r="Z911" s="1"/>
    </row>
    <row r="912" spans="1:26" ht="24.75" customHeight="1">
      <c r="A912" s="1"/>
      <c r="B912" s="1"/>
      <c r="C912" s="1"/>
      <c r="D912" s="1"/>
      <c r="E912" s="1"/>
      <c r="F912" s="1"/>
      <c r="G912" s="1"/>
      <c r="H912" s="1"/>
      <c r="I912" s="1"/>
      <c r="J912" s="1"/>
      <c r="K912" s="1"/>
      <c r="L912" s="1"/>
      <c r="M912" s="1"/>
      <c r="N912" s="1"/>
      <c r="O912" s="1"/>
      <c r="P912" s="1"/>
      <c r="Q912" s="1"/>
      <c r="R912" s="1"/>
      <c r="S912" s="1"/>
      <c r="T912" s="1"/>
      <c r="U912" s="2"/>
      <c r="V912" s="1"/>
      <c r="W912" s="1"/>
      <c r="X912" s="1"/>
      <c r="Y912" s="1"/>
      <c r="Z912" s="1"/>
    </row>
    <row r="913" spans="1:26" ht="24.75" customHeight="1">
      <c r="A913" s="1"/>
      <c r="B913" s="1"/>
      <c r="C913" s="1"/>
      <c r="D913" s="1"/>
      <c r="E913" s="1"/>
      <c r="F913" s="1"/>
      <c r="G913" s="1"/>
      <c r="H913" s="1"/>
      <c r="I913" s="1"/>
      <c r="J913" s="1"/>
      <c r="K913" s="1"/>
      <c r="L913" s="1"/>
      <c r="M913" s="1"/>
      <c r="N913" s="1"/>
      <c r="O913" s="1"/>
      <c r="P913" s="1"/>
      <c r="Q913" s="1"/>
      <c r="R913" s="1"/>
      <c r="S913" s="1"/>
      <c r="T913" s="1"/>
      <c r="U913" s="2"/>
      <c r="V913" s="1"/>
      <c r="W913" s="1"/>
      <c r="X913" s="1"/>
      <c r="Y913" s="1"/>
      <c r="Z913" s="1"/>
    </row>
    <row r="914" spans="1:26" ht="24.75" customHeight="1">
      <c r="A914" s="1"/>
      <c r="B914" s="1"/>
      <c r="C914" s="1"/>
      <c r="D914" s="1"/>
      <c r="E914" s="1"/>
      <c r="F914" s="1"/>
      <c r="G914" s="1"/>
      <c r="H914" s="1"/>
      <c r="I914" s="1"/>
      <c r="J914" s="1"/>
      <c r="K914" s="1"/>
      <c r="L914" s="1"/>
      <c r="M914" s="1"/>
      <c r="N914" s="1"/>
      <c r="O914" s="1"/>
      <c r="P914" s="1"/>
      <c r="Q914" s="1"/>
      <c r="R914" s="1"/>
      <c r="S914" s="1"/>
      <c r="T914" s="1"/>
      <c r="U914" s="2"/>
      <c r="V914" s="1"/>
      <c r="W914" s="1"/>
      <c r="X914" s="1"/>
      <c r="Y914" s="1"/>
      <c r="Z914" s="1"/>
    </row>
    <row r="915" spans="1:26" ht="24.75" customHeight="1">
      <c r="A915" s="1"/>
      <c r="B915" s="1"/>
      <c r="C915" s="1"/>
      <c r="D915" s="1"/>
      <c r="E915" s="1"/>
      <c r="F915" s="1"/>
      <c r="G915" s="1"/>
      <c r="H915" s="1"/>
      <c r="I915" s="1"/>
      <c r="J915" s="1"/>
      <c r="K915" s="1"/>
      <c r="L915" s="1"/>
      <c r="M915" s="1"/>
      <c r="N915" s="1"/>
      <c r="O915" s="1"/>
      <c r="P915" s="1"/>
      <c r="Q915" s="1"/>
      <c r="R915" s="1"/>
      <c r="S915" s="1"/>
      <c r="T915" s="1"/>
      <c r="U915" s="2"/>
      <c r="V915" s="1"/>
      <c r="W915" s="1"/>
      <c r="X915" s="1"/>
      <c r="Y915" s="1"/>
      <c r="Z915" s="1"/>
    </row>
    <row r="916" spans="1:26" ht="24.75" customHeight="1">
      <c r="A916" s="1"/>
      <c r="B916" s="1"/>
      <c r="C916" s="1"/>
      <c r="D916" s="1"/>
      <c r="E916" s="1"/>
      <c r="F916" s="1"/>
      <c r="G916" s="1"/>
      <c r="H916" s="1"/>
      <c r="I916" s="1"/>
      <c r="J916" s="1"/>
      <c r="K916" s="1"/>
      <c r="L916" s="1"/>
      <c r="M916" s="1"/>
      <c r="N916" s="1"/>
      <c r="O916" s="1"/>
      <c r="P916" s="1"/>
      <c r="Q916" s="1"/>
      <c r="R916" s="1"/>
      <c r="S916" s="1"/>
      <c r="T916" s="1"/>
      <c r="U916" s="2"/>
      <c r="V916" s="1"/>
      <c r="W916" s="1"/>
      <c r="X916" s="1"/>
      <c r="Y916" s="1"/>
      <c r="Z916" s="1"/>
    </row>
    <row r="917" spans="1:26" ht="24.75" customHeight="1">
      <c r="A917" s="1"/>
      <c r="B917" s="1"/>
      <c r="C917" s="1"/>
      <c r="D917" s="1"/>
      <c r="E917" s="1"/>
      <c r="F917" s="1"/>
      <c r="G917" s="1"/>
      <c r="H917" s="1"/>
      <c r="I917" s="1"/>
      <c r="J917" s="1"/>
      <c r="K917" s="1"/>
      <c r="L917" s="1"/>
      <c r="M917" s="1"/>
      <c r="N917" s="1"/>
      <c r="O917" s="1"/>
      <c r="P917" s="1"/>
      <c r="Q917" s="1"/>
      <c r="R917" s="1"/>
      <c r="S917" s="1"/>
      <c r="T917" s="1"/>
      <c r="U917" s="2"/>
      <c r="V917" s="1"/>
      <c r="W917" s="1"/>
      <c r="X917" s="1"/>
      <c r="Y917" s="1"/>
      <c r="Z917" s="1"/>
    </row>
    <row r="918" spans="1:26" ht="24.75" customHeight="1">
      <c r="A918" s="1"/>
      <c r="B918" s="1"/>
      <c r="C918" s="1"/>
      <c r="D918" s="1"/>
      <c r="E918" s="1"/>
      <c r="F918" s="1"/>
      <c r="G918" s="1"/>
      <c r="H918" s="1"/>
      <c r="I918" s="1"/>
      <c r="J918" s="1"/>
      <c r="K918" s="1"/>
      <c r="L918" s="1"/>
      <c r="M918" s="1"/>
      <c r="N918" s="1"/>
      <c r="O918" s="1"/>
      <c r="P918" s="1"/>
      <c r="Q918" s="1"/>
      <c r="R918" s="1"/>
      <c r="S918" s="1"/>
      <c r="T918" s="1"/>
      <c r="U918" s="2"/>
      <c r="V918" s="1"/>
      <c r="W918" s="1"/>
      <c r="X918" s="1"/>
      <c r="Y918" s="1"/>
      <c r="Z918" s="1"/>
    </row>
    <row r="919" spans="1:26" ht="24.75" customHeight="1">
      <c r="A919" s="1"/>
      <c r="B919" s="1"/>
      <c r="C919" s="1"/>
      <c r="D919" s="1"/>
      <c r="E919" s="1"/>
      <c r="F919" s="1"/>
      <c r="G919" s="1"/>
      <c r="H919" s="1"/>
      <c r="I919" s="1"/>
      <c r="J919" s="1"/>
      <c r="K919" s="1"/>
      <c r="L919" s="1"/>
      <c r="M919" s="1"/>
      <c r="N919" s="1"/>
      <c r="O919" s="1"/>
      <c r="P919" s="1"/>
      <c r="Q919" s="1"/>
      <c r="R919" s="1"/>
      <c r="S919" s="1"/>
      <c r="T919" s="1"/>
      <c r="U919" s="2"/>
      <c r="V919" s="1"/>
      <c r="W919" s="1"/>
      <c r="X919" s="1"/>
      <c r="Y919" s="1"/>
      <c r="Z919" s="1"/>
    </row>
    <row r="920" spans="1:26" ht="24.75" customHeight="1">
      <c r="A920" s="1"/>
      <c r="B920" s="1"/>
      <c r="C920" s="1"/>
      <c r="D920" s="1"/>
      <c r="E920" s="1"/>
      <c r="F920" s="1"/>
      <c r="G920" s="1"/>
      <c r="H920" s="1"/>
      <c r="I920" s="1"/>
      <c r="J920" s="1"/>
      <c r="K920" s="1"/>
      <c r="L920" s="1"/>
      <c r="M920" s="1"/>
      <c r="N920" s="1"/>
      <c r="O920" s="1"/>
      <c r="P920" s="1"/>
      <c r="Q920" s="1"/>
      <c r="R920" s="1"/>
      <c r="S920" s="1"/>
      <c r="T920" s="1"/>
      <c r="U920" s="2"/>
      <c r="V920" s="1"/>
      <c r="W920" s="1"/>
      <c r="X920" s="1"/>
      <c r="Y920" s="1"/>
      <c r="Z920" s="1"/>
    </row>
    <row r="921" spans="1:26" ht="24.75" customHeight="1">
      <c r="A921" s="1"/>
      <c r="B921" s="1"/>
      <c r="C921" s="1"/>
      <c r="D921" s="1"/>
      <c r="E921" s="1"/>
      <c r="F921" s="1"/>
      <c r="G921" s="1"/>
      <c r="H921" s="1"/>
      <c r="I921" s="1"/>
      <c r="J921" s="1"/>
      <c r="K921" s="1"/>
      <c r="L921" s="1"/>
      <c r="M921" s="1"/>
      <c r="N921" s="1"/>
      <c r="O921" s="1"/>
      <c r="P921" s="1"/>
      <c r="Q921" s="1"/>
      <c r="R921" s="1"/>
      <c r="S921" s="1"/>
      <c r="T921" s="1"/>
      <c r="U921" s="2"/>
      <c r="V921" s="1"/>
      <c r="W921" s="1"/>
      <c r="X921" s="1"/>
      <c r="Y921" s="1"/>
      <c r="Z921" s="1"/>
    </row>
    <row r="922" spans="1:26" ht="24.75" customHeight="1">
      <c r="A922" s="1"/>
      <c r="B922" s="1"/>
      <c r="C922" s="1"/>
      <c r="D922" s="1"/>
      <c r="E922" s="1"/>
      <c r="F922" s="1"/>
      <c r="G922" s="1"/>
      <c r="H922" s="1"/>
      <c r="I922" s="1"/>
      <c r="J922" s="1"/>
      <c r="K922" s="1"/>
      <c r="L922" s="1"/>
      <c r="M922" s="1"/>
      <c r="N922" s="1"/>
      <c r="O922" s="1"/>
      <c r="P922" s="1"/>
      <c r="Q922" s="1"/>
      <c r="R922" s="1"/>
      <c r="S922" s="1"/>
      <c r="T922" s="1"/>
      <c r="U922" s="2"/>
      <c r="V922" s="1"/>
      <c r="W922" s="1"/>
      <c r="X922" s="1"/>
      <c r="Y922" s="1"/>
      <c r="Z922" s="1"/>
    </row>
    <row r="923" spans="1:26" ht="24.75" customHeight="1">
      <c r="A923" s="1"/>
      <c r="B923" s="1"/>
      <c r="C923" s="1"/>
      <c r="D923" s="1"/>
      <c r="E923" s="1"/>
      <c r="F923" s="1"/>
      <c r="G923" s="1"/>
      <c r="H923" s="1"/>
      <c r="I923" s="1"/>
      <c r="J923" s="1"/>
      <c r="K923" s="1"/>
      <c r="L923" s="1"/>
      <c r="M923" s="1"/>
      <c r="N923" s="1"/>
      <c r="O923" s="1"/>
      <c r="P923" s="1"/>
      <c r="Q923" s="1"/>
      <c r="R923" s="1"/>
      <c r="S923" s="1"/>
      <c r="T923" s="1"/>
      <c r="U923" s="2"/>
      <c r="V923" s="1"/>
      <c r="W923" s="1"/>
      <c r="X923" s="1"/>
      <c r="Y923" s="1"/>
      <c r="Z923" s="1"/>
    </row>
    <row r="924" spans="1:26" ht="24.75" customHeight="1">
      <c r="A924" s="1"/>
      <c r="B924" s="1"/>
      <c r="C924" s="1"/>
      <c r="D924" s="1"/>
      <c r="E924" s="1"/>
      <c r="F924" s="1"/>
      <c r="G924" s="1"/>
      <c r="H924" s="1"/>
      <c r="I924" s="1"/>
      <c r="J924" s="1"/>
      <c r="K924" s="1"/>
      <c r="L924" s="1"/>
      <c r="M924" s="1"/>
      <c r="N924" s="1"/>
      <c r="O924" s="1"/>
      <c r="P924" s="1"/>
      <c r="Q924" s="1"/>
      <c r="R924" s="1"/>
      <c r="S924" s="1"/>
      <c r="T924" s="1"/>
      <c r="U924" s="2"/>
      <c r="V924" s="1"/>
      <c r="W924" s="1"/>
      <c r="X924" s="1"/>
      <c r="Y924" s="1"/>
      <c r="Z924" s="1"/>
    </row>
    <row r="925" spans="1:26" ht="24.75" customHeight="1">
      <c r="A925" s="1"/>
      <c r="B925" s="1"/>
      <c r="C925" s="1"/>
      <c r="D925" s="1"/>
      <c r="E925" s="1"/>
      <c r="F925" s="1"/>
      <c r="G925" s="1"/>
      <c r="H925" s="1"/>
      <c r="I925" s="1"/>
      <c r="J925" s="1"/>
      <c r="K925" s="1"/>
      <c r="L925" s="1"/>
      <c r="M925" s="1"/>
      <c r="N925" s="1"/>
      <c r="O925" s="1"/>
      <c r="P925" s="1"/>
      <c r="Q925" s="1"/>
      <c r="R925" s="1"/>
      <c r="S925" s="1"/>
      <c r="T925" s="1"/>
      <c r="U925" s="2"/>
      <c r="V925" s="1"/>
      <c r="W925" s="1"/>
      <c r="X925" s="1"/>
      <c r="Y925" s="1"/>
      <c r="Z925" s="1"/>
    </row>
    <row r="926" spans="1:26" ht="24.75" customHeight="1">
      <c r="A926" s="1"/>
      <c r="B926" s="1"/>
      <c r="C926" s="1"/>
      <c r="D926" s="1"/>
      <c r="E926" s="1"/>
      <c r="F926" s="1"/>
      <c r="G926" s="1"/>
      <c r="H926" s="1"/>
      <c r="I926" s="1"/>
      <c r="J926" s="1"/>
      <c r="K926" s="1"/>
      <c r="L926" s="1"/>
      <c r="M926" s="1"/>
      <c r="N926" s="1"/>
      <c r="O926" s="1"/>
      <c r="P926" s="1"/>
      <c r="Q926" s="1"/>
      <c r="R926" s="1"/>
      <c r="S926" s="1"/>
      <c r="T926" s="1"/>
      <c r="U926" s="2"/>
      <c r="V926" s="1"/>
      <c r="W926" s="1"/>
      <c r="X926" s="1"/>
      <c r="Y926" s="1"/>
      <c r="Z926" s="1"/>
    </row>
    <row r="927" spans="1:26" ht="24.75" customHeight="1">
      <c r="A927" s="1"/>
      <c r="B927" s="1"/>
      <c r="C927" s="1"/>
      <c r="D927" s="1"/>
      <c r="E927" s="1"/>
      <c r="F927" s="1"/>
      <c r="G927" s="1"/>
      <c r="H927" s="1"/>
      <c r="I927" s="1"/>
      <c r="J927" s="1"/>
      <c r="K927" s="1"/>
      <c r="L927" s="1"/>
      <c r="M927" s="1"/>
      <c r="N927" s="1"/>
      <c r="O927" s="1"/>
      <c r="P927" s="1"/>
      <c r="Q927" s="1"/>
      <c r="R927" s="1"/>
      <c r="S927" s="1"/>
      <c r="T927" s="1"/>
      <c r="U927" s="2"/>
      <c r="V927" s="1"/>
      <c r="W927" s="1"/>
      <c r="X927" s="1"/>
      <c r="Y927" s="1"/>
      <c r="Z927" s="1"/>
    </row>
    <row r="928" spans="1:26" ht="24.75" customHeight="1">
      <c r="A928" s="1"/>
      <c r="B928" s="1"/>
      <c r="C928" s="1"/>
      <c r="D928" s="1"/>
      <c r="E928" s="1"/>
      <c r="F928" s="1"/>
      <c r="G928" s="1"/>
      <c r="H928" s="1"/>
      <c r="I928" s="1"/>
      <c r="J928" s="1"/>
      <c r="K928" s="1"/>
      <c r="L928" s="1"/>
      <c r="M928" s="1"/>
      <c r="N928" s="1"/>
      <c r="O928" s="1"/>
      <c r="P928" s="1"/>
      <c r="Q928" s="1"/>
      <c r="R928" s="1"/>
      <c r="S928" s="1"/>
      <c r="T928" s="1"/>
      <c r="U928" s="2"/>
      <c r="V928" s="1"/>
      <c r="W928" s="1"/>
      <c r="X928" s="1"/>
      <c r="Y928" s="1"/>
      <c r="Z928" s="1"/>
    </row>
    <row r="929" spans="1:26" ht="24.75" customHeight="1">
      <c r="A929" s="1"/>
      <c r="B929" s="1"/>
      <c r="C929" s="1"/>
      <c r="D929" s="1"/>
      <c r="E929" s="1"/>
      <c r="F929" s="1"/>
      <c r="G929" s="1"/>
      <c r="H929" s="1"/>
      <c r="I929" s="1"/>
      <c r="J929" s="1"/>
      <c r="K929" s="1"/>
      <c r="L929" s="1"/>
      <c r="M929" s="1"/>
      <c r="N929" s="1"/>
      <c r="O929" s="1"/>
      <c r="P929" s="1"/>
      <c r="Q929" s="1"/>
      <c r="R929" s="1"/>
      <c r="S929" s="1"/>
      <c r="T929" s="1"/>
      <c r="U929" s="2"/>
      <c r="V929" s="1"/>
      <c r="W929" s="1"/>
      <c r="X929" s="1"/>
      <c r="Y929" s="1"/>
      <c r="Z929" s="1"/>
    </row>
    <row r="930" spans="1:26" ht="24.75" customHeight="1">
      <c r="A930" s="1"/>
      <c r="B930" s="1"/>
      <c r="C930" s="1"/>
      <c r="D930" s="1"/>
      <c r="E930" s="1"/>
      <c r="F930" s="1"/>
      <c r="G930" s="1"/>
      <c r="H930" s="1"/>
      <c r="I930" s="1"/>
      <c r="J930" s="1"/>
      <c r="K930" s="1"/>
      <c r="L930" s="1"/>
      <c r="M930" s="1"/>
      <c r="N930" s="1"/>
      <c r="O930" s="1"/>
      <c r="P930" s="1"/>
      <c r="Q930" s="1"/>
      <c r="R930" s="1"/>
      <c r="S930" s="1"/>
      <c r="T930" s="1"/>
      <c r="U930" s="2"/>
      <c r="V930" s="1"/>
      <c r="W930" s="1"/>
      <c r="X930" s="1"/>
      <c r="Y930" s="1"/>
      <c r="Z930" s="1"/>
    </row>
    <row r="931" spans="1:26" ht="24.75" customHeight="1">
      <c r="A931" s="1"/>
      <c r="B931" s="1"/>
      <c r="C931" s="1"/>
      <c r="D931" s="1"/>
      <c r="E931" s="1"/>
      <c r="F931" s="1"/>
      <c r="G931" s="1"/>
      <c r="H931" s="1"/>
      <c r="I931" s="1"/>
      <c r="J931" s="1"/>
      <c r="K931" s="1"/>
      <c r="L931" s="1"/>
      <c r="M931" s="1"/>
      <c r="N931" s="1"/>
      <c r="O931" s="1"/>
      <c r="P931" s="1"/>
      <c r="Q931" s="1"/>
      <c r="R931" s="1"/>
      <c r="S931" s="1"/>
      <c r="T931" s="1"/>
      <c r="U931" s="2"/>
      <c r="V931" s="1"/>
      <c r="W931" s="1"/>
      <c r="X931" s="1"/>
      <c r="Y931" s="1"/>
      <c r="Z931" s="1"/>
    </row>
    <row r="932" spans="1:26" ht="24.75" customHeight="1">
      <c r="A932" s="1"/>
      <c r="B932" s="1"/>
      <c r="C932" s="1"/>
      <c r="D932" s="1"/>
      <c r="E932" s="1"/>
      <c r="F932" s="1"/>
      <c r="G932" s="1"/>
      <c r="H932" s="1"/>
      <c r="I932" s="1"/>
      <c r="J932" s="1"/>
      <c r="K932" s="1"/>
      <c r="L932" s="1"/>
      <c r="M932" s="1"/>
      <c r="N932" s="1"/>
      <c r="O932" s="1"/>
      <c r="P932" s="1"/>
      <c r="Q932" s="1"/>
      <c r="R932" s="1"/>
      <c r="S932" s="1"/>
      <c r="T932" s="1"/>
      <c r="U932" s="2"/>
      <c r="V932" s="1"/>
      <c r="W932" s="1"/>
      <c r="X932" s="1"/>
      <c r="Y932" s="1"/>
      <c r="Z932" s="1"/>
    </row>
    <row r="933" spans="1:26" ht="24.75" customHeight="1">
      <c r="A933" s="1"/>
      <c r="B933" s="1"/>
      <c r="C933" s="1"/>
      <c r="D933" s="1"/>
      <c r="E933" s="1"/>
      <c r="F933" s="1"/>
      <c r="G933" s="1"/>
      <c r="H933" s="1"/>
      <c r="I933" s="1"/>
      <c r="J933" s="1"/>
      <c r="K933" s="1"/>
      <c r="L933" s="1"/>
      <c r="M933" s="1"/>
      <c r="N933" s="1"/>
      <c r="O933" s="1"/>
      <c r="P933" s="1"/>
      <c r="Q933" s="1"/>
      <c r="R933" s="1"/>
      <c r="S933" s="1"/>
      <c r="T933" s="1"/>
      <c r="U933" s="2"/>
      <c r="V933" s="1"/>
      <c r="W933" s="1"/>
      <c r="X933" s="1"/>
      <c r="Y933" s="1"/>
      <c r="Z933" s="1"/>
    </row>
    <row r="934" spans="1:26" ht="24.75" customHeight="1">
      <c r="A934" s="1"/>
      <c r="B934" s="1"/>
      <c r="C934" s="1"/>
      <c r="D934" s="1"/>
      <c r="E934" s="1"/>
      <c r="F934" s="1"/>
      <c r="G934" s="1"/>
      <c r="H934" s="1"/>
      <c r="I934" s="1"/>
      <c r="J934" s="1"/>
      <c r="K934" s="1"/>
      <c r="L934" s="1"/>
      <c r="M934" s="1"/>
      <c r="N934" s="1"/>
      <c r="O934" s="1"/>
      <c r="P934" s="1"/>
      <c r="Q934" s="1"/>
      <c r="R934" s="1"/>
      <c r="S934" s="1"/>
      <c r="T934" s="1"/>
      <c r="U934" s="2"/>
      <c r="V934" s="1"/>
      <c r="W934" s="1"/>
      <c r="X934" s="1"/>
      <c r="Y934" s="1"/>
      <c r="Z934" s="1"/>
    </row>
    <row r="935" spans="1:26" ht="24.75" customHeight="1">
      <c r="A935" s="1"/>
      <c r="B935" s="1"/>
      <c r="C935" s="1"/>
      <c r="D935" s="1"/>
      <c r="E935" s="1"/>
      <c r="F935" s="1"/>
      <c r="G935" s="1"/>
      <c r="H935" s="1"/>
      <c r="I935" s="1"/>
      <c r="J935" s="1"/>
      <c r="K935" s="1"/>
      <c r="L935" s="1"/>
      <c r="M935" s="1"/>
      <c r="N935" s="1"/>
      <c r="O935" s="1"/>
      <c r="P935" s="1"/>
      <c r="Q935" s="1"/>
      <c r="R935" s="1"/>
      <c r="S935" s="1"/>
      <c r="T935" s="1"/>
      <c r="U935" s="2"/>
      <c r="V935" s="1"/>
      <c r="W935" s="1"/>
      <c r="X935" s="1"/>
      <c r="Y935" s="1"/>
      <c r="Z935" s="1"/>
    </row>
    <row r="936" spans="1:26" ht="24.75" customHeight="1">
      <c r="A936" s="1"/>
      <c r="B936" s="1"/>
      <c r="C936" s="1"/>
      <c r="D936" s="1"/>
      <c r="E936" s="1"/>
      <c r="F936" s="1"/>
      <c r="G936" s="1"/>
      <c r="H936" s="1"/>
      <c r="I936" s="1"/>
      <c r="J936" s="1"/>
      <c r="K936" s="1"/>
      <c r="L936" s="1"/>
      <c r="M936" s="1"/>
      <c r="N936" s="1"/>
      <c r="O936" s="1"/>
      <c r="P936" s="1"/>
      <c r="Q936" s="1"/>
      <c r="R936" s="1"/>
      <c r="S936" s="1"/>
      <c r="T936" s="1"/>
      <c r="U936" s="2"/>
      <c r="V936" s="1"/>
      <c r="W936" s="1"/>
      <c r="X936" s="1"/>
      <c r="Y936" s="1"/>
      <c r="Z936" s="1"/>
    </row>
    <row r="937" spans="1:26" ht="24.75" customHeight="1">
      <c r="A937" s="1"/>
      <c r="B937" s="1"/>
      <c r="C937" s="1"/>
      <c r="D937" s="1"/>
      <c r="E937" s="1"/>
      <c r="F937" s="1"/>
      <c r="G937" s="1"/>
      <c r="H937" s="1"/>
      <c r="I937" s="1"/>
      <c r="J937" s="1"/>
      <c r="K937" s="1"/>
      <c r="L937" s="1"/>
      <c r="M937" s="1"/>
      <c r="N937" s="1"/>
      <c r="O937" s="1"/>
      <c r="P937" s="1"/>
      <c r="Q937" s="1"/>
      <c r="R937" s="1"/>
      <c r="S937" s="1"/>
      <c r="T937" s="1"/>
      <c r="U937" s="2"/>
      <c r="V937" s="1"/>
      <c r="W937" s="1"/>
      <c r="X937" s="1"/>
      <c r="Y937" s="1"/>
      <c r="Z937" s="1"/>
    </row>
    <row r="938" spans="1:26" ht="24.75" customHeight="1">
      <c r="A938" s="1"/>
      <c r="B938" s="1"/>
      <c r="C938" s="1"/>
      <c r="D938" s="1"/>
      <c r="E938" s="1"/>
      <c r="F938" s="1"/>
      <c r="G938" s="1"/>
      <c r="H938" s="1"/>
      <c r="I938" s="1"/>
      <c r="J938" s="1"/>
      <c r="K938" s="1"/>
      <c r="L938" s="1"/>
      <c r="M938" s="1"/>
      <c r="N938" s="1"/>
      <c r="O938" s="1"/>
      <c r="P938" s="1"/>
      <c r="Q938" s="1"/>
      <c r="R938" s="1"/>
      <c r="S938" s="1"/>
      <c r="T938" s="1"/>
      <c r="U938" s="2"/>
      <c r="V938" s="1"/>
      <c r="W938" s="1"/>
      <c r="X938" s="1"/>
      <c r="Y938" s="1"/>
      <c r="Z938" s="1"/>
    </row>
    <row r="939" spans="1:26" ht="24.75" customHeight="1">
      <c r="A939" s="1"/>
      <c r="B939" s="1"/>
      <c r="C939" s="1"/>
      <c r="D939" s="1"/>
      <c r="E939" s="1"/>
      <c r="F939" s="1"/>
      <c r="G939" s="1"/>
      <c r="H939" s="1"/>
      <c r="I939" s="1"/>
      <c r="J939" s="1"/>
      <c r="K939" s="1"/>
      <c r="L939" s="1"/>
      <c r="M939" s="1"/>
      <c r="N939" s="1"/>
      <c r="O939" s="1"/>
      <c r="P939" s="1"/>
      <c r="Q939" s="1"/>
      <c r="R939" s="1"/>
      <c r="S939" s="1"/>
      <c r="T939" s="1"/>
      <c r="U939" s="2"/>
      <c r="V939" s="1"/>
      <c r="W939" s="1"/>
      <c r="X939" s="1"/>
      <c r="Y939" s="1"/>
      <c r="Z939" s="1"/>
    </row>
    <row r="940" spans="1:26" ht="24.75" customHeight="1">
      <c r="A940" s="1"/>
      <c r="B940" s="1"/>
      <c r="C940" s="1"/>
      <c r="D940" s="1"/>
      <c r="E940" s="1"/>
      <c r="F940" s="1"/>
      <c r="G940" s="1"/>
      <c r="H940" s="1"/>
      <c r="I940" s="1"/>
      <c r="J940" s="1"/>
      <c r="K940" s="1"/>
      <c r="L940" s="1"/>
      <c r="M940" s="1"/>
      <c r="N940" s="1"/>
      <c r="O940" s="1"/>
      <c r="P940" s="1"/>
      <c r="Q940" s="1"/>
      <c r="R940" s="1"/>
      <c r="S940" s="1"/>
      <c r="T940" s="1"/>
      <c r="U940" s="2"/>
      <c r="V940" s="1"/>
      <c r="W940" s="1"/>
      <c r="X940" s="1"/>
      <c r="Y940" s="1"/>
      <c r="Z940" s="1"/>
    </row>
    <row r="941" spans="1:26" ht="24.75" customHeight="1">
      <c r="A941" s="1"/>
      <c r="B941" s="1"/>
      <c r="C941" s="1"/>
      <c r="D941" s="1"/>
      <c r="E941" s="1"/>
      <c r="F941" s="1"/>
      <c r="G941" s="1"/>
      <c r="H941" s="1"/>
      <c r="I941" s="1"/>
      <c r="J941" s="1"/>
      <c r="K941" s="1"/>
      <c r="L941" s="1"/>
      <c r="M941" s="1"/>
      <c r="N941" s="1"/>
      <c r="O941" s="1"/>
      <c r="P941" s="1"/>
      <c r="Q941" s="1"/>
      <c r="R941" s="1"/>
      <c r="S941" s="1"/>
      <c r="T941" s="1"/>
      <c r="U941" s="2"/>
      <c r="V941" s="1"/>
      <c r="W941" s="1"/>
      <c r="X941" s="1"/>
      <c r="Y941" s="1"/>
      <c r="Z941" s="1"/>
    </row>
    <row r="942" spans="1:26" ht="24.75" customHeight="1">
      <c r="A942" s="1"/>
      <c r="B942" s="1"/>
      <c r="C942" s="1"/>
      <c r="D942" s="1"/>
      <c r="E942" s="1"/>
      <c r="F942" s="1"/>
      <c r="G942" s="1"/>
      <c r="H942" s="1"/>
      <c r="I942" s="1"/>
      <c r="J942" s="1"/>
      <c r="K942" s="1"/>
      <c r="L942" s="1"/>
      <c r="M942" s="1"/>
      <c r="N942" s="1"/>
      <c r="O942" s="1"/>
      <c r="P942" s="1"/>
      <c r="Q942" s="1"/>
      <c r="R942" s="1"/>
      <c r="S942" s="1"/>
      <c r="T942" s="1"/>
      <c r="U942" s="2"/>
      <c r="V942" s="1"/>
      <c r="W942" s="1"/>
      <c r="X942" s="1"/>
      <c r="Y942" s="1"/>
      <c r="Z942" s="1"/>
    </row>
    <row r="943" spans="1:26" ht="24.75" customHeight="1">
      <c r="A943" s="1"/>
      <c r="B943" s="1"/>
      <c r="C943" s="1"/>
      <c r="D943" s="1"/>
      <c r="E943" s="1"/>
      <c r="F943" s="1"/>
      <c r="G943" s="1"/>
      <c r="H943" s="1"/>
      <c r="I943" s="1"/>
      <c r="J943" s="1"/>
      <c r="K943" s="1"/>
      <c r="L943" s="1"/>
      <c r="M943" s="1"/>
      <c r="N943" s="1"/>
      <c r="O943" s="1"/>
      <c r="P943" s="1"/>
      <c r="Q943" s="1"/>
      <c r="R943" s="1"/>
      <c r="S943" s="1"/>
      <c r="T943" s="1"/>
      <c r="U943" s="2"/>
      <c r="V943" s="1"/>
      <c r="W943" s="1"/>
      <c r="X943" s="1"/>
      <c r="Y943" s="1"/>
      <c r="Z943" s="1"/>
    </row>
    <row r="944" spans="1:26" ht="24.75" customHeight="1">
      <c r="A944" s="1"/>
      <c r="B944" s="1"/>
      <c r="C944" s="1"/>
      <c r="D944" s="1"/>
      <c r="E944" s="1"/>
      <c r="F944" s="1"/>
      <c r="G944" s="1"/>
      <c r="H944" s="1"/>
      <c r="I944" s="1"/>
      <c r="J944" s="1"/>
      <c r="K944" s="1"/>
      <c r="L944" s="1"/>
      <c r="M944" s="1"/>
      <c r="N944" s="1"/>
      <c r="O944" s="1"/>
      <c r="P944" s="1"/>
      <c r="Q944" s="1"/>
      <c r="R944" s="1"/>
      <c r="S944" s="1"/>
      <c r="T944" s="1"/>
      <c r="U944" s="2"/>
      <c r="V944" s="1"/>
      <c r="W944" s="1"/>
      <c r="X944" s="1"/>
      <c r="Y944" s="1"/>
      <c r="Z944" s="1"/>
    </row>
    <row r="945" spans="1:26" ht="24.75" customHeight="1">
      <c r="A945" s="1"/>
      <c r="B945" s="1"/>
      <c r="C945" s="1"/>
      <c r="D945" s="1"/>
      <c r="E945" s="1"/>
      <c r="F945" s="1"/>
      <c r="G945" s="1"/>
      <c r="H945" s="1"/>
      <c r="I945" s="1"/>
      <c r="J945" s="1"/>
      <c r="K945" s="1"/>
      <c r="L945" s="1"/>
      <c r="M945" s="1"/>
      <c r="N945" s="1"/>
      <c r="O945" s="1"/>
      <c r="P945" s="1"/>
      <c r="Q945" s="1"/>
      <c r="R945" s="1"/>
      <c r="S945" s="1"/>
      <c r="T945" s="1"/>
      <c r="U945" s="2"/>
      <c r="V945" s="1"/>
      <c r="W945" s="1"/>
      <c r="X945" s="1"/>
      <c r="Y945" s="1"/>
      <c r="Z945" s="1"/>
    </row>
    <row r="946" spans="1:26" ht="24.75" customHeight="1">
      <c r="A946" s="1"/>
      <c r="B946" s="1"/>
      <c r="C946" s="1"/>
      <c r="D946" s="1"/>
      <c r="E946" s="1"/>
      <c r="F946" s="1"/>
      <c r="G946" s="1"/>
      <c r="H946" s="1"/>
      <c r="I946" s="1"/>
      <c r="J946" s="1"/>
      <c r="K946" s="1"/>
      <c r="L946" s="1"/>
      <c r="M946" s="1"/>
      <c r="N946" s="1"/>
      <c r="O946" s="1"/>
      <c r="P946" s="1"/>
      <c r="Q946" s="1"/>
      <c r="R946" s="1"/>
      <c r="S946" s="1"/>
      <c r="T946" s="1"/>
      <c r="U946" s="2"/>
      <c r="V946" s="1"/>
      <c r="W946" s="1"/>
      <c r="X946" s="1"/>
      <c r="Y946" s="1"/>
      <c r="Z946" s="1"/>
    </row>
    <row r="947" spans="1:26" ht="24.75" customHeight="1">
      <c r="A947" s="1"/>
      <c r="B947" s="1"/>
      <c r="C947" s="1"/>
      <c r="D947" s="1"/>
      <c r="E947" s="1"/>
      <c r="F947" s="1"/>
      <c r="G947" s="1"/>
      <c r="H947" s="1"/>
      <c r="I947" s="1"/>
      <c r="J947" s="1"/>
      <c r="K947" s="1"/>
      <c r="L947" s="1"/>
      <c r="M947" s="1"/>
      <c r="N947" s="1"/>
      <c r="O947" s="1"/>
      <c r="P947" s="1"/>
      <c r="Q947" s="1"/>
      <c r="R947" s="1"/>
      <c r="S947" s="1"/>
      <c r="T947" s="1"/>
      <c r="U947" s="2"/>
      <c r="V947" s="1"/>
      <c r="W947" s="1"/>
      <c r="X947" s="1"/>
      <c r="Y947" s="1"/>
      <c r="Z947" s="1"/>
    </row>
    <row r="948" spans="1:26" ht="24.75" customHeight="1">
      <c r="A948" s="1"/>
      <c r="B948" s="1"/>
      <c r="C948" s="1"/>
      <c r="D948" s="1"/>
      <c r="E948" s="1"/>
      <c r="F948" s="1"/>
      <c r="G948" s="1"/>
      <c r="H948" s="1"/>
      <c r="I948" s="1"/>
      <c r="J948" s="1"/>
      <c r="K948" s="1"/>
      <c r="L948" s="1"/>
      <c r="M948" s="1"/>
      <c r="N948" s="1"/>
      <c r="O948" s="1"/>
      <c r="P948" s="1"/>
      <c r="Q948" s="1"/>
      <c r="R948" s="1"/>
      <c r="S948" s="1"/>
      <c r="T948" s="1"/>
      <c r="U948" s="2"/>
      <c r="V948" s="1"/>
      <c r="W948" s="1"/>
      <c r="X948" s="1"/>
      <c r="Y948" s="1"/>
      <c r="Z948" s="1"/>
    </row>
    <row r="949" spans="1:26" ht="24.75" customHeight="1">
      <c r="A949" s="1"/>
      <c r="B949" s="1"/>
      <c r="C949" s="1"/>
      <c r="D949" s="1"/>
      <c r="E949" s="1"/>
      <c r="F949" s="1"/>
      <c r="G949" s="1"/>
      <c r="H949" s="1"/>
      <c r="I949" s="1"/>
      <c r="J949" s="1"/>
      <c r="K949" s="1"/>
      <c r="L949" s="1"/>
      <c r="M949" s="1"/>
      <c r="N949" s="1"/>
      <c r="O949" s="1"/>
      <c r="P949" s="1"/>
      <c r="Q949" s="1"/>
      <c r="R949" s="1"/>
      <c r="S949" s="1"/>
      <c r="T949" s="1"/>
      <c r="U949" s="2"/>
      <c r="V949" s="1"/>
      <c r="W949" s="1"/>
      <c r="X949" s="1"/>
      <c r="Y949" s="1"/>
      <c r="Z949" s="1"/>
    </row>
    <row r="950" spans="1:26" ht="24.75" customHeight="1">
      <c r="A950" s="1"/>
      <c r="B950" s="1"/>
      <c r="C950" s="1"/>
      <c r="D950" s="1"/>
      <c r="E950" s="1"/>
      <c r="F950" s="1"/>
      <c r="G950" s="1"/>
      <c r="H950" s="1"/>
      <c r="I950" s="1"/>
      <c r="J950" s="1"/>
      <c r="K950" s="1"/>
      <c r="L950" s="1"/>
      <c r="M950" s="1"/>
      <c r="N950" s="1"/>
      <c r="O950" s="1"/>
      <c r="P950" s="1"/>
      <c r="Q950" s="1"/>
      <c r="R950" s="1"/>
      <c r="S950" s="1"/>
      <c r="T950" s="1"/>
      <c r="U950" s="2"/>
      <c r="V950" s="1"/>
      <c r="W950" s="1"/>
      <c r="X950" s="1"/>
      <c r="Y950" s="1"/>
      <c r="Z950" s="1"/>
    </row>
    <row r="951" spans="1:26" ht="24.75" customHeight="1">
      <c r="A951" s="1"/>
      <c r="B951" s="1"/>
      <c r="C951" s="1"/>
      <c r="D951" s="1"/>
      <c r="E951" s="1"/>
      <c r="F951" s="1"/>
      <c r="G951" s="1"/>
      <c r="H951" s="1"/>
      <c r="I951" s="1"/>
      <c r="J951" s="1"/>
      <c r="K951" s="1"/>
      <c r="L951" s="1"/>
      <c r="M951" s="1"/>
      <c r="N951" s="1"/>
      <c r="O951" s="1"/>
      <c r="P951" s="1"/>
      <c r="Q951" s="1"/>
      <c r="R951" s="1"/>
      <c r="S951" s="1"/>
      <c r="T951" s="1"/>
      <c r="U951" s="2"/>
      <c r="V951" s="1"/>
      <c r="W951" s="1"/>
      <c r="X951" s="1"/>
      <c r="Y951" s="1"/>
      <c r="Z951" s="1"/>
    </row>
    <row r="952" spans="1:26" ht="24.75" customHeight="1">
      <c r="A952" s="1"/>
      <c r="B952" s="1"/>
      <c r="C952" s="1"/>
      <c r="D952" s="1"/>
      <c r="E952" s="1"/>
      <c r="F952" s="1"/>
      <c r="G952" s="1"/>
      <c r="H952" s="1"/>
      <c r="I952" s="1"/>
      <c r="J952" s="1"/>
      <c r="K952" s="1"/>
      <c r="L952" s="1"/>
      <c r="M952" s="1"/>
      <c r="N952" s="1"/>
      <c r="O952" s="1"/>
      <c r="P952" s="1"/>
      <c r="Q952" s="1"/>
      <c r="R952" s="1"/>
      <c r="S952" s="1"/>
      <c r="T952" s="1"/>
      <c r="U952" s="2"/>
      <c r="V952" s="1"/>
      <c r="W952" s="1"/>
      <c r="X952" s="1"/>
      <c r="Y952" s="1"/>
      <c r="Z952" s="1"/>
    </row>
    <row r="953" spans="1:26" ht="24.75" customHeight="1">
      <c r="A953" s="1"/>
      <c r="B953" s="1"/>
      <c r="C953" s="1"/>
      <c r="D953" s="1"/>
      <c r="E953" s="1"/>
      <c r="F953" s="1"/>
      <c r="G953" s="1"/>
      <c r="H953" s="1"/>
      <c r="I953" s="1"/>
      <c r="J953" s="1"/>
      <c r="K953" s="1"/>
      <c r="L953" s="1"/>
      <c r="M953" s="1"/>
      <c r="N953" s="1"/>
      <c r="O953" s="1"/>
      <c r="P953" s="1"/>
      <c r="Q953" s="1"/>
      <c r="R953" s="1"/>
      <c r="S953" s="1"/>
      <c r="T953" s="1"/>
      <c r="U953" s="2"/>
      <c r="V953" s="1"/>
      <c r="W953" s="1"/>
      <c r="X953" s="1"/>
      <c r="Y953" s="1"/>
      <c r="Z953" s="1"/>
    </row>
    <row r="954" spans="1:26" ht="24.75" customHeight="1">
      <c r="A954" s="1"/>
      <c r="B954" s="1"/>
      <c r="C954" s="1"/>
      <c r="D954" s="1"/>
      <c r="E954" s="1"/>
      <c r="F954" s="1"/>
      <c r="G954" s="1"/>
      <c r="H954" s="1"/>
      <c r="I954" s="1"/>
      <c r="J954" s="1"/>
      <c r="K954" s="1"/>
      <c r="L954" s="1"/>
      <c r="M954" s="1"/>
      <c r="N954" s="1"/>
      <c r="O954" s="1"/>
      <c r="P954" s="1"/>
      <c r="Q954" s="1"/>
      <c r="R954" s="1"/>
      <c r="S954" s="1"/>
      <c r="T954" s="1"/>
      <c r="U954" s="2"/>
      <c r="V954" s="1"/>
      <c r="W954" s="1"/>
      <c r="X954" s="1"/>
      <c r="Y954" s="1"/>
      <c r="Z954" s="1"/>
    </row>
    <row r="955" spans="1:26" ht="24.75" customHeight="1">
      <c r="A955" s="1"/>
      <c r="B955" s="1"/>
      <c r="C955" s="1"/>
      <c r="D955" s="1"/>
      <c r="E955" s="1"/>
      <c r="F955" s="1"/>
      <c r="G955" s="1"/>
      <c r="H955" s="1"/>
      <c r="I955" s="1"/>
      <c r="J955" s="1"/>
      <c r="K955" s="1"/>
      <c r="L955" s="1"/>
      <c r="M955" s="1"/>
      <c r="N955" s="1"/>
      <c r="O955" s="1"/>
      <c r="P955" s="1"/>
      <c r="Q955" s="1"/>
      <c r="R955" s="1"/>
      <c r="S955" s="1"/>
      <c r="T955" s="1"/>
      <c r="U955" s="2"/>
      <c r="V955" s="1"/>
      <c r="W955" s="1"/>
      <c r="X955" s="1"/>
      <c r="Y955" s="1"/>
      <c r="Z955" s="1"/>
    </row>
    <row r="956" spans="1:26" ht="24.75" customHeight="1">
      <c r="A956" s="1"/>
      <c r="B956" s="1"/>
      <c r="C956" s="1"/>
      <c r="D956" s="1"/>
      <c r="E956" s="1"/>
      <c r="F956" s="1"/>
      <c r="G956" s="1"/>
      <c r="H956" s="1"/>
      <c r="I956" s="1"/>
      <c r="J956" s="1"/>
      <c r="K956" s="1"/>
      <c r="L956" s="1"/>
      <c r="M956" s="1"/>
      <c r="N956" s="1"/>
      <c r="O956" s="1"/>
      <c r="P956" s="1"/>
      <c r="Q956" s="1"/>
      <c r="R956" s="1"/>
      <c r="S956" s="1"/>
      <c r="T956" s="1"/>
      <c r="U956" s="2"/>
      <c r="V956" s="1"/>
      <c r="W956" s="1"/>
      <c r="X956" s="1"/>
      <c r="Y956" s="1"/>
      <c r="Z956" s="1"/>
    </row>
    <row r="957" spans="1:26" ht="24.75" customHeight="1">
      <c r="A957" s="1"/>
      <c r="B957" s="1"/>
      <c r="C957" s="1"/>
      <c r="D957" s="1"/>
      <c r="E957" s="1"/>
      <c r="F957" s="1"/>
      <c r="G957" s="1"/>
      <c r="H957" s="1"/>
      <c r="I957" s="1"/>
      <c r="J957" s="1"/>
      <c r="K957" s="1"/>
      <c r="L957" s="1"/>
      <c r="M957" s="1"/>
      <c r="N957" s="1"/>
      <c r="O957" s="1"/>
      <c r="P957" s="1"/>
      <c r="Q957" s="1"/>
      <c r="R957" s="1"/>
      <c r="S957" s="1"/>
      <c r="T957" s="1"/>
      <c r="U957" s="2"/>
      <c r="V957" s="1"/>
      <c r="W957" s="1"/>
      <c r="X957" s="1"/>
      <c r="Y957" s="1"/>
      <c r="Z957" s="1"/>
    </row>
    <row r="958" spans="1:26" ht="24.75" customHeight="1">
      <c r="A958" s="1"/>
      <c r="B958" s="1"/>
      <c r="C958" s="1"/>
      <c r="D958" s="1"/>
      <c r="E958" s="1"/>
      <c r="F958" s="1"/>
      <c r="G958" s="1"/>
      <c r="H958" s="1"/>
      <c r="I958" s="1"/>
      <c r="J958" s="1"/>
      <c r="K958" s="1"/>
      <c r="L958" s="1"/>
      <c r="M958" s="1"/>
      <c r="N958" s="1"/>
      <c r="O958" s="1"/>
      <c r="P958" s="1"/>
      <c r="Q958" s="1"/>
      <c r="R958" s="1"/>
      <c r="S958" s="1"/>
      <c r="T958" s="1"/>
      <c r="U958" s="2"/>
      <c r="V958" s="1"/>
      <c r="W958" s="1"/>
      <c r="X958" s="1"/>
      <c r="Y958" s="1"/>
      <c r="Z958" s="1"/>
    </row>
    <row r="959" spans="1:26" ht="24.75" customHeight="1">
      <c r="A959" s="1"/>
      <c r="B959" s="1"/>
      <c r="C959" s="1"/>
      <c r="D959" s="1"/>
      <c r="E959" s="1"/>
      <c r="F959" s="1"/>
      <c r="G959" s="1"/>
      <c r="H959" s="1"/>
      <c r="I959" s="1"/>
      <c r="J959" s="1"/>
      <c r="K959" s="1"/>
      <c r="L959" s="1"/>
      <c r="M959" s="1"/>
      <c r="N959" s="1"/>
      <c r="O959" s="1"/>
      <c r="P959" s="1"/>
      <c r="Q959" s="1"/>
      <c r="R959" s="1"/>
      <c r="S959" s="1"/>
      <c r="T959" s="1"/>
      <c r="U959" s="2"/>
      <c r="V959" s="1"/>
      <c r="W959" s="1"/>
      <c r="X959" s="1"/>
      <c r="Y959" s="1"/>
      <c r="Z959" s="1"/>
    </row>
    <row r="960" spans="1:26" ht="24.75" customHeight="1">
      <c r="A960" s="1"/>
      <c r="B960" s="1"/>
      <c r="C960" s="1"/>
      <c r="D960" s="1"/>
      <c r="E960" s="1"/>
      <c r="F960" s="1"/>
      <c r="G960" s="1"/>
      <c r="H960" s="1"/>
      <c r="I960" s="1"/>
      <c r="J960" s="1"/>
      <c r="K960" s="1"/>
      <c r="L960" s="1"/>
      <c r="M960" s="1"/>
      <c r="N960" s="1"/>
      <c r="O960" s="1"/>
      <c r="P960" s="1"/>
      <c r="Q960" s="1"/>
      <c r="R960" s="1"/>
      <c r="S960" s="1"/>
      <c r="T960" s="1"/>
      <c r="U960" s="2"/>
      <c r="V960" s="1"/>
      <c r="W960" s="1"/>
      <c r="X960" s="1"/>
      <c r="Y960" s="1"/>
      <c r="Z960" s="1"/>
    </row>
    <row r="961" spans="1:26" ht="24.75" customHeight="1">
      <c r="A961" s="1"/>
      <c r="B961" s="1"/>
      <c r="C961" s="1"/>
      <c r="D961" s="1"/>
      <c r="E961" s="1"/>
      <c r="F961" s="1"/>
      <c r="G961" s="1"/>
      <c r="H961" s="1"/>
      <c r="I961" s="1"/>
      <c r="J961" s="1"/>
      <c r="K961" s="1"/>
      <c r="L961" s="1"/>
      <c r="M961" s="1"/>
      <c r="N961" s="1"/>
      <c r="O961" s="1"/>
      <c r="P961" s="1"/>
      <c r="Q961" s="1"/>
      <c r="R961" s="1"/>
      <c r="S961" s="1"/>
      <c r="T961" s="1"/>
      <c r="U961" s="2"/>
      <c r="V961" s="1"/>
      <c r="W961" s="1"/>
      <c r="X961" s="1"/>
      <c r="Y961" s="1"/>
      <c r="Z961" s="1"/>
    </row>
    <row r="962" spans="1:26" ht="24.75" customHeight="1">
      <c r="A962" s="1"/>
      <c r="B962" s="1"/>
      <c r="C962" s="1"/>
      <c r="D962" s="1"/>
      <c r="E962" s="1"/>
      <c r="F962" s="1"/>
      <c r="G962" s="1"/>
      <c r="H962" s="1"/>
      <c r="I962" s="1"/>
      <c r="J962" s="1"/>
      <c r="K962" s="1"/>
      <c r="L962" s="1"/>
      <c r="M962" s="1"/>
      <c r="N962" s="1"/>
      <c r="O962" s="1"/>
      <c r="P962" s="1"/>
      <c r="Q962" s="1"/>
      <c r="R962" s="1"/>
      <c r="S962" s="1"/>
      <c r="T962" s="1"/>
      <c r="U962" s="2"/>
      <c r="V962" s="1"/>
      <c r="W962" s="1"/>
      <c r="X962" s="1"/>
      <c r="Y962" s="1"/>
      <c r="Z962" s="1"/>
    </row>
    <row r="963" spans="1:26" ht="24.75" customHeight="1">
      <c r="A963" s="1"/>
      <c r="B963" s="1"/>
      <c r="C963" s="1"/>
      <c r="D963" s="1"/>
      <c r="E963" s="1"/>
      <c r="F963" s="1"/>
      <c r="G963" s="1"/>
      <c r="H963" s="1"/>
      <c r="I963" s="1"/>
      <c r="J963" s="1"/>
      <c r="K963" s="1"/>
      <c r="L963" s="1"/>
      <c r="M963" s="1"/>
      <c r="N963" s="1"/>
      <c r="O963" s="1"/>
      <c r="P963" s="1"/>
      <c r="Q963" s="1"/>
      <c r="R963" s="1"/>
      <c r="S963" s="1"/>
      <c r="T963" s="1"/>
      <c r="U963" s="2"/>
      <c r="V963" s="1"/>
      <c r="W963" s="1"/>
      <c r="X963" s="1"/>
      <c r="Y963" s="1"/>
      <c r="Z963" s="1"/>
    </row>
    <row r="964" spans="1:26" ht="24.75" customHeight="1">
      <c r="A964" s="1"/>
      <c r="B964" s="1"/>
      <c r="C964" s="1"/>
      <c r="D964" s="1"/>
      <c r="E964" s="1"/>
      <c r="F964" s="1"/>
      <c r="G964" s="1"/>
      <c r="H964" s="1"/>
      <c r="I964" s="1"/>
      <c r="J964" s="1"/>
      <c r="K964" s="1"/>
      <c r="L964" s="1"/>
      <c r="M964" s="1"/>
      <c r="N964" s="1"/>
      <c r="O964" s="1"/>
      <c r="P964" s="1"/>
      <c r="Q964" s="1"/>
      <c r="R964" s="1"/>
      <c r="S964" s="1"/>
      <c r="T964" s="1"/>
      <c r="U964" s="2"/>
      <c r="V964" s="1"/>
      <c r="W964" s="1"/>
      <c r="X964" s="1"/>
      <c r="Y964" s="1"/>
      <c r="Z964" s="1"/>
    </row>
    <row r="965" spans="1:26" ht="24.75" customHeight="1">
      <c r="A965" s="1"/>
      <c r="B965" s="1"/>
      <c r="C965" s="1"/>
      <c r="D965" s="1"/>
      <c r="E965" s="1"/>
      <c r="F965" s="1"/>
      <c r="G965" s="1"/>
      <c r="H965" s="1"/>
      <c r="I965" s="1"/>
      <c r="J965" s="1"/>
      <c r="K965" s="1"/>
      <c r="L965" s="1"/>
      <c r="M965" s="1"/>
      <c r="N965" s="1"/>
      <c r="O965" s="1"/>
      <c r="P965" s="1"/>
      <c r="Q965" s="1"/>
      <c r="R965" s="1"/>
      <c r="S965" s="1"/>
      <c r="T965" s="1"/>
      <c r="U965" s="2"/>
      <c r="V965" s="1"/>
      <c r="W965" s="1"/>
      <c r="X965" s="1"/>
      <c r="Y965" s="1"/>
      <c r="Z965" s="1"/>
    </row>
    <row r="966" spans="1:26" ht="24.75" customHeight="1">
      <c r="A966" s="1"/>
      <c r="B966" s="1"/>
      <c r="C966" s="1"/>
      <c r="D966" s="1"/>
      <c r="E966" s="1"/>
      <c r="F966" s="1"/>
      <c r="G966" s="1"/>
      <c r="H966" s="1"/>
      <c r="I966" s="1"/>
      <c r="J966" s="1"/>
      <c r="K966" s="1"/>
      <c r="L966" s="1"/>
      <c r="M966" s="1"/>
      <c r="N966" s="1"/>
      <c r="O966" s="1"/>
      <c r="P966" s="1"/>
      <c r="Q966" s="1"/>
      <c r="R966" s="1"/>
      <c r="S966" s="1"/>
      <c r="T966" s="1"/>
      <c r="U966" s="2"/>
      <c r="V966" s="1"/>
      <c r="W966" s="1"/>
      <c r="X966" s="1"/>
      <c r="Y966" s="1"/>
      <c r="Z966" s="1"/>
    </row>
    <row r="967" spans="1:26" ht="24.75" customHeight="1">
      <c r="A967" s="1"/>
      <c r="B967" s="1"/>
      <c r="C967" s="1"/>
      <c r="D967" s="1"/>
      <c r="E967" s="1"/>
      <c r="F967" s="1"/>
      <c r="G967" s="1"/>
      <c r="H967" s="1"/>
      <c r="I967" s="1"/>
      <c r="J967" s="1"/>
      <c r="K967" s="1"/>
      <c r="L967" s="1"/>
      <c r="M967" s="1"/>
      <c r="N967" s="1"/>
      <c r="O967" s="1"/>
      <c r="P967" s="1"/>
      <c r="Q967" s="1"/>
      <c r="R967" s="1"/>
      <c r="S967" s="1"/>
      <c r="T967" s="1"/>
      <c r="U967" s="2"/>
      <c r="V967" s="1"/>
      <c r="W967" s="1"/>
      <c r="X967" s="1"/>
      <c r="Y967" s="1"/>
      <c r="Z967" s="1"/>
    </row>
    <row r="968" spans="1:26" ht="24.75" customHeight="1">
      <c r="A968" s="1"/>
      <c r="B968" s="1"/>
      <c r="C968" s="1"/>
      <c r="D968" s="1"/>
      <c r="E968" s="1"/>
      <c r="F968" s="1"/>
      <c r="G968" s="1"/>
      <c r="H968" s="1"/>
      <c r="I968" s="1"/>
      <c r="J968" s="1"/>
      <c r="K968" s="1"/>
      <c r="L968" s="1"/>
      <c r="M968" s="1"/>
      <c r="N968" s="1"/>
      <c r="O968" s="1"/>
      <c r="P968" s="1"/>
      <c r="Q968" s="1"/>
      <c r="R968" s="1"/>
      <c r="S968" s="1"/>
      <c r="T968" s="1"/>
      <c r="U968" s="2"/>
      <c r="V968" s="1"/>
      <c r="W968" s="1"/>
      <c r="X968" s="1"/>
      <c r="Y968" s="1"/>
      <c r="Z968" s="1"/>
    </row>
    <row r="969" spans="1:26" ht="24.75" customHeight="1">
      <c r="A969" s="1"/>
      <c r="B969" s="1"/>
      <c r="C969" s="1"/>
      <c r="D969" s="1"/>
      <c r="E969" s="1"/>
      <c r="F969" s="1"/>
      <c r="G969" s="1"/>
      <c r="H969" s="1"/>
      <c r="I969" s="1"/>
      <c r="J969" s="1"/>
      <c r="K969" s="1"/>
      <c r="L969" s="1"/>
      <c r="M969" s="1"/>
      <c r="N969" s="1"/>
      <c r="O969" s="1"/>
      <c r="P969" s="1"/>
      <c r="Q969" s="1"/>
      <c r="R969" s="1"/>
      <c r="S969" s="1"/>
      <c r="T969" s="1"/>
      <c r="U969" s="2"/>
      <c r="V969" s="1"/>
      <c r="W969" s="1"/>
      <c r="X969" s="1"/>
      <c r="Y969" s="1"/>
      <c r="Z969" s="1"/>
    </row>
    <row r="970" spans="1:26" ht="24.75" customHeight="1">
      <c r="A970" s="1"/>
      <c r="B970" s="1"/>
      <c r="C970" s="1"/>
      <c r="D970" s="1"/>
      <c r="E970" s="1"/>
      <c r="F970" s="1"/>
      <c r="G970" s="1"/>
      <c r="H970" s="1"/>
      <c r="I970" s="1"/>
      <c r="J970" s="1"/>
      <c r="K970" s="1"/>
      <c r="L970" s="1"/>
      <c r="M970" s="1"/>
      <c r="N970" s="1"/>
      <c r="O970" s="1"/>
      <c r="P970" s="1"/>
      <c r="Q970" s="1"/>
      <c r="R970" s="1"/>
      <c r="S970" s="1"/>
      <c r="T970" s="1"/>
      <c r="U970" s="2"/>
      <c r="V970" s="1"/>
      <c r="W970" s="1"/>
      <c r="X970" s="1"/>
      <c r="Y970" s="1"/>
      <c r="Z970" s="1"/>
    </row>
    <row r="971" spans="1:26" ht="24.75" customHeight="1">
      <c r="A971" s="1"/>
      <c r="B971" s="1"/>
      <c r="C971" s="1"/>
      <c r="D971" s="1"/>
      <c r="E971" s="1"/>
      <c r="F971" s="1"/>
      <c r="G971" s="1"/>
      <c r="H971" s="1"/>
      <c r="I971" s="1"/>
      <c r="J971" s="1"/>
      <c r="K971" s="1"/>
      <c r="L971" s="1"/>
      <c r="M971" s="1"/>
      <c r="N971" s="1"/>
      <c r="O971" s="1"/>
      <c r="P971" s="1"/>
      <c r="Q971" s="1"/>
      <c r="R971" s="1"/>
      <c r="S971" s="1"/>
      <c r="T971" s="1"/>
      <c r="U971" s="2"/>
      <c r="V971" s="1"/>
      <c r="W971" s="1"/>
      <c r="X971" s="1"/>
      <c r="Y971" s="1"/>
      <c r="Z971" s="1"/>
    </row>
    <row r="972" spans="1:26" ht="24.75" customHeight="1">
      <c r="A972" s="1"/>
      <c r="B972" s="1"/>
      <c r="C972" s="1"/>
      <c r="D972" s="1"/>
      <c r="E972" s="1"/>
      <c r="F972" s="1"/>
      <c r="G972" s="1"/>
      <c r="H972" s="1"/>
      <c r="I972" s="1"/>
      <c r="J972" s="1"/>
      <c r="K972" s="1"/>
      <c r="L972" s="1"/>
      <c r="M972" s="1"/>
      <c r="N972" s="1"/>
      <c r="O972" s="1"/>
      <c r="P972" s="1"/>
      <c r="Q972" s="1"/>
      <c r="R972" s="1"/>
      <c r="S972" s="1"/>
      <c r="T972" s="1"/>
      <c r="U972" s="2"/>
      <c r="V972" s="1"/>
      <c r="W972" s="1"/>
      <c r="X972" s="1"/>
      <c r="Y972" s="1"/>
      <c r="Z972" s="1"/>
    </row>
    <row r="973" spans="1:26" ht="24.75" customHeight="1">
      <c r="A973" s="1"/>
      <c r="B973" s="1"/>
      <c r="C973" s="1"/>
      <c r="D973" s="1"/>
      <c r="E973" s="1"/>
      <c r="F973" s="1"/>
      <c r="G973" s="1"/>
      <c r="H973" s="1"/>
      <c r="I973" s="1"/>
      <c r="J973" s="1"/>
      <c r="K973" s="1"/>
      <c r="L973" s="1"/>
      <c r="M973" s="1"/>
      <c r="N973" s="1"/>
      <c r="O973" s="1"/>
      <c r="P973" s="1"/>
      <c r="Q973" s="1"/>
      <c r="R973" s="1"/>
      <c r="S973" s="1"/>
      <c r="T973" s="1"/>
      <c r="U973" s="2"/>
      <c r="V973" s="1"/>
      <c r="W973" s="1"/>
      <c r="X973" s="1"/>
      <c r="Y973" s="1"/>
      <c r="Z973" s="1"/>
    </row>
    <row r="974" spans="1:26" ht="24.75" customHeight="1">
      <c r="A974" s="1"/>
      <c r="B974" s="1"/>
      <c r="C974" s="1"/>
      <c r="D974" s="1"/>
      <c r="E974" s="1"/>
      <c r="F974" s="1"/>
      <c r="G974" s="1"/>
      <c r="H974" s="1"/>
      <c r="I974" s="1"/>
      <c r="J974" s="1"/>
      <c r="K974" s="1"/>
      <c r="L974" s="1"/>
      <c r="M974" s="1"/>
      <c r="N974" s="1"/>
      <c r="O974" s="1"/>
      <c r="P974" s="1"/>
      <c r="Q974" s="1"/>
      <c r="R974" s="1"/>
      <c r="S974" s="1"/>
      <c r="T974" s="1"/>
      <c r="U974" s="2"/>
      <c r="V974" s="1"/>
      <c r="W974" s="1"/>
      <c r="X974" s="1"/>
      <c r="Y974" s="1"/>
      <c r="Z974" s="1"/>
    </row>
    <row r="975" spans="1:26" ht="24.75" customHeight="1">
      <c r="A975" s="1"/>
      <c r="B975" s="1"/>
      <c r="C975" s="1"/>
      <c r="D975" s="1"/>
      <c r="E975" s="1"/>
      <c r="F975" s="1"/>
      <c r="G975" s="1"/>
      <c r="H975" s="1"/>
      <c r="I975" s="1"/>
      <c r="J975" s="1"/>
      <c r="K975" s="1"/>
      <c r="L975" s="1"/>
      <c r="M975" s="1"/>
      <c r="N975" s="1"/>
      <c r="O975" s="1"/>
      <c r="P975" s="1"/>
      <c r="Q975" s="1"/>
      <c r="R975" s="1"/>
      <c r="S975" s="1"/>
      <c r="T975" s="1"/>
      <c r="U975" s="2"/>
      <c r="V975" s="1"/>
      <c r="W975" s="1"/>
      <c r="X975" s="1"/>
      <c r="Y975" s="1"/>
      <c r="Z975" s="1"/>
    </row>
    <row r="976" spans="1:26" ht="24.75" customHeight="1">
      <c r="A976" s="1"/>
      <c r="B976" s="1"/>
      <c r="C976" s="1"/>
      <c r="D976" s="1"/>
      <c r="E976" s="1"/>
      <c r="F976" s="1"/>
      <c r="G976" s="1"/>
      <c r="H976" s="1"/>
      <c r="I976" s="1"/>
      <c r="J976" s="1"/>
      <c r="K976" s="1"/>
      <c r="L976" s="1"/>
      <c r="M976" s="1"/>
      <c r="N976" s="1"/>
      <c r="O976" s="1"/>
      <c r="P976" s="1"/>
      <c r="Q976" s="1"/>
      <c r="R976" s="1"/>
      <c r="S976" s="1"/>
      <c r="T976" s="1"/>
      <c r="U976" s="2"/>
      <c r="V976" s="1"/>
      <c r="W976" s="1"/>
      <c r="X976" s="1"/>
      <c r="Y976" s="1"/>
      <c r="Z976" s="1"/>
    </row>
    <row r="977" spans="1:26" ht="24.75" customHeight="1">
      <c r="A977" s="1"/>
      <c r="B977" s="1"/>
      <c r="C977" s="1"/>
      <c r="D977" s="1"/>
      <c r="E977" s="1"/>
      <c r="F977" s="1"/>
      <c r="G977" s="1"/>
      <c r="H977" s="1"/>
      <c r="I977" s="1"/>
      <c r="J977" s="1"/>
      <c r="K977" s="1"/>
      <c r="L977" s="1"/>
      <c r="M977" s="1"/>
      <c r="N977" s="1"/>
      <c r="O977" s="1"/>
      <c r="P977" s="1"/>
      <c r="Q977" s="1"/>
      <c r="R977" s="1"/>
      <c r="S977" s="1"/>
      <c r="T977" s="1"/>
      <c r="U977" s="2"/>
      <c r="V977" s="1"/>
      <c r="W977" s="1"/>
      <c r="X977" s="1"/>
      <c r="Y977" s="1"/>
      <c r="Z977" s="1"/>
    </row>
    <row r="978" spans="1:26" ht="24.75" customHeight="1">
      <c r="A978" s="1"/>
      <c r="B978" s="1"/>
      <c r="C978" s="1"/>
      <c r="D978" s="1"/>
      <c r="E978" s="1"/>
      <c r="F978" s="1"/>
      <c r="G978" s="1"/>
      <c r="H978" s="1"/>
      <c r="I978" s="1"/>
      <c r="J978" s="1"/>
      <c r="K978" s="1"/>
      <c r="L978" s="1"/>
      <c r="M978" s="1"/>
      <c r="N978" s="1"/>
      <c r="O978" s="1"/>
      <c r="P978" s="1"/>
      <c r="Q978" s="1"/>
      <c r="R978" s="1"/>
      <c r="S978" s="1"/>
      <c r="T978" s="1"/>
      <c r="U978" s="2"/>
      <c r="V978" s="1"/>
      <c r="W978" s="1"/>
      <c r="X978" s="1"/>
      <c r="Y978" s="1"/>
      <c r="Z978" s="1"/>
    </row>
    <row r="979" spans="1:26" ht="24.75" customHeight="1">
      <c r="A979" s="1"/>
      <c r="B979" s="1"/>
      <c r="C979" s="1"/>
      <c r="D979" s="1"/>
      <c r="E979" s="1"/>
      <c r="F979" s="1"/>
      <c r="G979" s="1"/>
      <c r="H979" s="1"/>
      <c r="I979" s="1"/>
      <c r="J979" s="1"/>
      <c r="K979" s="1"/>
      <c r="L979" s="1"/>
      <c r="M979" s="1"/>
      <c r="N979" s="1"/>
      <c r="O979" s="1"/>
      <c r="P979" s="1"/>
      <c r="Q979" s="1"/>
      <c r="R979" s="1"/>
      <c r="S979" s="1"/>
      <c r="T979" s="1"/>
      <c r="U979" s="2"/>
      <c r="V979" s="1"/>
      <c r="W979" s="1"/>
      <c r="X979" s="1"/>
      <c r="Y979" s="1"/>
      <c r="Z979" s="1"/>
    </row>
    <row r="980" spans="1:26" ht="24.75" customHeight="1">
      <c r="A980" s="1"/>
      <c r="B980" s="1"/>
      <c r="C980" s="1"/>
      <c r="D980" s="1"/>
      <c r="E980" s="1"/>
      <c r="F980" s="1"/>
      <c r="G980" s="1"/>
      <c r="H980" s="1"/>
      <c r="I980" s="1"/>
      <c r="J980" s="1"/>
      <c r="K980" s="1"/>
      <c r="L980" s="1"/>
      <c r="M980" s="1"/>
      <c r="N980" s="1"/>
      <c r="O980" s="1"/>
      <c r="P980" s="1"/>
      <c r="Q980" s="1"/>
      <c r="R980" s="1"/>
      <c r="S980" s="1"/>
      <c r="T980" s="1"/>
      <c r="U980" s="2"/>
      <c r="V980" s="1"/>
      <c r="W980" s="1"/>
      <c r="X980" s="1"/>
      <c r="Y980" s="1"/>
      <c r="Z980" s="1"/>
    </row>
    <row r="981" spans="1:26" ht="24.75" customHeight="1">
      <c r="A981" s="1"/>
      <c r="B981" s="1"/>
      <c r="C981" s="1"/>
      <c r="D981" s="1"/>
      <c r="E981" s="1"/>
      <c r="F981" s="1"/>
      <c r="G981" s="1"/>
      <c r="H981" s="1"/>
      <c r="I981" s="1"/>
      <c r="J981" s="1"/>
      <c r="K981" s="1"/>
      <c r="L981" s="1"/>
      <c r="M981" s="1"/>
      <c r="N981" s="1"/>
      <c r="O981" s="1"/>
      <c r="P981" s="1"/>
      <c r="Q981" s="1"/>
      <c r="R981" s="1"/>
      <c r="S981" s="1"/>
      <c r="T981" s="1"/>
      <c r="U981" s="2"/>
      <c r="V981" s="1"/>
      <c r="W981" s="1"/>
      <c r="X981" s="1"/>
      <c r="Y981" s="1"/>
      <c r="Z981" s="1"/>
    </row>
    <row r="982" spans="1:26" ht="24.75" customHeight="1">
      <c r="A982" s="1"/>
      <c r="B982" s="1"/>
      <c r="C982" s="1"/>
      <c r="D982" s="1"/>
      <c r="E982" s="1"/>
      <c r="F982" s="1"/>
      <c r="G982" s="1"/>
      <c r="H982" s="1"/>
      <c r="I982" s="1"/>
      <c r="J982" s="1"/>
      <c r="K982" s="1"/>
      <c r="L982" s="1"/>
      <c r="M982" s="1"/>
      <c r="N982" s="1"/>
      <c r="O982" s="1"/>
      <c r="P982" s="1"/>
      <c r="Q982" s="1"/>
      <c r="R982" s="1"/>
      <c r="S982" s="1"/>
      <c r="T982" s="1"/>
      <c r="U982" s="2"/>
      <c r="V982" s="1"/>
      <c r="W982" s="1"/>
      <c r="X982" s="1"/>
      <c r="Y982" s="1"/>
      <c r="Z982" s="1"/>
    </row>
    <row r="983" spans="1:26" ht="24.75" customHeight="1">
      <c r="A983" s="1"/>
      <c r="B983" s="1"/>
      <c r="C983" s="1"/>
      <c r="D983" s="1"/>
      <c r="E983" s="1"/>
      <c r="F983" s="1"/>
      <c r="G983" s="1"/>
      <c r="H983" s="1"/>
      <c r="I983" s="1"/>
      <c r="J983" s="1"/>
      <c r="K983" s="1"/>
      <c r="L983" s="1"/>
      <c r="M983" s="1"/>
      <c r="N983" s="1"/>
      <c r="O983" s="1"/>
      <c r="P983" s="1"/>
      <c r="Q983" s="1"/>
      <c r="R983" s="1"/>
      <c r="S983" s="1"/>
      <c r="T983" s="1"/>
      <c r="U983" s="2"/>
      <c r="V983" s="1"/>
      <c r="W983" s="1"/>
      <c r="X983" s="1"/>
      <c r="Y983" s="1"/>
      <c r="Z983" s="1"/>
    </row>
    <row r="984" spans="1:26" ht="24.75" customHeight="1">
      <c r="A984" s="1"/>
      <c r="B984" s="1"/>
      <c r="C984" s="1"/>
      <c r="D984" s="1"/>
      <c r="E984" s="1"/>
      <c r="F984" s="1"/>
      <c r="G984" s="1"/>
      <c r="H984" s="1"/>
      <c r="I984" s="1"/>
      <c r="J984" s="1"/>
      <c r="K984" s="1"/>
      <c r="L984" s="1"/>
      <c r="M984" s="1"/>
      <c r="N984" s="1"/>
      <c r="O984" s="1"/>
      <c r="P984" s="1"/>
      <c r="Q984" s="1"/>
      <c r="R984" s="1"/>
      <c r="S984" s="1"/>
      <c r="T984" s="1"/>
      <c r="U984" s="2"/>
      <c r="V984" s="1"/>
      <c r="W984" s="1"/>
      <c r="X984" s="1"/>
      <c r="Y984" s="1"/>
      <c r="Z984" s="1"/>
    </row>
    <row r="985" spans="1:26" ht="24.75" customHeight="1">
      <c r="A985" s="1"/>
      <c r="B985" s="1"/>
      <c r="C985" s="1"/>
      <c r="D985" s="1"/>
      <c r="E985" s="1"/>
      <c r="F985" s="1"/>
      <c r="G985" s="1"/>
      <c r="H985" s="1"/>
      <c r="I985" s="1"/>
      <c r="J985" s="1"/>
      <c r="K985" s="1"/>
      <c r="L985" s="1"/>
      <c r="M985" s="1"/>
      <c r="N985" s="1"/>
      <c r="O985" s="1"/>
      <c r="P985" s="1"/>
      <c r="Q985" s="1"/>
      <c r="R985" s="1"/>
      <c r="S985" s="1"/>
      <c r="T985" s="1"/>
      <c r="U985" s="2"/>
      <c r="V985" s="1"/>
      <c r="W985" s="1"/>
      <c r="X985" s="1"/>
      <c r="Y985" s="1"/>
      <c r="Z985" s="1"/>
    </row>
    <row r="986" spans="1:26" ht="24.75" customHeight="1">
      <c r="A986" s="1"/>
      <c r="B986" s="1"/>
      <c r="C986" s="1"/>
      <c r="D986" s="1"/>
      <c r="E986" s="1"/>
      <c r="F986" s="1"/>
      <c r="G986" s="1"/>
      <c r="H986" s="1"/>
      <c r="I986" s="1"/>
      <c r="J986" s="1"/>
      <c r="K986" s="1"/>
      <c r="L986" s="1"/>
      <c r="M986" s="1"/>
      <c r="N986" s="1"/>
      <c r="O986" s="1"/>
      <c r="P986" s="1"/>
      <c r="Q986" s="1"/>
      <c r="R986" s="1"/>
      <c r="S986" s="1"/>
      <c r="T986" s="1"/>
      <c r="U986" s="2"/>
      <c r="V986" s="1"/>
      <c r="W986" s="1"/>
      <c r="X986" s="1"/>
      <c r="Y986" s="1"/>
      <c r="Z986" s="1"/>
    </row>
    <row r="987" spans="1:26" ht="24.75" customHeight="1">
      <c r="A987" s="1"/>
      <c r="B987" s="1"/>
      <c r="C987" s="1"/>
      <c r="D987" s="1"/>
      <c r="E987" s="1"/>
      <c r="F987" s="1"/>
      <c r="G987" s="1"/>
      <c r="H987" s="1"/>
      <c r="I987" s="1"/>
      <c r="J987" s="1"/>
      <c r="K987" s="1"/>
      <c r="L987" s="1"/>
      <c r="M987" s="1"/>
      <c r="N987" s="1"/>
      <c r="O987" s="1"/>
      <c r="P987" s="1"/>
      <c r="Q987" s="1"/>
      <c r="R987" s="1"/>
      <c r="S987" s="1"/>
      <c r="T987" s="1"/>
      <c r="U987" s="2"/>
      <c r="V987" s="1"/>
      <c r="W987" s="1"/>
      <c r="X987" s="1"/>
      <c r="Y987" s="1"/>
      <c r="Z987" s="1"/>
    </row>
    <row r="988" spans="1:26" ht="24.75" customHeight="1">
      <c r="A988" s="1"/>
      <c r="B988" s="1"/>
      <c r="C988" s="1"/>
      <c r="D988" s="1"/>
      <c r="E988" s="1"/>
      <c r="F988" s="1"/>
      <c r="G988" s="1"/>
      <c r="H988" s="1"/>
      <c r="I988" s="1"/>
      <c r="J988" s="1"/>
      <c r="K988" s="1"/>
      <c r="L988" s="1"/>
      <c r="M988" s="1"/>
      <c r="N988" s="1"/>
      <c r="O988" s="1"/>
      <c r="P988" s="1"/>
      <c r="Q988" s="1"/>
      <c r="R988" s="1"/>
      <c r="S988" s="1"/>
      <c r="T988" s="1"/>
      <c r="U988" s="2"/>
      <c r="V988" s="1"/>
      <c r="W988" s="1"/>
      <c r="X988" s="1"/>
      <c r="Y988" s="1"/>
      <c r="Z988" s="1"/>
    </row>
    <row r="989" spans="1:26" ht="24.75" customHeight="1">
      <c r="A989" s="1"/>
      <c r="B989" s="1"/>
      <c r="C989" s="1"/>
      <c r="D989" s="1"/>
      <c r="E989" s="1"/>
      <c r="F989" s="1"/>
      <c r="G989" s="1"/>
      <c r="H989" s="1"/>
      <c r="I989" s="1"/>
      <c r="J989" s="1"/>
      <c r="K989" s="1"/>
      <c r="L989" s="1"/>
      <c r="M989" s="1"/>
      <c r="N989" s="1"/>
      <c r="O989" s="1"/>
      <c r="P989" s="1"/>
      <c r="Q989" s="1"/>
      <c r="R989" s="1"/>
      <c r="S989" s="1"/>
      <c r="T989" s="1"/>
      <c r="U989" s="2"/>
      <c r="V989" s="1"/>
      <c r="W989" s="1"/>
      <c r="X989" s="1"/>
      <c r="Y989" s="1"/>
      <c r="Z989" s="1"/>
    </row>
    <row r="990" spans="1:26" ht="24.75" customHeight="1">
      <c r="A990" s="1"/>
      <c r="B990" s="1"/>
      <c r="C990" s="1"/>
      <c r="D990" s="1"/>
      <c r="E990" s="1"/>
      <c r="F990" s="1"/>
      <c r="G990" s="1"/>
      <c r="H990" s="1"/>
      <c r="I990" s="1"/>
      <c r="J990" s="1"/>
      <c r="K990" s="1"/>
      <c r="L990" s="1"/>
      <c r="M990" s="1"/>
      <c r="N990" s="1"/>
      <c r="O990" s="1"/>
      <c r="P990" s="1"/>
      <c r="Q990" s="1"/>
      <c r="R990" s="1"/>
      <c r="S990" s="1"/>
      <c r="T990" s="1"/>
      <c r="U990" s="2"/>
      <c r="V990" s="1"/>
      <c r="W990" s="1"/>
      <c r="X990" s="1"/>
      <c r="Y990" s="1"/>
      <c r="Z990" s="1"/>
    </row>
    <row r="991" spans="1:26" ht="24.75" customHeight="1">
      <c r="A991" s="1"/>
      <c r="B991" s="1"/>
      <c r="C991" s="1"/>
      <c r="D991" s="1"/>
      <c r="E991" s="1"/>
      <c r="F991" s="1"/>
      <c r="G991" s="1"/>
      <c r="H991" s="1"/>
      <c r="I991" s="1"/>
      <c r="J991" s="1"/>
      <c r="K991" s="1"/>
      <c r="L991" s="1"/>
      <c r="M991" s="1"/>
      <c r="N991" s="1"/>
      <c r="O991" s="1"/>
      <c r="P991" s="1"/>
      <c r="Q991" s="1"/>
      <c r="R991" s="1"/>
      <c r="S991" s="1"/>
      <c r="T991" s="1"/>
      <c r="U991" s="2"/>
      <c r="V991" s="1"/>
      <c r="W991" s="1"/>
      <c r="X991" s="1"/>
      <c r="Y991" s="1"/>
      <c r="Z991" s="1"/>
    </row>
    <row r="992" spans="1:26" ht="24.75" customHeight="1">
      <c r="A992" s="1"/>
      <c r="B992" s="1"/>
      <c r="C992" s="1"/>
      <c r="D992" s="1"/>
      <c r="E992" s="1"/>
      <c r="F992" s="1"/>
      <c r="G992" s="1"/>
      <c r="H992" s="1"/>
      <c r="I992" s="1"/>
      <c r="J992" s="1"/>
      <c r="K992" s="1"/>
      <c r="L992" s="1"/>
      <c r="M992" s="1"/>
      <c r="N992" s="1"/>
      <c r="O992" s="1"/>
      <c r="P992" s="1"/>
      <c r="Q992" s="1"/>
      <c r="R992" s="1"/>
      <c r="S992" s="1"/>
      <c r="T992" s="1"/>
      <c r="U992" s="2"/>
      <c r="V992" s="1"/>
      <c r="W992" s="1"/>
      <c r="X992" s="1"/>
      <c r="Y992" s="1"/>
      <c r="Z992" s="1"/>
    </row>
    <row r="993" spans="1:26" ht="24.75" customHeight="1">
      <c r="A993" s="1"/>
      <c r="B993" s="1"/>
      <c r="C993" s="1"/>
      <c r="D993" s="1"/>
      <c r="E993" s="1"/>
      <c r="F993" s="1"/>
      <c r="G993" s="1"/>
      <c r="H993" s="1"/>
      <c r="I993" s="1"/>
      <c r="J993" s="1"/>
      <c r="K993" s="1"/>
      <c r="L993" s="1"/>
      <c r="M993" s="1"/>
      <c r="N993" s="1"/>
      <c r="O993" s="1"/>
      <c r="P993" s="1"/>
      <c r="Q993" s="1"/>
      <c r="R993" s="1"/>
      <c r="S993" s="1"/>
      <c r="T993" s="1"/>
      <c r="U993" s="2"/>
      <c r="V993" s="1"/>
      <c r="W993" s="1"/>
      <c r="X993" s="1"/>
      <c r="Y993" s="1"/>
      <c r="Z993" s="1"/>
    </row>
    <row r="994" spans="1:26" ht="24.75" customHeight="1">
      <c r="A994" s="1"/>
      <c r="B994" s="1"/>
      <c r="C994" s="1"/>
      <c r="D994" s="1"/>
      <c r="E994" s="1"/>
      <c r="F994" s="1"/>
      <c r="G994" s="1"/>
      <c r="H994" s="1"/>
      <c r="I994" s="1"/>
      <c r="J994" s="1"/>
      <c r="K994" s="1"/>
      <c r="L994" s="1"/>
      <c r="M994" s="1"/>
      <c r="N994" s="1"/>
      <c r="O994" s="1"/>
      <c r="P994" s="1"/>
      <c r="Q994" s="1"/>
      <c r="R994" s="1"/>
      <c r="S994" s="1"/>
      <c r="T994" s="1"/>
      <c r="U994" s="2"/>
      <c r="V994" s="1"/>
      <c r="W994" s="1"/>
      <c r="X994" s="1"/>
      <c r="Y994" s="1"/>
      <c r="Z994" s="1"/>
    </row>
    <row r="995" spans="1:26" ht="24.75" customHeight="1">
      <c r="A995" s="1"/>
      <c r="B995" s="1"/>
      <c r="C995" s="1"/>
      <c r="D995" s="1"/>
      <c r="E995" s="1"/>
      <c r="F995" s="1"/>
      <c r="G995" s="1"/>
      <c r="H995" s="1"/>
      <c r="I995" s="1"/>
      <c r="J995" s="1"/>
      <c r="K995" s="1"/>
      <c r="L995" s="1"/>
      <c r="M995" s="1"/>
      <c r="N995" s="1"/>
      <c r="O995" s="1"/>
      <c r="P995" s="1"/>
      <c r="Q995" s="1"/>
      <c r="R995" s="1"/>
      <c r="S995" s="1"/>
      <c r="T995" s="1"/>
      <c r="U995" s="2"/>
      <c r="V995" s="1"/>
      <c r="W995" s="1"/>
      <c r="X995" s="1"/>
      <c r="Y995" s="1"/>
      <c r="Z995" s="1"/>
    </row>
    <row r="996" spans="1:26" ht="24.75" customHeight="1">
      <c r="A996" s="1"/>
      <c r="B996" s="1"/>
      <c r="C996" s="1"/>
      <c r="D996" s="1"/>
      <c r="E996" s="1"/>
      <c r="F996" s="1"/>
      <c r="G996" s="1"/>
      <c r="H996" s="1"/>
      <c r="I996" s="1"/>
      <c r="J996" s="1"/>
      <c r="K996" s="1"/>
      <c r="L996" s="1"/>
      <c r="M996" s="1"/>
      <c r="N996" s="1"/>
      <c r="O996" s="1"/>
      <c r="P996" s="1"/>
      <c r="Q996" s="1"/>
      <c r="R996" s="1"/>
      <c r="S996" s="1"/>
      <c r="T996" s="1"/>
      <c r="U996" s="2"/>
      <c r="V996" s="1"/>
      <c r="W996" s="1"/>
      <c r="X996" s="1"/>
      <c r="Y996" s="1"/>
      <c r="Z996" s="1"/>
    </row>
    <row r="997" spans="1:26" ht="24.75" customHeight="1">
      <c r="A997" s="1"/>
      <c r="B997" s="1"/>
      <c r="C997" s="1"/>
      <c r="D997" s="1"/>
      <c r="E997" s="1"/>
      <c r="F997" s="1"/>
      <c r="G997" s="1"/>
      <c r="H997" s="1"/>
      <c r="I997" s="1"/>
      <c r="J997" s="1"/>
      <c r="K997" s="1"/>
      <c r="L997" s="1"/>
      <c r="M997" s="1"/>
      <c r="N997" s="1"/>
      <c r="O997" s="1"/>
      <c r="P997" s="1"/>
      <c r="Q997" s="1"/>
      <c r="R997" s="1"/>
      <c r="S997" s="1"/>
      <c r="T997" s="1"/>
      <c r="U997" s="2"/>
      <c r="V997" s="1"/>
      <c r="W997" s="1"/>
      <c r="X997" s="1"/>
      <c r="Y997" s="1"/>
      <c r="Z997" s="1"/>
    </row>
    <row r="998" spans="1:26" ht="24.75" customHeight="1">
      <c r="A998" s="1"/>
      <c r="B998" s="1"/>
      <c r="C998" s="1"/>
      <c r="D998" s="1"/>
      <c r="E998" s="1"/>
      <c r="F998" s="1"/>
      <c r="G998" s="1"/>
      <c r="H998" s="1"/>
      <c r="I998" s="1"/>
      <c r="J998" s="1"/>
      <c r="K998" s="1"/>
      <c r="L998" s="1"/>
      <c r="M998" s="1"/>
      <c r="N998" s="1"/>
      <c r="O998" s="1"/>
      <c r="P998" s="1"/>
      <c r="Q998" s="1"/>
      <c r="R998" s="1"/>
      <c r="S998" s="1"/>
      <c r="T998" s="1"/>
      <c r="U998" s="2"/>
      <c r="V998" s="1"/>
      <c r="W998" s="1"/>
      <c r="X998" s="1"/>
      <c r="Y998" s="1"/>
      <c r="Z998" s="1"/>
    </row>
    <row r="999" spans="1:26" ht="24.75" customHeight="1">
      <c r="A999" s="1"/>
      <c r="B999" s="1"/>
      <c r="C999" s="1"/>
      <c r="D999" s="1"/>
      <c r="E999" s="1"/>
      <c r="F999" s="1"/>
      <c r="G999" s="1"/>
      <c r="H999" s="1"/>
      <c r="I999" s="1"/>
      <c r="J999" s="1"/>
      <c r="K999" s="1"/>
      <c r="L999" s="1"/>
      <c r="M999" s="1"/>
      <c r="N999" s="1"/>
      <c r="O999" s="1"/>
      <c r="P999" s="1"/>
      <c r="Q999" s="1"/>
      <c r="R999" s="1"/>
      <c r="S999" s="1"/>
      <c r="T999" s="1"/>
      <c r="U999" s="2"/>
      <c r="V999" s="1"/>
      <c r="W999" s="1"/>
      <c r="X999" s="1"/>
      <c r="Y999" s="1"/>
      <c r="Z999" s="1"/>
    </row>
    <row r="1000" spans="1:26" ht="24.75" customHeight="1">
      <c r="A1000" s="1"/>
      <c r="B1000" s="1"/>
      <c r="C1000" s="1"/>
      <c r="D1000" s="1"/>
      <c r="E1000" s="1"/>
      <c r="F1000" s="1"/>
      <c r="G1000" s="1"/>
      <c r="H1000" s="1"/>
      <c r="I1000" s="1"/>
      <c r="J1000" s="1"/>
      <c r="K1000" s="1"/>
      <c r="L1000" s="1"/>
      <c r="M1000" s="1"/>
      <c r="N1000" s="1"/>
      <c r="O1000" s="1"/>
      <c r="P1000" s="1"/>
      <c r="Q1000" s="1"/>
      <c r="R1000" s="1"/>
      <c r="S1000" s="1"/>
      <c r="T1000" s="1"/>
      <c r="U1000" s="2"/>
      <c r="V1000" s="1"/>
      <c r="W1000" s="1"/>
      <c r="X1000" s="1"/>
      <c r="Y1000" s="1"/>
      <c r="Z1000" s="1"/>
    </row>
  </sheetData>
  <mergeCells count="101">
    <mergeCell ref="B204:B206"/>
    <mergeCell ref="C204:C206"/>
    <mergeCell ref="B209:D209"/>
    <mergeCell ref="A210:D210"/>
    <mergeCell ref="A135:A158"/>
    <mergeCell ref="B135:B136"/>
    <mergeCell ref="B138:B144"/>
    <mergeCell ref="B145:B146"/>
    <mergeCell ref="B147:B149"/>
    <mergeCell ref="B158:D158"/>
    <mergeCell ref="A159:A209"/>
    <mergeCell ref="C135:C136"/>
    <mergeCell ref="C138:C144"/>
    <mergeCell ref="C145:C146"/>
    <mergeCell ref="C147:C149"/>
    <mergeCell ref="C150:C153"/>
    <mergeCell ref="B173:B179"/>
    <mergeCell ref="C173:C179"/>
    <mergeCell ref="B180:B183"/>
    <mergeCell ref="C180:C183"/>
    <mergeCell ref="B184:B186"/>
    <mergeCell ref="C184:C186"/>
    <mergeCell ref="B187:B192"/>
    <mergeCell ref="C187:C192"/>
    <mergeCell ref="B150:B153"/>
    <mergeCell ref="B159:B162"/>
    <mergeCell ref="C159:C162"/>
    <mergeCell ref="B163:B167"/>
    <mergeCell ref="C163:C167"/>
    <mergeCell ref="B168:B172"/>
    <mergeCell ref="C168:C172"/>
    <mergeCell ref="B202:B203"/>
    <mergeCell ref="C202:C203"/>
    <mergeCell ref="B194:B199"/>
    <mergeCell ref="C194:C199"/>
    <mergeCell ref="B200:B201"/>
    <mergeCell ref="C200:C201"/>
    <mergeCell ref="C94:C103"/>
    <mergeCell ref="B104:B105"/>
    <mergeCell ref="C104:C105"/>
    <mergeCell ref="B106:B110"/>
    <mergeCell ref="C106:C110"/>
    <mergeCell ref="B111:B113"/>
    <mergeCell ref="C111:C113"/>
    <mergeCell ref="B94:B103"/>
    <mergeCell ref="A94:A134"/>
    <mergeCell ref="B114:B118"/>
    <mergeCell ref="C114:C118"/>
    <mergeCell ref="B119:B120"/>
    <mergeCell ref="C119:C120"/>
    <mergeCell ref="B122:B125"/>
    <mergeCell ref="C122:C125"/>
    <mergeCell ref="B128:B130"/>
    <mergeCell ref="C128:C130"/>
    <mergeCell ref="B131:B132"/>
    <mergeCell ref="C131:C132"/>
    <mergeCell ref="B134:D134"/>
    <mergeCell ref="B79:B85"/>
    <mergeCell ref="C79:C85"/>
    <mergeCell ref="B75:B78"/>
    <mergeCell ref="B57:B66"/>
    <mergeCell ref="C57:C66"/>
    <mergeCell ref="A69:A93"/>
    <mergeCell ref="B70:B74"/>
    <mergeCell ref="C70:C74"/>
    <mergeCell ref="C75:C78"/>
    <mergeCell ref="B86:B89"/>
    <mergeCell ref="C86:C89"/>
    <mergeCell ref="B93:D93"/>
    <mergeCell ref="B47:B56"/>
    <mergeCell ref="C47:C56"/>
    <mergeCell ref="C6:C23"/>
    <mergeCell ref="B24:B25"/>
    <mergeCell ref="C24:C25"/>
    <mergeCell ref="Q4:Q5"/>
    <mergeCell ref="R4:R5"/>
    <mergeCell ref="S4:S5"/>
    <mergeCell ref="A1:E1"/>
    <mergeCell ref="A4:A5"/>
    <mergeCell ref="C4:C5"/>
    <mergeCell ref="D4:D5"/>
    <mergeCell ref="E4:E5"/>
    <mergeCell ref="F4:F5"/>
    <mergeCell ref="A6:A68"/>
    <mergeCell ref="B68:D68"/>
    <mergeCell ref="B4:B5"/>
    <mergeCell ref="B6:B23"/>
    <mergeCell ref="B26:B36"/>
    <mergeCell ref="C26:C36"/>
    <mergeCell ref="B37:B39"/>
    <mergeCell ref="C37:C39"/>
    <mergeCell ref="B40:B46"/>
    <mergeCell ref="U4:U5"/>
    <mergeCell ref="G4:H4"/>
    <mergeCell ref="I4:I5"/>
    <mergeCell ref="J4:L4"/>
    <mergeCell ref="M4:M5"/>
    <mergeCell ref="N4:N5"/>
    <mergeCell ref="O4:O5"/>
    <mergeCell ref="P4:P5"/>
    <mergeCell ref="C40:C46"/>
  </mergeCell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dimension ref="A1:Z1000"/>
  <sheetViews>
    <sheetView workbookViewId="0">
      <pane xSplit="3" ySplit="5" topLeftCell="D171" activePane="bottomRight" state="frozen"/>
      <selection pane="topRight" activeCell="D1" sqref="D1"/>
      <selection pane="bottomLeft" activeCell="A6" sqref="A6"/>
      <selection pane="bottomRight" activeCell="H176" sqref="H176"/>
    </sheetView>
  </sheetViews>
  <sheetFormatPr defaultColWidth="14.42578125" defaultRowHeight="15" customHeight="1"/>
  <cols>
    <col min="1" max="1" width="6.7109375" style="3" customWidth="1"/>
    <col min="2" max="2" width="7.28515625" style="3" customWidth="1"/>
    <col min="3" max="3" width="11.28515625" style="3" customWidth="1"/>
    <col min="4" max="4" width="5.85546875" style="3" customWidth="1"/>
    <col min="5" max="5" width="35.85546875" style="3" customWidth="1"/>
    <col min="6" max="6" width="7.42578125" style="3" customWidth="1"/>
    <col min="7" max="7" width="10.7109375" style="3" customWidth="1"/>
    <col min="8" max="8" width="8.28515625" style="3" customWidth="1"/>
    <col min="9" max="9" width="10.5703125" style="3" customWidth="1"/>
    <col min="10" max="10" width="11.85546875" style="3" customWidth="1"/>
    <col min="11" max="11" width="9.28515625" style="3" customWidth="1"/>
    <col min="12" max="12" width="6.7109375" style="3" customWidth="1"/>
    <col min="13" max="13" width="9" style="3" customWidth="1"/>
    <col min="14" max="14" width="9.7109375" style="3" customWidth="1"/>
    <col min="15" max="15" width="6.5703125" style="3" customWidth="1"/>
    <col min="16" max="16" width="9.5703125" style="3" customWidth="1"/>
    <col min="17" max="17" width="8.28515625" style="3" customWidth="1"/>
    <col min="18" max="18" width="9.85546875" style="3" customWidth="1"/>
    <col min="19" max="19" width="10.42578125" style="3" customWidth="1"/>
    <col min="20" max="20" width="15.7109375" style="3" customWidth="1"/>
    <col min="21" max="21" width="41.28515625" style="61" customWidth="1"/>
    <col min="22" max="16384" width="14.42578125" style="3"/>
  </cols>
  <sheetData>
    <row r="1" spans="1:26" ht="24.75" customHeight="1">
      <c r="A1" s="172" t="s">
        <v>379</v>
      </c>
      <c r="B1" s="173"/>
      <c r="C1" s="173"/>
      <c r="D1" s="173"/>
      <c r="E1" s="174"/>
      <c r="F1" s="1"/>
      <c r="G1" s="1"/>
      <c r="H1" s="1"/>
      <c r="I1" s="1"/>
      <c r="J1" s="1"/>
      <c r="K1" s="1"/>
      <c r="L1" s="1"/>
      <c r="M1" s="1"/>
      <c r="N1" s="1"/>
      <c r="O1" s="1"/>
      <c r="P1" s="1"/>
      <c r="Q1" s="1"/>
      <c r="R1" s="1"/>
      <c r="S1" s="1"/>
      <c r="T1" s="1"/>
      <c r="U1" s="2"/>
      <c r="V1" s="1"/>
      <c r="W1" s="1"/>
      <c r="X1" s="1"/>
      <c r="Y1" s="1"/>
      <c r="Z1" s="1"/>
    </row>
    <row r="2" spans="1:26" ht="24.75" hidden="1" customHeight="1">
      <c r="A2" s="1"/>
      <c r="B2" s="1"/>
      <c r="C2" s="1"/>
      <c r="D2" s="1"/>
      <c r="E2" s="1"/>
      <c r="F2" s="1"/>
      <c r="G2" s="1"/>
      <c r="H2" s="1"/>
      <c r="I2" s="1"/>
      <c r="J2" s="1"/>
      <c r="K2" s="1"/>
      <c r="L2" s="1"/>
      <c r="M2" s="1"/>
      <c r="N2" s="1"/>
      <c r="O2" s="1"/>
      <c r="P2" s="1"/>
      <c r="Q2" s="1"/>
      <c r="R2" s="1"/>
      <c r="S2" s="1"/>
      <c r="T2" s="1"/>
      <c r="U2" s="2"/>
      <c r="V2" s="1"/>
      <c r="W2" s="1"/>
      <c r="X2" s="1"/>
      <c r="Y2" s="1"/>
      <c r="Z2" s="1"/>
    </row>
    <row r="3" spans="1:26" ht="24.75" hidden="1" customHeight="1">
      <c r="A3" s="1"/>
      <c r="B3" s="4"/>
      <c r="C3" s="4"/>
      <c r="D3" s="4"/>
      <c r="E3" s="4"/>
      <c r="F3" s="4"/>
      <c r="G3" s="4"/>
      <c r="H3" s="4"/>
      <c r="I3" s="4"/>
      <c r="J3" s="4"/>
      <c r="K3" s="4"/>
      <c r="L3" s="4"/>
      <c r="M3" s="4"/>
      <c r="N3" s="4"/>
      <c r="O3" s="4"/>
      <c r="P3" s="4"/>
      <c r="Q3" s="4"/>
      <c r="R3" s="4"/>
      <c r="S3" s="4"/>
      <c r="T3" s="4"/>
      <c r="U3" s="60" t="s">
        <v>1</v>
      </c>
      <c r="V3" s="1"/>
      <c r="W3" s="1"/>
      <c r="X3" s="1"/>
      <c r="Y3" s="1"/>
      <c r="Z3" s="1"/>
    </row>
    <row r="4" spans="1:26" ht="24.75" customHeight="1">
      <c r="A4" s="168" t="s">
        <v>2</v>
      </c>
      <c r="B4" s="168" t="s">
        <v>3</v>
      </c>
      <c r="C4" s="168" t="s">
        <v>4</v>
      </c>
      <c r="D4" s="168" t="s">
        <v>5</v>
      </c>
      <c r="E4" s="168" t="s">
        <v>6</v>
      </c>
      <c r="F4" s="168" t="s">
        <v>7</v>
      </c>
      <c r="G4" s="166" t="s">
        <v>8</v>
      </c>
      <c r="H4" s="167"/>
      <c r="I4" s="168" t="s">
        <v>9</v>
      </c>
      <c r="J4" s="166" t="s">
        <v>10</v>
      </c>
      <c r="K4" s="170"/>
      <c r="L4" s="167"/>
      <c r="M4" s="168" t="s">
        <v>570</v>
      </c>
      <c r="N4" s="168" t="s">
        <v>11</v>
      </c>
      <c r="O4" s="168" t="s">
        <v>12</v>
      </c>
      <c r="P4" s="168" t="s">
        <v>380</v>
      </c>
      <c r="Q4" s="168" t="s">
        <v>14</v>
      </c>
      <c r="R4" s="168" t="s">
        <v>15</v>
      </c>
      <c r="S4" s="168" t="s">
        <v>16</v>
      </c>
      <c r="T4" s="5" t="s">
        <v>597</v>
      </c>
      <c r="U4" s="164" t="s">
        <v>17</v>
      </c>
      <c r="V4" s="1"/>
      <c r="W4" s="1"/>
      <c r="X4" s="1"/>
      <c r="Y4" s="1"/>
      <c r="Z4" s="1"/>
    </row>
    <row r="5" spans="1:26" ht="24.75" customHeight="1">
      <c r="A5" s="169"/>
      <c r="B5" s="169"/>
      <c r="C5" s="169"/>
      <c r="D5" s="169"/>
      <c r="E5" s="169"/>
      <c r="F5" s="169"/>
      <c r="G5" s="5" t="s">
        <v>18</v>
      </c>
      <c r="H5" s="5" t="s">
        <v>19</v>
      </c>
      <c r="I5" s="169"/>
      <c r="J5" s="5" t="s">
        <v>571</v>
      </c>
      <c r="K5" s="5" t="s">
        <v>20</v>
      </c>
      <c r="L5" s="5" t="s">
        <v>21</v>
      </c>
      <c r="M5" s="169"/>
      <c r="N5" s="169"/>
      <c r="O5" s="169"/>
      <c r="P5" s="169"/>
      <c r="Q5" s="169"/>
      <c r="R5" s="169"/>
      <c r="S5" s="169"/>
      <c r="T5" s="5" t="s">
        <v>22</v>
      </c>
      <c r="U5" s="165"/>
      <c r="V5" s="1"/>
      <c r="W5" s="1"/>
      <c r="X5" s="1"/>
      <c r="Y5" s="1"/>
      <c r="Z5" s="1"/>
    </row>
    <row r="6" spans="1:26" ht="24.75" customHeight="1">
      <c r="A6" s="175" t="s">
        <v>23</v>
      </c>
      <c r="B6" s="168" t="s">
        <v>24</v>
      </c>
      <c r="C6" s="168" t="s">
        <v>25</v>
      </c>
      <c r="D6" s="5">
        <v>1</v>
      </c>
      <c r="E6" s="5" t="s">
        <v>26</v>
      </c>
      <c r="F6" s="5"/>
      <c r="G6" s="5"/>
      <c r="H6" s="5"/>
      <c r="I6" s="5"/>
      <c r="J6" s="5"/>
      <c r="K6" s="5"/>
      <c r="L6" s="5"/>
      <c r="M6" s="5"/>
      <c r="N6" s="5"/>
      <c r="O6" s="5"/>
      <c r="P6" s="5"/>
      <c r="Q6" s="5"/>
      <c r="R6" s="5"/>
      <c r="S6" s="5"/>
      <c r="T6" s="6">
        <f t="shared" ref="T6:T69" si="0">SUM(F6:S6)</f>
        <v>0</v>
      </c>
      <c r="U6" s="9"/>
      <c r="V6" s="1"/>
      <c r="W6" s="1"/>
      <c r="X6" s="1"/>
      <c r="Y6" s="1"/>
      <c r="Z6" s="1"/>
    </row>
    <row r="7" spans="1:26" ht="24.75" customHeight="1">
      <c r="A7" s="171"/>
      <c r="B7" s="171"/>
      <c r="C7" s="171"/>
      <c r="D7" s="5">
        <v>2</v>
      </c>
      <c r="E7" s="5" t="s">
        <v>27</v>
      </c>
      <c r="F7" s="5"/>
      <c r="G7" s="5"/>
      <c r="H7" s="5"/>
      <c r="I7" s="5"/>
      <c r="J7" s="5"/>
      <c r="K7" s="6">
        <v>79.319999999999993</v>
      </c>
      <c r="L7" s="5"/>
      <c r="M7" s="5"/>
      <c r="N7" s="5"/>
      <c r="O7" s="5"/>
      <c r="P7" s="8">
        <v>3</v>
      </c>
      <c r="Q7" s="5"/>
      <c r="R7" s="5"/>
      <c r="S7" s="5"/>
      <c r="T7" s="6">
        <f t="shared" si="0"/>
        <v>82.32</v>
      </c>
      <c r="U7" s="9" t="s">
        <v>28</v>
      </c>
      <c r="V7" s="1"/>
      <c r="W7" s="1"/>
      <c r="X7" s="1"/>
      <c r="Y7" s="1"/>
      <c r="Z7" s="1"/>
    </row>
    <row r="8" spans="1:26" ht="24.75" customHeight="1">
      <c r="A8" s="171"/>
      <c r="B8" s="171"/>
      <c r="C8" s="171"/>
      <c r="D8" s="5">
        <v>3</v>
      </c>
      <c r="E8" s="5" t="s">
        <v>29</v>
      </c>
      <c r="F8" s="8">
        <v>53.99</v>
      </c>
      <c r="G8" s="5"/>
      <c r="H8" s="5"/>
      <c r="I8" s="5"/>
      <c r="J8" s="5"/>
      <c r="K8" s="5"/>
      <c r="L8" s="5"/>
      <c r="M8" s="5"/>
      <c r="N8" s="5"/>
      <c r="O8" s="8">
        <v>43.03</v>
      </c>
      <c r="P8" s="5"/>
      <c r="Q8" s="5"/>
      <c r="R8" s="8">
        <v>2.48</v>
      </c>
      <c r="S8" s="5"/>
      <c r="T8" s="6">
        <f t="shared" si="0"/>
        <v>99.500000000000014</v>
      </c>
      <c r="U8" s="9" t="s">
        <v>30</v>
      </c>
      <c r="V8" s="1"/>
      <c r="W8" s="1"/>
      <c r="X8" s="1"/>
      <c r="Y8" s="1"/>
      <c r="Z8" s="1"/>
    </row>
    <row r="9" spans="1:26" ht="24.75" customHeight="1">
      <c r="A9" s="171"/>
      <c r="B9" s="171"/>
      <c r="C9" s="171"/>
      <c r="D9" s="5">
        <v>4</v>
      </c>
      <c r="E9" s="5" t="s">
        <v>31</v>
      </c>
      <c r="F9" s="5"/>
      <c r="G9" s="5"/>
      <c r="H9" s="5"/>
      <c r="I9" s="5"/>
      <c r="J9" s="5"/>
      <c r="K9" s="5"/>
      <c r="L9" s="5"/>
      <c r="M9" s="6">
        <v>27.04</v>
      </c>
      <c r="N9" s="5"/>
      <c r="O9" s="5"/>
      <c r="P9" s="8">
        <f>41.01+1.35</f>
        <v>42.36</v>
      </c>
      <c r="Q9" s="5"/>
      <c r="R9" s="5"/>
      <c r="S9" s="5"/>
      <c r="T9" s="6">
        <f t="shared" si="0"/>
        <v>69.400000000000006</v>
      </c>
      <c r="U9" s="9" t="s">
        <v>32</v>
      </c>
      <c r="V9" s="1"/>
      <c r="W9" s="1"/>
      <c r="X9" s="1"/>
      <c r="Y9" s="1"/>
      <c r="Z9" s="1"/>
    </row>
    <row r="10" spans="1:26" ht="24.75" customHeight="1">
      <c r="A10" s="171"/>
      <c r="B10" s="171"/>
      <c r="C10" s="171"/>
      <c r="D10" s="5">
        <v>5</v>
      </c>
      <c r="E10" s="5" t="s">
        <v>33</v>
      </c>
      <c r="F10" s="5"/>
      <c r="G10" s="5"/>
      <c r="H10" s="5"/>
      <c r="I10" s="5"/>
      <c r="J10" s="5"/>
      <c r="K10" s="5"/>
      <c r="L10" s="5"/>
      <c r="M10" s="5"/>
      <c r="N10" s="5"/>
      <c r="O10" s="5"/>
      <c r="P10" s="6">
        <v>45.06</v>
      </c>
      <c r="Q10" s="5"/>
      <c r="R10" s="5"/>
      <c r="S10" s="5"/>
      <c r="T10" s="6">
        <f t="shared" si="0"/>
        <v>45.06</v>
      </c>
      <c r="U10" s="9" t="s">
        <v>34</v>
      </c>
      <c r="V10" s="1"/>
      <c r="W10" s="1"/>
      <c r="X10" s="1"/>
      <c r="Y10" s="1"/>
      <c r="Z10" s="1"/>
    </row>
    <row r="11" spans="1:26" ht="24.75" customHeight="1">
      <c r="A11" s="171"/>
      <c r="B11" s="171"/>
      <c r="C11" s="171"/>
      <c r="D11" s="5">
        <v>6</v>
      </c>
      <c r="E11" s="5" t="s">
        <v>35</v>
      </c>
      <c r="F11" s="5"/>
      <c r="G11" s="5"/>
      <c r="H11" s="5"/>
      <c r="I11" s="5"/>
      <c r="J11" s="5"/>
      <c r="K11" s="5"/>
      <c r="L11" s="5"/>
      <c r="M11" s="5"/>
      <c r="N11" s="8"/>
      <c r="O11" s="5"/>
      <c r="P11" s="8">
        <v>0.5</v>
      </c>
      <c r="Q11" s="5"/>
      <c r="R11" s="5"/>
      <c r="S11" s="5"/>
      <c r="T11" s="6">
        <f t="shared" si="0"/>
        <v>0.5</v>
      </c>
      <c r="U11" s="9" t="s">
        <v>36</v>
      </c>
      <c r="V11" s="1"/>
      <c r="W11" s="1"/>
      <c r="X11" s="1"/>
      <c r="Y11" s="1"/>
      <c r="Z11" s="1"/>
    </row>
    <row r="12" spans="1:26" ht="24.75" customHeight="1">
      <c r="A12" s="171"/>
      <c r="B12" s="171"/>
      <c r="C12" s="171"/>
      <c r="D12" s="5">
        <v>7</v>
      </c>
      <c r="E12" s="5" t="s">
        <v>37</v>
      </c>
      <c r="F12" s="5"/>
      <c r="G12" s="5"/>
      <c r="H12" s="5"/>
      <c r="I12" s="5"/>
      <c r="J12" s="5"/>
      <c r="K12" s="5"/>
      <c r="L12" s="5"/>
      <c r="M12" s="5"/>
      <c r="N12" s="5"/>
      <c r="O12" s="5"/>
      <c r="P12" s="8">
        <v>0.06</v>
      </c>
      <c r="Q12" s="8"/>
      <c r="R12" s="5"/>
      <c r="S12" s="5"/>
      <c r="T12" s="6">
        <f t="shared" si="0"/>
        <v>0.06</v>
      </c>
      <c r="U12" s="9" t="s">
        <v>38</v>
      </c>
      <c r="V12" s="1"/>
      <c r="W12" s="1"/>
      <c r="X12" s="1"/>
      <c r="Y12" s="1"/>
      <c r="Z12" s="1"/>
    </row>
    <row r="13" spans="1:26" ht="24.75" customHeight="1">
      <c r="A13" s="171"/>
      <c r="B13" s="171"/>
      <c r="C13" s="171"/>
      <c r="D13" s="5">
        <v>8</v>
      </c>
      <c r="E13" s="5" t="s">
        <v>39</v>
      </c>
      <c r="F13" s="5"/>
      <c r="G13" s="5"/>
      <c r="H13" s="5"/>
      <c r="I13" s="5"/>
      <c r="J13" s="5"/>
      <c r="K13" s="5"/>
      <c r="L13" s="5"/>
      <c r="M13" s="5"/>
      <c r="N13" s="6"/>
      <c r="O13" s="5"/>
      <c r="P13" s="5"/>
      <c r="Q13" s="5"/>
      <c r="R13" s="5"/>
      <c r="S13" s="5"/>
      <c r="T13" s="6">
        <f t="shared" si="0"/>
        <v>0</v>
      </c>
      <c r="U13" s="9"/>
      <c r="V13" s="1"/>
      <c r="W13" s="1"/>
      <c r="X13" s="1"/>
      <c r="Y13" s="1"/>
      <c r="Z13" s="1"/>
    </row>
    <row r="14" spans="1:26" ht="24.75" customHeight="1">
      <c r="A14" s="171"/>
      <c r="B14" s="171"/>
      <c r="C14" s="171"/>
      <c r="D14" s="5">
        <v>9</v>
      </c>
      <c r="E14" s="5" t="s">
        <v>40</v>
      </c>
      <c r="F14" s="5"/>
      <c r="G14" s="5"/>
      <c r="H14" s="5"/>
      <c r="I14" s="5"/>
      <c r="J14" s="5"/>
      <c r="K14" s="5"/>
      <c r="L14" s="5"/>
      <c r="M14" s="5"/>
      <c r="N14" s="6">
        <v>0.18</v>
      </c>
      <c r="O14" s="5"/>
      <c r="P14" s="5"/>
      <c r="Q14" s="8"/>
      <c r="R14" s="5"/>
      <c r="S14" s="8">
        <v>0.45</v>
      </c>
      <c r="T14" s="6">
        <f t="shared" si="0"/>
        <v>0.63</v>
      </c>
      <c r="U14" s="9" t="s">
        <v>41</v>
      </c>
      <c r="V14" s="1"/>
      <c r="W14" s="1"/>
      <c r="X14" s="1"/>
      <c r="Y14" s="1"/>
      <c r="Z14" s="1"/>
    </row>
    <row r="15" spans="1:26" ht="24.75" customHeight="1">
      <c r="A15" s="171"/>
      <c r="B15" s="171"/>
      <c r="C15" s="171"/>
      <c r="D15" s="5">
        <v>10</v>
      </c>
      <c r="E15" s="5" t="s">
        <v>42</v>
      </c>
      <c r="F15" s="5"/>
      <c r="G15" s="5"/>
      <c r="H15" s="5"/>
      <c r="I15" s="6"/>
      <c r="J15" s="5"/>
      <c r="K15" s="5"/>
      <c r="L15" s="5"/>
      <c r="M15" s="5"/>
      <c r="N15" s="6">
        <v>0.45750000000000002</v>
      </c>
      <c r="O15" s="5"/>
      <c r="P15" s="5"/>
      <c r="Q15" s="5"/>
      <c r="R15" s="5"/>
      <c r="S15" s="5"/>
      <c r="T15" s="6">
        <f t="shared" si="0"/>
        <v>0.45750000000000002</v>
      </c>
      <c r="U15" s="10" t="s">
        <v>43</v>
      </c>
      <c r="V15" s="1"/>
      <c r="W15" s="1"/>
      <c r="X15" s="1"/>
      <c r="Y15" s="1"/>
      <c r="Z15" s="1"/>
    </row>
    <row r="16" spans="1:26" ht="24.75" customHeight="1">
      <c r="A16" s="171"/>
      <c r="B16" s="171"/>
      <c r="C16" s="171"/>
      <c r="D16" s="5">
        <v>11</v>
      </c>
      <c r="E16" s="5" t="s">
        <v>44</v>
      </c>
      <c r="F16" s="5"/>
      <c r="G16" s="8"/>
      <c r="H16" s="8"/>
      <c r="I16" s="5"/>
      <c r="J16" s="5"/>
      <c r="K16" s="5"/>
      <c r="L16" s="5"/>
      <c r="M16" s="5"/>
      <c r="N16" s="5"/>
      <c r="O16" s="5"/>
      <c r="P16" s="5"/>
      <c r="Q16" s="5"/>
      <c r="R16" s="5"/>
      <c r="S16" s="5"/>
      <c r="T16" s="6">
        <f t="shared" si="0"/>
        <v>0</v>
      </c>
      <c r="U16" s="9"/>
      <c r="V16" s="1"/>
      <c r="W16" s="1"/>
      <c r="X16" s="1"/>
      <c r="Y16" s="1"/>
      <c r="Z16" s="1"/>
    </row>
    <row r="17" spans="1:26" ht="24.75" customHeight="1">
      <c r="A17" s="171"/>
      <c r="B17" s="171"/>
      <c r="C17" s="171"/>
      <c r="D17" s="5">
        <v>12</v>
      </c>
      <c r="E17" s="5" t="s">
        <v>45</v>
      </c>
      <c r="F17" s="5"/>
      <c r="G17" s="5"/>
      <c r="H17" s="5"/>
      <c r="I17" s="5"/>
      <c r="J17" s="5"/>
      <c r="K17" s="5"/>
      <c r="L17" s="5"/>
      <c r="M17" s="5"/>
      <c r="N17" s="6">
        <v>3.4950000000000001</v>
      </c>
      <c r="O17" s="5"/>
      <c r="P17" s="5"/>
      <c r="Q17" s="5"/>
      <c r="R17" s="5"/>
      <c r="S17" s="5"/>
      <c r="T17" s="6">
        <f t="shared" si="0"/>
        <v>3.4950000000000001</v>
      </c>
      <c r="U17" s="9" t="s">
        <v>46</v>
      </c>
      <c r="V17" s="1"/>
      <c r="W17" s="1"/>
      <c r="X17" s="1"/>
      <c r="Y17" s="1"/>
      <c r="Z17" s="1"/>
    </row>
    <row r="18" spans="1:26" ht="24.75" customHeight="1">
      <c r="A18" s="171"/>
      <c r="B18" s="171"/>
      <c r="C18" s="171"/>
      <c r="D18" s="5">
        <v>13</v>
      </c>
      <c r="E18" s="5" t="s">
        <v>47</v>
      </c>
      <c r="F18" s="5"/>
      <c r="G18" s="5"/>
      <c r="H18" s="5"/>
      <c r="I18" s="5"/>
      <c r="J18" s="5"/>
      <c r="K18" s="5"/>
      <c r="L18" s="5"/>
      <c r="M18" s="5"/>
      <c r="N18" s="5"/>
      <c r="O18" s="5"/>
      <c r="P18" s="8"/>
      <c r="Q18" s="5"/>
      <c r="R18" s="5"/>
      <c r="S18" s="5"/>
      <c r="T18" s="6">
        <f t="shared" si="0"/>
        <v>0</v>
      </c>
      <c r="U18" s="9"/>
      <c r="V18" s="1"/>
      <c r="W18" s="1"/>
      <c r="X18" s="1"/>
      <c r="Y18" s="1"/>
      <c r="Z18" s="1"/>
    </row>
    <row r="19" spans="1:26" ht="24.75" customHeight="1">
      <c r="A19" s="171"/>
      <c r="B19" s="171"/>
      <c r="C19" s="171"/>
      <c r="D19" s="5">
        <v>14</v>
      </c>
      <c r="E19" s="5" t="s">
        <v>48</v>
      </c>
      <c r="F19" s="5"/>
      <c r="G19" s="5"/>
      <c r="H19" s="5"/>
      <c r="I19" s="5"/>
      <c r="J19" s="5"/>
      <c r="K19" s="5"/>
      <c r="L19" s="5"/>
      <c r="M19" s="5"/>
      <c r="N19" s="5"/>
      <c r="O19" s="5"/>
      <c r="P19" s="5"/>
      <c r="Q19" s="5"/>
      <c r="R19" s="5"/>
      <c r="S19" s="5"/>
      <c r="T19" s="6">
        <f t="shared" si="0"/>
        <v>0</v>
      </c>
      <c r="U19" s="9"/>
      <c r="V19" s="1"/>
      <c r="W19" s="1"/>
      <c r="X19" s="1"/>
      <c r="Y19" s="1"/>
      <c r="Z19" s="1"/>
    </row>
    <row r="20" spans="1:26" ht="24.75" customHeight="1">
      <c r="A20" s="171"/>
      <c r="B20" s="171"/>
      <c r="C20" s="171"/>
      <c r="D20" s="5">
        <v>15</v>
      </c>
      <c r="E20" s="5" t="s">
        <v>49</v>
      </c>
      <c r="F20" s="5"/>
      <c r="G20" s="5"/>
      <c r="H20" s="5"/>
      <c r="I20" s="8"/>
      <c r="J20" s="5"/>
      <c r="K20" s="5"/>
      <c r="L20" s="5"/>
      <c r="M20" s="5"/>
      <c r="N20" s="6">
        <v>0.74785000000000001</v>
      </c>
      <c r="O20" s="5"/>
      <c r="P20" s="8"/>
      <c r="Q20" s="8"/>
      <c r="R20" s="5"/>
      <c r="S20" s="5"/>
      <c r="T20" s="6">
        <f t="shared" si="0"/>
        <v>0.74785000000000001</v>
      </c>
      <c r="U20" s="9" t="s">
        <v>447</v>
      </c>
      <c r="V20" s="1"/>
      <c r="W20" s="1"/>
      <c r="X20" s="1"/>
      <c r="Y20" s="1"/>
      <c r="Z20" s="1"/>
    </row>
    <row r="21" spans="1:26" ht="24.75" customHeight="1">
      <c r="A21" s="171"/>
      <c r="B21" s="171"/>
      <c r="C21" s="171"/>
      <c r="D21" s="5">
        <v>16</v>
      </c>
      <c r="E21" s="5" t="s">
        <v>51</v>
      </c>
      <c r="F21" s="5"/>
      <c r="G21" s="5"/>
      <c r="H21" s="5"/>
      <c r="I21" s="5"/>
      <c r="J21" s="5"/>
      <c r="K21" s="5"/>
      <c r="L21" s="5"/>
      <c r="M21" s="5"/>
      <c r="N21" s="5"/>
      <c r="O21" s="5"/>
      <c r="P21" s="5"/>
      <c r="Q21" s="5"/>
      <c r="R21" s="5"/>
      <c r="S21" s="5"/>
      <c r="T21" s="6">
        <f t="shared" si="0"/>
        <v>0</v>
      </c>
      <c r="U21" s="9"/>
      <c r="V21" s="1"/>
      <c r="W21" s="1"/>
      <c r="X21" s="1"/>
      <c r="Y21" s="1"/>
      <c r="Z21" s="1"/>
    </row>
    <row r="22" spans="1:26" ht="24.75" customHeight="1">
      <c r="A22" s="171"/>
      <c r="B22" s="171"/>
      <c r="C22" s="171"/>
      <c r="D22" s="5">
        <v>17</v>
      </c>
      <c r="E22" s="5" t="s">
        <v>52</v>
      </c>
      <c r="F22" s="5"/>
      <c r="G22" s="5"/>
      <c r="H22" s="5"/>
      <c r="I22" s="6"/>
      <c r="J22" s="5"/>
      <c r="K22" s="5"/>
      <c r="L22" s="5"/>
      <c r="M22" s="5"/>
      <c r="N22" s="6">
        <v>1.179</v>
      </c>
      <c r="O22" s="5"/>
      <c r="P22" s="8"/>
      <c r="Q22" s="6">
        <v>3.5</v>
      </c>
      <c r="R22" s="5"/>
      <c r="S22" s="8"/>
      <c r="T22" s="6">
        <f t="shared" si="0"/>
        <v>4.6790000000000003</v>
      </c>
      <c r="U22" s="9" t="s">
        <v>358</v>
      </c>
      <c r="V22" s="1"/>
      <c r="W22" s="1"/>
      <c r="X22" s="1"/>
      <c r="Y22" s="1"/>
      <c r="Z22" s="1"/>
    </row>
    <row r="23" spans="1:26" ht="24.75" customHeight="1">
      <c r="A23" s="171"/>
      <c r="B23" s="169"/>
      <c r="C23" s="169"/>
      <c r="D23" s="5">
        <v>18</v>
      </c>
      <c r="E23" s="5" t="s">
        <v>54</v>
      </c>
      <c r="F23" s="5"/>
      <c r="G23" s="5"/>
      <c r="H23" s="5"/>
      <c r="I23" s="5"/>
      <c r="J23" s="5"/>
      <c r="K23" s="5"/>
      <c r="L23" s="5"/>
      <c r="M23" s="5"/>
      <c r="N23" s="5"/>
      <c r="O23" s="5"/>
      <c r="P23" s="8">
        <f>2.07+0.15</f>
        <v>2.2199999999999998</v>
      </c>
      <c r="Q23" s="8"/>
      <c r="R23" s="5"/>
      <c r="S23" s="8"/>
      <c r="T23" s="6">
        <f t="shared" si="0"/>
        <v>2.2199999999999998</v>
      </c>
      <c r="U23" s="9" t="s">
        <v>55</v>
      </c>
      <c r="V23" s="1"/>
      <c r="W23" s="1"/>
      <c r="X23" s="1"/>
      <c r="Y23" s="1"/>
      <c r="Z23" s="1"/>
    </row>
    <row r="24" spans="1:26" ht="24.75" customHeight="1">
      <c r="A24" s="171"/>
      <c r="B24" s="168" t="s">
        <v>56</v>
      </c>
      <c r="C24" s="168" t="s">
        <v>57</v>
      </c>
      <c r="D24" s="5">
        <v>19</v>
      </c>
      <c r="E24" s="5" t="s">
        <v>57</v>
      </c>
      <c r="F24" s="5"/>
      <c r="G24" s="5"/>
      <c r="H24" s="5"/>
      <c r="I24" s="5"/>
      <c r="J24" s="5"/>
      <c r="K24" s="5"/>
      <c r="L24" s="5"/>
      <c r="M24" s="5"/>
      <c r="N24" s="5"/>
      <c r="O24" s="5"/>
      <c r="P24" s="5"/>
      <c r="Q24" s="5"/>
      <c r="R24" s="5"/>
      <c r="S24" s="5"/>
      <c r="T24" s="6">
        <f t="shared" si="0"/>
        <v>0</v>
      </c>
      <c r="U24" s="9"/>
      <c r="V24" s="1"/>
      <c r="W24" s="1"/>
      <c r="X24" s="1"/>
      <c r="Y24" s="1"/>
      <c r="Z24" s="1"/>
    </row>
    <row r="25" spans="1:26" ht="24.75" customHeight="1">
      <c r="A25" s="171"/>
      <c r="B25" s="169"/>
      <c r="C25" s="169"/>
      <c r="D25" s="5">
        <v>20</v>
      </c>
      <c r="E25" s="5" t="s">
        <v>58</v>
      </c>
      <c r="F25" s="5"/>
      <c r="G25" s="5"/>
      <c r="H25" s="5"/>
      <c r="I25" s="5"/>
      <c r="J25" s="5"/>
      <c r="K25" s="5"/>
      <c r="L25" s="5"/>
      <c r="M25" s="5"/>
      <c r="N25" s="5"/>
      <c r="O25" s="5"/>
      <c r="P25" s="5"/>
      <c r="Q25" s="6">
        <v>0.2</v>
      </c>
      <c r="R25" s="5"/>
      <c r="S25" s="5"/>
      <c r="T25" s="6">
        <f t="shared" si="0"/>
        <v>0.2</v>
      </c>
      <c r="U25" s="9" t="s">
        <v>359</v>
      </c>
      <c r="V25" s="1"/>
      <c r="W25" s="1"/>
      <c r="X25" s="1"/>
      <c r="Y25" s="1"/>
      <c r="Z25" s="1"/>
    </row>
    <row r="26" spans="1:26" ht="24.75" customHeight="1">
      <c r="A26" s="171"/>
      <c r="B26" s="168" t="s">
        <v>60</v>
      </c>
      <c r="C26" s="168" t="s">
        <v>61</v>
      </c>
      <c r="D26" s="5">
        <v>21</v>
      </c>
      <c r="E26" s="5" t="s">
        <v>62</v>
      </c>
      <c r="F26" s="123"/>
      <c r="G26" s="123"/>
      <c r="H26" s="124"/>
      <c r="I26" s="125">
        <v>3.99</v>
      </c>
      <c r="J26" s="123"/>
      <c r="K26" s="125"/>
      <c r="L26" s="123"/>
      <c r="M26" s="123"/>
      <c r="N26" s="125">
        <f>1.984+0.4565+0.35+1</f>
        <v>3.7905000000000002</v>
      </c>
      <c r="O26" s="123"/>
      <c r="P26" s="124">
        <f>28.8+4.284</f>
        <v>33.084000000000003</v>
      </c>
      <c r="Q26" s="124">
        <f>0.285</f>
        <v>0.28499999999999998</v>
      </c>
      <c r="R26" s="125">
        <f>0.5+0.399</f>
        <v>0.89900000000000002</v>
      </c>
      <c r="S26" s="123"/>
      <c r="T26" s="125">
        <f t="shared" ref="T26:T36" si="1">SUM(F26:S26)</f>
        <v>42.048500000000004</v>
      </c>
      <c r="U26" s="9" t="s">
        <v>65</v>
      </c>
      <c r="V26" s="1"/>
      <c r="W26" s="1"/>
      <c r="X26" s="1"/>
      <c r="Y26" s="1"/>
      <c r="Z26" s="1"/>
    </row>
    <row r="27" spans="1:26" ht="24.75" customHeight="1">
      <c r="A27" s="171"/>
      <c r="B27" s="171"/>
      <c r="C27" s="171"/>
      <c r="D27" s="5">
        <v>22</v>
      </c>
      <c r="E27" s="5" t="s">
        <v>64</v>
      </c>
      <c r="F27" s="124"/>
      <c r="G27" s="123"/>
      <c r="H27" s="124"/>
      <c r="I27" s="125"/>
      <c r="J27" s="123"/>
      <c r="K27" s="123"/>
      <c r="L27" s="123"/>
      <c r="M27" s="124">
        <v>0.75</v>
      </c>
      <c r="N27" s="123"/>
      <c r="O27" s="123"/>
      <c r="P27" s="124">
        <v>301.2</v>
      </c>
      <c r="Q27" s="124"/>
      <c r="R27" s="125"/>
      <c r="S27" s="123"/>
      <c r="T27" s="125">
        <f t="shared" si="1"/>
        <v>301.95</v>
      </c>
      <c r="U27" s="9" t="s">
        <v>65</v>
      </c>
      <c r="V27" s="1"/>
      <c r="W27" s="1"/>
      <c r="X27" s="1"/>
      <c r="Y27" s="1"/>
      <c r="Z27" s="1"/>
    </row>
    <row r="28" spans="1:26" ht="24.75" customHeight="1">
      <c r="A28" s="171"/>
      <c r="B28" s="171"/>
      <c r="C28" s="171"/>
      <c r="D28" s="5">
        <v>23</v>
      </c>
      <c r="E28" s="5" t="s">
        <v>66</v>
      </c>
      <c r="F28" s="123"/>
      <c r="G28" s="123"/>
      <c r="H28" s="123"/>
      <c r="I28" s="123"/>
      <c r="J28" s="123"/>
      <c r="K28" s="125"/>
      <c r="L28" s="123"/>
      <c r="M28" s="123"/>
      <c r="N28" s="123"/>
      <c r="O28" s="124">
        <f>34.06425+3.26</f>
        <v>37.324249999999999</v>
      </c>
      <c r="P28" s="123"/>
      <c r="Q28" s="124"/>
      <c r="R28" s="123"/>
      <c r="S28" s="123"/>
      <c r="T28" s="125">
        <f t="shared" si="1"/>
        <v>37.324249999999999</v>
      </c>
      <c r="U28" s="9" t="s">
        <v>65</v>
      </c>
      <c r="V28" s="1"/>
      <c r="W28" s="1"/>
      <c r="X28" s="1"/>
      <c r="Y28" s="1"/>
      <c r="Z28" s="1"/>
    </row>
    <row r="29" spans="1:26" ht="24.75" customHeight="1">
      <c r="A29" s="171"/>
      <c r="B29" s="171"/>
      <c r="C29" s="171"/>
      <c r="D29" s="5">
        <v>24</v>
      </c>
      <c r="E29" s="5" t="s">
        <v>67</v>
      </c>
      <c r="F29" s="123"/>
      <c r="G29" s="123"/>
      <c r="H29" s="124"/>
      <c r="I29" s="123"/>
      <c r="J29" s="123"/>
      <c r="K29" s="123"/>
      <c r="L29" s="123"/>
      <c r="M29" s="123"/>
      <c r="N29" s="125">
        <f>1.72+1.72+1+1</f>
        <v>5.4399999999999995</v>
      </c>
      <c r="O29" s="124"/>
      <c r="P29" s="123">
        <f>2+10+0.7+7</f>
        <v>19.7</v>
      </c>
      <c r="Q29" s="125"/>
      <c r="R29" s="123"/>
      <c r="S29" s="123"/>
      <c r="T29" s="125">
        <f t="shared" si="1"/>
        <v>25.14</v>
      </c>
      <c r="U29" s="9" t="s">
        <v>423</v>
      </c>
      <c r="V29" s="1"/>
      <c r="W29" s="1"/>
      <c r="X29" s="1"/>
      <c r="Y29" s="1"/>
      <c r="Z29" s="1"/>
    </row>
    <row r="30" spans="1:26" ht="24.75" customHeight="1">
      <c r="A30" s="171"/>
      <c r="B30" s="171"/>
      <c r="C30" s="171"/>
      <c r="D30" s="5">
        <v>25</v>
      </c>
      <c r="E30" s="5" t="s">
        <v>69</v>
      </c>
      <c r="F30" s="123"/>
      <c r="G30" s="123"/>
      <c r="H30" s="123"/>
      <c r="I30" s="123"/>
      <c r="J30" s="123"/>
      <c r="K30" s="123"/>
      <c r="L30" s="123"/>
      <c r="M30" s="123"/>
      <c r="N30" s="125">
        <v>0.5</v>
      </c>
      <c r="O30" s="123"/>
      <c r="P30" s="123"/>
      <c r="Q30" s="123"/>
      <c r="R30" s="123"/>
      <c r="S30" s="123"/>
      <c r="T30" s="125">
        <f t="shared" si="1"/>
        <v>0.5</v>
      </c>
      <c r="U30" s="9" t="s">
        <v>65</v>
      </c>
      <c r="V30" s="1"/>
      <c r="W30" s="1"/>
      <c r="X30" s="1"/>
      <c r="Y30" s="1"/>
      <c r="Z30" s="1"/>
    </row>
    <row r="31" spans="1:26" ht="24.75" customHeight="1">
      <c r="A31" s="171"/>
      <c r="B31" s="171"/>
      <c r="C31" s="171"/>
      <c r="D31" s="5">
        <v>26</v>
      </c>
      <c r="E31" s="5" t="s">
        <v>70</v>
      </c>
      <c r="F31" s="123"/>
      <c r="G31" s="123"/>
      <c r="H31" s="123"/>
      <c r="I31" s="125"/>
      <c r="J31" s="123"/>
      <c r="K31" s="123"/>
      <c r="L31" s="123"/>
      <c r="M31" s="123"/>
      <c r="N31" s="125">
        <v>3.87</v>
      </c>
      <c r="O31" s="123"/>
      <c r="P31" s="123"/>
      <c r="Q31" s="125"/>
      <c r="R31" s="124"/>
      <c r="S31" s="123"/>
      <c r="T31" s="125">
        <f t="shared" si="1"/>
        <v>3.87</v>
      </c>
      <c r="U31" s="9" t="s">
        <v>423</v>
      </c>
      <c r="V31" s="1"/>
      <c r="W31" s="1"/>
      <c r="X31" s="1"/>
      <c r="Y31" s="1"/>
      <c r="Z31" s="1"/>
    </row>
    <row r="32" spans="1:26" ht="24.75" customHeight="1">
      <c r="A32" s="171"/>
      <c r="B32" s="171"/>
      <c r="C32" s="171"/>
      <c r="D32" s="5">
        <v>27</v>
      </c>
      <c r="E32" s="5" t="s">
        <v>72</v>
      </c>
      <c r="F32" s="123"/>
      <c r="G32" s="123"/>
      <c r="H32" s="124"/>
      <c r="I32" s="125"/>
      <c r="J32" s="123"/>
      <c r="K32" s="123"/>
      <c r="L32" s="123"/>
      <c r="M32" s="123"/>
      <c r="N32" s="125"/>
      <c r="O32" s="124"/>
      <c r="P32" s="124"/>
      <c r="Q32" s="123"/>
      <c r="R32" s="123"/>
      <c r="S32" s="123"/>
      <c r="T32" s="125">
        <f t="shared" si="1"/>
        <v>0</v>
      </c>
      <c r="U32" s="9"/>
      <c r="V32" s="1"/>
      <c r="W32" s="1"/>
      <c r="X32" s="1"/>
      <c r="Y32" s="1"/>
      <c r="Z32" s="1"/>
    </row>
    <row r="33" spans="1:26" ht="24.75" customHeight="1">
      <c r="A33" s="171"/>
      <c r="B33" s="171"/>
      <c r="C33" s="171"/>
      <c r="D33" s="5">
        <v>28</v>
      </c>
      <c r="E33" s="5" t="s">
        <v>31</v>
      </c>
      <c r="F33" s="123"/>
      <c r="G33" s="123"/>
      <c r="H33" s="123"/>
      <c r="I33" s="123"/>
      <c r="J33" s="123"/>
      <c r="K33" s="125">
        <v>2.7040000000000002</v>
      </c>
      <c r="L33" s="123"/>
      <c r="M33" s="125">
        <v>2.7040000000000002</v>
      </c>
      <c r="N33" s="123"/>
      <c r="O33" s="123"/>
      <c r="P33" s="123"/>
      <c r="Q33" s="123"/>
      <c r="R33" s="123"/>
      <c r="S33" s="123"/>
      <c r="T33" s="125">
        <f t="shared" si="1"/>
        <v>5.4080000000000004</v>
      </c>
      <c r="U33" s="9" t="s">
        <v>65</v>
      </c>
      <c r="V33" s="1"/>
      <c r="W33" s="1"/>
      <c r="X33" s="1"/>
      <c r="Y33" s="1"/>
      <c r="Z33" s="1"/>
    </row>
    <row r="34" spans="1:26" ht="24.75" customHeight="1">
      <c r="A34" s="171"/>
      <c r="B34" s="171"/>
      <c r="C34" s="171"/>
      <c r="D34" s="5">
        <v>29</v>
      </c>
      <c r="E34" s="5" t="s">
        <v>33</v>
      </c>
      <c r="F34" s="123"/>
      <c r="G34" s="123"/>
      <c r="H34" s="123"/>
      <c r="I34" s="123"/>
      <c r="J34" s="123"/>
      <c r="K34" s="123"/>
      <c r="L34" s="123"/>
      <c r="M34" s="123"/>
      <c r="N34" s="123"/>
      <c r="O34" s="123"/>
      <c r="P34" s="125">
        <v>6.76</v>
      </c>
      <c r="Q34" s="123"/>
      <c r="R34" s="123"/>
      <c r="S34" s="123"/>
      <c r="T34" s="125">
        <f t="shared" si="1"/>
        <v>6.76</v>
      </c>
      <c r="U34" s="9" t="s">
        <v>65</v>
      </c>
      <c r="V34" s="1"/>
      <c r="W34" s="1"/>
      <c r="X34" s="1"/>
      <c r="Y34" s="1"/>
      <c r="Z34" s="1"/>
    </row>
    <row r="35" spans="1:26" ht="24.75" customHeight="1">
      <c r="A35" s="171"/>
      <c r="B35" s="171"/>
      <c r="C35" s="171"/>
      <c r="D35" s="5">
        <v>30</v>
      </c>
      <c r="E35" s="5" t="s">
        <v>73</v>
      </c>
      <c r="F35" s="123"/>
      <c r="G35" s="123"/>
      <c r="H35" s="123"/>
      <c r="I35" s="125"/>
      <c r="J35" s="123"/>
      <c r="K35" s="123"/>
      <c r="L35" s="123"/>
      <c r="M35" s="123"/>
      <c r="N35" s="123"/>
      <c r="O35" s="123"/>
      <c r="P35" s="123"/>
      <c r="Q35" s="125">
        <v>2.6</v>
      </c>
      <c r="R35" s="124">
        <v>1.744</v>
      </c>
      <c r="S35" s="123"/>
      <c r="T35" s="125">
        <f t="shared" si="1"/>
        <v>4.3440000000000003</v>
      </c>
      <c r="U35" s="9" t="s">
        <v>360</v>
      </c>
      <c r="V35" s="1"/>
      <c r="W35" s="1"/>
      <c r="X35" s="1"/>
      <c r="Y35" s="1"/>
      <c r="Z35" s="1"/>
    </row>
    <row r="36" spans="1:26" ht="24.75" customHeight="1">
      <c r="A36" s="171"/>
      <c r="B36" s="169"/>
      <c r="C36" s="169"/>
      <c r="D36" s="5">
        <v>31</v>
      </c>
      <c r="E36" s="5" t="s">
        <v>54</v>
      </c>
      <c r="F36" s="123"/>
      <c r="G36" s="123"/>
      <c r="H36" s="123"/>
      <c r="I36" s="123"/>
      <c r="J36" s="123"/>
      <c r="K36" s="123"/>
      <c r="L36" s="123"/>
      <c r="M36" s="123"/>
      <c r="N36" s="123"/>
      <c r="O36" s="123"/>
      <c r="P36" s="123"/>
      <c r="Q36" s="123"/>
      <c r="R36" s="123"/>
      <c r="S36" s="123"/>
      <c r="T36" s="125">
        <f t="shared" si="1"/>
        <v>0</v>
      </c>
      <c r="U36" s="9"/>
      <c r="V36" s="1"/>
      <c r="W36" s="1"/>
      <c r="X36" s="1"/>
      <c r="Y36" s="1"/>
      <c r="Z36" s="1"/>
    </row>
    <row r="37" spans="1:26" ht="24.75" customHeight="1">
      <c r="A37" s="171"/>
      <c r="B37" s="168" t="s">
        <v>75</v>
      </c>
      <c r="C37" s="168" t="s">
        <v>76</v>
      </c>
      <c r="D37" s="5">
        <v>32</v>
      </c>
      <c r="E37" s="5" t="s">
        <v>77</v>
      </c>
      <c r="F37" s="5"/>
      <c r="G37" s="5"/>
      <c r="H37" s="5"/>
      <c r="I37" s="6"/>
      <c r="J37" s="5"/>
      <c r="K37" s="5"/>
      <c r="L37" s="5"/>
      <c r="M37" s="6"/>
      <c r="N37" s="6">
        <v>2.37</v>
      </c>
      <c r="O37" s="8">
        <v>52</v>
      </c>
      <c r="P37" s="8">
        <v>20.78</v>
      </c>
      <c r="Q37" s="6">
        <v>1.5</v>
      </c>
      <c r="R37" s="8">
        <v>5.0439999999999996</v>
      </c>
      <c r="S37" s="5"/>
      <c r="T37" s="6">
        <f t="shared" si="0"/>
        <v>81.694000000000003</v>
      </c>
      <c r="U37" s="9" t="s">
        <v>361</v>
      </c>
      <c r="V37" s="1"/>
      <c r="W37" s="1"/>
      <c r="X37" s="1"/>
      <c r="Y37" s="1"/>
      <c r="Z37" s="1"/>
    </row>
    <row r="38" spans="1:26" ht="24.75" customHeight="1">
      <c r="A38" s="171"/>
      <c r="B38" s="171"/>
      <c r="C38" s="171"/>
      <c r="D38" s="5">
        <v>33</v>
      </c>
      <c r="E38" s="5" t="s">
        <v>79</v>
      </c>
      <c r="F38" s="5"/>
      <c r="G38" s="5"/>
      <c r="H38" s="5"/>
      <c r="I38" s="5"/>
      <c r="J38" s="5"/>
      <c r="K38" s="5"/>
      <c r="L38" s="5"/>
      <c r="M38" s="5"/>
      <c r="N38" s="5"/>
      <c r="O38" s="5"/>
      <c r="P38" s="5"/>
      <c r="Q38" s="5"/>
      <c r="R38" s="5"/>
      <c r="S38" s="5"/>
      <c r="T38" s="6">
        <f t="shared" si="0"/>
        <v>0</v>
      </c>
      <c r="U38" s="9"/>
      <c r="V38" s="1"/>
      <c r="W38" s="1"/>
      <c r="X38" s="1"/>
      <c r="Y38" s="1"/>
      <c r="Z38" s="1"/>
    </row>
    <row r="39" spans="1:26" ht="24.75" customHeight="1">
      <c r="A39" s="171"/>
      <c r="B39" s="169"/>
      <c r="C39" s="169"/>
      <c r="D39" s="5">
        <v>34</v>
      </c>
      <c r="E39" s="5" t="s">
        <v>80</v>
      </c>
      <c r="F39" s="5"/>
      <c r="G39" s="5"/>
      <c r="H39" s="5"/>
      <c r="I39" s="5"/>
      <c r="J39" s="5"/>
      <c r="K39" s="5"/>
      <c r="L39" s="5"/>
      <c r="M39" s="5"/>
      <c r="N39" s="6"/>
      <c r="O39" s="5"/>
      <c r="P39" s="8"/>
      <c r="Q39" s="5"/>
      <c r="R39" s="5"/>
      <c r="S39" s="5"/>
      <c r="T39" s="6">
        <f t="shared" si="0"/>
        <v>0</v>
      </c>
      <c r="U39" s="9"/>
      <c r="V39" s="1"/>
      <c r="W39" s="1"/>
      <c r="X39" s="1"/>
      <c r="Y39" s="1"/>
      <c r="Z39" s="1"/>
    </row>
    <row r="40" spans="1:26" ht="24.75" customHeight="1">
      <c r="A40" s="171"/>
      <c r="B40" s="168" t="s">
        <v>81</v>
      </c>
      <c r="C40" s="168" t="s">
        <v>82</v>
      </c>
      <c r="D40" s="5">
        <v>35</v>
      </c>
      <c r="E40" s="5" t="s">
        <v>83</v>
      </c>
      <c r="F40" s="5"/>
      <c r="G40" s="5"/>
      <c r="H40" s="5"/>
      <c r="I40" s="6"/>
      <c r="J40" s="5"/>
      <c r="K40" s="5"/>
      <c r="L40" s="5"/>
      <c r="M40" s="5"/>
      <c r="N40" s="6">
        <v>2.75</v>
      </c>
      <c r="O40" s="5"/>
      <c r="P40" s="8">
        <v>6.12</v>
      </c>
      <c r="Q40" s="8"/>
      <c r="R40" s="5">
        <v>0.1</v>
      </c>
      <c r="S40" s="5"/>
      <c r="T40" s="6">
        <f t="shared" si="0"/>
        <v>8.9700000000000006</v>
      </c>
      <c r="U40" s="9" t="s">
        <v>604</v>
      </c>
      <c r="V40" s="1"/>
      <c r="W40" s="1"/>
      <c r="X40" s="1"/>
      <c r="Y40" s="1"/>
      <c r="Z40" s="1"/>
    </row>
    <row r="41" spans="1:26" ht="24.75" customHeight="1">
      <c r="A41" s="171"/>
      <c r="B41" s="171"/>
      <c r="C41" s="171"/>
      <c r="D41" s="5">
        <v>36</v>
      </c>
      <c r="E41" s="5" t="s">
        <v>84</v>
      </c>
      <c r="F41" s="5"/>
      <c r="G41" s="5"/>
      <c r="H41" s="5"/>
      <c r="I41" s="5"/>
      <c r="J41" s="5"/>
      <c r="K41" s="6"/>
      <c r="L41" s="5"/>
      <c r="M41" s="5"/>
      <c r="N41" s="6">
        <v>0.7</v>
      </c>
      <c r="O41" s="5"/>
      <c r="P41" s="5"/>
      <c r="Q41" s="5"/>
      <c r="R41" s="5"/>
      <c r="S41" s="5"/>
      <c r="T41" s="6">
        <f t="shared" si="0"/>
        <v>0.7</v>
      </c>
      <c r="U41" s="9" t="s">
        <v>448</v>
      </c>
      <c r="V41" s="1"/>
      <c r="W41" s="1"/>
      <c r="X41" s="1"/>
      <c r="Y41" s="1"/>
      <c r="Z41" s="1"/>
    </row>
    <row r="42" spans="1:26" ht="24.75" customHeight="1">
      <c r="A42" s="171"/>
      <c r="B42" s="171"/>
      <c r="C42" s="171"/>
      <c r="D42" s="5">
        <v>37</v>
      </c>
      <c r="E42" s="5" t="s">
        <v>86</v>
      </c>
      <c r="F42" s="5"/>
      <c r="G42" s="5"/>
      <c r="H42" s="5"/>
      <c r="I42" s="5"/>
      <c r="J42" s="5"/>
      <c r="K42" s="6"/>
      <c r="L42" s="5"/>
      <c r="M42" s="5"/>
      <c r="N42" s="5"/>
      <c r="O42" s="5"/>
      <c r="P42" s="5"/>
      <c r="Q42" s="5"/>
      <c r="R42" s="5"/>
      <c r="S42" s="5"/>
      <c r="T42" s="6">
        <f t="shared" si="0"/>
        <v>0</v>
      </c>
      <c r="U42" s="9"/>
      <c r="V42" s="1"/>
      <c r="W42" s="1"/>
      <c r="X42" s="1"/>
      <c r="Y42" s="1"/>
      <c r="Z42" s="1"/>
    </row>
    <row r="43" spans="1:26" ht="24.75" customHeight="1">
      <c r="A43" s="171"/>
      <c r="B43" s="171"/>
      <c r="C43" s="171"/>
      <c r="D43" s="5">
        <v>38</v>
      </c>
      <c r="E43" s="5" t="s">
        <v>87</v>
      </c>
      <c r="F43" s="5"/>
      <c r="G43" s="5"/>
      <c r="H43" s="5"/>
      <c r="I43" s="5"/>
      <c r="J43" s="5"/>
      <c r="K43" s="5"/>
      <c r="L43" s="5"/>
      <c r="M43" s="5"/>
      <c r="N43" s="6">
        <v>19.625</v>
      </c>
      <c r="O43" s="8">
        <v>0.48</v>
      </c>
      <c r="P43" s="8">
        <v>18</v>
      </c>
      <c r="Q43" s="8">
        <v>3.5</v>
      </c>
      <c r="R43" s="5">
        <v>1</v>
      </c>
      <c r="S43" s="5"/>
      <c r="T43" s="6">
        <f t="shared" si="0"/>
        <v>42.605000000000004</v>
      </c>
      <c r="U43" s="9" t="s">
        <v>605</v>
      </c>
      <c r="V43" s="1"/>
      <c r="W43" s="1"/>
      <c r="X43" s="1"/>
      <c r="Y43" s="1"/>
      <c r="Z43" s="1"/>
    </row>
    <row r="44" spans="1:26" ht="24.75" customHeight="1">
      <c r="A44" s="171"/>
      <c r="B44" s="171"/>
      <c r="C44" s="171"/>
      <c r="D44" s="5">
        <v>39</v>
      </c>
      <c r="E44" s="5" t="s">
        <v>88</v>
      </c>
      <c r="F44" s="5"/>
      <c r="G44" s="5"/>
      <c r="H44" s="5"/>
      <c r="I44" s="5"/>
      <c r="J44" s="5"/>
      <c r="K44" s="5"/>
      <c r="L44" s="5"/>
      <c r="M44" s="5"/>
      <c r="N44" s="5"/>
      <c r="O44" s="5"/>
      <c r="P44" s="8">
        <v>2.61</v>
      </c>
      <c r="Q44" s="8">
        <v>15.5</v>
      </c>
      <c r="R44" s="5"/>
      <c r="S44" s="5"/>
      <c r="T44" s="6">
        <f t="shared" si="0"/>
        <v>18.11</v>
      </c>
      <c r="U44" s="9" t="s">
        <v>606</v>
      </c>
      <c r="V44" s="1"/>
      <c r="W44" s="1"/>
      <c r="X44" s="1"/>
      <c r="Y44" s="1"/>
      <c r="Z44" s="1"/>
    </row>
    <row r="45" spans="1:26" ht="24.75" customHeight="1">
      <c r="A45" s="171"/>
      <c r="B45" s="171"/>
      <c r="C45" s="171"/>
      <c r="D45" s="5">
        <v>40</v>
      </c>
      <c r="E45" s="5" t="s">
        <v>89</v>
      </c>
      <c r="F45" s="5"/>
      <c r="G45" s="5"/>
      <c r="H45" s="5"/>
      <c r="I45" s="5"/>
      <c r="J45" s="5"/>
      <c r="K45" s="5"/>
      <c r="L45" s="5"/>
      <c r="M45" s="5"/>
      <c r="N45" s="6">
        <v>0.10920000000000001</v>
      </c>
      <c r="O45" s="5"/>
      <c r="P45" s="8">
        <v>0.45</v>
      </c>
      <c r="Q45" s="6">
        <v>1.02</v>
      </c>
      <c r="R45" s="8">
        <v>2</v>
      </c>
      <c r="S45" s="5"/>
      <c r="T45" s="6">
        <f t="shared" si="0"/>
        <v>3.5792000000000002</v>
      </c>
      <c r="U45" s="9" t="s">
        <v>830</v>
      </c>
      <c r="V45" s="1"/>
      <c r="W45" s="1"/>
      <c r="X45" s="1"/>
      <c r="Y45" s="1"/>
      <c r="Z45" s="1"/>
    </row>
    <row r="46" spans="1:26" ht="24.75" customHeight="1">
      <c r="A46" s="171"/>
      <c r="B46" s="169"/>
      <c r="C46" s="169"/>
      <c r="D46" s="5">
        <v>41</v>
      </c>
      <c r="E46" s="5" t="s">
        <v>54</v>
      </c>
      <c r="F46" s="5"/>
      <c r="G46" s="5"/>
      <c r="H46" s="5"/>
      <c r="I46" s="5"/>
      <c r="J46" s="5"/>
      <c r="K46" s="5"/>
      <c r="L46" s="5"/>
      <c r="M46" s="5"/>
      <c r="N46" s="5"/>
      <c r="O46" s="5"/>
      <c r="P46" s="5"/>
      <c r="Q46" s="5"/>
      <c r="R46" s="5"/>
      <c r="S46" s="5"/>
      <c r="T46" s="6">
        <f t="shared" si="0"/>
        <v>0</v>
      </c>
      <c r="U46" s="9"/>
      <c r="V46" s="1"/>
      <c r="W46" s="1"/>
      <c r="X46" s="1"/>
      <c r="Y46" s="1"/>
      <c r="Z46" s="1"/>
    </row>
    <row r="47" spans="1:26" ht="24.75" customHeight="1">
      <c r="A47" s="171"/>
      <c r="B47" s="168" t="s">
        <v>90</v>
      </c>
      <c r="C47" s="168" t="s">
        <v>91</v>
      </c>
      <c r="D47" s="5">
        <v>42</v>
      </c>
      <c r="E47" s="5" t="s">
        <v>92</v>
      </c>
      <c r="F47" s="8">
        <v>14.38</v>
      </c>
      <c r="G47" s="5"/>
      <c r="H47" s="5"/>
      <c r="I47" s="6"/>
      <c r="J47" s="5"/>
      <c r="K47" s="5"/>
      <c r="L47" s="5"/>
      <c r="M47" s="5"/>
      <c r="N47" s="6">
        <v>1.37</v>
      </c>
      <c r="O47" s="5"/>
      <c r="P47" s="8">
        <v>0.9</v>
      </c>
      <c r="Q47" s="5"/>
      <c r="R47" s="5"/>
      <c r="S47" s="5"/>
      <c r="T47" s="6">
        <f t="shared" si="0"/>
        <v>16.649999999999999</v>
      </c>
      <c r="U47" s="9"/>
      <c r="V47" s="1"/>
      <c r="W47" s="1"/>
      <c r="X47" s="1"/>
      <c r="Y47" s="1"/>
      <c r="Z47" s="1"/>
    </row>
    <row r="48" spans="1:26" ht="24.75" customHeight="1">
      <c r="A48" s="171"/>
      <c r="B48" s="171"/>
      <c r="C48" s="171"/>
      <c r="D48" s="5">
        <v>43</v>
      </c>
      <c r="E48" s="5" t="s">
        <v>93</v>
      </c>
      <c r="F48" s="8">
        <v>0.45</v>
      </c>
      <c r="G48" s="5"/>
      <c r="H48" s="5"/>
      <c r="I48" s="6"/>
      <c r="J48" s="5"/>
      <c r="K48" s="5"/>
      <c r="L48" s="5"/>
      <c r="M48" s="5"/>
      <c r="N48" s="6">
        <v>0.45750000000000002</v>
      </c>
      <c r="O48" s="5"/>
      <c r="P48" s="8">
        <v>0.8</v>
      </c>
      <c r="Q48" s="5"/>
      <c r="R48" s="5"/>
      <c r="S48" s="5"/>
      <c r="T48" s="6">
        <f t="shared" si="0"/>
        <v>1.7075</v>
      </c>
      <c r="U48" s="9"/>
      <c r="V48" s="1"/>
      <c r="W48" s="1"/>
      <c r="X48" s="1"/>
      <c r="Y48" s="1"/>
      <c r="Z48" s="1"/>
    </row>
    <row r="49" spans="1:26" ht="24.75" customHeight="1">
      <c r="A49" s="171"/>
      <c r="B49" s="171"/>
      <c r="C49" s="171"/>
      <c r="D49" s="5">
        <v>44</v>
      </c>
      <c r="E49" s="5" t="s">
        <v>94</v>
      </c>
      <c r="F49" s="8">
        <v>0.73</v>
      </c>
      <c r="G49" s="5"/>
      <c r="H49" s="5"/>
      <c r="I49" s="6"/>
      <c r="J49" s="5"/>
      <c r="K49" s="5"/>
      <c r="L49" s="5"/>
      <c r="M49" s="5"/>
      <c r="N49" s="6">
        <v>2.94</v>
      </c>
      <c r="O49" s="8">
        <v>0.5</v>
      </c>
      <c r="P49" s="8">
        <v>0.3</v>
      </c>
      <c r="Q49" s="5"/>
      <c r="R49" s="5"/>
      <c r="S49" s="5"/>
      <c r="T49" s="6">
        <f t="shared" si="0"/>
        <v>4.47</v>
      </c>
      <c r="U49" s="9" t="s">
        <v>449</v>
      </c>
      <c r="V49" s="1"/>
      <c r="W49" s="1"/>
      <c r="X49" s="1"/>
      <c r="Y49" s="1"/>
      <c r="Z49" s="1"/>
    </row>
    <row r="50" spans="1:26" ht="24.75" customHeight="1">
      <c r="A50" s="171"/>
      <c r="B50" s="171"/>
      <c r="C50" s="171"/>
      <c r="D50" s="5">
        <v>45</v>
      </c>
      <c r="E50" s="5" t="s">
        <v>96</v>
      </c>
      <c r="F50" s="8">
        <v>0.12</v>
      </c>
      <c r="G50" s="5"/>
      <c r="H50" s="5"/>
      <c r="I50" s="5"/>
      <c r="J50" s="5"/>
      <c r="K50" s="5"/>
      <c r="L50" s="5"/>
      <c r="M50" s="5"/>
      <c r="N50" s="6">
        <v>1</v>
      </c>
      <c r="O50" s="8">
        <v>0.12</v>
      </c>
      <c r="P50" s="5"/>
      <c r="Q50" s="5"/>
      <c r="R50" s="5"/>
      <c r="S50" s="5"/>
      <c r="T50" s="6">
        <f t="shared" si="0"/>
        <v>1.2400000000000002</v>
      </c>
      <c r="U50" s="9"/>
      <c r="V50" s="1"/>
      <c r="W50" s="1"/>
      <c r="X50" s="1"/>
      <c r="Y50" s="1"/>
      <c r="Z50" s="1"/>
    </row>
    <row r="51" spans="1:26" ht="24.75" customHeight="1">
      <c r="A51" s="171"/>
      <c r="B51" s="171"/>
      <c r="C51" s="171"/>
      <c r="D51" s="5">
        <v>46</v>
      </c>
      <c r="E51" s="5" t="s">
        <v>97</v>
      </c>
      <c r="F51" s="5"/>
      <c r="G51" s="5"/>
      <c r="H51" s="5"/>
      <c r="I51" s="5"/>
      <c r="J51" s="5"/>
      <c r="K51" s="5"/>
      <c r="L51" s="5"/>
      <c r="M51" s="5"/>
      <c r="N51" s="5"/>
      <c r="O51" s="5"/>
      <c r="P51" s="5"/>
      <c r="Q51" s="5"/>
      <c r="R51" s="5"/>
      <c r="S51" s="5"/>
      <c r="T51" s="6">
        <f t="shared" si="0"/>
        <v>0</v>
      </c>
      <c r="U51" s="9"/>
      <c r="V51" s="1"/>
      <c r="W51" s="1"/>
      <c r="X51" s="1"/>
      <c r="Y51" s="1"/>
      <c r="Z51" s="1"/>
    </row>
    <row r="52" spans="1:26" ht="24.75" customHeight="1">
      <c r="A52" s="171"/>
      <c r="B52" s="171"/>
      <c r="C52" s="171"/>
      <c r="D52" s="5">
        <v>47</v>
      </c>
      <c r="E52" s="5" t="s">
        <v>98</v>
      </c>
      <c r="F52" s="8">
        <v>3.3</v>
      </c>
      <c r="G52" s="5"/>
      <c r="H52" s="5"/>
      <c r="I52" s="5"/>
      <c r="J52" s="5"/>
      <c r="K52" s="5"/>
      <c r="L52" s="5"/>
      <c r="M52" s="5"/>
      <c r="N52" s="5"/>
      <c r="O52" s="5"/>
      <c r="P52" s="5"/>
      <c r="Q52" s="5"/>
      <c r="R52" s="5"/>
      <c r="S52" s="5"/>
      <c r="T52" s="6">
        <f t="shared" si="0"/>
        <v>3.3</v>
      </c>
      <c r="U52" s="9"/>
      <c r="V52" s="1"/>
      <c r="W52" s="1"/>
      <c r="X52" s="1"/>
      <c r="Y52" s="1"/>
      <c r="Z52" s="1"/>
    </row>
    <row r="53" spans="1:26" ht="24.75" customHeight="1">
      <c r="A53" s="171"/>
      <c r="B53" s="171"/>
      <c r="C53" s="171"/>
      <c r="D53" s="5">
        <v>48</v>
      </c>
      <c r="E53" s="5" t="s">
        <v>99</v>
      </c>
      <c r="F53" s="5"/>
      <c r="G53" s="5"/>
      <c r="H53" s="5"/>
      <c r="I53" s="5"/>
      <c r="J53" s="5"/>
      <c r="K53" s="5"/>
      <c r="L53" s="5"/>
      <c r="M53" s="5"/>
      <c r="N53" s="6">
        <v>0.1</v>
      </c>
      <c r="O53" s="5"/>
      <c r="P53" s="8"/>
      <c r="Q53" s="5"/>
      <c r="R53" s="5"/>
      <c r="S53" s="5"/>
      <c r="T53" s="6">
        <f t="shared" si="0"/>
        <v>0.1</v>
      </c>
      <c r="U53" s="9"/>
      <c r="V53" s="1"/>
      <c r="W53" s="1"/>
      <c r="X53" s="1"/>
      <c r="Y53" s="1"/>
      <c r="Z53" s="1"/>
    </row>
    <row r="54" spans="1:26" ht="24.75" customHeight="1">
      <c r="A54" s="171"/>
      <c r="B54" s="171"/>
      <c r="C54" s="171"/>
      <c r="D54" s="5">
        <v>49</v>
      </c>
      <c r="E54" s="5" t="s">
        <v>100</v>
      </c>
      <c r="F54" s="5"/>
      <c r="G54" s="5"/>
      <c r="H54" s="5"/>
      <c r="I54" s="5"/>
      <c r="J54" s="5"/>
      <c r="K54" s="5"/>
      <c r="L54" s="5"/>
      <c r="M54" s="5"/>
      <c r="N54" s="5"/>
      <c r="O54" s="5"/>
      <c r="P54" s="5"/>
      <c r="Q54" s="6">
        <v>0.6</v>
      </c>
      <c r="R54" s="8">
        <v>1.32</v>
      </c>
      <c r="S54" s="5"/>
      <c r="T54" s="6">
        <f t="shared" si="0"/>
        <v>1.92</v>
      </c>
      <c r="U54" s="9" t="s">
        <v>310</v>
      </c>
      <c r="V54" s="1"/>
      <c r="W54" s="1"/>
      <c r="X54" s="1"/>
      <c r="Y54" s="1"/>
      <c r="Z54" s="1"/>
    </row>
    <row r="55" spans="1:26" ht="24.75" customHeight="1">
      <c r="A55" s="171"/>
      <c r="B55" s="171"/>
      <c r="C55" s="171"/>
      <c r="D55" s="5">
        <v>50</v>
      </c>
      <c r="E55" s="5" t="s">
        <v>102</v>
      </c>
      <c r="F55" s="5"/>
      <c r="G55" s="5"/>
      <c r="H55" s="5"/>
      <c r="I55" s="6"/>
      <c r="J55" s="5"/>
      <c r="K55" s="5"/>
      <c r="L55" s="5"/>
      <c r="M55" s="5"/>
      <c r="N55" s="6">
        <v>0.88</v>
      </c>
      <c r="O55" s="5"/>
      <c r="P55" s="8">
        <v>0.68</v>
      </c>
      <c r="Q55" s="6">
        <v>0.7</v>
      </c>
      <c r="R55" s="8">
        <v>0.113</v>
      </c>
      <c r="S55" s="5"/>
      <c r="T55" s="6">
        <f t="shared" si="0"/>
        <v>2.3729999999999998</v>
      </c>
      <c r="U55" s="9" t="s">
        <v>310</v>
      </c>
      <c r="V55" s="1"/>
      <c r="W55" s="1"/>
      <c r="X55" s="1"/>
      <c r="Y55" s="1"/>
      <c r="Z55" s="1"/>
    </row>
    <row r="56" spans="1:26" ht="24.75" customHeight="1">
      <c r="A56" s="171"/>
      <c r="B56" s="169"/>
      <c r="C56" s="169"/>
      <c r="D56" s="5">
        <v>51</v>
      </c>
      <c r="E56" s="5" t="s">
        <v>54</v>
      </c>
      <c r="F56" s="5"/>
      <c r="G56" s="5"/>
      <c r="H56" s="5"/>
      <c r="I56" s="5"/>
      <c r="J56" s="5"/>
      <c r="K56" s="5"/>
      <c r="L56" s="5"/>
      <c r="M56" s="5"/>
      <c r="N56" s="8"/>
      <c r="O56" s="5"/>
      <c r="P56" s="5">
        <v>1</v>
      </c>
      <c r="Q56" s="5"/>
      <c r="R56" s="5"/>
      <c r="S56" s="5"/>
      <c r="T56" s="6">
        <f t="shared" si="0"/>
        <v>1</v>
      </c>
      <c r="U56" s="9"/>
      <c r="V56" s="1"/>
      <c r="W56" s="1"/>
      <c r="X56" s="1"/>
      <c r="Y56" s="1"/>
      <c r="Z56" s="1"/>
    </row>
    <row r="57" spans="1:26" ht="24.75" customHeight="1">
      <c r="A57" s="171"/>
      <c r="B57" s="168" t="s">
        <v>103</v>
      </c>
      <c r="C57" s="168" t="s">
        <v>104</v>
      </c>
      <c r="D57" s="5">
        <v>52</v>
      </c>
      <c r="E57" s="5" t="s">
        <v>105</v>
      </c>
      <c r="F57" s="123"/>
      <c r="G57" s="123"/>
      <c r="H57" s="123"/>
      <c r="I57" s="125"/>
      <c r="J57" s="123"/>
      <c r="K57" s="125"/>
      <c r="L57" s="123"/>
      <c r="M57" s="123"/>
      <c r="N57" s="125">
        <v>2</v>
      </c>
      <c r="O57" s="124">
        <v>42.426000000000002</v>
      </c>
      <c r="P57" s="123"/>
      <c r="Q57" s="123"/>
      <c r="R57" s="123"/>
      <c r="S57" s="123"/>
      <c r="T57" s="125">
        <f t="shared" ref="T57:T66" si="2">SUM(F57:S57)</f>
        <v>44.426000000000002</v>
      </c>
      <c r="U57" s="9" t="s">
        <v>65</v>
      </c>
      <c r="V57" s="1"/>
      <c r="W57" s="1"/>
      <c r="X57" s="1"/>
      <c r="Y57" s="1"/>
      <c r="Z57" s="1"/>
    </row>
    <row r="58" spans="1:26" ht="24.75" customHeight="1">
      <c r="A58" s="171"/>
      <c r="B58" s="171"/>
      <c r="C58" s="171"/>
      <c r="D58" s="5">
        <v>53</v>
      </c>
      <c r="E58" s="5" t="s">
        <v>106</v>
      </c>
      <c r="F58" s="123"/>
      <c r="G58" s="123"/>
      <c r="H58" s="123"/>
      <c r="I58" s="123"/>
      <c r="J58" s="123"/>
      <c r="K58" s="125"/>
      <c r="L58" s="123"/>
      <c r="M58" s="123"/>
      <c r="N58" s="125"/>
      <c r="O58" s="124">
        <v>4.71</v>
      </c>
      <c r="P58" s="123"/>
      <c r="Q58" s="124">
        <v>3</v>
      </c>
      <c r="R58" s="123"/>
      <c r="S58" s="123"/>
      <c r="T58" s="125">
        <f t="shared" si="2"/>
        <v>7.71</v>
      </c>
      <c r="U58" s="9" t="s">
        <v>65</v>
      </c>
      <c r="V58" s="1"/>
      <c r="W58" s="1"/>
      <c r="X58" s="1"/>
      <c r="Y58" s="1"/>
      <c r="Z58" s="1"/>
    </row>
    <row r="59" spans="1:26" ht="24.75" customHeight="1">
      <c r="A59" s="171"/>
      <c r="B59" s="171"/>
      <c r="C59" s="171"/>
      <c r="D59" s="5">
        <v>54</v>
      </c>
      <c r="E59" s="5" t="s">
        <v>107</v>
      </c>
      <c r="F59" s="123"/>
      <c r="G59" s="123"/>
      <c r="H59" s="124"/>
      <c r="I59" s="123"/>
      <c r="J59" s="123"/>
      <c r="K59" s="123"/>
      <c r="L59" s="123"/>
      <c r="M59" s="123"/>
      <c r="N59" s="123"/>
      <c r="O59" s="124">
        <v>0.3</v>
      </c>
      <c r="P59" s="124">
        <v>4</v>
      </c>
      <c r="Q59" s="123"/>
      <c r="R59" s="123"/>
      <c r="S59" s="123"/>
      <c r="T59" s="125">
        <f t="shared" si="2"/>
        <v>4.3</v>
      </c>
      <c r="U59" s="9"/>
      <c r="V59" s="1"/>
      <c r="W59" s="1"/>
      <c r="X59" s="1"/>
      <c r="Y59" s="1"/>
      <c r="Z59" s="1"/>
    </row>
    <row r="60" spans="1:26" ht="24.75" customHeight="1">
      <c r="A60" s="171"/>
      <c r="B60" s="171"/>
      <c r="C60" s="171"/>
      <c r="D60" s="5">
        <v>55</v>
      </c>
      <c r="E60" s="5" t="s">
        <v>108</v>
      </c>
      <c r="F60" s="123"/>
      <c r="G60" s="123"/>
      <c r="H60" s="123"/>
      <c r="I60" s="123"/>
      <c r="J60" s="123"/>
      <c r="K60" s="125"/>
      <c r="L60" s="123"/>
      <c r="M60" s="123"/>
      <c r="N60" s="123"/>
      <c r="O60" s="123"/>
      <c r="P60" s="123"/>
      <c r="Q60" s="123"/>
      <c r="R60" s="123"/>
      <c r="S60" s="123"/>
      <c r="T60" s="125">
        <f t="shared" si="2"/>
        <v>0</v>
      </c>
      <c r="U60" s="9"/>
      <c r="V60" s="1"/>
      <c r="W60" s="1"/>
      <c r="X60" s="1"/>
      <c r="Y60" s="1"/>
      <c r="Z60" s="1"/>
    </row>
    <row r="61" spans="1:26" ht="24.75" customHeight="1">
      <c r="A61" s="171"/>
      <c r="B61" s="171"/>
      <c r="C61" s="171"/>
      <c r="D61" s="5">
        <v>56</v>
      </c>
      <c r="E61" s="5" t="s">
        <v>109</v>
      </c>
      <c r="F61" s="123"/>
      <c r="G61" s="123"/>
      <c r="H61" s="123"/>
      <c r="I61" s="123"/>
      <c r="J61" s="123"/>
      <c r="K61" s="123"/>
      <c r="L61" s="123"/>
      <c r="M61" s="123"/>
      <c r="N61" s="123"/>
      <c r="O61" s="124">
        <v>9.43</v>
      </c>
      <c r="P61" s="123"/>
      <c r="Q61" s="123"/>
      <c r="R61" s="123"/>
      <c r="S61" s="123"/>
      <c r="T61" s="125">
        <f t="shared" si="2"/>
        <v>9.43</v>
      </c>
      <c r="U61" s="9" t="s">
        <v>65</v>
      </c>
      <c r="V61" s="1"/>
      <c r="W61" s="1"/>
      <c r="X61" s="1"/>
      <c r="Y61" s="1"/>
      <c r="Z61" s="1"/>
    </row>
    <row r="62" spans="1:26" ht="24.75" customHeight="1">
      <c r="A62" s="171"/>
      <c r="B62" s="171"/>
      <c r="C62" s="171"/>
      <c r="D62" s="5">
        <v>57</v>
      </c>
      <c r="E62" s="5" t="s">
        <v>110</v>
      </c>
      <c r="F62" s="123"/>
      <c r="G62" s="123"/>
      <c r="H62" s="124"/>
      <c r="I62" s="123"/>
      <c r="J62" s="123"/>
      <c r="K62" s="123"/>
      <c r="L62" s="123"/>
      <c r="M62" s="125">
        <v>2.1</v>
      </c>
      <c r="N62" s="123"/>
      <c r="O62" s="123"/>
      <c r="P62" s="123"/>
      <c r="Q62" s="123"/>
      <c r="R62" s="123"/>
      <c r="S62" s="123"/>
      <c r="T62" s="125">
        <f t="shared" si="2"/>
        <v>2.1</v>
      </c>
      <c r="U62" s="9" t="s">
        <v>65</v>
      </c>
      <c r="V62" s="1"/>
      <c r="W62" s="1"/>
      <c r="X62" s="1"/>
      <c r="Y62" s="1"/>
      <c r="Z62" s="1"/>
    </row>
    <row r="63" spans="1:26" ht="24.75" customHeight="1">
      <c r="A63" s="171"/>
      <c r="B63" s="171"/>
      <c r="C63" s="171"/>
      <c r="D63" s="5">
        <v>58</v>
      </c>
      <c r="E63" s="5" t="s">
        <v>111</v>
      </c>
      <c r="F63" s="123"/>
      <c r="G63" s="123"/>
      <c r="H63" s="123"/>
      <c r="I63" s="123"/>
      <c r="J63" s="123"/>
      <c r="K63" s="125"/>
      <c r="L63" s="123"/>
      <c r="M63" s="123"/>
      <c r="N63" s="123"/>
      <c r="O63" s="124">
        <v>2.36</v>
      </c>
      <c r="P63" s="123"/>
      <c r="Q63" s="124">
        <v>0.75</v>
      </c>
      <c r="R63" s="123"/>
      <c r="S63" s="123"/>
      <c r="T63" s="125">
        <f t="shared" si="2"/>
        <v>3.11</v>
      </c>
      <c r="U63" s="9" t="s">
        <v>65</v>
      </c>
      <c r="V63" s="1"/>
      <c r="W63" s="1"/>
      <c r="X63" s="1"/>
      <c r="Y63" s="1"/>
      <c r="Z63" s="1"/>
    </row>
    <row r="64" spans="1:26" ht="24.75" customHeight="1">
      <c r="A64" s="171"/>
      <c r="B64" s="171"/>
      <c r="C64" s="171"/>
      <c r="D64" s="5">
        <v>59</v>
      </c>
      <c r="E64" s="5" t="s">
        <v>112</v>
      </c>
      <c r="F64" s="123"/>
      <c r="G64" s="123"/>
      <c r="H64" s="123"/>
      <c r="I64" s="123"/>
      <c r="J64" s="123"/>
      <c r="K64" s="123"/>
      <c r="L64" s="123"/>
      <c r="M64" s="123"/>
      <c r="N64" s="123"/>
      <c r="O64" s="123"/>
      <c r="P64" s="123"/>
      <c r="Q64" s="123"/>
      <c r="R64" s="123"/>
      <c r="S64" s="123"/>
      <c r="T64" s="125">
        <f t="shared" si="2"/>
        <v>0</v>
      </c>
      <c r="U64" s="9"/>
      <c r="V64" s="1"/>
      <c r="W64" s="1"/>
      <c r="X64" s="1"/>
      <c r="Y64" s="1"/>
      <c r="Z64" s="1"/>
    </row>
    <row r="65" spans="1:26" ht="24.75" customHeight="1">
      <c r="A65" s="171"/>
      <c r="B65" s="171"/>
      <c r="C65" s="171"/>
      <c r="D65" s="5">
        <v>60</v>
      </c>
      <c r="E65" s="5" t="s">
        <v>113</v>
      </c>
      <c r="F65" s="123"/>
      <c r="G65" s="123"/>
      <c r="H65" s="123"/>
      <c r="I65" s="123"/>
      <c r="J65" s="123"/>
      <c r="K65" s="123"/>
      <c r="L65" s="123"/>
      <c r="M65" s="123"/>
      <c r="N65" s="123"/>
      <c r="O65" s="123"/>
      <c r="P65" s="123"/>
      <c r="Q65" s="123"/>
      <c r="R65" s="123"/>
      <c r="S65" s="123"/>
      <c r="T65" s="125">
        <f t="shared" si="2"/>
        <v>0</v>
      </c>
      <c r="U65" s="9"/>
      <c r="V65" s="1"/>
      <c r="W65" s="1"/>
      <c r="X65" s="1"/>
      <c r="Y65" s="1"/>
      <c r="Z65" s="1"/>
    </row>
    <row r="66" spans="1:26" ht="24.75" customHeight="1">
      <c r="A66" s="171"/>
      <c r="B66" s="169"/>
      <c r="C66" s="169"/>
      <c r="D66" s="5">
        <v>61</v>
      </c>
      <c r="E66" s="5" t="s">
        <v>54</v>
      </c>
      <c r="F66" s="123"/>
      <c r="G66" s="123"/>
      <c r="H66" s="123"/>
      <c r="I66" s="123"/>
      <c r="J66" s="123"/>
      <c r="K66" s="123"/>
      <c r="L66" s="123"/>
      <c r="M66" s="123"/>
      <c r="N66" s="123"/>
      <c r="O66" s="123"/>
      <c r="P66" s="123"/>
      <c r="Q66" s="123"/>
      <c r="R66" s="123"/>
      <c r="S66" s="123"/>
      <c r="T66" s="125">
        <f t="shared" si="2"/>
        <v>0</v>
      </c>
      <c r="U66" s="9"/>
      <c r="V66" s="1"/>
      <c r="W66" s="1"/>
      <c r="X66" s="1"/>
      <c r="Y66" s="1"/>
      <c r="Z66" s="1"/>
    </row>
    <row r="67" spans="1:26" ht="24.75" customHeight="1">
      <c r="A67" s="171"/>
      <c r="B67" s="5" t="s">
        <v>114</v>
      </c>
      <c r="C67" s="5" t="s">
        <v>115</v>
      </c>
      <c r="D67" s="5">
        <v>62</v>
      </c>
      <c r="E67" s="5" t="s">
        <v>116</v>
      </c>
      <c r="F67" s="5"/>
      <c r="G67" s="5"/>
      <c r="H67" s="5"/>
      <c r="I67" s="5"/>
      <c r="J67" s="5"/>
      <c r="K67" s="5"/>
      <c r="L67" s="5"/>
      <c r="M67" s="6"/>
      <c r="N67" s="5"/>
      <c r="O67" s="8"/>
      <c r="P67" s="8"/>
      <c r="Q67" s="6">
        <v>0.25</v>
      </c>
      <c r="R67" s="5"/>
      <c r="S67" s="8"/>
      <c r="T67" s="6">
        <f t="shared" si="0"/>
        <v>0.25</v>
      </c>
      <c r="U67" s="61" t="s">
        <v>577</v>
      </c>
      <c r="V67" s="1"/>
      <c r="W67" s="1"/>
      <c r="X67" s="1"/>
      <c r="Y67" s="1"/>
      <c r="Z67" s="1"/>
    </row>
    <row r="68" spans="1:26" ht="24.75" customHeight="1">
      <c r="A68" s="169"/>
      <c r="B68" s="176" t="s">
        <v>117</v>
      </c>
      <c r="C68" s="177"/>
      <c r="D68" s="178"/>
      <c r="E68" s="51"/>
      <c r="F68" s="51">
        <f t="shared" ref="F68:S68" si="3">SUM(F6:F67)</f>
        <v>72.970000000000013</v>
      </c>
      <c r="G68" s="51">
        <f t="shared" si="3"/>
        <v>0</v>
      </c>
      <c r="H68" s="51">
        <f t="shared" si="3"/>
        <v>0</v>
      </c>
      <c r="I68" s="51">
        <f t="shared" si="3"/>
        <v>3.99</v>
      </c>
      <c r="J68" s="51">
        <f t="shared" si="3"/>
        <v>0</v>
      </c>
      <c r="K68" s="51">
        <f t="shared" si="3"/>
        <v>82.023999999999987</v>
      </c>
      <c r="L68" s="51">
        <f t="shared" si="3"/>
        <v>0</v>
      </c>
      <c r="M68" s="51">
        <f t="shared" si="3"/>
        <v>32.594000000000001</v>
      </c>
      <c r="N68" s="51">
        <f t="shared" si="3"/>
        <v>53.961550000000003</v>
      </c>
      <c r="O68" s="51">
        <f t="shared" si="3"/>
        <v>192.68025000000003</v>
      </c>
      <c r="P68" s="51">
        <f t="shared" si="3"/>
        <v>509.58399999999995</v>
      </c>
      <c r="Q68" s="51">
        <f t="shared" si="3"/>
        <v>33.405000000000001</v>
      </c>
      <c r="R68" s="51">
        <f t="shared" si="3"/>
        <v>14.7</v>
      </c>
      <c r="S68" s="51">
        <f t="shared" si="3"/>
        <v>0.45</v>
      </c>
      <c r="T68" s="6">
        <f t="shared" si="0"/>
        <v>996.35879999999997</v>
      </c>
      <c r="U68" s="9"/>
      <c r="V68" s="1"/>
      <c r="W68" s="1"/>
      <c r="X68" s="1"/>
      <c r="Y68" s="1"/>
      <c r="Z68" s="1"/>
    </row>
    <row r="69" spans="1:26" ht="39.75" customHeight="1">
      <c r="A69" s="175" t="s">
        <v>118</v>
      </c>
      <c r="B69" s="5" t="s">
        <v>119</v>
      </c>
      <c r="C69" s="5" t="s">
        <v>120</v>
      </c>
      <c r="D69" s="5">
        <v>63</v>
      </c>
      <c r="E69" s="5" t="s">
        <v>121</v>
      </c>
      <c r="F69" s="5"/>
      <c r="G69" s="5"/>
      <c r="H69" s="5"/>
      <c r="I69" s="5"/>
      <c r="J69" s="5"/>
      <c r="K69" s="5"/>
      <c r="L69" s="5"/>
      <c r="M69" s="8"/>
      <c r="N69" s="6">
        <v>8.0500000000000007</v>
      </c>
      <c r="O69" s="5"/>
      <c r="P69" s="6"/>
      <c r="Q69" s="5"/>
      <c r="R69" s="8">
        <v>5</v>
      </c>
      <c r="S69" s="8"/>
      <c r="T69" s="6">
        <f t="shared" si="0"/>
        <v>13.05</v>
      </c>
      <c r="U69" s="9" t="s">
        <v>450</v>
      </c>
      <c r="V69" s="1"/>
      <c r="W69" s="1"/>
      <c r="X69" s="1"/>
      <c r="Y69" s="1"/>
      <c r="Z69" s="1"/>
    </row>
    <row r="70" spans="1:26" ht="39.75" customHeight="1">
      <c r="A70" s="171"/>
      <c r="B70" s="168" t="s">
        <v>122</v>
      </c>
      <c r="C70" s="168" t="s">
        <v>123</v>
      </c>
      <c r="D70" s="5">
        <v>64</v>
      </c>
      <c r="E70" s="5" t="s">
        <v>124</v>
      </c>
      <c r="F70" s="15"/>
      <c r="G70" s="37"/>
      <c r="H70" s="15"/>
      <c r="I70" s="17"/>
      <c r="J70" s="15"/>
      <c r="K70" s="17"/>
      <c r="L70" s="15"/>
      <c r="M70" s="15"/>
      <c r="N70" s="17">
        <v>0.8</v>
      </c>
      <c r="O70" s="16">
        <v>0.52500000000000002</v>
      </c>
      <c r="P70" s="17">
        <f>33.84+1.88</f>
        <v>35.720000000000006</v>
      </c>
      <c r="Q70" s="17">
        <f>0.575+0.5</f>
        <v>1.075</v>
      </c>
      <c r="R70" s="16">
        <v>3</v>
      </c>
      <c r="S70" s="16"/>
      <c r="T70" s="6">
        <f t="shared" ref="T70:T133" si="4">SUM(F70:S70)</f>
        <v>41.120000000000012</v>
      </c>
      <c r="U70" s="61" t="s">
        <v>439</v>
      </c>
      <c r="V70" s="1"/>
      <c r="W70" s="1"/>
      <c r="X70" s="1"/>
      <c r="Y70" s="1"/>
      <c r="Z70" s="1"/>
    </row>
    <row r="71" spans="1:26" ht="39.75" customHeight="1">
      <c r="A71" s="171"/>
      <c r="B71" s="171"/>
      <c r="C71" s="171"/>
      <c r="D71" s="5">
        <v>65</v>
      </c>
      <c r="E71" s="5" t="s">
        <v>126</v>
      </c>
      <c r="F71" s="15"/>
      <c r="G71" s="15"/>
      <c r="H71" s="15"/>
      <c r="I71" s="15"/>
      <c r="J71" s="15"/>
      <c r="K71" s="15"/>
      <c r="L71" s="15"/>
      <c r="M71" s="15"/>
      <c r="N71" s="17"/>
      <c r="O71" s="15"/>
      <c r="P71" s="16">
        <v>0.17</v>
      </c>
      <c r="Q71" s="15"/>
      <c r="R71" s="15"/>
      <c r="S71" s="16"/>
      <c r="T71" s="6">
        <f t="shared" si="4"/>
        <v>0.17</v>
      </c>
      <c r="U71" s="9" t="s">
        <v>366</v>
      </c>
      <c r="V71" s="1"/>
      <c r="W71" s="1"/>
      <c r="X71" s="1"/>
      <c r="Y71" s="1"/>
      <c r="Z71" s="1"/>
    </row>
    <row r="72" spans="1:26" ht="39.75" customHeight="1">
      <c r="A72" s="171"/>
      <c r="B72" s="171"/>
      <c r="C72" s="171"/>
      <c r="D72" s="5">
        <v>66</v>
      </c>
      <c r="E72" s="5" t="s">
        <v>128</v>
      </c>
      <c r="F72" s="15"/>
      <c r="G72" s="15"/>
      <c r="H72" s="15"/>
      <c r="I72" s="15"/>
      <c r="J72" s="15"/>
      <c r="K72" s="17"/>
      <c r="L72" s="15"/>
      <c r="M72" s="15"/>
      <c r="N72" s="17">
        <v>0.2</v>
      </c>
      <c r="O72" s="15"/>
      <c r="P72" s="16"/>
      <c r="Q72" s="17">
        <v>0.05</v>
      </c>
      <c r="R72" s="34">
        <v>0.15</v>
      </c>
      <c r="S72" s="15"/>
      <c r="T72" s="6">
        <f t="shared" si="4"/>
        <v>0.4</v>
      </c>
      <c r="U72" s="9" t="s">
        <v>129</v>
      </c>
      <c r="V72" s="1"/>
      <c r="W72" s="1"/>
      <c r="X72" s="1"/>
      <c r="Y72" s="1"/>
      <c r="Z72" s="1"/>
    </row>
    <row r="73" spans="1:26" ht="39.75" customHeight="1">
      <c r="A73" s="171"/>
      <c r="B73" s="171"/>
      <c r="C73" s="171"/>
      <c r="D73" s="5">
        <v>67</v>
      </c>
      <c r="E73" s="5" t="s">
        <v>131</v>
      </c>
      <c r="F73" s="15"/>
      <c r="G73" s="15"/>
      <c r="H73" s="15"/>
      <c r="I73" s="15">
        <v>1.155</v>
      </c>
      <c r="J73" s="15"/>
      <c r="K73" s="17"/>
      <c r="L73" s="15"/>
      <c r="M73" s="15"/>
      <c r="N73" s="17">
        <v>0.4</v>
      </c>
      <c r="O73" s="15">
        <v>1.25</v>
      </c>
      <c r="P73" s="16">
        <v>2</v>
      </c>
      <c r="Q73" s="17">
        <v>0.89500000000000002</v>
      </c>
      <c r="R73" s="16">
        <v>2.5</v>
      </c>
      <c r="S73" s="16"/>
      <c r="T73" s="6">
        <f t="shared" si="4"/>
        <v>8.1999999999999993</v>
      </c>
      <c r="U73" s="9" t="s">
        <v>451</v>
      </c>
      <c r="V73" s="1"/>
      <c r="W73" s="1"/>
      <c r="X73" s="1"/>
      <c r="Y73" s="1"/>
      <c r="Z73" s="1"/>
    </row>
    <row r="74" spans="1:26" ht="39.75" customHeight="1">
      <c r="A74" s="171"/>
      <c r="B74" s="169"/>
      <c r="C74" s="169"/>
      <c r="D74" s="5">
        <v>68</v>
      </c>
      <c r="E74" s="5" t="s">
        <v>133</v>
      </c>
      <c r="F74" s="16"/>
      <c r="G74" s="15"/>
      <c r="H74" s="15"/>
      <c r="I74" s="17"/>
      <c r="J74" s="15"/>
      <c r="K74" s="17"/>
      <c r="L74" s="15"/>
      <c r="M74" s="15"/>
      <c r="N74" s="17">
        <v>1.1000000000000001</v>
      </c>
      <c r="O74" s="16"/>
      <c r="P74" s="16">
        <v>6.2850000000000001</v>
      </c>
      <c r="Q74" s="17">
        <v>3</v>
      </c>
      <c r="R74" s="16">
        <f>-0.35+6.5</f>
        <v>6.15</v>
      </c>
      <c r="S74" s="16">
        <f>0.35+13.22</f>
        <v>13.57</v>
      </c>
      <c r="T74" s="6">
        <f t="shared" si="4"/>
        <v>30.105</v>
      </c>
      <c r="U74" s="9" t="s">
        <v>452</v>
      </c>
      <c r="V74" s="1"/>
      <c r="W74" s="1"/>
      <c r="X74" s="1"/>
      <c r="Y74" s="1"/>
      <c r="Z74" s="1"/>
    </row>
    <row r="75" spans="1:26" ht="39.75" customHeight="1">
      <c r="A75" s="171"/>
      <c r="B75" s="168" t="s">
        <v>136</v>
      </c>
      <c r="C75" s="168" t="s">
        <v>137</v>
      </c>
      <c r="D75" s="5">
        <v>69</v>
      </c>
      <c r="E75" s="5" t="s">
        <v>138</v>
      </c>
      <c r="F75" s="20"/>
      <c r="G75" s="20"/>
      <c r="H75" s="20"/>
      <c r="I75" s="20"/>
      <c r="J75" s="20"/>
      <c r="K75" s="20"/>
      <c r="L75" s="20"/>
      <c r="M75" s="20">
        <v>0.68</v>
      </c>
      <c r="N75" s="20"/>
      <c r="O75" s="20">
        <v>83.367999999999995</v>
      </c>
      <c r="P75" s="20">
        <v>0.75</v>
      </c>
      <c r="Q75" s="20"/>
      <c r="R75" s="20"/>
      <c r="S75" s="20"/>
      <c r="T75" s="6">
        <f t="shared" si="4"/>
        <v>84.798000000000002</v>
      </c>
      <c r="U75" s="61" t="s">
        <v>453</v>
      </c>
      <c r="V75" s="1"/>
      <c r="W75" s="1"/>
      <c r="X75" s="1"/>
      <c r="Y75" s="1"/>
      <c r="Z75" s="1"/>
    </row>
    <row r="76" spans="1:26" ht="39.75" customHeight="1">
      <c r="A76" s="171"/>
      <c r="B76" s="171"/>
      <c r="C76" s="171"/>
      <c r="D76" s="5">
        <v>70</v>
      </c>
      <c r="E76" s="5" t="s">
        <v>140</v>
      </c>
      <c r="F76" s="20"/>
      <c r="G76" s="20"/>
      <c r="H76" s="20"/>
      <c r="I76" s="20">
        <v>0.57999999999999996</v>
      </c>
      <c r="J76" s="20"/>
      <c r="K76" s="20"/>
      <c r="L76" s="20"/>
      <c r="M76" s="20"/>
      <c r="N76" s="20"/>
      <c r="O76" s="20"/>
      <c r="P76" s="20">
        <v>0.3</v>
      </c>
      <c r="Q76" s="20"/>
      <c r="R76" s="20"/>
      <c r="S76" s="20"/>
      <c r="T76" s="6">
        <f t="shared" si="4"/>
        <v>0.87999999999999989</v>
      </c>
      <c r="U76" s="61" t="s">
        <v>454</v>
      </c>
      <c r="V76" s="1"/>
      <c r="W76" s="1"/>
      <c r="X76" s="1"/>
      <c r="Y76" s="1"/>
      <c r="Z76" s="1"/>
    </row>
    <row r="77" spans="1:26" ht="39.75" customHeight="1">
      <c r="A77" s="171"/>
      <c r="B77" s="171"/>
      <c r="C77" s="171"/>
      <c r="D77" s="5">
        <v>71</v>
      </c>
      <c r="E77" s="5" t="s">
        <v>142</v>
      </c>
      <c r="F77" s="20"/>
      <c r="G77" s="20"/>
      <c r="H77" s="20"/>
      <c r="I77" s="20"/>
      <c r="J77" s="20"/>
      <c r="K77" s="20"/>
      <c r="L77" s="20"/>
      <c r="M77" s="20"/>
      <c r="N77" s="20"/>
      <c r="O77" s="20"/>
      <c r="P77" s="20"/>
      <c r="Q77" s="20"/>
      <c r="R77" s="20"/>
      <c r="S77" s="20"/>
      <c r="T77" s="6">
        <f t="shared" si="4"/>
        <v>0</v>
      </c>
      <c r="V77" s="1"/>
      <c r="W77" s="1"/>
      <c r="X77" s="1"/>
      <c r="Y77" s="1"/>
      <c r="Z77" s="1"/>
    </row>
    <row r="78" spans="1:26" ht="39.75" customHeight="1">
      <c r="A78" s="171"/>
      <c r="B78" s="169"/>
      <c r="C78" s="169"/>
      <c r="D78" s="5">
        <v>72</v>
      </c>
      <c r="E78" s="5" t="s">
        <v>143</v>
      </c>
      <c r="F78" s="20"/>
      <c r="G78" s="20"/>
      <c r="H78" s="20"/>
      <c r="I78" s="20"/>
      <c r="J78" s="20"/>
      <c r="K78" s="20"/>
      <c r="L78" s="20"/>
      <c r="M78" s="20"/>
      <c r="N78" s="20">
        <v>4.9850000000000003</v>
      </c>
      <c r="O78" s="20"/>
      <c r="P78" s="20"/>
      <c r="Q78" s="20">
        <v>2.9359999999999999</v>
      </c>
      <c r="R78" s="20">
        <v>2.8690000000000002</v>
      </c>
      <c r="S78" s="20"/>
      <c r="T78" s="6">
        <f t="shared" si="4"/>
        <v>10.790000000000001</v>
      </c>
      <c r="U78" s="61" t="s">
        <v>455</v>
      </c>
      <c r="V78" s="1"/>
      <c r="W78" s="1"/>
      <c r="X78" s="1"/>
      <c r="Y78" s="1"/>
      <c r="Z78" s="1"/>
    </row>
    <row r="79" spans="1:26" ht="39.75" customHeight="1">
      <c r="A79" s="171"/>
      <c r="B79" s="168" t="s">
        <v>145</v>
      </c>
      <c r="C79" s="168" t="s">
        <v>146</v>
      </c>
      <c r="D79" s="5">
        <v>73</v>
      </c>
      <c r="E79" s="5" t="s">
        <v>147</v>
      </c>
      <c r="F79" s="128">
        <v>5.9</v>
      </c>
      <c r="G79" s="128"/>
      <c r="H79" s="128">
        <v>2.5</v>
      </c>
      <c r="I79" s="128">
        <f>2.5+2.4+2+1.5</f>
        <v>8.4</v>
      </c>
      <c r="J79" s="112"/>
      <c r="K79" s="128">
        <f>2.7</f>
        <v>2.7</v>
      </c>
      <c r="L79" s="112"/>
      <c r="M79" s="128">
        <f>4.2+5</f>
        <v>9.1999999999999993</v>
      </c>
      <c r="N79" s="128">
        <f>4+1.8+0.6</f>
        <v>6.3999999999999995</v>
      </c>
      <c r="O79" s="128"/>
      <c r="P79" s="128">
        <f>1.2+0.2+1.4</f>
        <v>2.8</v>
      </c>
      <c r="Q79" s="112"/>
      <c r="R79" s="128">
        <f>4+2.4+1+1.8+3+1.1</f>
        <v>13.3</v>
      </c>
      <c r="S79" s="128">
        <f>0.4</f>
        <v>0.4</v>
      </c>
      <c r="T79" s="129">
        <f>SUM(F79:S79)</f>
        <v>51.6</v>
      </c>
      <c r="U79" s="130" t="s">
        <v>783</v>
      </c>
      <c r="V79" s="1"/>
      <c r="W79" s="1"/>
      <c r="X79" s="1"/>
      <c r="Y79" s="1"/>
      <c r="Z79" s="1"/>
    </row>
    <row r="80" spans="1:26" ht="39.75" customHeight="1">
      <c r="A80" s="171"/>
      <c r="B80" s="171"/>
      <c r="C80" s="171"/>
      <c r="D80" s="5">
        <v>74</v>
      </c>
      <c r="E80" s="5" t="s">
        <v>148</v>
      </c>
      <c r="F80" s="128">
        <f>53+4</f>
        <v>57</v>
      </c>
      <c r="G80" s="128"/>
      <c r="H80" s="112"/>
      <c r="I80" s="112"/>
      <c r="J80" s="112"/>
      <c r="K80" s="112"/>
      <c r="L80" s="112"/>
      <c r="M80" s="112"/>
      <c r="N80" s="112"/>
      <c r="O80" s="112"/>
      <c r="P80" s="112"/>
      <c r="Q80" s="112"/>
      <c r="R80" s="112"/>
      <c r="S80" s="112"/>
      <c r="T80" s="129">
        <f t="shared" ref="T80:T84" si="5">SUM(F80:S80)</f>
        <v>57</v>
      </c>
      <c r="U80" s="130" t="s">
        <v>762</v>
      </c>
      <c r="V80" s="1"/>
      <c r="W80" s="1"/>
      <c r="X80" s="1"/>
      <c r="Y80" s="1"/>
      <c r="Z80" s="1"/>
    </row>
    <row r="81" spans="1:26" ht="39.75" customHeight="1">
      <c r="A81" s="171"/>
      <c r="B81" s="171"/>
      <c r="C81" s="171"/>
      <c r="D81" s="5">
        <v>75</v>
      </c>
      <c r="E81" s="5" t="s">
        <v>149</v>
      </c>
      <c r="F81" s="128">
        <f>3.9+1.4</f>
        <v>5.3</v>
      </c>
      <c r="G81" s="128"/>
      <c r="H81" s="112"/>
      <c r="I81" s="112"/>
      <c r="J81" s="112"/>
      <c r="K81" s="112"/>
      <c r="L81" s="112"/>
      <c r="M81" s="112"/>
      <c r="N81" s="112"/>
      <c r="O81" s="112"/>
      <c r="P81" s="128">
        <f>2.4</f>
        <v>2.4</v>
      </c>
      <c r="Q81" s="112"/>
      <c r="R81" s="112"/>
      <c r="S81" s="112"/>
      <c r="T81" s="129">
        <f t="shared" si="5"/>
        <v>7.6999999999999993</v>
      </c>
      <c r="U81" s="130" t="s">
        <v>784</v>
      </c>
      <c r="V81" s="1"/>
      <c r="W81" s="1"/>
      <c r="X81" s="1"/>
      <c r="Y81" s="1"/>
      <c r="Z81" s="1"/>
    </row>
    <row r="82" spans="1:26" ht="39.75" customHeight="1">
      <c r="A82" s="171"/>
      <c r="B82" s="171"/>
      <c r="C82" s="171"/>
      <c r="D82" s="5">
        <v>76</v>
      </c>
      <c r="E82" s="5" t="s">
        <v>150</v>
      </c>
      <c r="F82" s="112"/>
      <c r="G82" s="112"/>
      <c r="H82" s="112"/>
      <c r="I82" s="112"/>
      <c r="J82" s="112"/>
      <c r="K82" s="128"/>
      <c r="L82" s="112"/>
      <c r="M82" s="128">
        <v>2.1</v>
      </c>
      <c r="N82" s="112"/>
      <c r="O82" s="112"/>
      <c r="P82" s="112"/>
      <c r="Q82" s="112"/>
      <c r="R82" s="112"/>
      <c r="S82" s="112"/>
      <c r="T82" s="129">
        <f t="shared" si="5"/>
        <v>2.1</v>
      </c>
      <c r="U82" s="131" t="s">
        <v>741</v>
      </c>
      <c r="V82" s="1"/>
      <c r="W82" s="1"/>
      <c r="X82" s="1"/>
      <c r="Y82" s="1"/>
      <c r="Z82" s="1"/>
    </row>
    <row r="83" spans="1:26" ht="39.75" customHeight="1">
      <c r="A83" s="171"/>
      <c r="B83" s="171"/>
      <c r="C83" s="171"/>
      <c r="D83" s="5">
        <v>77</v>
      </c>
      <c r="E83" s="5" t="s">
        <v>151</v>
      </c>
      <c r="F83" s="128">
        <v>1.8</v>
      </c>
      <c r="G83" s="128"/>
      <c r="H83" s="128">
        <v>1.5</v>
      </c>
      <c r="I83" s="128">
        <f>1+1</f>
        <v>2</v>
      </c>
      <c r="J83" s="112"/>
      <c r="K83" s="128">
        <f>1.6</f>
        <v>1.6</v>
      </c>
      <c r="L83" s="112"/>
      <c r="M83" s="128"/>
      <c r="N83" s="128">
        <f>0.4</f>
        <v>0.4</v>
      </c>
      <c r="O83" s="112"/>
      <c r="P83" s="112"/>
      <c r="Q83" s="112"/>
      <c r="R83" s="112"/>
      <c r="S83" s="128">
        <v>0.5</v>
      </c>
      <c r="T83" s="129">
        <f t="shared" si="5"/>
        <v>7.8000000000000007</v>
      </c>
      <c r="U83" s="130" t="s">
        <v>785</v>
      </c>
      <c r="V83" s="1"/>
      <c r="W83" s="1"/>
      <c r="X83" s="1"/>
      <c r="Y83" s="1"/>
      <c r="Z83" s="1"/>
    </row>
    <row r="84" spans="1:26" ht="39.75" customHeight="1">
      <c r="A84" s="171"/>
      <c r="B84" s="171"/>
      <c r="C84" s="171"/>
      <c r="D84" s="5">
        <v>78</v>
      </c>
      <c r="E84" s="5" t="s">
        <v>152</v>
      </c>
      <c r="F84" s="112"/>
      <c r="G84" s="112"/>
      <c r="H84" s="112"/>
      <c r="I84" s="112"/>
      <c r="J84" s="112"/>
      <c r="K84" s="112"/>
      <c r="L84" s="112"/>
      <c r="M84" s="112"/>
      <c r="N84" s="112"/>
      <c r="O84" s="112"/>
      <c r="P84" s="112"/>
      <c r="Q84" s="128">
        <f>9.9+1.4</f>
        <v>11.3</v>
      </c>
      <c r="R84" s="112"/>
      <c r="S84" s="112"/>
      <c r="T84" s="129">
        <f t="shared" si="5"/>
        <v>11.3</v>
      </c>
      <c r="U84" s="130" t="s">
        <v>786</v>
      </c>
      <c r="V84" s="1"/>
      <c r="W84" s="1"/>
      <c r="X84" s="1"/>
      <c r="Y84" s="1"/>
      <c r="Z84" s="1"/>
    </row>
    <row r="85" spans="1:26" ht="39.75" customHeight="1">
      <c r="A85" s="171"/>
      <c r="B85" s="169"/>
      <c r="C85" s="169"/>
      <c r="D85" s="5">
        <v>79</v>
      </c>
      <c r="E85" s="5" t="s">
        <v>54</v>
      </c>
      <c r="F85" s="112"/>
      <c r="G85" s="112"/>
      <c r="H85" s="112"/>
      <c r="I85" s="112"/>
      <c r="J85" s="112"/>
      <c r="K85" s="112"/>
      <c r="L85" s="112"/>
      <c r="M85" s="112"/>
      <c r="N85" s="112"/>
      <c r="O85" s="112"/>
      <c r="P85" s="112"/>
      <c r="Q85" s="112"/>
      <c r="R85" s="112"/>
      <c r="S85" s="112"/>
      <c r="T85" s="129"/>
      <c r="U85" s="112"/>
      <c r="V85" s="1"/>
      <c r="W85" s="1"/>
      <c r="X85" s="1"/>
      <c r="Y85" s="1"/>
      <c r="Z85" s="1"/>
    </row>
    <row r="86" spans="1:26" ht="39.75" customHeight="1">
      <c r="A86" s="171"/>
      <c r="B86" s="168" t="s">
        <v>153</v>
      </c>
      <c r="C86" s="168" t="s">
        <v>154</v>
      </c>
      <c r="D86" s="5">
        <v>80</v>
      </c>
      <c r="E86" s="5" t="s">
        <v>155</v>
      </c>
      <c r="F86" s="5"/>
      <c r="G86" s="5"/>
      <c r="H86" s="5"/>
      <c r="I86" s="5"/>
      <c r="J86" s="5"/>
      <c r="K86" s="25"/>
      <c r="L86" s="5"/>
      <c r="M86" s="6"/>
      <c r="N86" s="5"/>
      <c r="O86" s="5"/>
      <c r="P86" s="8">
        <v>2.4</v>
      </c>
      <c r="Q86" s="6">
        <v>1</v>
      </c>
      <c r="R86" s="8"/>
      <c r="S86" s="5"/>
      <c r="T86" s="6">
        <f t="shared" si="4"/>
        <v>3.4</v>
      </c>
      <c r="U86" s="45" t="s">
        <v>456</v>
      </c>
      <c r="V86" s="1"/>
      <c r="W86" s="1"/>
      <c r="X86" s="1"/>
      <c r="Y86" s="1"/>
      <c r="Z86" s="1"/>
    </row>
    <row r="87" spans="1:26" ht="39.75" customHeight="1">
      <c r="A87" s="171"/>
      <c r="B87" s="171"/>
      <c r="C87" s="171"/>
      <c r="D87" s="5">
        <v>81</v>
      </c>
      <c r="E87" s="5" t="s">
        <v>156</v>
      </c>
      <c r="F87" s="5"/>
      <c r="G87" s="5"/>
      <c r="H87" s="5"/>
      <c r="I87" s="5"/>
      <c r="J87" s="5"/>
      <c r="K87" s="5"/>
      <c r="L87" s="5"/>
      <c r="M87" s="6"/>
      <c r="N87" s="6"/>
      <c r="O87" s="5"/>
      <c r="P87" s="8"/>
      <c r="Q87" s="8"/>
      <c r="R87" s="5"/>
      <c r="S87" s="5"/>
      <c r="T87" s="6">
        <f t="shared" si="4"/>
        <v>0</v>
      </c>
      <c r="U87" s="68"/>
      <c r="V87" s="1"/>
      <c r="W87" s="1"/>
      <c r="X87" s="1"/>
      <c r="Y87" s="1"/>
      <c r="Z87" s="1"/>
    </row>
    <row r="88" spans="1:26" ht="39.75" customHeight="1">
      <c r="A88" s="171"/>
      <c r="B88" s="171"/>
      <c r="C88" s="171"/>
      <c r="D88" s="5">
        <v>82</v>
      </c>
      <c r="E88" s="5" t="s">
        <v>157</v>
      </c>
      <c r="F88" s="5"/>
      <c r="G88" s="5"/>
      <c r="H88" s="5"/>
      <c r="I88" s="5"/>
      <c r="J88" s="5"/>
      <c r="K88" s="5"/>
      <c r="L88" s="5"/>
      <c r="M88" s="5"/>
      <c r="N88" s="5"/>
      <c r="O88" s="5"/>
      <c r="P88" s="8"/>
      <c r="Q88" s="5"/>
      <c r="R88" s="5"/>
      <c r="S88" s="5"/>
      <c r="T88" s="6">
        <f t="shared" si="4"/>
        <v>0</v>
      </c>
      <c r="U88" s="68"/>
      <c r="V88" s="1"/>
      <c r="W88" s="1"/>
      <c r="X88" s="1"/>
      <c r="Y88" s="1"/>
      <c r="Z88" s="1"/>
    </row>
    <row r="89" spans="1:26" ht="39.75" customHeight="1">
      <c r="A89" s="171"/>
      <c r="B89" s="169"/>
      <c r="C89" s="169"/>
      <c r="D89" s="5">
        <v>83</v>
      </c>
      <c r="E89" s="5" t="s">
        <v>158</v>
      </c>
      <c r="F89" s="5"/>
      <c r="G89" s="5"/>
      <c r="H89" s="5"/>
      <c r="I89" s="5"/>
      <c r="J89" s="5"/>
      <c r="K89" s="6">
        <v>2</v>
      </c>
      <c r="L89" s="5"/>
      <c r="M89" s="8"/>
      <c r="N89" s="6"/>
      <c r="O89" s="5"/>
      <c r="P89" s="8">
        <v>1.04</v>
      </c>
      <c r="Q89" s="6"/>
      <c r="R89" s="8"/>
      <c r="S89" s="5"/>
      <c r="T89" s="6">
        <f t="shared" si="4"/>
        <v>3.04</v>
      </c>
      <c r="U89" s="36" t="s">
        <v>457</v>
      </c>
      <c r="V89" s="1"/>
      <c r="W89" s="1"/>
      <c r="X89" s="1"/>
      <c r="Y89" s="1"/>
      <c r="Z89" s="1"/>
    </row>
    <row r="90" spans="1:26" ht="39.75" customHeight="1">
      <c r="A90" s="171"/>
      <c r="B90" s="5" t="s">
        <v>159</v>
      </c>
      <c r="C90" s="5" t="s">
        <v>160</v>
      </c>
      <c r="D90" s="5">
        <v>84</v>
      </c>
      <c r="E90" s="5" t="s">
        <v>161</v>
      </c>
      <c r="F90" s="5"/>
      <c r="G90" s="5"/>
      <c r="H90" s="5"/>
      <c r="I90" s="6"/>
      <c r="J90" s="5"/>
      <c r="K90" s="6"/>
      <c r="L90" s="5"/>
      <c r="M90" s="5"/>
      <c r="N90" s="6">
        <v>0.78</v>
      </c>
      <c r="O90" s="5"/>
      <c r="P90" s="5"/>
      <c r="Q90" s="6">
        <v>2.5</v>
      </c>
      <c r="R90" s="8">
        <v>0.2</v>
      </c>
      <c r="S90" s="5"/>
      <c r="T90" s="6">
        <f t="shared" si="4"/>
        <v>3.4800000000000004</v>
      </c>
      <c r="U90" s="9" t="s">
        <v>581</v>
      </c>
      <c r="V90" s="1"/>
      <c r="W90" s="1"/>
      <c r="X90" s="1"/>
      <c r="Y90" s="1"/>
      <c r="Z90" s="1"/>
    </row>
    <row r="91" spans="1:26" ht="39.75" customHeight="1">
      <c r="A91" s="171"/>
      <c r="B91" s="5" t="s">
        <v>162</v>
      </c>
      <c r="C91" s="5" t="s">
        <v>163</v>
      </c>
      <c r="D91" s="5">
        <v>85</v>
      </c>
      <c r="E91" s="5" t="s">
        <v>164</v>
      </c>
      <c r="F91" s="5"/>
      <c r="G91" s="5"/>
      <c r="H91" s="5"/>
      <c r="I91" s="5"/>
      <c r="J91" s="5"/>
      <c r="K91" s="6"/>
      <c r="L91" s="5"/>
      <c r="M91" s="5"/>
      <c r="N91" s="6">
        <v>0.2</v>
      </c>
      <c r="O91" s="5"/>
      <c r="P91" s="5"/>
      <c r="Q91" s="6">
        <v>1</v>
      </c>
      <c r="R91" s="8"/>
      <c r="S91" s="5"/>
      <c r="T91" s="6">
        <f t="shared" si="4"/>
        <v>1.2</v>
      </c>
      <c r="U91" s="9" t="s">
        <v>165</v>
      </c>
      <c r="V91" s="1"/>
      <c r="W91" s="1"/>
      <c r="X91" s="1"/>
      <c r="Y91" s="1"/>
      <c r="Z91" s="1"/>
    </row>
    <row r="92" spans="1:26" ht="39.75" customHeight="1">
      <c r="A92" s="171"/>
      <c r="B92" s="5" t="s">
        <v>166</v>
      </c>
      <c r="C92" s="5" t="s">
        <v>54</v>
      </c>
      <c r="D92" s="5">
        <v>86</v>
      </c>
      <c r="E92" s="5" t="s">
        <v>167</v>
      </c>
      <c r="F92" s="5"/>
      <c r="G92" s="5"/>
      <c r="H92" s="5"/>
      <c r="I92" s="5"/>
      <c r="J92" s="5"/>
      <c r="K92" s="5"/>
      <c r="L92" s="5"/>
      <c r="M92" s="5"/>
      <c r="N92" s="5"/>
      <c r="O92" s="5"/>
      <c r="P92" s="5"/>
      <c r="Q92" s="5"/>
      <c r="R92" s="5"/>
      <c r="S92" s="5"/>
      <c r="T92" s="6">
        <f t="shared" si="4"/>
        <v>0</v>
      </c>
      <c r="U92" s="9"/>
      <c r="V92" s="1"/>
      <c r="W92" s="1"/>
      <c r="X92" s="1"/>
      <c r="Y92" s="1"/>
      <c r="Z92" s="1"/>
    </row>
    <row r="93" spans="1:26" ht="39.75" customHeight="1">
      <c r="A93" s="169"/>
      <c r="B93" s="176" t="s">
        <v>168</v>
      </c>
      <c r="C93" s="177"/>
      <c r="D93" s="178"/>
      <c r="E93" s="51"/>
      <c r="F93" s="51">
        <f t="shared" ref="F93:S93" si="6">SUM(F69:F92)</f>
        <v>70</v>
      </c>
      <c r="G93" s="51">
        <f t="shared" si="6"/>
        <v>0</v>
      </c>
      <c r="H93" s="51">
        <f t="shared" si="6"/>
        <v>4</v>
      </c>
      <c r="I93" s="51">
        <f t="shared" si="6"/>
        <v>12.135</v>
      </c>
      <c r="J93" s="51">
        <f t="shared" si="6"/>
        <v>0</v>
      </c>
      <c r="K93" s="51">
        <f t="shared" si="6"/>
        <v>6.3000000000000007</v>
      </c>
      <c r="L93" s="51">
        <f t="shared" si="6"/>
        <v>0</v>
      </c>
      <c r="M93" s="56">
        <f t="shared" si="6"/>
        <v>11.979999999999999</v>
      </c>
      <c r="N93" s="52">
        <f t="shared" si="6"/>
        <v>23.314999999999998</v>
      </c>
      <c r="O93" s="51">
        <f t="shared" si="6"/>
        <v>85.143000000000001</v>
      </c>
      <c r="P93" s="52">
        <f t="shared" si="6"/>
        <v>53.865000000000002</v>
      </c>
      <c r="Q93" s="51">
        <f t="shared" si="6"/>
        <v>23.756</v>
      </c>
      <c r="R93" s="56">
        <f t="shared" si="6"/>
        <v>33.169000000000004</v>
      </c>
      <c r="S93" s="56">
        <f t="shared" si="6"/>
        <v>14.47</v>
      </c>
      <c r="T93" s="6">
        <f t="shared" si="4"/>
        <v>338.13300000000004</v>
      </c>
      <c r="U93" s="9"/>
      <c r="V93" s="1"/>
      <c r="W93" s="1"/>
      <c r="X93" s="1"/>
      <c r="Y93" s="1"/>
      <c r="Z93" s="1"/>
    </row>
    <row r="94" spans="1:26" ht="39.75" customHeight="1">
      <c r="A94" s="175" t="s">
        <v>169</v>
      </c>
      <c r="B94" s="168" t="s">
        <v>170</v>
      </c>
      <c r="C94" s="168" t="s">
        <v>171</v>
      </c>
      <c r="D94" s="5">
        <v>87</v>
      </c>
      <c r="E94" s="5" t="s">
        <v>172</v>
      </c>
      <c r="F94" s="114"/>
      <c r="G94" s="114"/>
      <c r="H94" s="114"/>
      <c r="I94" s="114"/>
      <c r="J94" s="114"/>
      <c r="K94" s="115">
        <v>9</v>
      </c>
      <c r="L94" s="114"/>
      <c r="M94" s="114"/>
      <c r="N94" s="114"/>
      <c r="O94" s="114"/>
      <c r="P94" s="114"/>
      <c r="Q94" s="114"/>
      <c r="R94" s="114"/>
      <c r="S94" s="116"/>
      <c r="T94" s="117">
        <f>SUM(F94:S94)</f>
        <v>9</v>
      </c>
      <c r="U94" s="88" t="s">
        <v>720</v>
      </c>
      <c r="V94" s="1"/>
      <c r="W94" s="1"/>
      <c r="X94" s="1"/>
      <c r="Y94" s="1"/>
      <c r="Z94" s="1"/>
    </row>
    <row r="95" spans="1:26" ht="39.75" customHeight="1">
      <c r="A95" s="171"/>
      <c r="B95" s="171"/>
      <c r="C95" s="171"/>
      <c r="D95" s="5">
        <v>88</v>
      </c>
      <c r="E95" s="5" t="s">
        <v>173</v>
      </c>
      <c r="F95" s="114"/>
      <c r="G95" s="114"/>
      <c r="H95" s="114"/>
      <c r="I95" s="114"/>
      <c r="J95" s="114"/>
      <c r="K95" s="114"/>
      <c r="L95" s="114"/>
      <c r="M95" s="114"/>
      <c r="N95" s="114"/>
      <c r="O95" s="114"/>
      <c r="P95" s="118">
        <v>14</v>
      </c>
      <c r="Q95" s="114"/>
      <c r="R95" s="114"/>
      <c r="S95" s="116"/>
      <c r="T95" s="117">
        <f t="shared" ref="T95:T103" si="7">SUM(F95:S95)</f>
        <v>14</v>
      </c>
      <c r="U95" s="88" t="s">
        <v>721</v>
      </c>
      <c r="V95" s="1"/>
      <c r="W95" s="1"/>
      <c r="X95" s="1"/>
      <c r="Y95" s="1"/>
      <c r="Z95" s="1"/>
    </row>
    <row r="96" spans="1:26" ht="39.75" customHeight="1">
      <c r="A96" s="171"/>
      <c r="B96" s="171"/>
      <c r="C96" s="171"/>
      <c r="D96" s="5">
        <v>89</v>
      </c>
      <c r="E96" s="5" t="s">
        <v>174</v>
      </c>
      <c r="F96" s="114"/>
      <c r="G96" s="114"/>
      <c r="H96" s="114"/>
      <c r="I96" s="114"/>
      <c r="J96" s="114"/>
      <c r="K96" s="114"/>
      <c r="L96" s="114"/>
      <c r="M96" s="114"/>
      <c r="N96" s="114"/>
      <c r="O96" s="114"/>
      <c r="P96" s="114"/>
      <c r="Q96" s="114"/>
      <c r="R96" s="114"/>
      <c r="S96" s="116"/>
      <c r="T96" s="117">
        <f t="shared" si="7"/>
        <v>0</v>
      </c>
      <c r="U96" s="88"/>
      <c r="V96" s="1"/>
      <c r="W96" s="1"/>
      <c r="X96" s="1"/>
      <c r="Y96" s="1"/>
      <c r="Z96" s="1"/>
    </row>
    <row r="97" spans="1:26" ht="39.75" customHeight="1">
      <c r="A97" s="171"/>
      <c r="B97" s="171"/>
      <c r="C97" s="171"/>
      <c r="D97" s="5">
        <v>90</v>
      </c>
      <c r="E97" s="5" t="s">
        <v>175</v>
      </c>
      <c r="F97" s="114"/>
      <c r="G97" s="114"/>
      <c r="H97" s="114"/>
      <c r="I97" s="114"/>
      <c r="J97" s="114"/>
      <c r="K97" s="114"/>
      <c r="L97" s="114"/>
      <c r="M97" s="114"/>
      <c r="N97" s="114"/>
      <c r="O97" s="114"/>
      <c r="P97" s="118"/>
      <c r="Q97" s="114"/>
      <c r="R97" s="114"/>
      <c r="S97" s="116"/>
      <c r="T97" s="117">
        <f t="shared" si="7"/>
        <v>0</v>
      </c>
      <c r="U97" s="88"/>
      <c r="V97" s="1"/>
      <c r="W97" s="1"/>
      <c r="X97" s="1"/>
      <c r="Y97" s="1"/>
      <c r="Z97" s="1"/>
    </row>
    <row r="98" spans="1:26" ht="39.75" customHeight="1">
      <c r="A98" s="171"/>
      <c r="B98" s="171"/>
      <c r="C98" s="171"/>
      <c r="D98" s="5">
        <v>91</v>
      </c>
      <c r="E98" s="5" t="s">
        <v>176</v>
      </c>
      <c r="F98" s="114"/>
      <c r="G98" s="114"/>
      <c r="H98" s="114"/>
      <c r="I98" s="114"/>
      <c r="J98" s="114"/>
      <c r="K98" s="115">
        <v>0</v>
      </c>
      <c r="L98" s="114"/>
      <c r="M98" s="114"/>
      <c r="N98" s="114"/>
      <c r="O98" s="114"/>
      <c r="P98" s="118">
        <v>2</v>
      </c>
      <c r="Q98" s="114"/>
      <c r="R98" s="114"/>
      <c r="S98" s="116"/>
      <c r="T98" s="117">
        <f t="shared" si="7"/>
        <v>2</v>
      </c>
      <c r="U98" s="121" t="s">
        <v>710</v>
      </c>
      <c r="V98" s="1"/>
      <c r="W98" s="1"/>
      <c r="X98" s="1"/>
      <c r="Y98" s="1"/>
      <c r="Z98" s="1"/>
    </row>
    <row r="99" spans="1:26" ht="39.75" customHeight="1">
      <c r="A99" s="171"/>
      <c r="B99" s="171"/>
      <c r="C99" s="171"/>
      <c r="D99" s="5">
        <v>92</v>
      </c>
      <c r="E99" s="5" t="s">
        <v>178</v>
      </c>
      <c r="F99" s="114"/>
      <c r="G99" s="114"/>
      <c r="H99" s="114"/>
      <c r="I99" s="114"/>
      <c r="J99" s="114"/>
      <c r="K99" s="114"/>
      <c r="L99" s="114"/>
      <c r="M99" s="114"/>
      <c r="N99" s="114"/>
      <c r="O99" s="114"/>
      <c r="P99" s="118">
        <v>0.5</v>
      </c>
      <c r="Q99" s="114"/>
      <c r="R99" s="114"/>
      <c r="S99" s="116"/>
      <c r="T99" s="117">
        <f t="shared" si="7"/>
        <v>0.5</v>
      </c>
      <c r="U99" s="122" t="s">
        <v>458</v>
      </c>
      <c r="V99" s="1"/>
      <c r="W99" s="1"/>
      <c r="X99" s="1"/>
      <c r="Y99" s="1"/>
      <c r="Z99" s="1"/>
    </row>
    <row r="100" spans="1:26" ht="39.75" customHeight="1">
      <c r="A100" s="171"/>
      <c r="B100" s="171"/>
      <c r="C100" s="171"/>
      <c r="D100" s="5">
        <v>93</v>
      </c>
      <c r="E100" s="5" t="s">
        <v>180</v>
      </c>
      <c r="F100" s="114"/>
      <c r="G100" s="114"/>
      <c r="H100" s="114"/>
      <c r="I100" s="118"/>
      <c r="J100" s="114"/>
      <c r="K100" s="114"/>
      <c r="L100" s="114"/>
      <c r="M100" s="114"/>
      <c r="N100" s="114"/>
      <c r="O100" s="114"/>
      <c r="P100" s="114"/>
      <c r="Q100" s="114"/>
      <c r="R100" s="114"/>
      <c r="S100" s="116"/>
      <c r="T100" s="117">
        <f t="shared" si="7"/>
        <v>0</v>
      </c>
      <c r="U100" s="121"/>
      <c r="V100" s="1"/>
      <c r="W100" s="1"/>
      <c r="X100" s="1"/>
      <c r="Y100" s="1"/>
      <c r="Z100" s="1"/>
    </row>
    <row r="101" spans="1:26" ht="39.75" customHeight="1">
      <c r="A101" s="171"/>
      <c r="B101" s="171"/>
      <c r="C101" s="171"/>
      <c r="D101" s="5">
        <v>94</v>
      </c>
      <c r="E101" s="5" t="s">
        <v>181</v>
      </c>
      <c r="F101" s="114"/>
      <c r="G101" s="114"/>
      <c r="H101" s="114"/>
      <c r="I101" s="118"/>
      <c r="J101" s="114"/>
      <c r="K101" s="114"/>
      <c r="L101" s="114"/>
      <c r="M101" s="114"/>
      <c r="N101" s="114"/>
      <c r="O101" s="114"/>
      <c r="P101" s="114"/>
      <c r="Q101" s="114"/>
      <c r="R101" s="114"/>
      <c r="S101" s="116"/>
      <c r="T101" s="117">
        <f t="shared" si="7"/>
        <v>0</v>
      </c>
      <c r="U101" s="122"/>
      <c r="V101" s="1"/>
      <c r="W101" s="1"/>
      <c r="X101" s="1"/>
      <c r="Y101" s="1"/>
      <c r="Z101" s="1"/>
    </row>
    <row r="102" spans="1:26" ht="39.75" customHeight="1">
      <c r="A102" s="171"/>
      <c r="B102" s="171"/>
      <c r="C102" s="171"/>
      <c r="D102" s="5">
        <v>95</v>
      </c>
      <c r="E102" s="5" t="s">
        <v>182</v>
      </c>
      <c r="F102" s="114"/>
      <c r="G102" s="114"/>
      <c r="H102" s="118"/>
      <c r="I102" s="115">
        <v>5</v>
      </c>
      <c r="J102" s="114"/>
      <c r="K102" s="114"/>
      <c r="L102" s="114"/>
      <c r="M102" s="114"/>
      <c r="N102" s="114"/>
      <c r="O102" s="114"/>
      <c r="P102" s="114"/>
      <c r="Q102" s="114"/>
      <c r="R102" s="114"/>
      <c r="S102" s="116"/>
      <c r="T102" s="117">
        <f t="shared" si="7"/>
        <v>5</v>
      </c>
      <c r="U102" s="88" t="s">
        <v>722</v>
      </c>
      <c r="V102" s="1"/>
      <c r="W102" s="1"/>
      <c r="X102" s="1"/>
      <c r="Y102" s="1"/>
      <c r="Z102" s="1"/>
    </row>
    <row r="103" spans="1:26" ht="39.75" customHeight="1">
      <c r="A103" s="171"/>
      <c r="B103" s="169"/>
      <c r="C103" s="169"/>
      <c r="D103" s="5">
        <v>96</v>
      </c>
      <c r="E103" s="5" t="s">
        <v>183</v>
      </c>
      <c r="F103" s="114"/>
      <c r="G103" s="114"/>
      <c r="H103" s="114"/>
      <c r="I103" s="114"/>
      <c r="J103" s="114"/>
      <c r="K103" s="114"/>
      <c r="L103" s="114"/>
      <c r="M103" s="114"/>
      <c r="N103" s="115">
        <v>0</v>
      </c>
      <c r="O103" s="114"/>
      <c r="P103" s="114"/>
      <c r="Q103" s="115">
        <v>1</v>
      </c>
      <c r="R103" s="118">
        <v>1</v>
      </c>
      <c r="S103" s="116"/>
      <c r="T103" s="117">
        <f t="shared" si="7"/>
        <v>2</v>
      </c>
      <c r="U103" s="88" t="s">
        <v>421</v>
      </c>
      <c r="V103" s="1"/>
      <c r="W103" s="1"/>
      <c r="X103" s="1"/>
      <c r="Y103" s="1"/>
      <c r="Z103" s="1"/>
    </row>
    <row r="104" spans="1:26" ht="39.75" customHeight="1">
      <c r="A104" s="171"/>
      <c r="B104" s="168" t="s">
        <v>184</v>
      </c>
      <c r="C104" s="168" t="s">
        <v>185</v>
      </c>
      <c r="D104" s="5">
        <v>97</v>
      </c>
      <c r="E104" s="5" t="s">
        <v>186</v>
      </c>
      <c r="F104" s="5"/>
      <c r="G104" s="5"/>
      <c r="H104" s="5"/>
      <c r="I104" s="6"/>
      <c r="J104" s="5"/>
      <c r="K104" s="6"/>
      <c r="L104" s="5"/>
      <c r="M104" s="6">
        <v>2.86</v>
      </c>
      <c r="N104" s="6">
        <v>5.5</v>
      </c>
      <c r="O104" s="5"/>
      <c r="P104" s="8">
        <v>18.899999999999999</v>
      </c>
      <c r="Q104" s="6">
        <v>4</v>
      </c>
      <c r="R104" s="8">
        <v>17.55</v>
      </c>
      <c r="S104" s="5"/>
      <c r="T104" s="6">
        <f t="shared" si="4"/>
        <v>48.81</v>
      </c>
      <c r="U104" s="10" t="s">
        <v>373</v>
      </c>
      <c r="V104" s="1"/>
      <c r="W104" s="1"/>
      <c r="X104" s="1"/>
      <c r="Y104" s="1"/>
      <c r="Z104" s="1"/>
    </row>
    <row r="105" spans="1:26" ht="39.75" customHeight="1">
      <c r="A105" s="171"/>
      <c r="B105" s="169"/>
      <c r="C105" s="169"/>
      <c r="D105" s="5">
        <v>98</v>
      </c>
      <c r="E105" s="5" t="s">
        <v>54</v>
      </c>
      <c r="F105" s="5"/>
      <c r="G105" s="5"/>
      <c r="H105" s="5"/>
      <c r="I105" s="5"/>
      <c r="J105" s="5"/>
      <c r="K105" s="5"/>
      <c r="L105" s="5"/>
      <c r="M105" s="5"/>
      <c r="N105" s="5"/>
      <c r="O105" s="5"/>
      <c r="P105" s="5"/>
      <c r="Q105" s="5"/>
      <c r="R105" s="5"/>
      <c r="S105" s="5"/>
      <c r="T105" s="6">
        <f t="shared" si="4"/>
        <v>0</v>
      </c>
      <c r="U105" s="46"/>
      <c r="V105" s="1"/>
      <c r="W105" s="1"/>
      <c r="X105" s="1"/>
      <c r="Y105" s="1"/>
      <c r="Z105" s="1"/>
    </row>
    <row r="106" spans="1:26" ht="39.75" customHeight="1">
      <c r="A106" s="171"/>
      <c r="B106" s="168" t="s">
        <v>188</v>
      </c>
      <c r="C106" s="168" t="s">
        <v>189</v>
      </c>
      <c r="D106" s="5">
        <v>99</v>
      </c>
      <c r="E106" s="5" t="s">
        <v>190</v>
      </c>
      <c r="F106" s="5"/>
      <c r="G106" s="5"/>
      <c r="H106" s="8"/>
      <c r="I106" s="6">
        <v>2</v>
      </c>
      <c r="J106" s="5"/>
      <c r="K106" s="6"/>
      <c r="L106" s="5"/>
      <c r="M106" s="5"/>
      <c r="N106" s="6">
        <v>0.8</v>
      </c>
      <c r="O106" s="5"/>
      <c r="P106" s="5"/>
      <c r="Q106" s="6">
        <v>2</v>
      </c>
      <c r="R106" s="5"/>
      <c r="S106" s="5"/>
      <c r="T106" s="6">
        <f t="shared" si="4"/>
        <v>4.8</v>
      </c>
      <c r="U106" s="46" t="s">
        <v>374</v>
      </c>
      <c r="V106" s="1"/>
      <c r="W106" s="1"/>
      <c r="X106" s="1"/>
      <c r="Y106" s="1"/>
      <c r="Z106" s="1"/>
    </row>
    <row r="107" spans="1:26" ht="39.75" customHeight="1">
      <c r="A107" s="171"/>
      <c r="B107" s="171"/>
      <c r="C107" s="171"/>
      <c r="D107" s="5">
        <v>100</v>
      </c>
      <c r="E107" s="5" t="s">
        <v>192</v>
      </c>
      <c r="F107" s="5"/>
      <c r="G107" s="5"/>
      <c r="H107" s="5"/>
      <c r="I107" s="6">
        <v>0.95</v>
      </c>
      <c r="J107" s="5"/>
      <c r="K107" s="6"/>
      <c r="L107" s="5"/>
      <c r="M107" s="5"/>
      <c r="N107" s="5"/>
      <c r="O107" s="5"/>
      <c r="P107" s="5"/>
      <c r="Q107" s="5"/>
      <c r="R107" s="5"/>
      <c r="S107" s="5"/>
      <c r="T107" s="6">
        <f t="shared" si="4"/>
        <v>0.95</v>
      </c>
      <c r="U107" s="46" t="s">
        <v>193</v>
      </c>
      <c r="V107" s="1"/>
      <c r="W107" s="1"/>
      <c r="X107" s="1"/>
      <c r="Y107" s="1"/>
      <c r="Z107" s="1"/>
    </row>
    <row r="108" spans="1:26" ht="39.75" customHeight="1">
      <c r="A108" s="171"/>
      <c r="B108" s="171"/>
      <c r="C108" s="171"/>
      <c r="D108" s="5">
        <v>101</v>
      </c>
      <c r="E108" s="5" t="s">
        <v>194</v>
      </c>
      <c r="F108" s="5"/>
      <c r="G108" s="5"/>
      <c r="H108" s="5"/>
      <c r="I108" s="5"/>
      <c r="J108" s="5"/>
      <c r="K108" s="5"/>
      <c r="L108" s="5"/>
      <c r="M108" s="5"/>
      <c r="N108" s="5"/>
      <c r="O108" s="5"/>
      <c r="P108" s="5"/>
      <c r="Q108" s="5"/>
      <c r="R108" s="5"/>
      <c r="S108" s="5"/>
      <c r="T108" s="6">
        <f t="shared" si="4"/>
        <v>0</v>
      </c>
      <c r="U108" s="9"/>
      <c r="V108" s="1"/>
      <c r="W108" s="1"/>
      <c r="X108" s="1"/>
      <c r="Y108" s="1"/>
      <c r="Z108" s="1"/>
    </row>
    <row r="109" spans="1:26" ht="39.75" customHeight="1">
      <c r="A109" s="171"/>
      <c r="B109" s="171"/>
      <c r="C109" s="171"/>
      <c r="D109" s="5">
        <v>102</v>
      </c>
      <c r="E109" s="5" t="s">
        <v>195</v>
      </c>
      <c r="F109" s="5"/>
      <c r="G109" s="5"/>
      <c r="H109" s="5"/>
      <c r="I109" s="5"/>
      <c r="J109" s="5"/>
      <c r="K109" s="5"/>
      <c r="L109" s="5"/>
      <c r="M109" s="5"/>
      <c r="N109" s="5"/>
      <c r="O109" s="5"/>
      <c r="P109" s="5"/>
      <c r="Q109" s="6"/>
      <c r="R109" s="5"/>
      <c r="S109" s="5"/>
      <c r="T109" s="6">
        <f t="shared" si="4"/>
        <v>0</v>
      </c>
      <c r="U109" s="9"/>
      <c r="V109" s="1"/>
      <c r="W109" s="1"/>
      <c r="X109" s="1"/>
      <c r="Y109" s="1"/>
      <c r="Z109" s="1"/>
    </row>
    <row r="110" spans="1:26" ht="39.75" customHeight="1">
      <c r="A110" s="171"/>
      <c r="B110" s="169"/>
      <c r="C110" s="169"/>
      <c r="D110" s="5">
        <v>103</v>
      </c>
      <c r="E110" s="5" t="s">
        <v>54</v>
      </c>
      <c r="F110" s="5"/>
      <c r="G110" s="5"/>
      <c r="H110" s="5"/>
      <c r="I110" s="5"/>
      <c r="J110" s="5"/>
      <c r="K110" s="5"/>
      <c r="L110" s="5"/>
      <c r="M110" s="5"/>
      <c r="N110" s="5"/>
      <c r="O110" s="5"/>
      <c r="P110" s="8">
        <v>3.2</v>
      </c>
      <c r="Q110" s="5"/>
      <c r="R110" s="8"/>
      <c r="S110" s="8"/>
      <c r="T110" s="6">
        <f t="shared" si="4"/>
        <v>3.2</v>
      </c>
      <c r="U110" s="10" t="s">
        <v>196</v>
      </c>
      <c r="V110" s="1"/>
      <c r="W110" s="1"/>
      <c r="X110" s="1"/>
      <c r="Y110" s="1"/>
      <c r="Z110" s="1"/>
    </row>
    <row r="111" spans="1:26" ht="39.75" customHeight="1">
      <c r="A111" s="171"/>
      <c r="B111" s="168" t="s">
        <v>197</v>
      </c>
      <c r="C111" s="168" t="s">
        <v>198</v>
      </c>
      <c r="D111" s="5">
        <v>104</v>
      </c>
      <c r="E111" s="5" t="s">
        <v>199</v>
      </c>
      <c r="F111" s="5"/>
      <c r="G111" s="5"/>
      <c r="H111" s="5"/>
      <c r="I111" s="5"/>
      <c r="J111" s="5"/>
      <c r="K111" s="5"/>
      <c r="L111" s="5"/>
      <c r="M111" s="5"/>
      <c r="N111" s="8">
        <v>2</v>
      </c>
      <c r="O111" s="5"/>
      <c r="P111" s="8">
        <v>3</v>
      </c>
      <c r="Q111" s="8">
        <v>1</v>
      </c>
      <c r="R111" s="8"/>
      <c r="S111" s="8"/>
      <c r="T111" s="6">
        <f t="shared" si="4"/>
        <v>6</v>
      </c>
      <c r="U111" s="113" t="s">
        <v>691</v>
      </c>
      <c r="V111" s="1"/>
      <c r="W111" s="1"/>
      <c r="X111" s="1"/>
      <c r="Y111" s="1"/>
      <c r="Z111" s="1"/>
    </row>
    <row r="112" spans="1:26" ht="39.75" customHeight="1">
      <c r="A112" s="171"/>
      <c r="B112" s="171"/>
      <c r="C112" s="171"/>
      <c r="D112" s="5">
        <v>105</v>
      </c>
      <c r="E112" s="5" t="s">
        <v>200</v>
      </c>
      <c r="F112" s="5"/>
      <c r="G112" s="5"/>
      <c r="H112" s="5"/>
      <c r="I112" s="5"/>
      <c r="J112" s="5"/>
      <c r="K112" s="5"/>
      <c r="L112" s="5"/>
      <c r="M112" s="5"/>
      <c r="N112" s="5"/>
      <c r="O112" s="5"/>
      <c r="P112" s="5"/>
      <c r="Q112" s="5"/>
      <c r="R112" s="5"/>
      <c r="S112" s="5"/>
      <c r="T112" s="6">
        <f t="shared" si="4"/>
        <v>0</v>
      </c>
      <c r="U112" s="9"/>
      <c r="V112" s="1"/>
      <c r="W112" s="1"/>
      <c r="X112" s="1"/>
      <c r="Y112" s="1"/>
      <c r="Z112" s="1"/>
    </row>
    <row r="113" spans="1:26" ht="39.75" customHeight="1">
      <c r="A113" s="171"/>
      <c r="B113" s="169"/>
      <c r="C113" s="169"/>
      <c r="D113" s="5">
        <v>106</v>
      </c>
      <c r="E113" s="5" t="s">
        <v>201</v>
      </c>
      <c r="F113" s="5"/>
      <c r="G113" s="5"/>
      <c r="H113" s="5"/>
      <c r="I113" s="6"/>
      <c r="J113" s="5"/>
      <c r="K113" s="6"/>
      <c r="L113" s="5"/>
      <c r="M113" s="5"/>
      <c r="N113" s="6"/>
      <c r="O113" s="5"/>
      <c r="P113" s="8"/>
      <c r="Q113" s="6">
        <v>2</v>
      </c>
      <c r="R113" s="8">
        <v>3</v>
      </c>
      <c r="S113" s="8"/>
      <c r="T113" s="6">
        <f t="shared" si="4"/>
        <v>5</v>
      </c>
      <c r="U113" s="113" t="s">
        <v>689</v>
      </c>
      <c r="V113" s="1"/>
      <c r="W113" s="1"/>
      <c r="X113" s="1"/>
      <c r="Y113" s="1"/>
      <c r="Z113" s="1"/>
    </row>
    <row r="114" spans="1:26" ht="39.75" customHeight="1">
      <c r="A114" s="171"/>
      <c r="B114" s="168" t="s">
        <v>202</v>
      </c>
      <c r="C114" s="168" t="s">
        <v>203</v>
      </c>
      <c r="D114" s="5">
        <v>107</v>
      </c>
      <c r="E114" s="5" t="s">
        <v>204</v>
      </c>
      <c r="F114" s="5"/>
      <c r="G114" s="5"/>
      <c r="H114" s="5"/>
      <c r="I114" s="6"/>
      <c r="J114" s="5"/>
      <c r="K114" s="6"/>
      <c r="L114" s="5"/>
      <c r="M114" s="5"/>
      <c r="N114" s="6"/>
      <c r="O114" s="5"/>
      <c r="P114" s="8">
        <v>3.5</v>
      </c>
      <c r="Q114" s="5"/>
      <c r="R114" s="8"/>
      <c r="S114" s="5"/>
      <c r="T114" s="6">
        <f t="shared" si="4"/>
        <v>3.5</v>
      </c>
      <c r="U114" s="46" t="s">
        <v>205</v>
      </c>
      <c r="V114" s="1"/>
      <c r="W114" s="1"/>
      <c r="X114" s="1"/>
      <c r="Y114" s="1"/>
      <c r="Z114" s="1"/>
    </row>
    <row r="115" spans="1:26" ht="39.75" customHeight="1">
      <c r="A115" s="171"/>
      <c r="B115" s="171"/>
      <c r="C115" s="171"/>
      <c r="D115" s="5">
        <v>108</v>
      </c>
      <c r="E115" s="5" t="s">
        <v>206</v>
      </c>
      <c r="F115" s="5"/>
      <c r="G115" s="5"/>
      <c r="H115" s="5"/>
      <c r="I115" s="6"/>
      <c r="J115" s="5"/>
      <c r="K115" s="6"/>
      <c r="L115" s="5"/>
      <c r="M115" s="5"/>
      <c r="N115" s="5"/>
      <c r="O115" s="5"/>
      <c r="P115" s="8">
        <v>15.2</v>
      </c>
      <c r="Q115" s="5"/>
      <c r="R115" s="5"/>
      <c r="S115" s="5"/>
      <c r="T115" s="6">
        <f t="shared" si="4"/>
        <v>15.2</v>
      </c>
      <c r="U115" s="46" t="s">
        <v>207</v>
      </c>
      <c r="V115" s="1"/>
      <c r="W115" s="1"/>
      <c r="X115" s="1"/>
      <c r="Y115" s="1"/>
      <c r="Z115" s="1"/>
    </row>
    <row r="116" spans="1:26" ht="39.75" customHeight="1">
      <c r="A116" s="171"/>
      <c r="B116" s="171"/>
      <c r="C116" s="171"/>
      <c r="D116" s="5">
        <v>109</v>
      </c>
      <c r="E116" s="5" t="s">
        <v>208</v>
      </c>
      <c r="F116" s="5"/>
      <c r="G116" s="5"/>
      <c r="H116" s="8"/>
      <c r="I116" s="6"/>
      <c r="J116" s="5"/>
      <c r="K116" s="6"/>
      <c r="L116" s="5"/>
      <c r="M116" s="5"/>
      <c r="N116" s="5"/>
      <c r="O116" s="5"/>
      <c r="P116" s="5"/>
      <c r="Q116" s="5"/>
      <c r="R116" s="5"/>
      <c r="S116" s="5"/>
      <c r="T116" s="6">
        <f t="shared" si="4"/>
        <v>0</v>
      </c>
      <c r="U116" s="9"/>
      <c r="V116" s="1"/>
      <c r="W116" s="1"/>
      <c r="X116" s="1"/>
      <c r="Y116" s="1"/>
      <c r="Z116" s="1"/>
    </row>
    <row r="117" spans="1:26" ht="39.75" customHeight="1">
      <c r="A117" s="171"/>
      <c r="B117" s="171"/>
      <c r="C117" s="171"/>
      <c r="D117" s="5">
        <v>110</v>
      </c>
      <c r="E117" s="5" t="s">
        <v>209</v>
      </c>
      <c r="F117" s="5"/>
      <c r="G117" s="5"/>
      <c r="H117" s="5"/>
      <c r="I117" s="6"/>
      <c r="J117" s="5"/>
      <c r="K117" s="6"/>
      <c r="L117" s="5"/>
      <c r="M117" s="8"/>
      <c r="N117" s="6">
        <v>3</v>
      </c>
      <c r="O117" s="8">
        <v>14.141999999999999</v>
      </c>
      <c r="P117" s="6"/>
      <c r="Q117" s="8">
        <v>6.9</v>
      </c>
      <c r="R117" s="8">
        <v>10.6</v>
      </c>
      <c r="S117" s="5"/>
      <c r="T117" s="6">
        <f t="shared" si="4"/>
        <v>34.642000000000003</v>
      </c>
      <c r="U117" s="9" t="s">
        <v>375</v>
      </c>
      <c r="V117" s="1"/>
      <c r="W117" s="1"/>
      <c r="X117" s="1"/>
      <c r="Y117" s="1"/>
      <c r="Z117" s="1"/>
    </row>
    <row r="118" spans="1:26" ht="39.75" customHeight="1">
      <c r="A118" s="171"/>
      <c r="B118" s="169"/>
      <c r="C118" s="169"/>
      <c r="D118" s="5">
        <v>111</v>
      </c>
      <c r="E118" s="5" t="s">
        <v>54</v>
      </c>
      <c r="F118" s="5"/>
      <c r="G118" s="5"/>
      <c r="H118" s="5"/>
      <c r="I118" s="8"/>
      <c r="J118" s="5"/>
      <c r="K118" s="8"/>
      <c r="L118" s="5"/>
      <c r="M118" s="5">
        <v>6</v>
      </c>
      <c r="N118" s="5"/>
      <c r="O118" s="5"/>
      <c r="P118" s="8"/>
      <c r="Q118" s="6"/>
      <c r="R118" s="5"/>
      <c r="S118" s="8"/>
      <c r="T118" s="6">
        <f t="shared" si="4"/>
        <v>6</v>
      </c>
      <c r="U118" s="113" t="s">
        <v>683</v>
      </c>
      <c r="V118" s="1"/>
      <c r="W118" s="1"/>
      <c r="X118" s="1"/>
      <c r="Y118" s="1"/>
      <c r="Z118" s="1"/>
    </row>
    <row r="119" spans="1:26" ht="39.75" customHeight="1">
      <c r="A119" s="171"/>
      <c r="B119" s="168" t="s">
        <v>211</v>
      </c>
      <c r="C119" s="168" t="s">
        <v>212</v>
      </c>
      <c r="D119" s="5">
        <v>112</v>
      </c>
      <c r="E119" s="5" t="s">
        <v>213</v>
      </c>
      <c r="F119" s="5"/>
      <c r="G119" s="5"/>
      <c r="H119" s="5"/>
      <c r="I119" s="6"/>
      <c r="J119" s="5"/>
      <c r="K119" s="6"/>
      <c r="L119" s="5"/>
      <c r="M119" s="5"/>
      <c r="N119" s="5"/>
      <c r="O119" s="5"/>
      <c r="P119" s="5"/>
      <c r="Q119" s="6"/>
      <c r="R119" s="5"/>
      <c r="S119" s="5"/>
      <c r="T119" s="6">
        <f t="shared" si="4"/>
        <v>0</v>
      </c>
      <c r="U119" s="9"/>
      <c r="V119" s="1"/>
      <c r="W119" s="1"/>
      <c r="X119" s="1"/>
      <c r="Y119" s="1"/>
      <c r="Z119" s="1"/>
    </row>
    <row r="120" spans="1:26" ht="39.75" customHeight="1">
      <c r="A120" s="171"/>
      <c r="B120" s="169"/>
      <c r="C120" s="169"/>
      <c r="D120" s="5">
        <v>113</v>
      </c>
      <c r="E120" s="5" t="s">
        <v>214</v>
      </c>
      <c r="F120" s="5"/>
      <c r="G120" s="5"/>
      <c r="H120" s="5"/>
      <c r="I120" s="6"/>
      <c r="J120" s="5"/>
      <c r="K120" s="6"/>
      <c r="L120" s="5"/>
      <c r="M120" s="6"/>
      <c r="N120" s="6">
        <v>0.5</v>
      </c>
      <c r="O120" s="5"/>
      <c r="P120" s="5"/>
      <c r="Q120" s="6">
        <v>0.5</v>
      </c>
      <c r="R120" s="5"/>
      <c r="S120" s="5"/>
      <c r="T120" s="6">
        <f t="shared" si="4"/>
        <v>1</v>
      </c>
      <c r="U120" s="10" t="s">
        <v>215</v>
      </c>
      <c r="V120" s="1"/>
      <c r="W120" s="1"/>
      <c r="X120" s="1"/>
      <c r="Y120" s="1"/>
      <c r="Z120" s="1"/>
    </row>
    <row r="121" spans="1:26" ht="39.75" customHeight="1">
      <c r="A121" s="171"/>
      <c r="B121" s="5" t="s">
        <v>216</v>
      </c>
      <c r="C121" s="5" t="s">
        <v>217</v>
      </c>
      <c r="D121" s="5">
        <v>114</v>
      </c>
      <c r="E121" s="5" t="s">
        <v>218</v>
      </c>
      <c r="F121" s="5"/>
      <c r="G121" s="5"/>
      <c r="H121" s="8"/>
      <c r="I121" s="5"/>
      <c r="J121" s="5"/>
      <c r="K121" s="5"/>
      <c r="L121" s="5"/>
      <c r="M121" s="5"/>
      <c r="N121" s="8">
        <v>1.5</v>
      </c>
      <c r="O121" s="5"/>
      <c r="P121" s="8">
        <v>6.5</v>
      </c>
      <c r="Q121" s="6">
        <v>2</v>
      </c>
      <c r="R121" s="8">
        <v>1</v>
      </c>
      <c r="S121" s="8"/>
      <c r="T121" s="6">
        <f t="shared" si="4"/>
        <v>11</v>
      </c>
      <c r="U121" s="113" t="s">
        <v>681</v>
      </c>
      <c r="V121" s="1"/>
      <c r="W121" s="1"/>
      <c r="X121" s="1"/>
      <c r="Y121" s="1"/>
      <c r="Z121" s="1"/>
    </row>
    <row r="122" spans="1:26" ht="39.75" customHeight="1">
      <c r="A122" s="171"/>
      <c r="B122" s="168" t="s">
        <v>219</v>
      </c>
      <c r="C122" s="168" t="s">
        <v>220</v>
      </c>
      <c r="D122" s="5">
        <v>115</v>
      </c>
      <c r="E122" s="5" t="s">
        <v>221</v>
      </c>
      <c r="F122" s="5"/>
      <c r="G122" s="5"/>
      <c r="H122" s="5"/>
      <c r="I122" s="5"/>
      <c r="J122" s="5"/>
      <c r="K122" s="5"/>
      <c r="L122" s="5"/>
      <c r="M122" s="6"/>
      <c r="N122" s="5"/>
      <c r="O122" s="5"/>
      <c r="P122" s="5"/>
      <c r="Q122" s="5"/>
      <c r="R122" s="5"/>
      <c r="S122" s="5"/>
      <c r="T122" s="6">
        <f t="shared" si="4"/>
        <v>0</v>
      </c>
      <c r="U122" s="9"/>
      <c r="V122" s="1"/>
      <c r="W122" s="1"/>
      <c r="X122" s="1"/>
      <c r="Y122" s="1"/>
      <c r="Z122" s="1"/>
    </row>
    <row r="123" spans="1:26" ht="39.75" customHeight="1">
      <c r="A123" s="171"/>
      <c r="B123" s="171"/>
      <c r="C123" s="171"/>
      <c r="D123" s="5">
        <v>116</v>
      </c>
      <c r="E123" s="5" t="s">
        <v>222</v>
      </c>
      <c r="F123" s="5"/>
      <c r="G123" s="5"/>
      <c r="H123" s="5"/>
      <c r="I123" s="5"/>
      <c r="J123" s="5"/>
      <c r="K123" s="5"/>
      <c r="L123" s="5"/>
      <c r="M123" s="6">
        <v>10.65</v>
      </c>
      <c r="N123" s="5"/>
      <c r="O123" s="5"/>
      <c r="P123" s="5"/>
      <c r="Q123" s="6">
        <v>6.7</v>
      </c>
      <c r="R123" s="5"/>
      <c r="S123" s="5"/>
      <c r="T123" s="6">
        <f t="shared" si="4"/>
        <v>17.350000000000001</v>
      </c>
      <c r="U123" s="113" t="s">
        <v>679</v>
      </c>
      <c r="V123" s="1"/>
      <c r="W123" s="1"/>
      <c r="X123" s="1"/>
      <c r="Y123" s="1"/>
      <c r="Z123" s="1"/>
    </row>
    <row r="124" spans="1:26" ht="39.75" customHeight="1">
      <c r="A124" s="171"/>
      <c r="B124" s="171"/>
      <c r="C124" s="171"/>
      <c r="D124" s="5">
        <v>117</v>
      </c>
      <c r="E124" s="5" t="s">
        <v>224</v>
      </c>
      <c r="F124" s="5"/>
      <c r="G124" s="5"/>
      <c r="H124" s="5"/>
      <c r="I124" s="5"/>
      <c r="J124" s="5"/>
      <c r="K124" s="5"/>
      <c r="L124" s="5"/>
      <c r="M124" s="5"/>
      <c r="N124" s="5"/>
      <c r="O124" s="5"/>
      <c r="P124" s="5"/>
      <c r="Q124" s="5"/>
      <c r="R124" s="5"/>
      <c r="S124" s="5"/>
      <c r="T124" s="6">
        <f t="shared" si="4"/>
        <v>0</v>
      </c>
      <c r="U124" s="46"/>
      <c r="V124" s="1"/>
      <c r="W124" s="1"/>
      <c r="X124" s="1"/>
      <c r="Y124" s="1"/>
      <c r="Z124" s="1"/>
    </row>
    <row r="125" spans="1:26" ht="39.75" customHeight="1">
      <c r="A125" s="171"/>
      <c r="B125" s="169"/>
      <c r="C125" s="169"/>
      <c r="D125" s="5">
        <v>118</v>
      </c>
      <c r="E125" s="5" t="s">
        <v>54</v>
      </c>
      <c r="F125" s="5"/>
      <c r="G125" s="5"/>
      <c r="H125" s="5"/>
      <c r="I125" s="5"/>
      <c r="J125" s="5"/>
      <c r="K125" s="5"/>
      <c r="L125" s="5"/>
      <c r="M125" s="5"/>
      <c r="N125" s="5"/>
      <c r="O125" s="5"/>
      <c r="P125" s="5"/>
      <c r="Q125" s="6"/>
      <c r="R125" s="5"/>
      <c r="S125" s="5"/>
      <c r="T125" s="6">
        <f t="shared" si="4"/>
        <v>0</v>
      </c>
      <c r="U125" s="9"/>
      <c r="V125" s="1"/>
      <c r="W125" s="1"/>
      <c r="X125" s="1"/>
      <c r="Y125" s="1"/>
      <c r="Z125" s="1"/>
    </row>
    <row r="126" spans="1:26" ht="39.75" customHeight="1">
      <c r="A126" s="171"/>
      <c r="B126" s="5" t="s">
        <v>225</v>
      </c>
      <c r="C126" s="5" t="s">
        <v>226</v>
      </c>
      <c r="D126" s="5">
        <v>119</v>
      </c>
      <c r="E126" s="5" t="s">
        <v>227</v>
      </c>
      <c r="F126" s="5"/>
      <c r="G126" s="5"/>
      <c r="H126" s="8">
        <v>0</v>
      </c>
      <c r="I126" s="6">
        <v>1</v>
      </c>
      <c r="J126" s="5"/>
      <c r="K126" s="5"/>
      <c r="L126" s="5"/>
      <c r="M126" s="5"/>
      <c r="N126" s="6">
        <v>1</v>
      </c>
      <c r="O126" s="5"/>
      <c r="P126" s="8">
        <v>8</v>
      </c>
      <c r="Q126" s="6">
        <v>2</v>
      </c>
      <c r="R126" s="5"/>
      <c r="S126" s="5"/>
      <c r="T126" s="6">
        <f t="shared" si="4"/>
        <v>12</v>
      </c>
      <c r="U126" s="113" t="s">
        <v>678</v>
      </c>
      <c r="V126" s="1"/>
      <c r="W126" s="1"/>
      <c r="X126" s="1"/>
      <c r="Y126" s="1"/>
      <c r="Z126" s="1"/>
    </row>
    <row r="127" spans="1:26" ht="39.75" customHeight="1">
      <c r="A127" s="171"/>
      <c r="B127" s="5" t="s">
        <v>228</v>
      </c>
      <c r="C127" s="5" t="s">
        <v>229</v>
      </c>
      <c r="D127" s="5">
        <v>120</v>
      </c>
      <c r="E127" s="5" t="s">
        <v>230</v>
      </c>
      <c r="F127" s="5"/>
      <c r="G127" s="5"/>
      <c r="H127" s="5"/>
      <c r="I127" s="5"/>
      <c r="J127" s="5"/>
      <c r="K127" s="8">
        <v>1</v>
      </c>
      <c r="L127" s="5"/>
      <c r="M127" s="8">
        <v>1.68</v>
      </c>
      <c r="N127" s="6"/>
      <c r="O127" s="5"/>
      <c r="P127" s="8"/>
      <c r="Q127" s="6">
        <v>3</v>
      </c>
      <c r="R127" s="8">
        <v>1.6</v>
      </c>
      <c r="S127" s="5"/>
      <c r="T127" s="6">
        <f t="shared" si="4"/>
        <v>7.2799999999999994</v>
      </c>
      <c r="U127" s="10" t="s">
        <v>404</v>
      </c>
      <c r="V127" s="1"/>
      <c r="W127" s="1"/>
      <c r="X127" s="1"/>
      <c r="Y127" s="1"/>
      <c r="Z127" s="1"/>
    </row>
    <row r="128" spans="1:26" ht="39.75" customHeight="1">
      <c r="A128" s="171"/>
      <c r="B128" s="168" t="s">
        <v>231</v>
      </c>
      <c r="C128" s="168" t="s">
        <v>232</v>
      </c>
      <c r="D128" s="5">
        <v>121</v>
      </c>
      <c r="E128" s="5" t="s">
        <v>233</v>
      </c>
      <c r="F128" s="5"/>
      <c r="G128" s="5"/>
      <c r="H128" s="5"/>
      <c r="I128" s="6"/>
      <c r="J128" s="5"/>
      <c r="K128" s="5"/>
      <c r="L128" s="5"/>
      <c r="M128" s="5"/>
      <c r="N128" s="5"/>
      <c r="O128" s="5"/>
      <c r="P128" s="5"/>
      <c r="Q128" s="5"/>
      <c r="R128" s="5"/>
      <c r="S128" s="5"/>
      <c r="T128" s="6">
        <f t="shared" si="4"/>
        <v>0</v>
      </c>
      <c r="U128" s="10"/>
      <c r="V128" s="18"/>
      <c r="W128" s="1"/>
      <c r="X128" s="1"/>
      <c r="Y128" s="1"/>
      <c r="Z128" s="1"/>
    </row>
    <row r="129" spans="1:26" ht="39.75" customHeight="1">
      <c r="A129" s="171"/>
      <c r="B129" s="171"/>
      <c r="C129" s="171"/>
      <c r="D129" s="5">
        <v>122</v>
      </c>
      <c r="E129" s="5" t="s">
        <v>234</v>
      </c>
      <c r="F129" s="5"/>
      <c r="G129" s="5"/>
      <c r="H129" s="5"/>
      <c r="I129" s="5"/>
      <c r="J129" s="5"/>
      <c r="K129" s="5"/>
      <c r="L129" s="5"/>
      <c r="M129" s="5"/>
      <c r="N129" s="5"/>
      <c r="O129" s="5"/>
      <c r="P129" s="5"/>
      <c r="Q129" s="5"/>
      <c r="R129" s="5"/>
      <c r="S129" s="5"/>
      <c r="T129" s="6">
        <f t="shared" si="4"/>
        <v>0</v>
      </c>
      <c r="U129" s="10"/>
      <c r="V129" s="18"/>
      <c r="W129" s="1"/>
      <c r="X129" s="1"/>
      <c r="Y129" s="1"/>
      <c r="Z129" s="1"/>
    </row>
    <row r="130" spans="1:26" ht="39.75" customHeight="1">
      <c r="A130" s="171"/>
      <c r="B130" s="169"/>
      <c r="C130" s="169"/>
      <c r="D130" s="5">
        <v>123</v>
      </c>
      <c r="E130" s="5" t="s">
        <v>235</v>
      </c>
      <c r="F130" s="5"/>
      <c r="G130" s="5"/>
      <c r="H130" s="5"/>
      <c r="I130" s="5"/>
      <c r="J130" s="5"/>
      <c r="K130" s="5"/>
      <c r="L130" s="5"/>
      <c r="M130" s="5"/>
      <c r="N130" s="5"/>
      <c r="O130" s="5"/>
      <c r="P130" s="8">
        <v>0</v>
      </c>
      <c r="Q130" s="6">
        <v>2</v>
      </c>
      <c r="R130" s="5"/>
      <c r="S130" s="5"/>
      <c r="T130" s="6">
        <f t="shared" si="4"/>
        <v>2</v>
      </c>
      <c r="U130" s="10" t="s">
        <v>236</v>
      </c>
      <c r="V130" s="18"/>
      <c r="W130" s="1"/>
      <c r="X130" s="1"/>
      <c r="Y130" s="1"/>
      <c r="Z130" s="1"/>
    </row>
    <row r="131" spans="1:26" ht="39.75" customHeight="1">
      <c r="A131" s="171"/>
      <c r="B131" s="168" t="s">
        <v>237</v>
      </c>
      <c r="C131" s="168" t="s">
        <v>238</v>
      </c>
      <c r="D131" s="5">
        <v>124</v>
      </c>
      <c r="E131" s="5" t="s">
        <v>239</v>
      </c>
      <c r="F131" s="5"/>
      <c r="G131" s="5"/>
      <c r="H131" s="8"/>
      <c r="I131" s="5"/>
      <c r="J131" s="5"/>
      <c r="K131" s="5"/>
      <c r="L131" s="5"/>
      <c r="M131" s="5"/>
      <c r="N131" s="5"/>
      <c r="O131" s="5"/>
      <c r="P131" s="5"/>
      <c r="Q131" s="8">
        <v>2</v>
      </c>
      <c r="R131" s="5"/>
      <c r="S131" s="5"/>
      <c r="T131" s="6">
        <f t="shared" si="4"/>
        <v>2</v>
      </c>
      <c r="U131" s="10" t="s">
        <v>240</v>
      </c>
      <c r="V131" s="1"/>
      <c r="W131" s="1"/>
      <c r="X131" s="1"/>
      <c r="Y131" s="1"/>
      <c r="Z131" s="1"/>
    </row>
    <row r="132" spans="1:26" ht="39.75" customHeight="1">
      <c r="A132" s="171"/>
      <c r="B132" s="169"/>
      <c r="C132" s="169"/>
      <c r="D132" s="5">
        <v>125</v>
      </c>
      <c r="E132" s="5" t="s">
        <v>241</v>
      </c>
      <c r="F132" s="5"/>
      <c r="G132" s="5"/>
      <c r="H132" s="8"/>
      <c r="I132" s="5"/>
      <c r="J132" s="5"/>
      <c r="K132" s="5"/>
      <c r="L132" s="5"/>
      <c r="M132" s="5"/>
      <c r="N132" s="5"/>
      <c r="O132" s="5"/>
      <c r="P132" s="5"/>
      <c r="Q132" s="5"/>
      <c r="R132" s="5"/>
      <c r="S132" s="5"/>
      <c r="T132" s="6">
        <f t="shared" si="4"/>
        <v>0</v>
      </c>
      <c r="U132" s="9"/>
      <c r="V132" s="1"/>
      <c r="W132" s="1"/>
      <c r="X132" s="1"/>
      <c r="Y132" s="1"/>
      <c r="Z132" s="1"/>
    </row>
    <row r="133" spans="1:26" ht="39.75" customHeight="1">
      <c r="A133" s="171"/>
      <c r="B133" s="5" t="s">
        <v>242</v>
      </c>
      <c r="C133" s="5" t="s">
        <v>243</v>
      </c>
      <c r="D133" s="5">
        <v>126</v>
      </c>
      <c r="E133" s="5" t="s">
        <v>167</v>
      </c>
      <c r="F133" s="5"/>
      <c r="G133" s="5"/>
      <c r="H133" s="5"/>
      <c r="I133" s="5"/>
      <c r="J133" s="5"/>
      <c r="K133" s="5"/>
      <c r="L133" s="5"/>
      <c r="M133" s="5"/>
      <c r="N133" s="5"/>
      <c r="O133" s="5"/>
      <c r="P133" s="5"/>
      <c r="Q133" s="5"/>
      <c r="R133" s="5"/>
      <c r="S133" s="5"/>
      <c r="T133" s="6">
        <f t="shared" si="4"/>
        <v>0</v>
      </c>
      <c r="U133" s="9"/>
      <c r="V133" s="1"/>
      <c r="W133" s="1"/>
      <c r="X133" s="1"/>
      <c r="Y133" s="1"/>
      <c r="Z133" s="1"/>
    </row>
    <row r="134" spans="1:26" ht="39.75" customHeight="1">
      <c r="A134" s="169"/>
      <c r="B134" s="176" t="s">
        <v>244</v>
      </c>
      <c r="C134" s="177"/>
      <c r="D134" s="178"/>
      <c r="E134" s="51"/>
      <c r="F134" s="51">
        <f t="shared" ref="F134:S134" si="8">SUM(F94:F133)</f>
        <v>0</v>
      </c>
      <c r="G134" s="51">
        <f t="shared" si="8"/>
        <v>0</v>
      </c>
      <c r="H134" s="51">
        <f t="shared" si="8"/>
        <v>0</v>
      </c>
      <c r="I134" s="51">
        <f t="shared" si="8"/>
        <v>8.9499999999999993</v>
      </c>
      <c r="J134" s="51">
        <f t="shared" si="8"/>
        <v>0</v>
      </c>
      <c r="K134" s="52">
        <f t="shared" si="8"/>
        <v>10</v>
      </c>
      <c r="L134" s="51">
        <f t="shared" si="8"/>
        <v>0</v>
      </c>
      <c r="M134" s="51">
        <f t="shared" si="8"/>
        <v>21.189999999999998</v>
      </c>
      <c r="N134" s="51">
        <f t="shared" si="8"/>
        <v>14.3</v>
      </c>
      <c r="O134" s="51">
        <f t="shared" si="8"/>
        <v>14.141999999999999</v>
      </c>
      <c r="P134" s="51">
        <f t="shared" si="8"/>
        <v>74.8</v>
      </c>
      <c r="Q134" s="51">
        <f t="shared" si="8"/>
        <v>35.099999999999994</v>
      </c>
      <c r="R134" s="51">
        <f t="shared" si="8"/>
        <v>34.75</v>
      </c>
      <c r="S134" s="51">
        <f t="shared" si="8"/>
        <v>0</v>
      </c>
      <c r="T134" s="52">
        <f t="shared" ref="T134:T197" si="9">SUM(F134:S134)</f>
        <v>213.232</v>
      </c>
      <c r="U134" s="9"/>
      <c r="V134" s="1"/>
      <c r="W134" s="1"/>
      <c r="X134" s="1"/>
      <c r="Y134" s="1"/>
      <c r="Z134" s="1"/>
    </row>
    <row r="135" spans="1:26" ht="39.75" customHeight="1">
      <c r="A135" s="175" t="s">
        <v>245</v>
      </c>
      <c r="B135" s="168" t="s">
        <v>246</v>
      </c>
      <c r="C135" s="168" t="s">
        <v>247</v>
      </c>
      <c r="D135" s="5">
        <v>127</v>
      </c>
      <c r="E135" s="5" t="s">
        <v>248</v>
      </c>
      <c r="F135" s="98"/>
      <c r="G135" s="98"/>
      <c r="H135" s="98"/>
      <c r="I135" s="98"/>
      <c r="J135" s="98"/>
      <c r="K135" s="98"/>
      <c r="L135" s="98"/>
      <c r="M135" s="98"/>
      <c r="N135" s="98"/>
      <c r="O135" s="98"/>
      <c r="P135" s="98"/>
      <c r="Q135" s="98"/>
      <c r="R135" s="98"/>
      <c r="S135" s="98"/>
      <c r="T135" s="99">
        <f t="shared" si="9"/>
        <v>0</v>
      </c>
      <c r="U135" s="100"/>
      <c r="V135" s="1"/>
      <c r="W135" s="1"/>
      <c r="X135" s="1"/>
      <c r="Y135" s="1"/>
      <c r="Z135" s="1"/>
    </row>
    <row r="136" spans="1:26" ht="39.75" customHeight="1">
      <c r="A136" s="171"/>
      <c r="B136" s="169"/>
      <c r="C136" s="169"/>
      <c r="D136" s="5">
        <v>128</v>
      </c>
      <c r="E136" s="5" t="s">
        <v>249</v>
      </c>
      <c r="F136" s="98"/>
      <c r="G136" s="98"/>
      <c r="H136" s="98"/>
      <c r="I136" s="98"/>
      <c r="J136" s="98"/>
      <c r="K136" s="99"/>
      <c r="L136" s="98"/>
      <c r="M136" s="98"/>
      <c r="N136" s="99"/>
      <c r="O136" s="98"/>
      <c r="P136" s="99"/>
      <c r="Q136" s="99">
        <f>(5*0.75)+(5*0.1)</f>
        <v>4.25</v>
      </c>
      <c r="R136" s="98"/>
      <c r="S136" s="98"/>
      <c r="T136" s="99">
        <f t="shared" si="9"/>
        <v>4.25</v>
      </c>
      <c r="U136" s="101" t="s">
        <v>662</v>
      </c>
      <c r="V136" s="1"/>
      <c r="W136" s="1"/>
      <c r="X136" s="1"/>
      <c r="Y136" s="1"/>
      <c r="Z136" s="1"/>
    </row>
    <row r="137" spans="1:26" ht="39.75" customHeight="1">
      <c r="A137" s="171"/>
      <c r="B137" s="28"/>
      <c r="C137" s="28"/>
      <c r="D137" s="5">
        <v>129</v>
      </c>
      <c r="E137" s="5" t="s">
        <v>250</v>
      </c>
      <c r="F137" s="98"/>
      <c r="G137" s="98"/>
      <c r="H137" s="98"/>
      <c r="I137" s="98"/>
      <c r="J137" s="98"/>
      <c r="K137" s="98"/>
      <c r="L137" s="98"/>
      <c r="M137" s="98"/>
      <c r="N137" s="98"/>
      <c r="O137" s="98"/>
      <c r="P137" s="98"/>
      <c r="Q137" s="98"/>
      <c r="R137" s="98"/>
      <c r="S137" s="98"/>
      <c r="T137" s="99">
        <f t="shared" si="9"/>
        <v>0</v>
      </c>
      <c r="U137" s="100"/>
      <c r="V137" s="1"/>
      <c r="W137" s="1"/>
      <c r="X137" s="1"/>
      <c r="Y137" s="1"/>
      <c r="Z137" s="1"/>
    </row>
    <row r="138" spans="1:26" ht="39.75" customHeight="1">
      <c r="A138" s="171"/>
      <c r="B138" s="168" t="s">
        <v>251</v>
      </c>
      <c r="C138" s="168" t="s">
        <v>252</v>
      </c>
      <c r="D138" s="5">
        <v>130</v>
      </c>
      <c r="E138" s="5" t="s">
        <v>253</v>
      </c>
      <c r="F138" s="98"/>
      <c r="G138" s="98"/>
      <c r="H138" s="98"/>
      <c r="I138" s="98"/>
      <c r="J138" s="98"/>
      <c r="K138" s="98"/>
      <c r="L138" s="98"/>
      <c r="M138" s="98"/>
      <c r="N138" s="98"/>
      <c r="O138" s="98"/>
      <c r="P138" s="98"/>
      <c r="Q138" s="98"/>
      <c r="R138" s="98"/>
      <c r="S138" s="98"/>
      <c r="T138" s="99">
        <f t="shared" si="9"/>
        <v>0</v>
      </c>
      <c r="U138" s="100"/>
      <c r="V138" s="1"/>
      <c r="W138" s="1"/>
      <c r="X138" s="1"/>
      <c r="Y138" s="1"/>
      <c r="Z138" s="1"/>
    </row>
    <row r="139" spans="1:26" ht="39.75" customHeight="1">
      <c r="A139" s="171"/>
      <c r="B139" s="171"/>
      <c r="C139" s="171"/>
      <c r="D139" s="5">
        <v>131</v>
      </c>
      <c r="E139" s="5" t="s">
        <v>254</v>
      </c>
      <c r="F139" s="98"/>
      <c r="G139" s="98"/>
      <c r="H139" s="98"/>
      <c r="I139" s="98"/>
      <c r="J139" s="98"/>
      <c r="K139" s="98"/>
      <c r="L139" s="98"/>
      <c r="M139" s="98"/>
      <c r="N139" s="99">
        <f>0.01*54</f>
        <v>0.54</v>
      </c>
      <c r="O139" s="98"/>
      <c r="P139" s="98"/>
      <c r="Q139" s="98"/>
      <c r="R139" s="98"/>
      <c r="S139" s="98"/>
      <c r="T139" s="99">
        <f t="shared" si="9"/>
        <v>0.54</v>
      </c>
      <c r="U139" s="102" t="s">
        <v>667</v>
      </c>
      <c r="V139" s="1"/>
      <c r="W139" s="1"/>
      <c r="X139" s="1"/>
      <c r="Y139" s="1"/>
      <c r="Z139" s="1"/>
    </row>
    <row r="140" spans="1:26" ht="39.75" customHeight="1">
      <c r="A140" s="171"/>
      <c r="B140" s="171"/>
      <c r="C140" s="171"/>
      <c r="D140" s="5">
        <v>132</v>
      </c>
      <c r="E140" s="5" t="s">
        <v>255</v>
      </c>
      <c r="F140" s="98"/>
      <c r="G140" s="98"/>
      <c r="H140" s="98"/>
      <c r="I140" s="98"/>
      <c r="J140" s="98"/>
      <c r="K140" s="98"/>
      <c r="L140" s="98"/>
      <c r="M140" s="98"/>
      <c r="N140" s="98"/>
      <c r="O140" s="98"/>
      <c r="P140" s="98"/>
      <c r="Q140" s="98"/>
      <c r="R140" s="98"/>
      <c r="S140" s="98"/>
      <c r="T140" s="99">
        <f t="shared" si="9"/>
        <v>0</v>
      </c>
      <c r="U140" s="100"/>
      <c r="V140" s="1"/>
      <c r="W140" s="1"/>
      <c r="X140" s="1"/>
      <c r="Y140" s="1"/>
      <c r="Z140" s="1"/>
    </row>
    <row r="141" spans="1:26" ht="39.75" customHeight="1">
      <c r="A141" s="171"/>
      <c r="B141" s="171"/>
      <c r="C141" s="171"/>
      <c r="D141" s="5">
        <v>133</v>
      </c>
      <c r="E141" s="5" t="s">
        <v>256</v>
      </c>
      <c r="F141" s="98"/>
      <c r="G141" s="98"/>
      <c r="H141" s="98"/>
      <c r="I141" s="98"/>
      <c r="J141" s="98"/>
      <c r="K141" s="98"/>
      <c r="L141" s="98"/>
      <c r="M141" s="98"/>
      <c r="N141" s="98"/>
      <c r="O141" s="98"/>
      <c r="P141" s="98"/>
      <c r="Q141" s="98"/>
      <c r="R141" s="98"/>
      <c r="S141" s="98"/>
      <c r="T141" s="99">
        <f t="shared" si="9"/>
        <v>0</v>
      </c>
      <c r="U141" s="100"/>
      <c r="V141" s="1"/>
      <c r="W141" s="1"/>
      <c r="X141" s="1"/>
      <c r="Y141" s="1"/>
      <c r="Z141" s="1"/>
    </row>
    <row r="142" spans="1:26" ht="39.75" customHeight="1">
      <c r="A142" s="171"/>
      <c r="B142" s="171"/>
      <c r="C142" s="171"/>
      <c r="D142" s="5">
        <v>134</v>
      </c>
      <c r="E142" s="5" t="s">
        <v>257</v>
      </c>
      <c r="F142" s="98"/>
      <c r="G142" s="98"/>
      <c r="H142" s="98"/>
      <c r="I142" s="98"/>
      <c r="J142" s="98"/>
      <c r="K142" s="98"/>
      <c r="L142" s="98"/>
      <c r="M142" s="98"/>
      <c r="N142" s="98"/>
      <c r="O142" s="98"/>
      <c r="P142" s="99">
        <f>(25*0.005*12)+(25*0.0025*12)+(5*4*0.1)</f>
        <v>4.25</v>
      </c>
      <c r="Q142" s="98"/>
      <c r="R142" s="98"/>
      <c r="S142" s="98"/>
      <c r="T142" s="99">
        <f t="shared" si="9"/>
        <v>4.25</v>
      </c>
      <c r="U142" s="100" t="s">
        <v>258</v>
      </c>
      <c r="V142" s="1"/>
      <c r="W142" s="1"/>
      <c r="X142" s="1"/>
      <c r="Y142" s="1"/>
      <c r="Z142" s="1"/>
    </row>
    <row r="143" spans="1:26" ht="39.75" customHeight="1">
      <c r="A143" s="171"/>
      <c r="B143" s="171"/>
      <c r="C143" s="171"/>
      <c r="D143" s="5">
        <v>135</v>
      </c>
      <c r="E143" s="5" t="s">
        <v>259</v>
      </c>
      <c r="F143" s="98"/>
      <c r="G143" s="98"/>
      <c r="H143" s="98"/>
      <c r="I143" s="98"/>
      <c r="J143" s="98"/>
      <c r="K143" s="98"/>
      <c r="L143" s="98"/>
      <c r="M143" s="98"/>
      <c r="N143" s="98"/>
      <c r="O143" s="98"/>
      <c r="P143" s="98"/>
      <c r="Q143" s="98"/>
      <c r="R143" s="98"/>
      <c r="S143" s="98"/>
      <c r="T143" s="99">
        <f t="shared" si="9"/>
        <v>0</v>
      </c>
      <c r="U143" s="100"/>
      <c r="V143" s="1"/>
      <c r="W143" s="1"/>
      <c r="X143" s="1"/>
      <c r="Y143" s="1"/>
      <c r="Z143" s="1"/>
    </row>
    <row r="144" spans="1:26" ht="39.75" customHeight="1">
      <c r="A144" s="171"/>
      <c r="B144" s="169"/>
      <c r="C144" s="169"/>
      <c r="D144" s="5">
        <v>136</v>
      </c>
      <c r="E144" s="5" t="s">
        <v>260</v>
      </c>
      <c r="F144" s="98"/>
      <c r="G144" s="98"/>
      <c r="H144" s="98"/>
      <c r="I144" s="98"/>
      <c r="J144" s="98"/>
      <c r="K144" s="98"/>
      <c r="L144" s="98"/>
      <c r="M144" s="98"/>
      <c r="N144" s="98"/>
      <c r="O144" s="98"/>
      <c r="P144" s="99"/>
      <c r="Q144" s="98"/>
      <c r="R144" s="98"/>
      <c r="S144" s="98"/>
      <c r="T144" s="99">
        <f t="shared" si="9"/>
        <v>0</v>
      </c>
      <c r="U144" s="101"/>
      <c r="V144" s="1"/>
      <c r="W144" s="1"/>
      <c r="X144" s="1"/>
      <c r="Y144" s="1"/>
      <c r="Z144" s="1"/>
    </row>
    <row r="145" spans="1:26" ht="39.75" customHeight="1">
      <c r="A145" s="171"/>
      <c r="B145" s="168" t="s">
        <v>261</v>
      </c>
      <c r="C145" s="168" t="s">
        <v>262</v>
      </c>
      <c r="D145" s="5">
        <v>137</v>
      </c>
      <c r="E145" s="5" t="s">
        <v>263</v>
      </c>
      <c r="F145" s="98"/>
      <c r="G145" s="98"/>
      <c r="H145" s="98"/>
      <c r="I145" s="98"/>
      <c r="J145" s="98"/>
      <c r="K145" s="98"/>
      <c r="L145" s="98"/>
      <c r="M145" s="99"/>
      <c r="N145" s="98"/>
      <c r="O145" s="98"/>
      <c r="P145" s="99">
        <f>0.24*5</f>
        <v>1.2</v>
      </c>
      <c r="Q145" s="98"/>
      <c r="R145" s="98"/>
      <c r="S145" s="98"/>
      <c r="T145" s="99">
        <f t="shared" si="9"/>
        <v>1.2</v>
      </c>
      <c r="U145" s="101" t="s">
        <v>264</v>
      </c>
      <c r="V145" s="1"/>
      <c r="W145" s="1"/>
      <c r="X145" s="1"/>
      <c r="Y145" s="1"/>
      <c r="Z145" s="1"/>
    </row>
    <row r="146" spans="1:26" ht="39.75" customHeight="1">
      <c r="A146" s="171"/>
      <c r="B146" s="169"/>
      <c r="C146" s="169"/>
      <c r="D146" s="5">
        <v>138</v>
      </c>
      <c r="E146" s="5" t="s">
        <v>265</v>
      </c>
      <c r="F146" s="103"/>
      <c r="G146" s="103"/>
      <c r="H146" s="104"/>
      <c r="I146" s="104"/>
      <c r="J146" s="103"/>
      <c r="K146" s="104"/>
      <c r="L146" s="103"/>
      <c r="M146" s="104"/>
      <c r="N146" s="103"/>
      <c r="O146" s="103"/>
      <c r="P146" s="103"/>
      <c r="Q146" s="103"/>
      <c r="R146" s="103"/>
      <c r="S146" s="103"/>
      <c r="T146" s="104">
        <f t="shared" si="9"/>
        <v>0</v>
      </c>
      <c r="U146" s="105"/>
      <c r="V146" s="1"/>
      <c r="W146" s="1"/>
      <c r="X146" s="1"/>
      <c r="Y146" s="1"/>
      <c r="Z146" s="1"/>
    </row>
    <row r="147" spans="1:26" ht="39.75" customHeight="1">
      <c r="A147" s="171"/>
      <c r="B147" s="168" t="s">
        <v>266</v>
      </c>
      <c r="C147" s="168" t="s">
        <v>267</v>
      </c>
      <c r="D147" s="5">
        <v>139</v>
      </c>
      <c r="E147" s="5" t="s">
        <v>268</v>
      </c>
      <c r="F147" s="98"/>
      <c r="G147" s="98"/>
      <c r="H147" s="98"/>
      <c r="I147" s="98"/>
      <c r="J147" s="98"/>
      <c r="K147" s="98"/>
      <c r="L147" s="98"/>
      <c r="M147" s="98"/>
      <c r="N147" s="99"/>
      <c r="O147" s="98"/>
      <c r="P147" s="99">
        <v>5</v>
      </c>
      <c r="Q147" s="98"/>
      <c r="R147" s="99"/>
      <c r="S147" s="98"/>
      <c r="T147" s="99">
        <f t="shared" si="9"/>
        <v>5</v>
      </c>
      <c r="U147" s="101" t="s">
        <v>668</v>
      </c>
      <c r="V147" s="1"/>
      <c r="W147" s="1"/>
      <c r="X147" s="1"/>
      <c r="Y147" s="1"/>
      <c r="Z147" s="1"/>
    </row>
    <row r="148" spans="1:26" ht="39.75" customHeight="1">
      <c r="A148" s="171"/>
      <c r="B148" s="171"/>
      <c r="C148" s="171"/>
      <c r="D148" s="5">
        <v>140</v>
      </c>
      <c r="E148" s="5" t="s">
        <v>269</v>
      </c>
      <c r="F148" s="98"/>
      <c r="G148" s="98"/>
      <c r="H148" s="98"/>
      <c r="I148" s="98"/>
      <c r="J148" s="98"/>
      <c r="K148" s="98"/>
      <c r="L148" s="98"/>
      <c r="M148" s="98"/>
      <c r="N148" s="98"/>
      <c r="O148" s="98"/>
      <c r="P148" s="99">
        <f>5+(5*0.055)+(0.08*2)</f>
        <v>5.4350000000000005</v>
      </c>
      <c r="Q148" s="98"/>
      <c r="R148" s="98"/>
      <c r="S148" s="98"/>
      <c r="T148" s="99">
        <f t="shared" si="9"/>
        <v>5.4350000000000005</v>
      </c>
      <c r="U148" s="101" t="s">
        <v>666</v>
      </c>
      <c r="V148" s="1"/>
      <c r="W148" s="1"/>
      <c r="X148" s="1"/>
      <c r="Y148" s="1"/>
      <c r="Z148" s="1"/>
    </row>
    <row r="149" spans="1:26" ht="39.75" customHeight="1">
      <c r="A149" s="171"/>
      <c r="B149" s="169"/>
      <c r="C149" s="169"/>
      <c r="D149" s="5">
        <v>141</v>
      </c>
      <c r="E149" s="5" t="s">
        <v>270</v>
      </c>
      <c r="F149" s="98"/>
      <c r="G149" s="98"/>
      <c r="H149" s="98"/>
      <c r="I149" s="98"/>
      <c r="J149" s="98"/>
      <c r="K149" s="98"/>
      <c r="L149" s="98"/>
      <c r="M149" s="98"/>
      <c r="N149" s="98"/>
      <c r="O149" s="98"/>
      <c r="P149" s="98"/>
      <c r="Q149" s="98"/>
      <c r="R149" s="98"/>
      <c r="S149" s="98"/>
      <c r="T149" s="99">
        <f t="shared" si="9"/>
        <v>0</v>
      </c>
      <c r="U149" s="100"/>
      <c r="V149" s="1"/>
      <c r="W149" s="1"/>
      <c r="X149" s="1"/>
      <c r="Y149" s="1"/>
      <c r="Z149" s="1"/>
    </row>
    <row r="150" spans="1:26" ht="39.75" customHeight="1">
      <c r="A150" s="171"/>
      <c r="B150" s="168" t="s">
        <v>271</v>
      </c>
      <c r="C150" s="168" t="s">
        <v>272</v>
      </c>
      <c r="D150" s="5">
        <v>142</v>
      </c>
      <c r="E150" s="5" t="s">
        <v>273</v>
      </c>
      <c r="F150" s="98"/>
      <c r="G150" s="98"/>
      <c r="H150" s="98"/>
      <c r="I150" s="98"/>
      <c r="J150" s="98"/>
      <c r="K150" s="98"/>
      <c r="L150" s="98"/>
      <c r="M150" s="98"/>
      <c r="N150" s="98"/>
      <c r="O150" s="98"/>
      <c r="P150" s="98"/>
      <c r="Q150" s="98"/>
      <c r="R150" s="98">
        <v>226.42</v>
      </c>
      <c r="S150" s="98"/>
      <c r="T150" s="99">
        <f t="shared" si="9"/>
        <v>226.42</v>
      </c>
      <c r="U150" s="100"/>
      <c r="V150" s="1"/>
      <c r="W150" s="1"/>
      <c r="X150" s="1"/>
      <c r="Y150" s="1"/>
      <c r="Z150" s="1"/>
    </row>
    <row r="151" spans="1:26" ht="39.75" customHeight="1">
      <c r="A151" s="171"/>
      <c r="B151" s="171"/>
      <c r="C151" s="171"/>
      <c r="D151" s="5">
        <v>143</v>
      </c>
      <c r="E151" s="5" t="s">
        <v>274</v>
      </c>
      <c r="F151" s="98"/>
      <c r="G151" s="98"/>
      <c r="H151" s="98"/>
      <c r="I151" s="98"/>
      <c r="J151" s="98"/>
      <c r="K151" s="98"/>
      <c r="L151" s="98"/>
      <c r="M151" s="98"/>
      <c r="N151" s="98"/>
      <c r="O151" s="98"/>
      <c r="P151" s="98"/>
      <c r="Q151" s="98"/>
      <c r="R151" s="98"/>
      <c r="S151" s="98"/>
      <c r="T151" s="99">
        <f t="shared" si="9"/>
        <v>0</v>
      </c>
      <c r="U151" s="100"/>
      <c r="V151" s="1"/>
      <c r="W151" s="1"/>
      <c r="X151" s="1"/>
      <c r="Y151" s="1"/>
      <c r="Z151" s="1"/>
    </row>
    <row r="152" spans="1:26" ht="39.75" customHeight="1">
      <c r="A152" s="171"/>
      <c r="B152" s="171"/>
      <c r="C152" s="171"/>
      <c r="D152" s="5">
        <v>144</v>
      </c>
      <c r="E152" s="5" t="s">
        <v>275</v>
      </c>
      <c r="F152" s="98"/>
      <c r="G152" s="98"/>
      <c r="H152" s="98"/>
      <c r="I152" s="98"/>
      <c r="J152" s="98"/>
      <c r="K152" s="98"/>
      <c r="L152" s="98"/>
      <c r="M152" s="98"/>
      <c r="N152" s="98"/>
      <c r="O152" s="98"/>
      <c r="P152" s="98"/>
      <c r="Q152" s="98"/>
      <c r="R152" s="98"/>
      <c r="S152" s="98"/>
      <c r="T152" s="99">
        <f t="shared" si="9"/>
        <v>0</v>
      </c>
      <c r="U152" s="100"/>
      <c r="V152" s="1"/>
      <c r="W152" s="1"/>
      <c r="X152" s="1"/>
      <c r="Y152" s="1"/>
      <c r="Z152" s="1"/>
    </row>
    <row r="153" spans="1:26" ht="39.75" customHeight="1">
      <c r="A153" s="171"/>
      <c r="B153" s="169"/>
      <c r="C153" s="169"/>
      <c r="D153" s="5">
        <v>145</v>
      </c>
      <c r="E153" s="5" t="s">
        <v>276</v>
      </c>
      <c r="F153" s="98"/>
      <c r="G153" s="98"/>
      <c r="H153" s="98"/>
      <c r="I153" s="98"/>
      <c r="J153" s="98"/>
      <c r="K153" s="98"/>
      <c r="L153" s="98"/>
      <c r="M153" s="98"/>
      <c r="N153" s="98"/>
      <c r="O153" s="98"/>
      <c r="P153" s="98"/>
      <c r="Q153" s="98"/>
      <c r="R153" s="98"/>
      <c r="S153" s="98"/>
      <c r="T153" s="99">
        <f t="shared" si="9"/>
        <v>0</v>
      </c>
      <c r="U153" s="100"/>
      <c r="V153" s="1"/>
      <c r="W153" s="1"/>
      <c r="X153" s="1"/>
      <c r="Y153" s="1"/>
      <c r="Z153" s="1"/>
    </row>
    <row r="154" spans="1:26" ht="39.75" customHeight="1">
      <c r="A154" s="171"/>
      <c r="B154" s="5" t="s">
        <v>277</v>
      </c>
      <c r="C154" s="5" t="s">
        <v>278</v>
      </c>
      <c r="D154" s="5">
        <v>146</v>
      </c>
      <c r="E154" s="5" t="s">
        <v>279</v>
      </c>
      <c r="F154" s="98"/>
      <c r="G154" s="98"/>
      <c r="H154" s="98"/>
      <c r="I154" s="98"/>
      <c r="J154" s="98"/>
      <c r="K154" s="98"/>
      <c r="L154" s="98"/>
      <c r="M154" s="98"/>
      <c r="N154" s="98"/>
      <c r="O154" s="98"/>
      <c r="P154" s="98"/>
      <c r="Q154" s="98"/>
      <c r="R154" s="99">
        <v>5.4</v>
      </c>
      <c r="S154" s="98"/>
      <c r="T154" s="99">
        <f t="shared" si="9"/>
        <v>5.4</v>
      </c>
      <c r="U154" s="102" t="s">
        <v>280</v>
      </c>
      <c r="V154" s="1"/>
      <c r="W154" s="1"/>
      <c r="X154" s="1"/>
      <c r="Y154" s="1"/>
      <c r="Z154" s="1"/>
    </row>
    <row r="155" spans="1:26" ht="39.75" customHeight="1">
      <c r="A155" s="171"/>
      <c r="B155" s="5" t="s">
        <v>281</v>
      </c>
      <c r="C155" s="5" t="s">
        <v>282</v>
      </c>
      <c r="D155" s="5">
        <v>147</v>
      </c>
      <c r="E155" s="5" t="s">
        <v>149</v>
      </c>
      <c r="F155" s="98"/>
      <c r="G155" s="98"/>
      <c r="H155" s="98"/>
      <c r="I155" s="98"/>
      <c r="J155" s="98"/>
      <c r="K155" s="98"/>
      <c r="L155" s="98"/>
      <c r="M155" s="98"/>
      <c r="N155" s="98"/>
      <c r="O155" s="98"/>
      <c r="P155" s="98"/>
      <c r="Q155" s="98"/>
      <c r="R155" s="98"/>
      <c r="S155" s="98"/>
      <c r="T155" s="99">
        <f t="shared" si="9"/>
        <v>0</v>
      </c>
      <c r="U155" s="100"/>
      <c r="V155" s="1"/>
      <c r="W155" s="1"/>
      <c r="X155" s="1"/>
      <c r="Y155" s="1"/>
      <c r="Z155" s="1"/>
    </row>
    <row r="156" spans="1:26" ht="39.75" customHeight="1">
      <c r="A156" s="171"/>
      <c r="B156" s="5" t="s">
        <v>283</v>
      </c>
      <c r="C156" s="5" t="s">
        <v>284</v>
      </c>
      <c r="D156" s="5">
        <v>148</v>
      </c>
      <c r="E156" s="5" t="s">
        <v>285</v>
      </c>
      <c r="F156" s="98"/>
      <c r="G156" s="98"/>
      <c r="H156" s="98"/>
      <c r="I156" s="98"/>
      <c r="J156" s="98"/>
      <c r="K156" s="98"/>
      <c r="L156" s="98"/>
      <c r="M156" s="98"/>
      <c r="N156" s="99"/>
      <c r="O156" s="98"/>
      <c r="P156" s="99"/>
      <c r="Q156" s="98"/>
      <c r="R156" s="98"/>
      <c r="S156" s="98"/>
      <c r="T156" s="99">
        <f t="shared" si="9"/>
        <v>0</v>
      </c>
      <c r="U156" s="101"/>
      <c r="V156" s="1"/>
      <c r="W156" s="1"/>
      <c r="X156" s="1"/>
      <c r="Y156" s="1"/>
      <c r="Z156" s="1"/>
    </row>
    <row r="157" spans="1:26" ht="39.75" customHeight="1">
      <c r="A157" s="171"/>
      <c r="B157" s="5" t="s">
        <v>286</v>
      </c>
      <c r="C157" s="5" t="s">
        <v>287</v>
      </c>
      <c r="D157" s="5">
        <v>149</v>
      </c>
      <c r="E157" s="5" t="s">
        <v>288</v>
      </c>
      <c r="F157" s="106"/>
      <c r="G157" s="106"/>
      <c r="H157" s="106"/>
      <c r="I157" s="106"/>
      <c r="J157" s="106"/>
      <c r="K157" s="106"/>
      <c r="L157" s="106"/>
      <c r="M157" s="106"/>
      <c r="N157" s="106"/>
      <c r="O157" s="106"/>
      <c r="P157" s="99">
        <f>(5*1.75)+(0.05*54)</f>
        <v>11.45</v>
      </c>
      <c r="Q157" s="106"/>
      <c r="R157" s="106"/>
      <c r="S157" s="106"/>
      <c r="T157" s="99">
        <f t="shared" si="9"/>
        <v>11.45</v>
      </c>
      <c r="U157" s="101"/>
      <c r="V157" s="1"/>
      <c r="W157" s="1"/>
      <c r="X157" s="1"/>
      <c r="Y157" s="1"/>
      <c r="Z157" s="1"/>
    </row>
    <row r="158" spans="1:26" ht="39.75" customHeight="1">
      <c r="A158" s="169"/>
      <c r="B158" s="176" t="s">
        <v>289</v>
      </c>
      <c r="C158" s="183"/>
      <c r="D158" s="184"/>
      <c r="E158" s="51"/>
      <c r="F158" s="51">
        <f t="shared" ref="F158:S158" si="10">SUM(F135:F157)</f>
        <v>0</v>
      </c>
      <c r="G158" s="51">
        <f t="shared" si="10"/>
        <v>0</v>
      </c>
      <c r="H158" s="51">
        <f t="shared" si="10"/>
        <v>0</v>
      </c>
      <c r="I158" s="51">
        <f t="shared" si="10"/>
        <v>0</v>
      </c>
      <c r="J158" s="51">
        <f t="shared" si="10"/>
        <v>0</v>
      </c>
      <c r="K158" s="51">
        <f t="shared" si="10"/>
        <v>0</v>
      </c>
      <c r="L158" s="51">
        <f t="shared" si="10"/>
        <v>0</v>
      </c>
      <c r="M158" s="51">
        <f t="shared" si="10"/>
        <v>0</v>
      </c>
      <c r="N158" s="51">
        <f t="shared" si="10"/>
        <v>0.54</v>
      </c>
      <c r="O158" s="51">
        <f t="shared" si="10"/>
        <v>0</v>
      </c>
      <c r="P158" s="51">
        <f t="shared" si="10"/>
        <v>27.335000000000001</v>
      </c>
      <c r="Q158" s="51">
        <f t="shared" si="10"/>
        <v>4.25</v>
      </c>
      <c r="R158" s="51">
        <f t="shared" si="10"/>
        <v>231.82</v>
      </c>
      <c r="S158" s="51">
        <f t="shared" si="10"/>
        <v>0</v>
      </c>
      <c r="T158" s="52">
        <f t="shared" si="9"/>
        <v>263.94499999999999</v>
      </c>
      <c r="U158" s="9"/>
      <c r="V158" s="29"/>
      <c r="W158" s="29"/>
      <c r="X158" s="29"/>
      <c r="Y158" s="29"/>
      <c r="Z158" s="29"/>
    </row>
    <row r="159" spans="1:26" ht="39.75" customHeight="1">
      <c r="A159" s="175" t="s">
        <v>290</v>
      </c>
      <c r="B159" s="168" t="s">
        <v>291</v>
      </c>
      <c r="C159" s="168" t="s">
        <v>247</v>
      </c>
      <c r="D159" s="5">
        <v>150</v>
      </c>
      <c r="E159" s="5" t="s">
        <v>292</v>
      </c>
      <c r="F159" s="5"/>
      <c r="G159" s="8">
        <v>614.25</v>
      </c>
      <c r="H159" s="8">
        <v>819</v>
      </c>
      <c r="I159" s="5"/>
      <c r="J159" s="5"/>
      <c r="K159" s="5"/>
      <c r="L159" s="5"/>
      <c r="M159" s="5"/>
      <c r="N159" s="6">
        <v>2.5</v>
      </c>
      <c r="O159" s="5"/>
      <c r="P159" s="8"/>
      <c r="Q159" s="5"/>
      <c r="R159" s="5"/>
      <c r="S159" s="5"/>
      <c r="T159" s="6">
        <f t="shared" si="9"/>
        <v>1435.75</v>
      </c>
      <c r="U159" s="62" t="s">
        <v>376</v>
      </c>
      <c r="V159" s="1"/>
      <c r="W159" s="1"/>
      <c r="X159" s="1"/>
      <c r="Y159" s="1"/>
      <c r="Z159" s="1"/>
    </row>
    <row r="160" spans="1:26" ht="39.75" customHeight="1">
      <c r="A160" s="171"/>
      <c r="B160" s="171"/>
      <c r="C160" s="171"/>
      <c r="D160" s="5">
        <v>151</v>
      </c>
      <c r="E160" s="5" t="s">
        <v>294</v>
      </c>
      <c r="F160" s="5"/>
      <c r="G160" s="8"/>
      <c r="H160" s="8"/>
      <c r="I160" s="6"/>
      <c r="J160" s="5"/>
      <c r="K160" s="5"/>
      <c r="L160" s="5"/>
      <c r="M160" s="5"/>
      <c r="N160" s="6"/>
      <c r="O160" s="8"/>
      <c r="P160" s="8"/>
      <c r="Q160" s="6"/>
      <c r="R160" s="8">
        <v>6</v>
      </c>
      <c r="S160" s="5"/>
      <c r="T160" s="6">
        <f t="shared" si="9"/>
        <v>6</v>
      </c>
      <c r="U160" s="9" t="s">
        <v>640</v>
      </c>
      <c r="V160" s="1"/>
      <c r="W160" s="1"/>
      <c r="X160" s="1"/>
      <c r="Y160" s="1"/>
      <c r="Z160" s="1"/>
    </row>
    <row r="161" spans="1:26" ht="39.75" customHeight="1">
      <c r="A161" s="171"/>
      <c r="B161" s="171"/>
      <c r="C161" s="171"/>
      <c r="D161" s="5">
        <v>152</v>
      </c>
      <c r="E161" s="5" t="s">
        <v>295</v>
      </c>
      <c r="F161" s="5"/>
      <c r="G161" s="5"/>
      <c r="H161" s="5"/>
      <c r="I161" s="5"/>
      <c r="J161" s="5"/>
      <c r="K161" s="5"/>
      <c r="L161" s="5"/>
      <c r="M161" s="5"/>
      <c r="N161" s="5"/>
      <c r="O161" s="5"/>
      <c r="P161" s="8">
        <v>15</v>
      </c>
      <c r="Q161" s="5"/>
      <c r="R161" s="5"/>
      <c r="S161" s="5"/>
      <c r="T161" s="6">
        <f t="shared" si="9"/>
        <v>15</v>
      </c>
      <c r="U161" s="9" t="s">
        <v>296</v>
      </c>
      <c r="V161" s="1"/>
      <c r="W161" s="1"/>
      <c r="X161" s="1"/>
      <c r="Y161" s="1"/>
      <c r="Z161" s="1"/>
    </row>
    <row r="162" spans="1:26" ht="39.75" customHeight="1">
      <c r="A162" s="171"/>
      <c r="B162" s="179"/>
      <c r="C162" s="179"/>
      <c r="D162" s="5">
        <v>153</v>
      </c>
      <c r="E162" s="5" t="s">
        <v>297</v>
      </c>
      <c r="F162" s="24"/>
      <c r="G162" s="24"/>
      <c r="H162" s="24"/>
      <c r="I162" s="24"/>
      <c r="J162" s="24"/>
      <c r="K162" s="24"/>
      <c r="L162" s="24"/>
      <c r="M162" s="24"/>
      <c r="N162" s="6"/>
      <c r="O162" s="24"/>
      <c r="P162" s="24"/>
      <c r="Q162" s="24"/>
      <c r="R162" s="24"/>
      <c r="S162" s="24"/>
      <c r="T162" s="6">
        <f t="shared" si="9"/>
        <v>0</v>
      </c>
      <c r="U162" s="9" t="s">
        <v>298</v>
      </c>
      <c r="V162" s="1"/>
      <c r="W162" s="1"/>
      <c r="X162" s="1"/>
      <c r="Y162" s="1"/>
      <c r="Z162" s="1"/>
    </row>
    <row r="163" spans="1:26" ht="39.75" customHeight="1">
      <c r="A163" s="171"/>
      <c r="B163" s="168" t="s">
        <v>299</v>
      </c>
      <c r="C163" s="168" t="s">
        <v>300</v>
      </c>
      <c r="D163" s="5">
        <v>154</v>
      </c>
      <c r="E163" s="5" t="s">
        <v>301</v>
      </c>
      <c r="F163" s="5"/>
      <c r="G163" s="5"/>
      <c r="H163" s="5"/>
      <c r="I163" s="5"/>
      <c r="J163" s="5"/>
      <c r="K163" s="6"/>
      <c r="L163" s="5"/>
      <c r="M163" s="6"/>
      <c r="N163" s="5"/>
      <c r="O163" s="5"/>
      <c r="P163" s="5"/>
      <c r="Q163" s="8"/>
      <c r="R163" s="5"/>
      <c r="S163" s="5"/>
      <c r="T163" s="6">
        <f t="shared" si="9"/>
        <v>0</v>
      </c>
      <c r="U163" s="9"/>
      <c r="V163" s="1"/>
      <c r="W163" s="1"/>
      <c r="X163" s="1"/>
      <c r="Y163" s="1"/>
      <c r="Z163" s="1"/>
    </row>
    <row r="164" spans="1:26" ht="39.75" customHeight="1">
      <c r="A164" s="171"/>
      <c r="B164" s="171"/>
      <c r="C164" s="171"/>
      <c r="D164" s="5">
        <v>155</v>
      </c>
      <c r="E164" s="5" t="s">
        <v>302</v>
      </c>
      <c r="F164" s="5"/>
      <c r="G164" s="5"/>
      <c r="H164" s="5"/>
      <c r="I164" s="5"/>
      <c r="J164" s="5"/>
      <c r="K164" s="5"/>
      <c r="L164" s="5"/>
      <c r="M164" s="5"/>
      <c r="N164" s="5"/>
      <c r="O164" s="5"/>
      <c r="P164" s="8">
        <v>9.0500000000000007</v>
      </c>
      <c r="Q164" s="5"/>
      <c r="R164" s="5"/>
      <c r="S164" s="5"/>
      <c r="T164" s="6">
        <f t="shared" si="9"/>
        <v>9.0500000000000007</v>
      </c>
      <c r="U164" s="9"/>
      <c r="V164" s="1"/>
      <c r="W164" s="1"/>
      <c r="X164" s="1"/>
      <c r="Y164" s="1"/>
      <c r="Z164" s="1"/>
    </row>
    <row r="165" spans="1:26" ht="39.75" customHeight="1">
      <c r="A165" s="171"/>
      <c r="B165" s="171"/>
      <c r="C165" s="171"/>
      <c r="D165" s="5">
        <v>156</v>
      </c>
      <c r="E165" s="5" t="s">
        <v>303</v>
      </c>
      <c r="F165" s="5"/>
      <c r="G165" s="5"/>
      <c r="H165" s="8"/>
      <c r="I165" s="6"/>
      <c r="J165" s="5"/>
      <c r="K165" s="5"/>
      <c r="L165" s="5"/>
      <c r="M165" s="5"/>
      <c r="N165" s="5"/>
      <c r="O165" s="5"/>
      <c r="P165" s="8">
        <v>1.6</v>
      </c>
      <c r="Q165" s="5"/>
      <c r="R165" s="5"/>
      <c r="S165" s="5"/>
      <c r="T165" s="6">
        <f t="shared" si="9"/>
        <v>1.6</v>
      </c>
      <c r="U165" s="9"/>
      <c r="V165" s="1"/>
      <c r="W165" s="1"/>
      <c r="X165" s="1"/>
      <c r="Y165" s="1"/>
      <c r="Z165" s="1"/>
    </row>
    <row r="166" spans="1:26" ht="39.75" customHeight="1">
      <c r="A166" s="171"/>
      <c r="B166" s="171"/>
      <c r="C166" s="171"/>
      <c r="D166" s="5">
        <v>157</v>
      </c>
      <c r="E166" s="5" t="s">
        <v>304</v>
      </c>
      <c r="F166" s="5"/>
      <c r="G166" s="5"/>
      <c r="H166" s="5"/>
      <c r="I166" s="5"/>
      <c r="J166" s="5"/>
      <c r="K166" s="5"/>
      <c r="L166" s="5"/>
      <c r="M166" s="5"/>
      <c r="N166" s="5"/>
      <c r="O166" s="5"/>
      <c r="P166" s="5"/>
      <c r="Q166" s="5"/>
      <c r="R166" s="5"/>
      <c r="S166" s="5"/>
      <c r="T166" s="6">
        <f t="shared" si="9"/>
        <v>0</v>
      </c>
      <c r="U166" s="9"/>
      <c r="V166" s="1"/>
      <c r="W166" s="1"/>
      <c r="X166" s="1"/>
      <c r="Y166" s="1"/>
      <c r="Z166" s="1"/>
    </row>
    <row r="167" spans="1:26" ht="39.75" customHeight="1">
      <c r="A167" s="171"/>
      <c r="B167" s="169"/>
      <c r="C167" s="169"/>
      <c r="D167" s="5">
        <v>158</v>
      </c>
      <c r="E167" s="5" t="s">
        <v>305</v>
      </c>
      <c r="F167" s="5"/>
      <c r="G167" s="5"/>
      <c r="H167" s="5"/>
      <c r="I167" s="5"/>
      <c r="J167" s="5"/>
      <c r="K167" s="5"/>
      <c r="L167" s="5"/>
      <c r="M167" s="5"/>
      <c r="N167" s="5"/>
      <c r="O167" s="5"/>
      <c r="P167" s="5"/>
      <c r="Q167" s="6"/>
      <c r="R167" s="5"/>
      <c r="S167" s="5"/>
      <c r="T167" s="6">
        <f t="shared" si="9"/>
        <v>0</v>
      </c>
      <c r="U167" s="9"/>
      <c r="V167" s="1"/>
      <c r="W167" s="1"/>
      <c r="X167" s="1"/>
      <c r="Y167" s="1"/>
      <c r="Z167" s="1"/>
    </row>
    <row r="168" spans="1:26" ht="39.75" customHeight="1">
      <c r="A168" s="171"/>
      <c r="B168" s="168" t="s">
        <v>306</v>
      </c>
      <c r="C168" s="168" t="s">
        <v>252</v>
      </c>
      <c r="D168" s="5">
        <v>159</v>
      </c>
      <c r="E168" s="5" t="s">
        <v>253</v>
      </c>
      <c r="F168" s="5"/>
      <c r="G168" s="5"/>
      <c r="H168" s="5"/>
      <c r="I168" s="5"/>
      <c r="J168" s="5"/>
      <c r="K168" s="6"/>
      <c r="L168" s="5"/>
      <c r="M168" s="5"/>
      <c r="N168" s="8">
        <v>34.36</v>
      </c>
      <c r="O168" s="8">
        <v>622.25</v>
      </c>
      <c r="P168" s="8">
        <v>62.02</v>
      </c>
      <c r="Q168" s="6">
        <v>3.86</v>
      </c>
      <c r="R168" s="5"/>
      <c r="S168" s="5"/>
      <c r="T168" s="6">
        <f t="shared" si="9"/>
        <v>722.49</v>
      </c>
      <c r="U168" s="12" t="s">
        <v>459</v>
      </c>
      <c r="V168" s="1"/>
      <c r="W168" s="1"/>
      <c r="X168" s="1"/>
      <c r="Y168" s="1"/>
      <c r="Z168" s="1"/>
    </row>
    <row r="169" spans="1:26" ht="39.75" customHeight="1">
      <c r="A169" s="171"/>
      <c r="B169" s="171"/>
      <c r="C169" s="171"/>
      <c r="D169" s="5">
        <v>160</v>
      </c>
      <c r="E169" s="5" t="s">
        <v>308</v>
      </c>
      <c r="F169" s="5"/>
      <c r="G169" s="5"/>
      <c r="H169" s="5"/>
      <c r="I169" s="5"/>
      <c r="J169" s="5"/>
      <c r="K169" s="5"/>
      <c r="L169" s="5"/>
      <c r="M169" s="5"/>
      <c r="N169" s="5"/>
      <c r="O169" s="5"/>
      <c r="P169" s="5"/>
      <c r="Q169" s="5"/>
      <c r="R169" s="5"/>
      <c r="S169" s="5"/>
      <c r="T169" s="6">
        <f t="shared" si="9"/>
        <v>0</v>
      </c>
      <c r="U169" s="9"/>
      <c r="V169" s="1"/>
      <c r="W169" s="1"/>
      <c r="X169" s="1"/>
      <c r="Y169" s="1"/>
      <c r="Z169" s="1"/>
    </row>
    <row r="170" spans="1:26" ht="39.75" customHeight="1">
      <c r="A170" s="171"/>
      <c r="B170" s="171"/>
      <c r="C170" s="171"/>
      <c r="D170" s="5">
        <v>161</v>
      </c>
      <c r="E170" s="5" t="s">
        <v>255</v>
      </c>
      <c r="F170" s="5"/>
      <c r="G170" s="5"/>
      <c r="H170" s="5"/>
      <c r="I170" s="5"/>
      <c r="J170" s="5"/>
      <c r="K170" s="5"/>
      <c r="L170" s="5"/>
      <c r="M170" s="5"/>
      <c r="N170" s="5"/>
      <c r="O170" s="5"/>
      <c r="P170" s="5"/>
      <c r="Q170" s="5"/>
      <c r="R170" s="5"/>
      <c r="S170" s="5"/>
      <c r="T170" s="6">
        <f t="shared" si="9"/>
        <v>0</v>
      </c>
      <c r="U170" s="9"/>
      <c r="V170" s="1"/>
      <c r="W170" s="1"/>
      <c r="X170" s="1"/>
      <c r="Y170" s="1"/>
      <c r="Z170" s="1"/>
    </row>
    <row r="171" spans="1:26" ht="39.75" customHeight="1">
      <c r="A171" s="171"/>
      <c r="B171" s="171"/>
      <c r="C171" s="171"/>
      <c r="D171" s="5">
        <v>162</v>
      </c>
      <c r="E171" s="5" t="s">
        <v>256</v>
      </c>
      <c r="F171" s="5"/>
      <c r="G171" s="5"/>
      <c r="H171" s="5"/>
      <c r="I171" s="5"/>
      <c r="J171" s="5"/>
      <c r="K171" s="5"/>
      <c r="L171" s="5"/>
      <c r="M171" s="5"/>
      <c r="N171" s="5"/>
      <c r="O171" s="5"/>
      <c r="P171" s="5"/>
      <c r="Q171" s="5"/>
      <c r="R171" s="5"/>
      <c r="S171" s="5"/>
      <c r="T171" s="6">
        <f t="shared" si="9"/>
        <v>0</v>
      </c>
      <c r="U171" s="9"/>
      <c r="V171" s="1"/>
      <c r="W171" s="1"/>
      <c r="X171" s="1"/>
      <c r="Y171" s="1"/>
      <c r="Z171" s="1"/>
    </row>
    <row r="172" spans="1:26" ht="39.75" customHeight="1">
      <c r="A172" s="171"/>
      <c r="B172" s="169"/>
      <c r="C172" s="169"/>
      <c r="D172" s="5">
        <v>163</v>
      </c>
      <c r="E172" s="5" t="s">
        <v>309</v>
      </c>
      <c r="F172" s="5"/>
      <c r="G172" s="5"/>
      <c r="H172" s="5"/>
      <c r="I172" s="5"/>
      <c r="J172" s="5"/>
      <c r="K172" s="5"/>
      <c r="L172" s="5"/>
      <c r="M172" s="5"/>
      <c r="N172" s="5"/>
      <c r="O172" s="8"/>
      <c r="P172" s="8">
        <v>1.9</v>
      </c>
      <c r="Q172" s="6">
        <v>2</v>
      </c>
      <c r="R172" s="5"/>
      <c r="S172" s="5"/>
      <c r="T172" s="6">
        <f t="shared" si="9"/>
        <v>3.9</v>
      </c>
      <c r="U172" s="9" t="s">
        <v>310</v>
      </c>
      <c r="V172" s="1"/>
      <c r="W172" s="1"/>
      <c r="X172" s="1"/>
      <c r="Y172" s="1"/>
      <c r="Z172" s="1"/>
    </row>
    <row r="173" spans="1:26" ht="39.75" customHeight="1">
      <c r="A173" s="171"/>
      <c r="B173" s="168" t="s">
        <v>311</v>
      </c>
      <c r="C173" s="168" t="s">
        <v>312</v>
      </c>
      <c r="D173" s="5">
        <v>164</v>
      </c>
      <c r="E173" s="5" t="s">
        <v>313</v>
      </c>
      <c r="F173" s="5"/>
      <c r="G173" s="8"/>
      <c r="H173" s="8"/>
      <c r="I173" s="5"/>
      <c r="J173" s="5"/>
      <c r="K173" s="5"/>
      <c r="L173" s="5"/>
      <c r="M173" s="5"/>
      <c r="N173" s="5"/>
      <c r="O173" s="5"/>
      <c r="P173" s="5"/>
      <c r="Q173" s="5"/>
      <c r="R173" s="5"/>
      <c r="S173" s="5"/>
      <c r="T173" s="6">
        <f t="shared" si="9"/>
        <v>0</v>
      </c>
      <c r="U173" s="9"/>
      <c r="V173" s="1"/>
      <c r="W173" s="1"/>
      <c r="X173" s="1"/>
      <c r="Y173" s="1"/>
      <c r="Z173" s="1"/>
    </row>
    <row r="174" spans="1:26" ht="39.75" customHeight="1">
      <c r="A174" s="171"/>
      <c r="B174" s="171"/>
      <c r="C174" s="171"/>
      <c r="D174" s="5">
        <v>165</v>
      </c>
      <c r="E174" s="5" t="s">
        <v>314</v>
      </c>
      <c r="F174" s="5"/>
      <c r="G174" s="8"/>
      <c r="H174" s="8"/>
      <c r="I174" s="5"/>
      <c r="J174" s="5"/>
      <c r="K174" s="5"/>
      <c r="L174" s="5"/>
      <c r="M174" s="5"/>
      <c r="N174" s="5"/>
      <c r="O174" s="5"/>
      <c r="P174" s="5"/>
      <c r="Q174" s="5"/>
      <c r="R174" s="5"/>
      <c r="S174" s="5"/>
      <c r="T174" s="6">
        <f t="shared" si="9"/>
        <v>0</v>
      </c>
      <c r="U174" s="9"/>
      <c r="V174" s="1"/>
      <c r="W174" s="1"/>
      <c r="X174" s="1"/>
      <c r="Y174" s="1"/>
      <c r="Z174" s="1"/>
    </row>
    <row r="175" spans="1:26" ht="39.75" customHeight="1">
      <c r="A175" s="171"/>
      <c r="B175" s="171"/>
      <c r="C175" s="171"/>
      <c r="D175" s="5">
        <v>166</v>
      </c>
      <c r="E175" s="5" t="s">
        <v>315</v>
      </c>
      <c r="F175" s="5"/>
      <c r="G175" s="8"/>
      <c r="H175" s="8"/>
      <c r="I175" s="5"/>
      <c r="J175" s="5"/>
      <c r="K175" s="5"/>
      <c r="L175" s="5"/>
      <c r="M175" s="5"/>
      <c r="N175" s="5"/>
      <c r="O175" s="5"/>
      <c r="P175" s="5"/>
      <c r="Q175" s="5"/>
      <c r="R175" s="5"/>
      <c r="S175" s="5"/>
      <c r="T175" s="6">
        <f t="shared" si="9"/>
        <v>0</v>
      </c>
      <c r="U175" s="9"/>
      <c r="V175" s="1"/>
      <c r="W175" s="1"/>
      <c r="X175" s="1"/>
      <c r="Y175" s="1"/>
      <c r="Z175" s="1"/>
    </row>
    <row r="176" spans="1:26" ht="39.75" customHeight="1">
      <c r="A176" s="171"/>
      <c r="B176" s="171"/>
      <c r="C176" s="171"/>
      <c r="D176" s="5">
        <v>167</v>
      </c>
      <c r="E176" s="5" t="s">
        <v>316</v>
      </c>
      <c r="F176" s="5"/>
      <c r="G176" s="8"/>
      <c r="H176" s="8"/>
      <c r="I176" s="5"/>
      <c r="J176" s="5"/>
      <c r="K176" s="5"/>
      <c r="L176" s="5"/>
      <c r="M176" s="5"/>
      <c r="N176" s="5"/>
      <c r="O176" s="5"/>
      <c r="P176" s="5"/>
      <c r="Q176" s="5"/>
      <c r="R176" s="5"/>
      <c r="S176" s="5"/>
      <c r="T176" s="6">
        <f t="shared" si="9"/>
        <v>0</v>
      </c>
      <c r="U176" s="9"/>
      <c r="V176" s="1"/>
      <c r="W176" s="1"/>
      <c r="X176" s="1"/>
      <c r="Y176" s="1"/>
      <c r="Z176" s="1"/>
    </row>
    <row r="177" spans="1:26" ht="39.75" customHeight="1">
      <c r="A177" s="171"/>
      <c r="B177" s="171"/>
      <c r="C177" s="171"/>
      <c r="D177" s="5">
        <v>168</v>
      </c>
      <c r="E177" s="5" t="s">
        <v>317</v>
      </c>
      <c r="F177" s="5"/>
      <c r="G177" s="8"/>
      <c r="H177" s="8"/>
      <c r="I177" s="5"/>
      <c r="J177" s="5"/>
      <c r="K177" s="5"/>
      <c r="L177" s="5"/>
      <c r="M177" s="5"/>
      <c r="N177" s="5"/>
      <c r="O177" s="5"/>
      <c r="P177" s="5"/>
      <c r="Q177" s="5"/>
      <c r="R177" s="5"/>
      <c r="S177" s="5"/>
      <c r="T177" s="6">
        <f t="shared" si="9"/>
        <v>0</v>
      </c>
      <c r="U177" s="9"/>
      <c r="V177" s="1"/>
      <c r="W177" s="1"/>
      <c r="X177" s="1"/>
      <c r="Y177" s="1"/>
      <c r="Z177" s="1"/>
    </row>
    <row r="178" spans="1:26" ht="39.75" customHeight="1">
      <c r="A178" s="171"/>
      <c r="B178" s="171"/>
      <c r="C178" s="171"/>
      <c r="D178" s="5">
        <v>169</v>
      </c>
      <c r="E178" s="5" t="s">
        <v>318</v>
      </c>
      <c r="F178" s="5"/>
      <c r="G178" s="8"/>
      <c r="H178" s="8"/>
      <c r="I178" s="6"/>
      <c r="J178" s="5"/>
      <c r="K178" s="5"/>
      <c r="L178" s="5"/>
      <c r="M178" s="5"/>
      <c r="N178" s="5"/>
      <c r="O178" s="5"/>
      <c r="P178" s="5"/>
      <c r="Q178" s="5"/>
      <c r="R178" s="5"/>
      <c r="S178" s="5"/>
      <c r="T178" s="6">
        <f t="shared" si="9"/>
        <v>0</v>
      </c>
      <c r="U178" s="9"/>
      <c r="V178" s="1"/>
      <c r="W178" s="1"/>
      <c r="X178" s="1"/>
      <c r="Y178" s="1"/>
      <c r="Z178" s="1"/>
    </row>
    <row r="179" spans="1:26" ht="39.75" customHeight="1">
      <c r="A179" s="171"/>
      <c r="B179" s="169"/>
      <c r="C179" s="169"/>
      <c r="D179" s="5">
        <v>170</v>
      </c>
      <c r="E179" s="5" t="s">
        <v>319</v>
      </c>
      <c r="F179" s="5"/>
      <c r="G179" s="5"/>
      <c r="H179" s="5"/>
      <c r="I179" s="5"/>
      <c r="J179" s="5"/>
      <c r="K179" s="5"/>
      <c r="L179" s="5"/>
      <c r="M179" s="5"/>
      <c r="N179" s="5"/>
      <c r="O179" s="5"/>
      <c r="P179" s="5"/>
      <c r="Q179" s="5"/>
      <c r="R179" s="5"/>
      <c r="S179" s="5"/>
      <c r="T179" s="6">
        <f t="shared" si="9"/>
        <v>0</v>
      </c>
      <c r="U179" s="9"/>
      <c r="V179" s="1"/>
      <c r="W179" s="1"/>
      <c r="X179" s="1"/>
      <c r="Y179" s="1"/>
      <c r="Z179" s="1"/>
    </row>
    <row r="180" spans="1:26" ht="39.75" customHeight="1">
      <c r="A180" s="171"/>
      <c r="B180" s="168" t="s">
        <v>320</v>
      </c>
      <c r="C180" s="168" t="s">
        <v>321</v>
      </c>
      <c r="D180" s="5">
        <v>171</v>
      </c>
      <c r="E180" s="5" t="s">
        <v>322</v>
      </c>
      <c r="F180" s="5"/>
      <c r="G180" s="5"/>
      <c r="H180" s="5"/>
      <c r="I180" s="5"/>
      <c r="J180" s="5"/>
      <c r="K180" s="5"/>
      <c r="L180" s="5"/>
      <c r="M180" s="5"/>
      <c r="N180" s="5"/>
      <c r="O180" s="5"/>
      <c r="P180" s="5"/>
      <c r="Q180" s="5"/>
      <c r="R180" s="5"/>
      <c r="S180" s="5"/>
      <c r="T180" s="6">
        <f t="shared" si="9"/>
        <v>0</v>
      </c>
      <c r="U180" s="9"/>
      <c r="V180" s="1"/>
      <c r="W180" s="1"/>
      <c r="X180" s="1"/>
      <c r="Y180" s="1"/>
      <c r="Z180" s="1"/>
    </row>
    <row r="181" spans="1:26" ht="39.75" customHeight="1">
      <c r="A181" s="171"/>
      <c r="B181" s="171"/>
      <c r="C181" s="171"/>
      <c r="D181" s="5">
        <v>172</v>
      </c>
      <c r="E181" s="5" t="s">
        <v>323</v>
      </c>
      <c r="F181" s="5"/>
      <c r="G181" s="5"/>
      <c r="H181" s="5"/>
      <c r="I181" s="5"/>
      <c r="J181" s="5"/>
      <c r="K181" s="5"/>
      <c r="L181" s="5"/>
      <c r="M181" s="5"/>
      <c r="N181" s="5"/>
      <c r="O181" s="5"/>
      <c r="P181" s="6"/>
      <c r="Q181" s="5"/>
      <c r="R181" s="5"/>
      <c r="S181" s="5"/>
      <c r="T181" s="6">
        <f t="shared" si="9"/>
        <v>0</v>
      </c>
      <c r="U181" s="9"/>
      <c r="V181" s="1"/>
      <c r="W181" s="1"/>
      <c r="X181" s="1"/>
      <c r="Y181" s="1"/>
      <c r="Z181" s="1"/>
    </row>
    <row r="182" spans="1:26" ht="39.75" customHeight="1">
      <c r="A182" s="171"/>
      <c r="B182" s="171"/>
      <c r="C182" s="171"/>
      <c r="D182" s="5">
        <v>173</v>
      </c>
      <c r="E182" s="5" t="s">
        <v>324</v>
      </c>
      <c r="F182" s="5"/>
      <c r="G182" s="5"/>
      <c r="H182" s="5"/>
      <c r="I182" s="5"/>
      <c r="J182" s="5"/>
      <c r="K182" s="5"/>
      <c r="L182" s="5"/>
      <c r="M182" s="5"/>
      <c r="N182" s="5"/>
      <c r="O182" s="5"/>
      <c r="P182" s="5"/>
      <c r="Q182" s="5"/>
      <c r="R182" s="5"/>
      <c r="S182" s="5"/>
      <c r="T182" s="6">
        <f t="shared" si="9"/>
        <v>0</v>
      </c>
      <c r="U182" s="9"/>
      <c r="V182" s="1"/>
      <c r="W182" s="1"/>
      <c r="X182" s="1"/>
      <c r="Y182" s="1"/>
      <c r="Z182" s="1"/>
    </row>
    <row r="183" spans="1:26" ht="39.75" customHeight="1">
      <c r="A183" s="171"/>
      <c r="B183" s="169"/>
      <c r="C183" s="169"/>
      <c r="D183" s="5">
        <v>174</v>
      </c>
      <c r="E183" s="5" t="s">
        <v>325</v>
      </c>
      <c r="F183" s="5"/>
      <c r="G183" s="5"/>
      <c r="H183" s="5"/>
      <c r="I183" s="5"/>
      <c r="J183" s="5"/>
      <c r="K183" s="5"/>
      <c r="L183" s="5"/>
      <c r="M183" s="5"/>
      <c r="N183" s="5"/>
      <c r="O183" s="5"/>
      <c r="P183" s="6"/>
      <c r="Q183" s="5"/>
      <c r="R183" s="5"/>
      <c r="S183" s="5"/>
      <c r="T183" s="6">
        <f t="shared" si="9"/>
        <v>0</v>
      </c>
      <c r="U183" s="9"/>
      <c r="V183" s="1"/>
      <c r="W183" s="1"/>
      <c r="X183" s="1"/>
      <c r="Y183" s="1"/>
      <c r="Z183" s="1"/>
    </row>
    <row r="184" spans="1:26" ht="39.75" customHeight="1">
      <c r="A184" s="171"/>
      <c r="B184" s="168" t="s">
        <v>326</v>
      </c>
      <c r="C184" s="168" t="s">
        <v>267</v>
      </c>
      <c r="D184" s="5">
        <v>175</v>
      </c>
      <c r="E184" s="5" t="s">
        <v>268</v>
      </c>
      <c r="F184" s="134"/>
      <c r="G184" s="134"/>
      <c r="H184" s="134"/>
      <c r="I184" s="135">
        <v>11.3</v>
      </c>
      <c r="J184" s="134"/>
      <c r="K184" s="134"/>
      <c r="L184" s="134"/>
      <c r="M184" s="134"/>
      <c r="N184" s="136">
        <f>9.36+1.5</f>
        <v>10.86</v>
      </c>
      <c r="O184" s="134"/>
      <c r="P184" s="135">
        <v>4</v>
      </c>
      <c r="Q184" s="137">
        <v>4.2857000000000003</v>
      </c>
      <c r="R184" s="135">
        <f>0.504+0.252</f>
        <v>0.75600000000000001</v>
      </c>
      <c r="S184" s="135"/>
      <c r="T184" s="136">
        <f t="shared" ref="T184:T186" si="11">SUM(F184:S184)</f>
        <v>31.201700000000002</v>
      </c>
      <c r="U184" s="138" t="s">
        <v>854</v>
      </c>
      <c r="V184" s="1"/>
      <c r="W184" s="1"/>
      <c r="X184" s="1"/>
      <c r="Y184" s="1"/>
      <c r="Z184" s="1"/>
    </row>
    <row r="185" spans="1:26" ht="39.75" customHeight="1">
      <c r="A185" s="171"/>
      <c r="B185" s="171"/>
      <c r="C185" s="171"/>
      <c r="D185" s="5">
        <v>176</v>
      </c>
      <c r="E185" s="5" t="s">
        <v>269</v>
      </c>
      <c r="F185" s="134"/>
      <c r="G185" s="134"/>
      <c r="H185" s="134"/>
      <c r="I185" s="134"/>
      <c r="J185" s="134"/>
      <c r="K185" s="134"/>
      <c r="L185" s="134"/>
      <c r="M185" s="135">
        <v>31.8</v>
      </c>
      <c r="N185" s="134"/>
      <c r="O185" s="134"/>
      <c r="P185" s="135">
        <v>56.03</v>
      </c>
      <c r="Q185" s="135">
        <v>5.98</v>
      </c>
      <c r="R185" s="134"/>
      <c r="S185" s="134"/>
      <c r="T185" s="136">
        <f t="shared" si="11"/>
        <v>93.81</v>
      </c>
      <c r="U185" s="138" t="s">
        <v>855</v>
      </c>
      <c r="V185" s="1"/>
      <c r="W185" s="1"/>
      <c r="X185" s="1"/>
      <c r="Y185" s="1"/>
      <c r="Z185" s="1"/>
    </row>
    <row r="186" spans="1:26" ht="39.75" customHeight="1">
      <c r="A186" s="171"/>
      <c r="B186" s="169"/>
      <c r="C186" s="169"/>
      <c r="D186" s="5">
        <v>177</v>
      </c>
      <c r="E186" s="5" t="s">
        <v>270</v>
      </c>
      <c r="F186" s="134"/>
      <c r="G186" s="134"/>
      <c r="H186" s="134"/>
      <c r="I186" s="134"/>
      <c r="J186" s="134"/>
      <c r="K186" s="134"/>
      <c r="L186" s="134"/>
      <c r="M186" s="134"/>
      <c r="N186" s="136">
        <v>1</v>
      </c>
      <c r="O186" s="134"/>
      <c r="P186" s="134"/>
      <c r="Q186" s="134"/>
      <c r="R186" s="134"/>
      <c r="S186" s="134"/>
      <c r="T186" s="136">
        <f t="shared" si="11"/>
        <v>1</v>
      </c>
      <c r="U186" s="138" t="s">
        <v>839</v>
      </c>
      <c r="V186" s="1"/>
      <c r="W186" s="1"/>
      <c r="X186" s="1"/>
      <c r="Y186" s="1"/>
      <c r="Z186" s="1"/>
    </row>
    <row r="187" spans="1:26" ht="39.75" customHeight="1">
      <c r="A187" s="171"/>
      <c r="B187" s="168" t="s">
        <v>327</v>
      </c>
      <c r="C187" s="168" t="s">
        <v>328</v>
      </c>
      <c r="D187" s="5">
        <v>178</v>
      </c>
      <c r="E187" s="5" t="s">
        <v>329</v>
      </c>
      <c r="F187" s="5"/>
      <c r="G187" s="5"/>
      <c r="H187" s="5"/>
      <c r="I187" s="5"/>
      <c r="J187" s="5"/>
      <c r="K187" s="5"/>
      <c r="L187" s="5"/>
      <c r="M187" s="5"/>
      <c r="N187" s="5"/>
      <c r="O187" s="5"/>
      <c r="P187" s="5"/>
      <c r="Q187" s="5"/>
      <c r="R187" s="5"/>
      <c r="S187" s="5"/>
      <c r="T187" s="6">
        <f t="shared" si="9"/>
        <v>0</v>
      </c>
      <c r="U187" s="9"/>
      <c r="V187" s="1"/>
      <c r="W187" s="1"/>
      <c r="X187" s="1"/>
      <c r="Y187" s="1"/>
      <c r="Z187" s="1"/>
    </row>
    <row r="188" spans="1:26" ht="39.75" customHeight="1">
      <c r="A188" s="171"/>
      <c r="B188" s="171"/>
      <c r="C188" s="171"/>
      <c r="D188" s="5">
        <v>179</v>
      </c>
      <c r="E188" s="5" t="s">
        <v>149</v>
      </c>
      <c r="F188" s="5"/>
      <c r="G188" s="5"/>
      <c r="H188" s="5"/>
      <c r="I188" s="5"/>
      <c r="J188" s="5"/>
      <c r="K188" s="5"/>
      <c r="L188" s="5"/>
      <c r="M188" s="5"/>
      <c r="N188" s="5"/>
      <c r="O188" s="5"/>
      <c r="P188" s="5"/>
      <c r="Q188" s="5"/>
      <c r="R188" s="5"/>
      <c r="S188" s="5"/>
      <c r="T188" s="6">
        <f t="shared" si="9"/>
        <v>0</v>
      </c>
      <c r="U188" s="9"/>
      <c r="V188" s="1"/>
      <c r="W188" s="1"/>
      <c r="X188" s="1"/>
      <c r="Y188" s="1"/>
      <c r="Z188" s="1"/>
    </row>
    <row r="189" spans="1:26" ht="39.75" customHeight="1">
      <c r="A189" s="171"/>
      <c r="B189" s="171"/>
      <c r="C189" s="171"/>
      <c r="D189" s="5">
        <v>180</v>
      </c>
      <c r="E189" s="5" t="s">
        <v>330</v>
      </c>
      <c r="F189" s="5"/>
      <c r="G189" s="5"/>
      <c r="H189" s="5"/>
      <c r="I189" s="5"/>
      <c r="J189" s="5"/>
      <c r="K189" s="6"/>
      <c r="L189" s="5"/>
      <c r="M189" s="5"/>
      <c r="N189" s="5"/>
      <c r="O189" s="5"/>
      <c r="P189" s="8"/>
      <c r="Q189" s="5"/>
      <c r="R189" s="5"/>
      <c r="S189" s="5"/>
      <c r="T189" s="6">
        <f t="shared" si="9"/>
        <v>0</v>
      </c>
      <c r="U189" s="9"/>
      <c r="V189" s="1"/>
      <c r="W189" s="1"/>
      <c r="X189" s="1"/>
      <c r="Y189" s="1"/>
      <c r="Z189" s="1"/>
    </row>
    <row r="190" spans="1:26" ht="39.75" customHeight="1">
      <c r="A190" s="171"/>
      <c r="B190" s="171"/>
      <c r="C190" s="171"/>
      <c r="D190" s="5">
        <v>181</v>
      </c>
      <c r="E190" s="5" t="s">
        <v>331</v>
      </c>
      <c r="F190" s="5"/>
      <c r="G190" s="5"/>
      <c r="H190" s="5"/>
      <c r="I190" s="5"/>
      <c r="J190" s="5"/>
      <c r="K190" s="5"/>
      <c r="L190" s="5"/>
      <c r="M190" s="5"/>
      <c r="N190" s="5"/>
      <c r="O190" s="5"/>
      <c r="P190" s="5"/>
      <c r="Q190" s="5"/>
      <c r="R190" s="5"/>
      <c r="S190" s="5"/>
      <c r="T190" s="6">
        <f t="shared" si="9"/>
        <v>0</v>
      </c>
      <c r="U190" s="9"/>
      <c r="V190" s="1"/>
      <c r="W190" s="1"/>
      <c r="X190" s="1"/>
      <c r="Y190" s="1"/>
      <c r="Z190" s="1"/>
    </row>
    <row r="191" spans="1:26" ht="39.75" customHeight="1">
      <c r="A191" s="171"/>
      <c r="B191" s="171"/>
      <c r="C191" s="171"/>
      <c r="D191" s="5">
        <v>182</v>
      </c>
      <c r="E191" s="5" t="s">
        <v>332</v>
      </c>
      <c r="F191" s="5"/>
      <c r="G191" s="5"/>
      <c r="H191" s="5"/>
      <c r="I191" s="5"/>
      <c r="J191" s="5"/>
      <c r="K191" s="5"/>
      <c r="L191" s="5"/>
      <c r="M191" s="5"/>
      <c r="N191" s="5"/>
      <c r="O191" s="5"/>
      <c r="P191" s="6">
        <v>80.400000000000006</v>
      </c>
      <c r="Q191" s="5"/>
      <c r="R191" s="5"/>
      <c r="S191" s="5"/>
      <c r="T191" s="6">
        <f t="shared" si="9"/>
        <v>80.400000000000006</v>
      </c>
      <c r="U191" s="9" t="s">
        <v>333</v>
      </c>
      <c r="V191" s="1"/>
      <c r="W191" s="1"/>
      <c r="X191" s="1"/>
      <c r="Y191" s="1"/>
      <c r="Z191" s="1"/>
    </row>
    <row r="192" spans="1:26" ht="39.75" customHeight="1">
      <c r="A192" s="171"/>
      <c r="B192" s="169"/>
      <c r="C192" s="169"/>
      <c r="D192" s="5">
        <v>183</v>
      </c>
      <c r="E192" s="5" t="s">
        <v>334</v>
      </c>
      <c r="F192" s="5"/>
      <c r="G192" s="5"/>
      <c r="H192" s="5"/>
      <c r="I192" s="5"/>
      <c r="J192" s="5"/>
      <c r="K192" s="5"/>
      <c r="L192" s="5"/>
      <c r="M192" s="5"/>
      <c r="N192" s="5"/>
      <c r="O192" s="5"/>
      <c r="P192" s="8"/>
      <c r="Q192" s="5"/>
      <c r="R192" s="5"/>
      <c r="S192" s="5"/>
      <c r="T192" s="6">
        <f t="shared" si="9"/>
        <v>0</v>
      </c>
      <c r="U192" s="9"/>
      <c r="V192" s="1"/>
      <c r="W192" s="1"/>
      <c r="X192" s="1"/>
      <c r="Y192" s="1"/>
      <c r="Z192" s="1"/>
    </row>
    <row r="193" spans="1:26" ht="39.75" customHeight="1">
      <c r="A193" s="171"/>
      <c r="B193" s="5" t="s">
        <v>335</v>
      </c>
      <c r="C193" s="5" t="s">
        <v>336</v>
      </c>
      <c r="D193" s="5">
        <v>184</v>
      </c>
      <c r="E193" s="5" t="s">
        <v>337</v>
      </c>
      <c r="F193" s="5"/>
      <c r="G193" s="5"/>
      <c r="H193" s="5"/>
      <c r="I193" s="5"/>
      <c r="J193" s="5"/>
      <c r="K193" s="5"/>
      <c r="L193" s="5"/>
      <c r="M193" s="5"/>
      <c r="N193" s="5"/>
      <c r="O193" s="5"/>
      <c r="P193" s="6"/>
      <c r="Q193" s="5"/>
      <c r="R193" s="5"/>
      <c r="S193" s="5"/>
      <c r="T193" s="6">
        <f t="shared" si="9"/>
        <v>0</v>
      </c>
      <c r="U193" s="9"/>
      <c r="V193" s="1"/>
      <c r="W193" s="1"/>
      <c r="X193" s="1"/>
      <c r="Y193" s="1"/>
      <c r="Z193" s="1"/>
    </row>
    <row r="194" spans="1:26" ht="39.75" customHeight="1">
      <c r="A194" s="171"/>
      <c r="B194" s="168" t="s">
        <v>338</v>
      </c>
      <c r="C194" s="168" t="s">
        <v>272</v>
      </c>
      <c r="D194" s="5">
        <v>185</v>
      </c>
      <c r="E194" s="5" t="s">
        <v>273</v>
      </c>
      <c r="F194" s="5"/>
      <c r="G194" s="5"/>
      <c r="H194" s="5"/>
      <c r="I194" s="5"/>
      <c r="J194" s="5"/>
      <c r="K194" s="5"/>
      <c r="L194" s="5"/>
      <c r="M194" s="5"/>
      <c r="N194" s="5"/>
      <c r="O194" s="5"/>
      <c r="P194" s="5"/>
      <c r="Q194" s="5"/>
      <c r="R194" s="5">
        <v>2240.79</v>
      </c>
      <c r="S194" s="5"/>
      <c r="T194" s="6">
        <f t="shared" si="9"/>
        <v>2240.79</v>
      </c>
      <c r="U194" s="9" t="s">
        <v>639</v>
      </c>
      <c r="V194" s="1"/>
      <c r="W194" s="1"/>
      <c r="X194" s="1"/>
      <c r="Y194" s="1"/>
      <c r="Z194" s="1"/>
    </row>
    <row r="195" spans="1:26" ht="39.75" customHeight="1">
      <c r="A195" s="171"/>
      <c r="B195" s="171"/>
      <c r="C195" s="171"/>
      <c r="D195" s="5">
        <v>186</v>
      </c>
      <c r="E195" s="5" t="s">
        <v>274</v>
      </c>
      <c r="F195" s="5"/>
      <c r="G195" s="5"/>
      <c r="H195" s="5"/>
      <c r="I195" s="5"/>
      <c r="J195" s="5"/>
      <c r="K195" s="5"/>
      <c r="L195" s="5"/>
      <c r="M195" s="5"/>
      <c r="N195" s="5"/>
      <c r="O195" s="5"/>
      <c r="P195" s="8">
        <v>0.5</v>
      </c>
      <c r="Q195" s="6"/>
      <c r="R195" s="5"/>
      <c r="S195" s="5"/>
      <c r="T195" s="6">
        <f t="shared" si="9"/>
        <v>0.5</v>
      </c>
      <c r="U195" s="9" t="s">
        <v>638</v>
      </c>
      <c r="V195" s="1"/>
      <c r="W195" s="1"/>
      <c r="X195" s="1"/>
      <c r="Y195" s="1"/>
      <c r="Z195" s="1"/>
    </row>
    <row r="196" spans="1:26" ht="39.75" customHeight="1">
      <c r="A196" s="171"/>
      <c r="B196" s="171"/>
      <c r="C196" s="171"/>
      <c r="D196" s="5">
        <v>187</v>
      </c>
      <c r="E196" s="5" t="s">
        <v>339</v>
      </c>
      <c r="F196" s="5"/>
      <c r="G196" s="5"/>
      <c r="H196" s="5"/>
      <c r="I196" s="5"/>
      <c r="J196" s="5"/>
      <c r="K196" s="5"/>
      <c r="L196" s="5"/>
      <c r="M196" s="5"/>
      <c r="N196" s="5"/>
      <c r="O196" s="5"/>
      <c r="P196" s="5"/>
      <c r="Q196" s="5"/>
      <c r="R196" s="5"/>
      <c r="S196" s="5"/>
      <c r="T196" s="6">
        <f t="shared" si="9"/>
        <v>0</v>
      </c>
      <c r="U196" s="9"/>
      <c r="V196" s="1"/>
      <c r="W196" s="1"/>
      <c r="X196" s="1"/>
      <c r="Y196" s="1"/>
      <c r="Z196" s="1"/>
    </row>
    <row r="197" spans="1:26" ht="39.75" customHeight="1">
      <c r="A197" s="171"/>
      <c r="B197" s="171"/>
      <c r="C197" s="171"/>
      <c r="D197" s="5">
        <v>188</v>
      </c>
      <c r="E197" s="5" t="s">
        <v>275</v>
      </c>
      <c r="F197" s="5"/>
      <c r="G197" s="5"/>
      <c r="H197" s="5"/>
      <c r="I197" s="5"/>
      <c r="J197" s="5"/>
      <c r="K197" s="5"/>
      <c r="L197" s="5"/>
      <c r="M197" s="5"/>
      <c r="N197" s="5"/>
      <c r="O197" s="5"/>
      <c r="P197" s="5"/>
      <c r="Q197" s="5"/>
      <c r="R197" s="5"/>
      <c r="S197" s="5"/>
      <c r="T197" s="6">
        <f t="shared" si="9"/>
        <v>0</v>
      </c>
      <c r="U197" s="9"/>
      <c r="V197" s="1"/>
      <c r="W197" s="1"/>
      <c r="X197" s="1"/>
      <c r="Y197" s="1"/>
      <c r="Z197" s="1"/>
    </row>
    <row r="198" spans="1:26" ht="39.75" customHeight="1">
      <c r="A198" s="171"/>
      <c r="B198" s="171"/>
      <c r="C198" s="171"/>
      <c r="D198" s="5">
        <v>189</v>
      </c>
      <c r="E198" s="5" t="s">
        <v>276</v>
      </c>
      <c r="F198" s="5"/>
      <c r="G198" s="5"/>
      <c r="H198" s="5"/>
      <c r="I198" s="5"/>
      <c r="J198" s="5"/>
      <c r="K198" s="5"/>
      <c r="L198" s="5"/>
      <c r="M198" s="5"/>
      <c r="N198" s="5"/>
      <c r="O198" s="5"/>
      <c r="P198" s="5"/>
      <c r="Q198" s="5"/>
      <c r="R198" s="5"/>
      <c r="S198" s="5"/>
      <c r="T198" s="6">
        <f t="shared" ref="T198:T208" si="12">SUM(F198:S198)</f>
        <v>0</v>
      </c>
      <c r="U198" s="9"/>
      <c r="V198" s="1"/>
      <c r="W198" s="1"/>
      <c r="X198" s="1"/>
      <c r="Y198" s="1"/>
      <c r="Z198" s="1"/>
    </row>
    <row r="199" spans="1:26" ht="39.75" customHeight="1">
      <c r="A199" s="171"/>
      <c r="B199" s="169"/>
      <c r="C199" s="169"/>
      <c r="D199" s="5">
        <v>190</v>
      </c>
      <c r="E199" s="5" t="s">
        <v>340</v>
      </c>
      <c r="F199" s="5"/>
      <c r="G199" s="5"/>
      <c r="H199" s="5"/>
      <c r="I199" s="5"/>
      <c r="J199" s="5"/>
      <c r="K199" s="5"/>
      <c r="L199" s="5"/>
      <c r="M199" s="5"/>
      <c r="N199" s="5"/>
      <c r="O199" s="5"/>
      <c r="P199" s="8"/>
      <c r="Q199" s="5">
        <v>0.5</v>
      </c>
      <c r="R199" s="5"/>
      <c r="S199" s="5"/>
      <c r="T199" s="6">
        <f t="shared" si="12"/>
        <v>0.5</v>
      </c>
      <c r="U199" s="9" t="s">
        <v>633</v>
      </c>
      <c r="V199" s="1"/>
      <c r="W199" s="1"/>
      <c r="X199" s="1"/>
      <c r="Y199" s="1"/>
      <c r="Z199" s="1"/>
    </row>
    <row r="200" spans="1:26" ht="39.75" customHeight="1">
      <c r="A200" s="171"/>
      <c r="B200" s="168" t="s">
        <v>341</v>
      </c>
      <c r="C200" s="168" t="s">
        <v>342</v>
      </c>
      <c r="D200" s="5">
        <v>191</v>
      </c>
      <c r="E200" s="5" t="s">
        <v>343</v>
      </c>
      <c r="F200" s="5"/>
      <c r="G200" s="5"/>
      <c r="H200" s="5"/>
      <c r="I200" s="5"/>
      <c r="J200" s="5"/>
      <c r="K200" s="5"/>
      <c r="L200" s="5"/>
      <c r="M200" s="5"/>
      <c r="N200" s="6">
        <v>25.562000000000001</v>
      </c>
      <c r="O200" s="5"/>
      <c r="P200" s="5"/>
      <c r="Q200" s="5"/>
      <c r="R200" s="5"/>
      <c r="S200" s="5"/>
      <c r="T200" s="6">
        <f t="shared" si="12"/>
        <v>25.562000000000001</v>
      </c>
      <c r="U200" s="63" t="s">
        <v>460</v>
      </c>
      <c r="V200" s="30"/>
      <c r="W200" s="1"/>
      <c r="X200" s="1"/>
      <c r="Y200" s="1"/>
      <c r="Z200" s="1"/>
    </row>
    <row r="201" spans="1:26" ht="39.75" customHeight="1">
      <c r="A201" s="171"/>
      <c r="B201" s="169"/>
      <c r="C201" s="169"/>
      <c r="D201" s="5">
        <v>192</v>
      </c>
      <c r="E201" s="5" t="s">
        <v>345</v>
      </c>
      <c r="F201" s="5"/>
      <c r="G201" s="5"/>
      <c r="H201" s="8"/>
      <c r="I201" s="5"/>
      <c r="J201" s="5"/>
      <c r="K201" s="5"/>
      <c r="L201" s="5"/>
      <c r="M201" s="5"/>
      <c r="N201" s="6">
        <v>0.5</v>
      </c>
      <c r="O201" s="5"/>
      <c r="P201" s="6">
        <v>15</v>
      </c>
      <c r="Q201" s="8"/>
      <c r="R201" s="5"/>
      <c r="S201" s="5"/>
      <c r="T201" s="6">
        <f t="shared" si="12"/>
        <v>15.5</v>
      </c>
      <c r="U201" s="61" t="s">
        <v>652</v>
      </c>
      <c r="V201" s="1"/>
      <c r="W201" s="1"/>
      <c r="X201" s="1"/>
      <c r="Y201" s="1"/>
      <c r="Z201" s="1"/>
    </row>
    <row r="202" spans="1:26" ht="39.75" customHeight="1">
      <c r="A202" s="171"/>
      <c r="B202" s="168" t="s">
        <v>346</v>
      </c>
      <c r="C202" s="168" t="s">
        <v>278</v>
      </c>
      <c r="D202" s="5">
        <v>193</v>
      </c>
      <c r="E202" s="5" t="s">
        <v>347</v>
      </c>
      <c r="F202" s="5"/>
      <c r="G202" s="5"/>
      <c r="H202" s="5"/>
      <c r="I202" s="5"/>
      <c r="J202" s="5"/>
      <c r="K202" s="5"/>
      <c r="L202" s="5"/>
      <c r="M202" s="5"/>
      <c r="N202" s="5"/>
      <c r="O202" s="5"/>
      <c r="P202" s="6"/>
      <c r="Q202" s="5"/>
      <c r="R202" s="5"/>
      <c r="S202" s="8"/>
      <c r="T202" s="6">
        <f t="shared" si="12"/>
        <v>0</v>
      </c>
      <c r="U202" s="9"/>
      <c r="V202" s="1"/>
      <c r="W202" s="1"/>
      <c r="X202" s="1"/>
      <c r="Y202" s="1"/>
      <c r="Z202" s="1"/>
    </row>
    <row r="203" spans="1:26" ht="39.75" customHeight="1">
      <c r="A203" s="171"/>
      <c r="B203" s="169"/>
      <c r="C203" s="169"/>
      <c r="D203" s="5">
        <v>194</v>
      </c>
      <c r="E203" s="5" t="s">
        <v>279</v>
      </c>
      <c r="F203" s="5"/>
      <c r="G203" s="5"/>
      <c r="H203" s="5"/>
      <c r="I203" s="5"/>
      <c r="J203" s="5"/>
      <c r="K203" s="5"/>
      <c r="L203" s="5"/>
      <c r="M203" s="5"/>
      <c r="N203" s="6"/>
      <c r="O203" s="5"/>
      <c r="P203" s="5"/>
      <c r="Q203" s="6"/>
      <c r="R203" s="6">
        <v>40.1</v>
      </c>
      <c r="S203" s="5"/>
      <c r="T203" s="6">
        <f t="shared" si="12"/>
        <v>40.1</v>
      </c>
      <c r="U203" s="9" t="s">
        <v>629</v>
      </c>
      <c r="V203" s="1"/>
      <c r="W203" s="1"/>
      <c r="X203" s="1"/>
      <c r="Y203" s="1"/>
      <c r="Z203" s="1"/>
    </row>
    <row r="204" spans="1:26" ht="39.75" customHeight="1">
      <c r="A204" s="171"/>
      <c r="B204" s="168" t="s">
        <v>348</v>
      </c>
      <c r="C204" s="168" t="s">
        <v>349</v>
      </c>
      <c r="D204" s="5">
        <v>195</v>
      </c>
      <c r="E204" s="5" t="s">
        <v>350</v>
      </c>
      <c r="F204" s="5"/>
      <c r="G204" s="5"/>
      <c r="H204" s="5"/>
      <c r="I204" s="5"/>
      <c r="J204" s="5"/>
      <c r="K204" s="5"/>
      <c r="L204" s="5"/>
      <c r="M204" s="5"/>
      <c r="N204" s="5"/>
      <c r="O204" s="5"/>
      <c r="P204" s="6">
        <v>0.7</v>
      </c>
      <c r="Q204" s="8">
        <v>1.5</v>
      </c>
      <c r="R204" s="6">
        <v>1.9</v>
      </c>
      <c r="S204" s="5"/>
      <c r="T204" s="6">
        <f t="shared" si="12"/>
        <v>4.0999999999999996</v>
      </c>
      <c r="U204" s="61" t="s">
        <v>351</v>
      </c>
      <c r="V204" s="1"/>
      <c r="W204" s="1"/>
      <c r="X204" s="1"/>
      <c r="Y204" s="1"/>
      <c r="Z204" s="1"/>
    </row>
    <row r="205" spans="1:26" ht="39.75" customHeight="1">
      <c r="A205" s="171"/>
      <c r="B205" s="171"/>
      <c r="C205" s="171"/>
      <c r="D205" s="5">
        <v>196</v>
      </c>
      <c r="E205" s="5" t="s">
        <v>352</v>
      </c>
      <c r="F205" s="5"/>
      <c r="G205" s="5"/>
      <c r="H205" s="5"/>
      <c r="I205" s="5"/>
      <c r="J205" s="5"/>
      <c r="K205" s="5"/>
      <c r="L205" s="5"/>
      <c r="M205" s="5"/>
      <c r="N205" s="5"/>
      <c r="O205" s="5"/>
      <c r="P205" s="5"/>
      <c r="Q205" s="5"/>
      <c r="R205" s="5"/>
      <c r="S205" s="5"/>
      <c r="T205" s="6">
        <f t="shared" si="12"/>
        <v>0</v>
      </c>
      <c r="U205" s="9"/>
      <c r="V205" s="1"/>
      <c r="W205" s="1"/>
      <c r="X205" s="1"/>
      <c r="Y205" s="1"/>
      <c r="Z205" s="1"/>
    </row>
    <row r="206" spans="1:26" ht="39.75" customHeight="1">
      <c r="A206" s="171"/>
      <c r="B206" s="169"/>
      <c r="C206" s="169"/>
      <c r="D206" s="5">
        <v>197</v>
      </c>
      <c r="E206" s="5" t="s">
        <v>353</v>
      </c>
      <c r="F206" s="5"/>
      <c r="G206" s="5"/>
      <c r="H206" s="5"/>
      <c r="I206" s="5"/>
      <c r="J206" s="5"/>
      <c r="K206" s="5"/>
      <c r="L206" s="5"/>
      <c r="M206" s="5"/>
      <c r="N206" s="5"/>
      <c r="O206" s="5"/>
      <c r="P206" s="6"/>
      <c r="Q206" s="5"/>
      <c r="R206" s="5"/>
      <c r="S206" s="5"/>
      <c r="T206" s="6">
        <f t="shared" si="12"/>
        <v>0</v>
      </c>
      <c r="U206" s="9"/>
      <c r="V206" s="1"/>
      <c r="W206" s="1"/>
      <c r="X206" s="1"/>
      <c r="Y206" s="1"/>
      <c r="Z206" s="1"/>
    </row>
    <row r="207" spans="1:26" ht="39.75" customHeight="1">
      <c r="A207" s="171"/>
      <c r="B207" s="5" t="s">
        <v>354</v>
      </c>
      <c r="C207" s="5" t="s">
        <v>284</v>
      </c>
      <c r="D207" s="5">
        <v>198</v>
      </c>
      <c r="E207" s="5" t="s">
        <v>285</v>
      </c>
      <c r="F207" s="5"/>
      <c r="G207" s="5"/>
      <c r="H207" s="5"/>
      <c r="I207" s="5"/>
      <c r="J207" s="5"/>
      <c r="K207" s="5"/>
      <c r="L207" s="5"/>
      <c r="M207" s="5"/>
      <c r="N207" s="5"/>
      <c r="O207" s="5"/>
      <c r="P207" s="5"/>
      <c r="Q207" s="5"/>
      <c r="R207" s="5"/>
      <c r="S207" s="5"/>
      <c r="T207" s="6">
        <f t="shared" si="12"/>
        <v>0</v>
      </c>
      <c r="U207" s="9"/>
      <c r="V207" s="1"/>
      <c r="W207" s="1"/>
      <c r="X207" s="1"/>
      <c r="Y207" s="1"/>
      <c r="Z207" s="1"/>
    </row>
    <row r="208" spans="1:26" ht="39.75" customHeight="1">
      <c r="A208" s="171"/>
      <c r="B208" s="5" t="s">
        <v>355</v>
      </c>
      <c r="C208" s="5" t="s">
        <v>287</v>
      </c>
      <c r="D208" s="5">
        <v>199</v>
      </c>
      <c r="E208" s="5" t="s">
        <v>288</v>
      </c>
      <c r="F208" s="24"/>
      <c r="G208" s="24"/>
      <c r="H208" s="24"/>
      <c r="I208" s="24"/>
      <c r="J208" s="24"/>
      <c r="K208" s="24"/>
      <c r="L208" s="24"/>
      <c r="M208" s="24"/>
      <c r="N208" s="24"/>
      <c r="O208" s="24"/>
      <c r="P208" s="24">
        <v>292.64999999999998</v>
      </c>
      <c r="Q208" s="24"/>
      <c r="R208" s="24"/>
      <c r="S208" s="24"/>
      <c r="T208" s="6">
        <f t="shared" si="12"/>
        <v>292.64999999999998</v>
      </c>
      <c r="U208" s="76" t="s">
        <v>631</v>
      </c>
      <c r="V208" s="1"/>
      <c r="W208" s="1"/>
      <c r="X208" s="1"/>
      <c r="Y208" s="1"/>
      <c r="Z208" s="1"/>
    </row>
    <row r="209" spans="1:26" ht="39.75" customHeight="1">
      <c r="A209" s="169"/>
      <c r="B209" s="176" t="s">
        <v>356</v>
      </c>
      <c r="C209" s="183"/>
      <c r="D209" s="184"/>
      <c r="E209" s="51"/>
      <c r="F209" s="51">
        <f t="shared" ref="F209:T209" si="13">SUM(F159:F208)</f>
        <v>0</v>
      </c>
      <c r="G209" s="56">
        <f t="shared" si="13"/>
        <v>614.25</v>
      </c>
      <c r="H209" s="56">
        <f t="shared" si="13"/>
        <v>819</v>
      </c>
      <c r="I209" s="51">
        <f t="shared" si="13"/>
        <v>11.3</v>
      </c>
      <c r="J209" s="51">
        <f t="shared" si="13"/>
        <v>0</v>
      </c>
      <c r="K209" s="51">
        <f t="shared" si="13"/>
        <v>0</v>
      </c>
      <c r="L209" s="51">
        <f t="shared" si="13"/>
        <v>0</v>
      </c>
      <c r="M209" s="51">
        <f t="shared" si="13"/>
        <v>31.8</v>
      </c>
      <c r="N209" s="52">
        <f t="shared" si="13"/>
        <v>74.781999999999996</v>
      </c>
      <c r="O209" s="51">
        <f t="shared" si="13"/>
        <v>622.25</v>
      </c>
      <c r="P209" s="56">
        <f t="shared" si="13"/>
        <v>538.85</v>
      </c>
      <c r="Q209" s="51">
        <f t="shared" si="13"/>
        <v>18.125700000000002</v>
      </c>
      <c r="R209" s="51">
        <f t="shared" si="13"/>
        <v>2289.5459999999998</v>
      </c>
      <c r="S209" s="51">
        <f t="shared" si="13"/>
        <v>0</v>
      </c>
      <c r="T209" s="52">
        <f t="shared" si="13"/>
        <v>5019.9037000000008</v>
      </c>
      <c r="U209" s="9"/>
      <c r="V209" s="1"/>
      <c r="W209" s="1"/>
      <c r="X209" s="1"/>
      <c r="Y209" s="1"/>
      <c r="Z209" s="1"/>
    </row>
    <row r="210" spans="1:26" ht="39.75" customHeight="1">
      <c r="A210" s="180" t="s">
        <v>357</v>
      </c>
      <c r="B210" s="181"/>
      <c r="C210" s="181"/>
      <c r="D210" s="182"/>
      <c r="E210" s="64"/>
      <c r="F210" s="65">
        <f t="shared" ref="F210:T210" si="14">F209+F158+F134+F93+F68</f>
        <v>142.97000000000003</v>
      </c>
      <c r="G210" s="66">
        <f t="shared" si="14"/>
        <v>614.25</v>
      </c>
      <c r="H210" s="66">
        <f t="shared" si="14"/>
        <v>823</v>
      </c>
      <c r="I210" s="65">
        <f t="shared" si="14"/>
        <v>36.375</v>
      </c>
      <c r="J210" s="65">
        <f t="shared" si="14"/>
        <v>0</v>
      </c>
      <c r="K210" s="67">
        <f t="shared" si="14"/>
        <v>98.323999999999984</v>
      </c>
      <c r="L210" s="65">
        <f t="shared" si="14"/>
        <v>0</v>
      </c>
      <c r="M210" s="66">
        <f t="shared" si="14"/>
        <v>97.563999999999993</v>
      </c>
      <c r="N210" s="67">
        <f t="shared" si="14"/>
        <v>166.89855</v>
      </c>
      <c r="O210" s="65">
        <f t="shared" si="14"/>
        <v>914.21525000000008</v>
      </c>
      <c r="P210" s="66">
        <f t="shared" si="14"/>
        <v>1204.434</v>
      </c>
      <c r="Q210" s="65">
        <f t="shared" si="14"/>
        <v>114.63669999999999</v>
      </c>
      <c r="R210" s="66">
        <f t="shared" si="14"/>
        <v>2603.9849999999997</v>
      </c>
      <c r="S210" s="66">
        <f t="shared" si="14"/>
        <v>14.92</v>
      </c>
      <c r="T210" s="67">
        <f t="shared" si="14"/>
        <v>6831.5725000000002</v>
      </c>
      <c r="U210" s="9"/>
      <c r="V210" s="1"/>
      <c r="W210" s="1"/>
      <c r="X210" s="1"/>
      <c r="Y210" s="1"/>
      <c r="Z210" s="1"/>
    </row>
    <row r="211" spans="1:26" ht="24.75" customHeight="1">
      <c r="A211" s="1"/>
      <c r="B211" s="1"/>
      <c r="C211" s="1"/>
      <c r="D211" s="1"/>
      <c r="E211" s="1"/>
      <c r="F211" s="1"/>
      <c r="G211" s="1"/>
      <c r="H211" s="1"/>
      <c r="I211" s="1"/>
      <c r="J211" s="1"/>
      <c r="K211" s="1"/>
      <c r="L211" s="1"/>
      <c r="M211" s="1"/>
      <c r="N211" s="1"/>
      <c r="O211" s="1"/>
      <c r="P211" s="1"/>
      <c r="Q211" s="1"/>
      <c r="R211" s="1"/>
      <c r="S211" s="1"/>
      <c r="T211" s="32"/>
      <c r="U211" s="2"/>
      <c r="V211" s="1"/>
      <c r="W211" s="1"/>
      <c r="X211" s="1"/>
      <c r="Y211" s="1"/>
      <c r="Z211" s="1"/>
    </row>
    <row r="212" spans="1:26" ht="24.75" customHeight="1">
      <c r="A212" s="1"/>
      <c r="B212" s="1"/>
      <c r="C212" s="1"/>
      <c r="D212" s="1"/>
      <c r="E212" s="1"/>
      <c r="F212" s="1"/>
      <c r="G212" s="1"/>
      <c r="H212" s="1"/>
      <c r="I212" s="1"/>
      <c r="J212" s="1"/>
      <c r="K212" s="1"/>
      <c r="L212" s="1"/>
      <c r="M212" s="1"/>
      <c r="N212" s="1"/>
      <c r="O212" s="1"/>
      <c r="P212" s="1"/>
      <c r="Q212" s="1"/>
      <c r="R212" s="1"/>
      <c r="S212" s="1"/>
      <c r="T212" s="1"/>
      <c r="U212" s="2"/>
      <c r="V212" s="1"/>
      <c r="W212" s="1"/>
      <c r="X212" s="1"/>
      <c r="Y212" s="1"/>
      <c r="Z212" s="1"/>
    </row>
    <row r="213" spans="1:26" ht="24.75" customHeight="1">
      <c r="A213" s="1"/>
      <c r="B213" s="1"/>
      <c r="C213" s="1"/>
      <c r="D213" s="1"/>
      <c r="E213" s="1"/>
      <c r="F213" s="1"/>
      <c r="G213" s="1"/>
      <c r="H213" s="1"/>
      <c r="I213" s="1"/>
      <c r="J213" s="1"/>
      <c r="K213" s="1"/>
      <c r="L213" s="1"/>
      <c r="M213" s="1"/>
      <c r="N213" s="1"/>
      <c r="O213" s="1"/>
      <c r="P213" s="1"/>
      <c r="Q213" s="1"/>
      <c r="R213" s="1"/>
      <c r="S213" s="1"/>
      <c r="T213" s="1"/>
      <c r="U213" s="2"/>
      <c r="V213" s="1"/>
      <c r="W213" s="1"/>
      <c r="X213" s="1"/>
      <c r="Y213" s="1"/>
      <c r="Z213" s="1"/>
    </row>
    <row r="214" spans="1:26" ht="24.75" customHeight="1">
      <c r="A214" s="1"/>
      <c r="B214" s="1"/>
      <c r="C214" s="1"/>
      <c r="D214" s="1"/>
      <c r="E214" s="1"/>
      <c r="F214" s="1"/>
      <c r="G214" s="1"/>
      <c r="H214" s="1"/>
      <c r="I214" s="1"/>
      <c r="J214" s="1"/>
      <c r="K214" s="1"/>
      <c r="L214" s="1"/>
      <c r="M214" s="1"/>
      <c r="N214" s="1"/>
      <c r="O214" s="1"/>
      <c r="P214" s="1"/>
      <c r="Q214" s="1"/>
      <c r="R214" s="1"/>
      <c r="S214" s="1"/>
      <c r="T214" s="1"/>
      <c r="U214" s="2"/>
      <c r="V214" s="1"/>
      <c r="W214" s="1"/>
      <c r="X214" s="1"/>
      <c r="Y214" s="1"/>
      <c r="Z214" s="1"/>
    </row>
    <row r="215" spans="1:26" ht="24.75" customHeight="1">
      <c r="A215" s="1"/>
      <c r="B215" s="1"/>
      <c r="C215" s="1"/>
      <c r="D215" s="1"/>
      <c r="E215" s="1"/>
      <c r="F215" s="1"/>
      <c r="G215" s="1"/>
      <c r="H215" s="1"/>
      <c r="I215" s="1"/>
      <c r="J215" s="1"/>
      <c r="K215" s="1"/>
      <c r="L215" s="1"/>
      <c r="M215" s="1"/>
      <c r="N215" s="1"/>
      <c r="O215" s="1"/>
      <c r="P215" s="1"/>
      <c r="Q215" s="1"/>
      <c r="R215" s="1"/>
      <c r="S215" s="1"/>
      <c r="T215" s="1"/>
      <c r="U215" s="2"/>
      <c r="V215" s="1"/>
      <c r="W215" s="1"/>
      <c r="X215" s="1"/>
      <c r="Y215" s="1"/>
      <c r="Z215" s="1"/>
    </row>
    <row r="216" spans="1:26" ht="24.75" customHeight="1">
      <c r="A216" s="1"/>
      <c r="B216" s="1"/>
      <c r="C216" s="1"/>
      <c r="D216" s="1"/>
      <c r="E216" s="1"/>
      <c r="F216" s="1"/>
      <c r="G216" s="1"/>
      <c r="H216" s="1"/>
      <c r="I216" s="1"/>
      <c r="J216" s="1"/>
      <c r="K216" s="1"/>
      <c r="L216" s="1"/>
      <c r="M216" s="1"/>
      <c r="N216" s="1"/>
      <c r="O216" s="1"/>
      <c r="P216" s="1"/>
      <c r="Q216" s="1"/>
      <c r="R216" s="1"/>
      <c r="S216" s="1"/>
      <c r="T216" s="1"/>
      <c r="U216" s="2"/>
      <c r="V216" s="1"/>
      <c r="W216" s="1"/>
      <c r="X216" s="1"/>
      <c r="Y216" s="1"/>
      <c r="Z216" s="1"/>
    </row>
    <row r="217" spans="1:26" ht="24.75" customHeight="1">
      <c r="A217" s="1"/>
      <c r="B217" s="1"/>
      <c r="C217" s="1"/>
      <c r="D217" s="1"/>
      <c r="E217" s="1"/>
      <c r="F217" s="1"/>
      <c r="G217" s="1"/>
      <c r="H217" s="1"/>
      <c r="I217" s="1"/>
      <c r="J217" s="1"/>
      <c r="K217" s="1"/>
      <c r="L217" s="1"/>
      <c r="M217" s="1"/>
      <c r="N217" s="1"/>
      <c r="O217" s="1"/>
      <c r="P217" s="1"/>
      <c r="Q217" s="1"/>
      <c r="R217" s="1"/>
      <c r="S217" s="1"/>
      <c r="T217" s="1"/>
      <c r="U217" s="2"/>
      <c r="V217" s="1"/>
      <c r="W217" s="1"/>
      <c r="X217" s="1"/>
      <c r="Y217" s="1"/>
      <c r="Z217" s="1"/>
    </row>
    <row r="218" spans="1:26" ht="24.75" customHeight="1">
      <c r="A218" s="1"/>
      <c r="B218" s="1"/>
      <c r="C218" s="1"/>
      <c r="D218" s="1"/>
      <c r="E218" s="1"/>
      <c r="F218" s="1"/>
      <c r="G218" s="1"/>
      <c r="H218" s="1"/>
      <c r="I218" s="1"/>
      <c r="J218" s="1"/>
      <c r="K218" s="1"/>
      <c r="L218" s="1"/>
      <c r="M218" s="1"/>
      <c r="N218" s="1"/>
      <c r="O218" s="1"/>
      <c r="P218" s="1"/>
      <c r="Q218" s="1"/>
      <c r="R218" s="1"/>
      <c r="S218" s="1"/>
      <c r="T218" s="1"/>
      <c r="U218" s="2"/>
      <c r="V218" s="1"/>
      <c r="W218" s="1"/>
      <c r="X218" s="1"/>
      <c r="Y218" s="1"/>
      <c r="Z218" s="1"/>
    </row>
    <row r="219" spans="1:26" ht="24.75" customHeight="1">
      <c r="A219" s="1"/>
      <c r="B219" s="1"/>
      <c r="C219" s="1"/>
      <c r="D219" s="1"/>
      <c r="E219" s="1"/>
      <c r="F219" s="1"/>
      <c r="G219" s="1"/>
      <c r="H219" s="1"/>
      <c r="I219" s="1"/>
      <c r="J219" s="1"/>
      <c r="K219" s="1"/>
      <c r="L219" s="1"/>
      <c r="M219" s="1"/>
      <c r="N219" s="1"/>
      <c r="O219" s="1"/>
      <c r="P219" s="1"/>
      <c r="Q219" s="1"/>
      <c r="R219" s="1"/>
      <c r="S219" s="1"/>
      <c r="T219" s="1"/>
      <c r="U219" s="2"/>
      <c r="V219" s="1"/>
      <c r="W219" s="1"/>
      <c r="X219" s="1"/>
      <c r="Y219" s="1"/>
      <c r="Z219" s="1"/>
    </row>
    <row r="220" spans="1:26" ht="24.75" customHeight="1">
      <c r="A220" s="1"/>
      <c r="B220" s="1"/>
      <c r="C220" s="1"/>
      <c r="D220" s="1"/>
      <c r="E220" s="1"/>
      <c r="F220" s="1"/>
      <c r="G220" s="1"/>
      <c r="H220" s="1"/>
      <c r="I220" s="1"/>
      <c r="J220" s="1"/>
      <c r="K220" s="1"/>
      <c r="L220" s="1"/>
      <c r="M220" s="1"/>
      <c r="N220" s="1"/>
      <c r="O220" s="1"/>
      <c r="P220" s="1"/>
      <c r="Q220" s="1"/>
      <c r="R220" s="1"/>
      <c r="S220" s="1"/>
      <c r="T220" s="1"/>
      <c r="U220" s="2"/>
      <c r="V220" s="1"/>
      <c r="W220" s="1"/>
      <c r="X220" s="1"/>
      <c r="Y220" s="1"/>
      <c r="Z220" s="1"/>
    </row>
    <row r="221" spans="1:26" ht="24.75" customHeight="1">
      <c r="A221" s="1"/>
      <c r="B221" s="1"/>
      <c r="C221" s="1"/>
      <c r="D221" s="1"/>
      <c r="E221" s="1"/>
      <c r="F221" s="1"/>
      <c r="G221" s="1"/>
      <c r="H221" s="1"/>
      <c r="I221" s="1"/>
      <c r="J221" s="1"/>
      <c r="K221" s="1"/>
      <c r="L221" s="1"/>
      <c r="M221" s="1"/>
      <c r="N221" s="1"/>
      <c r="O221" s="1"/>
      <c r="P221" s="1"/>
      <c r="Q221" s="1"/>
      <c r="R221" s="1"/>
      <c r="S221" s="1"/>
      <c r="T221" s="1"/>
      <c r="U221" s="2"/>
      <c r="V221" s="1"/>
      <c r="W221" s="1"/>
      <c r="X221" s="1"/>
      <c r="Y221" s="1"/>
      <c r="Z221" s="1"/>
    </row>
    <row r="222" spans="1:26" ht="24.75" customHeight="1">
      <c r="A222" s="1"/>
      <c r="B222" s="1"/>
      <c r="C222" s="1"/>
      <c r="D222" s="1"/>
      <c r="E222" s="1"/>
      <c r="F222" s="1"/>
      <c r="G222" s="1"/>
      <c r="H222" s="1"/>
      <c r="I222" s="1"/>
      <c r="J222" s="1"/>
      <c r="K222" s="1"/>
      <c r="L222" s="1"/>
      <c r="M222" s="1"/>
      <c r="N222" s="1"/>
      <c r="O222" s="1"/>
      <c r="P222" s="1"/>
      <c r="Q222" s="1"/>
      <c r="R222" s="1"/>
      <c r="S222" s="1"/>
      <c r="T222" s="1"/>
      <c r="U222" s="2"/>
      <c r="V222" s="1"/>
      <c r="W222" s="1"/>
      <c r="X222" s="1"/>
      <c r="Y222" s="1"/>
      <c r="Z222" s="1"/>
    </row>
    <row r="223" spans="1:26" ht="24.75" customHeight="1">
      <c r="A223" s="1"/>
      <c r="B223" s="1"/>
      <c r="C223" s="1"/>
      <c r="D223" s="1"/>
      <c r="E223" s="1"/>
      <c r="F223" s="1"/>
      <c r="G223" s="1"/>
      <c r="H223" s="1"/>
      <c r="I223" s="1"/>
      <c r="J223" s="1"/>
      <c r="K223" s="1"/>
      <c r="L223" s="1"/>
      <c r="M223" s="1"/>
      <c r="N223" s="1"/>
      <c r="O223" s="1"/>
      <c r="P223" s="1"/>
      <c r="Q223" s="1"/>
      <c r="R223" s="1"/>
      <c r="S223" s="1"/>
      <c r="T223" s="1"/>
      <c r="U223" s="2"/>
      <c r="V223" s="1"/>
      <c r="W223" s="1"/>
      <c r="X223" s="1"/>
      <c r="Y223" s="1"/>
      <c r="Z223" s="1"/>
    </row>
    <row r="224" spans="1:26" ht="24.75" customHeight="1">
      <c r="A224" s="1"/>
      <c r="B224" s="1"/>
      <c r="C224" s="1"/>
      <c r="D224" s="1"/>
      <c r="E224" s="1"/>
      <c r="F224" s="1"/>
      <c r="G224" s="1"/>
      <c r="H224" s="1"/>
      <c r="I224" s="1"/>
      <c r="J224" s="1"/>
      <c r="K224" s="1"/>
      <c r="L224" s="1"/>
      <c r="M224" s="1"/>
      <c r="N224" s="1"/>
      <c r="O224" s="1"/>
      <c r="P224" s="1"/>
      <c r="Q224" s="1"/>
      <c r="R224" s="1"/>
      <c r="S224" s="1"/>
      <c r="T224" s="1"/>
      <c r="U224" s="2"/>
      <c r="V224" s="1"/>
      <c r="W224" s="1"/>
      <c r="X224" s="1"/>
      <c r="Y224" s="1"/>
      <c r="Z224" s="1"/>
    </row>
    <row r="225" spans="1:26" ht="24.75" customHeight="1">
      <c r="A225" s="1"/>
      <c r="B225" s="1"/>
      <c r="C225" s="1"/>
      <c r="D225" s="1"/>
      <c r="E225" s="1"/>
      <c r="F225" s="1"/>
      <c r="G225" s="1"/>
      <c r="H225" s="1"/>
      <c r="I225" s="1"/>
      <c r="J225" s="1"/>
      <c r="K225" s="1"/>
      <c r="L225" s="1"/>
      <c r="M225" s="1"/>
      <c r="N225" s="1"/>
      <c r="O225" s="1"/>
      <c r="P225" s="1"/>
      <c r="Q225" s="1"/>
      <c r="R225" s="1"/>
      <c r="S225" s="1"/>
      <c r="T225" s="1"/>
      <c r="U225" s="2"/>
      <c r="V225" s="1"/>
      <c r="W225" s="1"/>
      <c r="X225" s="1"/>
      <c r="Y225" s="1"/>
      <c r="Z225" s="1"/>
    </row>
    <row r="226" spans="1:26" ht="24.75" customHeight="1">
      <c r="A226" s="1"/>
      <c r="B226" s="1"/>
      <c r="C226" s="1"/>
      <c r="D226" s="1"/>
      <c r="E226" s="1"/>
      <c r="F226" s="1"/>
      <c r="G226" s="1"/>
      <c r="H226" s="1"/>
      <c r="I226" s="1"/>
      <c r="J226" s="1"/>
      <c r="K226" s="1"/>
      <c r="L226" s="1"/>
      <c r="M226" s="1"/>
      <c r="N226" s="1"/>
      <c r="O226" s="1"/>
      <c r="P226" s="1"/>
      <c r="Q226" s="1"/>
      <c r="R226" s="1"/>
      <c r="S226" s="1"/>
      <c r="T226" s="1"/>
      <c r="U226" s="2"/>
      <c r="V226" s="1"/>
      <c r="W226" s="1"/>
      <c r="X226" s="1"/>
      <c r="Y226" s="1"/>
      <c r="Z226" s="1"/>
    </row>
    <row r="227" spans="1:26" ht="24.75" customHeight="1">
      <c r="A227" s="1"/>
      <c r="B227" s="1"/>
      <c r="C227" s="1"/>
      <c r="D227" s="1"/>
      <c r="E227" s="1"/>
      <c r="F227" s="1"/>
      <c r="G227" s="1"/>
      <c r="H227" s="1"/>
      <c r="I227" s="1"/>
      <c r="J227" s="1"/>
      <c r="K227" s="1"/>
      <c r="L227" s="1"/>
      <c r="M227" s="1"/>
      <c r="N227" s="1"/>
      <c r="O227" s="1"/>
      <c r="P227" s="1"/>
      <c r="Q227" s="1"/>
      <c r="R227" s="1"/>
      <c r="S227" s="1"/>
      <c r="T227" s="1"/>
      <c r="U227" s="2"/>
      <c r="V227" s="1"/>
      <c r="W227" s="1"/>
      <c r="X227" s="1"/>
      <c r="Y227" s="1"/>
      <c r="Z227" s="1"/>
    </row>
    <row r="228" spans="1:26" ht="24.75" customHeight="1">
      <c r="A228" s="1"/>
      <c r="B228" s="1"/>
      <c r="C228" s="1"/>
      <c r="D228" s="1"/>
      <c r="E228" s="1"/>
      <c r="F228" s="1"/>
      <c r="G228" s="1"/>
      <c r="H228" s="1"/>
      <c r="I228" s="1"/>
      <c r="J228" s="1"/>
      <c r="K228" s="1"/>
      <c r="L228" s="1"/>
      <c r="M228" s="1"/>
      <c r="N228" s="1"/>
      <c r="O228" s="1"/>
      <c r="P228" s="1"/>
      <c r="Q228" s="1"/>
      <c r="R228" s="1"/>
      <c r="S228" s="1"/>
      <c r="T228" s="1"/>
      <c r="U228" s="2"/>
      <c r="V228" s="1"/>
      <c r="W228" s="1"/>
      <c r="X228" s="1"/>
      <c r="Y228" s="1"/>
      <c r="Z228" s="1"/>
    </row>
    <row r="229" spans="1:26" ht="24.75" customHeight="1">
      <c r="A229" s="1"/>
      <c r="B229" s="1"/>
      <c r="C229" s="1"/>
      <c r="D229" s="1"/>
      <c r="E229" s="1"/>
      <c r="F229" s="1"/>
      <c r="G229" s="1"/>
      <c r="H229" s="1"/>
      <c r="I229" s="1"/>
      <c r="J229" s="1"/>
      <c r="K229" s="1"/>
      <c r="L229" s="1"/>
      <c r="M229" s="1"/>
      <c r="N229" s="1"/>
      <c r="O229" s="1"/>
      <c r="P229" s="1"/>
      <c r="Q229" s="1"/>
      <c r="R229" s="1"/>
      <c r="S229" s="1"/>
      <c r="T229" s="1"/>
      <c r="U229" s="2"/>
      <c r="V229" s="1"/>
      <c r="W229" s="1"/>
      <c r="X229" s="1"/>
      <c r="Y229" s="1"/>
      <c r="Z229" s="1"/>
    </row>
    <row r="230" spans="1:26" ht="24.75" customHeight="1">
      <c r="A230" s="1"/>
      <c r="B230" s="1"/>
      <c r="C230" s="1"/>
      <c r="D230" s="1"/>
      <c r="E230" s="1"/>
      <c r="F230" s="1"/>
      <c r="G230" s="1"/>
      <c r="H230" s="1"/>
      <c r="I230" s="1"/>
      <c r="J230" s="1"/>
      <c r="K230" s="1"/>
      <c r="L230" s="1"/>
      <c r="M230" s="1"/>
      <c r="N230" s="1"/>
      <c r="O230" s="1"/>
      <c r="P230" s="1"/>
      <c r="Q230" s="1"/>
      <c r="R230" s="1"/>
      <c r="S230" s="1"/>
      <c r="T230" s="1"/>
      <c r="U230" s="2"/>
      <c r="V230" s="1"/>
      <c r="W230" s="1"/>
      <c r="X230" s="1"/>
      <c r="Y230" s="1"/>
      <c r="Z230" s="1"/>
    </row>
    <row r="231" spans="1:26" ht="24.75" customHeight="1">
      <c r="A231" s="1"/>
      <c r="B231" s="1"/>
      <c r="C231" s="1"/>
      <c r="D231" s="1"/>
      <c r="E231" s="1"/>
      <c r="F231" s="1"/>
      <c r="G231" s="1"/>
      <c r="H231" s="1"/>
      <c r="I231" s="1"/>
      <c r="J231" s="1"/>
      <c r="K231" s="1"/>
      <c r="L231" s="1"/>
      <c r="M231" s="1"/>
      <c r="N231" s="1"/>
      <c r="O231" s="1"/>
      <c r="P231" s="1"/>
      <c r="Q231" s="1"/>
      <c r="R231" s="1"/>
      <c r="S231" s="1"/>
      <c r="T231" s="1"/>
      <c r="U231" s="2"/>
      <c r="V231" s="1"/>
      <c r="W231" s="1"/>
      <c r="X231" s="1"/>
      <c r="Y231" s="1"/>
      <c r="Z231" s="1"/>
    </row>
    <row r="232" spans="1:26" ht="24.75" customHeight="1">
      <c r="A232" s="1"/>
      <c r="B232" s="1"/>
      <c r="C232" s="1"/>
      <c r="D232" s="1"/>
      <c r="E232" s="1"/>
      <c r="F232" s="1"/>
      <c r="G232" s="1"/>
      <c r="H232" s="1"/>
      <c r="I232" s="1"/>
      <c r="J232" s="1"/>
      <c r="K232" s="1"/>
      <c r="L232" s="1"/>
      <c r="M232" s="1"/>
      <c r="N232" s="1"/>
      <c r="O232" s="1"/>
      <c r="P232" s="1"/>
      <c r="Q232" s="1"/>
      <c r="R232" s="1"/>
      <c r="S232" s="1"/>
      <c r="T232" s="1"/>
      <c r="U232" s="2"/>
      <c r="V232" s="1"/>
      <c r="W232" s="1"/>
      <c r="X232" s="1"/>
      <c r="Y232" s="1"/>
      <c r="Z232" s="1"/>
    </row>
    <row r="233" spans="1:26" ht="24.75" customHeight="1">
      <c r="A233" s="1"/>
      <c r="B233" s="1"/>
      <c r="C233" s="1"/>
      <c r="D233" s="1"/>
      <c r="E233" s="1"/>
      <c r="F233" s="1"/>
      <c r="G233" s="1"/>
      <c r="H233" s="1"/>
      <c r="I233" s="1"/>
      <c r="J233" s="1"/>
      <c r="K233" s="1"/>
      <c r="L233" s="1"/>
      <c r="M233" s="1"/>
      <c r="N233" s="1"/>
      <c r="O233" s="1"/>
      <c r="P233" s="1"/>
      <c r="Q233" s="1"/>
      <c r="R233" s="1"/>
      <c r="S233" s="1"/>
      <c r="T233" s="1"/>
      <c r="U233" s="2"/>
      <c r="V233" s="1"/>
      <c r="W233" s="1"/>
      <c r="X233" s="1"/>
      <c r="Y233" s="1"/>
      <c r="Z233" s="1"/>
    </row>
    <row r="234" spans="1:26" ht="24.75" customHeight="1">
      <c r="A234" s="1"/>
      <c r="B234" s="1"/>
      <c r="C234" s="1"/>
      <c r="D234" s="1"/>
      <c r="E234" s="1"/>
      <c r="F234" s="1"/>
      <c r="G234" s="1"/>
      <c r="H234" s="1"/>
      <c r="I234" s="1"/>
      <c r="J234" s="1"/>
      <c r="K234" s="1"/>
      <c r="L234" s="1"/>
      <c r="M234" s="1"/>
      <c r="N234" s="1"/>
      <c r="O234" s="1"/>
      <c r="P234" s="1"/>
      <c r="Q234" s="1"/>
      <c r="R234" s="1"/>
      <c r="S234" s="1"/>
      <c r="T234" s="1"/>
      <c r="U234" s="2"/>
      <c r="V234" s="1"/>
      <c r="W234" s="1"/>
      <c r="X234" s="1"/>
      <c r="Y234" s="1"/>
      <c r="Z234" s="1"/>
    </row>
    <row r="235" spans="1:26" ht="24.75" customHeight="1">
      <c r="A235" s="1"/>
      <c r="B235" s="1"/>
      <c r="C235" s="1"/>
      <c r="D235" s="1"/>
      <c r="E235" s="1"/>
      <c r="F235" s="1"/>
      <c r="G235" s="1"/>
      <c r="H235" s="1"/>
      <c r="I235" s="1"/>
      <c r="J235" s="1"/>
      <c r="K235" s="1"/>
      <c r="L235" s="1"/>
      <c r="M235" s="1"/>
      <c r="N235" s="1"/>
      <c r="O235" s="1"/>
      <c r="P235" s="1"/>
      <c r="Q235" s="1"/>
      <c r="R235" s="1"/>
      <c r="S235" s="1"/>
      <c r="T235" s="1"/>
      <c r="U235" s="2"/>
      <c r="V235" s="1"/>
      <c r="W235" s="1"/>
      <c r="X235" s="1"/>
      <c r="Y235" s="1"/>
      <c r="Z235" s="1"/>
    </row>
    <row r="236" spans="1:26" ht="24.75" customHeight="1">
      <c r="A236" s="1"/>
      <c r="B236" s="1"/>
      <c r="C236" s="1"/>
      <c r="D236" s="1"/>
      <c r="E236" s="1"/>
      <c r="F236" s="1"/>
      <c r="G236" s="1"/>
      <c r="H236" s="1"/>
      <c r="I236" s="1"/>
      <c r="J236" s="1"/>
      <c r="K236" s="1"/>
      <c r="L236" s="1"/>
      <c r="M236" s="1"/>
      <c r="N236" s="1"/>
      <c r="O236" s="1"/>
      <c r="P236" s="1"/>
      <c r="Q236" s="1"/>
      <c r="R236" s="1"/>
      <c r="S236" s="1"/>
      <c r="T236" s="1"/>
      <c r="U236" s="2"/>
      <c r="V236" s="1"/>
      <c r="W236" s="1"/>
      <c r="X236" s="1"/>
      <c r="Y236" s="1"/>
      <c r="Z236" s="1"/>
    </row>
    <row r="237" spans="1:26" ht="24.75" customHeight="1">
      <c r="A237" s="1"/>
      <c r="B237" s="1"/>
      <c r="C237" s="1"/>
      <c r="D237" s="1"/>
      <c r="E237" s="1"/>
      <c r="F237" s="1"/>
      <c r="G237" s="1"/>
      <c r="H237" s="1"/>
      <c r="I237" s="1"/>
      <c r="J237" s="1"/>
      <c r="K237" s="1"/>
      <c r="L237" s="1"/>
      <c r="M237" s="1"/>
      <c r="N237" s="1"/>
      <c r="O237" s="1"/>
      <c r="P237" s="1"/>
      <c r="Q237" s="1"/>
      <c r="R237" s="1"/>
      <c r="S237" s="1"/>
      <c r="T237" s="1"/>
      <c r="U237" s="2"/>
      <c r="V237" s="1"/>
      <c r="W237" s="1"/>
      <c r="X237" s="1"/>
      <c r="Y237" s="1"/>
      <c r="Z237" s="1"/>
    </row>
    <row r="238" spans="1:26" ht="24.75" customHeight="1">
      <c r="A238" s="1"/>
      <c r="B238" s="1"/>
      <c r="C238" s="1"/>
      <c r="D238" s="1"/>
      <c r="E238" s="1"/>
      <c r="F238" s="1"/>
      <c r="G238" s="1"/>
      <c r="H238" s="1"/>
      <c r="I238" s="1"/>
      <c r="J238" s="1"/>
      <c r="K238" s="1"/>
      <c r="L238" s="1"/>
      <c r="M238" s="1"/>
      <c r="N238" s="1"/>
      <c r="O238" s="1"/>
      <c r="P238" s="1"/>
      <c r="Q238" s="1"/>
      <c r="R238" s="1"/>
      <c r="S238" s="1"/>
      <c r="T238" s="1"/>
      <c r="U238" s="2"/>
      <c r="V238" s="1"/>
      <c r="W238" s="1"/>
      <c r="X238" s="1"/>
      <c r="Y238" s="1"/>
      <c r="Z238" s="1"/>
    </row>
    <row r="239" spans="1:26" ht="24.75" customHeight="1">
      <c r="A239" s="1"/>
      <c r="B239" s="1"/>
      <c r="C239" s="1"/>
      <c r="D239" s="1"/>
      <c r="E239" s="1"/>
      <c r="F239" s="1"/>
      <c r="G239" s="1"/>
      <c r="H239" s="1"/>
      <c r="I239" s="1"/>
      <c r="J239" s="1"/>
      <c r="K239" s="1"/>
      <c r="L239" s="1"/>
      <c r="M239" s="1"/>
      <c r="N239" s="1"/>
      <c r="O239" s="1"/>
      <c r="P239" s="1"/>
      <c r="Q239" s="1"/>
      <c r="R239" s="1"/>
      <c r="S239" s="1"/>
      <c r="T239" s="1"/>
      <c r="U239" s="2"/>
      <c r="V239" s="1"/>
      <c r="W239" s="1"/>
      <c r="X239" s="1"/>
      <c r="Y239" s="1"/>
      <c r="Z239" s="1"/>
    </row>
    <row r="240" spans="1:26" ht="24.75" customHeight="1">
      <c r="A240" s="1"/>
      <c r="B240" s="1"/>
      <c r="C240" s="1"/>
      <c r="D240" s="1"/>
      <c r="E240" s="1"/>
      <c r="F240" s="1"/>
      <c r="G240" s="1"/>
      <c r="H240" s="1"/>
      <c r="I240" s="1"/>
      <c r="J240" s="1"/>
      <c r="K240" s="1"/>
      <c r="L240" s="1"/>
      <c r="M240" s="1"/>
      <c r="N240" s="1"/>
      <c r="O240" s="1"/>
      <c r="P240" s="1"/>
      <c r="Q240" s="1"/>
      <c r="R240" s="1"/>
      <c r="S240" s="1"/>
      <c r="T240" s="1"/>
      <c r="U240" s="2"/>
      <c r="V240" s="1"/>
      <c r="W240" s="1"/>
      <c r="X240" s="1"/>
      <c r="Y240" s="1"/>
      <c r="Z240" s="1"/>
    </row>
    <row r="241" spans="1:26" ht="24.75" customHeight="1">
      <c r="A241" s="1"/>
      <c r="B241" s="1"/>
      <c r="C241" s="1"/>
      <c r="D241" s="1"/>
      <c r="E241" s="1"/>
      <c r="F241" s="1"/>
      <c r="G241" s="1"/>
      <c r="H241" s="1"/>
      <c r="I241" s="1"/>
      <c r="J241" s="1"/>
      <c r="K241" s="1"/>
      <c r="L241" s="1"/>
      <c r="M241" s="1"/>
      <c r="N241" s="1"/>
      <c r="O241" s="1"/>
      <c r="P241" s="1"/>
      <c r="Q241" s="1"/>
      <c r="R241" s="1"/>
      <c r="S241" s="1"/>
      <c r="T241" s="1"/>
      <c r="U241" s="2"/>
      <c r="V241" s="1"/>
      <c r="W241" s="1"/>
      <c r="X241" s="1"/>
      <c r="Y241" s="1"/>
      <c r="Z241" s="1"/>
    </row>
    <row r="242" spans="1:26" ht="24.75" customHeight="1">
      <c r="A242" s="1"/>
      <c r="B242" s="1"/>
      <c r="C242" s="1"/>
      <c r="D242" s="1"/>
      <c r="E242" s="1"/>
      <c r="F242" s="1"/>
      <c r="G242" s="1"/>
      <c r="H242" s="1"/>
      <c r="I242" s="1"/>
      <c r="J242" s="1"/>
      <c r="K242" s="1"/>
      <c r="L242" s="1"/>
      <c r="M242" s="1"/>
      <c r="N242" s="1"/>
      <c r="O242" s="1"/>
      <c r="P242" s="1"/>
      <c r="Q242" s="1"/>
      <c r="R242" s="1"/>
      <c r="S242" s="1"/>
      <c r="T242" s="1"/>
      <c r="U242" s="2"/>
      <c r="V242" s="1"/>
      <c r="W242" s="1"/>
      <c r="X242" s="1"/>
      <c r="Y242" s="1"/>
      <c r="Z242" s="1"/>
    </row>
    <row r="243" spans="1:26" ht="24.75" customHeight="1">
      <c r="A243" s="1"/>
      <c r="B243" s="1"/>
      <c r="C243" s="1"/>
      <c r="D243" s="1"/>
      <c r="E243" s="1"/>
      <c r="F243" s="1"/>
      <c r="G243" s="1"/>
      <c r="H243" s="1"/>
      <c r="I243" s="1"/>
      <c r="J243" s="1"/>
      <c r="K243" s="1"/>
      <c r="L243" s="1"/>
      <c r="M243" s="1"/>
      <c r="N243" s="1"/>
      <c r="O243" s="1"/>
      <c r="P243" s="1"/>
      <c r="Q243" s="1"/>
      <c r="R243" s="1"/>
      <c r="S243" s="1"/>
      <c r="T243" s="1"/>
      <c r="U243" s="2"/>
      <c r="V243" s="1"/>
      <c r="W243" s="1"/>
      <c r="X243" s="1"/>
      <c r="Y243" s="1"/>
      <c r="Z243" s="1"/>
    </row>
    <row r="244" spans="1:26" ht="24.75" customHeight="1">
      <c r="A244" s="1"/>
      <c r="B244" s="1"/>
      <c r="C244" s="1"/>
      <c r="D244" s="1"/>
      <c r="E244" s="1"/>
      <c r="F244" s="1"/>
      <c r="G244" s="1"/>
      <c r="H244" s="1"/>
      <c r="I244" s="1"/>
      <c r="J244" s="1"/>
      <c r="K244" s="1"/>
      <c r="L244" s="1"/>
      <c r="M244" s="1"/>
      <c r="N244" s="1"/>
      <c r="O244" s="1"/>
      <c r="P244" s="1"/>
      <c r="Q244" s="1"/>
      <c r="R244" s="1"/>
      <c r="S244" s="1"/>
      <c r="T244" s="1"/>
      <c r="U244" s="2"/>
      <c r="V244" s="1"/>
      <c r="W244" s="1"/>
      <c r="X244" s="1"/>
      <c r="Y244" s="1"/>
      <c r="Z244" s="1"/>
    </row>
    <row r="245" spans="1:26" ht="24.75" customHeight="1">
      <c r="A245" s="1"/>
      <c r="B245" s="1"/>
      <c r="C245" s="1"/>
      <c r="D245" s="1"/>
      <c r="E245" s="1"/>
      <c r="F245" s="1"/>
      <c r="G245" s="1"/>
      <c r="H245" s="1"/>
      <c r="I245" s="1"/>
      <c r="J245" s="1"/>
      <c r="K245" s="1"/>
      <c r="L245" s="1"/>
      <c r="M245" s="1"/>
      <c r="N245" s="1"/>
      <c r="O245" s="1"/>
      <c r="P245" s="1"/>
      <c r="Q245" s="1"/>
      <c r="R245" s="1"/>
      <c r="S245" s="1"/>
      <c r="T245" s="1"/>
      <c r="U245" s="2"/>
      <c r="V245" s="1"/>
      <c r="W245" s="1"/>
      <c r="X245" s="1"/>
      <c r="Y245" s="1"/>
      <c r="Z245" s="1"/>
    </row>
    <row r="246" spans="1:26" ht="24.75" customHeight="1">
      <c r="A246" s="1"/>
      <c r="B246" s="1"/>
      <c r="C246" s="1"/>
      <c r="D246" s="1"/>
      <c r="E246" s="1"/>
      <c r="F246" s="1"/>
      <c r="G246" s="1"/>
      <c r="H246" s="1"/>
      <c r="I246" s="1"/>
      <c r="J246" s="1"/>
      <c r="K246" s="1"/>
      <c r="L246" s="1"/>
      <c r="M246" s="1"/>
      <c r="N246" s="1"/>
      <c r="O246" s="1"/>
      <c r="P246" s="1"/>
      <c r="Q246" s="1"/>
      <c r="R246" s="1"/>
      <c r="S246" s="1"/>
      <c r="T246" s="1"/>
      <c r="U246" s="2"/>
      <c r="V246" s="1"/>
      <c r="W246" s="1"/>
      <c r="X246" s="1"/>
      <c r="Y246" s="1"/>
      <c r="Z246" s="1"/>
    </row>
    <row r="247" spans="1:26" ht="24.75" customHeight="1">
      <c r="A247" s="1"/>
      <c r="B247" s="1"/>
      <c r="C247" s="1"/>
      <c r="D247" s="1"/>
      <c r="E247" s="1"/>
      <c r="F247" s="1"/>
      <c r="G247" s="1"/>
      <c r="H247" s="1"/>
      <c r="I247" s="1"/>
      <c r="J247" s="1"/>
      <c r="K247" s="1"/>
      <c r="L247" s="1"/>
      <c r="M247" s="1"/>
      <c r="N247" s="1"/>
      <c r="O247" s="1"/>
      <c r="P247" s="1"/>
      <c r="Q247" s="1"/>
      <c r="R247" s="1"/>
      <c r="S247" s="1"/>
      <c r="T247" s="1"/>
      <c r="U247" s="2"/>
      <c r="V247" s="1"/>
      <c r="W247" s="1"/>
      <c r="X247" s="1"/>
      <c r="Y247" s="1"/>
      <c r="Z247" s="1"/>
    </row>
    <row r="248" spans="1:26" ht="24.75" customHeight="1">
      <c r="A248" s="1"/>
      <c r="B248" s="1"/>
      <c r="C248" s="1"/>
      <c r="D248" s="1"/>
      <c r="E248" s="1"/>
      <c r="F248" s="1"/>
      <c r="G248" s="1"/>
      <c r="H248" s="1"/>
      <c r="I248" s="1"/>
      <c r="J248" s="1"/>
      <c r="K248" s="1"/>
      <c r="L248" s="1"/>
      <c r="M248" s="1"/>
      <c r="N248" s="1"/>
      <c r="O248" s="1"/>
      <c r="P248" s="1"/>
      <c r="Q248" s="1"/>
      <c r="R248" s="1"/>
      <c r="S248" s="1"/>
      <c r="T248" s="1"/>
      <c r="U248" s="2"/>
      <c r="V248" s="1"/>
      <c r="W248" s="1"/>
      <c r="X248" s="1"/>
      <c r="Y248" s="1"/>
      <c r="Z248" s="1"/>
    </row>
    <row r="249" spans="1:26" ht="24.75" customHeight="1">
      <c r="A249" s="1"/>
      <c r="B249" s="1"/>
      <c r="C249" s="1"/>
      <c r="D249" s="1"/>
      <c r="E249" s="1"/>
      <c r="F249" s="1"/>
      <c r="G249" s="1"/>
      <c r="H249" s="1"/>
      <c r="I249" s="1"/>
      <c r="J249" s="1"/>
      <c r="K249" s="1"/>
      <c r="L249" s="1"/>
      <c r="M249" s="1"/>
      <c r="N249" s="1"/>
      <c r="O249" s="1"/>
      <c r="P249" s="1"/>
      <c r="Q249" s="1"/>
      <c r="R249" s="1"/>
      <c r="S249" s="1"/>
      <c r="T249" s="1"/>
      <c r="U249" s="2"/>
      <c r="V249" s="1"/>
      <c r="W249" s="1"/>
      <c r="X249" s="1"/>
      <c r="Y249" s="1"/>
      <c r="Z249" s="1"/>
    </row>
    <row r="250" spans="1:26" ht="24.75" customHeight="1">
      <c r="A250" s="1"/>
      <c r="B250" s="1"/>
      <c r="C250" s="1"/>
      <c r="D250" s="1"/>
      <c r="E250" s="1"/>
      <c r="F250" s="1"/>
      <c r="G250" s="1"/>
      <c r="H250" s="1"/>
      <c r="I250" s="1"/>
      <c r="J250" s="1"/>
      <c r="K250" s="1"/>
      <c r="L250" s="1"/>
      <c r="M250" s="1"/>
      <c r="N250" s="1"/>
      <c r="O250" s="1"/>
      <c r="P250" s="1"/>
      <c r="Q250" s="1"/>
      <c r="R250" s="1"/>
      <c r="S250" s="1"/>
      <c r="T250" s="1"/>
      <c r="U250" s="2"/>
      <c r="V250" s="1"/>
      <c r="W250" s="1"/>
      <c r="X250" s="1"/>
      <c r="Y250" s="1"/>
      <c r="Z250" s="1"/>
    </row>
    <row r="251" spans="1:26" ht="24.75" customHeight="1">
      <c r="A251" s="1"/>
      <c r="B251" s="1"/>
      <c r="C251" s="1"/>
      <c r="D251" s="1"/>
      <c r="E251" s="1"/>
      <c r="F251" s="1"/>
      <c r="G251" s="1"/>
      <c r="H251" s="1"/>
      <c r="I251" s="1"/>
      <c r="J251" s="1"/>
      <c r="K251" s="1"/>
      <c r="L251" s="1"/>
      <c r="M251" s="1"/>
      <c r="N251" s="1"/>
      <c r="O251" s="1"/>
      <c r="P251" s="1"/>
      <c r="Q251" s="1"/>
      <c r="R251" s="1"/>
      <c r="S251" s="1"/>
      <c r="T251" s="1"/>
      <c r="U251" s="2"/>
      <c r="V251" s="1"/>
      <c r="W251" s="1"/>
      <c r="X251" s="1"/>
      <c r="Y251" s="1"/>
      <c r="Z251" s="1"/>
    </row>
    <row r="252" spans="1:26" ht="24.75" customHeight="1">
      <c r="A252" s="1"/>
      <c r="B252" s="1"/>
      <c r="C252" s="1"/>
      <c r="D252" s="1"/>
      <c r="E252" s="1"/>
      <c r="F252" s="1"/>
      <c r="G252" s="1"/>
      <c r="H252" s="1"/>
      <c r="I252" s="1"/>
      <c r="J252" s="1"/>
      <c r="K252" s="1"/>
      <c r="L252" s="1"/>
      <c r="M252" s="1"/>
      <c r="N252" s="1"/>
      <c r="O252" s="1"/>
      <c r="P252" s="1"/>
      <c r="Q252" s="1"/>
      <c r="R252" s="1"/>
      <c r="S252" s="1"/>
      <c r="T252" s="1"/>
      <c r="U252" s="2"/>
      <c r="V252" s="1"/>
      <c r="W252" s="1"/>
      <c r="X252" s="1"/>
      <c r="Y252" s="1"/>
      <c r="Z252" s="1"/>
    </row>
    <row r="253" spans="1:26" ht="24.75" customHeight="1">
      <c r="A253" s="1"/>
      <c r="B253" s="1"/>
      <c r="C253" s="1"/>
      <c r="D253" s="1"/>
      <c r="E253" s="1"/>
      <c r="F253" s="1"/>
      <c r="G253" s="1"/>
      <c r="H253" s="1"/>
      <c r="I253" s="1"/>
      <c r="J253" s="1"/>
      <c r="K253" s="1"/>
      <c r="L253" s="1"/>
      <c r="M253" s="1"/>
      <c r="N253" s="1"/>
      <c r="O253" s="1"/>
      <c r="P253" s="1"/>
      <c r="Q253" s="1"/>
      <c r="R253" s="1"/>
      <c r="S253" s="1"/>
      <c r="T253" s="1"/>
      <c r="U253" s="2"/>
      <c r="V253" s="1"/>
      <c r="W253" s="1"/>
      <c r="X253" s="1"/>
      <c r="Y253" s="1"/>
      <c r="Z253" s="1"/>
    </row>
    <row r="254" spans="1:26" ht="24.75" customHeight="1">
      <c r="A254" s="1"/>
      <c r="B254" s="1"/>
      <c r="C254" s="1"/>
      <c r="D254" s="1"/>
      <c r="E254" s="1"/>
      <c r="F254" s="1"/>
      <c r="G254" s="1"/>
      <c r="H254" s="1"/>
      <c r="I254" s="1"/>
      <c r="J254" s="1"/>
      <c r="K254" s="1"/>
      <c r="L254" s="1"/>
      <c r="M254" s="1"/>
      <c r="N254" s="1"/>
      <c r="O254" s="1"/>
      <c r="P254" s="1"/>
      <c r="Q254" s="1"/>
      <c r="R254" s="1"/>
      <c r="S254" s="1"/>
      <c r="T254" s="1"/>
      <c r="U254" s="2"/>
      <c r="V254" s="1"/>
      <c r="W254" s="1"/>
      <c r="X254" s="1"/>
      <c r="Y254" s="1"/>
      <c r="Z254" s="1"/>
    </row>
    <row r="255" spans="1:26" ht="24.75" customHeight="1">
      <c r="A255" s="1"/>
      <c r="B255" s="1"/>
      <c r="C255" s="1"/>
      <c r="D255" s="1"/>
      <c r="E255" s="1"/>
      <c r="F255" s="1"/>
      <c r="G255" s="1"/>
      <c r="H255" s="1"/>
      <c r="I255" s="1"/>
      <c r="J255" s="1"/>
      <c r="K255" s="1"/>
      <c r="L255" s="1"/>
      <c r="M255" s="1"/>
      <c r="N255" s="1"/>
      <c r="O255" s="1"/>
      <c r="P255" s="1"/>
      <c r="Q255" s="1"/>
      <c r="R255" s="1"/>
      <c r="S255" s="1"/>
      <c r="T255" s="1"/>
      <c r="U255" s="2"/>
      <c r="V255" s="1"/>
      <c r="W255" s="1"/>
      <c r="X255" s="1"/>
      <c r="Y255" s="1"/>
      <c r="Z255" s="1"/>
    </row>
    <row r="256" spans="1:26" ht="24.75" customHeight="1">
      <c r="A256" s="1"/>
      <c r="B256" s="1"/>
      <c r="C256" s="1"/>
      <c r="D256" s="1"/>
      <c r="E256" s="1"/>
      <c r="F256" s="1"/>
      <c r="G256" s="1"/>
      <c r="H256" s="1"/>
      <c r="I256" s="1"/>
      <c r="J256" s="1"/>
      <c r="K256" s="1"/>
      <c r="L256" s="1"/>
      <c r="M256" s="1"/>
      <c r="N256" s="1"/>
      <c r="O256" s="1"/>
      <c r="P256" s="1"/>
      <c r="Q256" s="1"/>
      <c r="R256" s="1"/>
      <c r="S256" s="1"/>
      <c r="T256" s="1"/>
      <c r="U256" s="2"/>
      <c r="V256" s="1"/>
      <c r="W256" s="1"/>
      <c r="X256" s="1"/>
      <c r="Y256" s="1"/>
      <c r="Z256" s="1"/>
    </row>
    <row r="257" spans="1:26" ht="24.75" customHeight="1">
      <c r="A257" s="1"/>
      <c r="B257" s="1"/>
      <c r="C257" s="1"/>
      <c r="D257" s="1"/>
      <c r="E257" s="1"/>
      <c r="F257" s="1"/>
      <c r="G257" s="1"/>
      <c r="H257" s="1"/>
      <c r="I257" s="1"/>
      <c r="J257" s="1"/>
      <c r="K257" s="1"/>
      <c r="L257" s="1"/>
      <c r="M257" s="1"/>
      <c r="N257" s="1"/>
      <c r="O257" s="1"/>
      <c r="P257" s="1"/>
      <c r="Q257" s="1"/>
      <c r="R257" s="1"/>
      <c r="S257" s="1"/>
      <c r="T257" s="1"/>
      <c r="U257" s="2"/>
      <c r="V257" s="1"/>
      <c r="W257" s="1"/>
      <c r="X257" s="1"/>
      <c r="Y257" s="1"/>
      <c r="Z257" s="1"/>
    </row>
    <row r="258" spans="1:26" ht="24.75" customHeight="1">
      <c r="A258" s="1"/>
      <c r="B258" s="1"/>
      <c r="C258" s="1"/>
      <c r="D258" s="1"/>
      <c r="E258" s="1"/>
      <c r="F258" s="1"/>
      <c r="G258" s="1"/>
      <c r="H258" s="1"/>
      <c r="I258" s="1"/>
      <c r="J258" s="1"/>
      <c r="K258" s="1"/>
      <c r="L258" s="1"/>
      <c r="M258" s="1"/>
      <c r="N258" s="1"/>
      <c r="O258" s="1"/>
      <c r="P258" s="1"/>
      <c r="Q258" s="1"/>
      <c r="R258" s="1"/>
      <c r="S258" s="1"/>
      <c r="T258" s="1"/>
      <c r="U258" s="2"/>
      <c r="V258" s="1"/>
      <c r="W258" s="1"/>
      <c r="X258" s="1"/>
      <c r="Y258" s="1"/>
      <c r="Z258" s="1"/>
    </row>
    <row r="259" spans="1:26" ht="24.75" customHeight="1">
      <c r="A259" s="1"/>
      <c r="B259" s="1"/>
      <c r="C259" s="1"/>
      <c r="D259" s="1"/>
      <c r="E259" s="1"/>
      <c r="F259" s="1"/>
      <c r="G259" s="1"/>
      <c r="H259" s="1"/>
      <c r="I259" s="1"/>
      <c r="J259" s="1"/>
      <c r="K259" s="1"/>
      <c r="L259" s="1"/>
      <c r="M259" s="1"/>
      <c r="N259" s="1"/>
      <c r="O259" s="1"/>
      <c r="P259" s="1"/>
      <c r="Q259" s="1"/>
      <c r="R259" s="1"/>
      <c r="S259" s="1"/>
      <c r="T259" s="1"/>
      <c r="U259" s="2"/>
      <c r="V259" s="1"/>
      <c r="W259" s="1"/>
      <c r="X259" s="1"/>
      <c r="Y259" s="1"/>
      <c r="Z259" s="1"/>
    </row>
    <row r="260" spans="1:26" ht="24.75" customHeight="1">
      <c r="A260" s="1"/>
      <c r="B260" s="1"/>
      <c r="C260" s="1"/>
      <c r="D260" s="1"/>
      <c r="E260" s="1"/>
      <c r="F260" s="1"/>
      <c r="G260" s="1"/>
      <c r="H260" s="1"/>
      <c r="I260" s="1"/>
      <c r="J260" s="1"/>
      <c r="K260" s="1"/>
      <c r="L260" s="1"/>
      <c r="M260" s="1"/>
      <c r="N260" s="1"/>
      <c r="O260" s="1"/>
      <c r="P260" s="1"/>
      <c r="Q260" s="1"/>
      <c r="R260" s="1"/>
      <c r="S260" s="1"/>
      <c r="T260" s="1"/>
      <c r="U260" s="2"/>
      <c r="V260" s="1"/>
      <c r="W260" s="1"/>
      <c r="X260" s="1"/>
      <c r="Y260" s="1"/>
      <c r="Z260" s="1"/>
    </row>
    <row r="261" spans="1:26" ht="24.75" customHeight="1">
      <c r="A261" s="1"/>
      <c r="B261" s="1"/>
      <c r="C261" s="1"/>
      <c r="D261" s="1"/>
      <c r="E261" s="1"/>
      <c r="F261" s="1"/>
      <c r="G261" s="1"/>
      <c r="H261" s="1"/>
      <c r="I261" s="1"/>
      <c r="J261" s="1"/>
      <c r="K261" s="1"/>
      <c r="L261" s="1"/>
      <c r="M261" s="1"/>
      <c r="N261" s="1"/>
      <c r="O261" s="1"/>
      <c r="P261" s="1"/>
      <c r="Q261" s="1"/>
      <c r="R261" s="1"/>
      <c r="S261" s="1"/>
      <c r="T261" s="1"/>
      <c r="U261" s="2"/>
      <c r="V261" s="1"/>
      <c r="W261" s="1"/>
      <c r="X261" s="1"/>
      <c r="Y261" s="1"/>
      <c r="Z261" s="1"/>
    </row>
    <row r="262" spans="1:26" ht="24.75" customHeight="1">
      <c r="A262" s="1"/>
      <c r="B262" s="1"/>
      <c r="C262" s="1"/>
      <c r="D262" s="1"/>
      <c r="E262" s="1"/>
      <c r="F262" s="1"/>
      <c r="G262" s="1"/>
      <c r="H262" s="1"/>
      <c r="I262" s="1"/>
      <c r="J262" s="1"/>
      <c r="K262" s="1"/>
      <c r="L262" s="1"/>
      <c r="M262" s="1"/>
      <c r="N262" s="1"/>
      <c r="O262" s="1"/>
      <c r="P262" s="1"/>
      <c r="Q262" s="1"/>
      <c r="R262" s="1"/>
      <c r="S262" s="1"/>
      <c r="T262" s="1"/>
      <c r="U262" s="2"/>
      <c r="V262" s="1"/>
      <c r="W262" s="1"/>
      <c r="X262" s="1"/>
      <c r="Y262" s="1"/>
      <c r="Z262" s="1"/>
    </row>
    <row r="263" spans="1:26" ht="24.75" customHeight="1">
      <c r="A263" s="1"/>
      <c r="B263" s="1"/>
      <c r="C263" s="1"/>
      <c r="D263" s="1"/>
      <c r="E263" s="1"/>
      <c r="F263" s="1"/>
      <c r="G263" s="1"/>
      <c r="H263" s="1"/>
      <c r="I263" s="1"/>
      <c r="J263" s="1"/>
      <c r="K263" s="1"/>
      <c r="L263" s="1"/>
      <c r="M263" s="1"/>
      <c r="N263" s="1"/>
      <c r="O263" s="1"/>
      <c r="P263" s="1"/>
      <c r="Q263" s="1"/>
      <c r="R263" s="1"/>
      <c r="S263" s="1"/>
      <c r="T263" s="1"/>
      <c r="U263" s="2"/>
      <c r="V263" s="1"/>
      <c r="W263" s="1"/>
      <c r="X263" s="1"/>
      <c r="Y263" s="1"/>
      <c r="Z263" s="1"/>
    </row>
    <row r="264" spans="1:26" ht="24.75" customHeight="1">
      <c r="A264" s="1"/>
      <c r="B264" s="1"/>
      <c r="C264" s="1"/>
      <c r="D264" s="1"/>
      <c r="E264" s="1"/>
      <c r="F264" s="1"/>
      <c r="G264" s="1"/>
      <c r="H264" s="1"/>
      <c r="I264" s="1"/>
      <c r="J264" s="1"/>
      <c r="K264" s="1"/>
      <c r="L264" s="1"/>
      <c r="M264" s="1"/>
      <c r="N264" s="1"/>
      <c r="O264" s="1"/>
      <c r="P264" s="1"/>
      <c r="Q264" s="1"/>
      <c r="R264" s="1"/>
      <c r="S264" s="1"/>
      <c r="T264" s="1"/>
      <c r="U264" s="2"/>
      <c r="V264" s="1"/>
      <c r="W264" s="1"/>
      <c r="X264" s="1"/>
      <c r="Y264" s="1"/>
      <c r="Z264" s="1"/>
    </row>
    <row r="265" spans="1:26" ht="24.75" customHeight="1">
      <c r="A265" s="1"/>
      <c r="B265" s="1"/>
      <c r="C265" s="1"/>
      <c r="D265" s="1"/>
      <c r="E265" s="1"/>
      <c r="F265" s="1"/>
      <c r="G265" s="1"/>
      <c r="H265" s="1"/>
      <c r="I265" s="1"/>
      <c r="J265" s="1"/>
      <c r="K265" s="1"/>
      <c r="L265" s="1"/>
      <c r="M265" s="1"/>
      <c r="N265" s="1"/>
      <c r="O265" s="1"/>
      <c r="P265" s="1"/>
      <c r="Q265" s="1"/>
      <c r="R265" s="1"/>
      <c r="S265" s="1"/>
      <c r="T265" s="1"/>
      <c r="U265" s="2"/>
      <c r="V265" s="1"/>
      <c r="W265" s="1"/>
      <c r="X265" s="1"/>
      <c r="Y265" s="1"/>
      <c r="Z265" s="1"/>
    </row>
    <row r="266" spans="1:26" ht="24.75" customHeight="1">
      <c r="A266" s="1"/>
      <c r="B266" s="1"/>
      <c r="C266" s="1"/>
      <c r="D266" s="1"/>
      <c r="E266" s="1"/>
      <c r="F266" s="1"/>
      <c r="G266" s="1"/>
      <c r="H266" s="1"/>
      <c r="I266" s="1"/>
      <c r="J266" s="1"/>
      <c r="K266" s="1"/>
      <c r="L266" s="1"/>
      <c r="M266" s="1"/>
      <c r="N266" s="1"/>
      <c r="O266" s="1"/>
      <c r="P266" s="1"/>
      <c r="Q266" s="1"/>
      <c r="R266" s="1"/>
      <c r="S266" s="1"/>
      <c r="T266" s="1"/>
      <c r="U266" s="2"/>
      <c r="V266" s="1"/>
      <c r="W266" s="1"/>
      <c r="X266" s="1"/>
      <c r="Y266" s="1"/>
      <c r="Z266" s="1"/>
    </row>
    <row r="267" spans="1:26" ht="24.75" customHeight="1">
      <c r="A267" s="1"/>
      <c r="B267" s="1"/>
      <c r="C267" s="1"/>
      <c r="D267" s="1"/>
      <c r="E267" s="1"/>
      <c r="F267" s="1"/>
      <c r="G267" s="1"/>
      <c r="H267" s="1"/>
      <c r="I267" s="1"/>
      <c r="J267" s="1"/>
      <c r="K267" s="1"/>
      <c r="L267" s="1"/>
      <c r="M267" s="1"/>
      <c r="N267" s="1"/>
      <c r="O267" s="1"/>
      <c r="P267" s="1"/>
      <c r="Q267" s="1"/>
      <c r="R267" s="1"/>
      <c r="S267" s="1"/>
      <c r="T267" s="1"/>
      <c r="U267" s="2"/>
      <c r="V267" s="1"/>
      <c r="W267" s="1"/>
      <c r="X267" s="1"/>
      <c r="Y267" s="1"/>
      <c r="Z267" s="1"/>
    </row>
    <row r="268" spans="1:26" ht="24.75" customHeight="1">
      <c r="A268" s="1"/>
      <c r="B268" s="1"/>
      <c r="C268" s="1"/>
      <c r="D268" s="1"/>
      <c r="E268" s="1"/>
      <c r="F268" s="1"/>
      <c r="G268" s="1"/>
      <c r="H268" s="1"/>
      <c r="I268" s="1"/>
      <c r="J268" s="1"/>
      <c r="K268" s="1"/>
      <c r="L268" s="1"/>
      <c r="M268" s="1"/>
      <c r="N268" s="1"/>
      <c r="O268" s="1"/>
      <c r="P268" s="1"/>
      <c r="Q268" s="1"/>
      <c r="R268" s="1"/>
      <c r="S268" s="1"/>
      <c r="T268" s="1"/>
      <c r="U268" s="2"/>
      <c r="V268" s="1"/>
      <c r="W268" s="1"/>
      <c r="X268" s="1"/>
      <c r="Y268" s="1"/>
      <c r="Z268" s="1"/>
    </row>
    <row r="269" spans="1:26" ht="24.75" customHeight="1">
      <c r="A269" s="1"/>
      <c r="B269" s="1"/>
      <c r="C269" s="1"/>
      <c r="D269" s="1"/>
      <c r="E269" s="1"/>
      <c r="F269" s="1"/>
      <c r="G269" s="1"/>
      <c r="H269" s="1"/>
      <c r="I269" s="1"/>
      <c r="J269" s="1"/>
      <c r="K269" s="1"/>
      <c r="L269" s="1"/>
      <c r="M269" s="1"/>
      <c r="N269" s="1"/>
      <c r="O269" s="1"/>
      <c r="P269" s="1"/>
      <c r="Q269" s="1"/>
      <c r="R269" s="1"/>
      <c r="S269" s="1"/>
      <c r="T269" s="1"/>
      <c r="U269" s="2"/>
      <c r="V269" s="1"/>
      <c r="W269" s="1"/>
      <c r="X269" s="1"/>
      <c r="Y269" s="1"/>
      <c r="Z269" s="1"/>
    </row>
    <row r="270" spans="1:26" ht="24.75" customHeight="1">
      <c r="A270" s="1"/>
      <c r="B270" s="1"/>
      <c r="C270" s="1"/>
      <c r="D270" s="1"/>
      <c r="E270" s="1"/>
      <c r="F270" s="1"/>
      <c r="G270" s="1"/>
      <c r="H270" s="1"/>
      <c r="I270" s="1"/>
      <c r="J270" s="1"/>
      <c r="K270" s="1"/>
      <c r="L270" s="1"/>
      <c r="M270" s="1"/>
      <c r="N270" s="1"/>
      <c r="O270" s="1"/>
      <c r="P270" s="1"/>
      <c r="Q270" s="1"/>
      <c r="R270" s="1"/>
      <c r="S270" s="1"/>
      <c r="T270" s="1"/>
      <c r="U270" s="2"/>
      <c r="V270" s="1"/>
      <c r="W270" s="1"/>
      <c r="X270" s="1"/>
      <c r="Y270" s="1"/>
      <c r="Z270" s="1"/>
    </row>
    <row r="271" spans="1:26" ht="24.75" customHeight="1">
      <c r="A271" s="1"/>
      <c r="B271" s="1"/>
      <c r="C271" s="1"/>
      <c r="D271" s="1"/>
      <c r="E271" s="1"/>
      <c r="F271" s="1"/>
      <c r="G271" s="1"/>
      <c r="H271" s="1"/>
      <c r="I271" s="1"/>
      <c r="J271" s="1"/>
      <c r="K271" s="1"/>
      <c r="L271" s="1"/>
      <c r="M271" s="1"/>
      <c r="N271" s="1"/>
      <c r="O271" s="1"/>
      <c r="P271" s="1"/>
      <c r="Q271" s="1"/>
      <c r="R271" s="1"/>
      <c r="S271" s="1"/>
      <c r="T271" s="1"/>
      <c r="U271" s="2"/>
      <c r="V271" s="1"/>
      <c r="W271" s="1"/>
      <c r="X271" s="1"/>
      <c r="Y271" s="1"/>
      <c r="Z271" s="1"/>
    </row>
    <row r="272" spans="1:26" ht="24.75" customHeight="1">
      <c r="A272" s="1"/>
      <c r="B272" s="1"/>
      <c r="C272" s="1"/>
      <c r="D272" s="1"/>
      <c r="E272" s="1"/>
      <c r="F272" s="1"/>
      <c r="G272" s="1"/>
      <c r="H272" s="1"/>
      <c r="I272" s="1"/>
      <c r="J272" s="1"/>
      <c r="K272" s="1"/>
      <c r="L272" s="1"/>
      <c r="M272" s="1"/>
      <c r="N272" s="1"/>
      <c r="O272" s="1"/>
      <c r="P272" s="1"/>
      <c r="Q272" s="1"/>
      <c r="R272" s="1"/>
      <c r="S272" s="1"/>
      <c r="T272" s="1"/>
      <c r="U272" s="2"/>
      <c r="V272" s="1"/>
      <c r="W272" s="1"/>
      <c r="X272" s="1"/>
      <c r="Y272" s="1"/>
      <c r="Z272" s="1"/>
    </row>
    <row r="273" spans="1:26" ht="24.75" customHeight="1">
      <c r="A273" s="1"/>
      <c r="B273" s="1"/>
      <c r="C273" s="1"/>
      <c r="D273" s="1"/>
      <c r="E273" s="1"/>
      <c r="F273" s="1"/>
      <c r="G273" s="1"/>
      <c r="H273" s="1"/>
      <c r="I273" s="1"/>
      <c r="J273" s="1"/>
      <c r="K273" s="1"/>
      <c r="L273" s="1"/>
      <c r="M273" s="1"/>
      <c r="N273" s="1"/>
      <c r="O273" s="1"/>
      <c r="P273" s="1"/>
      <c r="Q273" s="1"/>
      <c r="R273" s="1"/>
      <c r="S273" s="1"/>
      <c r="T273" s="1"/>
      <c r="U273" s="2"/>
      <c r="V273" s="1"/>
      <c r="W273" s="1"/>
      <c r="X273" s="1"/>
      <c r="Y273" s="1"/>
      <c r="Z273" s="1"/>
    </row>
    <row r="274" spans="1:26" ht="24.75" customHeight="1">
      <c r="A274" s="1"/>
      <c r="B274" s="1"/>
      <c r="C274" s="1"/>
      <c r="D274" s="1"/>
      <c r="E274" s="1"/>
      <c r="F274" s="1"/>
      <c r="G274" s="1"/>
      <c r="H274" s="1"/>
      <c r="I274" s="1"/>
      <c r="J274" s="1"/>
      <c r="K274" s="1"/>
      <c r="L274" s="1"/>
      <c r="M274" s="1"/>
      <c r="N274" s="1"/>
      <c r="O274" s="1"/>
      <c r="P274" s="1"/>
      <c r="Q274" s="1"/>
      <c r="R274" s="1"/>
      <c r="S274" s="1"/>
      <c r="T274" s="1"/>
      <c r="U274" s="2"/>
      <c r="V274" s="1"/>
      <c r="W274" s="1"/>
      <c r="X274" s="1"/>
      <c r="Y274" s="1"/>
      <c r="Z274" s="1"/>
    </row>
    <row r="275" spans="1:26" ht="24.75" customHeight="1">
      <c r="A275" s="1"/>
      <c r="B275" s="1"/>
      <c r="C275" s="1"/>
      <c r="D275" s="1"/>
      <c r="E275" s="1"/>
      <c r="F275" s="1"/>
      <c r="G275" s="1"/>
      <c r="H275" s="1"/>
      <c r="I275" s="1"/>
      <c r="J275" s="1"/>
      <c r="K275" s="1"/>
      <c r="L275" s="1"/>
      <c r="M275" s="1"/>
      <c r="N275" s="1"/>
      <c r="O275" s="1"/>
      <c r="P275" s="1"/>
      <c r="Q275" s="1"/>
      <c r="R275" s="1"/>
      <c r="S275" s="1"/>
      <c r="T275" s="1"/>
      <c r="U275" s="2"/>
      <c r="V275" s="1"/>
      <c r="W275" s="1"/>
      <c r="X275" s="1"/>
      <c r="Y275" s="1"/>
      <c r="Z275" s="1"/>
    </row>
    <row r="276" spans="1:26" ht="24.75" customHeight="1">
      <c r="A276" s="1"/>
      <c r="B276" s="1"/>
      <c r="C276" s="1"/>
      <c r="D276" s="1"/>
      <c r="E276" s="1"/>
      <c r="F276" s="1"/>
      <c r="G276" s="1"/>
      <c r="H276" s="1"/>
      <c r="I276" s="1"/>
      <c r="J276" s="1"/>
      <c r="K276" s="1"/>
      <c r="L276" s="1"/>
      <c r="M276" s="1"/>
      <c r="N276" s="1"/>
      <c r="O276" s="1"/>
      <c r="P276" s="1"/>
      <c r="Q276" s="1"/>
      <c r="R276" s="1"/>
      <c r="S276" s="1"/>
      <c r="T276" s="1"/>
      <c r="U276" s="2"/>
      <c r="V276" s="1"/>
      <c r="W276" s="1"/>
      <c r="X276" s="1"/>
      <c r="Y276" s="1"/>
      <c r="Z276" s="1"/>
    </row>
    <row r="277" spans="1:26" ht="24.75" customHeight="1">
      <c r="A277" s="1"/>
      <c r="B277" s="1"/>
      <c r="C277" s="1"/>
      <c r="D277" s="1"/>
      <c r="E277" s="1"/>
      <c r="F277" s="1"/>
      <c r="G277" s="1"/>
      <c r="H277" s="1"/>
      <c r="I277" s="1"/>
      <c r="J277" s="1"/>
      <c r="K277" s="1"/>
      <c r="L277" s="1"/>
      <c r="M277" s="1"/>
      <c r="N277" s="1"/>
      <c r="O277" s="1"/>
      <c r="P277" s="1"/>
      <c r="Q277" s="1"/>
      <c r="R277" s="1"/>
      <c r="S277" s="1"/>
      <c r="T277" s="1"/>
      <c r="U277" s="2"/>
      <c r="V277" s="1"/>
      <c r="W277" s="1"/>
      <c r="X277" s="1"/>
      <c r="Y277" s="1"/>
      <c r="Z277" s="1"/>
    </row>
    <row r="278" spans="1:26" ht="24.75" customHeight="1">
      <c r="A278" s="1"/>
      <c r="B278" s="1"/>
      <c r="C278" s="1"/>
      <c r="D278" s="1"/>
      <c r="E278" s="1"/>
      <c r="F278" s="1"/>
      <c r="G278" s="1"/>
      <c r="H278" s="1"/>
      <c r="I278" s="1"/>
      <c r="J278" s="1"/>
      <c r="K278" s="1"/>
      <c r="L278" s="1"/>
      <c r="M278" s="1"/>
      <c r="N278" s="1"/>
      <c r="O278" s="1"/>
      <c r="P278" s="1"/>
      <c r="Q278" s="1"/>
      <c r="R278" s="1"/>
      <c r="S278" s="1"/>
      <c r="T278" s="1"/>
      <c r="U278" s="2"/>
      <c r="V278" s="1"/>
      <c r="W278" s="1"/>
      <c r="X278" s="1"/>
      <c r="Y278" s="1"/>
      <c r="Z278" s="1"/>
    </row>
    <row r="279" spans="1:26" ht="24.75" customHeight="1">
      <c r="A279" s="1"/>
      <c r="B279" s="1"/>
      <c r="C279" s="1"/>
      <c r="D279" s="1"/>
      <c r="E279" s="1"/>
      <c r="F279" s="1"/>
      <c r="G279" s="1"/>
      <c r="H279" s="1"/>
      <c r="I279" s="1"/>
      <c r="J279" s="1"/>
      <c r="K279" s="1"/>
      <c r="L279" s="1"/>
      <c r="M279" s="1"/>
      <c r="N279" s="1"/>
      <c r="O279" s="1"/>
      <c r="P279" s="1"/>
      <c r="Q279" s="1"/>
      <c r="R279" s="1"/>
      <c r="S279" s="1"/>
      <c r="T279" s="1"/>
      <c r="U279" s="2"/>
      <c r="V279" s="1"/>
      <c r="W279" s="1"/>
      <c r="X279" s="1"/>
      <c r="Y279" s="1"/>
      <c r="Z279" s="1"/>
    </row>
    <row r="280" spans="1:26" ht="24.75" customHeight="1">
      <c r="A280" s="1"/>
      <c r="B280" s="1"/>
      <c r="C280" s="1"/>
      <c r="D280" s="1"/>
      <c r="E280" s="1"/>
      <c r="F280" s="1"/>
      <c r="G280" s="1"/>
      <c r="H280" s="1"/>
      <c r="I280" s="1"/>
      <c r="J280" s="1"/>
      <c r="K280" s="1"/>
      <c r="L280" s="1"/>
      <c r="M280" s="1"/>
      <c r="N280" s="1"/>
      <c r="O280" s="1"/>
      <c r="P280" s="1"/>
      <c r="Q280" s="1"/>
      <c r="R280" s="1"/>
      <c r="S280" s="1"/>
      <c r="T280" s="1"/>
      <c r="U280" s="2"/>
      <c r="V280" s="1"/>
      <c r="W280" s="1"/>
      <c r="X280" s="1"/>
      <c r="Y280" s="1"/>
      <c r="Z280" s="1"/>
    </row>
    <row r="281" spans="1:26" ht="24.75" customHeight="1">
      <c r="A281" s="1"/>
      <c r="B281" s="1"/>
      <c r="C281" s="1"/>
      <c r="D281" s="1"/>
      <c r="E281" s="1"/>
      <c r="F281" s="1"/>
      <c r="G281" s="1"/>
      <c r="H281" s="1"/>
      <c r="I281" s="1"/>
      <c r="J281" s="1"/>
      <c r="K281" s="1"/>
      <c r="L281" s="1"/>
      <c r="M281" s="1"/>
      <c r="N281" s="1"/>
      <c r="O281" s="1"/>
      <c r="P281" s="1"/>
      <c r="Q281" s="1"/>
      <c r="R281" s="1"/>
      <c r="S281" s="1"/>
      <c r="T281" s="1"/>
      <c r="U281" s="2"/>
      <c r="V281" s="1"/>
      <c r="W281" s="1"/>
      <c r="X281" s="1"/>
      <c r="Y281" s="1"/>
      <c r="Z281" s="1"/>
    </row>
    <row r="282" spans="1:26" ht="24.75" customHeight="1">
      <c r="A282" s="1"/>
      <c r="B282" s="1"/>
      <c r="C282" s="1"/>
      <c r="D282" s="1"/>
      <c r="E282" s="1"/>
      <c r="F282" s="1"/>
      <c r="G282" s="1"/>
      <c r="H282" s="1"/>
      <c r="I282" s="1"/>
      <c r="J282" s="1"/>
      <c r="K282" s="1"/>
      <c r="L282" s="1"/>
      <c r="M282" s="1"/>
      <c r="N282" s="1"/>
      <c r="O282" s="1"/>
      <c r="P282" s="1"/>
      <c r="Q282" s="1"/>
      <c r="R282" s="1"/>
      <c r="S282" s="1"/>
      <c r="T282" s="1"/>
      <c r="U282" s="2"/>
      <c r="V282" s="1"/>
      <c r="W282" s="1"/>
      <c r="X282" s="1"/>
      <c r="Y282" s="1"/>
      <c r="Z282" s="1"/>
    </row>
    <row r="283" spans="1:26" ht="24.75" customHeight="1">
      <c r="A283" s="1"/>
      <c r="B283" s="1"/>
      <c r="C283" s="1"/>
      <c r="D283" s="1"/>
      <c r="E283" s="1"/>
      <c r="F283" s="1"/>
      <c r="G283" s="1"/>
      <c r="H283" s="1"/>
      <c r="I283" s="1"/>
      <c r="J283" s="1"/>
      <c r="K283" s="1"/>
      <c r="L283" s="1"/>
      <c r="M283" s="1"/>
      <c r="N283" s="1"/>
      <c r="O283" s="1"/>
      <c r="P283" s="1"/>
      <c r="Q283" s="1"/>
      <c r="R283" s="1"/>
      <c r="S283" s="1"/>
      <c r="T283" s="1"/>
      <c r="U283" s="2"/>
      <c r="V283" s="1"/>
      <c r="W283" s="1"/>
      <c r="X283" s="1"/>
      <c r="Y283" s="1"/>
      <c r="Z283" s="1"/>
    </row>
    <row r="284" spans="1:26" ht="24.75" customHeight="1">
      <c r="A284" s="1"/>
      <c r="B284" s="1"/>
      <c r="C284" s="1"/>
      <c r="D284" s="1"/>
      <c r="E284" s="1"/>
      <c r="F284" s="1"/>
      <c r="G284" s="1"/>
      <c r="H284" s="1"/>
      <c r="I284" s="1"/>
      <c r="J284" s="1"/>
      <c r="K284" s="1"/>
      <c r="L284" s="1"/>
      <c r="M284" s="1"/>
      <c r="N284" s="1"/>
      <c r="O284" s="1"/>
      <c r="P284" s="1"/>
      <c r="Q284" s="1"/>
      <c r="R284" s="1"/>
      <c r="S284" s="1"/>
      <c r="T284" s="1"/>
      <c r="U284" s="2"/>
      <c r="V284" s="1"/>
      <c r="W284" s="1"/>
      <c r="X284" s="1"/>
      <c r="Y284" s="1"/>
      <c r="Z284" s="1"/>
    </row>
    <row r="285" spans="1:26" ht="24.75" customHeight="1">
      <c r="A285" s="1"/>
      <c r="B285" s="1"/>
      <c r="C285" s="1"/>
      <c r="D285" s="1"/>
      <c r="E285" s="1"/>
      <c r="F285" s="1"/>
      <c r="G285" s="1"/>
      <c r="H285" s="1"/>
      <c r="I285" s="1"/>
      <c r="J285" s="1"/>
      <c r="K285" s="1"/>
      <c r="L285" s="1"/>
      <c r="M285" s="1"/>
      <c r="N285" s="1"/>
      <c r="O285" s="1"/>
      <c r="P285" s="1"/>
      <c r="Q285" s="1"/>
      <c r="R285" s="1"/>
      <c r="S285" s="1"/>
      <c r="T285" s="1"/>
      <c r="U285" s="2"/>
      <c r="V285" s="1"/>
      <c r="W285" s="1"/>
      <c r="X285" s="1"/>
      <c r="Y285" s="1"/>
      <c r="Z285" s="1"/>
    </row>
    <row r="286" spans="1:26" ht="24.75" customHeight="1">
      <c r="A286" s="1"/>
      <c r="B286" s="1"/>
      <c r="C286" s="1"/>
      <c r="D286" s="1"/>
      <c r="E286" s="1"/>
      <c r="F286" s="1"/>
      <c r="G286" s="1"/>
      <c r="H286" s="1"/>
      <c r="I286" s="1"/>
      <c r="J286" s="1"/>
      <c r="K286" s="1"/>
      <c r="L286" s="1"/>
      <c r="M286" s="1"/>
      <c r="N286" s="1"/>
      <c r="O286" s="1"/>
      <c r="P286" s="1"/>
      <c r="Q286" s="1"/>
      <c r="R286" s="1"/>
      <c r="S286" s="1"/>
      <c r="T286" s="1"/>
      <c r="U286" s="2"/>
      <c r="V286" s="1"/>
      <c r="W286" s="1"/>
      <c r="X286" s="1"/>
      <c r="Y286" s="1"/>
      <c r="Z286" s="1"/>
    </row>
    <row r="287" spans="1:26" ht="24.75" customHeight="1">
      <c r="A287" s="1"/>
      <c r="B287" s="1"/>
      <c r="C287" s="1"/>
      <c r="D287" s="1"/>
      <c r="E287" s="1"/>
      <c r="F287" s="1"/>
      <c r="G287" s="1"/>
      <c r="H287" s="1"/>
      <c r="I287" s="1"/>
      <c r="J287" s="1"/>
      <c r="K287" s="1"/>
      <c r="L287" s="1"/>
      <c r="M287" s="1"/>
      <c r="N287" s="1"/>
      <c r="O287" s="1"/>
      <c r="P287" s="1"/>
      <c r="Q287" s="1"/>
      <c r="R287" s="1"/>
      <c r="S287" s="1"/>
      <c r="T287" s="1"/>
      <c r="U287" s="2"/>
      <c r="V287" s="1"/>
      <c r="W287" s="1"/>
      <c r="X287" s="1"/>
      <c r="Y287" s="1"/>
      <c r="Z287" s="1"/>
    </row>
    <row r="288" spans="1:26" ht="24.75" customHeight="1">
      <c r="A288" s="1"/>
      <c r="B288" s="1"/>
      <c r="C288" s="1"/>
      <c r="D288" s="1"/>
      <c r="E288" s="1"/>
      <c r="F288" s="1"/>
      <c r="G288" s="1"/>
      <c r="H288" s="1"/>
      <c r="I288" s="1"/>
      <c r="J288" s="1"/>
      <c r="K288" s="1"/>
      <c r="L288" s="1"/>
      <c r="M288" s="1"/>
      <c r="N288" s="1"/>
      <c r="O288" s="1"/>
      <c r="P288" s="1"/>
      <c r="Q288" s="1"/>
      <c r="R288" s="1"/>
      <c r="S288" s="1"/>
      <c r="T288" s="1"/>
      <c r="U288" s="2"/>
      <c r="V288" s="1"/>
      <c r="W288" s="1"/>
      <c r="X288" s="1"/>
      <c r="Y288" s="1"/>
      <c r="Z288" s="1"/>
    </row>
    <row r="289" spans="1:26" ht="24.75" customHeight="1">
      <c r="A289" s="1"/>
      <c r="B289" s="1"/>
      <c r="C289" s="1"/>
      <c r="D289" s="1"/>
      <c r="E289" s="1"/>
      <c r="F289" s="1"/>
      <c r="G289" s="1"/>
      <c r="H289" s="1"/>
      <c r="I289" s="1"/>
      <c r="J289" s="1"/>
      <c r="K289" s="1"/>
      <c r="L289" s="1"/>
      <c r="M289" s="1"/>
      <c r="N289" s="1"/>
      <c r="O289" s="1"/>
      <c r="P289" s="1"/>
      <c r="Q289" s="1"/>
      <c r="R289" s="1"/>
      <c r="S289" s="1"/>
      <c r="T289" s="1"/>
      <c r="U289" s="2"/>
      <c r="V289" s="1"/>
      <c r="W289" s="1"/>
      <c r="X289" s="1"/>
      <c r="Y289" s="1"/>
      <c r="Z289" s="1"/>
    </row>
    <row r="290" spans="1:26" ht="24.75" customHeight="1">
      <c r="A290" s="1"/>
      <c r="B290" s="1"/>
      <c r="C290" s="1"/>
      <c r="D290" s="1"/>
      <c r="E290" s="1"/>
      <c r="F290" s="1"/>
      <c r="G290" s="1"/>
      <c r="H290" s="1"/>
      <c r="I290" s="1"/>
      <c r="J290" s="1"/>
      <c r="K290" s="1"/>
      <c r="L290" s="1"/>
      <c r="M290" s="1"/>
      <c r="N290" s="1"/>
      <c r="O290" s="1"/>
      <c r="P290" s="1"/>
      <c r="Q290" s="1"/>
      <c r="R290" s="1"/>
      <c r="S290" s="1"/>
      <c r="T290" s="1"/>
      <c r="U290" s="2"/>
      <c r="V290" s="1"/>
      <c r="W290" s="1"/>
      <c r="X290" s="1"/>
      <c r="Y290" s="1"/>
      <c r="Z290" s="1"/>
    </row>
    <row r="291" spans="1:26" ht="24.75" customHeight="1">
      <c r="A291" s="1"/>
      <c r="B291" s="1"/>
      <c r="C291" s="1"/>
      <c r="D291" s="1"/>
      <c r="E291" s="1"/>
      <c r="F291" s="1"/>
      <c r="G291" s="1"/>
      <c r="H291" s="1"/>
      <c r="I291" s="1"/>
      <c r="J291" s="1"/>
      <c r="K291" s="1"/>
      <c r="L291" s="1"/>
      <c r="M291" s="1"/>
      <c r="N291" s="1"/>
      <c r="O291" s="1"/>
      <c r="P291" s="1"/>
      <c r="Q291" s="1"/>
      <c r="R291" s="1"/>
      <c r="S291" s="1"/>
      <c r="T291" s="1"/>
      <c r="U291" s="2"/>
      <c r="V291" s="1"/>
      <c r="W291" s="1"/>
      <c r="X291" s="1"/>
      <c r="Y291" s="1"/>
      <c r="Z291" s="1"/>
    </row>
    <row r="292" spans="1:26" ht="24.75" customHeight="1">
      <c r="A292" s="1"/>
      <c r="B292" s="1"/>
      <c r="C292" s="1"/>
      <c r="D292" s="1"/>
      <c r="E292" s="1"/>
      <c r="F292" s="1"/>
      <c r="G292" s="1"/>
      <c r="H292" s="1"/>
      <c r="I292" s="1"/>
      <c r="J292" s="1"/>
      <c r="K292" s="1"/>
      <c r="L292" s="1"/>
      <c r="M292" s="1"/>
      <c r="N292" s="1"/>
      <c r="O292" s="1"/>
      <c r="P292" s="1"/>
      <c r="Q292" s="1"/>
      <c r="R292" s="1"/>
      <c r="S292" s="1"/>
      <c r="T292" s="1"/>
      <c r="U292" s="2"/>
      <c r="V292" s="1"/>
      <c r="W292" s="1"/>
      <c r="X292" s="1"/>
      <c r="Y292" s="1"/>
      <c r="Z292" s="1"/>
    </row>
    <row r="293" spans="1:26" ht="24.75" customHeight="1">
      <c r="A293" s="1"/>
      <c r="B293" s="1"/>
      <c r="C293" s="1"/>
      <c r="D293" s="1"/>
      <c r="E293" s="1"/>
      <c r="F293" s="1"/>
      <c r="G293" s="1"/>
      <c r="H293" s="1"/>
      <c r="I293" s="1"/>
      <c r="J293" s="1"/>
      <c r="K293" s="1"/>
      <c r="L293" s="1"/>
      <c r="M293" s="1"/>
      <c r="N293" s="1"/>
      <c r="O293" s="1"/>
      <c r="P293" s="1"/>
      <c r="Q293" s="1"/>
      <c r="R293" s="1"/>
      <c r="S293" s="1"/>
      <c r="T293" s="1"/>
      <c r="U293" s="2"/>
      <c r="V293" s="1"/>
      <c r="W293" s="1"/>
      <c r="X293" s="1"/>
      <c r="Y293" s="1"/>
      <c r="Z293" s="1"/>
    </row>
    <row r="294" spans="1:26" ht="24.75" customHeight="1">
      <c r="A294" s="1"/>
      <c r="B294" s="1"/>
      <c r="C294" s="1"/>
      <c r="D294" s="1"/>
      <c r="E294" s="1"/>
      <c r="F294" s="1"/>
      <c r="G294" s="1"/>
      <c r="H294" s="1"/>
      <c r="I294" s="1"/>
      <c r="J294" s="1"/>
      <c r="K294" s="1"/>
      <c r="L294" s="1"/>
      <c r="M294" s="1"/>
      <c r="N294" s="1"/>
      <c r="O294" s="1"/>
      <c r="P294" s="1"/>
      <c r="Q294" s="1"/>
      <c r="R294" s="1"/>
      <c r="S294" s="1"/>
      <c r="T294" s="1"/>
      <c r="U294" s="2"/>
      <c r="V294" s="1"/>
      <c r="W294" s="1"/>
      <c r="X294" s="1"/>
      <c r="Y294" s="1"/>
      <c r="Z294" s="1"/>
    </row>
    <row r="295" spans="1:26" ht="24.75" customHeight="1">
      <c r="A295" s="1"/>
      <c r="B295" s="1"/>
      <c r="C295" s="1"/>
      <c r="D295" s="1"/>
      <c r="E295" s="1"/>
      <c r="F295" s="1"/>
      <c r="G295" s="1"/>
      <c r="H295" s="1"/>
      <c r="I295" s="1"/>
      <c r="J295" s="1"/>
      <c r="K295" s="1"/>
      <c r="L295" s="1"/>
      <c r="M295" s="1"/>
      <c r="N295" s="1"/>
      <c r="O295" s="1"/>
      <c r="P295" s="1"/>
      <c r="Q295" s="1"/>
      <c r="R295" s="1"/>
      <c r="S295" s="1"/>
      <c r="T295" s="1"/>
      <c r="U295" s="2"/>
      <c r="V295" s="1"/>
      <c r="W295" s="1"/>
      <c r="X295" s="1"/>
      <c r="Y295" s="1"/>
      <c r="Z295" s="1"/>
    </row>
    <row r="296" spans="1:26" ht="24.75" customHeight="1">
      <c r="A296" s="1"/>
      <c r="B296" s="1"/>
      <c r="C296" s="1"/>
      <c r="D296" s="1"/>
      <c r="E296" s="1"/>
      <c r="F296" s="1"/>
      <c r="G296" s="1"/>
      <c r="H296" s="1"/>
      <c r="I296" s="1"/>
      <c r="J296" s="1"/>
      <c r="K296" s="1"/>
      <c r="L296" s="1"/>
      <c r="M296" s="1"/>
      <c r="N296" s="1"/>
      <c r="O296" s="1"/>
      <c r="P296" s="1"/>
      <c r="Q296" s="1"/>
      <c r="R296" s="1"/>
      <c r="S296" s="1"/>
      <c r="T296" s="1"/>
      <c r="U296" s="2"/>
      <c r="V296" s="1"/>
      <c r="W296" s="1"/>
      <c r="X296" s="1"/>
      <c r="Y296" s="1"/>
      <c r="Z296" s="1"/>
    </row>
    <row r="297" spans="1:26" ht="24.75" customHeight="1">
      <c r="A297" s="1"/>
      <c r="B297" s="1"/>
      <c r="C297" s="1"/>
      <c r="D297" s="1"/>
      <c r="E297" s="1"/>
      <c r="F297" s="1"/>
      <c r="G297" s="1"/>
      <c r="H297" s="1"/>
      <c r="I297" s="1"/>
      <c r="J297" s="1"/>
      <c r="K297" s="1"/>
      <c r="L297" s="1"/>
      <c r="M297" s="1"/>
      <c r="N297" s="1"/>
      <c r="O297" s="1"/>
      <c r="P297" s="1"/>
      <c r="Q297" s="1"/>
      <c r="R297" s="1"/>
      <c r="S297" s="1"/>
      <c r="T297" s="1"/>
      <c r="U297" s="2"/>
      <c r="V297" s="1"/>
      <c r="W297" s="1"/>
      <c r="X297" s="1"/>
      <c r="Y297" s="1"/>
      <c r="Z297" s="1"/>
    </row>
    <row r="298" spans="1:26" ht="24.75" customHeight="1">
      <c r="A298" s="1"/>
      <c r="B298" s="1"/>
      <c r="C298" s="1"/>
      <c r="D298" s="1"/>
      <c r="E298" s="1"/>
      <c r="F298" s="1"/>
      <c r="G298" s="1"/>
      <c r="H298" s="1"/>
      <c r="I298" s="1"/>
      <c r="J298" s="1"/>
      <c r="K298" s="1"/>
      <c r="L298" s="1"/>
      <c r="M298" s="1"/>
      <c r="N298" s="1"/>
      <c r="O298" s="1"/>
      <c r="P298" s="1"/>
      <c r="Q298" s="1"/>
      <c r="R298" s="1"/>
      <c r="S298" s="1"/>
      <c r="T298" s="1"/>
      <c r="U298" s="2"/>
      <c r="V298" s="1"/>
      <c r="W298" s="1"/>
      <c r="X298" s="1"/>
      <c r="Y298" s="1"/>
      <c r="Z298" s="1"/>
    </row>
    <row r="299" spans="1:26" ht="24.75" customHeight="1">
      <c r="A299" s="1"/>
      <c r="B299" s="1"/>
      <c r="C299" s="1"/>
      <c r="D299" s="1"/>
      <c r="E299" s="1"/>
      <c r="F299" s="1"/>
      <c r="G299" s="1"/>
      <c r="H299" s="1"/>
      <c r="I299" s="1"/>
      <c r="J299" s="1"/>
      <c r="K299" s="1"/>
      <c r="L299" s="1"/>
      <c r="M299" s="1"/>
      <c r="N299" s="1"/>
      <c r="O299" s="1"/>
      <c r="P299" s="1"/>
      <c r="Q299" s="1"/>
      <c r="R299" s="1"/>
      <c r="S299" s="1"/>
      <c r="T299" s="1"/>
      <c r="U299" s="2"/>
      <c r="V299" s="1"/>
      <c r="W299" s="1"/>
      <c r="X299" s="1"/>
      <c r="Y299" s="1"/>
      <c r="Z299" s="1"/>
    </row>
    <row r="300" spans="1:26" ht="24.75" customHeight="1">
      <c r="A300" s="1"/>
      <c r="B300" s="1"/>
      <c r="C300" s="1"/>
      <c r="D300" s="1"/>
      <c r="E300" s="1"/>
      <c r="F300" s="1"/>
      <c r="G300" s="1"/>
      <c r="H300" s="1"/>
      <c r="I300" s="1"/>
      <c r="J300" s="1"/>
      <c r="K300" s="1"/>
      <c r="L300" s="1"/>
      <c r="M300" s="1"/>
      <c r="N300" s="1"/>
      <c r="O300" s="1"/>
      <c r="P300" s="1"/>
      <c r="Q300" s="1"/>
      <c r="R300" s="1"/>
      <c r="S300" s="1"/>
      <c r="T300" s="1"/>
      <c r="U300" s="2"/>
      <c r="V300" s="1"/>
      <c r="W300" s="1"/>
      <c r="X300" s="1"/>
      <c r="Y300" s="1"/>
      <c r="Z300" s="1"/>
    </row>
    <row r="301" spans="1:26" ht="24.75" customHeight="1">
      <c r="A301" s="1"/>
      <c r="B301" s="1"/>
      <c r="C301" s="1"/>
      <c r="D301" s="1"/>
      <c r="E301" s="1"/>
      <c r="F301" s="1"/>
      <c r="G301" s="1"/>
      <c r="H301" s="1"/>
      <c r="I301" s="1"/>
      <c r="J301" s="1"/>
      <c r="K301" s="1"/>
      <c r="L301" s="1"/>
      <c r="M301" s="1"/>
      <c r="N301" s="1"/>
      <c r="O301" s="1"/>
      <c r="P301" s="1"/>
      <c r="Q301" s="1"/>
      <c r="R301" s="1"/>
      <c r="S301" s="1"/>
      <c r="T301" s="1"/>
      <c r="U301" s="2"/>
      <c r="V301" s="1"/>
      <c r="W301" s="1"/>
      <c r="X301" s="1"/>
      <c r="Y301" s="1"/>
      <c r="Z301" s="1"/>
    </row>
    <row r="302" spans="1:26" ht="24.75" customHeight="1">
      <c r="A302" s="1"/>
      <c r="B302" s="1"/>
      <c r="C302" s="1"/>
      <c r="D302" s="1"/>
      <c r="E302" s="1"/>
      <c r="F302" s="1"/>
      <c r="G302" s="1"/>
      <c r="H302" s="1"/>
      <c r="I302" s="1"/>
      <c r="J302" s="1"/>
      <c r="K302" s="1"/>
      <c r="L302" s="1"/>
      <c r="M302" s="1"/>
      <c r="N302" s="1"/>
      <c r="O302" s="1"/>
      <c r="P302" s="1"/>
      <c r="Q302" s="1"/>
      <c r="R302" s="1"/>
      <c r="S302" s="1"/>
      <c r="T302" s="1"/>
      <c r="U302" s="2"/>
      <c r="V302" s="1"/>
      <c r="W302" s="1"/>
      <c r="X302" s="1"/>
      <c r="Y302" s="1"/>
      <c r="Z302" s="1"/>
    </row>
    <row r="303" spans="1:26" ht="24.75" customHeight="1">
      <c r="A303" s="1"/>
      <c r="B303" s="1"/>
      <c r="C303" s="1"/>
      <c r="D303" s="1"/>
      <c r="E303" s="1"/>
      <c r="F303" s="1"/>
      <c r="G303" s="1"/>
      <c r="H303" s="1"/>
      <c r="I303" s="1"/>
      <c r="J303" s="1"/>
      <c r="K303" s="1"/>
      <c r="L303" s="1"/>
      <c r="M303" s="1"/>
      <c r="N303" s="1"/>
      <c r="O303" s="1"/>
      <c r="P303" s="1"/>
      <c r="Q303" s="1"/>
      <c r="R303" s="1"/>
      <c r="S303" s="1"/>
      <c r="T303" s="1"/>
      <c r="U303" s="2"/>
      <c r="V303" s="1"/>
      <c r="W303" s="1"/>
      <c r="X303" s="1"/>
      <c r="Y303" s="1"/>
      <c r="Z303" s="1"/>
    </row>
    <row r="304" spans="1:26" ht="24.75" customHeight="1">
      <c r="A304" s="1"/>
      <c r="B304" s="1"/>
      <c r="C304" s="1"/>
      <c r="D304" s="1"/>
      <c r="E304" s="1"/>
      <c r="F304" s="1"/>
      <c r="G304" s="1"/>
      <c r="H304" s="1"/>
      <c r="I304" s="1"/>
      <c r="J304" s="1"/>
      <c r="K304" s="1"/>
      <c r="L304" s="1"/>
      <c r="M304" s="1"/>
      <c r="N304" s="1"/>
      <c r="O304" s="1"/>
      <c r="P304" s="1"/>
      <c r="Q304" s="1"/>
      <c r="R304" s="1"/>
      <c r="S304" s="1"/>
      <c r="T304" s="1"/>
      <c r="U304" s="2"/>
      <c r="V304" s="1"/>
      <c r="W304" s="1"/>
      <c r="X304" s="1"/>
      <c r="Y304" s="1"/>
      <c r="Z304" s="1"/>
    </row>
    <row r="305" spans="1:26" ht="24.75" customHeight="1">
      <c r="A305" s="1"/>
      <c r="B305" s="1"/>
      <c r="C305" s="1"/>
      <c r="D305" s="1"/>
      <c r="E305" s="1"/>
      <c r="F305" s="1"/>
      <c r="G305" s="1"/>
      <c r="H305" s="1"/>
      <c r="I305" s="1"/>
      <c r="J305" s="1"/>
      <c r="K305" s="1"/>
      <c r="L305" s="1"/>
      <c r="M305" s="1"/>
      <c r="N305" s="1"/>
      <c r="O305" s="1"/>
      <c r="P305" s="1"/>
      <c r="Q305" s="1"/>
      <c r="R305" s="1"/>
      <c r="S305" s="1"/>
      <c r="T305" s="1"/>
      <c r="U305" s="2"/>
      <c r="V305" s="1"/>
      <c r="W305" s="1"/>
      <c r="X305" s="1"/>
      <c r="Y305" s="1"/>
      <c r="Z305" s="1"/>
    </row>
    <row r="306" spans="1:26" ht="24.75" customHeight="1">
      <c r="A306" s="1"/>
      <c r="B306" s="1"/>
      <c r="C306" s="1"/>
      <c r="D306" s="1"/>
      <c r="E306" s="1"/>
      <c r="F306" s="1"/>
      <c r="G306" s="1"/>
      <c r="H306" s="1"/>
      <c r="I306" s="1"/>
      <c r="J306" s="1"/>
      <c r="K306" s="1"/>
      <c r="L306" s="1"/>
      <c r="M306" s="1"/>
      <c r="N306" s="1"/>
      <c r="O306" s="1"/>
      <c r="P306" s="1"/>
      <c r="Q306" s="1"/>
      <c r="R306" s="1"/>
      <c r="S306" s="1"/>
      <c r="T306" s="1"/>
      <c r="U306" s="2"/>
      <c r="V306" s="1"/>
      <c r="W306" s="1"/>
      <c r="X306" s="1"/>
      <c r="Y306" s="1"/>
      <c r="Z306" s="1"/>
    </row>
    <row r="307" spans="1:26" ht="24.75" customHeight="1">
      <c r="A307" s="1"/>
      <c r="B307" s="1"/>
      <c r="C307" s="1"/>
      <c r="D307" s="1"/>
      <c r="E307" s="1"/>
      <c r="F307" s="1"/>
      <c r="G307" s="1"/>
      <c r="H307" s="1"/>
      <c r="I307" s="1"/>
      <c r="J307" s="1"/>
      <c r="K307" s="1"/>
      <c r="L307" s="1"/>
      <c r="M307" s="1"/>
      <c r="N307" s="1"/>
      <c r="O307" s="1"/>
      <c r="P307" s="1"/>
      <c r="Q307" s="1"/>
      <c r="R307" s="1"/>
      <c r="S307" s="1"/>
      <c r="T307" s="1"/>
      <c r="U307" s="2"/>
      <c r="V307" s="1"/>
      <c r="W307" s="1"/>
      <c r="X307" s="1"/>
      <c r="Y307" s="1"/>
      <c r="Z307" s="1"/>
    </row>
    <row r="308" spans="1:26" ht="24.75" customHeight="1">
      <c r="A308" s="1"/>
      <c r="B308" s="1"/>
      <c r="C308" s="1"/>
      <c r="D308" s="1"/>
      <c r="E308" s="1"/>
      <c r="F308" s="1"/>
      <c r="G308" s="1"/>
      <c r="H308" s="1"/>
      <c r="I308" s="1"/>
      <c r="J308" s="1"/>
      <c r="K308" s="1"/>
      <c r="L308" s="1"/>
      <c r="M308" s="1"/>
      <c r="N308" s="1"/>
      <c r="O308" s="1"/>
      <c r="P308" s="1"/>
      <c r="Q308" s="1"/>
      <c r="R308" s="1"/>
      <c r="S308" s="1"/>
      <c r="T308" s="1"/>
      <c r="U308" s="2"/>
      <c r="V308" s="1"/>
      <c r="W308" s="1"/>
      <c r="X308" s="1"/>
      <c r="Y308" s="1"/>
      <c r="Z308" s="1"/>
    </row>
    <row r="309" spans="1:26" ht="24.75" customHeight="1">
      <c r="A309" s="1"/>
      <c r="B309" s="1"/>
      <c r="C309" s="1"/>
      <c r="D309" s="1"/>
      <c r="E309" s="1"/>
      <c r="F309" s="1"/>
      <c r="G309" s="1"/>
      <c r="H309" s="1"/>
      <c r="I309" s="1"/>
      <c r="J309" s="1"/>
      <c r="K309" s="1"/>
      <c r="L309" s="1"/>
      <c r="M309" s="1"/>
      <c r="N309" s="1"/>
      <c r="O309" s="1"/>
      <c r="P309" s="1"/>
      <c r="Q309" s="1"/>
      <c r="R309" s="1"/>
      <c r="S309" s="1"/>
      <c r="T309" s="1"/>
      <c r="U309" s="2"/>
      <c r="V309" s="1"/>
      <c r="W309" s="1"/>
      <c r="X309" s="1"/>
      <c r="Y309" s="1"/>
      <c r="Z309" s="1"/>
    </row>
    <row r="310" spans="1:26" ht="24.75" customHeight="1">
      <c r="A310" s="1"/>
      <c r="B310" s="1"/>
      <c r="C310" s="1"/>
      <c r="D310" s="1"/>
      <c r="E310" s="1"/>
      <c r="F310" s="1"/>
      <c r="G310" s="1"/>
      <c r="H310" s="1"/>
      <c r="I310" s="1"/>
      <c r="J310" s="1"/>
      <c r="K310" s="1"/>
      <c r="L310" s="1"/>
      <c r="M310" s="1"/>
      <c r="N310" s="1"/>
      <c r="O310" s="1"/>
      <c r="P310" s="1"/>
      <c r="Q310" s="1"/>
      <c r="R310" s="1"/>
      <c r="S310" s="1"/>
      <c r="T310" s="1"/>
      <c r="U310" s="2"/>
      <c r="V310" s="1"/>
      <c r="W310" s="1"/>
      <c r="X310" s="1"/>
      <c r="Y310" s="1"/>
      <c r="Z310" s="1"/>
    </row>
    <row r="311" spans="1:26" ht="24.75" customHeight="1">
      <c r="A311" s="1"/>
      <c r="B311" s="1"/>
      <c r="C311" s="1"/>
      <c r="D311" s="1"/>
      <c r="E311" s="1"/>
      <c r="F311" s="1"/>
      <c r="G311" s="1"/>
      <c r="H311" s="1"/>
      <c r="I311" s="1"/>
      <c r="J311" s="1"/>
      <c r="K311" s="1"/>
      <c r="L311" s="1"/>
      <c r="M311" s="1"/>
      <c r="N311" s="1"/>
      <c r="O311" s="1"/>
      <c r="P311" s="1"/>
      <c r="Q311" s="1"/>
      <c r="R311" s="1"/>
      <c r="S311" s="1"/>
      <c r="T311" s="1"/>
      <c r="U311" s="2"/>
      <c r="V311" s="1"/>
      <c r="W311" s="1"/>
      <c r="X311" s="1"/>
      <c r="Y311" s="1"/>
      <c r="Z311" s="1"/>
    </row>
    <row r="312" spans="1:26" ht="24.75" customHeight="1">
      <c r="A312" s="1"/>
      <c r="B312" s="1"/>
      <c r="C312" s="1"/>
      <c r="D312" s="1"/>
      <c r="E312" s="1"/>
      <c r="F312" s="1"/>
      <c r="G312" s="1"/>
      <c r="H312" s="1"/>
      <c r="I312" s="1"/>
      <c r="J312" s="1"/>
      <c r="K312" s="1"/>
      <c r="L312" s="1"/>
      <c r="M312" s="1"/>
      <c r="N312" s="1"/>
      <c r="O312" s="1"/>
      <c r="P312" s="1"/>
      <c r="Q312" s="1"/>
      <c r="R312" s="1"/>
      <c r="S312" s="1"/>
      <c r="T312" s="1"/>
      <c r="U312" s="2"/>
      <c r="V312" s="1"/>
      <c r="W312" s="1"/>
      <c r="X312" s="1"/>
      <c r="Y312" s="1"/>
      <c r="Z312" s="1"/>
    </row>
    <row r="313" spans="1:26" ht="24.75" customHeight="1">
      <c r="A313" s="1"/>
      <c r="B313" s="1"/>
      <c r="C313" s="1"/>
      <c r="D313" s="1"/>
      <c r="E313" s="1"/>
      <c r="F313" s="1"/>
      <c r="G313" s="1"/>
      <c r="H313" s="1"/>
      <c r="I313" s="1"/>
      <c r="J313" s="1"/>
      <c r="K313" s="1"/>
      <c r="L313" s="1"/>
      <c r="M313" s="1"/>
      <c r="N313" s="1"/>
      <c r="O313" s="1"/>
      <c r="P313" s="1"/>
      <c r="Q313" s="1"/>
      <c r="R313" s="1"/>
      <c r="S313" s="1"/>
      <c r="T313" s="1"/>
      <c r="U313" s="2"/>
      <c r="V313" s="1"/>
      <c r="W313" s="1"/>
      <c r="X313" s="1"/>
      <c r="Y313" s="1"/>
      <c r="Z313" s="1"/>
    </row>
    <row r="314" spans="1:26" ht="24.75" customHeight="1">
      <c r="A314" s="1"/>
      <c r="B314" s="1"/>
      <c r="C314" s="1"/>
      <c r="D314" s="1"/>
      <c r="E314" s="1"/>
      <c r="F314" s="1"/>
      <c r="G314" s="1"/>
      <c r="H314" s="1"/>
      <c r="I314" s="1"/>
      <c r="J314" s="1"/>
      <c r="K314" s="1"/>
      <c r="L314" s="1"/>
      <c r="M314" s="1"/>
      <c r="N314" s="1"/>
      <c r="O314" s="1"/>
      <c r="P314" s="1"/>
      <c r="Q314" s="1"/>
      <c r="R314" s="1"/>
      <c r="S314" s="1"/>
      <c r="T314" s="1"/>
      <c r="U314" s="2"/>
      <c r="V314" s="1"/>
      <c r="W314" s="1"/>
      <c r="X314" s="1"/>
      <c r="Y314" s="1"/>
      <c r="Z314" s="1"/>
    </row>
    <row r="315" spans="1:26" ht="24.75" customHeight="1">
      <c r="A315" s="1"/>
      <c r="B315" s="1"/>
      <c r="C315" s="1"/>
      <c r="D315" s="1"/>
      <c r="E315" s="1"/>
      <c r="F315" s="1"/>
      <c r="G315" s="1"/>
      <c r="H315" s="1"/>
      <c r="I315" s="1"/>
      <c r="J315" s="1"/>
      <c r="K315" s="1"/>
      <c r="L315" s="1"/>
      <c r="M315" s="1"/>
      <c r="N315" s="1"/>
      <c r="O315" s="1"/>
      <c r="P315" s="1"/>
      <c r="Q315" s="1"/>
      <c r="R315" s="1"/>
      <c r="S315" s="1"/>
      <c r="T315" s="1"/>
      <c r="U315" s="2"/>
      <c r="V315" s="1"/>
      <c r="W315" s="1"/>
      <c r="X315" s="1"/>
      <c r="Y315" s="1"/>
      <c r="Z315" s="1"/>
    </row>
    <row r="316" spans="1:26" ht="24.75" customHeight="1">
      <c r="A316" s="1"/>
      <c r="B316" s="1"/>
      <c r="C316" s="1"/>
      <c r="D316" s="1"/>
      <c r="E316" s="1"/>
      <c r="F316" s="1"/>
      <c r="G316" s="1"/>
      <c r="H316" s="1"/>
      <c r="I316" s="1"/>
      <c r="J316" s="1"/>
      <c r="K316" s="1"/>
      <c r="L316" s="1"/>
      <c r="M316" s="1"/>
      <c r="N316" s="1"/>
      <c r="O316" s="1"/>
      <c r="P316" s="1"/>
      <c r="Q316" s="1"/>
      <c r="R316" s="1"/>
      <c r="S316" s="1"/>
      <c r="T316" s="1"/>
      <c r="U316" s="2"/>
      <c r="V316" s="1"/>
      <c r="W316" s="1"/>
      <c r="X316" s="1"/>
      <c r="Y316" s="1"/>
      <c r="Z316" s="1"/>
    </row>
    <row r="317" spans="1:26" ht="24.75" customHeight="1">
      <c r="A317" s="1"/>
      <c r="B317" s="1"/>
      <c r="C317" s="1"/>
      <c r="D317" s="1"/>
      <c r="E317" s="1"/>
      <c r="F317" s="1"/>
      <c r="G317" s="1"/>
      <c r="H317" s="1"/>
      <c r="I317" s="1"/>
      <c r="J317" s="1"/>
      <c r="K317" s="1"/>
      <c r="L317" s="1"/>
      <c r="M317" s="1"/>
      <c r="N317" s="1"/>
      <c r="O317" s="1"/>
      <c r="P317" s="1"/>
      <c r="Q317" s="1"/>
      <c r="R317" s="1"/>
      <c r="S317" s="1"/>
      <c r="T317" s="1"/>
      <c r="U317" s="2"/>
      <c r="V317" s="1"/>
      <c r="W317" s="1"/>
      <c r="X317" s="1"/>
      <c r="Y317" s="1"/>
      <c r="Z317" s="1"/>
    </row>
    <row r="318" spans="1:26" ht="24.75" customHeight="1">
      <c r="A318" s="1"/>
      <c r="B318" s="1"/>
      <c r="C318" s="1"/>
      <c r="D318" s="1"/>
      <c r="E318" s="1"/>
      <c r="F318" s="1"/>
      <c r="G318" s="1"/>
      <c r="H318" s="1"/>
      <c r="I318" s="1"/>
      <c r="J318" s="1"/>
      <c r="K318" s="1"/>
      <c r="L318" s="1"/>
      <c r="M318" s="1"/>
      <c r="N318" s="1"/>
      <c r="O318" s="1"/>
      <c r="P318" s="1"/>
      <c r="Q318" s="1"/>
      <c r="R318" s="1"/>
      <c r="S318" s="1"/>
      <c r="T318" s="1"/>
      <c r="U318" s="2"/>
      <c r="V318" s="1"/>
      <c r="W318" s="1"/>
      <c r="X318" s="1"/>
      <c r="Y318" s="1"/>
      <c r="Z318" s="1"/>
    </row>
    <row r="319" spans="1:26" ht="24.75" customHeight="1">
      <c r="A319" s="1"/>
      <c r="B319" s="1"/>
      <c r="C319" s="1"/>
      <c r="D319" s="1"/>
      <c r="E319" s="1"/>
      <c r="F319" s="1"/>
      <c r="G319" s="1"/>
      <c r="H319" s="1"/>
      <c r="I319" s="1"/>
      <c r="J319" s="1"/>
      <c r="K319" s="1"/>
      <c r="L319" s="1"/>
      <c r="M319" s="1"/>
      <c r="N319" s="1"/>
      <c r="O319" s="1"/>
      <c r="P319" s="1"/>
      <c r="Q319" s="1"/>
      <c r="R319" s="1"/>
      <c r="S319" s="1"/>
      <c r="T319" s="1"/>
      <c r="U319" s="2"/>
      <c r="V319" s="1"/>
      <c r="W319" s="1"/>
      <c r="X319" s="1"/>
      <c r="Y319" s="1"/>
      <c r="Z319" s="1"/>
    </row>
    <row r="320" spans="1:26" ht="24.75" customHeight="1">
      <c r="A320" s="1"/>
      <c r="B320" s="1"/>
      <c r="C320" s="1"/>
      <c r="D320" s="1"/>
      <c r="E320" s="1"/>
      <c r="F320" s="1"/>
      <c r="G320" s="1"/>
      <c r="H320" s="1"/>
      <c r="I320" s="1"/>
      <c r="J320" s="1"/>
      <c r="K320" s="1"/>
      <c r="L320" s="1"/>
      <c r="M320" s="1"/>
      <c r="N320" s="1"/>
      <c r="O320" s="1"/>
      <c r="P320" s="1"/>
      <c r="Q320" s="1"/>
      <c r="R320" s="1"/>
      <c r="S320" s="1"/>
      <c r="T320" s="1"/>
      <c r="U320" s="2"/>
      <c r="V320" s="1"/>
      <c r="W320" s="1"/>
      <c r="X320" s="1"/>
      <c r="Y320" s="1"/>
      <c r="Z320" s="1"/>
    </row>
    <row r="321" spans="1:26" ht="24.75" customHeight="1">
      <c r="A321" s="1"/>
      <c r="B321" s="1"/>
      <c r="C321" s="1"/>
      <c r="D321" s="1"/>
      <c r="E321" s="1"/>
      <c r="F321" s="1"/>
      <c r="G321" s="1"/>
      <c r="H321" s="1"/>
      <c r="I321" s="1"/>
      <c r="J321" s="1"/>
      <c r="K321" s="1"/>
      <c r="L321" s="1"/>
      <c r="M321" s="1"/>
      <c r="N321" s="1"/>
      <c r="O321" s="1"/>
      <c r="P321" s="1"/>
      <c r="Q321" s="1"/>
      <c r="R321" s="1"/>
      <c r="S321" s="1"/>
      <c r="T321" s="1"/>
      <c r="U321" s="2"/>
      <c r="V321" s="1"/>
      <c r="W321" s="1"/>
      <c r="X321" s="1"/>
      <c r="Y321" s="1"/>
      <c r="Z321" s="1"/>
    </row>
    <row r="322" spans="1:26" ht="24.75" customHeight="1">
      <c r="A322" s="1"/>
      <c r="B322" s="1"/>
      <c r="C322" s="1"/>
      <c r="D322" s="1"/>
      <c r="E322" s="1"/>
      <c r="F322" s="1"/>
      <c r="G322" s="1"/>
      <c r="H322" s="1"/>
      <c r="I322" s="1"/>
      <c r="J322" s="1"/>
      <c r="K322" s="1"/>
      <c r="L322" s="1"/>
      <c r="M322" s="1"/>
      <c r="N322" s="1"/>
      <c r="O322" s="1"/>
      <c r="P322" s="1"/>
      <c r="Q322" s="1"/>
      <c r="R322" s="1"/>
      <c r="S322" s="1"/>
      <c r="T322" s="1"/>
      <c r="U322" s="2"/>
      <c r="V322" s="1"/>
      <c r="W322" s="1"/>
      <c r="X322" s="1"/>
      <c r="Y322" s="1"/>
      <c r="Z322" s="1"/>
    </row>
    <row r="323" spans="1:26" ht="24.75" customHeight="1">
      <c r="A323" s="1"/>
      <c r="B323" s="1"/>
      <c r="C323" s="1"/>
      <c r="D323" s="1"/>
      <c r="E323" s="1"/>
      <c r="F323" s="1"/>
      <c r="G323" s="1"/>
      <c r="H323" s="1"/>
      <c r="I323" s="1"/>
      <c r="J323" s="1"/>
      <c r="K323" s="1"/>
      <c r="L323" s="1"/>
      <c r="M323" s="1"/>
      <c r="N323" s="1"/>
      <c r="O323" s="1"/>
      <c r="P323" s="1"/>
      <c r="Q323" s="1"/>
      <c r="R323" s="1"/>
      <c r="S323" s="1"/>
      <c r="T323" s="1"/>
      <c r="U323" s="2"/>
      <c r="V323" s="1"/>
      <c r="W323" s="1"/>
      <c r="X323" s="1"/>
      <c r="Y323" s="1"/>
      <c r="Z323" s="1"/>
    </row>
    <row r="324" spans="1:26" ht="24.75" customHeight="1">
      <c r="A324" s="1"/>
      <c r="B324" s="1"/>
      <c r="C324" s="1"/>
      <c r="D324" s="1"/>
      <c r="E324" s="1"/>
      <c r="F324" s="1"/>
      <c r="G324" s="1"/>
      <c r="H324" s="1"/>
      <c r="I324" s="1"/>
      <c r="J324" s="1"/>
      <c r="K324" s="1"/>
      <c r="L324" s="1"/>
      <c r="M324" s="1"/>
      <c r="N324" s="1"/>
      <c r="O324" s="1"/>
      <c r="P324" s="1"/>
      <c r="Q324" s="1"/>
      <c r="R324" s="1"/>
      <c r="S324" s="1"/>
      <c r="T324" s="1"/>
      <c r="U324" s="2"/>
      <c r="V324" s="1"/>
      <c r="W324" s="1"/>
      <c r="X324" s="1"/>
      <c r="Y324" s="1"/>
      <c r="Z324" s="1"/>
    </row>
    <row r="325" spans="1:26" ht="24.75" customHeight="1">
      <c r="A325" s="1"/>
      <c r="B325" s="1"/>
      <c r="C325" s="1"/>
      <c r="D325" s="1"/>
      <c r="E325" s="1"/>
      <c r="F325" s="1"/>
      <c r="G325" s="1"/>
      <c r="H325" s="1"/>
      <c r="I325" s="1"/>
      <c r="J325" s="1"/>
      <c r="K325" s="1"/>
      <c r="L325" s="1"/>
      <c r="M325" s="1"/>
      <c r="N325" s="1"/>
      <c r="O325" s="1"/>
      <c r="P325" s="1"/>
      <c r="Q325" s="1"/>
      <c r="R325" s="1"/>
      <c r="S325" s="1"/>
      <c r="T325" s="1"/>
      <c r="U325" s="2"/>
      <c r="V325" s="1"/>
      <c r="W325" s="1"/>
      <c r="X325" s="1"/>
      <c r="Y325" s="1"/>
      <c r="Z325" s="1"/>
    </row>
    <row r="326" spans="1:26" ht="24.75" customHeight="1">
      <c r="A326" s="1"/>
      <c r="B326" s="1"/>
      <c r="C326" s="1"/>
      <c r="D326" s="1"/>
      <c r="E326" s="1"/>
      <c r="F326" s="1"/>
      <c r="G326" s="1"/>
      <c r="H326" s="1"/>
      <c r="I326" s="1"/>
      <c r="J326" s="1"/>
      <c r="K326" s="1"/>
      <c r="L326" s="1"/>
      <c r="M326" s="1"/>
      <c r="N326" s="1"/>
      <c r="O326" s="1"/>
      <c r="P326" s="1"/>
      <c r="Q326" s="1"/>
      <c r="R326" s="1"/>
      <c r="S326" s="1"/>
      <c r="T326" s="1"/>
      <c r="U326" s="2"/>
      <c r="V326" s="1"/>
      <c r="W326" s="1"/>
      <c r="X326" s="1"/>
      <c r="Y326" s="1"/>
      <c r="Z326" s="1"/>
    </row>
    <row r="327" spans="1:26" ht="24.75" customHeight="1">
      <c r="A327" s="1"/>
      <c r="B327" s="1"/>
      <c r="C327" s="1"/>
      <c r="D327" s="1"/>
      <c r="E327" s="1"/>
      <c r="F327" s="1"/>
      <c r="G327" s="1"/>
      <c r="H327" s="1"/>
      <c r="I327" s="1"/>
      <c r="J327" s="1"/>
      <c r="K327" s="1"/>
      <c r="L327" s="1"/>
      <c r="M327" s="1"/>
      <c r="N327" s="1"/>
      <c r="O327" s="1"/>
      <c r="P327" s="1"/>
      <c r="Q327" s="1"/>
      <c r="R327" s="1"/>
      <c r="S327" s="1"/>
      <c r="T327" s="1"/>
      <c r="U327" s="2"/>
      <c r="V327" s="1"/>
      <c r="W327" s="1"/>
      <c r="X327" s="1"/>
      <c r="Y327" s="1"/>
      <c r="Z327" s="1"/>
    </row>
    <row r="328" spans="1:26" ht="24.75" customHeight="1">
      <c r="A328" s="1"/>
      <c r="B328" s="1"/>
      <c r="C328" s="1"/>
      <c r="D328" s="1"/>
      <c r="E328" s="1"/>
      <c r="F328" s="1"/>
      <c r="G328" s="1"/>
      <c r="H328" s="1"/>
      <c r="I328" s="1"/>
      <c r="J328" s="1"/>
      <c r="K328" s="1"/>
      <c r="L328" s="1"/>
      <c r="M328" s="1"/>
      <c r="N328" s="1"/>
      <c r="O328" s="1"/>
      <c r="P328" s="1"/>
      <c r="Q328" s="1"/>
      <c r="R328" s="1"/>
      <c r="S328" s="1"/>
      <c r="T328" s="1"/>
      <c r="U328" s="2"/>
      <c r="V328" s="1"/>
      <c r="W328" s="1"/>
      <c r="X328" s="1"/>
      <c r="Y328" s="1"/>
      <c r="Z328" s="1"/>
    </row>
    <row r="329" spans="1:26" ht="24.75" customHeight="1">
      <c r="A329" s="1"/>
      <c r="B329" s="1"/>
      <c r="C329" s="1"/>
      <c r="D329" s="1"/>
      <c r="E329" s="1"/>
      <c r="F329" s="1"/>
      <c r="G329" s="1"/>
      <c r="H329" s="1"/>
      <c r="I329" s="1"/>
      <c r="J329" s="1"/>
      <c r="K329" s="1"/>
      <c r="L329" s="1"/>
      <c r="M329" s="1"/>
      <c r="N329" s="1"/>
      <c r="O329" s="1"/>
      <c r="P329" s="1"/>
      <c r="Q329" s="1"/>
      <c r="R329" s="1"/>
      <c r="S329" s="1"/>
      <c r="T329" s="1"/>
      <c r="U329" s="2"/>
      <c r="V329" s="1"/>
      <c r="W329" s="1"/>
      <c r="X329" s="1"/>
      <c r="Y329" s="1"/>
      <c r="Z329" s="1"/>
    </row>
    <row r="330" spans="1:26" ht="24.75" customHeight="1">
      <c r="A330" s="1"/>
      <c r="B330" s="1"/>
      <c r="C330" s="1"/>
      <c r="D330" s="1"/>
      <c r="E330" s="1"/>
      <c r="F330" s="1"/>
      <c r="G330" s="1"/>
      <c r="H330" s="1"/>
      <c r="I330" s="1"/>
      <c r="J330" s="1"/>
      <c r="K330" s="1"/>
      <c r="L330" s="1"/>
      <c r="M330" s="1"/>
      <c r="N330" s="1"/>
      <c r="O330" s="1"/>
      <c r="P330" s="1"/>
      <c r="Q330" s="1"/>
      <c r="R330" s="1"/>
      <c r="S330" s="1"/>
      <c r="T330" s="1"/>
      <c r="U330" s="2"/>
      <c r="V330" s="1"/>
      <c r="W330" s="1"/>
      <c r="X330" s="1"/>
      <c r="Y330" s="1"/>
      <c r="Z330" s="1"/>
    </row>
    <row r="331" spans="1:26" ht="24.75" customHeight="1">
      <c r="A331" s="1"/>
      <c r="B331" s="1"/>
      <c r="C331" s="1"/>
      <c r="D331" s="1"/>
      <c r="E331" s="1"/>
      <c r="F331" s="1"/>
      <c r="G331" s="1"/>
      <c r="H331" s="1"/>
      <c r="I331" s="1"/>
      <c r="J331" s="1"/>
      <c r="K331" s="1"/>
      <c r="L331" s="1"/>
      <c r="M331" s="1"/>
      <c r="N331" s="1"/>
      <c r="O331" s="1"/>
      <c r="P331" s="1"/>
      <c r="Q331" s="1"/>
      <c r="R331" s="1"/>
      <c r="S331" s="1"/>
      <c r="T331" s="1"/>
      <c r="U331" s="2"/>
      <c r="V331" s="1"/>
      <c r="W331" s="1"/>
      <c r="X331" s="1"/>
      <c r="Y331" s="1"/>
      <c r="Z331" s="1"/>
    </row>
    <row r="332" spans="1:26" ht="24.75" customHeight="1">
      <c r="A332" s="1"/>
      <c r="B332" s="1"/>
      <c r="C332" s="1"/>
      <c r="D332" s="1"/>
      <c r="E332" s="1"/>
      <c r="F332" s="1"/>
      <c r="G332" s="1"/>
      <c r="H332" s="1"/>
      <c r="I332" s="1"/>
      <c r="J332" s="1"/>
      <c r="K332" s="1"/>
      <c r="L332" s="1"/>
      <c r="M332" s="1"/>
      <c r="N332" s="1"/>
      <c r="O332" s="1"/>
      <c r="P332" s="1"/>
      <c r="Q332" s="1"/>
      <c r="R332" s="1"/>
      <c r="S332" s="1"/>
      <c r="T332" s="1"/>
      <c r="U332" s="2"/>
      <c r="V332" s="1"/>
      <c r="W332" s="1"/>
      <c r="X332" s="1"/>
      <c r="Y332" s="1"/>
      <c r="Z332" s="1"/>
    </row>
    <row r="333" spans="1:26" ht="24.75" customHeight="1">
      <c r="A333" s="1"/>
      <c r="B333" s="1"/>
      <c r="C333" s="1"/>
      <c r="D333" s="1"/>
      <c r="E333" s="1"/>
      <c r="F333" s="1"/>
      <c r="G333" s="1"/>
      <c r="H333" s="1"/>
      <c r="I333" s="1"/>
      <c r="J333" s="1"/>
      <c r="K333" s="1"/>
      <c r="L333" s="1"/>
      <c r="M333" s="1"/>
      <c r="N333" s="1"/>
      <c r="O333" s="1"/>
      <c r="P333" s="1"/>
      <c r="Q333" s="1"/>
      <c r="R333" s="1"/>
      <c r="S333" s="1"/>
      <c r="T333" s="1"/>
      <c r="U333" s="2"/>
      <c r="V333" s="1"/>
      <c r="W333" s="1"/>
      <c r="X333" s="1"/>
      <c r="Y333" s="1"/>
      <c r="Z333" s="1"/>
    </row>
    <row r="334" spans="1:26" ht="24.75" customHeight="1">
      <c r="A334" s="1"/>
      <c r="B334" s="1"/>
      <c r="C334" s="1"/>
      <c r="D334" s="1"/>
      <c r="E334" s="1"/>
      <c r="F334" s="1"/>
      <c r="G334" s="1"/>
      <c r="H334" s="1"/>
      <c r="I334" s="1"/>
      <c r="J334" s="1"/>
      <c r="K334" s="1"/>
      <c r="L334" s="1"/>
      <c r="M334" s="1"/>
      <c r="N334" s="1"/>
      <c r="O334" s="1"/>
      <c r="P334" s="1"/>
      <c r="Q334" s="1"/>
      <c r="R334" s="1"/>
      <c r="S334" s="1"/>
      <c r="T334" s="1"/>
      <c r="U334" s="2"/>
      <c r="V334" s="1"/>
      <c r="W334" s="1"/>
      <c r="X334" s="1"/>
      <c r="Y334" s="1"/>
      <c r="Z334" s="1"/>
    </row>
    <row r="335" spans="1:26" ht="24.75" customHeight="1">
      <c r="A335" s="1"/>
      <c r="B335" s="1"/>
      <c r="C335" s="1"/>
      <c r="D335" s="1"/>
      <c r="E335" s="1"/>
      <c r="F335" s="1"/>
      <c r="G335" s="1"/>
      <c r="H335" s="1"/>
      <c r="I335" s="1"/>
      <c r="J335" s="1"/>
      <c r="K335" s="1"/>
      <c r="L335" s="1"/>
      <c r="M335" s="1"/>
      <c r="N335" s="1"/>
      <c r="O335" s="1"/>
      <c r="P335" s="1"/>
      <c r="Q335" s="1"/>
      <c r="R335" s="1"/>
      <c r="S335" s="1"/>
      <c r="T335" s="1"/>
      <c r="U335" s="2"/>
      <c r="V335" s="1"/>
      <c r="W335" s="1"/>
      <c r="X335" s="1"/>
      <c r="Y335" s="1"/>
      <c r="Z335" s="1"/>
    </row>
    <row r="336" spans="1:26" ht="24.75" customHeight="1">
      <c r="A336" s="1"/>
      <c r="B336" s="1"/>
      <c r="C336" s="1"/>
      <c r="D336" s="1"/>
      <c r="E336" s="1"/>
      <c r="F336" s="1"/>
      <c r="G336" s="1"/>
      <c r="H336" s="1"/>
      <c r="I336" s="1"/>
      <c r="J336" s="1"/>
      <c r="K336" s="1"/>
      <c r="L336" s="1"/>
      <c r="M336" s="1"/>
      <c r="N336" s="1"/>
      <c r="O336" s="1"/>
      <c r="P336" s="1"/>
      <c r="Q336" s="1"/>
      <c r="R336" s="1"/>
      <c r="S336" s="1"/>
      <c r="T336" s="1"/>
      <c r="U336" s="2"/>
      <c r="V336" s="1"/>
      <c r="W336" s="1"/>
      <c r="X336" s="1"/>
      <c r="Y336" s="1"/>
      <c r="Z336" s="1"/>
    </row>
    <row r="337" spans="1:26" ht="24.75" customHeight="1">
      <c r="A337" s="1"/>
      <c r="B337" s="1"/>
      <c r="C337" s="1"/>
      <c r="D337" s="1"/>
      <c r="E337" s="1"/>
      <c r="F337" s="1"/>
      <c r="G337" s="1"/>
      <c r="H337" s="1"/>
      <c r="I337" s="1"/>
      <c r="J337" s="1"/>
      <c r="K337" s="1"/>
      <c r="L337" s="1"/>
      <c r="M337" s="1"/>
      <c r="N337" s="1"/>
      <c r="O337" s="1"/>
      <c r="P337" s="1"/>
      <c r="Q337" s="1"/>
      <c r="R337" s="1"/>
      <c r="S337" s="1"/>
      <c r="T337" s="1"/>
      <c r="U337" s="2"/>
      <c r="V337" s="1"/>
      <c r="W337" s="1"/>
      <c r="X337" s="1"/>
      <c r="Y337" s="1"/>
      <c r="Z337" s="1"/>
    </row>
    <row r="338" spans="1:26" ht="24.75" customHeight="1">
      <c r="A338" s="1"/>
      <c r="B338" s="1"/>
      <c r="C338" s="1"/>
      <c r="D338" s="1"/>
      <c r="E338" s="1"/>
      <c r="F338" s="1"/>
      <c r="G338" s="1"/>
      <c r="H338" s="1"/>
      <c r="I338" s="1"/>
      <c r="J338" s="1"/>
      <c r="K338" s="1"/>
      <c r="L338" s="1"/>
      <c r="M338" s="1"/>
      <c r="N338" s="1"/>
      <c r="O338" s="1"/>
      <c r="P338" s="1"/>
      <c r="Q338" s="1"/>
      <c r="R338" s="1"/>
      <c r="S338" s="1"/>
      <c r="T338" s="1"/>
      <c r="U338" s="2"/>
      <c r="V338" s="1"/>
      <c r="W338" s="1"/>
      <c r="X338" s="1"/>
      <c r="Y338" s="1"/>
      <c r="Z338" s="1"/>
    </row>
    <row r="339" spans="1:26" ht="24.75" customHeight="1">
      <c r="A339" s="1"/>
      <c r="B339" s="1"/>
      <c r="C339" s="1"/>
      <c r="D339" s="1"/>
      <c r="E339" s="1"/>
      <c r="F339" s="1"/>
      <c r="G339" s="1"/>
      <c r="H339" s="1"/>
      <c r="I339" s="1"/>
      <c r="J339" s="1"/>
      <c r="K339" s="1"/>
      <c r="L339" s="1"/>
      <c r="M339" s="1"/>
      <c r="N339" s="1"/>
      <c r="O339" s="1"/>
      <c r="P339" s="1"/>
      <c r="Q339" s="1"/>
      <c r="R339" s="1"/>
      <c r="S339" s="1"/>
      <c r="T339" s="1"/>
      <c r="U339" s="2"/>
      <c r="V339" s="1"/>
      <c r="W339" s="1"/>
      <c r="X339" s="1"/>
      <c r="Y339" s="1"/>
      <c r="Z339" s="1"/>
    </row>
    <row r="340" spans="1:26" ht="24.75" customHeight="1">
      <c r="A340" s="1"/>
      <c r="B340" s="1"/>
      <c r="C340" s="1"/>
      <c r="D340" s="1"/>
      <c r="E340" s="1"/>
      <c r="F340" s="1"/>
      <c r="G340" s="1"/>
      <c r="H340" s="1"/>
      <c r="I340" s="1"/>
      <c r="J340" s="1"/>
      <c r="K340" s="1"/>
      <c r="L340" s="1"/>
      <c r="M340" s="1"/>
      <c r="N340" s="1"/>
      <c r="O340" s="1"/>
      <c r="P340" s="1"/>
      <c r="Q340" s="1"/>
      <c r="R340" s="1"/>
      <c r="S340" s="1"/>
      <c r="T340" s="1"/>
      <c r="U340" s="2"/>
      <c r="V340" s="1"/>
      <c r="W340" s="1"/>
      <c r="X340" s="1"/>
      <c r="Y340" s="1"/>
      <c r="Z340" s="1"/>
    </row>
    <row r="341" spans="1:26" ht="24.75" customHeight="1">
      <c r="A341" s="1"/>
      <c r="B341" s="1"/>
      <c r="C341" s="1"/>
      <c r="D341" s="1"/>
      <c r="E341" s="1"/>
      <c r="F341" s="1"/>
      <c r="G341" s="1"/>
      <c r="H341" s="1"/>
      <c r="I341" s="1"/>
      <c r="J341" s="1"/>
      <c r="K341" s="1"/>
      <c r="L341" s="1"/>
      <c r="M341" s="1"/>
      <c r="N341" s="1"/>
      <c r="O341" s="1"/>
      <c r="P341" s="1"/>
      <c r="Q341" s="1"/>
      <c r="R341" s="1"/>
      <c r="S341" s="1"/>
      <c r="T341" s="1"/>
      <c r="U341" s="2"/>
      <c r="V341" s="1"/>
      <c r="W341" s="1"/>
      <c r="X341" s="1"/>
      <c r="Y341" s="1"/>
      <c r="Z341" s="1"/>
    </row>
    <row r="342" spans="1:26" ht="24.75" customHeight="1">
      <c r="A342" s="1"/>
      <c r="B342" s="1"/>
      <c r="C342" s="1"/>
      <c r="D342" s="1"/>
      <c r="E342" s="1"/>
      <c r="F342" s="1"/>
      <c r="G342" s="1"/>
      <c r="H342" s="1"/>
      <c r="I342" s="1"/>
      <c r="J342" s="1"/>
      <c r="K342" s="1"/>
      <c r="L342" s="1"/>
      <c r="M342" s="1"/>
      <c r="N342" s="1"/>
      <c r="O342" s="1"/>
      <c r="P342" s="1"/>
      <c r="Q342" s="1"/>
      <c r="R342" s="1"/>
      <c r="S342" s="1"/>
      <c r="T342" s="1"/>
      <c r="U342" s="2"/>
      <c r="V342" s="1"/>
      <c r="W342" s="1"/>
      <c r="X342" s="1"/>
      <c r="Y342" s="1"/>
      <c r="Z342" s="1"/>
    </row>
    <row r="343" spans="1:26" ht="24.75" customHeight="1">
      <c r="A343" s="1"/>
      <c r="B343" s="1"/>
      <c r="C343" s="1"/>
      <c r="D343" s="1"/>
      <c r="E343" s="1"/>
      <c r="F343" s="1"/>
      <c r="G343" s="1"/>
      <c r="H343" s="1"/>
      <c r="I343" s="1"/>
      <c r="J343" s="1"/>
      <c r="K343" s="1"/>
      <c r="L343" s="1"/>
      <c r="M343" s="1"/>
      <c r="N343" s="1"/>
      <c r="O343" s="1"/>
      <c r="P343" s="1"/>
      <c r="Q343" s="1"/>
      <c r="R343" s="1"/>
      <c r="S343" s="1"/>
      <c r="T343" s="1"/>
      <c r="U343" s="2"/>
      <c r="V343" s="1"/>
      <c r="W343" s="1"/>
      <c r="X343" s="1"/>
      <c r="Y343" s="1"/>
      <c r="Z343" s="1"/>
    </row>
    <row r="344" spans="1:26" ht="24.75" customHeight="1">
      <c r="A344" s="1"/>
      <c r="B344" s="1"/>
      <c r="C344" s="1"/>
      <c r="D344" s="1"/>
      <c r="E344" s="1"/>
      <c r="F344" s="1"/>
      <c r="G344" s="1"/>
      <c r="H344" s="1"/>
      <c r="I344" s="1"/>
      <c r="J344" s="1"/>
      <c r="K344" s="1"/>
      <c r="L344" s="1"/>
      <c r="M344" s="1"/>
      <c r="N344" s="1"/>
      <c r="O344" s="1"/>
      <c r="P344" s="1"/>
      <c r="Q344" s="1"/>
      <c r="R344" s="1"/>
      <c r="S344" s="1"/>
      <c r="T344" s="1"/>
      <c r="U344" s="2"/>
      <c r="V344" s="1"/>
      <c r="W344" s="1"/>
      <c r="X344" s="1"/>
      <c r="Y344" s="1"/>
      <c r="Z344" s="1"/>
    </row>
    <row r="345" spans="1:26" ht="24.75" customHeight="1">
      <c r="A345" s="1"/>
      <c r="B345" s="1"/>
      <c r="C345" s="1"/>
      <c r="D345" s="1"/>
      <c r="E345" s="1"/>
      <c r="F345" s="1"/>
      <c r="G345" s="1"/>
      <c r="H345" s="1"/>
      <c r="I345" s="1"/>
      <c r="J345" s="1"/>
      <c r="K345" s="1"/>
      <c r="L345" s="1"/>
      <c r="M345" s="1"/>
      <c r="N345" s="1"/>
      <c r="O345" s="1"/>
      <c r="P345" s="1"/>
      <c r="Q345" s="1"/>
      <c r="R345" s="1"/>
      <c r="S345" s="1"/>
      <c r="T345" s="1"/>
      <c r="U345" s="2"/>
      <c r="V345" s="1"/>
      <c r="W345" s="1"/>
      <c r="X345" s="1"/>
      <c r="Y345" s="1"/>
      <c r="Z345" s="1"/>
    </row>
    <row r="346" spans="1:26" ht="24.75" customHeight="1">
      <c r="A346" s="1"/>
      <c r="B346" s="1"/>
      <c r="C346" s="1"/>
      <c r="D346" s="1"/>
      <c r="E346" s="1"/>
      <c r="F346" s="1"/>
      <c r="G346" s="1"/>
      <c r="H346" s="1"/>
      <c r="I346" s="1"/>
      <c r="J346" s="1"/>
      <c r="K346" s="1"/>
      <c r="L346" s="1"/>
      <c r="M346" s="1"/>
      <c r="N346" s="1"/>
      <c r="O346" s="1"/>
      <c r="P346" s="1"/>
      <c r="Q346" s="1"/>
      <c r="R346" s="1"/>
      <c r="S346" s="1"/>
      <c r="T346" s="1"/>
      <c r="U346" s="2"/>
      <c r="V346" s="1"/>
      <c r="W346" s="1"/>
      <c r="X346" s="1"/>
      <c r="Y346" s="1"/>
      <c r="Z346" s="1"/>
    </row>
    <row r="347" spans="1:26" ht="24.75" customHeight="1">
      <c r="A347" s="1"/>
      <c r="B347" s="1"/>
      <c r="C347" s="1"/>
      <c r="D347" s="1"/>
      <c r="E347" s="1"/>
      <c r="F347" s="1"/>
      <c r="G347" s="1"/>
      <c r="H347" s="1"/>
      <c r="I347" s="1"/>
      <c r="J347" s="1"/>
      <c r="K347" s="1"/>
      <c r="L347" s="1"/>
      <c r="M347" s="1"/>
      <c r="N347" s="1"/>
      <c r="O347" s="1"/>
      <c r="P347" s="1"/>
      <c r="Q347" s="1"/>
      <c r="R347" s="1"/>
      <c r="S347" s="1"/>
      <c r="T347" s="1"/>
      <c r="U347" s="2"/>
      <c r="V347" s="1"/>
      <c r="W347" s="1"/>
      <c r="X347" s="1"/>
      <c r="Y347" s="1"/>
      <c r="Z347" s="1"/>
    </row>
    <row r="348" spans="1:26" ht="24.75" customHeight="1">
      <c r="A348" s="1"/>
      <c r="B348" s="1"/>
      <c r="C348" s="1"/>
      <c r="D348" s="1"/>
      <c r="E348" s="1"/>
      <c r="F348" s="1"/>
      <c r="G348" s="1"/>
      <c r="H348" s="1"/>
      <c r="I348" s="1"/>
      <c r="J348" s="1"/>
      <c r="K348" s="1"/>
      <c r="L348" s="1"/>
      <c r="M348" s="1"/>
      <c r="N348" s="1"/>
      <c r="O348" s="1"/>
      <c r="P348" s="1"/>
      <c r="Q348" s="1"/>
      <c r="R348" s="1"/>
      <c r="S348" s="1"/>
      <c r="T348" s="1"/>
      <c r="U348" s="2"/>
      <c r="V348" s="1"/>
      <c r="W348" s="1"/>
      <c r="X348" s="1"/>
      <c r="Y348" s="1"/>
      <c r="Z348" s="1"/>
    </row>
    <row r="349" spans="1:26" ht="24.75" customHeight="1">
      <c r="A349" s="1"/>
      <c r="B349" s="1"/>
      <c r="C349" s="1"/>
      <c r="D349" s="1"/>
      <c r="E349" s="1"/>
      <c r="F349" s="1"/>
      <c r="G349" s="1"/>
      <c r="H349" s="1"/>
      <c r="I349" s="1"/>
      <c r="J349" s="1"/>
      <c r="K349" s="1"/>
      <c r="L349" s="1"/>
      <c r="M349" s="1"/>
      <c r="N349" s="1"/>
      <c r="O349" s="1"/>
      <c r="P349" s="1"/>
      <c r="Q349" s="1"/>
      <c r="R349" s="1"/>
      <c r="S349" s="1"/>
      <c r="T349" s="1"/>
      <c r="U349" s="2"/>
      <c r="V349" s="1"/>
      <c r="W349" s="1"/>
      <c r="X349" s="1"/>
      <c r="Y349" s="1"/>
      <c r="Z349" s="1"/>
    </row>
    <row r="350" spans="1:26" ht="24.75" customHeight="1">
      <c r="A350" s="1"/>
      <c r="B350" s="1"/>
      <c r="C350" s="1"/>
      <c r="D350" s="1"/>
      <c r="E350" s="1"/>
      <c r="F350" s="1"/>
      <c r="G350" s="1"/>
      <c r="H350" s="1"/>
      <c r="I350" s="1"/>
      <c r="J350" s="1"/>
      <c r="K350" s="1"/>
      <c r="L350" s="1"/>
      <c r="M350" s="1"/>
      <c r="N350" s="1"/>
      <c r="O350" s="1"/>
      <c r="P350" s="1"/>
      <c r="Q350" s="1"/>
      <c r="R350" s="1"/>
      <c r="S350" s="1"/>
      <c r="T350" s="1"/>
      <c r="U350" s="2"/>
      <c r="V350" s="1"/>
      <c r="W350" s="1"/>
      <c r="X350" s="1"/>
      <c r="Y350" s="1"/>
      <c r="Z350" s="1"/>
    </row>
    <row r="351" spans="1:26" ht="24.75" customHeight="1">
      <c r="A351" s="1"/>
      <c r="B351" s="1"/>
      <c r="C351" s="1"/>
      <c r="D351" s="1"/>
      <c r="E351" s="1"/>
      <c r="F351" s="1"/>
      <c r="G351" s="1"/>
      <c r="H351" s="1"/>
      <c r="I351" s="1"/>
      <c r="J351" s="1"/>
      <c r="K351" s="1"/>
      <c r="L351" s="1"/>
      <c r="M351" s="1"/>
      <c r="N351" s="1"/>
      <c r="O351" s="1"/>
      <c r="P351" s="1"/>
      <c r="Q351" s="1"/>
      <c r="R351" s="1"/>
      <c r="S351" s="1"/>
      <c r="T351" s="1"/>
      <c r="U351" s="2"/>
      <c r="V351" s="1"/>
      <c r="W351" s="1"/>
      <c r="X351" s="1"/>
      <c r="Y351" s="1"/>
      <c r="Z351" s="1"/>
    </row>
    <row r="352" spans="1:26" ht="24.75" customHeight="1">
      <c r="A352" s="1"/>
      <c r="B352" s="1"/>
      <c r="C352" s="1"/>
      <c r="D352" s="1"/>
      <c r="E352" s="1"/>
      <c r="F352" s="1"/>
      <c r="G352" s="1"/>
      <c r="H352" s="1"/>
      <c r="I352" s="1"/>
      <c r="J352" s="1"/>
      <c r="K352" s="1"/>
      <c r="L352" s="1"/>
      <c r="M352" s="1"/>
      <c r="N352" s="1"/>
      <c r="O352" s="1"/>
      <c r="P352" s="1"/>
      <c r="Q352" s="1"/>
      <c r="R352" s="1"/>
      <c r="S352" s="1"/>
      <c r="T352" s="1"/>
      <c r="U352" s="2"/>
      <c r="V352" s="1"/>
      <c r="W352" s="1"/>
      <c r="X352" s="1"/>
      <c r="Y352" s="1"/>
      <c r="Z352" s="1"/>
    </row>
    <row r="353" spans="1:26" ht="24.75" customHeight="1">
      <c r="A353" s="1"/>
      <c r="B353" s="1"/>
      <c r="C353" s="1"/>
      <c r="D353" s="1"/>
      <c r="E353" s="1"/>
      <c r="F353" s="1"/>
      <c r="G353" s="1"/>
      <c r="H353" s="1"/>
      <c r="I353" s="1"/>
      <c r="J353" s="1"/>
      <c r="K353" s="1"/>
      <c r="L353" s="1"/>
      <c r="M353" s="1"/>
      <c r="N353" s="1"/>
      <c r="O353" s="1"/>
      <c r="P353" s="1"/>
      <c r="Q353" s="1"/>
      <c r="R353" s="1"/>
      <c r="S353" s="1"/>
      <c r="T353" s="1"/>
      <c r="U353" s="2"/>
      <c r="V353" s="1"/>
      <c r="W353" s="1"/>
      <c r="X353" s="1"/>
      <c r="Y353" s="1"/>
      <c r="Z353" s="1"/>
    </row>
    <row r="354" spans="1:26" ht="24.75" customHeight="1">
      <c r="A354" s="1"/>
      <c r="B354" s="1"/>
      <c r="C354" s="1"/>
      <c r="D354" s="1"/>
      <c r="E354" s="1"/>
      <c r="F354" s="1"/>
      <c r="G354" s="1"/>
      <c r="H354" s="1"/>
      <c r="I354" s="1"/>
      <c r="J354" s="1"/>
      <c r="K354" s="1"/>
      <c r="L354" s="1"/>
      <c r="M354" s="1"/>
      <c r="N354" s="1"/>
      <c r="O354" s="1"/>
      <c r="P354" s="1"/>
      <c r="Q354" s="1"/>
      <c r="R354" s="1"/>
      <c r="S354" s="1"/>
      <c r="T354" s="1"/>
      <c r="U354" s="2"/>
      <c r="V354" s="1"/>
      <c r="W354" s="1"/>
      <c r="X354" s="1"/>
      <c r="Y354" s="1"/>
      <c r="Z354" s="1"/>
    </row>
    <row r="355" spans="1:26" ht="24.75" customHeight="1">
      <c r="A355" s="1"/>
      <c r="B355" s="1"/>
      <c r="C355" s="1"/>
      <c r="D355" s="1"/>
      <c r="E355" s="1"/>
      <c r="F355" s="1"/>
      <c r="G355" s="1"/>
      <c r="H355" s="1"/>
      <c r="I355" s="1"/>
      <c r="J355" s="1"/>
      <c r="K355" s="1"/>
      <c r="L355" s="1"/>
      <c r="M355" s="1"/>
      <c r="N355" s="1"/>
      <c r="O355" s="1"/>
      <c r="P355" s="1"/>
      <c r="Q355" s="1"/>
      <c r="R355" s="1"/>
      <c r="S355" s="1"/>
      <c r="T355" s="1"/>
      <c r="U355" s="2"/>
      <c r="V355" s="1"/>
      <c r="W355" s="1"/>
      <c r="X355" s="1"/>
      <c r="Y355" s="1"/>
      <c r="Z355" s="1"/>
    </row>
    <row r="356" spans="1:26" ht="24.75" customHeight="1">
      <c r="A356" s="1"/>
      <c r="B356" s="1"/>
      <c r="C356" s="1"/>
      <c r="D356" s="1"/>
      <c r="E356" s="1"/>
      <c r="F356" s="1"/>
      <c r="G356" s="1"/>
      <c r="H356" s="1"/>
      <c r="I356" s="1"/>
      <c r="J356" s="1"/>
      <c r="K356" s="1"/>
      <c r="L356" s="1"/>
      <c r="M356" s="1"/>
      <c r="N356" s="1"/>
      <c r="O356" s="1"/>
      <c r="P356" s="1"/>
      <c r="Q356" s="1"/>
      <c r="R356" s="1"/>
      <c r="S356" s="1"/>
      <c r="T356" s="1"/>
      <c r="U356" s="2"/>
      <c r="V356" s="1"/>
      <c r="W356" s="1"/>
      <c r="X356" s="1"/>
      <c r="Y356" s="1"/>
      <c r="Z356" s="1"/>
    </row>
    <row r="357" spans="1:26" ht="24.75" customHeight="1">
      <c r="A357" s="1"/>
      <c r="B357" s="1"/>
      <c r="C357" s="1"/>
      <c r="D357" s="1"/>
      <c r="E357" s="1"/>
      <c r="F357" s="1"/>
      <c r="G357" s="1"/>
      <c r="H357" s="1"/>
      <c r="I357" s="1"/>
      <c r="J357" s="1"/>
      <c r="K357" s="1"/>
      <c r="L357" s="1"/>
      <c r="M357" s="1"/>
      <c r="N357" s="1"/>
      <c r="O357" s="1"/>
      <c r="P357" s="1"/>
      <c r="Q357" s="1"/>
      <c r="R357" s="1"/>
      <c r="S357" s="1"/>
      <c r="T357" s="1"/>
      <c r="U357" s="2"/>
      <c r="V357" s="1"/>
      <c r="W357" s="1"/>
      <c r="X357" s="1"/>
      <c r="Y357" s="1"/>
      <c r="Z357" s="1"/>
    </row>
    <row r="358" spans="1:26" ht="24.75" customHeight="1">
      <c r="A358" s="1"/>
      <c r="B358" s="1"/>
      <c r="C358" s="1"/>
      <c r="D358" s="1"/>
      <c r="E358" s="1"/>
      <c r="F358" s="1"/>
      <c r="G358" s="1"/>
      <c r="H358" s="1"/>
      <c r="I358" s="1"/>
      <c r="J358" s="1"/>
      <c r="K358" s="1"/>
      <c r="L358" s="1"/>
      <c r="M358" s="1"/>
      <c r="N358" s="1"/>
      <c r="O358" s="1"/>
      <c r="P358" s="1"/>
      <c r="Q358" s="1"/>
      <c r="R358" s="1"/>
      <c r="S358" s="1"/>
      <c r="T358" s="1"/>
      <c r="U358" s="2"/>
      <c r="V358" s="1"/>
      <c r="W358" s="1"/>
      <c r="X358" s="1"/>
      <c r="Y358" s="1"/>
      <c r="Z358" s="1"/>
    </row>
    <row r="359" spans="1:26" ht="24.75" customHeight="1">
      <c r="A359" s="1"/>
      <c r="B359" s="1"/>
      <c r="C359" s="1"/>
      <c r="D359" s="1"/>
      <c r="E359" s="1"/>
      <c r="F359" s="1"/>
      <c r="G359" s="1"/>
      <c r="H359" s="1"/>
      <c r="I359" s="1"/>
      <c r="J359" s="1"/>
      <c r="K359" s="1"/>
      <c r="L359" s="1"/>
      <c r="M359" s="1"/>
      <c r="N359" s="1"/>
      <c r="O359" s="1"/>
      <c r="P359" s="1"/>
      <c r="Q359" s="1"/>
      <c r="R359" s="1"/>
      <c r="S359" s="1"/>
      <c r="T359" s="1"/>
      <c r="U359" s="2"/>
      <c r="V359" s="1"/>
      <c r="W359" s="1"/>
      <c r="X359" s="1"/>
      <c r="Y359" s="1"/>
      <c r="Z359" s="1"/>
    </row>
    <row r="360" spans="1:26" ht="24.75" customHeight="1">
      <c r="A360" s="1"/>
      <c r="B360" s="1"/>
      <c r="C360" s="1"/>
      <c r="D360" s="1"/>
      <c r="E360" s="1"/>
      <c r="F360" s="1"/>
      <c r="G360" s="1"/>
      <c r="H360" s="1"/>
      <c r="I360" s="1"/>
      <c r="J360" s="1"/>
      <c r="K360" s="1"/>
      <c r="L360" s="1"/>
      <c r="M360" s="1"/>
      <c r="N360" s="1"/>
      <c r="O360" s="1"/>
      <c r="P360" s="1"/>
      <c r="Q360" s="1"/>
      <c r="R360" s="1"/>
      <c r="S360" s="1"/>
      <c r="T360" s="1"/>
      <c r="U360" s="2"/>
      <c r="V360" s="1"/>
      <c r="W360" s="1"/>
      <c r="X360" s="1"/>
      <c r="Y360" s="1"/>
      <c r="Z360" s="1"/>
    </row>
    <row r="361" spans="1:26" ht="24.75" customHeight="1">
      <c r="A361" s="1"/>
      <c r="B361" s="1"/>
      <c r="C361" s="1"/>
      <c r="D361" s="1"/>
      <c r="E361" s="1"/>
      <c r="F361" s="1"/>
      <c r="G361" s="1"/>
      <c r="H361" s="1"/>
      <c r="I361" s="1"/>
      <c r="J361" s="1"/>
      <c r="K361" s="1"/>
      <c r="L361" s="1"/>
      <c r="M361" s="1"/>
      <c r="N361" s="1"/>
      <c r="O361" s="1"/>
      <c r="P361" s="1"/>
      <c r="Q361" s="1"/>
      <c r="R361" s="1"/>
      <c r="S361" s="1"/>
      <c r="T361" s="1"/>
      <c r="U361" s="2"/>
      <c r="V361" s="1"/>
      <c r="W361" s="1"/>
      <c r="X361" s="1"/>
      <c r="Y361" s="1"/>
      <c r="Z361" s="1"/>
    </row>
    <row r="362" spans="1:26" ht="24.75" customHeight="1">
      <c r="A362" s="1"/>
      <c r="B362" s="1"/>
      <c r="C362" s="1"/>
      <c r="D362" s="1"/>
      <c r="E362" s="1"/>
      <c r="F362" s="1"/>
      <c r="G362" s="1"/>
      <c r="H362" s="1"/>
      <c r="I362" s="1"/>
      <c r="J362" s="1"/>
      <c r="K362" s="1"/>
      <c r="L362" s="1"/>
      <c r="M362" s="1"/>
      <c r="N362" s="1"/>
      <c r="O362" s="1"/>
      <c r="P362" s="1"/>
      <c r="Q362" s="1"/>
      <c r="R362" s="1"/>
      <c r="S362" s="1"/>
      <c r="T362" s="1"/>
      <c r="U362" s="2"/>
      <c r="V362" s="1"/>
      <c r="W362" s="1"/>
      <c r="X362" s="1"/>
      <c r="Y362" s="1"/>
      <c r="Z362" s="1"/>
    </row>
    <row r="363" spans="1:26" ht="24.75" customHeight="1">
      <c r="A363" s="1"/>
      <c r="B363" s="1"/>
      <c r="C363" s="1"/>
      <c r="D363" s="1"/>
      <c r="E363" s="1"/>
      <c r="F363" s="1"/>
      <c r="G363" s="1"/>
      <c r="H363" s="1"/>
      <c r="I363" s="1"/>
      <c r="J363" s="1"/>
      <c r="K363" s="1"/>
      <c r="L363" s="1"/>
      <c r="M363" s="1"/>
      <c r="N363" s="1"/>
      <c r="O363" s="1"/>
      <c r="P363" s="1"/>
      <c r="Q363" s="1"/>
      <c r="R363" s="1"/>
      <c r="S363" s="1"/>
      <c r="T363" s="1"/>
      <c r="U363" s="2"/>
      <c r="V363" s="1"/>
      <c r="W363" s="1"/>
      <c r="X363" s="1"/>
      <c r="Y363" s="1"/>
      <c r="Z363" s="1"/>
    </row>
    <row r="364" spans="1:26" ht="24.75" customHeight="1">
      <c r="A364" s="1"/>
      <c r="B364" s="1"/>
      <c r="C364" s="1"/>
      <c r="D364" s="1"/>
      <c r="E364" s="1"/>
      <c r="F364" s="1"/>
      <c r="G364" s="1"/>
      <c r="H364" s="1"/>
      <c r="I364" s="1"/>
      <c r="J364" s="1"/>
      <c r="K364" s="1"/>
      <c r="L364" s="1"/>
      <c r="M364" s="1"/>
      <c r="N364" s="1"/>
      <c r="O364" s="1"/>
      <c r="P364" s="1"/>
      <c r="Q364" s="1"/>
      <c r="R364" s="1"/>
      <c r="S364" s="1"/>
      <c r="T364" s="1"/>
      <c r="U364" s="2"/>
      <c r="V364" s="1"/>
      <c r="W364" s="1"/>
      <c r="X364" s="1"/>
      <c r="Y364" s="1"/>
      <c r="Z364" s="1"/>
    </row>
    <row r="365" spans="1:26" ht="24.75" customHeight="1">
      <c r="A365" s="1"/>
      <c r="B365" s="1"/>
      <c r="C365" s="1"/>
      <c r="D365" s="1"/>
      <c r="E365" s="1"/>
      <c r="F365" s="1"/>
      <c r="G365" s="1"/>
      <c r="H365" s="1"/>
      <c r="I365" s="1"/>
      <c r="J365" s="1"/>
      <c r="K365" s="1"/>
      <c r="L365" s="1"/>
      <c r="M365" s="1"/>
      <c r="N365" s="1"/>
      <c r="O365" s="1"/>
      <c r="P365" s="1"/>
      <c r="Q365" s="1"/>
      <c r="R365" s="1"/>
      <c r="S365" s="1"/>
      <c r="T365" s="1"/>
      <c r="U365" s="2"/>
      <c r="V365" s="1"/>
      <c r="W365" s="1"/>
      <c r="X365" s="1"/>
      <c r="Y365" s="1"/>
      <c r="Z365" s="1"/>
    </row>
    <row r="366" spans="1:26" ht="24.75" customHeight="1">
      <c r="A366" s="1"/>
      <c r="B366" s="1"/>
      <c r="C366" s="1"/>
      <c r="D366" s="1"/>
      <c r="E366" s="1"/>
      <c r="F366" s="1"/>
      <c r="G366" s="1"/>
      <c r="H366" s="1"/>
      <c r="I366" s="1"/>
      <c r="J366" s="1"/>
      <c r="K366" s="1"/>
      <c r="L366" s="1"/>
      <c r="M366" s="1"/>
      <c r="N366" s="1"/>
      <c r="O366" s="1"/>
      <c r="P366" s="1"/>
      <c r="Q366" s="1"/>
      <c r="R366" s="1"/>
      <c r="S366" s="1"/>
      <c r="T366" s="1"/>
      <c r="U366" s="2"/>
      <c r="V366" s="1"/>
      <c r="W366" s="1"/>
      <c r="X366" s="1"/>
      <c r="Y366" s="1"/>
      <c r="Z366" s="1"/>
    </row>
    <row r="367" spans="1:26" ht="24.75" customHeight="1">
      <c r="A367" s="1"/>
      <c r="B367" s="1"/>
      <c r="C367" s="1"/>
      <c r="D367" s="1"/>
      <c r="E367" s="1"/>
      <c r="F367" s="1"/>
      <c r="G367" s="1"/>
      <c r="H367" s="1"/>
      <c r="I367" s="1"/>
      <c r="J367" s="1"/>
      <c r="K367" s="1"/>
      <c r="L367" s="1"/>
      <c r="M367" s="1"/>
      <c r="N367" s="1"/>
      <c r="O367" s="1"/>
      <c r="P367" s="1"/>
      <c r="Q367" s="1"/>
      <c r="R367" s="1"/>
      <c r="S367" s="1"/>
      <c r="T367" s="1"/>
      <c r="U367" s="2"/>
      <c r="V367" s="1"/>
      <c r="W367" s="1"/>
      <c r="X367" s="1"/>
      <c r="Y367" s="1"/>
      <c r="Z367" s="1"/>
    </row>
    <row r="368" spans="1:26" ht="24.75" customHeight="1">
      <c r="A368" s="1"/>
      <c r="B368" s="1"/>
      <c r="C368" s="1"/>
      <c r="D368" s="1"/>
      <c r="E368" s="1"/>
      <c r="F368" s="1"/>
      <c r="G368" s="1"/>
      <c r="H368" s="1"/>
      <c r="I368" s="1"/>
      <c r="J368" s="1"/>
      <c r="K368" s="1"/>
      <c r="L368" s="1"/>
      <c r="M368" s="1"/>
      <c r="N368" s="1"/>
      <c r="O368" s="1"/>
      <c r="P368" s="1"/>
      <c r="Q368" s="1"/>
      <c r="R368" s="1"/>
      <c r="S368" s="1"/>
      <c r="T368" s="1"/>
      <c r="U368" s="2"/>
      <c r="V368" s="1"/>
      <c r="W368" s="1"/>
      <c r="X368" s="1"/>
      <c r="Y368" s="1"/>
      <c r="Z368" s="1"/>
    </row>
    <row r="369" spans="1:26" ht="24.75" customHeight="1">
      <c r="A369" s="1"/>
      <c r="B369" s="1"/>
      <c r="C369" s="1"/>
      <c r="D369" s="1"/>
      <c r="E369" s="1"/>
      <c r="F369" s="1"/>
      <c r="G369" s="1"/>
      <c r="H369" s="1"/>
      <c r="I369" s="1"/>
      <c r="J369" s="1"/>
      <c r="K369" s="1"/>
      <c r="L369" s="1"/>
      <c r="M369" s="1"/>
      <c r="N369" s="1"/>
      <c r="O369" s="1"/>
      <c r="P369" s="1"/>
      <c r="Q369" s="1"/>
      <c r="R369" s="1"/>
      <c r="S369" s="1"/>
      <c r="T369" s="1"/>
      <c r="U369" s="2"/>
      <c r="V369" s="1"/>
      <c r="W369" s="1"/>
      <c r="X369" s="1"/>
      <c r="Y369" s="1"/>
      <c r="Z369" s="1"/>
    </row>
    <row r="370" spans="1:26" ht="24.75" customHeight="1">
      <c r="A370" s="1"/>
      <c r="B370" s="1"/>
      <c r="C370" s="1"/>
      <c r="D370" s="1"/>
      <c r="E370" s="1"/>
      <c r="F370" s="1"/>
      <c r="G370" s="1"/>
      <c r="H370" s="1"/>
      <c r="I370" s="1"/>
      <c r="J370" s="1"/>
      <c r="K370" s="1"/>
      <c r="L370" s="1"/>
      <c r="M370" s="1"/>
      <c r="N370" s="1"/>
      <c r="O370" s="1"/>
      <c r="P370" s="1"/>
      <c r="Q370" s="1"/>
      <c r="R370" s="1"/>
      <c r="S370" s="1"/>
      <c r="T370" s="1"/>
      <c r="U370" s="2"/>
      <c r="V370" s="1"/>
      <c r="W370" s="1"/>
      <c r="X370" s="1"/>
      <c r="Y370" s="1"/>
      <c r="Z370" s="1"/>
    </row>
    <row r="371" spans="1:26" ht="24.75" customHeight="1">
      <c r="A371" s="1"/>
      <c r="B371" s="1"/>
      <c r="C371" s="1"/>
      <c r="D371" s="1"/>
      <c r="E371" s="1"/>
      <c r="F371" s="1"/>
      <c r="G371" s="1"/>
      <c r="H371" s="1"/>
      <c r="I371" s="1"/>
      <c r="J371" s="1"/>
      <c r="K371" s="1"/>
      <c r="L371" s="1"/>
      <c r="M371" s="1"/>
      <c r="N371" s="1"/>
      <c r="O371" s="1"/>
      <c r="P371" s="1"/>
      <c r="Q371" s="1"/>
      <c r="R371" s="1"/>
      <c r="S371" s="1"/>
      <c r="T371" s="1"/>
      <c r="U371" s="2"/>
      <c r="V371" s="1"/>
      <c r="W371" s="1"/>
      <c r="X371" s="1"/>
      <c r="Y371" s="1"/>
      <c r="Z371" s="1"/>
    </row>
    <row r="372" spans="1:26" ht="24.75" customHeight="1">
      <c r="A372" s="1"/>
      <c r="B372" s="1"/>
      <c r="C372" s="1"/>
      <c r="D372" s="1"/>
      <c r="E372" s="1"/>
      <c r="F372" s="1"/>
      <c r="G372" s="1"/>
      <c r="H372" s="1"/>
      <c r="I372" s="1"/>
      <c r="J372" s="1"/>
      <c r="K372" s="1"/>
      <c r="L372" s="1"/>
      <c r="M372" s="1"/>
      <c r="N372" s="1"/>
      <c r="O372" s="1"/>
      <c r="P372" s="1"/>
      <c r="Q372" s="1"/>
      <c r="R372" s="1"/>
      <c r="S372" s="1"/>
      <c r="T372" s="1"/>
      <c r="U372" s="2"/>
      <c r="V372" s="1"/>
      <c r="W372" s="1"/>
      <c r="X372" s="1"/>
      <c r="Y372" s="1"/>
      <c r="Z372" s="1"/>
    </row>
    <row r="373" spans="1:26" ht="24.75" customHeight="1">
      <c r="A373" s="1"/>
      <c r="B373" s="1"/>
      <c r="C373" s="1"/>
      <c r="D373" s="1"/>
      <c r="E373" s="1"/>
      <c r="F373" s="1"/>
      <c r="G373" s="1"/>
      <c r="H373" s="1"/>
      <c r="I373" s="1"/>
      <c r="J373" s="1"/>
      <c r="K373" s="1"/>
      <c r="L373" s="1"/>
      <c r="M373" s="1"/>
      <c r="N373" s="1"/>
      <c r="O373" s="1"/>
      <c r="P373" s="1"/>
      <c r="Q373" s="1"/>
      <c r="R373" s="1"/>
      <c r="S373" s="1"/>
      <c r="T373" s="1"/>
      <c r="U373" s="2"/>
      <c r="V373" s="1"/>
      <c r="W373" s="1"/>
      <c r="X373" s="1"/>
      <c r="Y373" s="1"/>
      <c r="Z373" s="1"/>
    </row>
    <row r="374" spans="1:26" ht="24.75" customHeight="1">
      <c r="A374" s="1"/>
      <c r="B374" s="1"/>
      <c r="C374" s="1"/>
      <c r="D374" s="1"/>
      <c r="E374" s="1"/>
      <c r="F374" s="1"/>
      <c r="G374" s="1"/>
      <c r="H374" s="1"/>
      <c r="I374" s="1"/>
      <c r="J374" s="1"/>
      <c r="K374" s="1"/>
      <c r="L374" s="1"/>
      <c r="M374" s="1"/>
      <c r="N374" s="1"/>
      <c r="O374" s="1"/>
      <c r="P374" s="1"/>
      <c r="Q374" s="1"/>
      <c r="R374" s="1"/>
      <c r="S374" s="1"/>
      <c r="T374" s="1"/>
      <c r="U374" s="2"/>
      <c r="V374" s="1"/>
      <c r="W374" s="1"/>
      <c r="X374" s="1"/>
      <c r="Y374" s="1"/>
      <c r="Z374" s="1"/>
    </row>
    <row r="375" spans="1:26" ht="24.75" customHeight="1">
      <c r="A375" s="1"/>
      <c r="B375" s="1"/>
      <c r="C375" s="1"/>
      <c r="D375" s="1"/>
      <c r="E375" s="1"/>
      <c r="F375" s="1"/>
      <c r="G375" s="1"/>
      <c r="H375" s="1"/>
      <c r="I375" s="1"/>
      <c r="J375" s="1"/>
      <c r="K375" s="1"/>
      <c r="L375" s="1"/>
      <c r="M375" s="1"/>
      <c r="N375" s="1"/>
      <c r="O375" s="1"/>
      <c r="P375" s="1"/>
      <c r="Q375" s="1"/>
      <c r="R375" s="1"/>
      <c r="S375" s="1"/>
      <c r="T375" s="1"/>
      <c r="U375" s="2"/>
      <c r="V375" s="1"/>
      <c r="W375" s="1"/>
      <c r="X375" s="1"/>
      <c r="Y375" s="1"/>
      <c r="Z375" s="1"/>
    </row>
    <row r="376" spans="1:26" ht="24.75" customHeight="1">
      <c r="A376" s="1"/>
      <c r="B376" s="1"/>
      <c r="C376" s="1"/>
      <c r="D376" s="1"/>
      <c r="E376" s="1"/>
      <c r="F376" s="1"/>
      <c r="G376" s="1"/>
      <c r="H376" s="1"/>
      <c r="I376" s="1"/>
      <c r="J376" s="1"/>
      <c r="K376" s="1"/>
      <c r="L376" s="1"/>
      <c r="M376" s="1"/>
      <c r="N376" s="1"/>
      <c r="O376" s="1"/>
      <c r="P376" s="1"/>
      <c r="Q376" s="1"/>
      <c r="R376" s="1"/>
      <c r="S376" s="1"/>
      <c r="T376" s="1"/>
      <c r="U376" s="2"/>
      <c r="V376" s="1"/>
      <c r="W376" s="1"/>
      <c r="X376" s="1"/>
      <c r="Y376" s="1"/>
      <c r="Z376" s="1"/>
    </row>
    <row r="377" spans="1:26" ht="24.75" customHeight="1">
      <c r="A377" s="1"/>
      <c r="B377" s="1"/>
      <c r="C377" s="1"/>
      <c r="D377" s="1"/>
      <c r="E377" s="1"/>
      <c r="F377" s="1"/>
      <c r="G377" s="1"/>
      <c r="H377" s="1"/>
      <c r="I377" s="1"/>
      <c r="J377" s="1"/>
      <c r="K377" s="1"/>
      <c r="L377" s="1"/>
      <c r="M377" s="1"/>
      <c r="N377" s="1"/>
      <c r="O377" s="1"/>
      <c r="P377" s="1"/>
      <c r="Q377" s="1"/>
      <c r="R377" s="1"/>
      <c r="S377" s="1"/>
      <c r="T377" s="1"/>
      <c r="U377" s="2"/>
      <c r="V377" s="1"/>
      <c r="W377" s="1"/>
      <c r="X377" s="1"/>
      <c r="Y377" s="1"/>
      <c r="Z377" s="1"/>
    </row>
    <row r="378" spans="1:26" ht="24.75" customHeight="1">
      <c r="A378" s="1"/>
      <c r="B378" s="1"/>
      <c r="C378" s="1"/>
      <c r="D378" s="1"/>
      <c r="E378" s="1"/>
      <c r="F378" s="1"/>
      <c r="G378" s="1"/>
      <c r="H378" s="1"/>
      <c r="I378" s="1"/>
      <c r="J378" s="1"/>
      <c r="K378" s="1"/>
      <c r="L378" s="1"/>
      <c r="M378" s="1"/>
      <c r="N378" s="1"/>
      <c r="O378" s="1"/>
      <c r="P378" s="1"/>
      <c r="Q378" s="1"/>
      <c r="R378" s="1"/>
      <c r="S378" s="1"/>
      <c r="T378" s="1"/>
      <c r="U378" s="2"/>
      <c r="V378" s="1"/>
      <c r="W378" s="1"/>
      <c r="X378" s="1"/>
      <c r="Y378" s="1"/>
      <c r="Z378" s="1"/>
    </row>
    <row r="379" spans="1:26" ht="24.75" customHeight="1">
      <c r="A379" s="1"/>
      <c r="B379" s="1"/>
      <c r="C379" s="1"/>
      <c r="D379" s="1"/>
      <c r="E379" s="1"/>
      <c r="F379" s="1"/>
      <c r="G379" s="1"/>
      <c r="H379" s="1"/>
      <c r="I379" s="1"/>
      <c r="J379" s="1"/>
      <c r="K379" s="1"/>
      <c r="L379" s="1"/>
      <c r="M379" s="1"/>
      <c r="N379" s="1"/>
      <c r="O379" s="1"/>
      <c r="P379" s="1"/>
      <c r="Q379" s="1"/>
      <c r="R379" s="1"/>
      <c r="S379" s="1"/>
      <c r="T379" s="1"/>
      <c r="U379" s="2"/>
      <c r="V379" s="1"/>
      <c r="W379" s="1"/>
      <c r="X379" s="1"/>
      <c r="Y379" s="1"/>
      <c r="Z379" s="1"/>
    </row>
    <row r="380" spans="1:26" ht="24.75" customHeight="1">
      <c r="A380" s="1"/>
      <c r="B380" s="1"/>
      <c r="C380" s="1"/>
      <c r="D380" s="1"/>
      <c r="E380" s="1"/>
      <c r="F380" s="1"/>
      <c r="G380" s="1"/>
      <c r="H380" s="1"/>
      <c r="I380" s="1"/>
      <c r="J380" s="1"/>
      <c r="K380" s="1"/>
      <c r="L380" s="1"/>
      <c r="M380" s="1"/>
      <c r="N380" s="1"/>
      <c r="O380" s="1"/>
      <c r="P380" s="1"/>
      <c r="Q380" s="1"/>
      <c r="R380" s="1"/>
      <c r="S380" s="1"/>
      <c r="T380" s="1"/>
      <c r="U380" s="2"/>
      <c r="V380" s="1"/>
      <c r="W380" s="1"/>
      <c r="X380" s="1"/>
      <c r="Y380" s="1"/>
      <c r="Z380" s="1"/>
    </row>
    <row r="381" spans="1:26" ht="24.75" customHeight="1">
      <c r="A381" s="1"/>
      <c r="B381" s="1"/>
      <c r="C381" s="1"/>
      <c r="D381" s="1"/>
      <c r="E381" s="1"/>
      <c r="F381" s="1"/>
      <c r="G381" s="1"/>
      <c r="H381" s="1"/>
      <c r="I381" s="1"/>
      <c r="J381" s="1"/>
      <c r="K381" s="1"/>
      <c r="L381" s="1"/>
      <c r="M381" s="1"/>
      <c r="N381" s="1"/>
      <c r="O381" s="1"/>
      <c r="P381" s="1"/>
      <c r="Q381" s="1"/>
      <c r="R381" s="1"/>
      <c r="S381" s="1"/>
      <c r="T381" s="1"/>
      <c r="U381" s="2"/>
      <c r="V381" s="1"/>
      <c r="W381" s="1"/>
      <c r="X381" s="1"/>
      <c r="Y381" s="1"/>
      <c r="Z381" s="1"/>
    </row>
    <row r="382" spans="1:26" ht="24.75" customHeight="1">
      <c r="A382" s="1"/>
      <c r="B382" s="1"/>
      <c r="C382" s="1"/>
      <c r="D382" s="1"/>
      <c r="E382" s="1"/>
      <c r="F382" s="1"/>
      <c r="G382" s="1"/>
      <c r="H382" s="1"/>
      <c r="I382" s="1"/>
      <c r="J382" s="1"/>
      <c r="K382" s="1"/>
      <c r="L382" s="1"/>
      <c r="M382" s="1"/>
      <c r="N382" s="1"/>
      <c r="O382" s="1"/>
      <c r="P382" s="1"/>
      <c r="Q382" s="1"/>
      <c r="R382" s="1"/>
      <c r="S382" s="1"/>
      <c r="T382" s="1"/>
      <c r="U382" s="2"/>
      <c r="V382" s="1"/>
      <c r="W382" s="1"/>
      <c r="X382" s="1"/>
      <c r="Y382" s="1"/>
      <c r="Z382" s="1"/>
    </row>
    <row r="383" spans="1:26" ht="24.75" customHeight="1">
      <c r="A383" s="1"/>
      <c r="B383" s="1"/>
      <c r="C383" s="1"/>
      <c r="D383" s="1"/>
      <c r="E383" s="1"/>
      <c r="F383" s="1"/>
      <c r="G383" s="1"/>
      <c r="H383" s="1"/>
      <c r="I383" s="1"/>
      <c r="J383" s="1"/>
      <c r="K383" s="1"/>
      <c r="L383" s="1"/>
      <c r="M383" s="1"/>
      <c r="N383" s="1"/>
      <c r="O383" s="1"/>
      <c r="P383" s="1"/>
      <c r="Q383" s="1"/>
      <c r="R383" s="1"/>
      <c r="S383" s="1"/>
      <c r="T383" s="1"/>
      <c r="U383" s="2"/>
      <c r="V383" s="1"/>
      <c r="W383" s="1"/>
      <c r="X383" s="1"/>
      <c r="Y383" s="1"/>
      <c r="Z383" s="1"/>
    </row>
    <row r="384" spans="1:26" ht="24.75" customHeight="1">
      <c r="A384" s="1"/>
      <c r="B384" s="1"/>
      <c r="C384" s="1"/>
      <c r="D384" s="1"/>
      <c r="E384" s="1"/>
      <c r="F384" s="1"/>
      <c r="G384" s="1"/>
      <c r="H384" s="1"/>
      <c r="I384" s="1"/>
      <c r="J384" s="1"/>
      <c r="K384" s="1"/>
      <c r="L384" s="1"/>
      <c r="M384" s="1"/>
      <c r="N384" s="1"/>
      <c r="O384" s="1"/>
      <c r="P384" s="1"/>
      <c r="Q384" s="1"/>
      <c r="R384" s="1"/>
      <c r="S384" s="1"/>
      <c r="T384" s="1"/>
      <c r="U384" s="2"/>
      <c r="V384" s="1"/>
      <c r="W384" s="1"/>
      <c r="X384" s="1"/>
      <c r="Y384" s="1"/>
      <c r="Z384" s="1"/>
    </row>
    <row r="385" spans="1:26" ht="24.75" customHeight="1">
      <c r="A385" s="1"/>
      <c r="B385" s="1"/>
      <c r="C385" s="1"/>
      <c r="D385" s="1"/>
      <c r="E385" s="1"/>
      <c r="F385" s="1"/>
      <c r="G385" s="1"/>
      <c r="H385" s="1"/>
      <c r="I385" s="1"/>
      <c r="J385" s="1"/>
      <c r="K385" s="1"/>
      <c r="L385" s="1"/>
      <c r="M385" s="1"/>
      <c r="N385" s="1"/>
      <c r="O385" s="1"/>
      <c r="P385" s="1"/>
      <c r="Q385" s="1"/>
      <c r="R385" s="1"/>
      <c r="S385" s="1"/>
      <c r="T385" s="1"/>
      <c r="U385" s="2"/>
      <c r="V385" s="1"/>
      <c r="W385" s="1"/>
      <c r="X385" s="1"/>
      <c r="Y385" s="1"/>
      <c r="Z385" s="1"/>
    </row>
    <row r="386" spans="1:26" ht="24.75" customHeight="1">
      <c r="A386" s="1"/>
      <c r="B386" s="1"/>
      <c r="C386" s="1"/>
      <c r="D386" s="1"/>
      <c r="E386" s="1"/>
      <c r="F386" s="1"/>
      <c r="G386" s="1"/>
      <c r="H386" s="1"/>
      <c r="I386" s="1"/>
      <c r="J386" s="1"/>
      <c r="K386" s="1"/>
      <c r="L386" s="1"/>
      <c r="M386" s="1"/>
      <c r="N386" s="1"/>
      <c r="O386" s="1"/>
      <c r="P386" s="1"/>
      <c r="Q386" s="1"/>
      <c r="R386" s="1"/>
      <c r="S386" s="1"/>
      <c r="T386" s="1"/>
      <c r="U386" s="2"/>
      <c r="V386" s="1"/>
      <c r="W386" s="1"/>
      <c r="X386" s="1"/>
      <c r="Y386" s="1"/>
      <c r="Z386" s="1"/>
    </row>
    <row r="387" spans="1:26" ht="24.75" customHeight="1">
      <c r="A387" s="1"/>
      <c r="B387" s="1"/>
      <c r="C387" s="1"/>
      <c r="D387" s="1"/>
      <c r="E387" s="1"/>
      <c r="F387" s="1"/>
      <c r="G387" s="1"/>
      <c r="H387" s="1"/>
      <c r="I387" s="1"/>
      <c r="J387" s="1"/>
      <c r="K387" s="1"/>
      <c r="L387" s="1"/>
      <c r="M387" s="1"/>
      <c r="N387" s="1"/>
      <c r="O387" s="1"/>
      <c r="P387" s="1"/>
      <c r="Q387" s="1"/>
      <c r="R387" s="1"/>
      <c r="S387" s="1"/>
      <c r="T387" s="1"/>
      <c r="U387" s="2"/>
      <c r="V387" s="1"/>
      <c r="W387" s="1"/>
      <c r="X387" s="1"/>
      <c r="Y387" s="1"/>
      <c r="Z387" s="1"/>
    </row>
    <row r="388" spans="1:26" ht="24.75" customHeight="1">
      <c r="A388" s="1"/>
      <c r="B388" s="1"/>
      <c r="C388" s="1"/>
      <c r="D388" s="1"/>
      <c r="E388" s="1"/>
      <c r="F388" s="1"/>
      <c r="G388" s="1"/>
      <c r="H388" s="1"/>
      <c r="I388" s="1"/>
      <c r="J388" s="1"/>
      <c r="K388" s="1"/>
      <c r="L388" s="1"/>
      <c r="M388" s="1"/>
      <c r="N388" s="1"/>
      <c r="O388" s="1"/>
      <c r="P388" s="1"/>
      <c r="Q388" s="1"/>
      <c r="R388" s="1"/>
      <c r="S388" s="1"/>
      <c r="T388" s="1"/>
      <c r="U388" s="2"/>
      <c r="V388" s="1"/>
      <c r="W388" s="1"/>
      <c r="X388" s="1"/>
      <c r="Y388" s="1"/>
      <c r="Z388" s="1"/>
    </row>
    <row r="389" spans="1:26" ht="24.75" customHeight="1">
      <c r="A389" s="1"/>
      <c r="B389" s="1"/>
      <c r="C389" s="1"/>
      <c r="D389" s="1"/>
      <c r="E389" s="1"/>
      <c r="F389" s="1"/>
      <c r="G389" s="1"/>
      <c r="H389" s="1"/>
      <c r="I389" s="1"/>
      <c r="J389" s="1"/>
      <c r="K389" s="1"/>
      <c r="L389" s="1"/>
      <c r="M389" s="1"/>
      <c r="N389" s="1"/>
      <c r="O389" s="1"/>
      <c r="P389" s="1"/>
      <c r="Q389" s="1"/>
      <c r="R389" s="1"/>
      <c r="S389" s="1"/>
      <c r="T389" s="1"/>
      <c r="U389" s="2"/>
      <c r="V389" s="1"/>
      <c r="W389" s="1"/>
      <c r="X389" s="1"/>
      <c r="Y389" s="1"/>
      <c r="Z389" s="1"/>
    </row>
    <row r="390" spans="1:26" ht="24.75" customHeight="1">
      <c r="A390" s="1"/>
      <c r="B390" s="1"/>
      <c r="C390" s="1"/>
      <c r="D390" s="1"/>
      <c r="E390" s="1"/>
      <c r="F390" s="1"/>
      <c r="G390" s="1"/>
      <c r="H390" s="1"/>
      <c r="I390" s="1"/>
      <c r="J390" s="1"/>
      <c r="K390" s="1"/>
      <c r="L390" s="1"/>
      <c r="M390" s="1"/>
      <c r="N390" s="1"/>
      <c r="O390" s="1"/>
      <c r="P390" s="1"/>
      <c r="Q390" s="1"/>
      <c r="R390" s="1"/>
      <c r="S390" s="1"/>
      <c r="T390" s="1"/>
      <c r="U390" s="2"/>
      <c r="V390" s="1"/>
      <c r="W390" s="1"/>
      <c r="X390" s="1"/>
      <c r="Y390" s="1"/>
      <c r="Z390" s="1"/>
    </row>
    <row r="391" spans="1:26" ht="24.75" customHeight="1">
      <c r="A391" s="1"/>
      <c r="B391" s="1"/>
      <c r="C391" s="1"/>
      <c r="D391" s="1"/>
      <c r="E391" s="1"/>
      <c r="F391" s="1"/>
      <c r="G391" s="1"/>
      <c r="H391" s="1"/>
      <c r="I391" s="1"/>
      <c r="J391" s="1"/>
      <c r="K391" s="1"/>
      <c r="L391" s="1"/>
      <c r="M391" s="1"/>
      <c r="N391" s="1"/>
      <c r="O391" s="1"/>
      <c r="P391" s="1"/>
      <c r="Q391" s="1"/>
      <c r="R391" s="1"/>
      <c r="S391" s="1"/>
      <c r="T391" s="1"/>
      <c r="U391" s="2"/>
      <c r="V391" s="1"/>
      <c r="W391" s="1"/>
      <c r="X391" s="1"/>
      <c r="Y391" s="1"/>
      <c r="Z391" s="1"/>
    </row>
    <row r="392" spans="1:26" ht="24.75" customHeight="1">
      <c r="A392" s="1"/>
      <c r="B392" s="1"/>
      <c r="C392" s="1"/>
      <c r="D392" s="1"/>
      <c r="E392" s="1"/>
      <c r="F392" s="1"/>
      <c r="G392" s="1"/>
      <c r="H392" s="1"/>
      <c r="I392" s="1"/>
      <c r="J392" s="1"/>
      <c r="K392" s="1"/>
      <c r="L392" s="1"/>
      <c r="M392" s="1"/>
      <c r="N392" s="1"/>
      <c r="O392" s="1"/>
      <c r="P392" s="1"/>
      <c r="Q392" s="1"/>
      <c r="R392" s="1"/>
      <c r="S392" s="1"/>
      <c r="T392" s="1"/>
      <c r="U392" s="2"/>
      <c r="V392" s="1"/>
      <c r="W392" s="1"/>
      <c r="X392" s="1"/>
      <c r="Y392" s="1"/>
      <c r="Z392" s="1"/>
    </row>
    <row r="393" spans="1:26" ht="24.75" customHeight="1">
      <c r="A393" s="1"/>
      <c r="B393" s="1"/>
      <c r="C393" s="1"/>
      <c r="D393" s="1"/>
      <c r="E393" s="1"/>
      <c r="F393" s="1"/>
      <c r="G393" s="1"/>
      <c r="H393" s="1"/>
      <c r="I393" s="1"/>
      <c r="J393" s="1"/>
      <c r="K393" s="1"/>
      <c r="L393" s="1"/>
      <c r="M393" s="1"/>
      <c r="N393" s="1"/>
      <c r="O393" s="1"/>
      <c r="P393" s="1"/>
      <c r="Q393" s="1"/>
      <c r="R393" s="1"/>
      <c r="S393" s="1"/>
      <c r="T393" s="1"/>
      <c r="U393" s="2"/>
      <c r="V393" s="1"/>
      <c r="W393" s="1"/>
      <c r="X393" s="1"/>
      <c r="Y393" s="1"/>
      <c r="Z393" s="1"/>
    </row>
    <row r="394" spans="1:26" ht="24.75" customHeight="1">
      <c r="A394" s="1"/>
      <c r="B394" s="1"/>
      <c r="C394" s="1"/>
      <c r="D394" s="1"/>
      <c r="E394" s="1"/>
      <c r="F394" s="1"/>
      <c r="G394" s="1"/>
      <c r="H394" s="1"/>
      <c r="I394" s="1"/>
      <c r="J394" s="1"/>
      <c r="K394" s="1"/>
      <c r="L394" s="1"/>
      <c r="M394" s="1"/>
      <c r="N394" s="1"/>
      <c r="O394" s="1"/>
      <c r="P394" s="1"/>
      <c r="Q394" s="1"/>
      <c r="R394" s="1"/>
      <c r="S394" s="1"/>
      <c r="T394" s="1"/>
      <c r="U394" s="2"/>
      <c r="V394" s="1"/>
      <c r="W394" s="1"/>
      <c r="X394" s="1"/>
      <c r="Y394" s="1"/>
      <c r="Z394" s="1"/>
    </row>
    <row r="395" spans="1:26" ht="24.75" customHeight="1">
      <c r="A395" s="1"/>
      <c r="B395" s="1"/>
      <c r="C395" s="1"/>
      <c r="D395" s="1"/>
      <c r="E395" s="1"/>
      <c r="F395" s="1"/>
      <c r="G395" s="1"/>
      <c r="H395" s="1"/>
      <c r="I395" s="1"/>
      <c r="J395" s="1"/>
      <c r="K395" s="1"/>
      <c r="L395" s="1"/>
      <c r="M395" s="1"/>
      <c r="N395" s="1"/>
      <c r="O395" s="1"/>
      <c r="P395" s="1"/>
      <c r="Q395" s="1"/>
      <c r="R395" s="1"/>
      <c r="S395" s="1"/>
      <c r="T395" s="1"/>
      <c r="U395" s="2"/>
      <c r="V395" s="1"/>
      <c r="W395" s="1"/>
      <c r="X395" s="1"/>
      <c r="Y395" s="1"/>
      <c r="Z395" s="1"/>
    </row>
    <row r="396" spans="1:26" ht="24.75" customHeight="1">
      <c r="A396" s="1"/>
      <c r="B396" s="1"/>
      <c r="C396" s="1"/>
      <c r="D396" s="1"/>
      <c r="E396" s="1"/>
      <c r="F396" s="1"/>
      <c r="G396" s="1"/>
      <c r="H396" s="1"/>
      <c r="I396" s="1"/>
      <c r="J396" s="1"/>
      <c r="K396" s="1"/>
      <c r="L396" s="1"/>
      <c r="M396" s="1"/>
      <c r="N396" s="1"/>
      <c r="O396" s="1"/>
      <c r="P396" s="1"/>
      <c r="Q396" s="1"/>
      <c r="R396" s="1"/>
      <c r="S396" s="1"/>
      <c r="T396" s="1"/>
      <c r="U396" s="2"/>
      <c r="V396" s="1"/>
      <c r="W396" s="1"/>
      <c r="X396" s="1"/>
      <c r="Y396" s="1"/>
      <c r="Z396" s="1"/>
    </row>
    <row r="397" spans="1:26" ht="24.75" customHeight="1">
      <c r="A397" s="1"/>
      <c r="B397" s="1"/>
      <c r="C397" s="1"/>
      <c r="D397" s="1"/>
      <c r="E397" s="1"/>
      <c r="F397" s="1"/>
      <c r="G397" s="1"/>
      <c r="H397" s="1"/>
      <c r="I397" s="1"/>
      <c r="J397" s="1"/>
      <c r="K397" s="1"/>
      <c r="L397" s="1"/>
      <c r="M397" s="1"/>
      <c r="N397" s="1"/>
      <c r="O397" s="1"/>
      <c r="P397" s="1"/>
      <c r="Q397" s="1"/>
      <c r="R397" s="1"/>
      <c r="S397" s="1"/>
      <c r="T397" s="1"/>
      <c r="U397" s="2"/>
      <c r="V397" s="1"/>
      <c r="W397" s="1"/>
      <c r="X397" s="1"/>
      <c r="Y397" s="1"/>
      <c r="Z397" s="1"/>
    </row>
    <row r="398" spans="1:26" ht="24.75" customHeight="1">
      <c r="A398" s="1"/>
      <c r="B398" s="1"/>
      <c r="C398" s="1"/>
      <c r="D398" s="1"/>
      <c r="E398" s="1"/>
      <c r="F398" s="1"/>
      <c r="G398" s="1"/>
      <c r="H398" s="1"/>
      <c r="I398" s="1"/>
      <c r="J398" s="1"/>
      <c r="K398" s="1"/>
      <c r="L398" s="1"/>
      <c r="M398" s="1"/>
      <c r="N398" s="1"/>
      <c r="O398" s="1"/>
      <c r="P398" s="1"/>
      <c r="Q398" s="1"/>
      <c r="R398" s="1"/>
      <c r="S398" s="1"/>
      <c r="T398" s="1"/>
      <c r="U398" s="2"/>
      <c r="V398" s="1"/>
      <c r="W398" s="1"/>
      <c r="X398" s="1"/>
      <c r="Y398" s="1"/>
      <c r="Z398" s="1"/>
    </row>
    <row r="399" spans="1:26" ht="24.75" customHeight="1">
      <c r="A399" s="1"/>
      <c r="B399" s="1"/>
      <c r="C399" s="1"/>
      <c r="D399" s="1"/>
      <c r="E399" s="1"/>
      <c r="F399" s="1"/>
      <c r="G399" s="1"/>
      <c r="H399" s="1"/>
      <c r="I399" s="1"/>
      <c r="J399" s="1"/>
      <c r="K399" s="1"/>
      <c r="L399" s="1"/>
      <c r="M399" s="1"/>
      <c r="N399" s="1"/>
      <c r="O399" s="1"/>
      <c r="P399" s="1"/>
      <c r="Q399" s="1"/>
      <c r="R399" s="1"/>
      <c r="S399" s="1"/>
      <c r="T399" s="1"/>
      <c r="U399" s="2"/>
      <c r="V399" s="1"/>
      <c r="W399" s="1"/>
      <c r="X399" s="1"/>
      <c r="Y399" s="1"/>
      <c r="Z399" s="1"/>
    </row>
    <row r="400" spans="1:26" ht="24.75" customHeight="1">
      <c r="A400" s="1"/>
      <c r="B400" s="1"/>
      <c r="C400" s="1"/>
      <c r="D400" s="1"/>
      <c r="E400" s="1"/>
      <c r="F400" s="1"/>
      <c r="G400" s="1"/>
      <c r="H400" s="1"/>
      <c r="I400" s="1"/>
      <c r="J400" s="1"/>
      <c r="K400" s="1"/>
      <c r="L400" s="1"/>
      <c r="M400" s="1"/>
      <c r="N400" s="1"/>
      <c r="O400" s="1"/>
      <c r="P400" s="1"/>
      <c r="Q400" s="1"/>
      <c r="R400" s="1"/>
      <c r="S400" s="1"/>
      <c r="T400" s="1"/>
      <c r="U400" s="2"/>
      <c r="V400" s="1"/>
      <c r="W400" s="1"/>
      <c r="X400" s="1"/>
      <c r="Y400" s="1"/>
      <c r="Z400" s="1"/>
    </row>
    <row r="401" spans="1:26" ht="24.75" customHeight="1">
      <c r="A401" s="1"/>
      <c r="B401" s="1"/>
      <c r="C401" s="1"/>
      <c r="D401" s="1"/>
      <c r="E401" s="1"/>
      <c r="F401" s="1"/>
      <c r="G401" s="1"/>
      <c r="H401" s="1"/>
      <c r="I401" s="1"/>
      <c r="J401" s="1"/>
      <c r="K401" s="1"/>
      <c r="L401" s="1"/>
      <c r="M401" s="1"/>
      <c r="N401" s="1"/>
      <c r="O401" s="1"/>
      <c r="P401" s="1"/>
      <c r="Q401" s="1"/>
      <c r="R401" s="1"/>
      <c r="S401" s="1"/>
      <c r="T401" s="1"/>
      <c r="U401" s="2"/>
      <c r="V401" s="1"/>
      <c r="W401" s="1"/>
      <c r="X401" s="1"/>
      <c r="Y401" s="1"/>
      <c r="Z401" s="1"/>
    </row>
    <row r="402" spans="1:26" ht="24.75" customHeight="1">
      <c r="A402" s="1"/>
      <c r="B402" s="1"/>
      <c r="C402" s="1"/>
      <c r="D402" s="1"/>
      <c r="E402" s="1"/>
      <c r="F402" s="1"/>
      <c r="G402" s="1"/>
      <c r="H402" s="1"/>
      <c r="I402" s="1"/>
      <c r="J402" s="1"/>
      <c r="K402" s="1"/>
      <c r="L402" s="1"/>
      <c r="M402" s="1"/>
      <c r="N402" s="1"/>
      <c r="O402" s="1"/>
      <c r="P402" s="1"/>
      <c r="Q402" s="1"/>
      <c r="R402" s="1"/>
      <c r="S402" s="1"/>
      <c r="T402" s="1"/>
      <c r="U402" s="2"/>
      <c r="V402" s="1"/>
      <c r="W402" s="1"/>
      <c r="X402" s="1"/>
      <c r="Y402" s="1"/>
      <c r="Z402" s="1"/>
    </row>
    <row r="403" spans="1:26" ht="24.75" customHeight="1">
      <c r="A403" s="1"/>
      <c r="B403" s="1"/>
      <c r="C403" s="1"/>
      <c r="D403" s="1"/>
      <c r="E403" s="1"/>
      <c r="F403" s="1"/>
      <c r="G403" s="1"/>
      <c r="H403" s="1"/>
      <c r="I403" s="1"/>
      <c r="J403" s="1"/>
      <c r="K403" s="1"/>
      <c r="L403" s="1"/>
      <c r="M403" s="1"/>
      <c r="N403" s="1"/>
      <c r="O403" s="1"/>
      <c r="P403" s="1"/>
      <c r="Q403" s="1"/>
      <c r="R403" s="1"/>
      <c r="S403" s="1"/>
      <c r="T403" s="1"/>
      <c r="U403" s="2"/>
      <c r="V403" s="1"/>
      <c r="W403" s="1"/>
      <c r="X403" s="1"/>
      <c r="Y403" s="1"/>
      <c r="Z403" s="1"/>
    </row>
    <row r="404" spans="1:26" ht="24.75" customHeight="1">
      <c r="A404" s="1"/>
      <c r="B404" s="1"/>
      <c r="C404" s="1"/>
      <c r="D404" s="1"/>
      <c r="E404" s="1"/>
      <c r="F404" s="1"/>
      <c r="G404" s="1"/>
      <c r="H404" s="1"/>
      <c r="I404" s="1"/>
      <c r="J404" s="1"/>
      <c r="K404" s="1"/>
      <c r="L404" s="1"/>
      <c r="M404" s="1"/>
      <c r="N404" s="1"/>
      <c r="O404" s="1"/>
      <c r="P404" s="1"/>
      <c r="Q404" s="1"/>
      <c r="R404" s="1"/>
      <c r="S404" s="1"/>
      <c r="T404" s="1"/>
      <c r="U404" s="2"/>
      <c r="V404" s="1"/>
      <c r="W404" s="1"/>
      <c r="X404" s="1"/>
      <c r="Y404" s="1"/>
      <c r="Z404" s="1"/>
    </row>
    <row r="405" spans="1:26" ht="24.75" customHeight="1">
      <c r="A405" s="1"/>
      <c r="B405" s="1"/>
      <c r="C405" s="1"/>
      <c r="D405" s="1"/>
      <c r="E405" s="1"/>
      <c r="F405" s="1"/>
      <c r="G405" s="1"/>
      <c r="H405" s="1"/>
      <c r="I405" s="1"/>
      <c r="J405" s="1"/>
      <c r="K405" s="1"/>
      <c r="L405" s="1"/>
      <c r="M405" s="1"/>
      <c r="N405" s="1"/>
      <c r="O405" s="1"/>
      <c r="P405" s="1"/>
      <c r="Q405" s="1"/>
      <c r="R405" s="1"/>
      <c r="S405" s="1"/>
      <c r="T405" s="1"/>
      <c r="U405" s="2"/>
      <c r="V405" s="1"/>
      <c r="W405" s="1"/>
      <c r="X405" s="1"/>
      <c r="Y405" s="1"/>
      <c r="Z405" s="1"/>
    </row>
    <row r="406" spans="1:26" ht="24.75" customHeight="1">
      <c r="A406" s="1"/>
      <c r="B406" s="1"/>
      <c r="C406" s="1"/>
      <c r="D406" s="1"/>
      <c r="E406" s="1"/>
      <c r="F406" s="1"/>
      <c r="G406" s="1"/>
      <c r="H406" s="1"/>
      <c r="I406" s="1"/>
      <c r="J406" s="1"/>
      <c r="K406" s="1"/>
      <c r="L406" s="1"/>
      <c r="M406" s="1"/>
      <c r="N406" s="1"/>
      <c r="O406" s="1"/>
      <c r="P406" s="1"/>
      <c r="Q406" s="1"/>
      <c r="R406" s="1"/>
      <c r="S406" s="1"/>
      <c r="T406" s="1"/>
      <c r="U406" s="2"/>
      <c r="V406" s="1"/>
      <c r="W406" s="1"/>
      <c r="X406" s="1"/>
      <c r="Y406" s="1"/>
      <c r="Z406" s="1"/>
    </row>
    <row r="407" spans="1:26" ht="24.75" customHeight="1">
      <c r="A407" s="1"/>
      <c r="B407" s="1"/>
      <c r="C407" s="1"/>
      <c r="D407" s="1"/>
      <c r="E407" s="1"/>
      <c r="F407" s="1"/>
      <c r="G407" s="1"/>
      <c r="H407" s="1"/>
      <c r="I407" s="1"/>
      <c r="J407" s="1"/>
      <c r="K407" s="1"/>
      <c r="L407" s="1"/>
      <c r="M407" s="1"/>
      <c r="N407" s="1"/>
      <c r="O407" s="1"/>
      <c r="P407" s="1"/>
      <c r="Q407" s="1"/>
      <c r="R407" s="1"/>
      <c r="S407" s="1"/>
      <c r="T407" s="1"/>
      <c r="U407" s="2"/>
      <c r="V407" s="1"/>
      <c r="W407" s="1"/>
      <c r="X407" s="1"/>
      <c r="Y407" s="1"/>
      <c r="Z407" s="1"/>
    </row>
    <row r="408" spans="1:26" ht="24.75" customHeight="1">
      <c r="A408" s="1"/>
      <c r="B408" s="1"/>
      <c r="C408" s="1"/>
      <c r="D408" s="1"/>
      <c r="E408" s="1"/>
      <c r="F408" s="1"/>
      <c r="G408" s="1"/>
      <c r="H408" s="1"/>
      <c r="I408" s="1"/>
      <c r="J408" s="1"/>
      <c r="K408" s="1"/>
      <c r="L408" s="1"/>
      <c r="M408" s="1"/>
      <c r="N408" s="1"/>
      <c r="O408" s="1"/>
      <c r="P408" s="1"/>
      <c r="Q408" s="1"/>
      <c r="R408" s="1"/>
      <c r="S408" s="1"/>
      <c r="T408" s="1"/>
      <c r="U408" s="2"/>
      <c r="V408" s="1"/>
      <c r="W408" s="1"/>
      <c r="X408" s="1"/>
      <c r="Y408" s="1"/>
      <c r="Z408" s="1"/>
    </row>
    <row r="409" spans="1:26" ht="24.75" customHeight="1">
      <c r="A409" s="1"/>
      <c r="B409" s="1"/>
      <c r="C409" s="1"/>
      <c r="D409" s="1"/>
      <c r="E409" s="1"/>
      <c r="F409" s="1"/>
      <c r="G409" s="1"/>
      <c r="H409" s="1"/>
      <c r="I409" s="1"/>
      <c r="J409" s="1"/>
      <c r="K409" s="1"/>
      <c r="L409" s="1"/>
      <c r="M409" s="1"/>
      <c r="N409" s="1"/>
      <c r="O409" s="1"/>
      <c r="P409" s="1"/>
      <c r="Q409" s="1"/>
      <c r="R409" s="1"/>
      <c r="S409" s="1"/>
      <c r="T409" s="1"/>
      <c r="U409" s="2"/>
      <c r="V409" s="1"/>
      <c r="W409" s="1"/>
      <c r="X409" s="1"/>
      <c r="Y409" s="1"/>
      <c r="Z409" s="1"/>
    </row>
    <row r="410" spans="1:26" ht="24.75" customHeight="1">
      <c r="A410" s="1"/>
      <c r="B410" s="1"/>
      <c r="C410" s="1"/>
      <c r="D410" s="1"/>
      <c r="E410" s="1"/>
      <c r="F410" s="1"/>
      <c r="G410" s="1"/>
      <c r="H410" s="1"/>
      <c r="I410" s="1"/>
      <c r="J410" s="1"/>
      <c r="K410" s="1"/>
      <c r="L410" s="1"/>
      <c r="M410" s="1"/>
      <c r="N410" s="1"/>
      <c r="O410" s="1"/>
      <c r="P410" s="1"/>
      <c r="Q410" s="1"/>
      <c r="R410" s="1"/>
      <c r="S410" s="1"/>
      <c r="T410" s="1"/>
      <c r="U410" s="2"/>
      <c r="V410" s="1"/>
      <c r="W410" s="1"/>
      <c r="X410" s="1"/>
      <c r="Y410" s="1"/>
      <c r="Z410" s="1"/>
    </row>
    <row r="411" spans="1:26" ht="24.75" customHeight="1">
      <c r="A411" s="1"/>
      <c r="B411" s="1"/>
      <c r="C411" s="1"/>
      <c r="D411" s="1"/>
      <c r="E411" s="1"/>
      <c r="F411" s="1"/>
      <c r="G411" s="1"/>
      <c r="H411" s="1"/>
      <c r="I411" s="1"/>
      <c r="J411" s="1"/>
      <c r="K411" s="1"/>
      <c r="L411" s="1"/>
      <c r="M411" s="1"/>
      <c r="N411" s="1"/>
      <c r="O411" s="1"/>
      <c r="P411" s="1"/>
      <c r="Q411" s="1"/>
      <c r="R411" s="1"/>
      <c r="S411" s="1"/>
      <c r="T411" s="1"/>
      <c r="U411" s="2"/>
      <c r="V411" s="1"/>
      <c r="W411" s="1"/>
      <c r="X411" s="1"/>
      <c r="Y411" s="1"/>
      <c r="Z411" s="1"/>
    </row>
    <row r="412" spans="1:26" ht="24.75" customHeight="1">
      <c r="A412" s="1"/>
      <c r="B412" s="1"/>
      <c r="C412" s="1"/>
      <c r="D412" s="1"/>
      <c r="E412" s="1"/>
      <c r="F412" s="1"/>
      <c r="G412" s="1"/>
      <c r="H412" s="1"/>
      <c r="I412" s="1"/>
      <c r="J412" s="1"/>
      <c r="K412" s="1"/>
      <c r="L412" s="1"/>
      <c r="M412" s="1"/>
      <c r="N412" s="1"/>
      <c r="O412" s="1"/>
      <c r="P412" s="1"/>
      <c r="Q412" s="1"/>
      <c r="R412" s="1"/>
      <c r="S412" s="1"/>
      <c r="T412" s="1"/>
      <c r="U412" s="2"/>
      <c r="V412" s="1"/>
      <c r="W412" s="1"/>
      <c r="X412" s="1"/>
      <c r="Y412" s="1"/>
      <c r="Z412" s="1"/>
    </row>
    <row r="413" spans="1:26" ht="24.75" customHeight="1">
      <c r="A413" s="1"/>
      <c r="B413" s="1"/>
      <c r="C413" s="1"/>
      <c r="D413" s="1"/>
      <c r="E413" s="1"/>
      <c r="F413" s="1"/>
      <c r="G413" s="1"/>
      <c r="H413" s="1"/>
      <c r="I413" s="1"/>
      <c r="J413" s="1"/>
      <c r="K413" s="1"/>
      <c r="L413" s="1"/>
      <c r="M413" s="1"/>
      <c r="N413" s="1"/>
      <c r="O413" s="1"/>
      <c r="P413" s="1"/>
      <c r="Q413" s="1"/>
      <c r="R413" s="1"/>
      <c r="S413" s="1"/>
      <c r="T413" s="1"/>
      <c r="U413" s="2"/>
      <c r="V413" s="1"/>
      <c r="W413" s="1"/>
      <c r="X413" s="1"/>
      <c r="Y413" s="1"/>
      <c r="Z413" s="1"/>
    </row>
    <row r="414" spans="1:26" ht="24.75" customHeight="1">
      <c r="A414" s="1"/>
      <c r="B414" s="1"/>
      <c r="C414" s="1"/>
      <c r="D414" s="1"/>
      <c r="E414" s="1"/>
      <c r="F414" s="1"/>
      <c r="G414" s="1"/>
      <c r="H414" s="1"/>
      <c r="I414" s="1"/>
      <c r="J414" s="1"/>
      <c r="K414" s="1"/>
      <c r="L414" s="1"/>
      <c r="M414" s="1"/>
      <c r="N414" s="1"/>
      <c r="O414" s="1"/>
      <c r="P414" s="1"/>
      <c r="Q414" s="1"/>
      <c r="R414" s="1"/>
      <c r="S414" s="1"/>
      <c r="T414" s="1"/>
      <c r="U414" s="2"/>
      <c r="V414" s="1"/>
      <c r="W414" s="1"/>
      <c r="X414" s="1"/>
      <c r="Y414" s="1"/>
      <c r="Z414" s="1"/>
    </row>
    <row r="415" spans="1:26" ht="24.75" customHeight="1">
      <c r="A415" s="1"/>
      <c r="B415" s="1"/>
      <c r="C415" s="1"/>
      <c r="D415" s="1"/>
      <c r="E415" s="1"/>
      <c r="F415" s="1"/>
      <c r="G415" s="1"/>
      <c r="H415" s="1"/>
      <c r="I415" s="1"/>
      <c r="J415" s="1"/>
      <c r="K415" s="1"/>
      <c r="L415" s="1"/>
      <c r="M415" s="1"/>
      <c r="N415" s="1"/>
      <c r="O415" s="1"/>
      <c r="P415" s="1"/>
      <c r="Q415" s="1"/>
      <c r="R415" s="1"/>
      <c r="S415" s="1"/>
      <c r="T415" s="1"/>
      <c r="U415" s="2"/>
      <c r="V415" s="1"/>
      <c r="W415" s="1"/>
      <c r="X415" s="1"/>
      <c r="Y415" s="1"/>
      <c r="Z415" s="1"/>
    </row>
    <row r="416" spans="1:26" ht="24.75" customHeight="1">
      <c r="A416" s="1"/>
      <c r="B416" s="1"/>
      <c r="C416" s="1"/>
      <c r="D416" s="1"/>
      <c r="E416" s="1"/>
      <c r="F416" s="1"/>
      <c r="G416" s="1"/>
      <c r="H416" s="1"/>
      <c r="I416" s="1"/>
      <c r="J416" s="1"/>
      <c r="K416" s="1"/>
      <c r="L416" s="1"/>
      <c r="M416" s="1"/>
      <c r="N416" s="1"/>
      <c r="O416" s="1"/>
      <c r="P416" s="1"/>
      <c r="Q416" s="1"/>
      <c r="R416" s="1"/>
      <c r="S416" s="1"/>
      <c r="T416" s="1"/>
      <c r="U416" s="2"/>
      <c r="V416" s="1"/>
      <c r="W416" s="1"/>
      <c r="X416" s="1"/>
      <c r="Y416" s="1"/>
      <c r="Z416" s="1"/>
    </row>
    <row r="417" spans="1:26" ht="24.75" customHeight="1">
      <c r="A417" s="1"/>
      <c r="B417" s="1"/>
      <c r="C417" s="1"/>
      <c r="D417" s="1"/>
      <c r="E417" s="1"/>
      <c r="F417" s="1"/>
      <c r="G417" s="1"/>
      <c r="H417" s="1"/>
      <c r="I417" s="1"/>
      <c r="J417" s="1"/>
      <c r="K417" s="1"/>
      <c r="L417" s="1"/>
      <c r="M417" s="1"/>
      <c r="N417" s="1"/>
      <c r="O417" s="1"/>
      <c r="P417" s="1"/>
      <c r="Q417" s="1"/>
      <c r="R417" s="1"/>
      <c r="S417" s="1"/>
      <c r="T417" s="1"/>
      <c r="U417" s="2"/>
      <c r="V417" s="1"/>
      <c r="W417" s="1"/>
      <c r="X417" s="1"/>
      <c r="Y417" s="1"/>
      <c r="Z417" s="1"/>
    </row>
    <row r="418" spans="1:26" ht="24.75" customHeight="1">
      <c r="A418" s="1"/>
      <c r="B418" s="1"/>
      <c r="C418" s="1"/>
      <c r="D418" s="1"/>
      <c r="E418" s="1"/>
      <c r="F418" s="1"/>
      <c r="G418" s="1"/>
      <c r="H418" s="1"/>
      <c r="I418" s="1"/>
      <c r="J418" s="1"/>
      <c r="K418" s="1"/>
      <c r="L418" s="1"/>
      <c r="M418" s="1"/>
      <c r="N418" s="1"/>
      <c r="O418" s="1"/>
      <c r="P418" s="1"/>
      <c r="Q418" s="1"/>
      <c r="R418" s="1"/>
      <c r="S418" s="1"/>
      <c r="T418" s="1"/>
      <c r="U418" s="2"/>
      <c r="V418" s="1"/>
      <c r="W418" s="1"/>
      <c r="X418" s="1"/>
      <c r="Y418" s="1"/>
      <c r="Z418" s="1"/>
    </row>
    <row r="419" spans="1:26" ht="24.75" customHeight="1">
      <c r="A419" s="1"/>
      <c r="B419" s="1"/>
      <c r="C419" s="1"/>
      <c r="D419" s="1"/>
      <c r="E419" s="1"/>
      <c r="F419" s="1"/>
      <c r="G419" s="1"/>
      <c r="H419" s="1"/>
      <c r="I419" s="1"/>
      <c r="J419" s="1"/>
      <c r="K419" s="1"/>
      <c r="L419" s="1"/>
      <c r="M419" s="1"/>
      <c r="N419" s="1"/>
      <c r="O419" s="1"/>
      <c r="P419" s="1"/>
      <c r="Q419" s="1"/>
      <c r="R419" s="1"/>
      <c r="S419" s="1"/>
      <c r="T419" s="1"/>
      <c r="U419" s="2"/>
      <c r="V419" s="1"/>
      <c r="W419" s="1"/>
      <c r="X419" s="1"/>
      <c r="Y419" s="1"/>
      <c r="Z419" s="1"/>
    </row>
    <row r="420" spans="1:26" ht="24.75" customHeight="1">
      <c r="A420" s="1"/>
      <c r="B420" s="1"/>
      <c r="C420" s="1"/>
      <c r="D420" s="1"/>
      <c r="E420" s="1"/>
      <c r="F420" s="1"/>
      <c r="G420" s="1"/>
      <c r="H420" s="1"/>
      <c r="I420" s="1"/>
      <c r="J420" s="1"/>
      <c r="K420" s="1"/>
      <c r="L420" s="1"/>
      <c r="M420" s="1"/>
      <c r="N420" s="1"/>
      <c r="O420" s="1"/>
      <c r="P420" s="1"/>
      <c r="Q420" s="1"/>
      <c r="R420" s="1"/>
      <c r="S420" s="1"/>
      <c r="T420" s="1"/>
      <c r="U420" s="2"/>
      <c r="V420" s="1"/>
      <c r="W420" s="1"/>
      <c r="X420" s="1"/>
      <c r="Y420" s="1"/>
      <c r="Z420" s="1"/>
    </row>
    <row r="421" spans="1:26" ht="24.75" customHeight="1">
      <c r="A421" s="1"/>
      <c r="B421" s="1"/>
      <c r="C421" s="1"/>
      <c r="D421" s="1"/>
      <c r="E421" s="1"/>
      <c r="F421" s="1"/>
      <c r="G421" s="1"/>
      <c r="H421" s="1"/>
      <c r="I421" s="1"/>
      <c r="J421" s="1"/>
      <c r="K421" s="1"/>
      <c r="L421" s="1"/>
      <c r="M421" s="1"/>
      <c r="N421" s="1"/>
      <c r="O421" s="1"/>
      <c r="P421" s="1"/>
      <c r="Q421" s="1"/>
      <c r="R421" s="1"/>
      <c r="S421" s="1"/>
      <c r="T421" s="1"/>
      <c r="U421" s="2"/>
      <c r="V421" s="1"/>
      <c r="W421" s="1"/>
      <c r="X421" s="1"/>
      <c r="Y421" s="1"/>
      <c r="Z421" s="1"/>
    </row>
    <row r="422" spans="1:26" ht="24.75" customHeight="1">
      <c r="A422" s="1"/>
      <c r="B422" s="1"/>
      <c r="C422" s="1"/>
      <c r="D422" s="1"/>
      <c r="E422" s="1"/>
      <c r="F422" s="1"/>
      <c r="G422" s="1"/>
      <c r="H422" s="1"/>
      <c r="I422" s="1"/>
      <c r="J422" s="1"/>
      <c r="K422" s="1"/>
      <c r="L422" s="1"/>
      <c r="M422" s="1"/>
      <c r="N422" s="1"/>
      <c r="O422" s="1"/>
      <c r="P422" s="1"/>
      <c r="Q422" s="1"/>
      <c r="R422" s="1"/>
      <c r="S422" s="1"/>
      <c r="T422" s="1"/>
      <c r="U422" s="2"/>
      <c r="V422" s="1"/>
      <c r="W422" s="1"/>
      <c r="X422" s="1"/>
      <c r="Y422" s="1"/>
      <c r="Z422" s="1"/>
    </row>
    <row r="423" spans="1:26" ht="24.75" customHeight="1">
      <c r="A423" s="1"/>
      <c r="B423" s="1"/>
      <c r="C423" s="1"/>
      <c r="D423" s="1"/>
      <c r="E423" s="1"/>
      <c r="F423" s="1"/>
      <c r="G423" s="1"/>
      <c r="H423" s="1"/>
      <c r="I423" s="1"/>
      <c r="J423" s="1"/>
      <c r="K423" s="1"/>
      <c r="L423" s="1"/>
      <c r="M423" s="1"/>
      <c r="N423" s="1"/>
      <c r="O423" s="1"/>
      <c r="P423" s="1"/>
      <c r="Q423" s="1"/>
      <c r="R423" s="1"/>
      <c r="S423" s="1"/>
      <c r="T423" s="1"/>
      <c r="U423" s="2"/>
      <c r="V423" s="1"/>
      <c r="W423" s="1"/>
      <c r="X423" s="1"/>
      <c r="Y423" s="1"/>
      <c r="Z423" s="1"/>
    </row>
    <row r="424" spans="1:26" ht="24.75" customHeight="1">
      <c r="A424" s="1"/>
      <c r="B424" s="1"/>
      <c r="C424" s="1"/>
      <c r="D424" s="1"/>
      <c r="E424" s="1"/>
      <c r="F424" s="1"/>
      <c r="G424" s="1"/>
      <c r="H424" s="1"/>
      <c r="I424" s="1"/>
      <c r="J424" s="1"/>
      <c r="K424" s="1"/>
      <c r="L424" s="1"/>
      <c r="M424" s="1"/>
      <c r="N424" s="1"/>
      <c r="O424" s="1"/>
      <c r="P424" s="1"/>
      <c r="Q424" s="1"/>
      <c r="R424" s="1"/>
      <c r="S424" s="1"/>
      <c r="T424" s="1"/>
      <c r="U424" s="2"/>
      <c r="V424" s="1"/>
      <c r="W424" s="1"/>
      <c r="X424" s="1"/>
      <c r="Y424" s="1"/>
      <c r="Z424" s="1"/>
    </row>
    <row r="425" spans="1:26" ht="24.75" customHeight="1">
      <c r="A425" s="1"/>
      <c r="B425" s="1"/>
      <c r="C425" s="1"/>
      <c r="D425" s="1"/>
      <c r="E425" s="1"/>
      <c r="F425" s="1"/>
      <c r="G425" s="1"/>
      <c r="H425" s="1"/>
      <c r="I425" s="1"/>
      <c r="J425" s="1"/>
      <c r="K425" s="1"/>
      <c r="L425" s="1"/>
      <c r="M425" s="1"/>
      <c r="N425" s="1"/>
      <c r="O425" s="1"/>
      <c r="P425" s="1"/>
      <c r="Q425" s="1"/>
      <c r="R425" s="1"/>
      <c r="S425" s="1"/>
      <c r="T425" s="1"/>
      <c r="U425" s="2"/>
      <c r="V425" s="1"/>
      <c r="W425" s="1"/>
      <c r="X425" s="1"/>
      <c r="Y425" s="1"/>
      <c r="Z425" s="1"/>
    </row>
    <row r="426" spans="1:26" ht="24.75" customHeight="1">
      <c r="A426" s="1"/>
      <c r="B426" s="1"/>
      <c r="C426" s="1"/>
      <c r="D426" s="1"/>
      <c r="E426" s="1"/>
      <c r="F426" s="1"/>
      <c r="G426" s="1"/>
      <c r="H426" s="1"/>
      <c r="I426" s="1"/>
      <c r="J426" s="1"/>
      <c r="K426" s="1"/>
      <c r="L426" s="1"/>
      <c r="M426" s="1"/>
      <c r="N426" s="1"/>
      <c r="O426" s="1"/>
      <c r="P426" s="1"/>
      <c r="Q426" s="1"/>
      <c r="R426" s="1"/>
      <c r="S426" s="1"/>
      <c r="T426" s="1"/>
      <c r="U426" s="2"/>
      <c r="V426" s="1"/>
      <c r="W426" s="1"/>
      <c r="X426" s="1"/>
      <c r="Y426" s="1"/>
      <c r="Z426" s="1"/>
    </row>
    <row r="427" spans="1:26" ht="24.75" customHeight="1">
      <c r="A427" s="1"/>
      <c r="B427" s="1"/>
      <c r="C427" s="1"/>
      <c r="D427" s="1"/>
      <c r="E427" s="1"/>
      <c r="F427" s="1"/>
      <c r="G427" s="1"/>
      <c r="H427" s="1"/>
      <c r="I427" s="1"/>
      <c r="J427" s="1"/>
      <c r="K427" s="1"/>
      <c r="L427" s="1"/>
      <c r="M427" s="1"/>
      <c r="N427" s="1"/>
      <c r="O427" s="1"/>
      <c r="P427" s="1"/>
      <c r="Q427" s="1"/>
      <c r="R427" s="1"/>
      <c r="S427" s="1"/>
      <c r="T427" s="1"/>
      <c r="U427" s="2"/>
      <c r="V427" s="1"/>
      <c r="W427" s="1"/>
      <c r="X427" s="1"/>
      <c r="Y427" s="1"/>
      <c r="Z427" s="1"/>
    </row>
    <row r="428" spans="1:26" ht="24.75" customHeight="1">
      <c r="A428" s="1"/>
      <c r="B428" s="1"/>
      <c r="C428" s="1"/>
      <c r="D428" s="1"/>
      <c r="E428" s="1"/>
      <c r="F428" s="1"/>
      <c r="G428" s="1"/>
      <c r="H428" s="1"/>
      <c r="I428" s="1"/>
      <c r="J428" s="1"/>
      <c r="K428" s="1"/>
      <c r="L428" s="1"/>
      <c r="M428" s="1"/>
      <c r="N428" s="1"/>
      <c r="O428" s="1"/>
      <c r="P428" s="1"/>
      <c r="Q428" s="1"/>
      <c r="R428" s="1"/>
      <c r="S428" s="1"/>
      <c r="T428" s="1"/>
      <c r="U428" s="2"/>
      <c r="V428" s="1"/>
      <c r="W428" s="1"/>
      <c r="X428" s="1"/>
      <c r="Y428" s="1"/>
      <c r="Z428" s="1"/>
    </row>
    <row r="429" spans="1:26" ht="24.75" customHeight="1">
      <c r="A429" s="1"/>
      <c r="B429" s="1"/>
      <c r="C429" s="1"/>
      <c r="D429" s="1"/>
      <c r="E429" s="1"/>
      <c r="F429" s="1"/>
      <c r="G429" s="1"/>
      <c r="H429" s="1"/>
      <c r="I429" s="1"/>
      <c r="J429" s="1"/>
      <c r="K429" s="1"/>
      <c r="L429" s="1"/>
      <c r="M429" s="1"/>
      <c r="N429" s="1"/>
      <c r="O429" s="1"/>
      <c r="P429" s="1"/>
      <c r="Q429" s="1"/>
      <c r="R429" s="1"/>
      <c r="S429" s="1"/>
      <c r="T429" s="1"/>
      <c r="U429" s="2"/>
      <c r="V429" s="1"/>
      <c r="W429" s="1"/>
      <c r="X429" s="1"/>
      <c r="Y429" s="1"/>
      <c r="Z429" s="1"/>
    </row>
    <row r="430" spans="1:26" ht="24.75" customHeight="1">
      <c r="A430" s="1"/>
      <c r="B430" s="1"/>
      <c r="C430" s="1"/>
      <c r="D430" s="1"/>
      <c r="E430" s="1"/>
      <c r="F430" s="1"/>
      <c r="G430" s="1"/>
      <c r="H430" s="1"/>
      <c r="I430" s="1"/>
      <c r="J430" s="1"/>
      <c r="K430" s="1"/>
      <c r="L430" s="1"/>
      <c r="M430" s="1"/>
      <c r="N430" s="1"/>
      <c r="O430" s="1"/>
      <c r="P430" s="1"/>
      <c r="Q430" s="1"/>
      <c r="R430" s="1"/>
      <c r="S430" s="1"/>
      <c r="T430" s="1"/>
      <c r="U430" s="2"/>
      <c r="V430" s="1"/>
      <c r="W430" s="1"/>
      <c r="X430" s="1"/>
      <c r="Y430" s="1"/>
      <c r="Z430" s="1"/>
    </row>
    <row r="431" spans="1:26" ht="24.75" customHeight="1">
      <c r="A431" s="1"/>
      <c r="B431" s="1"/>
      <c r="C431" s="1"/>
      <c r="D431" s="1"/>
      <c r="E431" s="1"/>
      <c r="F431" s="1"/>
      <c r="G431" s="1"/>
      <c r="H431" s="1"/>
      <c r="I431" s="1"/>
      <c r="J431" s="1"/>
      <c r="K431" s="1"/>
      <c r="L431" s="1"/>
      <c r="M431" s="1"/>
      <c r="N431" s="1"/>
      <c r="O431" s="1"/>
      <c r="P431" s="1"/>
      <c r="Q431" s="1"/>
      <c r="R431" s="1"/>
      <c r="S431" s="1"/>
      <c r="T431" s="1"/>
      <c r="U431" s="2"/>
      <c r="V431" s="1"/>
      <c r="W431" s="1"/>
      <c r="X431" s="1"/>
      <c r="Y431" s="1"/>
      <c r="Z431" s="1"/>
    </row>
    <row r="432" spans="1:26" ht="24.75" customHeight="1">
      <c r="A432" s="1"/>
      <c r="B432" s="1"/>
      <c r="C432" s="1"/>
      <c r="D432" s="1"/>
      <c r="E432" s="1"/>
      <c r="F432" s="1"/>
      <c r="G432" s="1"/>
      <c r="H432" s="1"/>
      <c r="I432" s="1"/>
      <c r="J432" s="1"/>
      <c r="K432" s="1"/>
      <c r="L432" s="1"/>
      <c r="M432" s="1"/>
      <c r="N432" s="1"/>
      <c r="O432" s="1"/>
      <c r="P432" s="1"/>
      <c r="Q432" s="1"/>
      <c r="R432" s="1"/>
      <c r="S432" s="1"/>
      <c r="T432" s="1"/>
      <c r="U432" s="2"/>
      <c r="V432" s="1"/>
      <c r="W432" s="1"/>
      <c r="X432" s="1"/>
      <c r="Y432" s="1"/>
      <c r="Z432" s="1"/>
    </row>
    <row r="433" spans="1:26" ht="24.75" customHeight="1">
      <c r="A433" s="1"/>
      <c r="B433" s="1"/>
      <c r="C433" s="1"/>
      <c r="D433" s="1"/>
      <c r="E433" s="1"/>
      <c r="F433" s="1"/>
      <c r="G433" s="1"/>
      <c r="H433" s="1"/>
      <c r="I433" s="1"/>
      <c r="J433" s="1"/>
      <c r="K433" s="1"/>
      <c r="L433" s="1"/>
      <c r="M433" s="1"/>
      <c r="N433" s="1"/>
      <c r="O433" s="1"/>
      <c r="P433" s="1"/>
      <c r="Q433" s="1"/>
      <c r="R433" s="1"/>
      <c r="S433" s="1"/>
      <c r="T433" s="1"/>
      <c r="U433" s="2"/>
      <c r="V433" s="1"/>
      <c r="W433" s="1"/>
      <c r="X433" s="1"/>
      <c r="Y433" s="1"/>
      <c r="Z433" s="1"/>
    </row>
    <row r="434" spans="1:26" ht="24.75" customHeight="1">
      <c r="A434" s="1"/>
      <c r="B434" s="1"/>
      <c r="C434" s="1"/>
      <c r="D434" s="1"/>
      <c r="E434" s="1"/>
      <c r="F434" s="1"/>
      <c r="G434" s="1"/>
      <c r="H434" s="1"/>
      <c r="I434" s="1"/>
      <c r="J434" s="1"/>
      <c r="K434" s="1"/>
      <c r="L434" s="1"/>
      <c r="M434" s="1"/>
      <c r="N434" s="1"/>
      <c r="O434" s="1"/>
      <c r="P434" s="1"/>
      <c r="Q434" s="1"/>
      <c r="R434" s="1"/>
      <c r="S434" s="1"/>
      <c r="T434" s="1"/>
      <c r="U434" s="2"/>
      <c r="V434" s="1"/>
      <c r="W434" s="1"/>
      <c r="X434" s="1"/>
      <c r="Y434" s="1"/>
      <c r="Z434" s="1"/>
    </row>
    <row r="435" spans="1:26" ht="24.75" customHeight="1">
      <c r="A435" s="1"/>
      <c r="B435" s="1"/>
      <c r="C435" s="1"/>
      <c r="D435" s="1"/>
      <c r="E435" s="1"/>
      <c r="F435" s="1"/>
      <c r="G435" s="1"/>
      <c r="H435" s="1"/>
      <c r="I435" s="1"/>
      <c r="J435" s="1"/>
      <c r="K435" s="1"/>
      <c r="L435" s="1"/>
      <c r="M435" s="1"/>
      <c r="N435" s="1"/>
      <c r="O435" s="1"/>
      <c r="P435" s="1"/>
      <c r="Q435" s="1"/>
      <c r="R435" s="1"/>
      <c r="S435" s="1"/>
      <c r="T435" s="1"/>
      <c r="U435" s="2"/>
      <c r="V435" s="1"/>
      <c r="W435" s="1"/>
      <c r="X435" s="1"/>
      <c r="Y435" s="1"/>
      <c r="Z435" s="1"/>
    </row>
    <row r="436" spans="1:26" ht="24.75" customHeight="1">
      <c r="A436" s="1"/>
      <c r="B436" s="1"/>
      <c r="C436" s="1"/>
      <c r="D436" s="1"/>
      <c r="E436" s="1"/>
      <c r="F436" s="1"/>
      <c r="G436" s="1"/>
      <c r="H436" s="1"/>
      <c r="I436" s="1"/>
      <c r="J436" s="1"/>
      <c r="K436" s="1"/>
      <c r="L436" s="1"/>
      <c r="M436" s="1"/>
      <c r="N436" s="1"/>
      <c r="O436" s="1"/>
      <c r="P436" s="1"/>
      <c r="Q436" s="1"/>
      <c r="R436" s="1"/>
      <c r="S436" s="1"/>
      <c r="T436" s="1"/>
      <c r="U436" s="2"/>
      <c r="V436" s="1"/>
      <c r="W436" s="1"/>
      <c r="X436" s="1"/>
      <c r="Y436" s="1"/>
      <c r="Z436" s="1"/>
    </row>
    <row r="437" spans="1:26" ht="24.75" customHeight="1">
      <c r="A437" s="1"/>
      <c r="B437" s="1"/>
      <c r="C437" s="1"/>
      <c r="D437" s="1"/>
      <c r="E437" s="1"/>
      <c r="F437" s="1"/>
      <c r="G437" s="1"/>
      <c r="H437" s="1"/>
      <c r="I437" s="1"/>
      <c r="J437" s="1"/>
      <c r="K437" s="1"/>
      <c r="L437" s="1"/>
      <c r="M437" s="1"/>
      <c r="N437" s="1"/>
      <c r="O437" s="1"/>
      <c r="P437" s="1"/>
      <c r="Q437" s="1"/>
      <c r="R437" s="1"/>
      <c r="S437" s="1"/>
      <c r="T437" s="1"/>
      <c r="U437" s="2"/>
      <c r="V437" s="1"/>
      <c r="W437" s="1"/>
      <c r="X437" s="1"/>
      <c r="Y437" s="1"/>
      <c r="Z437" s="1"/>
    </row>
    <row r="438" spans="1:26" ht="24.75" customHeight="1">
      <c r="A438" s="1"/>
      <c r="B438" s="1"/>
      <c r="C438" s="1"/>
      <c r="D438" s="1"/>
      <c r="E438" s="1"/>
      <c r="F438" s="1"/>
      <c r="G438" s="1"/>
      <c r="H438" s="1"/>
      <c r="I438" s="1"/>
      <c r="J438" s="1"/>
      <c r="K438" s="1"/>
      <c r="L438" s="1"/>
      <c r="M438" s="1"/>
      <c r="N438" s="1"/>
      <c r="O438" s="1"/>
      <c r="P438" s="1"/>
      <c r="Q438" s="1"/>
      <c r="R438" s="1"/>
      <c r="S438" s="1"/>
      <c r="T438" s="1"/>
      <c r="U438" s="2"/>
      <c r="V438" s="1"/>
      <c r="W438" s="1"/>
      <c r="X438" s="1"/>
      <c r="Y438" s="1"/>
      <c r="Z438" s="1"/>
    </row>
    <row r="439" spans="1:26" ht="24.75" customHeight="1">
      <c r="A439" s="1"/>
      <c r="B439" s="1"/>
      <c r="C439" s="1"/>
      <c r="D439" s="1"/>
      <c r="E439" s="1"/>
      <c r="F439" s="1"/>
      <c r="G439" s="1"/>
      <c r="H439" s="1"/>
      <c r="I439" s="1"/>
      <c r="J439" s="1"/>
      <c r="K439" s="1"/>
      <c r="L439" s="1"/>
      <c r="M439" s="1"/>
      <c r="N439" s="1"/>
      <c r="O439" s="1"/>
      <c r="P439" s="1"/>
      <c r="Q439" s="1"/>
      <c r="R439" s="1"/>
      <c r="S439" s="1"/>
      <c r="T439" s="1"/>
      <c r="U439" s="2"/>
      <c r="V439" s="1"/>
      <c r="W439" s="1"/>
      <c r="X439" s="1"/>
      <c r="Y439" s="1"/>
      <c r="Z439" s="1"/>
    </row>
    <row r="440" spans="1:26" ht="24.75" customHeight="1">
      <c r="A440" s="1"/>
      <c r="B440" s="1"/>
      <c r="C440" s="1"/>
      <c r="D440" s="1"/>
      <c r="E440" s="1"/>
      <c r="F440" s="1"/>
      <c r="G440" s="1"/>
      <c r="H440" s="1"/>
      <c r="I440" s="1"/>
      <c r="J440" s="1"/>
      <c r="K440" s="1"/>
      <c r="L440" s="1"/>
      <c r="M440" s="1"/>
      <c r="N440" s="1"/>
      <c r="O440" s="1"/>
      <c r="P440" s="1"/>
      <c r="Q440" s="1"/>
      <c r="R440" s="1"/>
      <c r="S440" s="1"/>
      <c r="T440" s="1"/>
      <c r="U440" s="2"/>
      <c r="V440" s="1"/>
      <c r="W440" s="1"/>
      <c r="X440" s="1"/>
      <c r="Y440" s="1"/>
      <c r="Z440" s="1"/>
    </row>
    <row r="441" spans="1:26" ht="24.75" customHeight="1">
      <c r="A441" s="1"/>
      <c r="B441" s="1"/>
      <c r="C441" s="1"/>
      <c r="D441" s="1"/>
      <c r="E441" s="1"/>
      <c r="F441" s="1"/>
      <c r="G441" s="1"/>
      <c r="H441" s="1"/>
      <c r="I441" s="1"/>
      <c r="J441" s="1"/>
      <c r="K441" s="1"/>
      <c r="L441" s="1"/>
      <c r="M441" s="1"/>
      <c r="N441" s="1"/>
      <c r="O441" s="1"/>
      <c r="P441" s="1"/>
      <c r="Q441" s="1"/>
      <c r="R441" s="1"/>
      <c r="S441" s="1"/>
      <c r="T441" s="1"/>
      <c r="U441" s="2"/>
      <c r="V441" s="1"/>
      <c r="W441" s="1"/>
      <c r="X441" s="1"/>
      <c r="Y441" s="1"/>
      <c r="Z441" s="1"/>
    </row>
    <row r="442" spans="1:26" ht="24.75" customHeight="1">
      <c r="A442" s="1"/>
      <c r="B442" s="1"/>
      <c r="C442" s="1"/>
      <c r="D442" s="1"/>
      <c r="E442" s="1"/>
      <c r="F442" s="1"/>
      <c r="G442" s="1"/>
      <c r="H442" s="1"/>
      <c r="I442" s="1"/>
      <c r="J442" s="1"/>
      <c r="K442" s="1"/>
      <c r="L442" s="1"/>
      <c r="M442" s="1"/>
      <c r="N442" s="1"/>
      <c r="O442" s="1"/>
      <c r="P442" s="1"/>
      <c r="Q442" s="1"/>
      <c r="R442" s="1"/>
      <c r="S442" s="1"/>
      <c r="T442" s="1"/>
      <c r="U442" s="2"/>
      <c r="V442" s="1"/>
      <c r="W442" s="1"/>
      <c r="X442" s="1"/>
      <c r="Y442" s="1"/>
      <c r="Z442" s="1"/>
    </row>
    <row r="443" spans="1:26" ht="24.75" customHeight="1">
      <c r="A443" s="1"/>
      <c r="B443" s="1"/>
      <c r="C443" s="1"/>
      <c r="D443" s="1"/>
      <c r="E443" s="1"/>
      <c r="F443" s="1"/>
      <c r="G443" s="1"/>
      <c r="H443" s="1"/>
      <c r="I443" s="1"/>
      <c r="J443" s="1"/>
      <c r="K443" s="1"/>
      <c r="L443" s="1"/>
      <c r="M443" s="1"/>
      <c r="N443" s="1"/>
      <c r="O443" s="1"/>
      <c r="P443" s="1"/>
      <c r="Q443" s="1"/>
      <c r="R443" s="1"/>
      <c r="S443" s="1"/>
      <c r="T443" s="1"/>
      <c r="U443" s="2"/>
      <c r="V443" s="1"/>
      <c r="W443" s="1"/>
      <c r="X443" s="1"/>
      <c r="Y443" s="1"/>
      <c r="Z443" s="1"/>
    </row>
    <row r="444" spans="1:26" ht="24.75" customHeight="1">
      <c r="A444" s="1"/>
      <c r="B444" s="1"/>
      <c r="C444" s="1"/>
      <c r="D444" s="1"/>
      <c r="E444" s="1"/>
      <c r="F444" s="1"/>
      <c r="G444" s="1"/>
      <c r="H444" s="1"/>
      <c r="I444" s="1"/>
      <c r="J444" s="1"/>
      <c r="K444" s="1"/>
      <c r="L444" s="1"/>
      <c r="M444" s="1"/>
      <c r="N444" s="1"/>
      <c r="O444" s="1"/>
      <c r="P444" s="1"/>
      <c r="Q444" s="1"/>
      <c r="R444" s="1"/>
      <c r="S444" s="1"/>
      <c r="T444" s="1"/>
      <c r="U444" s="2"/>
      <c r="V444" s="1"/>
      <c r="W444" s="1"/>
      <c r="X444" s="1"/>
      <c r="Y444" s="1"/>
      <c r="Z444" s="1"/>
    </row>
    <row r="445" spans="1:26" ht="24.75" customHeight="1">
      <c r="A445" s="1"/>
      <c r="B445" s="1"/>
      <c r="C445" s="1"/>
      <c r="D445" s="1"/>
      <c r="E445" s="1"/>
      <c r="F445" s="1"/>
      <c r="G445" s="1"/>
      <c r="H445" s="1"/>
      <c r="I445" s="1"/>
      <c r="J445" s="1"/>
      <c r="K445" s="1"/>
      <c r="L445" s="1"/>
      <c r="M445" s="1"/>
      <c r="N445" s="1"/>
      <c r="O445" s="1"/>
      <c r="P445" s="1"/>
      <c r="Q445" s="1"/>
      <c r="R445" s="1"/>
      <c r="S445" s="1"/>
      <c r="T445" s="1"/>
      <c r="U445" s="2"/>
      <c r="V445" s="1"/>
      <c r="W445" s="1"/>
      <c r="X445" s="1"/>
      <c r="Y445" s="1"/>
      <c r="Z445" s="1"/>
    </row>
    <row r="446" spans="1:26" ht="24.75" customHeight="1">
      <c r="A446" s="1"/>
      <c r="B446" s="1"/>
      <c r="C446" s="1"/>
      <c r="D446" s="1"/>
      <c r="E446" s="1"/>
      <c r="F446" s="1"/>
      <c r="G446" s="1"/>
      <c r="H446" s="1"/>
      <c r="I446" s="1"/>
      <c r="J446" s="1"/>
      <c r="K446" s="1"/>
      <c r="L446" s="1"/>
      <c r="M446" s="1"/>
      <c r="N446" s="1"/>
      <c r="O446" s="1"/>
      <c r="P446" s="1"/>
      <c r="Q446" s="1"/>
      <c r="R446" s="1"/>
      <c r="S446" s="1"/>
      <c r="T446" s="1"/>
      <c r="U446" s="2"/>
      <c r="V446" s="1"/>
      <c r="W446" s="1"/>
      <c r="X446" s="1"/>
      <c r="Y446" s="1"/>
      <c r="Z446" s="1"/>
    </row>
    <row r="447" spans="1:26" ht="24.75" customHeight="1">
      <c r="A447" s="1"/>
      <c r="B447" s="1"/>
      <c r="C447" s="1"/>
      <c r="D447" s="1"/>
      <c r="E447" s="1"/>
      <c r="F447" s="1"/>
      <c r="G447" s="1"/>
      <c r="H447" s="1"/>
      <c r="I447" s="1"/>
      <c r="J447" s="1"/>
      <c r="K447" s="1"/>
      <c r="L447" s="1"/>
      <c r="M447" s="1"/>
      <c r="N447" s="1"/>
      <c r="O447" s="1"/>
      <c r="P447" s="1"/>
      <c r="Q447" s="1"/>
      <c r="R447" s="1"/>
      <c r="S447" s="1"/>
      <c r="T447" s="1"/>
      <c r="U447" s="2"/>
      <c r="V447" s="1"/>
      <c r="W447" s="1"/>
      <c r="X447" s="1"/>
      <c r="Y447" s="1"/>
      <c r="Z447" s="1"/>
    </row>
    <row r="448" spans="1:26" ht="24.75" customHeight="1">
      <c r="A448" s="1"/>
      <c r="B448" s="1"/>
      <c r="C448" s="1"/>
      <c r="D448" s="1"/>
      <c r="E448" s="1"/>
      <c r="F448" s="1"/>
      <c r="G448" s="1"/>
      <c r="H448" s="1"/>
      <c r="I448" s="1"/>
      <c r="J448" s="1"/>
      <c r="K448" s="1"/>
      <c r="L448" s="1"/>
      <c r="M448" s="1"/>
      <c r="N448" s="1"/>
      <c r="O448" s="1"/>
      <c r="P448" s="1"/>
      <c r="Q448" s="1"/>
      <c r="R448" s="1"/>
      <c r="S448" s="1"/>
      <c r="T448" s="1"/>
      <c r="U448" s="2"/>
      <c r="V448" s="1"/>
      <c r="W448" s="1"/>
      <c r="X448" s="1"/>
      <c r="Y448" s="1"/>
      <c r="Z448" s="1"/>
    </row>
    <row r="449" spans="1:26" ht="24.75" customHeight="1">
      <c r="A449" s="1"/>
      <c r="B449" s="1"/>
      <c r="C449" s="1"/>
      <c r="D449" s="1"/>
      <c r="E449" s="1"/>
      <c r="F449" s="1"/>
      <c r="G449" s="1"/>
      <c r="H449" s="1"/>
      <c r="I449" s="1"/>
      <c r="J449" s="1"/>
      <c r="K449" s="1"/>
      <c r="L449" s="1"/>
      <c r="M449" s="1"/>
      <c r="N449" s="1"/>
      <c r="O449" s="1"/>
      <c r="P449" s="1"/>
      <c r="Q449" s="1"/>
      <c r="R449" s="1"/>
      <c r="S449" s="1"/>
      <c r="T449" s="1"/>
      <c r="U449" s="2"/>
      <c r="V449" s="1"/>
      <c r="W449" s="1"/>
      <c r="X449" s="1"/>
      <c r="Y449" s="1"/>
      <c r="Z449" s="1"/>
    </row>
    <row r="450" spans="1:26" ht="24.75" customHeight="1">
      <c r="A450" s="1"/>
      <c r="B450" s="1"/>
      <c r="C450" s="1"/>
      <c r="D450" s="1"/>
      <c r="E450" s="1"/>
      <c r="F450" s="1"/>
      <c r="G450" s="1"/>
      <c r="H450" s="1"/>
      <c r="I450" s="1"/>
      <c r="J450" s="1"/>
      <c r="K450" s="1"/>
      <c r="L450" s="1"/>
      <c r="M450" s="1"/>
      <c r="N450" s="1"/>
      <c r="O450" s="1"/>
      <c r="P450" s="1"/>
      <c r="Q450" s="1"/>
      <c r="R450" s="1"/>
      <c r="S450" s="1"/>
      <c r="T450" s="1"/>
      <c r="U450" s="2"/>
      <c r="V450" s="1"/>
      <c r="W450" s="1"/>
      <c r="X450" s="1"/>
      <c r="Y450" s="1"/>
      <c r="Z450" s="1"/>
    </row>
    <row r="451" spans="1:26" ht="24.75" customHeight="1">
      <c r="A451" s="1"/>
      <c r="B451" s="1"/>
      <c r="C451" s="1"/>
      <c r="D451" s="1"/>
      <c r="E451" s="1"/>
      <c r="F451" s="1"/>
      <c r="G451" s="1"/>
      <c r="H451" s="1"/>
      <c r="I451" s="1"/>
      <c r="J451" s="1"/>
      <c r="K451" s="1"/>
      <c r="L451" s="1"/>
      <c r="M451" s="1"/>
      <c r="N451" s="1"/>
      <c r="O451" s="1"/>
      <c r="P451" s="1"/>
      <c r="Q451" s="1"/>
      <c r="R451" s="1"/>
      <c r="S451" s="1"/>
      <c r="T451" s="1"/>
      <c r="U451" s="2"/>
      <c r="V451" s="1"/>
      <c r="W451" s="1"/>
      <c r="X451" s="1"/>
      <c r="Y451" s="1"/>
      <c r="Z451" s="1"/>
    </row>
    <row r="452" spans="1:26" ht="24.75" customHeight="1">
      <c r="A452" s="1"/>
      <c r="B452" s="1"/>
      <c r="C452" s="1"/>
      <c r="D452" s="1"/>
      <c r="E452" s="1"/>
      <c r="F452" s="1"/>
      <c r="G452" s="1"/>
      <c r="H452" s="1"/>
      <c r="I452" s="1"/>
      <c r="J452" s="1"/>
      <c r="K452" s="1"/>
      <c r="L452" s="1"/>
      <c r="M452" s="1"/>
      <c r="N452" s="1"/>
      <c r="O452" s="1"/>
      <c r="P452" s="1"/>
      <c r="Q452" s="1"/>
      <c r="R452" s="1"/>
      <c r="S452" s="1"/>
      <c r="T452" s="1"/>
      <c r="U452" s="2"/>
      <c r="V452" s="1"/>
      <c r="W452" s="1"/>
      <c r="X452" s="1"/>
      <c r="Y452" s="1"/>
      <c r="Z452" s="1"/>
    </row>
    <row r="453" spans="1:26" ht="24.75" customHeight="1">
      <c r="A453" s="1"/>
      <c r="B453" s="1"/>
      <c r="C453" s="1"/>
      <c r="D453" s="1"/>
      <c r="E453" s="1"/>
      <c r="F453" s="1"/>
      <c r="G453" s="1"/>
      <c r="H453" s="1"/>
      <c r="I453" s="1"/>
      <c r="J453" s="1"/>
      <c r="K453" s="1"/>
      <c r="L453" s="1"/>
      <c r="M453" s="1"/>
      <c r="N453" s="1"/>
      <c r="O453" s="1"/>
      <c r="P453" s="1"/>
      <c r="Q453" s="1"/>
      <c r="R453" s="1"/>
      <c r="S453" s="1"/>
      <c r="T453" s="1"/>
      <c r="U453" s="2"/>
      <c r="V453" s="1"/>
      <c r="W453" s="1"/>
      <c r="X453" s="1"/>
      <c r="Y453" s="1"/>
      <c r="Z453" s="1"/>
    </row>
    <row r="454" spans="1:26" ht="24.75" customHeight="1">
      <c r="A454" s="1"/>
      <c r="B454" s="1"/>
      <c r="C454" s="1"/>
      <c r="D454" s="1"/>
      <c r="E454" s="1"/>
      <c r="F454" s="1"/>
      <c r="G454" s="1"/>
      <c r="H454" s="1"/>
      <c r="I454" s="1"/>
      <c r="J454" s="1"/>
      <c r="K454" s="1"/>
      <c r="L454" s="1"/>
      <c r="M454" s="1"/>
      <c r="N454" s="1"/>
      <c r="O454" s="1"/>
      <c r="P454" s="1"/>
      <c r="Q454" s="1"/>
      <c r="R454" s="1"/>
      <c r="S454" s="1"/>
      <c r="T454" s="1"/>
      <c r="U454" s="2"/>
      <c r="V454" s="1"/>
      <c r="W454" s="1"/>
      <c r="X454" s="1"/>
      <c r="Y454" s="1"/>
      <c r="Z454" s="1"/>
    </row>
    <row r="455" spans="1:26" ht="24.75" customHeight="1">
      <c r="A455" s="1"/>
      <c r="B455" s="1"/>
      <c r="C455" s="1"/>
      <c r="D455" s="1"/>
      <c r="E455" s="1"/>
      <c r="F455" s="1"/>
      <c r="G455" s="1"/>
      <c r="H455" s="1"/>
      <c r="I455" s="1"/>
      <c r="J455" s="1"/>
      <c r="K455" s="1"/>
      <c r="L455" s="1"/>
      <c r="M455" s="1"/>
      <c r="N455" s="1"/>
      <c r="O455" s="1"/>
      <c r="P455" s="1"/>
      <c r="Q455" s="1"/>
      <c r="R455" s="1"/>
      <c r="S455" s="1"/>
      <c r="T455" s="1"/>
      <c r="U455" s="2"/>
      <c r="V455" s="1"/>
      <c r="W455" s="1"/>
      <c r="X455" s="1"/>
      <c r="Y455" s="1"/>
      <c r="Z455" s="1"/>
    </row>
    <row r="456" spans="1:26" ht="24.75" customHeight="1">
      <c r="A456" s="1"/>
      <c r="B456" s="1"/>
      <c r="C456" s="1"/>
      <c r="D456" s="1"/>
      <c r="E456" s="1"/>
      <c r="F456" s="1"/>
      <c r="G456" s="1"/>
      <c r="H456" s="1"/>
      <c r="I456" s="1"/>
      <c r="J456" s="1"/>
      <c r="K456" s="1"/>
      <c r="L456" s="1"/>
      <c r="M456" s="1"/>
      <c r="N456" s="1"/>
      <c r="O456" s="1"/>
      <c r="P456" s="1"/>
      <c r="Q456" s="1"/>
      <c r="R456" s="1"/>
      <c r="S456" s="1"/>
      <c r="T456" s="1"/>
      <c r="U456" s="2"/>
      <c r="V456" s="1"/>
      <c r="W456" s="1"/>
      <c r="X456" s="1"/>
      <c r="Y456" s="1"/>
      <c r="Z456" s="1"/>
    </row>
    <row r="457" spans="1:26" ht="24.75" customHeight="1">
      <c r="A457" s="1"/>
      <c r="B457" s="1"/>
      <c r="C457" s="1"/>
      <c r="D457" s="1"/>
      <c r="E457" s="1"/>
      <c r="F457" s="1"/>
      <c r="G457" s="1"/>
      <c r="H457" s="1"/>
      <c r="I457" s="1"/>
      <c r="J457" s="1"/>
      <c r="K457" s="1"/>
      <c r="L457" s="1"/>
      <c r="M457" s="1"/>
      <c r="N457" s="1"/>
      <c r="O457" s="1"/>
      <c r="P457" s="1"/>
      <c r="Q457" s="1"/>
      <c r="R457" s="1"/>
      <c r="S457" s="1"/>
      <c r="T457" s="1"/>
      <c r="U457" s="2"/>
      <c r="V457" s="1"/>
      <c r="W457" s="1"/>
      <c r="X457" s="1"/>
      <c r="Y457" s="1"/>
      <c r="Z457" s="1"/>
    </row>
    <row r="458" spans="1:26" ht="24.75" customHeight="1">
      <c r="A458" s="1"/>
      <c r="B458" s="1"/>
      <c r="C458" s="1"/>
      <c r="D458" s="1"/>
      <c r="E458" s="1"/>
      <c r="F458" s="1"/>
      <c r="G458" s="1"/>
      <c r="H458" s="1"/>
      <c r="I458" s="1"/>
      <c r="J458" s="1"/>
      <c r="K458" s="1"/>
      <c r="L458" s="1"/>
      <c r="M458" s="1"/>
      <c r="N458" s="1"/>
      <c r="O458" s="1"/>
      <c r="P458" s="1"/>
      <c r="Q458" s="1"/>
      <c r="R458" s="1"/>
      <c r="S458" s="1"/>
      <c r="T458" s="1"/>
      <c r="U458" s="2"/>
      <c r="V458" s="1"/>
      <c r="W458" s="1"/>
      <c r="X458" s="1"/>
      <c r="Y458" s="1"/>
      <c r="Z458" s="1"/>
    </row>
    <row r="459" spans="1:26" ht="24.75" customHeight="1">
      <c r="A459" s="1"/>
      <c r="B459" s="1"/>
      <c r="C459" s="1"/>
      <c r="D459" s="1"/>
      <c r="E459" s="1"/>
      <c r="F459" s="1"/>
      <c r="G459" s="1"/>
      <c r="H459" s="1"/>
      <c r="I459" s="1"/>
      <c r="J459" s="1"/>
      <c r="K459" s="1"/>
      <c r="L459" s="1"/>
      <c r="M459" s="1"/>
      <c r="N459" s="1"/>
      <c r="O459" s="1"/>
      <c r="P459" s="1"/>
      <c r="Q459" s="1"/>
      <c r="R459" s="1"/>
      <c r="S459" s="1"/>
      <c r="T459" s="1"/>
      <c r="U459" s="2"/>
      <c r="V459" s="1"/>
      <c r="W459" s="1"/>
      <c r="X459" s="1"/>
      <c r="Y459" s="1"/>
      <c r="Z459" s="1"/>
    </row>
    <row r="460" spans="1:26" ht="24.75" customHeight="1">
      <c r="A460" s="1"/>
      <c r="B460" s="1"/>
      <c r="C460" s="1"/>
      <c r="D460" s="1"/>
      <c r="E460" s="1"/>
      <c r="F460" s="1"/>
      <c r="G460" s="1"/>
      <c r="H460" s="1"/>
      <c r="I460" s="1"/>
      <c r="J460" s="1"/>
      <c r="K460" s="1"/>
      <c r="L460" s="1"/>
      <c r="M460" s="1"/>
      <c r="N460" s="1"/>
      <c r="O460" s="1"/>
      <c r="P460" s="1"/>
      <c r="Q460" s="1"/>
      <c r="R460" s="1"/>
      <c r="S460" s="1"/>
      <c r="T460" s="1"/>
      <c r="U460" s="2"/>
      <c r="V460" s="1"/>
      <c r="W460" s="1"/>
      <c r="X460" s="1"/>
      <c r="Y460" s="1"/>
      <c r="Z460" s="1"/>
    </row>
    <row r="461" spans="1:26" ht="24.75" customHeight="1">
      <c r="A461" s="1"/>
      <c r="B461" s="1"/>
      <c r="C461" s="1"/>
      <c r="D461" s="1"/>
      <c r="E461" s="1"/>
      <c r="F461" s="1"/>
      <c r="G461" s="1"/>
      <c r="H461" s="1"/>
      <c r="I461" s="1"/>
      <c r="J461" s="1"/>
      <c r="K461" s="1"/>
      <c r="L461" s="1"/>
      <c r="M461" s="1"/>
      <c r="N461" s="1"/>
      <c r="O461" s="1"/>
      <c r="P461" s="1"/>
      <c r="Q461" s="1"/>
      <c r="R461" s="1"/>
      <c r="S461" s="1"/>
      <c r="T461" s="1"/>
      <c r="U461" s="2"/>
      <c r="V461" s="1"/>
      <c r="W461" s="1"/>
      <c r="X461" s="1"/>
      <c r="Y461" s="1"/>
      <c r="Z461" s="1"/>
    </row>
    <row r="462" spans="1:26" ht="24.75" customHeight="1">
      <c r="A462" s="1"/>
      <c r="B462" s="1"/>
      <c r="C462" s="1"/>
      <c r="D462" s="1"/>
      <c r="E462" s="1"/>
      <c r="F462" s="1"/>
      <c r="G462" s="1"/>
      <c r="H462" s="1"/>
      <c r="I462" s="1"/>
      <c r="J462" s="1"/>
      <c r="K462" s="1"/>
      <c r="L462" s="1"/>
      <c r="M462" s="1"/>
      <c r="N462" s="1"/>
      <c r="O462" s="1"/>
      <c r="P462" s="1"/>
      <c r="Q462" s="1"/>
      <c r="R462" s="1"/>
      <c r="S462" s="1"/>
      <c r="T462" s="1"/>
      <c r="U462" s="2"/>
      <c r="V462" s="1"/>
      <c r="W462" s="1"/>
      <c r="X462" s="1"/>
      <c r="Y462" s="1"/>
      <c r="Z462" s="1"/>
    </row>
    <row r="463" spans="1:26" ht="24.75" customHeight="1">
      <c r="A463" s="1"/>
      <c r="B463" s="1"/>
      <c r="C463" s="1"/>
      <c r="D463" s="1"/>
      <c r="E463" s="1"/>
      <c r="F463" s="1"/>
      <c r="G463" s="1"/>
      <c r="H463" s="1"/>
      <c r="I463" s="1"/>
      <c r="J463" s="1"/>
      <c r="K463" s="1"/>
      <c r="L463" s="1"/>
      <c r="M463" s="1"/>
      <c r="N463" s="1"/>
      <c r="O463" s="1"/>
      <c r="P463" s="1"/>
      <c r="Q463" s="1"/>
      <c r="R463" s="1"/>
      <c r="S463" s="1"/>
      <c r="T463" s="1"/>
      <c r="U463" s="2"/>
      <c r="V463" s="1"/>
      <c r="W463" s="1"/>
      <c r="X463" s="1"/>
      <c r="Y463" s="1"/>
      <c r="Z463" s="1"/>
    </row>
    <row r="464" spans="1:26" ht="24.75" customHeight="1">
      <c r="A464" s="1"/>
      <c r="B464" s="1"/>
      <c r="C464" s="1"/>
      <c r="D464" s="1"/>
      <c r="E464" s="1"/>
      <c r="F464" s="1"/>
      <c r="G464" s="1"/>
      <c r="H464" s="1"/>
      <c r="I464" s="1"/>
      <c r="J464" s="1"/>
      <c r="K464" s="1"/>
      <c r="L464" s="1"/>
      <c r="M464" s="1"/>
      <c r="N464" s="1"/>
      <c r="O464" s="1"/>
      <c r="P464" s="1"/>
      <c r="Q464" s="1"/>
      <c r="R464" s="1"/>
      <c r="S464" s="1"/>
      <c r="T464" s="1"/>
      <c r="U464" s="2"/>
      <c r="V464" s="1"/>
      <c r="W464" s="1"/>
      <c r="X464" s="1"/>
      <c r="Y464" s="1"/>
      <c r="Z464" s="1"/>
    </row>
    <row r="465" spans="1:26" ht="24.75" customHeight="1">
      <c r="A465" s="1"/>
      <c r="B465" s="1"/>
      <c r="C465" s="1"/>
      <c r="D465" s="1"/>
      <c r="E465" s="1"/>
      <c r="F465" s="1"/>
      <c r="G465" s="1"/>
      <c r="H465" s="1"/>
      <c r="I465" s="1"/>
      <c r="J465" s="1"/>
      <c r="K465" s="1"/>
      <c r="L465" s="1"/>
      <c r="M465" s="1"/>
      <c r="N465" s="1"/>
      <c r="O465" s="1"/>
      <c r="P465" s="1"/>
      <c r="Q465" s="1"/>
      <c r="R465" s="1"/>
      <c r="S465" s="1"/>
      <c r="T465" s="1"/>
      <c r="U465" s="2"/>
      <c r="V465" s="1"/>
      <c r="W465" s="1"/>
      <c r="X465" s="1"/>
      <c r="Y465" s="1"/>
      <c r="Z465" s="1"/>
    </row>
    <row r="466" spans="1:26" ht="24.75" customHeight="1">
      <c r="A466" s="1"/>
      <c r="B466" s="1"/>
      <c r="C466" s="1"/>
      <c r="D466" s="1"/>
      <c r="E466" s="1"/>
      <c r="F466" s="1"/>
      <c r="G466" s="1"/>
      <c r="H466" s="1"/>
      <c r="I466" s="1"/>
      <c r="J466" s="1"/>
      <c r="K466" s="1"/>
      <c r="L466" s="1"/>
      <c r="M466" s="1"/>
      <c r="N466" s="1"/>
      <c r="O466" s="1"/>
      <c r="P466" s="1"/>
      <c r="Q466" s="1"/>
      <c r="R466" s="1"/>
      <c r="S466" s="1"/>
      <c r="T466" s="1"/>
      <c r="U466" s="2"/>
      <c r="V466" s="1"/>
      <c r="W466" s="1"/>
      <c r="X466" s="1"/>
      <c r="Y466" s="1"/>
      <c r="Z466" s="1"/>
    </row>
    <row r="467" spans="1:26" ht="24.75" customHeight="1">
      <c r="A467" s="1"/>
      <c r="B467" s="1"/>
      <c r="C467" s="1"/>
      <c r="D467" s="1"/>
      <c r="E467" s="1"/>
      <c r="F467" s="1"/>
      <c r="G467" s="1"/>
      <c r="H467" s="1"/>
      <c r="I467" s="1"/>
      <c r="J467" s="1"/>
      <c r="K467" s="1"/>
      <c r="L467" s="1"/>
      <c r="M467" s="1"/>
      <c r="N467" s="1"/>
      <c r="O467" s="1"/>
      <c r="P467" s="1"/>
      <c r="Q467" s="1"/>
      <c r="R467" s="1"/>
      <c r="S467" s="1"/>
      <c r="T467" s="1"/>
      <c r="U467" s="2"/>
      <c r="V467" s="1"/>
      <c r="W467" s="1"/>
      <c r="X467" s="1"/>
      <c r="Y467" s="1"/>
      <c r="Z467" s="1"/>
    </row>
    <row r="468" spans="1:26" ht="24.75" customHeight="1">
      <c r="A468" s="1"/>
      <c r="B468" s="1"/>
      <c r="C468" s="1"/>
      <c r="D468" s="1"/>
      <c r="E468" s="1"/>
      <c r="F468" s="1"/>
      <c r="G468" s="1"/>
      <c r="H468" s="1"/>
      <c r="I468" s="1"/>
      <c r="J468" s="1"/>
      <c r="K468" s="1"/>
      <c r="L468" s="1"/>
      <c r="M468" s="1"/>
      <c r="N468" s="1"/>
      <c r="O468" s="1"/>
      <c r="P468" s="1"/>
      <c r="Q468" s="1"/>
      <c r="R468" s="1"/>
      <c r="S468" s="1"/>
      <c r="T468" s="1"/>
      <c r="U468" s="2"/>
      <c r="V468" s="1"/>
      <c r="W468" s="1"/>
      <c r="X468" s="1"/>
      <c r="Y468" s="1"/>
      <c r="Z468" s="1"/>
    </row>
    <row r="469" spans="1:26" ht="24.75" customHeight="1">
      <c r="A469" s="1"/>
      <c r="B469" s="1"/>
      <c r="C469" s="1"/>
      <c r="D469" s="1"/>
      <c r="E469" s="1"/>
      <c r="F469" s="1"/>
      <c r="G469" s="1"/>
      <c r="H469" s="1"/>
      <c r="I469" s="1"/>
      <c r="J469" s="1"/>
      <c r="K469" s="1"/>
      <c r="L469" s="1"/>
      <c r="M469" s="1"/>
      <c r="N469" s="1"/>
      <c r="O469" s="1"/>
      <c r="P469" s="1"/>
      <c r="Q469" s="1"/>
      <c r="R469" s="1"/>
      <c r="S469" s="1"/>
      <c r="T469" s="1"/>
      <c r="U469" s="2"/>
      <c r="V469" s="1"/>
      <c r="W469" s="1"/>
      <c r="X469" s="1"/>
      <c r="Y469" s="1"/>
      <c r="Z469" s="1"/>
    </row>
    <row r="470" spans="1:26" ht="24.75" customHeight="1">
      <c r="A470" s="1"/>
      <c r="B470" s="1"/>
      <c r="C470" s="1"/>
      <c r="D470" s="1"/>
      <c r="E470" s="1"/>
      <c r="F470" s="1"/>
      <c r="G470" s="1"/>
      <c r="H470" s="1"/>
      <c r="I470" s="1"/>
      <c r="J470" s="1"/>
      <c r="K470" s="1"/>
      <c r="L470" s="1"/>
      <c r="M470" s="1"/>
      <c r="N470" s="1"/>
      <c r="O470" s="1"/>
      <c r="P470" s="1"/>
      <c r="Q470" s="1"/>
      <c r="R470" s="1"/>
      <c r="S470" s="1"/>
      <c r="T470" s="1"/>
      <c r="U470" s="2"/>
      <c r="V470" s="1"/>
      <c r="W470" s="1"/>
      <c r="X470" s="1"/>
      <c r="Y470" s="1"/>
      <c r="Z470" s="1"/>
    </row>
    <row r="471" spans="1:26" ht="24.75" customHeight="1">
      <c r="A471" s="1"/>
      <c r="B471" s="1"/>
      <c r="C471" s="1"/>
      <c r="D471" s="1"/>
      <c r="E471" s="1"/>
      <c r="F471" s="1"/>
      <c r="G471" s="1"/>
      <c r="H471" s="1"/>
      <c r="I471" s="1"/>
      <c r="J471" s="1"/>
      <c r="K471" s="1"/>
      <c r="L471" s="1"/>
      <c r="M471" s="1"/>
      <c r="N471" s="1"/>
      <c r="O471" s="1"/>
      <c r="P471" s="1"/>
      <c r="Q471" s="1"/>
      <c r="R471" s="1"/>
      <c r="S471" s="1"/>
      <c r="T471" s="1"/>
      <c r="U471" s="2"/>
      <c r="V471" s="1"/>
      <c r="W471" s="1"/>
      <c r="X471" s="1"/>
      <c r="Y471" s="1"/>
      <c r="Z471" s="1"/>
    </row>
    <row r="472" spans="1:26" ht="24.75" customHeight="1">
      <c r="A472" s="1"/>
      <c r="B472" s="1"/>
      <c r="C472" s="1"/>
      <c r="D472" s="1"/>
      <c r="E472" s="1"/>
      <c r="F472" s="1"/>
      <c r="G472" s="1"/>
      <c r="H472" s="1"/>
      <c r="I472" s="1"/>
      <c r="J472" s="1"/>
      <c r="K472" s="1"/>
      <c r="L472" s="1"/>
      <c r="M472" s="1"/>
      <c r="N472" s="1"/>
      <c r="O472" s="1"/>
      <c r="P472" s="1"/>
      <c r="Q472" s="1"/>
      <c r="R472" s="1"/>
      <c r="S472" s="1"/>
      <c r="T472" s="1"/>
      <c r="U472" s="2"/>
      <c r="V472" s="1"/>
      <c r="W472" s="1"/>
      <c r="X472" s="1"/>
      <c r="Y472" s="1"/>
      <c r="Z472" s="1"/>
    </row>
    <row r="473" spans="1:26" ht="24.75" customHeight="1">
      <c r="A473" s="1"/>
      <c r="B473" s="1"/>
      <c r="C473" s="1"/>
      <c r="D473" s="1"/>
      <c r="E473" s="1"/>
      <c r="F473" s="1"/>
      <c r="G473" s="1"/>
      <c r="H473" s="1"/>
      <c r="I473" s="1"/>
      <c r="J473" s="1"/>
      <c r="K473" s="1"/>
      <c r="L473" s="1"/>
      <c r="M473" s="1"/>
      <c r="N473" s="1"/>
      <c r="O473" s="1"/>
      <c r="P473" s="1"/>
      <c r="Q473" s="1"/>
      <c r="R473" s="1"/>
      <c r="S473" s="1"/>
      <c r="T473" s="1"/>
      <c r="U473" s="2"/>
      <c r="V473" s="1"/>
      <c r="W473" s="1"/>
      <c r="X473" s="1"/>
      <c r="Y473" s="1"/>
      <c r="Z473" s="1"/>
    </row>
    <row r="474" spans="1:26" ht="24.75" customHeight="1">
      <c r="A474" s="1"/>
      <c r="B474" s="1"/>
      <c r="C474" s="1"/>
      <c r="D474" s="1"/>
      <c r="E474" s="1"/>
      <c r="F474" s="1"/>
      <c r="G474" s="1"/>
      <c r="H474" s="1"/>
      <c r="I474" s="1"/>
      <c r="J474" s="1"/>
      <c r="K474" s="1"/>
      <c r="L474" s="1"/>
      <c r="M474" s="1"/>
      <c r="N474" s="1"/>
      <c r="O474" s="1"/>
      <c r="P474" s="1"/>
      <c r="Q474" s="1"/>
      <c r="R474" s="1"/>
      <c r="S474" s="1"/>
      <c r="T474" s="1"/>
      <c r="U474" s="2"/>
      <c r="V474" s="1"/>
      <c r="W474" s="1"/>
      <c r="X474" s="1"/>
      <c r="Y474" s="1"/>
      <c r="Z474" s="1"/>
    </row>
    <row r="475" spans="1:26" ht="24.75" customHeight="1">
      <c r="A475" s="1"/>
      <c r="B475" s="1"/>
      <c r="C475" s="1"/>
      <c r="D475" s="1"/>
      <c r="E475" s="1"/>
      <c r="F475" s="1"/>
      <c r="G475" s="1"/>
      <c r="H475" s="1"/>
      <c r="I475" s="1"/>
      <c r="J475" s="1"/>
      <c r="K475" s="1"/>
      <c r="L475" s="1"/>
      <c r="M475" s="1"/>
      <c r="N475" s="1"/>
      <c r="O475" s="1"/>
      <c r="P475" s="1"/>
      <c r="Q475" s="1"/>
      <c r="R475" s="1"/>
      <c r="S475" s="1"/>
      <c r="T475" s="1"/>
      <c r="U475" s="2"/>
      <c r="V475" s="1"/>
      <c r="W475" s="1"/>
      <c r="X475" s="1"/>
      <c r="Y475" s="1"/>
      <c r="Z475" s="1"/>
    </row>
    <row r="476" spans="1:26" ht="24.75" customHeight="1">
      <c r="A476" s="1"/>
      <c r="B476" s="1"/>
      <c r="C476" s="1"/>
      <c r="D476" s="1"/>
      <c r="E476" s="1"/>
      <c r="F476" s="1"/>
      <c r="G476" s="1"/>
      <c r="H476" s="1"/>
      <c r="I476" s="1"/>
      <c r="J476" s="1"/>
      <c r="K476" s="1"/>
      <c r="L476" s="1"/>
      <c r="M476" s="1"/>
      <c r="N476" s="1"/>
      <c r="O476" s="1"/>
      <c r="P476" s="1"/>
      <c r="Q476" s="1"/>
      <c r="R476" s="1"/>
      <c r="S476" s="1"/>
      <c r="T476" s="1"/>
      <c r="U476" s="2"/>
      <c r="V476" s="1"/>
      <c r="W476" s="1"/>
      <c r="X476" s="1"/>
      <c r="Y476" s="1"/>
      <c r="Z476" s="1"/>
    </row>
    <row r="477" spans="1:26" ht="24.75" customHeight="1">
      <c r="A477" s="1"/>
      <c r="B477" s="1"/>
      <c r="C477" s="1"/>
      <c r="D477" s="1"/>
      <c r="E477" s="1"/>
      <c r="F477" s="1"/>
      <c r="G477" s="1"/>
      <c r="H477" s="1"/>
      <c r="I477" s="1"/>
      <c r="J477" s="1"/>
      <c r="K477" s="1"/>
      <c r="L477" s="1"/>
      <c r="M477" s="1"/>
      <c r="N477" s="1"/>
      <c r="O477" s="1"/>
      <c r="P477" s="1"/>
      <c r="Q477" s="1"/>
      <c r="R477" s="1"/>
      <c r="S477" s="1"/>
      <c r="T477" s="1"/>
      <c r="U477" s="2"/>
      <c r="V477" s="1"/>
      <c r="W477" s="1"/>
      <c r="X477" s="1"/>
      <c r="Y477" s="1"/>
      <c r="Z477" s="1"/>
    </row>
    <row r="478" spans="1:26" ht="24.75" customHeight="1">
      <c r="A478" s="1"/>
      <c r="B478" s="1"/>
      <c r="C478" s="1"/>
      <c r="D478" s="1"/>
      <c r="E478" s="1"/>
      <c r="F478" s="1"/>
      <c r="G478" s="1"/>
      <c r="H478" s="1"/>
      <c r="I478" s="1"/>
      <c r="J478" s="1"/>
      <c r="K478" s="1"/>
      <c r="L478" s="1"/>
      <c r="M478" s="1"/>
      <c r="N478" s="1"/>
      <c r="O478" s="1"/>
      <c r="P478" s="1"/>
      <c r="Q478" s="1"/>
      <c r="R478" s="1"/>
      <c r="S478" s="1"/>
      <c r="T478" s="1"/>
      <c r="U478" s="2"/>
      <c r="V478" s="1"/>
      <c r="W478" s="1"/>
      <c r="X478" s="1"/>
      <c r="Y478" s="1"/>
      <c r="Z478" s="1"/>
    </row>
    <row r="479" spans="1:26" ht="24.75" customHeight="1">
      <c r="A479" s="1"/>
      <c r="B479" s="1"/>
      <c r="C479" s="1"/>
      <c r="D479" s="1"/>
      <c r="E479" s="1"/>
      <c r="F479" s="1"/>
      <c r="G479" s="1"/>
      <c r="H479" s="1"/>
      <c r="I479" s="1"/>
      <c r="J479" s="1"/>
      <c r="K479" s="1"/>
      <c r="L479" s="1"/>
      <c r="M479" s="1"/>
      <c r="N479" s="1"/>
      <c r="O479" s="1"/>
      <c r="P479" s="1"/>
      <c r="Q479" s="1"/>
      <c r="R479" s="1"/>
      <c r="S479" s="1"/>
      <c r="T479" s="1"/>
      <c r="U479" s="2"/>
      <c r="V479" s="1"/>
      <c r="W479" s="1"/>
      <c r="X479" s="1"/>
      <c r="Y479" s="1"/>
      <c r="Z479" s="1"/>
    </row>
    <row r="480" spans="1:26" ht="24.75" customHeight="1">
      <c r="A480" s="1"/>
      <c r="B480" s="1"/>
      <c r="C480" s="1"/>
      <c r="D480" s="1"/>
      <c r="E480" s="1"/>
      <c r="F480" s="1"/>
      <c r="G480" s="1"/>
      <c r="H480" s="1"/>
      <c r="I480" s="1"/>
      <c r="J480" s="1"/>
      <c r="K480" s="1"/>
      <c r="L480" s="1"/>
      <c r="M480" s="1"/>
      <c r="N480" s="1"/>
      <c r="O480" s="1"/>
      <c r="P480" s="1"/>
      <c r="Q480" s="1"/>
      <c r="R480" s="1"/>
      <c r="S480" s="1"/>
      <c r="T480" s="1"/>
      <c r="U480" s="2"/>
      <c r="V480" s="1"/>
      <c r="W480" s="1"/>
      <c r="X480" s="1"/>
      <c r="Y480" s="1"/>
      <c r="Z480" s="1"/>
    </row>
    <row r="481" spans="1:26" ht="24.75" customHeight="1">
      <c r="A481" s="1"/>
      <c r="B481" s="1"/>
      <c r="C481" s="1"/>
      <c r="D481" s="1"/>
      <c r="E481" s="1"/>
      <c r="F481" s="1"/>
      <c r="G481" s="1"/>
      <c r="H481" s="1"/>
      <c r="I481" s="1"/>
      <c r="J481" s="1"/>
      <c r="K481" s="1"/>
      <c r="L481" s="1"/>
      <c r="M481" s="1"/>
      <c r="N481" s="1"/>
      <c r="O481" s="1"/>
      <c r="P481" s="1"/>
      <c r="Q481" s="1"/>
      <c r="R481" s="1"/>
      <c r="S481" s="1"/>
      <c r="T481" s="1"/>
      <c r="U481" s="2"/>
      <c r="V481" s="1"/>
      <c r="W481" s="1"/>
      <c r="X481" s="1"/>
      <c r="Y481" s="1"/>
      <c r="Z481" s="1"/>
    </row>
    <row r="482" spans="1:26" ht="24.75" customHeight="1">
      <c r="A482" s="1"/>
      <c r="B482" s="1"/>
      <c r="C482" s="1"/>
      <c r="D482" s="1"/>
      <c r="E482" s="1"/>
      <c r="F482" s="1"/>
      <c r="G482" s="1"/>
      <c r="H482" s="1"/>
      <c r="I482" s="1"/>
      <c r="J482" s="1"/>
      <c r="K482" s="1"/>
      <c r="L482" s="1"/>
      <c r="M482" s="1"/>
      <c r="N482" s="1"/>
      <c r="O482" s="1"/>
      <c r="P482" s="1"/>
      <c r="Q482" s="1"/>
      <c r="R482" s="1"/>
      <c r="S482" s="1"/>
      <c r="T482" s="1"/>
      <c r="U482" s="2"/>
      <c r="V482" s="1"/>
      <c r="W482" s="1"/>
      <c r="X482" s="1"/>
      <c r="Y482" s="1"/>
      <c r="Z482" s="1"/>
    </row>
    <row r="483" spans="1:26" ht="24.75" customHeight="1">
      <c r="A483" s="1"/>
      <c r="B483" s="1"/>
      <c r="C483" s="1"/>
      <c r="D483" s="1"/>
      <c r="E483" s="1"/>
      <c r="F483" s="1"/>
      <c r="G483" s="1"/>
      <c r="H483" s="1"/>
      <c r="I483" s="1"/>
      <c r="J483" s="1"/>
      <c r="K483" s="1"/>
      <c r="L483" s="1"/>
      <c r="M483" s="1"/>
      <c r="N483" s="1"/>
      <c r="O483" s="1"/>
      <c r="P483" s="1"/>
      <c r="Q483" s="1"/>
      <c r="R483" s="1"/>
      <c r="S483" s="1"/>
      <c r="T483" s="1"/>
      <c r="U483" s="2"/>
      <c r="V483" s="1"/>
      <c r="W483" s="1"/>
      <c r="X483" s="1"/>
      <c r="Y483" s="1"/>
      <c r="Z483" s="1"/>
    </row>
    <row r="484" spans="1:26" ht="24.75" customHeight="1">
      <c r="A484" s="1"/>
      <c r="B484" s="1"/>
      <c r="C484" s="1"/>
      <c r="D484" s="1"/>
      <c r="E484" s="1"/>
      <c r="F484" s="1"/>
      <c r="G484" s="1"/>
      <c r="H484" s="1"/>
      <c r="I484" s="1"/>
      <c r="J484" s="1"/>
      <c r="K484" s="1"/>
      <c r="L484" s="1"/>
      <c r="M484" s="1"/>
      <c r="N484" s="1"/>
      <c r="O484" s="1"/>
      <c r="P484" s="1"/>
      <c r="Q484" s="1"/>
      <c r="R484" s="1"/>
      <c r="S484" s="1"/>
      <c r="T484" s="1"/>
      <c r="U484" s="2"/>
      <c r="V484" s="1"/>
      <c r="W484" s="1"/>
      <c r="X484" s="1"/>
      <c r="Y484" s="1"/>
      <c r="Z484" s="1"/>
    </row>
    <row r="485" spans="1:26" ht="24.75" customHeight="1">
      <c r="A485" s="1"/>
      <c r="B485" s="1"/>
      <c r="C485" s="1"/>
      <c r="D485" s="1"/>
      <c r="E485" s="1"/>
      <c r="F485" s="1"/>
      <c r="G485" s="1"/>
      <c r="H485" s="1"/>
      <c r="I485" s="1"/>
      <c r="J485" s="1"/>
      <c r="K485" s="1"/>
      <c r="L485" s="1"/>
      <c r="M485" s="1"/>
      <c r="N485" s="1"/>
      <c r="O485" s="1"/>
      <c r="P485" s="1"/>
      <c r="Q485" s="1"/>
      <c r="R485" s="1"/>
      <c r="S485" s="1"/>
      <c r="T485" s="1"/>
      <c r="U485" s="2"/>
      <c r="V485" s="1"/>
      <c r="W485" s="1"/>
      <c r="X485" s="1"/>
      <c r="Y485" s="1"/>
      <c r="Z485" s="1"/>
    </row>
    <row r="486" spans="1:26" ht="24.75" customHeight="1">
      <c r="A486" s="1"/>
      <c r="B486" s="1"/>
      <c r="C486" s="1"/>
      <c r="D486" s="1"/>
      <c r="E486" s="1"/>
      <c r="F486" s="1"/>
      <c r="G486" s="1"/>
      <c r="H486" s="1"/>
      <c r="I486" s="1"/>
      <c r="J486" s="1"/>
      <c r="K486" s="1"/>
      <c r="L486" s="1"/>
      <c r="M486" s="1"/>
      <c r="N486" s="1"/>
      <c r="O486" s="1"/>
      <c r="P486" s="1"/>
      <c r="Q486" s="1"/>
      <c r="R486" s="1"/>
      <c r="S486" s="1"/>
      <c r="T486" s="1"/>
      <c r="U486" s="2"/>
      <c r="V486" s="1"/>
      <c r="W486" s="1"/>
      <c r="X486" s="1"/>
      <c r="Y486" s="1"/>
      <c r="Z486" s="1"/>
    </row>
    <row r="487" spans="1:26" ht="24.75" customHeight="1">
      <c r="A487" s="1"/>
      <c r="B487" s="1"/>
      <c r="C487" s="1"/>
      <c r="D487" s="1"/>
      <c r="E487" s="1"/>
      <c r="F487" s="1"/>
      <c r="G487" s="1"/>
      <c r="H487" s="1"/>
      <c r="I487" s="1"/>
      <c r="J487" s="1"/>
      <c r="K487" s="1"/>
      <c r="L487" s="1"/>
      <c r="M487" s="1"/>
      <c r="N487" s="1"/>
      <c r="O487" s="1"/>
      <c r="P487" s="1"/>
      <c r="Q487" s="1"/>
      <c r="R487" s="1"/>
      <c r="S487" s="1"/>
      <c r="T487" s="1"/>
      <c r="U487" s="2"/>
      <c r="V487" s="1"/>
      <c r="W487" s="1"/>
      <c r="X487" s="1"/>
      <c r="Y487" s="1"/>
      <c r="Z487" s="1"/>
    </row>
    <row r="488" spans="1:26" ht="24.75" customHeight="1">
      <c r="A488" s="1"/>
      <c r="B488" s="1"/>
      <c r="C488" s="1"/>
      <c r="D488" s="1"/>
      <c r="E488" s="1"/>
      <c r="F488" s="1"/>
      <c r="G488" s="1"/>
      <c r="H488" s="1"/>
      <c r="I488" s="1"/>
      <c r="J488" s="1"/>
      <c r="K488" s="1"/>
      <c r="L488" s="1"/>
      <c r="M488" s="1"/>
      <c r="N488" s="1"/>
      <c r="O488" s="1"/>
      <c r="P488" s="1"/>
      <c r="Q488" s="1"/>
      <c r="R488" s="1"/>
      <c r="S488" s="1"/>
      <c r="T488" s="1"/>
      <c r="U488" s="2"/>
      <c r="V488" s="1"/>
      <c r="W488" s="1"/>
      <c r="X488" s="1"/>
      <c r="Y488" s="1"/>
      <c r="Z488" s="1"/>
    </row>
    <row r="489" spans="1:26" ht="24.75" customHeight="1">
      <c r="A489" s="1"/>
      <c r="B489" s="1"/>
      <c r="C489" s="1"/>
      <c r="D489" s="1"/>
      <c r="E489" s="1"/>
      <c r="F489" s="1"/>
      <c r="G489" s="1"/>
      <c r="H489" s="1"/>
      <c r="I489" s="1"/>
      <c r="J489" s="1"/>
      <c r="K489" s="1"/>
      <c r="L489" s="1"/>
      <c r="M489" s="1"/>
      <c r="N489" s="1"/>
      <c r="O489" s="1"/>
      <c r="P489" s="1"/>
      <c r="Q489" s="1"/>
      <c r="R489" s="1"/>
      <c r="S489" s="1"/>
      <c r="T489" s="1"/>
      <c r="U489" s="2"/>
      <c r="V489" s="1"/>
      <c r="W489" s="1"/>
      <c r="X489" s="1"/>
      <c r="Y489" s="1"/>
      <c r="Z489" s="1"/>
    </row>
    <row r="490" spans="1:26" ht="24.75" customHeight="1">
      <c r="A490" s="1"/>
      <c r="B490" s="1"/>
      <c r="C490" s="1"/>
      <c r="D490" s="1"/>
      <c r="E490" s="1"/>
      <c r="F490" s="1"/>
      <c r="G490" s="1"/>
      <c r="H490" s="1"/>
      <c r="I490" s="1"/>
      <c r="J490" s="1"/>
      <c r="K490" s="1"/>
      <c r="L490" s="1"/>
      <c r="M490" s="1"/>
      <c r="N490" s="1"/>
      <c r="O490" s="1"/>
      <c r="P490" s="1"/>
      <c r="Q490" s="1"/>
      <c r="R490" s="1"/>
      <c r="S490" s="1"/>
      <c r="T490" s="1"/>
      <c r="U490" s="2"/>
      <c r="V490" s="1"/>
      <c r="W490" s="1"/>
      <c r="X490" s="1"/>
      <c r="Y490" s="1"/>
      <c r="Z490" s="1"/>
    </row>
    <row r="491" spans="1:26" ht="24.75" customHeight="1">
      <c r="A491" s="1"/>
      <c r="B491" s="1"/>
      <c r="C491" s="1"/>
      <c r="D491" s="1"/>
      <c r="E491" s="1"/>
      <c r="F491" s="1"/>
      <c r="G491" s="1"/>
      <c r="H491" s="1"/>
      <c r="I491" s="1"/>
      <c r="J491" s="1"/>
      <c r="K491" s="1"/>
      <c r="L491" s="1"/>
      <c r="M491" s="1"/>
      <c r="N491" s="1"/>
      <c r="O491" s="1"/>
      <c r="P491" s="1"/>
      <c r="Q491" s="1"/>
      <c r="R491" s="1"/>
      <c r="S491" s="1"/>
      <c r="T491" s="1"/>
      <c r="U491" s="2"/>
      <c r="V491" s="1"/>
      <c r="W491" s="1"/>
      <c r="X491" s="1"/>
      <c r="Y491" s="1"/>
      <c r="Z491" s="1"/>
    </row>
    <row r="492" spans="1:26" ht="24.75" customHeight="1">
      <c r="A492" s="1"/>
      <c r="B492" s="1"/>
      <c r="C492" s="1"/>
      <c r="D492" s="1"/>
      <c r="E492" s="1"/>
      <c r="F492" s="1"/>
      <c r="G492" s="1"/>
      <c r="H492" s="1"/>
      <c r="I492" s="1"/>
      <c r="J492" s="1"/>
      <c r="K492" s="1"/>
      <c r="L492" s="1"/>
      <c r="M492" s="1"/>
      <c r="N492" s="1"/>
      <c r="O492" s="1"/>
      <c r="P492" s="1"/>
      <c r="Q492" s="1"/>
      <c r="R492" s="1"/>
      <c r="S492" s="1"/>
      <c r="T492" s="1"/>
      <c r="U492" s="2"/>
      <c r="V492" s="1"/>
      <c r="W492" s="1"/>
      <c r="X492" s="1"/>
      <c r="Y492" s="1"/>
      <c r="Z492" s="1"/>
    </row>
    <row r="493" spans="1:26" ht="24.75" customHeight="1">
      <c r="A493" s="1"/>
      <c r="B493" s="1"/>
      <c r="C493" s="1"/>
      <c r="D493" s="1"/>
      <c r="E493" s="1"/>
      <c r="F493" s="1"/>
      <c r="G493" s="1"/>
      <c r="H493" s="1"/>
      <c r="I493" s="1"/>
      <c r="J493" s="1"/>
      <c r="K493" s="1"/>
      <c r="L493" s="1"/>
      <c r="M493" s="1"/>
      <c r="N493" s="1"/>
      <c r="O493" s="1"/>
      <c r="P493" s="1"/>
      <c r="Q493" s="1"/>
      <c r="R493" s="1"/>
      <c r="S493" s="1"/>
      <c r="T493" s="1"/>
      <c r="U493" s="2"/>
      <c r="V493" s="1"/>
      <c r="W493" s="1"/>
      <c r="X493" s="1"/>
      <c r="Y493" s="1"/>
      <c r="Z493" s="1"/>
    </row>
    <row r="494" spans="1:26" ht="24.75" customHeight="1">
      <c r="A494" s="1"/>
      <c r="B494" s="1"/>
      <c r="C494" s="1"/>
      <c r="D494" s="1"/>
      <c r="E494" s="1"/>
      <c r="F494" s="1"/>
      <c r="G494" s="1"/>
      <c r="H494" s="1"/>
      <c r="I494" s="1"/>
      <c r="J494" s="1"/>
      <c r="K494" s="1"/>
      <c r="L494" s="1"/>
      <c r="M494" s="1"/>
      <c r="N494" s="1"/>
      <c r="O494" s="1"/>
      <c r="P494" s="1"/>
      <c r="Q494" s="1"/>
      <c r="R494" s="1"/>
      <c r="S494" s="1"/>
      <c r="T494" s="1"/>
      <c r="U494" s="2"/>
      <c r="V494" s="1"/>
      <c r="W494" s="1"/>
      <c r="X494" s="1"/>
      <c r="Y494" s="1"/>
      <c r="Z494" s="1"/>
    </row>
    <row r="495" spans="1:26" ht="24.75" customHeight="1">
      <c r="A495" s="1"/>
      <c r="B495" s="1"/>
      <c r="C495" s="1"/>
      <c r="D495" s="1"/>
      <c r="E495" s="1"/>
      <c r="F495" s="1"/>
      <c r="G495" s="1"/>
      <c r="H495" s="1"/>
      <c r="I495" s="1"/>
      <c r="J495" s="1"/>
      <c r="K495" s="1"/>
      <c r="L495" s="1"/>
      <c r="M495" s="1"/>
      <c r="N495" s="1"/>
      <c r="O495" s="1"/>
      <c r="P495" s="1"/>
      <c r="Q495" s="1"/>
      <c r="R495" s="1"/>
      <c r="S495" s="1"/>
      <c r="T495" s="1"/>
      <c r="U495" s="2"/>
      <c r="V495" s="1"/>
      <c r="W495" s="1"/>
      <c r="X495" s="1"/>
      <c r="Y495" s="1"/>
      <c r="Z495" s="1"/>
    </row>
    <row r="496" spans="1:26" ht="24.75" customHeight="1">
      <c r="A496" s="1"/>
      <c r="B496" s="1"/>
      <c r="C496" s="1"/>
      <c r="D496" s="1"/>
      <c r="E496" s="1"/>
      <c r="F496" s="1"/>
      <c r="G496" s="1"/>
      <c r="H496" s="1"/>
      <c r="I496" s="1"/>
      <c r="J496" s="1"/>
      <c r="K496" s="1"/>
      <c r="L496" s="1"/>
      <c r="M496" s="1"/>
      <c r="N496" s="1"/>
      <c r="O496" s="1"/>
      <c r="P496" s="1"/>
      <c r="Q496" s="1"/>
      <c r="R496" s="1"/>
      <c r="S496" s="1"/>
      <c r="T496" s="1"/>
      <c r="U496" s="2"/>
      <c r="V496" s="1"/>
      <c r="W496" s="1"/>
      <c r="X496" s="1"/>
      <c r="Y496" s="1"/>
      <c r="Z496" s="1"/>
    </row>
    <row r="497" spans="1:26" ht="24.75" customHeight="1">
      <c r="A497" s="1"/>
      <c r="B497" s="1"/>
      <c r="C497" s="1"/>
      <c r="D497" s="1"/>
      <c r="E497" s="1"/>
      <c r="F497" s="1"/>
      <c r="G497" s="1"/>
      <c r="H497" s="1"/>
      <c r="I497" s="1"/>
      <c r="J497" s="1"/>
      <c r="K497" s="1"/>
      <c r="L497" s="1"/>
      <c r="M497" s="1"/>
      <c r="N497" s="1"/>
      <c r="O497" s="1"/>
      <c r="P497" s="1"/>
      <c r="Q497" s="1"/>
      <c r="R497" s="1"/>
      <c r="S497" s="1"/>
      <c r="T497" s="1"/>
      <c r="U497" s="2"/>
      <c r="V497" s="1"/>
      <c r="W497" s="1"/>
      <c r="X497" s="1"/>
      <c r="Y497" s="1"/>
      <c r="Z497" s="1"/>
    </row>
    <row r="498" spans="1:26" ht="24.75" customHeight="1">
      <c r="A498" s="1"/>
      <c r="B498" s="1"/>
      <c r="C498" s="1"/>
      <c r="D498" s="1"/>
      <c r="E498" s="1"/>
      <c r="F498" s="1"/>
      <c r="G498" s="1"/>
      <c r="H498" s="1"/>
      <c r="I498" s="1"/>
      <c r="J498" s="1"/>
      <c r="K498" s="1"/>
      <c r="L498" s="1"/>
      <c r="M498" s="1"/>
      <c r="N498" s="1"/>
      <c r="O498" s="1"/>
      <c r="P498" s="1"/>
      <c r="Q498" s="1"/>
      <c r="R498" s="1"/>
      <c r="S498" s="1"/>
      <c r="T498" s="1"/>
      <c r="U498" s="2"/>
      <c r="V498" s="1"/>
      <c r="W498" s="1"/>
      <c r="X498" s="1"/>
      <c r="Y498" s="1"/>
      <c r="Z498" s="1"/>
    </row>
    <row r="499" spans="1:26" ht="24.75" customHeight="1">
      <c r="A499" s="1"/>
      <c r="B499" s="1"/>
      <c r="C499" s="1"/>
      <c r="D499" s="1"/>
      <c r="E499" s="1"/>
      <c r="F499" s="1"/>
      <c r="G499" s="1"/>
      <c r="H499" s="1"/>
      <c r="I499" s="1"/>
      <c r="J499" s="1"/>
      <c r="K499" s="1"/>
      <c r="L499" s="1"/>
      <c r="M499" s="1"/>
      <c r="N499" s="1"/>
      <c r="O499" s="1"/>
      <c r="P499" s="1"/>
      <c r="Q499" s="1"/>
      <c r="R499" s="1"/>
      <c r="S499" s="1"/>
      <c r="T499" s="1"/>
      <c r="U499" s="2"/>
      <c r="V499" s="1"/>
      <c r="W499" s="1"/>
      <c r="X499" s="1"/>
      <c r="Y499" s="1"/>
      <c r="Z499" s="1"/>
    </row>
    <row r="500" spans="1:26" ht="24.75" customHeight="1">
      <c r="A500" s="1"/>
      <c r="B500" s="1"/>
      <c r="C500" s="1"/>
      <c r="D500" s="1"/>
      <c r="E500" s="1"/>
      <c r="F500" s="1"/>
      <c r="G500" s="1"/>
      <c r="H500" s="1"/>
      <c r="I500" s="1"/>
      <c r="J500" s="1"/>
      <c r="K500" s="1"/>
      <c r="L500" s="1"/>
      <c r="M500" s="1"/>
      <c r="N500" s="1"/>
      <c r="O500" s="1"/>
      <c r="P500" s="1"/>
      <c r="Q500" s="1"/>
      <c r="R500" s="1"/>
      <c r="S500" s="1"/>
      <c r="T500" s="1"/>
      <c r="U500" s="2"/>
      <c r="V500" s="1"/>
      <c r="W500" s="1"/>
      <c r="X500" s="1"/>
      <c r="Y500" s="1"/>
      <c r="Z500" s="1"/>
    </row>
    <row r="501" spans="1:26" ht="24.75" customHeight="1">
      <c r="A501" s="1"/>
      <c r="B501" s="1"/>
      <c r="C501" s="1"/>
      <c r="D501" s="1"/>
      <c r="E501" s="1"/>
      <c r="F501" s="1"/>
      <c r="G501" s="1"/>
      <c r="H501" s="1"/>
      <c r="I501" s="1"/>
      <c r="J501" s="1"/>
      <c r="K501" s="1"/>
      <c r="L501" s="1"/>
      <c r="M501" s="1"/>
      <c r="N501" s="1"/>
      <c r="O501" s="1"/>
      <c r="P501" s="1"/>
      <c r="Q501" s="1"/>
      <c r="R501" s="1"/>
      <c r="S501" s="1"/>
      <c r="T501" s="1"/>
      <c r="U501" s="2"/>
      <c r="V501" s="1"/>
      <c r="W501" s="1"/>
      <c r="X501" s="1"/>
      <c r="Y501" s="1"/>
      <c r="Z501" s="1"/>
    </row>
    <row r="502" spans="1:26" ht="24.75" customHeight="1">
      <c r="A502" s="1"/>
      <c r="B502" s="1"/>
      <c r="C502" s="1"/>
      <c r="D502" s="1"/>
      <c r="E502" s="1"/>
      <c r="F502" s="1"/>
      <c r="G502" s="1"/>
      <c r="H502" s="1"/>
      <c r="I502" s="1"/>
      <c r="J502" s="1"/>
      <c r="K502" s="1"/>
      <c r="L502" s="1"/>
      <c r="M502" s="1"/>
      <c r="N502" s="1"/>
      <c r="O502" s="1"/>
      <c r="P502" s="1"/>
      <c r="Q502" s="1"/>
      <c r="R502" s="1"/>
      <c r="S502" s="1"/>
      <c r="T502" s="1"/>
      <c r="U502" s="2"/>
      <c r="V502" s="1"/>
      <c r="W502" s="1"/>
      <c r="X502" s="1"/>
      <c r="Y502" s="1"/>
      <c r="Z502" s="1"/>
    </row>
    <row r="503" spans="1:26" ht="24.75" customHeight="1">
      <c r="A503" s="1"/>
      <c r="B503" s="1"/>
      <c r="C503" s="1"/>
      <c r="D503" s="1"/>
      <c r="E503" s="1"/>
      <c r="F503" s="1"/>
      <c r="G503" s="1"/>
      <c r="H503" s="1"/>
      <c r="I503" s="1"/>
      <c r="J503" s="1"/>
      <c r="K503" s="1"/>
      <c r="L503" s="1"/>
      <c r="M503" s="1"/>
      <c r="N503" s="1"/>
      <c r="O503" s="1"/>
      <c r="P503" s="1"/>
      <c r="Q503" s="1"/>
      <c r="R503" s="1"/>
      <c r="S503" s="1"/>
      <c r="T503" s="1"/>
      <c r="U503" s="2"/>
      <c r="V503" s="1"/>
      <c r="W503" s="1"/>
      <c r="X503" s="1"/>
      <c r="Y503" s="1"/>
      <c r="Z503" s="1"/>
    </row>
    <row r="504" spans="1:26" ht="24.75" customHeight="1">
      <c r="A504" s="1"/>
      <c r="B504" s="1"/>
      <c r="C504" s="1"/>
      <c r="D504" s="1"/>
      <c r="E504" s="1"/>
      <c r="F504" s="1"/>
      <c r="G504" s="1"/>
      <c r="H504" s="1"/>
      <c r="I504" s="1"/>
      <c r="J504" s="1"/>
      <c r="K504" s="1"/>
      <c r="L504" s="1"/>
      <c r="M504" s="1"/>
      <c r="N504" s="1"/>
      <c r="O504" s="1"/>
      <c r="P504" s="1"/>
      <c r="Q504" s="1"/>
      <c r="R504" s="1"/>
      <c r="S504" s="1"/>
      <c r="T504" s="1"/>
      <c r="U504" s="2"/>
      <c r="V504" s="1"/>
      <c r="W504" s="1"/>
      <c r="X504" s="1"/>
      <c r="Y504" s="1"/>
      <c r="Z504" s="1"/>
    </row>
    <row r="505" spans="1:26" ht="24.75" customHeight="1">
      <c r="A505" s="1"/>
      <c r="B505" s="1"/>
      <c r="C505" s="1"/>
      <c r="D505" s="1"/>
      <c r="E505" s="1"/>
      <c r="F505" s="1"/>
      <c r="G505" s="1"/>
      <c r="H505" s="1"/>
      <c r="I505" s="1"/>
      <c r="J505" s="1"/>
      <c r="K505" s="1"/>
      <c r="L505" s="1"/>
      <c r="M505" s="1"/>
      <c r="N505" s="1"/>
      <c r="O505" s="1"/>
      <c r="P505" s="1"/>
      <c r="Q505" s="1"/>
      <c r="R505" s="1"/>
      <c r="S505" s="1"/>
      <c r="T505" s="1"/>
      <c r="U505" s="2"/>
      <c r="V505" s="1"/>
      <c r="W505" s="1"/>
      <c r="X505" s="1"/>
      <c r="Y505" s="1"/>
      <c r="Z505" s="1"/>
    </row>
    <row r="506" spans="1:26" ht="24.75" customHeight="1">
      <c r="A506" s="1"/>
      <c r="B506" s="1"/>
      <c r="C506" s="1"/>
      <c r="D506" s="1"/>
      <c r="E506" s="1"/>
      <c r="F506" s="1"/>
      <c r="G506" s="1"/>
      <c r="H506" s="1"/>
      <c r="I506" s="1"/>
      <c r="J506" s="1"/>
      <c r="K506" s="1"/>
      <c r="L506" s="1"/>
      <c r="M506" s="1"/>
      <c r="N506" s="1"/>
      <c r="O506" s="1"/>
      <c r="P506" s="1"/>
      <c r="Q506" s="1"/>
      <c r="R506" s="1"/>
      <c r="S506" s="1"/>
      <c r="T506" s="1"/>
      <c r="U506" s="2"/>
      <c r="V506" s="1"/>
      <c r="W506" s="1"/>
      <c r="X506" s="1"/>
      <c r="Y506" s="1"/>
      <c r="Z506" s="1"/>
    </row>
    <row r="507" spans="1:26" ht="24.75" customHeight="1">
      <c r="A507" s="1"/>
      <c r="B507" s="1"/>
      <c r="C507" s="1"/>
      <c r="D507" s="1"/>
      <c r="E507" s="1"/>
      <c r="F507" s="1"/>
      <c r="G507" s="1"/>
      <c r="H507" s="1"/>
      <c r="I507" s="1"/>
      <c r="J507" s="1"/>
      <c r="K507" s="1"/>
      <c r="L507" s="1"/>
      <c r="M507" s="1"/>
      <c r="N507" s="1"/>
      <c r="O507" s="1"/>
      <c r="P507" s="1"/>
      <c r="Q507" s="1"/>
      <c r="R507" s="1"/>
      <c r="S507" s="1"/>
      <c r="T507" s="1"/>
      <c r="U507" s="2"/>
      <c r="V507" s="1"/>
      <c r="W507" s="1"/>
      <c r="X507" s="1"/>
      <c r="Y507" s="1"/>
      <c r="Z507" s="1"/>
    </row>
    <row r="508" spans="1:26" ht="24.75" customHeight="1">
      <c r="A508" s="1"/>
      <c r="B508" s="1"/>
      <c r="C508" s="1"/>
      <c r="D508" s="1"/>
      <c r="E508" s="1"/>
      <c r="F508" s="1"/>
      <c r="G508" s="1"/>
      <c r="H508" s="1"/>
      <c r="I508" s="1"/>
      <c r="J508" s="1"/>
      <c r="K508" s="1"/>
      <c r="L508" s="1"/>
      <c r="M508" s="1"/>
      <c r="N508" s="1"/>
      <c r="O508" s="1"/>
      <c r="P508" s="1"/>
      <c r="Q508" s="1"/>
      <c r="R508" s="1"/>
      <c r="S508" s="1"/>
      <c r="T508" s="1"/>
      <c r="U508" s="2"/>
      <c r="V508" s="1"/>
      <c r="W508" s="1"/>
      <c r="X508" s="1"/>
      <c r="Y508" s="1"/>
      <c r="Z508" s="1"/>
    </row>
    <row r="509" spans="1:26" ht="24.75" customHeight="1">
      <c r="A509" s="1"/>
      <c r="B509" s="1"/>
      <c r="C509" s="1"/>
      <c r="D509" s="1"/>
      <c r="E509" s="1"/>
      <c r="F509" s="1"/>
      <c r="G509" s="1"/>
      <c r="H509" s="1"/>
      <c r="I509" s="1"/>
      <c r="J509" s="1"/>
      <c r="K509" s="1"/>
      <c r="L509" s="1"/>
      <c r="M509" s="1"/>
      <c r="N509" s="1"/>
      <c r="O509" s="1"/>
      <c r="P509" s="1"/>
      <c r="Q509" s="1"/>
      <c r="R509" s="1"/>
      <c r="S509" s="1"/>
      <c r="T509" s="1"/>
      <c r="U509" s="2"/>
      <c r="V509" s="1"/>
      <c r="W509" s="1"/>
      <c r="X509" s="1"/>
      <c r="Y509" s="1"/>
      <c r="Z509" s="1"/>
    </row>
    <row r="510" spans="1:26" ht="24.75" customHeight="1">
      <c r="A510" s="1"/>
      <c r="B510" s="1"/>
      <c r="C510" s="1"/>
      <c r="D510" s="1"/>
      <c r="E510" s="1"/>
      <c r="F510" s="1"/>
      <c r="G510" s="1"/>
      <c r="H510" s="1"/>
      <c r="I510" s="1"/>
      <c r="J510" s="1"/>
      <c r="K510" s="1"/>
      <c r="L510" s="1"/>
      <c r="M510" s="1"/>
      <c r="N510" s="1"/>
      <c r="O510" s="1"/>
      <c r="P510" s="1"/>
      <c r="Q510" s="1"/>
      <c r="R510" s="1"/>
      <c r="S510" s="1"/>
      <c r="T510" s="1"/>
      <c r="U510" s="2"/>
      <c r="V510" s="1"/>
      <c r="W510" s="1"/>
      <c r="X510" s="1"/>
      <c r="Y510" s="1"/>
      <c r="Z510" s="1"/>
    </row>
    <row r="511" spans="1:26" ht="24.75" customHeight="1">
      <c r="A511" s="1"/>
      <c r="B511" s="1"/>
      <c r="C511" s="1"/>
      <c r="D511" s="1"/>
      <c r="E511" s="1"/>
      <c r="F511" s="1"/>
      <c r="G511" s="1"/>
      <c r="H511" s="1"/>
      <c r="I511" s="1"/>
      <c r="J511" s="1"/>
      <c r="K511" s="1"/>
      <c r="L511" s="1"/>
      <c r="M511" s="1"/>
      <c r="N511" s="1"/>
      <c r="O511" s="1"/>
      <c r="P511" s="1"/>
      <c r="Q511" s="1"/>
      <c r="R511" s="1"/>
      <c r="S511" s="1"/>
      <c r="T511" s="1"/>
      <c r="U511" s="2"/>
      <c r="V511" s="1"/>
      <c r="W511" s="1"/>
      <c r="X511" s="1"/>
      <c r="Y511" s="1"/>
      <c r="Z511" s="1"/>
    </row>
    <row r="512" spans="1:26" ht="24.75" customHeight="1">
      <c r="A512" s="1"/>
      <c r="B512" s="1"/>
      <c r="C512" s="1"/>
      <c r="D512" s="1"/>
      <c r="E512" s="1"/>
      <c r="F512" s="1"/>
      <c r="G512" s="1"/>
      <c r="H512" s="1"/>
      <c r="I512" s="1"/>
      <c r="J512" s="1"/>
      <c r="K512" s="1"/>
      <c r="L512" s="1"/>
      <c r="M512" s="1"/>
      <c r="N512" s="1"/>
      <c r="O512" s="1"/>
      <c r="P512" s="1"/>
      <c r="Q512" s="1"/>
      <c r="R512" s="1"/>
      <c r="S512" s="1"/>
      <c r="T512" s="1"/>
      <c r="U512" s="2"/>
      <c r="V512" s="1"/>
      <c r="W512" s="1"/>
      <c r="X512" s="1"/>
      <c r="Y512" s="1"/>
      <c r="Z512" s="1"/>
    </row>
    <row r="513" spans="1:26" ht="24.75" customHeight="1">
      <c r="A513" s="1"/>
      <c r="B513" s="1"/>
      <c r="C513" s="1"/>
      <c r="D513" s="1"/>
      <c r="E513" s="1"/>
      <c r="F513" s="1"/>
      <c r="G513" s="1"/>
      <c r="H513" s="1"/>
      <c r="I513" s="1"/>
      <c r="J513" s="1"/>
      <c r="K513" s="1"/>
      <c r="L513" s="1"/>
      <c r="M513" s="1"/>
      <c r="N513" s="1"/>
      <c r="O513" s="1"/>
      <c r="P513" s="1"/>
      <c r="Q513" s="1"/>
      <c r="R513" s="1"/>
      <c r="S513" s="1"/>
      <c r="T513" s="1"/>
      <c r="U513" s="2"/>
      <c r="V513" s="1"/>
      <c r="W513" s="1"/>
      <c r="X513" s="1"/>
      <c r="Y513" s="1"/>
      <c r="Z513" s="1"/>
    </row>
    <row r="514" spans="1:26" ht="24.75" customHeight="1">
      <c r="A514" s="1"/>
      <c r="B514" s="1"/>
      <c r="C514" s="1"/>
      <c r="D514" s="1"/>
      <c r="E514" s="1"/>
      <c r="F514" s="1"/>
      <c r="G514" s="1"/>
      <c r="H514" s="1"/>
      <c r="I514" s="1"/>
      <c r="J514" s="1"/>
      <c r="K514" s="1"/>
      <c r="L514" s="1"/>
      <c r="M514" s="1"/>
      <c r="N514" s="1"/>
      <c r="O514" s="1"/>
      <c r="P514" s="1"/>
      <c r="Q514" s="1"/>
      <c r="R514" s="1"/>
      <c r="S514" s="1"/>
      <c r="T514" s="1"/>
      <c r="U514" s="2"/>
      <c r="V514" s="1"/>
      <c r="W514" s="1"/>
      <c r="X514" s="1"/>
      <c r="Y514" s="1"/>
      <c r="Z514" s="1"/>
    </row>
    <row r="515" spans="1:26" ht="24.75" customHeight="1">
      <c r="A515" s="1"/>
      <c r="B515" s="1"/>
      <c r="C515" s="1"/>
      <c r="D515" s="1"/>
      <c r="E515" s="1"/>
      <c r="F515" s="1"/>
      <c r="G515" s="1"/>
      <c r="H515" s="1"/>
      <c r="I515" s="1"/>
      <c r="J515" s="1"/>
      <c r="K515" s="1"/>
      <c r="L515" s="1"/>
      <c r="M515" s="1"/>
      <c r="N515" s="1"/>
      <c r="O515" s="1"/>
      <c r="P515" s="1"/>
      <c r="Q515" s="1"/>
      <c r="R515" s="1"/>
      <c r="S515" s="1"/>
      <c r="T515" s="1"/>
      <c r="U515" s="2"/>
      <c r="V515" s="1"/>
      <c r="W515" s="1"/>
      <c r="X515" s="1"/>
      <c r="Y515" s="1"/>
      <c r="Z515" s="1"/>
    </row>
    <row r="516" spans="1:26" ht="24.75" customHeight="1">
      <c r="A516" s="1"/>
      <c r="B516" s="1"/>
      <c r="C516" s="1"/>
      <c r="D516" s="1"/>
      <c r="E516" s="1"/>
      <c r="F516" s="1"/>
      <c r="G516" s="1"/>
      <c r="H516" s="1"/>
      <c r="I516" s="1"/>
      <c r="J516" s="1"/>
      <c r="K516" s="1"/>
      <c r="L516" s="1"/>
      <c r="M516" s="1"/>
      <c r="N516" s="1"/>
      <c r="O516" s="1"/>
      <c r="P516" s="1"/>
      <c r="Q516" s="1"/>
      <c r="R516" s="1"/>
      <c r="S516" s="1"/>
      <c r="T516" s="1"/>
      <c r="U516" s="2"/>
      <c r="V516" s="1"/>
      <c r="W516" s="1"/>
      <c r="X516" s="1"/>
      <c r="Y516" s="1"/>
      <c r="Z516" s="1"/>
    </row>
    <row r="517" spans="1:26" ht="24.75" customHeight="1">
      <c r="A517" s="1"/>
      <c r="B517" s="1"/>
      <c r="C517" s="1"/>
      <c r="D517" s="1"/>
      <c r="E517" s="1"/>
      <c r="F517" s="1"/>
      <c r="G517" s="1"/>
      <c r="H517" s="1"/>
      <c r="I517" s="1"/>
      <c r="J517" s="1"/>
      <c r="K517" s="1"/>
      <c r="L517" s="1"/>
      <c r="M517" s="1"/>
      <c r="N517" s="1"/>
      <c r="O517" s="1"/>
      <c r="P517" s="1"/>
      <c r="Q517" s="1"/>
      <c r="R517" s="1"/>
      <c r="S517" s="1"/>
      <c r="T517" s="1"/>
      <c r="U517" s="2"/>
      <c r="V517" s="1"/>
      <c r="W517" s="1"/>
      <c r="X517" s="1"/>
      <c r="Y517" s="1"/>
      <c r="Z517" s="1"/>
    </row>
    <row r="518" spans="1:26" ht="24.75" customHeight="1">
      <c r="A518" s="1"/>
      <c r="B518" s="1"/>
      <c r="C518" s="1"/>
      <c r="D518" s="1"/>
      <c r="E518" s="1"/>
      <c r="F518" s="1"/>
      <c r="G518" s="1"/>
      <c r="H518" s="1"/>
      <c r="I518" s="1"/>
      <c r="J518" s="1"/>
      <c r="K518" s="1"/>
      <c r="L518" s="1"/>
      <c r="M518" s="1"/>
      <c r="N518" s="1"/>
      <c r="O518" s="1"/>
      <c r="P518" s="1"/>
      <c r="Q518" s="1"/>
      <c r="R518" s="1"/>
      <c r="S518" s="1"/>
      <c r="T518" s="1"/>
      <c r="U518" s="2"/>
      <c r="V518" s="1"/>
      <c r="W518" s="1"/>
      <c r="X518" s="1"/>
      <c r="Y518" s="1"/>
      <c r="Z518" s="1"/>
    </row>
    <row r="519" spans="1:26" ht="24.75" customHeight="1">
      <c r="A519" s="1"/>
      <c r="B519" s="1"/>
      <c r="C519" s="1"/>
      <c r="D519" s="1"/>
      <c r="E519" s="1"/>
      <c r="F519" s="1"/>
      <c r="G519" s="1"/>
      <c r="H519" s="1"/>
      <c r="I519" s="1"/>
      <c r="J519" s="1"/>
      <c r="K519" s="1"/>
      <c r="L519" s="1"/>
      <c r="M519" s="1"/>
      <c r="N519" s="1"/>
      <c r="O519" s="1"/>
      <c r="P519" s="1"/>
      <c r="Q519" s="1"/>
      <c r="R519" s="1"/>
      <c r="S519" s="1"/>
      <c r="T519" s="1"/>
      <c r="U519" s="2"/>
      <c r="V519" s="1"/>
      <c r="W519" s="1"/>
      <c r="X519" s="1"/>
      <c r="Y519" s="1"/>
      <c r="Z519" s="1"/>
    </row>
    <row r="520" spans="1:26" ht="24.75" customHeight="1">
      <c r="A520" s="1"/>
      <c r="B520" s="1"/>
      <c r="C520" s="1"/>
      <c r="D520" s="1"/>
      <c r="E520" s="1"/>
      <c r="F520" s="1"/>
      <c r="G520" s="1"/>
      <c r="H520" s="1"/>
      <c r="I520" s="1"/>
      <c r="J520" s="1"/>
      <c r="K520" s="1"/>
      <c r="L520" s="1"/>
      <c r="M520" s="1"/>
      <c r="N520" s="1"/>
      <c r="O520" s="1"/>
      <c r="P520" s="1"/>
      <c r="Q520" s="1"/>
      <c r="R520" s="1"/>
      <c r="S520" s="1"/>
      <c r="T520" s="1"/>
      <c r="U520" s="2"/>
      <c r="V520" s="1"/>
      <c r="W520" s="1"/>
      <c r="X520" s="1"/>
      <c r="Y520" s="1"/>
      <c r="Z520" s="1"/>
    </row>
    <row r="521" spans="1:26" ht="24.75" customHeight="1">
      <c r="A521" s="1"/>
      <c r="B521" s="1"/>
      <c r="C521" s="1"/>
      <c r="D521" s="1"/>
      <c r="E521" s="1"/>
      <c r="F521" s="1"/>
      <c r="G521" s="1"/>
      <c r="H521" s="1"/>
      <c r="I521" s="1"/>
      <c r="J521" s="1"/>
      <c r="K521" s="1"/>
      <c r="L521" s="1"/>
      <c r="M521" s="1"/>
      <c r="N521" s="1"/>
      <c r="O521" s="1"/>
      <c r="P521" s="1"/>
      <c r="Q521" s="1"/>
      <c r="R521" s="1"/>
      <c r="S521" s="1"/>
      <c r="T521" s="1"/>
      <c r="U521" s="2"/>
      <c r="V521" s="1"/>
      <c r="W521" s="1"/>
      <c r="X521" s="1"/>
      <c r="Y521" s="1"/>
      <c r="Z521" s="1"/>
    </row>
    <row r="522" spans="1:26" ht="24.75" customHeight="1">
      <c r="A522" s="1"/>
      <c r="B522" s="1"/>
      <c r="C522" s="1"/>
      <c r="D522" s="1"/>
      <c r="E522" s="1"/>
      <c r="F522" s="1"/>
      <c r="G522" s="1"/>
      <c r="H522" s="1"/>
      <c r="I522" s="1"/>
      <c r="J522" s="1"/>
      <c r="K522" s="1"/>
      <c r="L522" s="1"/>
      <c r="M522" s="1"/>
      <c r="N522" s="1"/>
      <c r="O522" s="1"/>
      <c r="P522" s="1"/>
      <c r="Q522" s="1"/>
      <c r="R522" s="1"/>
      <c r="S522" s="1"/>
      <c r="T522" s="1"/>
      <c r="U522" s="2"/>
      <c r="V522" s="1"/>
      <c r="W522" s="1"/>
      <c r="X522" s="1"/>
      <c r="Y522" s="1"/>
      <c r="Z522" s="1"/>
    </row>
    <row r="523" spans="1:26" ht="24.75" customHeight="1">
      <c r="A523" s="1"/>
      <c r="B523" s="1"/>
      <c r="C523" s="1"/>
      <c r="D523" s="1"/>
      <c r="E523" s="1"/>
      <c r="F523" s="1"/>
      <c r="G523" s="1"/>
      <c r="H523" s="1"/>
      <c r="I523" s="1"/>
      <c r="J523" s="1"/>
      <c r="K523" s="1"/>
      <c r="L523" s="1"/>
      <c r="M523" s="1"/>
      <c r="N523" s="1"/>
      <c r="O523" s="1"/>
      <c r="P523" s="1"/>
      <c r="Q523" s="1"/>
      <c r="R523" s="1"/>
      <c r="S523" s="1"/>
      <c r="T523" s="1"/>
      <c r="U523" s="2"/>
      <c r="V523" s="1"/>
      <c r="W523" s="1"/>
      <c r="X523" s="1"/>
      <c r="Y523" s="1"/>
      <c r="Z523" s="1"/>
    </row>
    <row r="524" spans="1:26" ht="24.75" customHeight="1">
      <c r="A524" s="1"/>
      <c r="B524" s="1"/>
      <c r="C524" s="1"/>
      <c r="D524" s="1"/>
      <c r="E524" s="1"/>
      <c r="F524" s="1"/>
      <c r="G524" s="1"/>
      <c r="H524" s="1"/>
      <c r="I524" s="1"/>
      <c r="J524" s="1"/>
      <c r="K524" s="1"/>
      <c r="L524" s="1"/>
      <c r="M524" s="1"/>
      <c r="N524" s="1"/>
      <c r="O524" s="1"/>
      <c r="P524" s="1"/>
      <c r="Q524" s="1"/>
      <c r="R524" s="1"/>
      <c r="S524" s="1"/>
      <c r="T524" s="1"/>
      <c r="U524" s="2"/>
      <c r="V524" s="1"/>
      <c r="W524" s="1"/>
      <c r="X524" s="1"/>
      <c r="Y524" s="1"/>
      <c r="Z524" s="1"/>
    </row>
    <row r="525" spans="1:26" ht="24.75" customHeight="1">
      <c r="A525" s="1"/>
      <c r="B525" s="1"/>
      <c r="C525" s="1"/>
      <c r="D525" s="1"/>
      <c r="E525" s="1"/>
      <c r="F525" s="1"/>
      <c r="G525" s="1"/>
      <c r="H525" s="1"/>
      <c r="I525" s="1"/>
      <c r="J525" s="1"/>
      <c r="K525" s="1"/>
      <c r="L525" s="1"/>
      <c r="M525" s="1"/>
      <c r="N525" s="1"/>
      <c r="O525" s="1"/>
      <c r="P525" s="1"/>
      <c r="Q525" s="1"/>
      <c r="R525" s="1"/>
      <c r="S525" s="1"/>
      <c r="T525" s="1"/>
      <c r="U525" s="2"/>
      <c r="V525" s="1"/>
      <c r="W525" s="1"/>
      <c r="X525" s="1"/>
      <c r="Y525" s="1"/>
      <c r="Z525" s="1"/>
    </row>
    <row r="526" spans="1:26" ht="24.75" customHeight="1">
      <c r="A526" s="1"/>
      <c r="B526" s="1"/>
      <c r="C526" s="1"/>
      <c r="D526" s="1"/>
      <c r="E526" s="1"/>
      <c r="F526" s="1"/>
      <c r="G526" s="1"/>
      <c r="H526" s="1"/>
      <c r="I526" s="1"/>
      <c r="J526" s="1"/>
      <c r="K526" s="1"/>
      <c r="L526" s="1"/>
      <c r="M526" s="1"/>
      <c r="N526" s="1"/>
      <c r="O526" s="1"/>
      <c r="P526" s="1"/>
      <c r="Q526" s="1"/>
      <c r="R526" s="1"/>
      <c r="S526" s="1"/>
      <c r="T526" s="1"/>
      <c r="U526" s="2"/>
      <c r="V526" s="1"/>
      <c r="W526" s="1"/>
      <c r="X526" s="1"/>
      <c r="Y526" s="1"/>
      <c r="Z526" s="1"/>
    </row>
    <row r="527" spans="1:26" ht="24.75" customHeight="1">
      <c r="A527" s="1"/>
      <c r="B527" s="1"/>
      <c r="C527" s="1"/>
      <c r="D527" s="1"/>
      <c r="E527" s="1"/>
      <c r="F527" s="1"/>
      <c r="G527" s="1"/>
      <c r="H527" s="1"/>
      <c r="I527" s="1"/>
      <c r="J527" s="1"/>
      <c r="K527" s="1"/>
      <c r="L527" s="1"/>
      <c r="M527" s="1"/>
      <c r="N527" s="1"/>
      <c r="O527" s="1"/>
      <c r="P527" s="1"/>
      <c r="Q527" s="1"/>
      <c r="R527" s="1"/>
      <c r="S527" s="1"/>
      <c r="T527" s="1"/>
      <c r="U527" s="2"/>
      <c r="V527" s="1"/>
      <c r="W527" s="1"/>
      <c r="X527" s="1"/>
      <c r="Y527" s="1"/>
      <c r="Z527" s="1"/>
    </row>
    <row r="528" spans="1:26" ht="24.75" customHeight="1">
      <c r="A528" s="1"/>
      <c r="B528" s="1"/>
      <c r="C528" s="1"/>
      <c r="D528" s="1"/>
      <c r="E528" s="1"/>
      <c r="F528" s="1"/>
      <c r="G528" s="1"/>
      <c r="H528" s="1"/>
      <c r="I528" s="1"/>
      <c r="J528" s="1"/>
      <c r="K528" s="1"/>
      <c r="L528" s="1"/>
      <c r="M528" s="1"/>
      <c r="N528" s="1"/>
      <c r="O528" s="1"/>
      <c r="P528" s="1"/>
      <c r="Q528" s="1"/>
      <c r="R528" s="1"/>
      <c r="S528" s="1"/>
      <c r="T528" s="1"/>
      <c r="U528" s="2"/>
      <c r="V528" s="1"/>
      <c r="W528" s="1"/>
      <c r="X528" s="1"/>
      <c r="Y528" s="1"/>
      <c r="Z528" s="1"/>
    </row>
    <row r="529" spans="1:26" ht="24.75" customHeight="1">
      <c r="A529" s="1"/>
      <c r="B529" s="1"/>
      <c r="C529" s="1"/>
      <c r="D529" s="1"/>
      <c r="E529" s="1"/>
      <c r="F529" s="1"/>
      <c r="G529" s="1"/>
      <c r="H529" s="1"/>
      <c r="I529" s="1"/>
      <c r="J529" s="1"/>
      <c r="K529" s="1"/>
      <c r="L529" s="1"/>
      <c r="M529" s="1"/>
      <c r="N529" s="1"/>
      <c r="O529" s="1"/>
      <c r="P529" s="1"/>
      <c r="Q529" s="1"/>
      <c r="R529" s="1"/>
      <c r="S529" s="1"/>
      <c r="T529" s="1"/>
      <c r="U529" s="2"/>
      <c r="V529" s="1"/>
      <c r="W529" s="1"/>
      <c r="X529" s="1"/>
      <c r="Y529" s="1"/>
      <c r="Z529" s="1"/>
    </row>
    <row r="530" spans="1:26" ht="24.75" customHeight="1">
      <c r="A530" s="1"/>
      <c r="B530" s="1"/>
      <c r="C530" s="1"/>
      <c r="D530" s="1"/>
      <c r="E530" s="1"/>
      <c r="F530" s="1"/>
      <c r="G530" s="1"/>
      <c r="H530" s="1"/>
      <c r="I530" s="1"/>
      <c r="J530" s="1"/>
      <c r="K530" s="1"/>
      <c r="L530" s="1"/>
      <c r="M530" s="1"/>
      <c r="N530" s="1"/>
      <c r="O530" s="1"/>
      <c r="P530" s="1"/>
      <c r="Q530" s="1"/>
      <c r="R530" s="1"/>
      <c r="S530" s="1"/>
      <c r="T530" s="1"/>
      <c r="U530" s="2"/>
      <c r="V530" s="1"/>
      <c r="W530" s="1"/>
      <c r="X530" s="1"/>
      <c r="Y530" s="1"/>
      <c r="Z530" s="1"/>
    </row>
    <row r="531" spans="1:26" ht="24.75" customHeight="1">
      <c r="A531" s="1"/>
      <c r="B531" s="1"/>
      <c r="C531" s="1"/>
      <c r="D531" s="1"/>
      <c r="E531" s="1"/>
      <c r="F531" s="1"/>
      <c r="G531" s="1"/>
      <c r="H531" s="1"/>
      <c r="I531" s="1"/>
      <c r="J531" s="1"/>
      <c r="K531" s="1"/>
      <c r="L531" s="1"/>
      <c r="M531" s="1"/>
      <c r="N531" s="1"/>
      <c r="O531" s="1"/>
      <c r="P531" s="1"/>
      <c r="Q531" s="1"/>
      <c r="R531" s="1"/>
      <c r="S531" s="1"/>
      <c r="T531" s="1"/>
      <c r="U531" s="2"/>
      <c r="V531" s="1"/>
      <c r="W531" s="1"/>
      <c r="X531" s="1"/>
      <c r="Y531" s="1"/>
      <c r="Z531" s="1"/>
    </row>
    <row r="532" spans="1:26" ht="24.75" customHeight="1">
      <c r="A532" s="1"/>
      <c r="B532" s="1"/>
      <c r="C532" s="1"/>
      <c r="D532" s="1"/>
      <c r="E532" s="1"/>
      <c r="F532" s="1"/>
      <c r="G532" s="1"/>
      <c r="H532" s="1"/>
      <c r="I532" s="1"/>
      <c r="J532" s="1"/>
      <c r="K532" s="1"/>
      <c r="L532" s="1"/>
      <c r="M532" s="1"/>
      <c r="N532" s="1"/>
      <c r="O532" s="1"/>
      <c r="P532" s="1"/>
      <c r="Q532" s="1"/>
      <c r="R532" s="1"/>
      <c r="S532" s="1"/>
      <c r="T532" s="1"/>
      <c r="U532" s="2"/>
      <c r="V532" s="1"/>
      <c r="W532" s="1"/>
      <c r="X532" s="1"/>
      <c r="Y532" s="1"/>
      <c r="Z532" s="1"/>
    </row>
    <row r="533" spans="1:26" ht="24.75" customHeight="1">
      <c r="A533" s="1"/>
      <c r="B533" s="1"/>
      <c r="C533" s="1"/>
      <c r="D533" s="1"/>
      <c r="E533" s="1"/>
      <c r="F533" s="1"/>
      <c r="G533" s="1"/>
      <c r="H533" s="1"/>
      <c r="I533" s="1"/>
      <c r="J533" s="1"/>
      <c r="K533" s="1"/>
      <c r="L533" s="1"/>
      <c r="M533" s="1"/>
      <c r="N533" s="1"/>
      <c r="O533" s="1"/>
      <c r="P533" s="1"/>
      <c r="Q533" s="1"/>
      <c r="R533" s="1"/>
      <c r="S533" s="1"/>
      <c r="T533" s="1"/>
      <c r="U533" s="2"/>
      <c r="V533" s="1"/>
      <c r="W533" s="1"/>
      <c r="X533" s="1"/>
      <c r="Y533" s="1"/>
      <c r="Z533" s="1"/>
    </row>
    <row r="534" spans="1:26" ht="24.75" customHeight="1">
      <c r="A534" s="1"/>
      <c r="B534" s="1"/>
      <c r="C534" s="1"/>
      <c r="D534" s="1"/>
      <c r="E534" s="1"/>
      <c r="F534" s="1"/>
      <c r="G534" s="1"/>
      <c r="H534" s="1"/>
      <c r="I534" s="1"/>
      <c r="J534" s="1"/>
      <c r="K534" s="1"/>
      <c r="L534" s="1"/>
      <c r="M534" s="1"/>
      <c r="N534" s="1"/>
      <c r="O534" s="1"/>
      <c r="P534" s="1"/>
      <c r="Q534" s="1"/>
      <c r="R534" s="1"/>
      <c r="S534" s="1"/>
      <c r="T534" s="1"/>
      <c r="U534" s="2"/>
      <c r="V534" s="1"/>
      <c r="W534" s="1"/>
      <c r="X534" s="1"/>
      <c r="Y534" s="1"/>
      <c r="Z534" s="1"/>
    </row>
    <row r="535" spans="1:26" ht="24.75" customHeight="1">
      <c r="A535" s="1"/>
      <c r="B535" s="1"/>
      <c r="C535" s="1"/>
      <c r="D535" s="1"/>
      <c r="E535" s="1"/>
      <c r="F535" s="1"/>
      <c r="G535" s="1"/>
      <c r="H535" s="1"/>
      <c r="I535" s="1"/>
      <c r="J535" s="1"/>
      <c r="K535" s="1"/>
      <c r="L535" s="1"/>
      <c r="M535" s="1"/>
      <c r="N535" s="1"/>
      <c r="O535" s="1"/>
      <c r="P535" s="1"/>
      <c r="Q535" s="1"/>
      <c r="R535" s="1"/>
      <c r="S535" s="1"/>
      <c r="T535" s="1"/>
      <c r="U535" s="2"/>
      <c r="V535" s="1"/>
      <c r="W535" s="1"/>
      <c r="X535" s="1"/>
      <c r="Y535" s="1"/>
      <c r="Z535" s="1"/>
    </row>
    <row r="536" spans="1:26" ht="24.75" customHeight="1">
      <c r="A536" s="1"/>
      <c r="B536" s="1"/>
      <c r="C536" s="1"/>
      <c r="D536" s="1"/>
      <c r="E536" s="1"/>
      <c r="F536" s="1"/>
      <c r="G536" s="1"/>
      <c r="H536" s="1"/>
      <c r="I536" s="1"/>
      <c r="J536" s="1"/>
      <c r="K536" s="1"/>
      <c r="L536" s="1"/>
      <c r="M536" s="1"/>
      <c r="N536" s="1"/>
      <c r="O536" s="1"/>
      <c r="P536" s="1"/>
      <c r="Q536" s="1"/>
      <c r="R536" s="1"/>
      <c r="S536" s="1"/>
      <c r="T536" s="1"/>
      <c r="U536" s="2"/>
      <c r="V536" s="1"/>
      <c r="W536" s="1"/>
      <c r="X536" s="1"/>
      <c r="Y536" s="1"/>
      <c r="Z536" s="1"/>
    </row>
    <row r="537" spans="1:26" ht="24.75" customHeight="1">
      <c r="A537" s="1"/>
      <c r="B537" s="1"/>
      <c r="C537" s="1"/>
      <c r="D537" s="1"/>
      <c r="E537" s="1"/>
      <c r="F537" s="1"/>
      <c r="G537" s="1"/>
      <c r="H537" s="1"/>
      <c r="I537" s="1"/>
      <c r="J537" s="1"/>
      <c r="K537" s="1"/>
      <c r="L537" s="1"/>
      <c r="M537" s="1"/>
      <c r="N537" s="1"/>
      <c r="O537" s="1"/>
      <c r="P537" s="1"/>
      <c r="Q537" s="1"/>
      <c r="R537" s="1"/>
      <c r="S537" s="1"/>
      <c r="T537" s="1"/>
      <c r="U537" s="2"/>
      <c r="V537" s="1"/>
      <c r="W537" s="1"/>
      <c r="X537" s="1"/>
      <c r="Y537" s="1"/>
      <c r="Z537" s="1"/>
    </row>
    <row r="538" spans="1:26" ht="24.75" customHeight="1">
      <c r="A538" s="1"/>
      <c r="B538" s="1"/>
      <c r="C538" s="1"/>
      <c r="D538" s="1"/>
      <c r="E538" s="1"/>
      <c r="F538" s="1"/>
      <c r="G538" s="1"/>
      <c r="H538" s="1"/>
      <c r="I538" s="1"/>
      <c r="J538" s="1"/>
      <c r="K538" s="1"/>
      <c r="L538" s="1"/>
      <c r="M538" s="1"/>
      <c r="N538" s="1"/>
      <c r="O538" s="1"/>
      <c r="P538" s="1"/>
      <c r="Q538" s="1"/>
      <c r="R538" s="1"/>
      <c r="S538" s="1"/>
      <c r="T538" s="1"/>
      <c r="U538" s="2"/>
      <c r="V538" s="1"/>
      <c r="W538" s="1"/>
      <c r="X538" s="1"/>
      <c r="Y538" s="1"/>
      <c r="Z538" s="1"/>
    </row>
    <row r="539" spans="1:26" ht="24.75" customHeight="1">
      <c r="A539" s="1"/>
      <c r="B539" s="1"/>
      <c r="C539" s="1"/>
      <c r="D539" s="1"/>
      <c r="E539" s="1"/>
      <c r="F539" s="1"/>
      <c r="G539" s="1"/>
      <c r="H539" s="1"/>
      <c r="I539" s="1"/>
      <c r="J539" s="1"/>
      <c r="K539" s="1"/>
      <c r="L539" s="1"/>
      <c r="M539" s="1"/>
      <c r="N539" s="1"/>
      <c r="O539" s="1"/>
      <c r="P539" s="1"/>
      <c r="Q539" s="1"/>
      <c r="R539" s="1"/>
      <c r="S539" s="1"/>
      <c r="T539" s="1"/>
      <c r="U539" s="2"/>
      <c r="V539" s="1"/>
      <c r="W539" s="1"/>
      <c r="X539" s="1"/>
      <c r="Y539" s="1"/>
      <c r="Z539" s="1"/>
    </row>
    <row r="540" spans="1:26" ht="24.75" customHeight="1">
      <c r="A540" s="1"/>
      <c r="B540" s="1"/>
      <c r="C540" s="1"/>
      <c r="D540" s="1"/>
      <c r="E540" s="1"/>
      <c r="F540" s="1"/>
      <c r="G540" s="1"/>
      <c r="H540" s="1"/>
      <c r="I540" s="1"/>
      <c r="J540" s="1"/>
      <c r="K540" s="1"/>
      <c r="L540" s="1"/>
      <c r="M540" s="1"/>
      <c r="N540" s="1"/>
      <c r="O540" s="1"/>
      <c r="P540" s="1"/>
      <c r="Q540" s="1"/>
      <c r="R540" s="1"/>
      <c r="S540" s="1"/>
      <c r="T540" s="1"/>
      <c r="U540" s="2"/>
      <c r="V540" s="1"/>
      <c r="W540" s="1"/>
      <c r="X540" s="1"/>
      <c r="Y540" s="1"/>
      <c r="Z540" s="1"/>
    </row>
    <row r="541" spans="1:26" ht="24.75" customHeight="1">
      <c r="A541" s="1"/>
      <c r="B541" s="1"/>
      <c r="C541" s="1"/>
      <c r="D541" s="1"/>
      <c r="E541" s="1"/>
      <c r="F541" s="1"/>
      <c r="G541" s="1"/>
      <c r="H541" s="1"/>
      <c r="I541" s="1"/>
      <c r="J541" s="1"/>
      <c r="K541" s="1"/>
      <c r="L541" s="1"/>
      <c r="M541" s="1"/>
      <c r="N541" s="1"/>
      <c r="O541" s="1"/>
      <c r="P541" s="1"/>
      <c r="Q541" s="1"/>
      <c r="R541" s="1"/>
      <c r="S541" s="1"/>
      <c r="T541" s="1"/>
      <c r="U541" s="2"/>
      <c r="V541" s="1"/>
      <c r="W541" s="1"/>
      <c r="X541" s="1"/>
      <c r="Y541" s="1"/>
      <c r="Z541" s="1"/>
    </row>
    <row r="542" spans="1:26" ht="24.75" customHeight="1">
      <c r="A542" s="1"/>
      <c r="B542" s="1"/>
      <c r="C542" s="1"/>
      <c r="D542" s="1"/>
      <c r="E542" s="1"/>
      <c r="F542" s="1"/>
      <c r="G542" s="1"/>
      <c r="H542" s="1"/>
      <c r="I542" s="1"/>
      <c r="J542" s="1"/>
      <c r="K542" s="1"/>
      <c r="L542" s="1"/>
      <c r="M542" s="1"/>
      <c r="N542" s="1"/>
      <c r="O542" s="1"/>
      <c r="P542" s="1"/>
      <c r="Q542" s="1"/>
      <c r="R542" s="1"/>
      <c r="S542" s="1"/>
      <c r="T542" s="1"/>
      <c r="U542" s="2"/>
      <c r="V542" s="1"/>
      <c r="W542" s="1"/>
      <c r="X542" s="1"/>
      <c r="Y542" s="1"/>
      <c r="Z542" s="1"/>
    </row>
    <row r="543" spans="1:26" ht="24.75" customHeight="1">
      <c r="A543" s="1"/>
      <c r="B543" s="1"/>
      <c r="C543" s="1"/>
      <c r="D543" s="1"/>
      <c r="E543" s="1"/>
      <c r="F543" s="1"/>
      <c r="G543" s="1"/>
      <c r="H543" s="1"/>
      <c r="I543" s="1"/>
      <c r="J543" s="1"/>
      <c r="K543" s="1"/>
      <c r="L543" s="1"/>
      <c r="M543" s="1"/>
      <c r="N543" s="1"/>
      <c r="O543" s="1"/>
      <c r="P543" s="1"/>
      <c r="Q543" s="1"/>
      <c r="R543" s="1"/>
      <c r="S543" s="1"/>
      <c r="T543" s="1"/>
      <c r="U543" s="2"/>
      <c r="V543" s="1"/>
      <c r="W543" s="1"/>
      <c r="X543" s="1"/>
      <c r="Y543" s="1"/>
      <c r="Z543" s="1"/>
    </row>
    <row r="544" spans="1:26" ht="24.75" customHeight="1">
      <c r="A544" s="1"/>
      <c r="B544" s="1"/>
      <c r="C544" s="1"/>
      <c r="D544" s="1"/>
      <c r="E544" s="1"/>
      <c r="F544" s="1"/>
      <c r="G544" s="1"/>
      <c r="H544" s="1"/>
      <c r="I544" s="1"/>
      <c r="J544" s="1"/>
      <c r="K544" s="1"/>
      <c r="L544" s="1"/>
      <c r="M544" s="1"/>
      <c r="N544" s="1"/>
      <c r="O544" s="1"/>
      <c r="P544" s="1"/>
      <c r="Q544" s="1"/>
      <c r="R544" s="1"/>
      <c r="S544" s="1"/>
      <c r="T544" s="1"/>
      <c r="U544" s="2"/>
      <c r="V544" s="1"/>
      <c r="W544" s="1"/>
      <c r="X544" s="1"/>
      <c r="Y544" s="1"/>
      <c r="Z544" s="1"/>
    </row>
    <row r="545" spans="1:26" ht="24.75" customHeight="1">
      <c r="A545" s="1"/>
      <c r="B545" s="1"/>
      <c r="C545" s="1"/>
      <c r="D545" s="1"/>
      <c r="E545" s="1"/>
      <c r="F545" s="1"/>
      <c r="G545" s="1"/>
      <c r="H545" s="1"/>
      <c r="I545" s="1"/>
      <c r="J545" s="1"/>
      <c r="K545" s="1"/>
      <c r="L545" s="1"/>
      <c r="M545" s="1"/>
      <c r="N545" s="1"/>
      <c r="O545" s="1"/>
      <c r="P545" s="1"/>
      <c r="Q545" s="1"/>
      <c r="R545" s="1"/>
      <c r="S545" s="1"/>
      <c r="T545" s="1"/>
      <c r="U545" s="2"/>
      <c r="V545" s="1"/>
      <c r="W545" s="1"/>
      <c r="X545" s="1"/>
      <c r="Y545" s="1"/>
      <c r="Z545" s="1"/>
    </row>
    <row r="546" spans="1:26" ht="24.75" customHeight="1">
      <c r="A546" s="1"/>
      <c r="B546" s="1"/>
      <c r="C546" s="1"/>
      <c r="D546" s="1"/>
      <c r="E546" s="1"/>
      <c r="F546" s="1"/>
      <c r="G546" s="1"/>
      <c r="H546" s="1"/>
      <c r="I546" s="1"/>
      <c r="J546" s="1"/>
      <c r="K546" s="1"/>
      <c r="L546" s="1"/>
      <c r="M546" s="1"/>
      <c r="N546" s="1"/>
      <c r="O546" s="1"/>
      <c r="P546" s="1"/>
      <c r="Q546" s="1"/>
      <c r="R546" s="1"/>
      <c r="S546" s="1"/>
      <c r="T546" s="1"/>
      <c r="U546" s="2"/>
      <c r="V546" s="1"/>
      <c r="W546" s="1"/>
      <c r="X546" s="1"/>
      <c r="Y546" s="1"/>
      <c r="Z546" s="1"/>
    </row>
    <row r="547" spans="1:26" ht="24.75" customHeight="1">
      <c r="A547" s="1"/>
      <c r="B547" s="1"/>
      <c r="C547" s="1"/>
      <c r="D547" s="1"/>
      <c r="E547" s="1"/>
      <c r="F547" s="1"/>
      <c r="G547" s="1"/>
      <c r="H547" s="1"/>
      <c r="I547" s="1"/>
      <c r="J547" s="1"/>
      <c r="K547" s="1"/>
      <c r="L547" s="1"/>
      <c r="M547" s="1"/>
      <c r="N547" s="1"/>
      <c r="O547" s="1"/>
      <c r="P547" s="1"/>
      <c r="Q547" s="1"/>
      <c r="R547" s="1"/>
      <c r="S547" s="1"/>
      <c r="T547" s="1"/>
      <c r="U547" s="2"/>
      <c r="V547" s="1"/>
      <c r="W547" s="1"/>
      <c r="X547" s="1"/>
      <c r="Y547" s="1"/>
      <c r="Z547" s="1"/>
    </row>
    <row r="548" spans="1:26" ht="24.75" customHeight="1">
      <c r="A548" s="1"/>
      <c r="B548" s="1"/>
      <c r="C548" s="1"/>
      <c r="D548" s="1"/>
      <c r="E548" s="1"/>
      <c r="F548" s="1"/>
      <c r="G548" s="1"/>
      <c r="H548" s="1"/>
      <c r="I548" s="1"/>
      <c r="J548" s="1"/>
      <c r="K548" s="1"/>
      <c r="L548" s="1"/>
      <c r="M548" s="1"/>
      <c r="N548" s="1"/>
      <c r="O548" s="1"/>
      <c r="P548" s="1"/>
      <c r="Q548" s="1"/>
      <c r="R548" s="1"/>
      <c r="S548" s="1"/>
      <c r="T548" s="1"/>
      <c r="U548" s="2"/>
      <c r="V548" s="1"/>
      <c r="W548" s="1"/>
      <c r="X548" s="1"/>
      <c r="Y548" s="1"/>
      <c r="Z548" s="1"/>
    </row>
    <row r="549" spans="1:26" ht="24.75" customHeight="1">
      <c r="A549" s="1"/>
      <c r="B549" s="1"/>
      <c r="C549" s="1"/>
      <c r="D549" s="1"/>
      <c r="E549" s="1"/>
      <c r="F549" s="1"/>
      <c r="G549" s="1"/>
      <c r="H549" s="1"/>
      <c r="I549" s="1"/>
      <c r="J549" s="1"/>
      <c r="K549" s="1"/>
      <c r="L549" s="1"/>
      <c r="M549" s="1"/>
      <c r="N549" s="1"/>
      <c r="O549" s="1"/>
      <c r="P549" s="1"/>
      <c r="Q549" s="1"/>
      <c r="R549" s="1"/>
      <c r="S549" s="1"/>
      <c r="T549" s="1"/>
      <c r="U549" s="2"/>
      <c r="V549" s="1"/>
      <c r="W549" s="1"/>
      <c r="X549" s="1"/>
      <c r="Y549" s="1"/>
      <c r="Z549" s="1"/>
    </row>
    <row r="550" spans="1:26" ht="24.75" customHeight="1">
      <c r="A550" s="1"/>
      <c r="B550" s="1"/>
      <c r="C550" s="1"/>
      <c r="D550" s="1"/>
      <c r="E550" s="1"/>
      <c r="F550" s="1"/>
      <c r="G550" s="1"/>
      <c r="H550" s="1"/>
      <c r="I550" s="1"/>
      <c r="J550" s="1"/>
      <c r="K550" s="1"/>
      <c r="L550" s="1"/>
      <c r="M550" s="1"/>
      <c r="N550" s="1"/>
      <c r="O550" s="1"/>
      <c r="P550" s="1"/>
      <c r="Q550" s="1"/>
      <c r="R550" s="1"/>
      <c r="S550" s="1"/>
      <c r="T550" s="1"/>
      <c r="U550" s="2"/>
      <c r="V550" s="1"/>
      <c r="W550" s="1"/>
      <c r="X550" s="1"/>
      <c r="Y550" s="1"/>
      <c r="Z550" s="1"/>
    </row>
    <row r="551" spans="1:26" ht="24.75" customHeight="1">
      <c r="A551" s="1"/>
      <c r="B551" s="1"/>
      <c r="C551" s="1"/>
      <c r="D551" s="1"/>
      <c r="E551" s="1"/>
      <c r="F551" s="1"/>
      <c r="G551" s="1"/>
      <c r="H551" s="1"/>
      <c r="I551" s="1"/>
      <c r="J551" s="1"/>
      <c r="K551" s="1"/>
      <c r="L551" s="1"/>
      <c r="M551" s="1"/>
      <c r="N551" s="1"/>
      <c r="O551" s="1"/>
      <c r="P551" s="1"/>
      <c r="Q551" s="1"/>
      <c r="R551" s="1"/>
      <c r="S551" s="1"/>
      <c r="T551" s="1"/>
      <c r="U551" s="2"/>
      <c r="V551" s="1"/>
      <c r="W551" s="1"/>
      <c r="X551" s="1"/>
      <c r="Y551" s="1"/>
      <c r="Z551" s="1"/>
    </row>
    <row r="552" spans="1:26" ht="24.75" customHeight="1">
      <c r="A552" s="1"/>
      <c r="B552" s="1"/>
      <c r="C552" s="1"/>
      <c r="D552" s="1"/>
      <c r="E552" s="1"/>
      <c r="F552" s="1"/>
      <c r="G552" s="1"/>
      <c r="H552" s="1"/>
      <c r="I552" s="1"/>
      <c r="J552" s="1"/>
      <c r="K552" s="1"/>
      <c r="L552" s="1"/>
      <c r="M552" s="1"/>
      <c r="N552" s="1"/>
      <c r="O552" s="1"/>
      <c r="P552" s="1"/>
      <c r="Q552" s="1"/>
      <c r="R552" s="1"/>
      <c r="S552" s="1"/>
      <c r="T552" s="1"/>
      <c r="U552" s="2"/>
      <c r="V552" s="1"/>
      <c r="W552" s="1"/>
      <c r="X552" s="1"/>
      <c r="Y552" s="1"/>
      <c r="Z552" s="1"/>
    </row>
    <row r="553" spans="1:26" ht="24.75" customHeight="1">
      <c r="A553" s="1"/>
      <c r="B553" s="1"/>
      <c r="C553" s="1"/>
      <c r="D553" s="1"/>
      <c r="E553" s="1"/>
      <c r="F553" s="1"/>
      <c r="G553" s="1"/>
      <c r="H553" s="1"/>
      <c r="I553" s="1"/>
      <c r="J553" s="1"/>
      <c r="K553" s="1"/>
      <c r="L553" s="1"/>
      <c r="M553" s="1"/>
      <c r="N553" s="1"/>
      <c r="O553" s="1"/>
      <c r="P553" s="1"/>
      <c r="Q553" s="1"/>
      <c r="R553" s="1"/>
      <c r="S553" s="1"/>
      <c r="T553" s="1"/>
      <c r="U553" s="2"/>
      <c r="V553" s="1"/>
      <c r="W553" s="1"/>
      <c r="X553" s="1"/>
      <c r="Y553" s="1"/>
      <c r="Z553" s="1"/>
    </row>
    <row r="554" spans="1:26" ht="24.75" customHeight="1">
      <c r="A554" s="1"/>
      <c r="B554" s="1"/>
      <c r="C554" s="1"/>
      <c r="D554" s="1"/>
      <c r="E554" s="1"/>
      <c r="F554" s="1"/>
      <c r="G554" s="1"/>
      <c r="H554" s="1"/>
      <c r="I554" s="1"/>
      <c r="J554" s="1"/>
      <c r="K554" s="1"/>
      <c r="L554" s="1"/>
      <c r="M554" s="1"/>
      <c r="N554" s="1"/>
      <c r="O554" s="1"/>
      <c r="P554" s="1"/>
      <c r="Q554" s="1"/>
      <c r="R554" s="1"/>
      <c r="S554" s="1"/>
      <c r="T554" s="1"/>
      <c r="U554" s="2"/>
      <c r="V554" s="1"/>
      <c r="W554" s="1"/>
      <c r="X554" s="1"/>
      <c r="Y554" s="1"/>
      <c r="Z554" s="1"/>
    </row>
    <row r="555" spans="1:26" ht="24.75" customHeight="1">
      <c r="A555" s="1"/>
      <c r="B555" s="1"/>
      <c r="C555" s="1"/>
      <c r="D555" s="1"/>
      <c r="E555" s="1"/>
      <c r="F555" s="1"/>
      <c r="G555" s="1"/>
      <c r="H555" s="1"/>
      <c r="I555" s="1"/>
      <c r="J555" s="1"/>
      <c r="K555" s="1"/>
      <c r="L555" s="1"/>
      <c r="M555" s="1"/>
      <c r="N555" s="1"/>
      <c r="O555" s="1"/>
      <c r="P555" s="1"/>
      <c r="Q555" s="1"/>
      <c r="R555" s="1"/>
      <c r="S555" s="1"/>
      <c r="T555" s="1"/>
      <c r="U555" s="2"/>
      <c r="V555" s="1"/>
      <c r="W555" s="1"/>
      <c r="X555" s="1"/>
      <c r="Y555" s="1"/>
      <c r="Z555" s="1"/>
    </row>
    <row r="556" spans="1:26" ht="24.75" customHeight="1">
      <c r="A556" s="1"/>
      <c r="B556" s="1"/>
      <c r="C556" s="1"/>
      <c r="D556" s="1"/>
      <c r="E556" s="1"/>
      <c r="F556" s="1"/>
      <c r="G556" s="1"/>
      <c r="H556" s="1"/>
      <c r="I556" s="1"/>
      <c r="J556" s="1"/>
      <c r="K556" s="1"/>
      <c r="L556" s="1"/>
      <c r="M556" s="1"/>
      <c r="N556" s="1"/>
      <c r="O556" s="1"/>
      <c r="P556" s="1"/>
      <c r="Q556" s="1"/>
      <c r="R556" s="1"/>
      <c r="S556" s="1"/>
      <c r="T556" s="1"/>
      <c r="U556" s="2"/>
      <c r="V556" s="1"/>
      <c r="W556" s="1"/>
      <c r="X556" s="1"/>
      <c r="Y556" s="1"/>
      <c r="Z556" s="1"/>
    </row>
    <row r="557" spans="1:26" ht="24.75" customHeight="1">
      <c r="A557" s="1"/>
      <c r="B557" s="1"/>
      <c r="C557" s="1"/>
      <c r="D557" s="1"/>
      <c r="E557" s="1"/>
      <c r="F557" s="1"/>
      <c r="G557" s="1"/>
      <c r="H557" s="1"/>
      <c r="I557" s="1"/>
      <c r="J557" s="1"/>
      <c r="K557" s="1"/>
      <c r="L557" s="1"/>
      <c r="M557" s="1"/>
      <c r="N557" s="1"/>
      <c r="O557" s="1"/>
      <c r="P557" s="1"/>
      <c r="Q557" s="1"/>
      <c r="R557" s="1"/>
      <c r="S557" s="1"/>
      <c r="T557" s="1"/>
      <c r="U557" s="2"/>
      <c r="V557" s="1"/>
      <c r="W557" s="1"/>
      <c r="X557" s="1"/>
      <c r="Y557" s="1"/>
      <c r="Z557" s="1"/>
    </row>
    <row r="558" spans="1:26" ht="24.75" customHeight="1">
      <c r="A558" s="1"/>
      <c r="B558" s="1"/>
      <c r="C558" s="1"/>
      <c r="D558" s="1"/>
      <c r="E558" s="1"/>
      <c r="F558" s="1"/>
      <c r="G558" s="1"/>
      <c r="H558" s="1"/>
      <c r="I558" s="1"/>
      <c r="J558" s="1"/>
      <c r="K558" s="1"/>
      <c r="L558" s="1"/>
      <c r="M558" s="1"/>
      <c r="N558" s="1"/>
      <c r="O558" s="1"/>
      <c r="P558" s="1"/>
      <c r="Q558" s="1"/>
      <c r="R558" s="1"/>
      <c r="S558" s="1"/>
      <c r="T558" s="1"/>
      <c r="U558" s="2"/>
      <c r="V558" s="1"/>
      <c r="W558" s="1"/>
      <c r="X558" s="1"/>
      <c r="Y558" s="1"/>
      <c r="Z558" s="1"/>
    </row>
    <row r="559" spans="1:26" ht="24.75" customHeight="1">
      <c r="A559" s="1"/>
      <c r="B559" s="1"/>
      <c r="C559" s="1"/>
      <c r="D559" s="1"/>
      <c r="E559" s="1"/>
      <c r="F559" s="1"/>
      <c r="G559" s="1"/>
      <c r="H559" s="1"/>
      <c r="I559" s="1"/>
      <c r="J559" s="1"/>
      <c r="K559" s="1"/>
      <c r="L559" s="1"/>
      <c r="M559" s="1"/>
      <c r="N559" s="1"/>
      <c r="O559" s="1"/>
      <c r="P559" s="1"/>
      <c r="Q559" s="1"/>
      <c r="R559" s="1"/>
      <c r="S559" s="1"/>
      <c r="T559" s="1"/>
      <c r="U559" s="2"/>
      <c r="V559" s="1"/>
      <c r="W559" s="1"/>
      <c r="X559" s="1"/>
      <c r="Y559" s="1"/>
      <c r="Z559" s="1"/>
    </row>
    <row r="560" spans="1:26" ht="24.75" customHeight="1">
      <c r="A560" s="1"/>
      <c r="B560" s="1"/>
      <c r="C560" s="1"/>
      <c r="D560" s="1"/>
      <c r="E560" s="1"/>
      <c r="F560" s="1"/>
      <c r="G560" s="1"/>
      <c r="H560" s="1"/>
      <c r="I560" s="1"/>
      <c r="J560" s="1"/>
      <c r="K560" s="1"/>
      <c r="L560" s="1"/>
      <c r="M560" s="1"/>
      <c r="N560" s="1"/>
      <c r="O560" s="1"/>
      <c r="P560" s="1"/>
      <c r="Q560" s="1"/>
      <c r="R560" s="1"/>
      <c r="S560" s="1"/>
      <c r="T560" s="1"/>
      <c r="U560" s="2"/>
      <c r="V560" s="1"/>
      <c r="W560" s="1"/>
      <c r="X560" s="1"/>
      <c r="Y560" s="1"/>
      <c r="Z560" s="1"/>
    </row>
    <row r="561" spans="1:26" ht="24.75" customHeight="1">
      <c r="A561" s="1"/>
      <c r="B561" s="1"/>
      <c r="C561" s="1"/>
      <c r="D561" s="1"/>
      <c r="E561" s="1"/>
      <c r="F561" s="1"/>
      <c r="G561" s="1"/>
      <c r="H561" s="1"/>
      <c r="I561" s="1"/>
      <c r="J561" s="1"/>
      <c r="K561" s="1"/>
      <c r="L561" s="1"/>
      <c r="M561" s="1"/>
      <c r="N561" s="1"/>
      <c r="O561" s="1"/>
      <c r="P561" s="1"/>
      <c r="Q561" s="1"/>
      <c r="R561" s="1"/>
      <c r="S561" s="1"/>
      <c r="T561" s="1"/>
      <c r="U561" s="2"/>
      <c r="V561" s="1"/>
      <c r="W561" s="1"/>
      <c r="X561" s="1"/>
      <c r="Y561" s="1"/>
      <c r="Z561" s="1"/>
    </row>
    <row r="562" spans="1:26" ht="24.75" customHeight="1">
      <c r="A562" s="1"/>
      <c r="B562" s="1"/>
      <c r="C562" s="1"/>
      <c r="D562" s="1"/>
      <c r="E562" s="1"/>
      <c r="F562" s="1"/>
      <c r="G562" s="1"/>
      <c r="H562" s="1"/>
      <c r="I562" s="1"/>
      <c r="J562" s="1"/>
      <c r="K562" s="1"/>
      <c r="L562" s="1"/>
      <c r="M562" s="1"/>
      <c r="N562" s="1"/>
      <c r="O562" s="1"/>
      <c r="P562" s="1"/>
      <c r="Q562" s="1"/>
      <c r="R562" s="1"/>
      <c r="S562" s="1"/>
      <c r="T562" s="1"/>
      <c r="U562" s="2"/>
      <c r="V562" s="1"/>
      <c r="W562" s="1"/>
      <c r="X562" s="1"/>
      <c r="Y562" s="1"/>
      <c r="Z562" s="1"/>
    </row>
    <row r="563" spans="1:26" ht="24.75" customHeight="1">
      <c r="A563" s="1"/>
      <c r="B563" s="1"/>
      <c r="C563" s="1"/>
      <c r="D563" s="1"/>
      <c r="E563" s="1"/>
      <c r="F563" s="1"/>
      <c r="G563" s="1"/>
      <c r="H563" s="1"/>
      <c r="I563" s="1"/>
      <c r="J563" s="1"/>
      <c r="K563" s="1"/>
      <c r="L563" s="1"/>
      <c r="M563" s="1"/>
      <c r="N563" s="1"/>
      <c r="O563" s="1"/>
      <c r="P563" s="1"/>
      <c r="Q563" s="1"/>
      <c r="R563" s="1"/>
      <c r="S563" s="1"/>
      <c r="T563" s="1"/>
      <c r="U563" s="2"/>
      <c r="V563" s="1"/>
      <c r="W563" s="1"/>
      <c r="X563" s="1"/>
      <c r="Y563" s="1"/>
      <c r="Z563" s="1"/>
    </row>
    <row r="564" spans="1:26" ht="24.75" customHeight="1">
      <c r="A564" s="1"/>
      <c r="B564" s="1"/>
      <c r="C564" s="1"/>
      <c r="D564" s="1"/>
      <c r="E564" s="1"/>
      <c r="F564" s="1"/>
      <c r="G564" s="1"/>
      <c r="H564" s="1"/>
      <c r="I564" s="1"/>
      <c r="J564" s="1"/>
      <c r="K564" s="1"/>
      <c r="L564" s="1"/>
      <c r="M564" s="1"/>
      <c r="N564" s="1"/>
      <c r="O564" s="1"/>
      <c r="P564" s="1"/>
      <c r="Q564" s="1"/>
      <c r="R564" s="1"/>
      <c r="S564" s="1"/>
      <c r="T564" s="1"/>
      <c r="U564" s="2"/>
      <c r="V564" s="1"/>
      <c r="W564" s="1"/>
      <c r="X564" s="1"/>
      <c r="Y564" s="1"/>
      <c r="Z564" s="1"/>
    </row>
    <row r="565" spans="1:26" ht="24.75" customHeight="1">
      <c r="A565" s="1"/>
      <c r="B565" s="1"/>
      <c r="C565" s="1"/>
      <c r="D565" s="1"/>
      <c r="E565" s="1"/>
      <c r="F565" s="1"/>
      <c r="G565" s="1"/>
      <c r="H565" s="1"/>
      <c r="I565" s="1"/>
      <c r="J565" s="1"/>
      <c r="K565" s="1"/>
      <c r="L565" s="1"/>
      <c r="M565" s="1"/>
      <c r="N565" s="1"/>
      <c r="O565" s="1"/>
      <c r="P565" s="1"/>
      <c r="Q565" s="1"/>
      <c r="R565" s="1"/>
      <c r="S565" s="1"/>
      <c r="T565" s="1"/>
      <c r="U565" s="2"/>
      <c r="V565" s="1"/>
      <c r="W565" s="1"/>
      <c r="X565" s="1"/>
      <c r="Y565" s="1"/>
      <c r="Z565" s="1"/>
    </row>
    <row r="566" spans="1:26" ht="24.75" customHeight="1">
      <c r="A566" s="1"/>
      <c r="B566" s="1"/>
      <c r="C566" s="1"/>
      <c r="D566" s="1"/>
      <c r="E566" s="1"/>
      <c r="F566" s="1"/>
      <c r="G566" s="1"/>
      <c r="H566" s="1"/>
      <c r="I566" s="1"/>
      <c r="J566" s="1"/>
      <c r="K566" s="1"/>
      <c r="L566" s="1"/>
      <c r="M566" s="1"/>
      <c r="N566" s="1"/>
      <c r="O566" s="1"/>
      <c r="P566" s="1"/>
      <c r="Q566" s="1"/>
      <c r="R566" s="1"/>
      <c r="S566" s="1"/>
      <c r="T566" s="1"/>
      <c r="U566" s="2"/>
      <c r="V566" s="1"/>
      <c r="W566" s="1"/>
      <c r="X566" s="1"/>
      <c r="Y566" s="1"/>
      <c r="Z566" s="1"/>
    </row>
    <row r="567" spans="1:26" ht="24.75" customHeight="1">
      <c r="A567" s="1"/>
      <c r="B567" s="1"/>
      <c r="C567" s="1"/>
      <c r="D567" s="1"/>
      <c r="E567" s="1"/>
      <c r="F567" s="1"/>
      <c r="G567" s="1"/>
      <c r="H567" s="1"/>
      <c r="I567" s="1"/>
      <c r="J567" s="1"/>
      <c r="K567" s="1"/>
      <c r="L567" s="1"/>
      <c r="M567" s="1"/>
      <c r="N567" s="1"/>
      <c r="O567" s="1"/>
      <c r="P567" s="1"/>
      <c r="Q567" s="1"/>
      <c r="R567" s="1"/>
      <c r="S567" s="1"/>
      <c r="T567" s="1"/>
      <c r="U567" s="2"/>
      <c r="V567" s="1"/>
      <c r="W567" s="1"/>
      <c r="X567" s="1"/>
      <c r="Y567" s="1"/>
      <c r="Z567" s="1"/>
    </row>
    <row r="568" spans="1:26" ht="24.75" customHeight="1">
      <c r="A568" s="1"/>
      <c r="B568" s="1"/>
      <c r="C568" s="1"/>
      <c r="D568" s="1"/>
      <c r="E568" s="1"/>
      <c r="F568" s="1"/>
      <c r="G568" s="1"/>
      <c r="H568" s="1"/>
      <c r="I568" s="1"/>
      <c r="J568" s="1"/>
      <c r="K568" s="1"/>
      <c r="L568" s="1"/>
      <c r="M568" s="1"/>
      <c r="N568" s="1"/>
      <c r="O568" s="1"/>
      <c r="P568" s="1"/>
      <c r="Q568" s="1"/>
      <c r="R568" s="1"/>
      <c r="S568" s="1"/>
      <c r="T568" s="1"/>
      <c r="U568" s="2"/>
      <c r="V568" s="1"/>
      <c r="W568" s="1"/>
      <c r="X568" s="1"/>
      <c r="Y568" s="1"/>
      <c r="Z568" s="1"/>
    </row>
    <row r="569" spans="1:26" ht="24.75" customHeight="1">
      <c r="A569" s="1"/>
      <c r="B569" s="1"/>
      <c r="C569" s="1"/>
      <c r="D569" s="1"/>
      <c r="E569" s="1"/>
      <c r="F569" s="1"/>
      <c r="G569" s="1"/>
      <c r="H569" s="1"/>
      <c r="I569" s="1"/>
      <c r="J569" s="1"/>
      <c r="K569" s="1"/>
      <c r="L569" s="1"/>
      <c r="M569" s="1"/>
      <c r="N569" s="1"/>
      <c r="O569" s="1"/>
      <c r="P569" s="1"/>
      <c r="Q569" s="1"/>
      <c r="R569" s="1"/>
      <c r="S569" s="1"/>
      <c r="T569" s="1"/>
      <c r="U569" s="2"/>
      <c r="V569" s="1"/>
      <c r="W569" s="1"/>
      <c r="X569" s="1"/>
      <c r="Y569" s="1"/>
      <c r="Z569" s="1"/>
    </row>
    <row r="570" spans="1:26" ht="24.75" customHeight="1">
      <c r="A570" s="1"/>
      <c r="B570" s="1"/>
      <c r="C570" s="1"/>
      <c r="D570" s="1"/>
      <c r="E570" s="1"/>
      <c r="F570" s="1"/>
      <c r="G570" s="1"/>
      <c r="H570" s="1"/>
      <c r="I570" s="1"/>
      <c r="J570" s="1"/>
      <c r="K570" s="1"/>
      <c r="L570" s="1"/>
      <c r="M570" s="1"/>
      <c r="N570" s="1"/>
      <c r="O570" s="1"/>
      <c r="P570" s="1"/>
      <c r="Q570" s="1"/>
      <c r="R570" s="1"/>
      <c r="S570" s="1"/>
      <c r="T570" s="1"/>
      <c r="U570" s="2"/>
      <c r="V570" s="1"/>
      <c r="W570" s="1"/>
      <c r="X570" s="1"/>
      <c r="Y570" s="1"/>
      <c r="Z570" s="1"/>
    </row>
    <row r="571" spans="1:26" ht="24.75" customHeight="1">
      <c r="A571" s="1"/>
      <c r="B571" s="1"/>
      <c r="C571" s="1"/>
      <c r="D571" s="1"/>
      <c r="E571" s="1"/>
      <c r="F571" s="1"/>
      <c r="G571" s="1"/>
      <c r="H571" s="1"/>
      <c r="I571" s="1"/>
      <c r="J571" s="1"/>
      <c r="K571" s="1"/>
      <c r="L571" s="1"/>
      <c r="M571" s="1"/>
      <c r="N571" s="1"/>
      <c r="O571" s="1"/>
      <c r="P571" s="1"/>
      <c r="Q571" s="1"/>
      <c r="R571" s="1"/>
      <c r="S571" s="1"/>
      <c r="T571" s="1"/>
      <c r="U571" s="2"/>
      <c r="V571" s="1"/>
      <c r="W571" s="1"/>
      <c r="X571" s="1"/>
      <c r="Y571" s="1"/>
      <c r="Z571" s="1"/>
    </row>
    <row r="572" spans="1:26" ht="24.75" customHeight="1">
      <c r="A572" s="1"/>
      <c r="B572" s="1"/>
      <c r="C572" s="1"/>
      <c r="D572" s="1"/>
      <c r="E572" s="1"/>
      <c r="F572" s="1"/>
      <c r="G572" s="1"/>
      <c r="H572" s="1"/>
      <c r="I572" s="1"/>
      <c r="J572" s="1"/>
      <c r="K572" s="1"/>
      <c r="L572" s="1"/>
      <c r="M572" s="1"/>
      <c r="N572" s="1"/>
      <c r="O572" s="1"/>
      <c r="P572" s="1"/>
      <c r="Q572" s="1"/>
      <c r="R572" s="1"/>
      <c r="S572" s="1"/>
      <c r="T572" s="1"/>
      <c r="U572" s="2"/>
      <c r="V572" s="1"/>
      <c r="W572" s="1"/>
      <c r="X572" s="1"/>
      <c r="Y572" s="1"/>
      <c r="Z572" s="1"/>
    </row>
    <row r="573" spans="1:26" ht="24.75" customHeight="1">
      <c r="A573" s="1"/>
      <c r="B573" s="1"/>
      <c r="C573" s="1"/>
      <c r="D573" s="1"/>
      <c r="E573" s="1"/>
      <c r="F573" s="1"/>
      <c r="G573" s="1"/>
      <c r="H573" s="1"/>
      <c r="I573" s="1"/>
      <c r="J573" s="1"/>
      <c r="K573" s="1"/>
      <c r="L573" s="1"/>
      <c r="M573" s="1"/>
      <c r="N573" s="1"/>
      <c r="O573" s="1"/>
      <c r="P573" s="1"/>
      <c r="Q573" s="1"/>
      <c r="R573" s="1"/>
      <c r="S573" s="1"/>
      <c r="T573" s="1"/>
      <c r="U573" s="2"/>
      <c r="V573" s="1"/>
      <c r="W573" s="1"/>
      <c r="X573" s="1"/>
      <c r="Y573" s="1"/>
      <c r="Z573" s="1"/>
    </row>
    <row r="574" spans="1:26" ht="24.75" customHeight="1">
      <c r="A574" s="1"/>
      <c r="B574" s="1"/>
      <c r="C574" s="1"/>
      <c r="D574" s="1"/>
      <c r="E574" s="1"/>
      <c r="F574" s="1"/>
      <c r="G574" s="1"/>
      <c r="H574" s="1"/>
      <c r="I574" s="1"/>
      <c r="J574" s="1"/>
      <c r="K574" s="1"/>
      <c r="L574" s="1"/>
      <c r="M574" s="1"/>
      <c r="N574" s="1"/>
      <c r="O574" s="1"/>
      <c r="P574" s="1"/>
      <c r="Q574" s="1"/>
      <c r="R574" s="1"/>
      <c r="S574" s="1"/>
      <c r="T574" s="1"/>
      <c r="U574" s="2"/>
      <c r="V574" s="1"/>
      <c r="W574" s="1"/>
      <c r="X574" s="1"/>
      <c r="Y574" s="1"/>
      <c r="Z574" s="1"/>
    </row>
    <row r="575" spans="1:26" ht="24.75" customHeight="1">
      <c r="A575" s="1"/>
      <c r="B575" s="1"/>
      <c r="C575" s="1"/>
      <c r="D575" s="1"/>
      <c r="E575" s="1"/>
      <c r="F575" s="1"/>
      <c r="G575" s="1"/>
      <c r="H575" s="1"/>
      <c r="I575" s="1"/>
      <c r="J575" s="1"/>
      <c r="K575" s="1"/>
      <c r="L575" s="1"/>
      <c r="M575" s="1"/>
      <c r="N575" s="1"/>
      <c r="O575" s="1"/>
      <c r="P575" s="1"/>
      <c r="Q575" s="1"/>
      <c r="R575" s="1"/>
      <c r="S575" s="1"/>
      <c r="T575" s="1"/>
      <c r="U575" s="2"/>
      <c r="V575" s="1"/>
      <c r="W575" s="1"/>
      <c r="X575" s="1"/>
      <c r="Y575" s="1"/>
      <c r="Z575" s="1"/>
    </row>
    <row r="576" spans="1:26" ht="24.75" customHeight="1">
      <c r="A576" s="1"/>
      <c r="B576" s="1"/>
      <c r="C576" s="1"/>
      <c r="D576" s="1"/>
      <c r="E576" s="1"/>
      <c r="F576" s="1"/>
      <c r="G576" s="1"/>
      <c r="H576" s="1"/>
      <c r="I576" s="1"/>
      <c r="J576" s="1"/>
      <c r="K576" s="1"/>
      <c r="L576" s="1"/>
      <c r="M576" s="1"/>
      <c r="N576" s="1"/>
      <c r="O576" s="1"/>
      <c r="P576" s="1"/>
      <c r="Q576" s="1"/>
      <c r="R576" s="1"/>
      <c r="S576" s="1"/>
      <c r="T576" s="1"/>
      <c r="U576" s="2"/>
      <c r="V576" s="1"/>
      <c r="W576" s="1"/>
      <c r="X576" s="1"/>
      <c r="Y576" s="1"/>
      <c r="Z576" s="1"/>
    </row>
    <row r="577" spans="1:26" ht="24.75" customHeight="1">
      <c r="A577" s="1"/>
      <c r="B577" s="1"/>
      <c r="C577" s="1"/>
      <c r="D577" s="1"/>
      <c r="E577" s="1"/>
      <c r="F577" s="1"/>
      <c r="G577" s="1"/>
      <c r="H577" s="1"/>
      <c r="I577" s="1"/>
      <c r="J577" s="1"/>
      <c r="K577" s="1"/>
      <c r="L577" s="1"/>
      <c r="M577" s="1"/>
      <c r="N577" s="1"/>
      <c r="O577" s="1"/>
      <c r="P577" s="1"/>
      <c r="Q577" s="1"/>
      <c r="R577" s="1"/>
      <c r="S577" s="1"/>
      <c r="T577" s="1"/>
      <c r="U577" s="2"/>
      <c r="V577" s="1"/>
      <c r="W577" s="1"/>
      <c r="X577" s="1"/>
      <c r="Y577" s="1"/>
      <c r="Z577" s="1"/>
    </row>
    <row r="578" spans="1:26" ht="24.75" customHeight="1">
      <c r="A578" s="1"/>
      <c r="B578" s="1"/>
      <c r="C578" s="1"/>
      <c r="D578" s="1"/>
      <c r="E578" s="1"/>
      <c r="F578" s="1"/>
      <c r="G578" s="1"/>
      <c r="H578" s="1"/>
      <c r="I578" s="1"/>
      <c r="J578" s="1"/>
      <c r="K578" s="1"/>
      <c r="L578" s="1"/>
      <c r="M578" s="1"/>
      <c r="N578" s="1"/>
      <c r="O578" s="1"/>
      <c r="P578" s="1"/>
      <c r="Q578" s="1"/>
      <c r="R578" s="1"/>
      <c r="S578" s="1"/>
      <c r="T578" s="1"/>
      <c r="U578" s="2"/>
      <c r="V578" s="1"/>
      <c r="W578" s="1"/>
      <c r="X578" s="1"/>
      <c r="Y578" s="1"/>
      <c r="Z578" s="1"/>
    </row>
    <row r="579" spans="1:26" ht="24.75" customHeight="1">
      <c r="A579" s="1"/>
      <c r="B579" s="1"/>
      <c r="C579" s="1"/>
      <c r="D579" s="1"/>
      <c r="E579" s="1"/>
      <c r="F579" s="1"/>
      <c r="G579" s="1"/>
      <c r="H579" s="1"/>
      <c r="I579" s="1"/>
      <c r="J579" s="1"/>
      <c r="K579" s="1"/>
      <c r="L579" s="1"/>
      <c r="M579" s="1"/>
      <c r="N579" s="1"/>
      <c r="O579" s="1"/>
      <c r="P579" s="1"/>
      <c r="Q579" s="1"/>
      <c r="R579" s="1"/>
      <c r="S579" s="1"/>
      <c r="T579" s="1"/>
      <c r="U579" s="2"/>
      <c r="V579" s="1"/>
      <c r="W579" s="1"/>
      <c r="X579" s="1"/>
      <c r="Y579" s="1"/>
      <c r="Z579" s="1"/>
    </row>
    <row r="580" spans="1:26" ht="24.75" customHeight="1">
      <c r="A580" s="1"/>
      <c r="B580" s="1"/>
      <c r="C580" s="1"/>
      <c r="D580" s="1"/>
      <c r="E580" s="1"/>
      <c r="F580" s="1"/>
      <c r="G580" s="1"/>
      <c r="H580" s="1"/>
      <c r="I580" s="1"/>
      <c r="J580" s="1"/>
      <c r="K580" s="1"/>
      <c r="L580" s="1"/>
      <c r="M580" s="1"/>
      <c r="N580" s="1"/>
      <c r="O580" s="1"/>
      <c r="P580" s="1"/>
      <c r="Q580" s="1"/>
      <c r="R580" s="1"/>
      <c r="S580" s="1"/>
      <c r="T580" s="1"/>
      <c r="U580" s="2"/>
      <c r="V580" s="1"/>
      <c r="W580" s="1"/>
      <c r="X580" s="1"/>
      <c r="Y580" s="1"/>
      <c r="Z580" s="1"/>
    </row>
    <row r="581" spans="1:26" ht="24.75" customHeight="1">
      <c r="A581" s="1"/>
      <c r="B581" s="1"/>
      <c r="C581" s="1"/>
      <c r="D581" s="1"/>
      <c r="E581" s="1"/>
      <c r="F581" s="1"/>
      <c r="G581" s="1"/>
      <c r="H581" s="1"/>
      <c r="I581" s="1"/>
      <c r="J581" s="1"/>
      <c r="K581" s="1"/>
      <c r="L581" s="1"/>
      <c r="M581" s="1"/>
      <c r="N581" s="1"/>
      <c r="O581" s="1"/>
      <c r="P581" s="1"/>
      <c r="Q581" s="1"/>
      <c r="R581" s="1"/>
      <c r="S581" s="1"/>
      <c r="T581" s="1"/>
      <c r="U581" s="2"/>
      <c r="V581" s="1"/>
      <c r="W581" s="1"/>
      <c r="X581" s="1"/>
      <c r="Y581" s="1"/>
      <c r="Z581" s="1"/>
    </row>
    <row r="582" spans="1:26" ht="24.75" customHeight="1">
      <c r="A582" s="1"/>
      <c r="B582" s="1"/>
      <c r="C582" s="1"/>
      <c r="D582" s="1"/>
      <c r="E582" s="1"/>
      <c r="F582" s="1"/>
      <c r="G582" s="1"/>
      <c r="H582" s="1"/>
      <c r="I582" s="1"/>
      <c r="J582" s="1"/>
      <c r="K582" s="1"/>
      <c r="L582" s="1"/>
      <c r="M582" s="1"/>
      <c r="N582" s="1"/>
      <c r="O582" s="1"/>
      <c r="P582" s="1"/>
      <c r="Q582" s="1"/>
      <c r="R582" s="1"/>
      <c r="S582" s="1"/>
      <c r="T582" s="1"/>
      <c r="U582" s="2"/>
      <c r="V582" s="1"/>
      <c r="W582" s="1"/>
      <c r="X582" s="1"/>
      <c r="Y582" s="1"/>
      <c r="Z582" s="1"/>
    </row>
    <row r="583" spans="1:26" ht="24.75" customHeight="1">
      <c r="A583" s="1"/>
      <c r="B583" s="1"/>
      <c r="C583" s="1"/>
      <c r="D583" s="1"/>
      <c r="E583" s="1"/>
      <c r="F583" s="1"/>
      <c r="G583" s="1"/>
      <c r="H583" s="1"/>
      <c r="I583" s="1"/>
      <c r="J583" s="1"/>
      <c r="K583" s="1"/>
      <c r="L583" s="1"/>
      <c r="M583" s="1"/>
      <c r="N583" s="1"/>
      <c r="O583" s="1"/>
      <c r="P583" s="1"/>
      <c r="Q583" s="1"/>
      <c r="R583" s="1"/>
      <c r="S583" s="1"/>
      <c r="T583" s="1"/>
      <c r="U583" s="2"/>
      <c r="V583" s="1"/>
      <c r="W583" s="1"/>
      <c r="X583" s="1"/>
      <c r="Y583" s="1"/>
      <c r="Z583" s="1"/>
    </row>
    <row r="584" spans="1:26" ht="24.75" customHeight="1">
      <c r="A584" s="1"/>
      <c r="B584" s="1"/>
      <c r="C584" s="1"/>
      <c r="D584" s="1"/>
      <c r="E584" s="1"/>
      <c r="F584" s="1"/>
      <c r="G584" s="1"/>
      <c r="H584" s="1"/>
      <c r="I584" s="1"/>
      <c r="J584" s="1"/>
      <c r="K584" s="1"/>
      <c r="L584" s="1"/>
      <c r="M584" s="1"/>
      <c r="N584" s="1"/>
      <c r="O584" s="1"/>
      <c r="P584" s="1"/>
      <c r="Q584" s="1"/>
      <c r="R584" s="1"/>
      <c r="S584" s="1"/>
      <c r="T584" s="1"/>
      <c r="U584" s="2"/>
      <c r="V584" s="1"/>
      <c r="W584" s="1"/>
      <c r="X584" s="1"/>
      <c r="Y584" s="1"/>
      <c r="Z584" s="1"/>
    </row>
    <row r="585" spans="1:26" ht="24.75" customHeight="1">
      <c r="A585" s="1"/>
      <c r="B585" s="1"/>
      <c r="C585" s="1"/>
      <c r="D585" s="1"/>
      <c r="E585" s="1"/>
      <c r="F585" s="1"/>
      <c r="G585" s="1"/>
      <c r="H585" s="1"/>
      <c r="I585" s="1"/>
      <c r="J585" s="1"/>
      <c r="K585" s="1"/>
      <c r="L585" s="1"/>
      <c r="M585" s="1"/>
      <c r="N585" s="1"/>
      <c r="O585" s="1"/>
      <c r="P585" s="1"/>
      <c r="Q585" s="1"/>
      <c r="R585" s="1"/>
      <c r="S585" s="1"/>
      <c r="T585" s="1"/>
      <c r="U585" s="2"/>
      <c r="V585" s="1"/>
      <c r="W585" s="1"/>
      <c r="X585" s="1"/>
      <c r="Y585" s="1"/>
      <c r="Z585" s="1"/>
    </row>
    <row r="586" spans="1:26" ht="24.75" customHeight="1">
      <c r="A586" s="1"/>
      <c r="B586" s="1"/>
      <c r="C586" s="1"/>
      <c r="D586" s="1"/>
      <c r="E586" s="1"/>
      <c r="F586" s="1"/>
      <c r="G586" s="1"/>
      <c r="H586" s="1"/>
      <c r="I586" s="1"/>
      <c r="J586" s="1"/>
      <c r="K586" s="1"/>
      <c r="L586" s="1"/>
      <c r="M586" s="1"/>
      <c r="N586" s="1"/>
      <c r="O586" s="1"/>
      <c r="P586" s="1"/>
      <c r="Q586" s="1"/>
      <c r="R586" s="1"/>
      <c r="S586" s="1"/>
      <c r="T586" s="1"/>
      <c r="U586" s="2"/>
      <c r="V586" s="1"/>
      <c r="W586" s="1"/>
      <c r="X586" s="1"/>
      <c r="Y586" s="1"/>
      <c r="Z586" s="1"/>
    </row>
    <row r="587" spans="1:26" ht="24.75" customHeight="1">
      <c r="A587" s="1"/>
      <c r="B587" s="1"/>
      <c r="C587" s="1"/>
      <c r="D587" s="1"/>
      <c r="E587" s="1"/>
      <c r="F587" s="1"/>
      <c r="G587" s="1"/>
      <c r="H587" s="1"/>
      <c r="I587" s="1"/>
      <c r="J587" s="1"/>
      <c r="K587" s="1"/>
      <c r="L587" s="1"/>
      <c r="M587" s="1"/>
      <c r="N587" s="1"/>
      <c r="O587" s="1"/>
      <c r="P587" s="1"/>
      <c r="Q587" s="1"/>
      <c r="R587" s="1"/>
      <c r="S587" s="1"/>
      <c r="T587" s="1"/>
      <c r="U587" s="2"/>
      <c r="V587" s="1"/>
      <c r="W587" s="1"/>
      <c r="X587" s="1"/>
      <c r="Y587" s="1"/>
      <c r="Z587" s="1"/>
    </row>
    <row r="588" spans="1:26" ht="24.75" customHeight="1">
      <c r="A588" s="1"/>
      <c r="B588" s="1"/>
      <c r="C588" s="1"/>
      <c r="D588" s="1"/>
      <c r="E588" s="1"/>
      <c r="F588" s="1"/>
      <c r="G588" s="1"/>
      <c r="H588" s="1"/>
      <c r="I588" s="1"/>
      <c r="J588" s="1"/>
      <c r="K588" s="1"/>
      <c r="L588" s="1"/>
      <c r="M588" s="1"/>
      <c r="N588" s="1"/>
      <c r="O588" s="1"/>
      <c r="P588" s="1"/>
      <c r="Q588" s="1"/>
      <c r="R588" s="1"/>
      <c r="S588" s="1"/>
      <c r="T588" s="1"/>
      <c r="U588" s="2"/>
      <c r="V588" s="1"/>
      <c r="W588" s="1"/>
      <c r="X588" s="1"/>
      <c r="Y588" s="1"/>
      <c r="Z588" s="1"/>
    </row>
    <row r="589" spans="1:26" ht="24.75" customHeight="1">
      <c r="A589" s="1"/>
      <c r="B589" s="1"/>
      <c r="C589" s="1"/>
      <c r="D589" s="1"/>
      <c r="E589" s="1"/>
      <c r="F589" s="1"/>
      <c r="G589" s="1"/>
      <c r="H589" s="1"/>
      <c r="I589" s="1"/>
      <c r="J589" s="1"/>
      <c r="K589" s="1"/>
      <c r="L589" s="1"/>
      <c r="M589" s="1"/>
      <c r="N589" s="1"/>
      <c r="O589" s="1"/>
      <c r="P589" s="1"/>
      <c r="Q589" s="1"/>
      <c r="R589" s="1"/>
      <c r="S589" s="1"/>
      <c r="T589" s="1"/>
      <c r="U589" s="2"/>
      <c r="V589" s="1"/>
      <c r="W589" s="1"/>
      <c r="X589" s="1"/>
      <c r="Y589" s="1"/>
      <c r="Z589" s="1"/>
    </row>
    <row r="590" spans="1:26" ht="24.75" customHeight="1">
      <c r="A590" s="1"/>
      <c r="B590" s="1"/>
      <c r="C590" s="1"/>
      <c r="D590" s="1"/>
      <c r="E590" s="1"/>
      <c r="F590" s="1"/>
      <c r="G590" s="1"/>
      <c r="H590" s="1"/>
      <c r="I590" s="1"/>
      <c r="J590" s="1"/>
      <c r="K590" s="1"/>
      <c r="L590" s="1"/>
      <c r="M590" s="1"/>
      <c r="N590" s="1"/>
      <c r="O590" s="1"/>
      <c r="P590" s="1"/>
      <c r="Q590" s="1"/>
      <c r="R590" s="1"/>
      <c r="S590" s="1"/>
      <c r="T590" s="1"/>
      <c r="U590" s="2"/>
      <c r="V590" s="1"/>
      <c r="W590" s="1"/>
      <c r="X590" s="1"/>
      <c r="Y590" s="1"/>
      <c r="Z590" s="1"/>
    </row>
    <row r="591" spans="1:26" ht="24.75" customHeight="1">
      <c r="A591" s="1"/>
      <c r="B591" s="1"/>
      <c r="C591" s="1"/>
      <c r="D591" s="1"/>
      <c r="E591" s="1"/>
      <c r="F591" s="1"/>
      <c r="G591" s="1"/>
      <c r="H591" s="1"/>
      <c r="I591" s="1"/>
      <c r="J591" s="1"/>
      <c r="K591" s="1"/>
      <c r="L591" s="1"/>
      <c r="M591" s="1"/>
      <c r="N591" s="1"/>
      <c r="O591" s="1"/>
      <c r="P591" s="1"/>
      <c r="Q591" s="1"/>
      <c r="R591" s="1"/>
      <c r="S591" s="1"/>
      <c r="T591" s="1"/>
      <c r="U591" s="2"/>
      <c r="V591" s="1"/>
      <c r="W591" s="1"/>
      <c r="X591" s="1"/>
      <c r="Y591" s="1"/>
      <c r="Z591" s="1"/>
    </row>
    <row r="592" spans="1:26" ht="24.75" customHeight="1">
      <c r="A592" s="1"/>
      <c r="B592" s="1"/>
      <c r="C592" s="1"/>
      <c r="D592" s="1"/>
      <c r="E592" s="1"/>
      <c r="F592" s="1"/>
      <c r="G592" s="1"/>
      <c r="H592" s="1"/>
      <c r="I592" s="1"/>
      <c r="J592" s="1"/>
      <c r="K592" s="1"/>
      <c r="L592" s="1"/>
      <c r="M592" s="1"/>
      <c r="N592" s="1"/>
      <c r="O592" s="1"/>
      <c r="P592" s="1"/>
      <c r="Q592" s="1"/>
      <c r="R592" s="1"/>
      <c r="S592" s="1"/>
      <c r="T592" s="1"/>
      <c r="U592" s="2"/>
      <c r="V592" s="1"/>
      <c r="W592" s="1"/>
      <c r="X592" s="1"/>
      <c r="Y592" s="1"/>
      <c r="Z592" s="1"/>
    </row>
    <row r="593" spans="1:26" ht="24.75" customHeight="1">
      <c r="A593" s="1"/>
      <c r="B593" s="1"/>
      <c r="C593" s="1"/>
      <c r="D593" s="1"/>
      <c r="E593" s="1"/>
      <c r="F593" s="1"/>
      <c r="G593" s="1"/>
      <c r="H593" s="1"/>
      <c r="I593" s="1"/>
      <c r="J593" s="1"/>
      <c r="K593" s="1"/>
      <c r="L593" s="1"/>
      <c r="M593" s="1"/>
      <c r="N593" s="1"/>
      <c r="O593" s="1"/>
      <c r="P593" s="1"/>
      <c r="Q593" s="1"/>
      <c r="R593" s="1"/>
      <c r="S593" s="1"/>
      <c r="T593" s="1"/>
      <c r="U593" s="2"/>
      <c r="V593" s="1"/>
      <c r="W593" s="1"/>
      <c r="X593" s="1"/>
      <c r="Y593" s="1"/>
      <c r="Z593" s="1"/>
    </row>
    <row r="594" spans="1:26" ht="24.75" customHeight="1">
      <c r="A594" s="1"/>
      <c r="B594" s="1"/>
      <c r="C594" s="1"/>
      <c r="D594" s="1"/>
      <c r="E594" s="1"/>
      <c r="F594" s="1"/>
      <c r="G594" s="1"/>
      <c r="H594" s="1"/>
      <c r="I594" s="1"/>
      <c r="J594" s="1"/>
      <c r="K594" s="1"/>
      <c r="L594" s="1"/>
      <c r="M594" s="1"/>
      <c r="N594" s="1"/>
      <c r="O594" s="1"/>
      <c r="P594" s="1"/>
      <c r="Q594" s="1"/>
      <c r="R594" s="1"/>
      <c r="S594" s="1"/>
      <c r="T594" s="1"/>
      <c r="U594" s="2"/>
      <c r="V594" s="1"/>
      <c r="W594" s="1"/>
      <c r="X594" s="1"/>
      <c r="Y594" s="1"/>
      <c r="Z594" s="1"/>
    </row>
    <row r="595" spans="1:26" ht="24.75" customHeight="1">
      <c r="A595" s="1"/>
      <c r="B595" s="1"/>
      <c r="C595" s="1"/>
      <c r="D595" s="1"/>
      <c r="E595" s="1"/>
      <c r="F595" s="1"/>
      <c r="G595" s="1"/>
      <c r="H595" s="1"/>
      <c r="I595" s="1"/>
      <c r="J595" s="1"/>
      <c r="K595" s="1"/>
      <c r="L595" s="1"/>
      <c r="M595" s="1"/>
      <c r="N595" s="1"/>
      <c r="O595" s="1"/>
      <c r="P595" s="1"/>
      <c r="Q595" s="1"/>
      <c r="R595" s="1"/>
      <c r="S595" s="1"/>
      <c r="T595" s="1"/>
      <c r="U595" s="2"/>
      <c r="V595" s="1"/>
      <c r="W595" s="1"/>
      <c r="X595" s="1"/>
      <c r="Y595" s="1"/>
      <c r="Z595" s="1"/>
    </row>
    <row r="596" spans="1:26" ht="24.75" customHeight="1">
      <c r="A596" s="1"/>
      <c r="B596" s="1"/>
      <c r="C596" s="1"/>
      <c r="D596" s="1"/>
      <c r="E596" s="1"/>
      <c r="F596" s="1"/>
      <c r="G596" s="1"/>
      <c r="H596" s="1"/>
      <c r="I596" s="1"/>
      <c r="J596" s="1"/>
      <c r="K596" s="1"/>
      <c r="L596" s="1"/>
      <c r="M596" s="1"/>
      <c r="N596" s="1"/>
      <c r="O596" s="1"/>
      <c r="P596" s="1"/>
      <c r="Q596" s="1"/>
      <c r="R596" s="1"/>
      <c r="S596" s="1"/>
      <c r="T596" s="1"/>
      <c r="U596" s="2"/>
      <c r="V596" s="1"/>
      <c r="W596" s="1"/>
      <c r="X596" s="1"/>
      <c r="Y596" s="1"/>
      <c r="Z596" s="1"/>
    </row>
    <row r="597" spans="1:26" ht="24.75" customHeight="1">
      <c r="A597" s="1"/>
      <c r="B597" s="1"/>
      <c r="C597" s="1"/>
      <c r="D597" s="1"/>
      <c r="E597" s="1"/>
      <c r="F597" s="1"/>
      <c r="G597" s="1"/>
      <c r="H597" s="1"/>
      <c r="I597" s="1"/>
      <c r="J597" s="1"/>
      <c r="K597" s="1"/>
      <c r="L597" s="1"/>
      <c r="M597" s="1"/>
      <c r="N597" s="1"/>
      <c r="O597" s="1"/>
      <c r="P597" s="1"/>
      <c r="Q597" s="1"/>
      <c r="R597" s="1"/>
      <c r="S597" s="1"/>
      <c r="T597" s="1"/>
      <c r="U597" s="2"/>
      <c r="V597" s="1"/>
      <c r="W597" s="1"/>
      <c r="X597" s="1"/>
      <c r="Y597" s="1"/>
      <c r="Z597" s="1"/>
    </row>
    <row r="598" spans="1:26" ht="24.75" customHeight="1">
      <c r="A598" s="1"/>
      <c r="B598" s="1"/>
      <c r="C598" s="1"/>
      <c r="D598" s="1"/>
      <c r="E598" s="1"/>
      <c r="F598" s="1"/>
      <c r="G598" s="1"/>
      <c r="H598" s="1"/>
      <c r="I598" s="1"/>
      <c r="J598" s="1"/>
      <c r="K598" s="1"/>
      <c r="L598" s="1"/>
      <c r="M598" s="1"/>
      <c r="N598" s="1"/>
      <c r="O598" s="1"/>
      <c r="P598" s="1"/>
      <c r="Q598" s="1"/>
      <c r="R598" s="1"/>
      <c r="S598" s="1"/>
      <c r="T598" s="1"/>
      <c r="U598" s="2"/>
      <c r="V598" s="1"/>
      <c r="W598" s="1"/>
      <c r="X598" s="1"/>
      <c r="Y598" s="1"/>
      <c r="Z598" s="1"/>
    </row>
    <row r="599" spans="1:26" ht="24.75" customHeight="1">
      <c r="A599" s="1"/>
      <c r="B599" s="1"/>
      <c r="C599" s="1"/>
      <c r="D599" s="1"/>
      <c r="E599" s="1"/>
      <c r="F599" s="1"/>
      <c r="G599" s="1"/>
      <c r="H599" s="1"/>
      <c r="I599" s="1"/>
      <c r="J599" s="1"/>
      <c r="K599" s="1"/>
      <c r="L599" s="1"/>
      <c r="M599" s="1"/>
      <c r="N599" s="1"/>
      <c r="O599" s="1"/>
      <c r="P599" s="1"/>
      <c r="Q599" s="1"/>
      <c r="R599" s="1"/>
      <c r="S599" s="1"/>
      <c r="T599" s="1"/>
      <c r="U599" s="2"/>
      <c r="V599" s="1"/>
      <c r="W599" s="1"/>
      <c r="X599" s="1"/>
      <c r="Y599" s="1"/>
      <c r="Z599" s="1"/>
    </row>
    <row r="600" spans="1:26" ht="24.75" customHeight="1">
      <c r="A600" s="1"/>
      <c r="B600" s="1"/>
      <c r="C600" s="1"/>
      <c r="D600" s="1"/>
      <c r="E600" s="1"/>
      <c r="F600" s="1"/>
      <c r="G600" s="1"/>
      <c r="H600" s="1"/>
      <c r="I600" s="1"/>
      <c r="J600" s="1"/>
      <c r="K600" s="1"/>
      <c r="L600" s="1"/>
      <c r="M600" s="1"/>
      <c r="N600" s="1"/>
      <c r="O600" s="1"/>
      <c r="P600" s="1"/>
      <c r="Q600" s="1"/>
      <c r="R600" s="1"/>
      <c r="S600" s="1"/>
      <c r="T600" s="1"/>
      <c r="U600" s="2"/>
      <c r="V600" s="1"/>
      <c r="W600" s="1"/>
      <c r="X600" s="1"/>
      <c r="Y600" s="1"/>
      <c r="Z600" s="1"/>
    </row>
    <row r="601" spans="1:26" ht="24.75" customHeight="1">
      <c r="A601" s="1"/>
      <c r="B601" s="1"/>
      <c r="C601" s="1"/>
      <c r="D601" s="1"/>
      <c r="E601" s="1"/>
      <c r="F601" s="1"/>
      <c r="G601" s="1"/>
      <c r="H601" s="1"/>
      <c r="I601" s="1"/>
      <c r="J601" s="1"/>
      <c r="K601" s="1"/>
      <c r="L601" s="1"/>
      <c r="M601" s="1"/>
      <c r="N601" s="1"/>
      <c r="O601" s="1"/>
      <c r="P601" s="1"/>
      <c r="Q601" s="1"/>
      <c r="R601" s="1"/>
      <c r="S601" s="1"/>
      <c r="T601" s="1"/>
      <c r="U601" s="2"/>
      <c r="V601" s="1"/>
      <c r="W601" s="1"/>
      <c r="X601" s="1"/>
      <c r="Y601" s="1"/>
      <c r="Z601" s="1"/>
    </row>
    <row r="602" spans="1:26" ht="24.75" customHeight="1">
      <c r="A602" s="1"/>
      <c r="B602" s="1"/>
      <c r="C602" s="1"/>
      <c r="D602" s="1"/>
      <c r="E602" s="1"/>
      <c r="F602" s="1"/>
      <c r="G602" s="1"/>
      <c r="H602" s="1"/>
      <c r="I602" s="1"/>
      <c r="J602" s="1"/>
      <c r="K602" s="1"/>
      <c r="L602" s="1"/>
      <c r="M602" s="1"/>
      <c r="N602" s="1"/>
      <c r="O602" s="1"/>
      <c r="P602" s="1"/>
      <c r="Q602" s="1"/>
      <c r="R602" s="1"/>
      <c r="S602" s="1"/>
      <c r="T602" s="1"/>
      <c r="U602" s="2"/>
      <c r="V602" s="1"/>
      <c r="W602" s="1"/>
      <c r="X602" s="1"/>
      <c r="Y602" s="1"/>
      <c r="Z602" s="1"/>
    </row>
    <row r="603" spans="1:26" ht="24.75" customHeight="1">
      <c r="A603" s="1"/>
      <c r="B603" s="1"/>
      <c r="C603" s="1"/>
      <c r="D603" s="1"/>
      <c r="E603" s="1"/>
      <c r="F603" s="1"/>
      <c r="G603" s="1"/>
      <c r="H603" s="1"/>
      <c r="I603" s="1"/>
      <c r="J603" s="1"/>
      <c r="K603" s="1"/>
      <c r="L603" s="1"/>
      <c r="M603" s="1"/>
      <c r="N603" s="1"/>
      <c r="O603" s="1"/>
      <c r="P603" s="1"/>
      <c r="Q603" s="1"/>
      <c r="R603" s="1"/>
      <c r="S603" s="1"/>
      <c r="T603" s="1"/>
      <c r="U603" s="2"/>
      <c r="V603" s="1"/>
      <c r="W603" s="1"/>
      <c r="X603" s="1"/>
      <c r="Y603" s="1"/>
      <c r="Z603" s="1"/>
    </row>
    <row r="604" spans="1:26" ht="24.75" customHeight="1">
      <c r="A604" s="1"/>
      <c r="B604" s="1"/>
      <c r="C604" s="1"/>
      <c r="D604" s="1"/>
      <c r="E604" s="1"/>
      <c r="F604" s="1"/>
      <c r="G604" s="1"/>
      <c r="H604" s="1"/>
      <c r="I604" s="1"/>
      <c r="J604" s="1"/>
      <c r="K604" s="1"/>
      <c r="L604" s="1"/>
      <c r="M604" s="1"/>
      <c r="N604" s="1"/>
      <c r="O604" s="1"/>
      <c r="P604" s="1"/>
      <c r="Q604" s="1"/>
      <c r="R604" s="1"/>
      <c r="S604" s="1"/>
      <c r="T604" s="1"/>
      <c r="U604" s="2"/>
      <c r="V604" s="1"/>
      <c r="W604" s="1"/>
      <c r="X604" s="1"/>
      <c r="Y604" s="1"/>
      <c r="Z604" s="1"/>
    </row>
    <row r="605" spans="1:26" ht="24.75" customHeight="1">
      <c r="A605" s="1"/>
      <c r="B605" s="1"/>
      <c r="C605" s="1"/>
      <c r="D605" s="1"/>
      <c r="E605" s="1"/>
      <c r="F605" s="1"/>
      <c r="G605" s="1"/>
      <c r="H605" s="1"/>
      <c r="I605" s="1"/>
      <c r="J605" s="1"/>
      <c r="K605" s="1"/>
      <c r="L605" s="1"/>
      <c r="M605" s="1"/>
      <c r="N605" s="1"/>
      <c r="O605" s="1"/>
      <c r="P605" s="1"/>
      <c r="Q605" s="1"/>
      <c r="R605" s="1"/>
      <c r="S605" s="1"/>
      <c r="T605" s="1"/>
      <c r="U605" s="2"/>
      <c r="V605" s="1"/>
      <c r="W605" s="1"/>
      <c r="X605" s="1"/>
      <c r="Y605" s="1"/>
      <c r="Z605" s="1"/>
    </row>
    <row r="606" spans="1:26" ht="24.75" customHeight="1">
      <c r="A606" s="1"/>
      <c r="B606" s="1"/>
      <c r="C606" s="1"/>
      <c r="D606" s="1"/>
      <c r="E606" s="1"/>
      <c r="F606" s="1"/>
      <c r="G606" s="1"/>
      <c r="H606" s="1"/>
      <c r="I606" s="1"/>
      <c r="J606" s="1"/>
      <c r="K606" s="1"/>
      <c r="L606" s="1"/>
      <c r="M606" s="1"/>
      <c r="N606" s="1"/>
      <c r="O606" s="1"/>
      <c r="P606" s="1"/>
      <c r="Q606" s="1"/>
      <c r="R606" s="1"/>
      <c r="S606" s="1"/>
      <c r="T606" s="1"/>
      <c r="U606" s="2"/>
      <c r="V606" s="1"/>
      <c r="W606" s="1"/>
      <c r="X606" s="1"/>
      <c r="Y606" s="1"/>
      <c r="Z606" s="1"/>
    </row>
    <row r="607" spans="1:26" ht="24.75" customHeight="1">
      <c r="A607" s="1"/>
      <c r="B607" s="1"/>
      <c r="C607" s="1"/>
      <c r="D607" s="1"/>
      <c r="E607" s="1"/>
      <c r="F607" s="1"/>
      <c r="G607" s="1"/>
      <c r="H607" s="1"/>
      <c r="I607" s="1"/>
      <c r="J607" s="1"/>
      <c r="K607" s="1"/>
      <c r="L607" s="1"/>
      <c r="M607" s="1"/>
      <c r="N607" s="1"/>
      <c r="O607" s="1"/>
      <c r="P607" s="1"/>
      <c r="Q607" s="1"/>
      <c r="R607" s="1"/>
      <c r="S607" s="1"/>
      <c r="T607" s="1"/>
      <c r="U607" s="2"/>
      <c r="V607" s="1"/>
      <c r="W607" s="1"/>
      <c r="X607" s="1"/>
      <c r="Y607" s="1"/>
      <c r="Z607" s="1"/>
    </row>
    <row r="608" spans="1:26" ht="24.75" customHeight="1">
      <c r="A608" s="1"/>
      <c r="B608" s="1"/>
      <c r="C608" s="1"/>
      <c r="D608" s="1"/>
      <c r="E608" s="1"/>
      <c r="F608" s="1"/>
      <c r="G608" s="1"/>
      <c r="H608" s="1"/>
      <c r="I608" s="1"/>
      <c r="J608" s="1"/>
      <c r="K608" s="1"/>
      <c r="L608" s="1"/>
      <c r="M608" s="1"/>
      <c r="N608" s="1"/>
      <c r="O608" s="1"/>
      <c r="P608" s="1"/>
      <c r="Q608" s="1"/>
      <c r="R608" s="1"/>
      <c r="S608" s="1"/>
      <c r="T608" s="1"/>
      <c r="U608" s="2"/>
      <c r="V608" s="1"/>
      <c r="W608" s="1"/>
      <c r="X608" s="1"/>
      <c r="Y608" s="1"/>
      <c r="Z608" s="1"/>
    </row>
    <row r="609" spans="1:26" ht="24.75" customHeight="1">
      <c r="A609" s="1"/>
      <c r="B609" s="1"/>
      <c r="C609" s="1"/>
      <c r="D609" s="1"/>
      <c r="E609" s="1"/>
      <c r="F609" s="1"/>
      <c r="G609" s="1"/>
      <c r="H609" s="1"/>
      <c r="I609" s="1"/>
      <c r="J609" s="1"/>
      <c r="K609" s="1"/>
      <c r="L609" s="1"/>
      <c r="M609" s="1"/>
      <c r="N609" s="1"/>
      <c r="O609" s="1"/>
      <c r="P609" s="1"/>
      <c r="Q609" s="1"/>
      <c r="R609" s="1"/>
      <c r="S609" s="1"/>
      <c r="T609" s="1"/>
      <c r="U609" s="2"/>
      <c r="V609" s="1"/>
      <c r="W609" s="1"/>
      <c r="X609" s="1"/>
      <c r="Y609" s="1"/>
      <c r="Z609" s="1"/>
    </row>
    <row r="610" spans="1:26" ht="24.75" customHeight="1">
      <c r="A610" s="1"/>
      <c r="B610" s="1"/>
      <c r="C610" s="1"/>
      <c r="D610" s="1"/>
      <c r="E610" s="1"/>
      <c r="F610" s="1"/>
      <c r="G610" s="1"/>
      <c r="H610" s="1"/>
      <c r="I610" s="1"/>
      <c r="J610" s="1"/>
      <c r="K610" s="1"/>
      <c r="L610" s="1"/>
      <c r="M610" s="1"/>
      <c r="N610" s="1"/>
      <c r="O610" s="1"/>
      <c r="P610" s="1"/>
      <c r="Q610" s="1"/>
      <c r="R610" s="1"/>
      <c r="S610" s="1"/>
      <c r="T610" s="1"/>
      <c r="U610" s="2"/>
      <c r="V610" s="1"/>
      <c r="W610" s="1"/>
      <c r="X610" s="1"/>
      <c r="Y610" s="1"/>
      <c r="Z610" s="1"/>
    </row>
    <row r="611" spans="1:26" ht="24.75" customHeight="1">
      <c r="A611" s="1"/>
      <c r="B611" s="1"/>
      <c r="C611" s="1"/>
      <c r="D611" s="1"/>
      <c r="E611" s="1"/>
      <c r="F611" s="1"/>
      <c r="G611" s="1"/>
      <c r="H611" s="1"/>
      <c r="I611" s="1"/>
      <c r="J611" s="1"/>
      <c r="K611" s="1"/>
      <c r="L611" s="1"/>
      <c r="M611" s="1"/>
      <c r="N611" s="1"/>
      <c r="O611" s="1"/>
      <c r="P611" s="1"/>
      <c r="Q611" s="1"/>
      <c r="R611" s="1"/>
      <c r="S611" s="1"/>
      <c r="T611" s="1"/>
      <c r="U611" s="2"/>
      <c r="V611" s="1"/>
      <c r="W611" s="1"/>
      <c r="X611" s="1"/>
      <c r="Y611" s="1"/>
      <c r="Z611" s="1"/>
    </row>
    <row r="612" spans="1:26" ht="24.75" customHeight="1">
      <c r="A612" s="1"/>
      <c r="B612" s="1"/>
      <c r="C612" s="1"/>
      <c r="D612" s="1"/>
      <c r="E612" s="1"/>
      <c r="F612" s="1"/>
      <c r="G612" s="1"/>
      <c r="H612" s="1"/>
      <c r="I612" s="1"/>
      <c r="J612" s="1"/>
      <c r="K612" s="1"/>
      <c r="L612" s="1"/>
      <c r="M612" s="1"/>
      <c r="N612" s="1"/>
      <c r="O612" s="1"/>
      <c r="P612" s="1"/>
      <c r="Q612" s="1"/>
      <c r="R612" s="1"/>
      <c r="S612" s="1"/>
      <c r="T612" s="1"/>
      <c r="U612" s="2"/>
      <c r="V612" s="1"/>
      <c r="W612" s="1"/>
      <c r="X612" s="1"/>
      <c r="Y612" s="1"/>
      <c r="Z612" s="1"/>
    </row>
    <row r="613" spans="1:26" ht="24.75" customHeight="1">
      <c r="A613" s="1"/>
      <c r="B613" s="1"/>
      <c r="C613" s="1"/>
      <c r="D613" s="1"/>
      <c r="E613" s="1"/>
      <c r="F613" s="1"/>
      <c r="G613" s="1"/>
      <c r="H613" s="1"/>
      <c r="I613" s="1"/>
      <c r="J613" s="1"/>
      <c r="K613" s="1"/>
      <c r="L613" s="1"/>
      <c r="M613" s="1"/>
      <c r="N613" s="1"/>
      <c r="O613" s="1"/>
      <c r="P613" s="1"/>
      <c r="Q613" s="1"/>
      <c r="R613" s="1"/>
      <c r="S613" s="1"/>
      <c r="T613" s="1"/>
      <c r="U613" s="2"/>
      <c r="V613" s="1"/>
      <c r="W613" s="1"/>
      <c r="X613" s="1"/>
      <c r="Y613" s="1"/>
      <c r="Z613" s="1"/>
    </row>
    <row r="614" spans="1:26" ht="24.75" customHeight="1">
      <c r="A614" s="1"/>
      <c r="B614" s="1"/>
      <c r="C614" s="1"/>
      <c r="D614" s="1"/>
      <c r="E614" s="1"/>
      <c r="F614" s="1"/>
      <c r="G614" s="1"/>
      <c r="H614" s="1"/>
      <c r="I614" s="1"/>
      <c r="J614" s="1"/>
      <c r="K614" s="1"/>
      <c r="L614" s="1"/>
      <c r="M614" s="1"/>
      <c r="N614" s="1"/>
      <c r="O614" s="1"/>
      <c r="P614" s="1"/>
      <c r="Q614" s="1"/>
      <c r="R614" s="1"/>
      <c r="S614" s="1"/>
      <c r="T614" s="1"/>
      <c r="U614" s="2"/>
      <c r="V614" s="1"/>
      <c r="W614" s="1"/>
      <c r="X614" s="1"/>
      <c r="Y614" s="1"/>
      <c r="Z614" s="1"/>
    </row>
    <row r="615" spans="1:26" ht="24.75" customHeight="1">
      <c r="A615" s="1"/>
      <c r="B615" s="1"/>
      <c r="C615" s="1"/>
      <c r="D615" s="1"/>
      <c r="E615" s="1"/>
      <c r="F615" s="1"/>
      <c r="G615" s="1"/>
      <c r="H615" s="1"/>
      <c r="I615" s="1"/>
      <c r="J615" s="1"/>
      <c r="K615" s="1"/>
      <c r="L615" s="1"/>
      <c r="M615" s="1"/>
      <c r="N615" s="1"/>
      <c r="O615" s="1"/>
      <c r="P615" s="1"/>
      <c r="Q615" s="1"/>
      <c r="R615" s="1"/>
      <c r="S615" s="1"/>
      <c r="T615" s="1"/>
      <c r="U615" s="2"/>
      <c r="V615" s="1"/>
      <c r="W615" s="1"/>
      <c r="X615" s="1"/>
      <c r="Y615" s="1"/>
      <c r="Z615" s="1"/>
    </row>
    <row r="616" spans="1:26" ht="24.75" customHeight="1">
      <c r="A616" s="1"/>
      <c r="B616" s="1"/>
      <c r="C616" s="1"/>
      <c r="D616" s="1"/>
      <c r="E616" s="1"/>
      <c r="F616" s="1"/>
      <c r="G616" s="1"/>
      <c r="H616" s="1"/>
      <c r="I616" s="1"/>
      <c r="J616" s="1"/>
      <c r="K616" s="1"/>
      <c r="L616" s="1"/>
      <c r="M616" s="1"/>
      <c r="N616" s="1"/>
      <c r="O616" s="1"/>
      <c r="P616" s="1"/>
      <c r="Q616" s="1"/>
      <c r="R616" s="1"/>
      <c r="S616" s="1"/>
      <c r="T616" s="1"/>
      <c r="U616" s="2"/>
      <c r="V616" s="1"/>
      <c r="W616" s="1"/>
      <c r="X616" s="1"/>
      <c r="Y616" s="1"/>
      <c r="Z616" s="1"/>
    </row>
    <row r="617" spans="1:26" ht="24.75" customHeight="1">
      <c r="A617" s="1"/>
      <c r="B617" s="1"/>
      <c r="C617" s="1"/>
      <c r="D617" s="1"/>
      <c r="E617" s="1"/>
      <c r="F617" s="1"/>
      <c r="G617" s="1"/>
      <c r="H617" s="1"/>
      <c r="I617" s="1"/>
      <c r="J617" s="1"/>
      <c r="K617" s="1"/>
      <c r="L617" s="1"/>
      <c r="M617" s="1"/>
      <c r="N617" s="1"/>
      <c r="O617" s="1"/>
      <c r="P617" s="1"/>
      <c r="Q617" s="1"/>
      <c r="R617" s="1"/>
      <c r="S617" s="1"/>
      <c r="T617" s="1"/>
      <c r="U617" s="2"/>
      <c r="V617" s="1"/>
      <c r="W617" s="1"/>
      <c r="X617" s="1"/>
      <c r="Y617" s="1"/>
      <c r="Z617" s="1"/>
    </row>
    <row r="618" spans="1:26" ht="24.75" customHeight="1">
      <c r="A618" s="1"/>
      <c r="B618" s="1"/>
      <c r="C618" s="1"/>
      <c r="D618" s="1"/>
      <c r="E618" s="1"/>
      <c r="F618" s="1"/>
      <c r="G618" s="1"/>
      <c r="H618" s="1"/>
      <c r="I618" s="1"/>
      <c r="J618" s="1"/>
      <c r="K618" s="1"/>
      <c r="L618" s="1"/>
      <c r="M618" s="1"/>
      <c r="N618" s="1"/>
      <c r="O618" s="1"/>
      <c r="P618" s="1"/>
      <c r="Q618" s="1"/>
      <c r="R618" s="1"/>
      <c r="S618" s="1"/>
      <c r="T618" s="1"/>
      <c r="U618" s="2"/>
      <c r="V618" s="1"/>
      <c r="W618" s="1"/>
      <c r="X618" s="1"/>
      <c r="Y618" s="1"/>
      <c r="Z618" s="1"/>
    </row>
    <row r="619" spans="1:26" ht="24.75" customHeight="1">
      <c r="A619" s="1"/>
      <c r="B619" s="1"/>
      <c r="C619" s="1"/>
      <c r="D619" s="1"/>
      <c r="E619" s="1"/>
      <c r="F619" s="1"/>
      <c r="G619" s="1"/>
      <c r="H619" s="1"/>
      <c r="I619" s="1"/>
      <c r="J619" s="1"/>
      <c r="K619" s="1"/>
      <c r="L619" s="1"/>
      <c r="M619" s="1"/>
      <c r="N619" s="1"/>
      <c r="O619" s="1"/>
      <c r="P619" s="1"/>
      <c r="Q619" s="1"/>
      <c r="R619" s="1"/>
      <c r="S619" s="1"/>
      <c r="T619" s="1"/>
      <c r="U619" s="2"/>
      <c r="V619" s="1"/>
      <c r="W619" s="1"/>
      <c r="X619" s="1"/>
      <c r="Y619" s="1"/>
      <c r="Z619" s="1"/>
    </row>
    <row r="620" spans="1:26" ht="24.75" customHeight="1">
      <c r="A620" s="1"/>
      <c r="B620" s="1"/>
      <c r="C620" s="1"/>
      <c r="D620" s="1"/>
      <c r="E620" s="1"/>
      <c r="F620" s="1"/>
      <c r="G620" s="1"/>
      <c r="H620" s="1"/>
      <c r="I620" s="1"/>
      <c r="J620" s="1"/>
      <c r="K620" s="1"/>
      <c r="L620" s="1"/>
      <c r="M620" s="1"/>
      <c r="N620" s="1"/>
      <c r="O620" s="1"/>
      <c r="P620" s="1"/>
      <c r="Q620" s="1"/>
      <c r="R620" s="1"/>
      <c r="S620" s="1"/>
      <c r="T620" s="1"/>
      <c r="U620" s="2"/>
      <c r="V620" s="1"/>
      <c r="W620" s="1"/>
      <c r="X620" s="1"/>
      <c r="Y620" s="1"/>
      <c r="Z620" s="1"/>
    </row>
    <row r="621" spans="1:26" ht="24.75" customHeight="1">
      <c r="A621" s="1"/>
      <c r="B621" s="1"/>
      <c r="C621" s="1"/>
      <c r="D621" s="1"/>
      <c r="E621" s="1"/>
      <c r="F621" s="1"/>
      <c r="G621" s="1"/>
      <c r="H621" s="1"/>
      <c r="I621" s="1"/>
      <c r="J621" s="1"/>
      <c r="K621" s="1"/>
      <c r="L621" s="1"/>
      <c r="M621" s="1"/>
      <c r="N621" s="1"/>
      <c r="O621" s="1"/>
      <c r="P621" s="1"/>
      <c r="Q621" s="1"/>
      <c r="R621" s="1"/>
      <c r="S621" s="1"/>
      <c r="T621" s="1"/>
      <c r="U621" s="2"/>
      <c r="V621" s="1"/>
      <c r="W621" s="1"/>
      <c r="X621" s="1"/>
      <c r="Y621" s="1"/>
      <c r="Z621" s="1"/>
    </row>
    <row r="622" spans="1:26" ht="24.75" customHeight="1">
      <c r="A622" s="1"/>
      <c r="B622" s="1"/>
      <c r="C622" s="1"/>
      <c r="D622" s="1"/>
      <c r="E622" s="1"/>
      <c r="F622" s="1"/>
      <c r="G622" s="1"/>
      <c r="H622" s="1"/>
      <c r="I622" s="1"/>
      <c r="J622" s="1"/>
      <c r="K622" s="1"/>
      <c r="L622" s="1"/>
      <c r="M622" s="1"/>
      <c r="N622" s="1"/>
      <c r="O622" s="1"/>
      <c r="P622" s="1"/>
      <c r="Q622" s="1"/>
      <c r="R622" s="1"/>
      <c r="S622" s="1"/>
      <c r="T622" s="1"/>
      <c r="U622" s="2"/>
      <c r="V622" s="1"/>
      <c r="W622" s="1"/>
      <c r="X622" s="1"/>
      <c r="Y622" s="1"/>
      <c r="Z622" s="1"/>
    </row>
    <row r="623" spans="1:26" ht="24.75" customHeight="1">
      <c r="A623" s="1"/>
      <c r="B623" s="1"/>
      <c r="C623" s="1"/>
      <c r="D623" s="1"/>
      <c r="E623" s="1"/>
      <c r="F623" s="1"/>
      <c r="G623" s="1"/>
      <c r="H623" s="1"/>
      <c r="I623" s="1"/>
      <c r="J623" s="1"/>
      <c r="K623" s="1"/>
      <c r="L623" s="1"/>
      <c r="M623" s="1"/>
      <c r="N623" s="1"/>
      <c r="O623" s="1"/>
      <c r="P623" s="1"/>
      <c r="Q623" s="1"/>
      <c r="R623" s="1"/>
      <c r="S623" s="1"/>
      <c r="T623" s="1"/>
      <c r="U623" s="2"/>
      <c r="V623" s="1"/>
      <c r="W623" s="1"/>
      <c r="X623" s="1"/>
      <c r="Y623" s="1"/>
      <c r="Z623" s="1"/>
    </row>
    <row r="624" spans="1:26" ht="24.75" customHeight="1">
      <c r="A624" s="1"/>
      <c r="B624" s="1"/>
      <c r="C624" s="1"/>
      <c r="D624" s="1"/>
      <c r="E624" s="1"/>
      <c r="F624" s="1"/>
      <c r="G624" s="1"/>
      <c r="H624" s="1"/>
      <c r="I624" s="1"/>
      <c r="J624" s="1"/>
      <c r="K624" s="1"/>
      <c r="L624" s="1"/>
      <c r="M624" s="1"/>
      <c r="N624" s="1"/>
      <c r="O624" s="1"/>
      <c r="P624" s="1"/>
      <c r="Q624" s="1"/>
      <c r="R624" s="1"/>
      <c r="S624" s="1"/>
      <c r="T624" s="1"/>
      <c r="U624" s="2"/>
      <c r="V624" s="1"/>
      <c r="W624" s="1"/>
      <c r="X624" s="1"/>
      <c r="Y624" s="1"/>
      <c r="Z624" s="1"/>
    </row>
    <row r="625" spans="1:26" ht="24.75" customHeight="1">
      <c r="A625" s="1"/>
      <c r="B625" s="1"/>
      <c r="C625" s="1"/>
      <c r="D625" s="1"/>
      <c r="E625" s="1"/>
      <c r="F625" s="1"/>
      <c r="G625" s="1"/>
      <c r="H625" s="1"/>
      <c r="I625" s="1"/>
      <c r="J625" s="1"/>
      <c r="K625" s="1"/>
      <c r="L625" s="1"/>
      <c r="M625" s="1"/>
      <c r="N625" s="1"/>
      <c r="O625" s="1"/>
      <c r="P625" s="1"/>
      <c r="Q625" s="1"/>
      <c r="R625" s="1"/>
      <c r="S625" s="1"/>
      <c r="T625" s="1"/>
      <c r="U625" s="2"/>
      <c r="V625" s="1"/>
      <c r="W625" s="1"/>
      <c r="X625" s="1"/>
      <c r="Y625" s="1"/>
      <c r="Z625" s="1"/>
    </row>
    <row r="626" spans="1:26" ht="24.75" customHeight="1">
      <c r="A626" s="1"/>
      <c r="B626" s="1"/>
      <c r="C626" s="1"/>
      <c r="D626" s="1"/>
      <c r="E626" s="1"/>
      <c r="F626" s="1"/>
      <c r="G626" s="1"/>
      <c r="H626" s="1"/>
      <c r="I626" s="1"/>
      <c r="J626" s="1"/>
      <c r="K626" s="1"/>
      <c r="L626" s="1"/>
      <c r="M626" s="1"/>
      <c r="N626" s="1"/>
      <c r="O626" s="1"/>
      <c r="P626" s="1"/>
      <c r="Q626" s="1"/>
      <c r="R626" s="1"/>
      <c r="S626" s="1"/>
      <c r="T626" s="1"/>
      <c r="U626" s="2"/>
      <c r="V626" s="1"/>
      <c r="W626" s="1"/>
      <c r="X626" s="1"/>
      <c r="Y626" s="1"/>
      <c r="Z626" s="1"/>
    </row>
    <row r="627" spans="1:26" ht="24.75" customHeight="1">
      <c r="A627" s="1"/>
      <c r="B627" s="1"/>
      <c r="C627" s="1"/>
      <c r="D627" s="1"/>
      <c r="E627" s="1"/>
      <c r="F627" s="1"/>
      <c r="G627" s="1"/>
      <c r="H627" s="1"/>
      <c r="I627" s="1"/>
      <c r="J627" s="1"/>
      <c r="K627" s="1"/>
      <c r="L627" s="1"/>
      <c r="M627" s="1"/>
      <c r="N627" s="1"/>
      <c r="O627" s="1"/>
      <c r="P627" s="1"/>
      <c r="Q627" s="1"/>
      <c r="R627" s="1"/>
      <c r="S627" s="1"/>
      <c r="T627" s="1"/>
      <c r="U627" s="2"/>
      <c r="V627" s="1"/>
      <c r="W627" s="1"/>
      <c r="X627" s="1"/>
      <c r="Y627" s="1"/>
      <c r="Z627" s="1"/>
    </row>
    <row r="628" spans="1:26" ht="24.75" customHeight="1">
      <c r="A628" s="1"/>
      <c r="B628" s="1"/>
      <c r="C628" s="1"/>
      <c r="D628" s="1"/>
      <c r="E628" s="1"/>
      <c r="F628" s="1"/>
      <c r="G628" s="1"/>
      <c r="H628" s="1"/>
      <c r="I628" s="1"/>
      <c r="J628" s="1"/>
      <c r="K628" s="1"/>
      <c r="L628" s="1"/>
      <c r="M628" s="1"/>
      <c r="N628" s="1"/>
      <c r="O628" s="1"/>
      <c r="P628" s="1"/>
      <c r="Q628" s="1"/>
      <c r="R628" s="1"/>
      <c r="S628" s="1"/>
      <c r="T628" s="1"/>
      <c r="U628" s="2"/>
      <c r="V628" s="1"/>
      <c r="W628" s="1"/>
      <c r="X628" s="1"/>
      <c r="Y628" s="1"/>
      <c r="Z628" s="1"/>
    </row>
    <row r="629" spans="1:26" ht="24.75" customHeight="1">
      <c r="A629" s="1"/>
      <c r="B629" s="1"/>
      <c r="C629" s="1"/>
      <c r="D629" s="1"/>
      <c r="E629" s="1"/>
      <c r="F629" s="1"/>
      <c r="G629" s="1"/>
      <c r="H629" s="1"/>
      <c r="I629" s="1"/>
      <c r="J629" s="1"/>
      <c r="K629" s="1"/>
      <c r="L629" s="1"/>
      <c r="M629" s="1"/>
      <c r="N629" s="1"/>
      <c r="O629" s="1"/>
      <c r="P629" s="1"/>
      <c r="Q629" s="1"/>
      <c r="R629" s="1"/>
      <c r="S629" s="1"/>
      <c r="T629" s="1"/>
      <c r="U629" s="2"/>
      <c r="V629" s="1"/>
      <c r="W629" s="1"/>
      <c r="X629" s="1"/>
      <c r="Y629" s="1"/>
      <c r="Z629" s="1"/>
    </row>
    <row r="630" spans="1:26" ht="24.75" customHeight="1">
      <c r="A630" s="1"/>
      <c r="B630" s="1"/>
      <c r="C630" s="1"/>
      <c r="D630" s="1"/>
      <c r="E630" s="1"/>
      <c r="F630" s="1"/>
      <c r="G630" s="1"/>
      <c r="H630" s="1"/>
      <c r="I630" s="1"/>
      <c r="J630" s="1"/>
      <c r="K630" s="1"/>
      <c r="L630" s="1"/>
      <c r="M630" s="1"/>
      <c r="N630" s="1"/>
      <c r="O630" s="1"/>
      <c r="P630" s="1"/>
      <c r="Q630" s="1"/>
      <c r="R630" s="1"/>
      <c r="S630" s="1"/>
      <c r="T630" s="1"/>
      <c r="U630" s="2"/>
      <c r="V630" s="1"/>
      <c r="W630" s="1"/>
      <c r="X630" s="1"/>
      <c r="Y630" s="1"/>
      <c r="Z630" s="1"/>
    </row>
    <row r="631" spans="1:26" ht="24.75" customHeight="1">
      <c r="A631" s="1"/>
      <c r="B631" s="1"/>
      <c r="C631" s="1"/>
      <c r="D631" s="1"/>
      <c r="E631" s="1"/>
      <c r="F631" s="1"/>
      <c r="G631" s="1"/>
      <c r="H631" s="1"/>
      <c r="I631" s="1"/>
      <c r="J631" s="1"/>
      <c r="K631" s="1"/>
      <c r="L631" s="1"/>
      <c r="M631" s="1"/>
      <c r="N631" s="1"/>
      <c r="O631" s="1"/>
      <c r="P631" s="1"/>
      <c r="Q631" s="1"/>
      <c r="R631" s="1"/>
      <c r="S631" s="1"/>
      <c r="T631" s="1"/>
      <c r="U631" s="2"/>
      <c r="V631" s="1"/>
      <c r="W631" s="1"/>
      <c r="X631" s="1"/>
      <c r="Y631" s="1"/>
      <c r="Z631" s="1"/>
    </row>
    <row r="632" spans="1:26" ht="24.75" customHeight="1">
      <c r="A632" s="1"/>
      <c r="B632" s="1"/>
      <c r="C632" s="1"/>
      <c r="D632" s="1"/>
      <c r="E632" s="1"/>
      <c r="F632" s="1"/>
      <c r="G632" s="1"/>
      <c r="H632" s="1"/>
      <c r="I632" s="1"/>
      <c r="J632" s="1"/>
      <c r="K632" s="1"/>
      <c r="L632" s="1"/>
      <c r="M632" s="1"/>
      <c r="N632" s="1"/>
      <c r="O632" s="1"/>
      <c r="P632" s="1"/>
      <c r="Q632" s="1"/>
      <c r="R632" s="1"/>
      <c r="S632" s="1"/>
      <c r="T632" s="1"/>
      <c r="U632" s="2"/>
      <c r="V632" s="1"/>
      <c r="W632" s="1"/>
      <c r="X632" s="1"/>
      <c r="Y632" s="1"/>
      <c r="Z632" s="1"/>
    </row>
    <row r="633" spans="1:26" ht="24.75" customHeight="1">
      <c r="A633" s="1"/>
      <c r="B633" s="1"/>
      <c r="C633" s="1"/>
      <c r="D633" s="1"/>
      <c r="E633" s="1"/>
      <c r="F633" s="1"/>
      <c r="G633" s="1"/>
      <c r="H633" s="1"/>
      <c r="I633" s="1"/>
      <c r="J633" s="1"/>
      <c r="K633" s="1"/>
      <c r="L633" s="1"/>
      <c r="M633" s="1"/>
      <c r="N633" s="1"/>
      <c r="O633" s="1"/>
      <c r="P633" s="1"/>
      <c r="Q633" s="1"/>
      <c r="R633" s="1"/>
      <c r="S633" s="1"/>
      <c r="T633" s="1"/>
      <c r="U633" s="2"/>
      <c r="V633" s="1"/>
      <c r="W633" s="1"/>
      <c r="X633" s="1"/>
      <c r="Y633" s="1"/>
      <c r="Z633" s="1"/>
    </row>
    <row r="634" spans="1:26" ht="24.75" customHeight="1">
      <c r="A634" s="1"/>
      <c r="B634" s="1"/>
      <c r="C634" s="1"/>
      <c r="D634" s="1"/>
      <c r="E634" s="1"/>
      <c r="F634" s="1"/>
      <c r="G634" s="1"/>
      <c r="H634" s="1"/>
      <c r="I634" s="1"/>
      <c r="J634" s="1"/>
      <c r="K634" s="1"/>
      <c r="L634" s="1"/>
      <c r="M634" s="1"/>
      <c r="N634" s="1"/>
      <c r="O634" s="1"/>
      <c r="P634" s="1"/>
      <c r="Q634" s="1"/>
      <c r="R634" s="1"/>
      <c r="S634" s="1"/>
      <c r="T634" s="1"/>
      <c r="U634" s="2"/>
      <c r="V634" s="1"/>
      <c r="W634" s="1"/>
      <c r="X634" s="1"/>
      <c r="Y634" s="1"/>
      <c r="Z634" s="1"/>
    </row>
    <row r="635" spans="1:26" ht="24.75" customHeight="1">
      <c r="A635" s="1"/>
      <c r="B635" s="1"/>
      <c r="C635" s="1"/>
      <c r="D635" s="1"/>
      <c r="E635" s="1"/>
      <c r="F635" s="1"/>
      <c r="G635" s="1"/>
      <c r="H635" s="1"/>
      <c r="I635" s="1"/>
      <c r="J635" s="1"/>
      <c r="K635" s="1"/>
      <c r="L635" s="1"/>
      <c r="M635" s="1"/>
      <c r="N635" s="1"/>
      <c r="O635" s="1"/>
      <c r="P635" s="1"/>
      <c r="Q635" s="1"/>
      <c r="R635" s="1"/>
      <c r="S635" s="1"/>
      <c r="T635" s="1"/>
      <c r="U635" s="2"/>
      <c r="V635" s="1"/>
      <c r="W635" s="1"/>
      <c r="X635" s="1"/>
      <c r="Y635" s="1"/>
      <c r="Z635" s="1"/>
    </row>
    <row r="636" spans="1:26" ht="24.75" customHeight="1">
      <c r="A636" s="1"/>
      <c r="B636" s="1"/>
      <c r="C636" s="1"/>
      <c r="D636" s="1"/>
      <c r="E636" s="1"/>
      <c r="F636" s="1"/>
      <c r="G636" s="1"/>
      <c r="H636" s="1"/>
      <c r="I636" s="1"/>
      <c r="J636" s="1"/>
      <c r="K636" s="1"/>
      <c r="L636" s="1"/>
      <c r="M636" s="1"/>
      <c r="N636" s="1"/>
      <c r="O636" s="1"/>
      <c r="P636" s="1"/>
      <c r="Q636" s="1"/>
      <c r="R636" s="1"/>
      <c r="S636" s="1"/>
      <c r="T636" s="1"/>
      <c r="U636" s="2"/>
      <c r="V636" s="1"/>
      <c r="W636" s="1"/>
      <c r="X636" s="1"/>
      <c r="Y636" s="1"/>
      <c r="Z636" s="1"/>
    </row>
    <row r="637" spans="1:26" ht="24.75" customHeight="1">
      <c r="A637" s="1"/>
      <c r="B637" s="1"/>
      <c r="C637" s="1"/>
      <c r="D637" s="1"/>
      <c r="E637" s="1"/>
      <c r="F637" s="1"/>
      <c r="G637" s="1"/>
      <c r="H637" s="1"/>
      <c r="I637" s="1"/>
      <c r="J637" s="1"/>
      <c r="K637" s="1"/>
      <c r="L637" s="1"/>
      <c r="M637" s="1"/>
      <c r="N637" s="1"/>
      <c r="O637" s="1"/>
      <c r="P637" s="1"/>
      <c r="Q637" s="1"/>
      <c r="R637" s="1"/>
      <c r="S637" s="1"/>
      <c r="T637" s="1"/>
      <c r="U637" s="2"/>
      <c r="V637" s="1"/>
      <c r="W637" s="1"/>
      <c r="X637" s="1"/>
      <c r="Y637" s="1"/>
      <c r="Z637" s="1"/>
    </row>
    <row r="638" spans="1:26" ht="24.75" customHeight="1">
      <c r="A638" s="1"/>
      <c r="B638" s="1"/>
      <c r="C638" s="1"/>
      <c r="D638" s="1"/>
      <c r="E638" s="1"/>
      <c r="F638" s="1"/>
      <c r="G638" s="1"/>
      <c r="H638" s="1"/>
      <c r="I638" s="1"/>
      <c r="J638" s="1"/>
      <c r="K638" s="1"/>
      <c r="L638" s="1"/>
      <c r="M638" s="1"/>
      <c r="N638" s="1"/>
      <c r="O638" s="1"/>
      <c r="P638" s="1"/>
      <c r="Q638" s="1"/>
      <c r="R638" s="1"/>
      <c r="S638" s="1"/>
      <c r="T638" s="1"/>
      <c r="U638" s="2"/>
      <c r="V638" s="1"/>
      <c r="W638" s="1"/>
      <c r="X638" s="1"/>
      <c r="Y638" s="1"/>
      <c r="Z638" s="1"/>
    </row>
    <row r="639" spans="1:26" ht="24.75" customHeight="1">
      <c r="A639" s="1"/>
      <c r="B639" s="1"/>
      <c r="C639" s="1"/>
      <c r="D639" s="1"/>
      <c r="E639" s="1"/>
      <c r="F639" s="1"/>
      <c r="G639" s="1"/>
      <c r="H639" s="1"/>
      <c r="I639" s="1"/>
      <c r="J639" s="1"/>
      <c r="K639" s="1"/>
      <c r="L639" s="1"/>
      <c r="M639" s="1"/>
      <c r="N639" s="1"/>
      <c r="O639" s="1"/>
      <c r="P639" s="1"/>
      <c r="Q639" s="1"/>
      <c r="R639" s="1"/>
      <c r="S639" s="1"/>
      <c r="T639" s="1"/>
      <c r="U639" s="2"/>
      <c r="V639" s="1"/>
      <c r="W639" s="1"/>
      <c r="X639" s="1"/>
      <c r="Y639" s="1"/>
      <c r="Z639" s="1"/>
    </row>
    <row r="640" spans="1:26" ht="24.75" customHeight="1">
      <c r="A640" s="1"/>
      <c r="B640" s="1"/>
      <c r="C640" s="1"/>
      <c r="D640" s="1"/>
      <c r="E640" s="1"/>
      <c r="F640" s="1"/>
      <c r="G640" s="1"/>
      <c r="H640" s="1"/>
      <c r="I640" s="1"/>
      <c r="J640" s="1"/>
      <c r="K640" s="1"/>
      <c r="L640" s="1"/>
      <c r="M640" s="1"/>
      <c r="N640" s="1"/>
      <c r="O640" s="1"/>
      <c r="P640" s="1"/>
      <c r="Q640" s="1"/>
      <c r="R640" s="1"/>
      <c r="S640" s="1"/>
      <c r="T640" s="1"/>
      <c r="U640" s="2"/>
      <c r="V640" s="1"/>
      <c r="W640" s="1"/>
      <c r="X640" s="1"/>
      <c r="Y640" s="1"/>
      <c r="Z640" s="1"/>
    </row>
    <row r="641" spans="1:26" ht="24.75" customHeight="1">
      <c r="A641" s="1"/>
      <c r="B641" s="1"/>
      <c r="C641" s="1"/>
      <c r="D641" s="1"/>
      <c r="E641" s="1"/>
      <c r="F641" s="1"/>
      <c r="G641" s="1"/>
      <c r="H641" s="1"/>
      <c r="I641" s="1"/>
      <c r="J641" s="1"/>
      <c r="K641" s="1"/>
      <c r="L641" s="1"/>
      <c r="M641" s="1"/>
      <c r="N641" s="1"/>
      <c r="O641" s="1"/>
      <c r="P641" s="1"/>
      <c r="Q641" s="1"/>
      <c r="R641" s="1"/>
      <c r="S641" s="1"/>
      <c r="T641" s="1"/>
      <c r="U641" s="2"/>
      <c r="V641" s="1"/>
      <c r="W641" s="1"/>
      <c r="X641" s="1"/>
      <c r="Y641" s="1"/>
      <c r="Z641" s="1"/>
    </row>
    <row r="642" spans="1:26" ht="24.75" customHeight="1">
      <c r="A642" s="1"/>
      <c r="B642" s="1"/>
      <c r="C642" s="1"/>
      <c r="D642" s="1"/>
      <c r="E642" s="1"/>
      <c r="F642" s="1"/>
      <c r="G642" s="1"/>
      <c r="H642" s="1"/>
      <c r="I642" s="1"/>
      <c r="J642" s="1"/>
      <c r="K642" s="1"/>
      <c r="L642" s="1"/>
      <c r="M642" s="1"/>
      <c r="N642" s="1"/>
      <c r="O642" s="1"/>
      <c r="P642" s="1"/>
      <c r="Q642" s="1"/>
      <c r="R642" s="1"/>
      <c r="S642" s="1"/>
      <c r="T642" s="1"/>
      <c r="U642" s="2"/>
      <c r="V642" s="1"/>
      <c r="W642" s="1"/>
      <c r="X642" s="1"/>
      <c r="Y642" s="1"/>
      <c r="Z642" s="1"/>
    </row>
    <row r="643" spans="1:26" ht="24.75" customHeight="1">
      <c r="A643" s="1"/>
      <c r="B643" s="1"/>
      <c r="C643" s="1"/>
      <c r="D643" s="1"/>
      <c r="E643" s="1"/>
      <c r="F643" s="1"/>
      <c r="G643" s="1"/>
      <c r="H643" s="1"/>
      <c r="I643" s="1"/>
      <c r="J643" s="1"/>
      <c r="K643" s="1"/>
      <c r="L643" s="1"/>
      <c r="M643" s="1"/>
      <c r="N643" s="1"/>
      <c r="O643" s="1"/>
      <c r="P643" s="1"/>
      <c r="Q643" s="1"/>
      <c r="R643" s="1"/>
      <c r="S643" s="1"/>
      <c r="T643" s="1"/>
      <c r="U643" s="2"/>
      <c r="V643" s="1"/>
      <c r="W643" s="1"/>
      <c r="X643" s="1"/>
      <c r="Y643" s="1"/>
      <c r="Z643" s="1"/>
    </row>
    <row r="644" spans="1:26" ht="24.75" customHeight="1">
      <c r="A644" s="1"/>
      <c r="B644" s="1"/>
      <c r="C644" s="1"/>
      <c r="D644" s="1"/>
      <c r="E644" s="1"/>
      <c r="F644" s="1"/>
      <c r="G644" s="1"/>
      <c r="H644" s="1"/>
      <c r="I644" s="1"/>
      <c r="J644" s="1"/>
      <c r="K644" s="1"/>
      <c r="L644" s="1"/>
      <c r="M644" s="1"/>
      <c r="N644" s="1"/>
      <c r="O644" s="1"/>
      <c r="P644" s="1"/>
      <c r="Q644" s="1"/>
      <c r="R644" s="1"/>
      <c r="S644" s="1"/>
      <c r="T644" s="1"/>
      <c r="U644" s="2"/>
      <c r="V644" s="1"/>
      <c r="W644" s="1"/>
      <c r="X644" s="1"/>
      <c r="Y644" s="1"/>
      <c r="Z644" s="1"/>
    </row>
    <row r="645" spans="1:26" ht="24.75" customHeight="1">
      <c r="A645" s="1"/>
      <c r="B645" s="1"/>
      <c r="C645" s="1"/>
      <c r="D645" s="1"/>
      <c r="E645" s="1"/>
      <c r="F645" s="1"/>
      <c r="G645" s="1"/>
      <c r="H645" s="1"/>
      <c r="I645" s="1"/>
      <c r="J645" s="1"/>
      <c r="K645" s="1"/>
      <c r="L645" s="1"/>
      <c r="M645" s="1"/>
      <c r="N645" s="1"/>
      <c r="O645" s="1"/>
      <c r="P645" s="1"/>
      <c r="Q645" s="1"/>
      <c r="R645" s="1"/>
      <c r="S645" s="1"/>
      <c r="T645" s="1"/>
      <c r="U645" s="2"/>
      <c r="V645" s="1"/>
      <c r="W645" s="1"/>
      <c r="X645" s="1"/>
      <c r="Y645" s="1"/>
      <c r="Z645" s="1"/>
    </row>
    <row r="646" spans="1:26" ht="24.75" customHeight="1">
      <c r="A646" s="1"/>
      <c r="B646" s="1"/>
      <c r="C646" s="1"/>
      <c r="D646" s="1"/>
      <c r="E646" s="1"/>
      <c r="F646" s="1"/>
      <c r="G646" s="1"/>
      <c r="H646" s="1"/>
      <c r="I646" s="1"/>
      <c r="J646" s="1"/>
      <c r="K646" s="1"/>
      <c r="L646" s="1"/>
      <c r="M646" s="1"/>
      <c r="N646" s="1"/>
      <c r="O646" s="1"/>
      <c r="P646" s="1"/>
      <c r="Q646" s="1"/>
      <c r="R646" s="1"/>
      <c r="S646" s="1"/>
      <c r="T646" s="1"/>
      <c r="U646" s="2"/>
      <c r="V646" s="1"/>
      <c r="W646" s="1"/>
      <c r="X646" s="1"/>
      <c r="Y646" s="1"/>
      <c r="Z646" s="1"/>
    </row>
    <row r="647" spans="1:26" ht="24.75" customHeight="1">
      <c r="A647" s="1"/>
      <c r="B647" s="1"/>
      <c r="C647" s="1"/>
      <c r="D647" s="1"/>
      <c r="E647" s="1"/>
      <c r="F647" s="1"/>
      <c r="G647" s="1"/>
      <c r="H647" s="1"/>
      <c r="I647" s="1"/>
      <c r="J647" s="1"/>
      <c r="K647" s="1"/>
      <c r="L647" s="1"/>
      <c r="M647" s="1"/>
      <c r="N647" s="1"/>
      <c r="O647" s="1"/>
      <c r="P647" s="1"/>
      <c r="Q647" s="1"/>
      <c r="R647" s="1"/>
      <c r="S647" s="1"/>
      <c r="T647" s="1"/>
      <c r="U647" s="2"/>
      <c r="V647" s="1"/>
      <c r="W647" s="1"/>
      <c r="X647" s="1"/>
      <c r="Y647" s="1"/>
      <c r="Z647" s="1"/>
    </row>
    <row r="648" spans="1:26" ht="24.75" customHeight="1">
      <c r="A648" s="1"/>
      <c r="B648" s="1"/>
      <c r="C648" s="1"/>
      <c r="D648" s="1"/>
      <c r="E648" s="1"/>
      <c r="F648" s="1"/>
      <c r="G648" s="1"/>
      <c r="H648" s="1"/>
      <c r="I648" s="1"/>
      <c r="J648" s="1"/>
      <c r="K648" s="1"/>
      <c r="L648" s="1"/>
      <c r="M648" s="1"/>
      <c r="N648" s="1"/>
      <c r="O648" s="1"/>
      <c r="P648" s="1"/>
      <c r="Q648" s="1"/>
      <c r="R648" s="1"/>
      <c r="S648" s="1"/>
      <c r="T648" s="1"/>
      <c r="U648" s="2"/>
      <c r="V648" s="1"/>
      <c r="W648" s="1"/>
      <c r="X648" s="1"/>
      <c r="Y648" s="1"/>
      <c r="Z648" s="1"/>
    </row>
    <row r="649" spans="1:26" ht="24.75" customHeight="1">
      <c r="A649" s="1"/>
      <c r="B649" s="1"/>
      <c r="C649" s="1"/>
      <c r="D649" s="1"/>
      <c r="E649" s="1"/>
      <c r="F649" s="1"/>
      <c r="G649" s="1"/>
      <c r="H649" s="1"/>
      <c r="I649" s="1"/>
      <c r="J649" s="1"/>
      <c r="K649" s="1"/>
      <c r="L649" s="1"/>
      <c r="M649" s="1"/>
      <c r="N649" s="1"/>
      <c r="O649" s="1"/>
      <c r="P649" s="1"/>
      <c r="Q649" s="1"/>
      <c r="R649" s="1"/>
      <c r="S649" s="1"/>
      <c r="T649" s="1"/>
      <c r="U649" s="2"/>
      <c r="V649" s="1"/>
      <c r="W649" s="1"/>
      <c r="X649" s="1"/>
      <c r="Y649" s="1"/>
      <c r="Z649" s="1"/>
    </row>
    <row r="650" spans="1:26" ht="24.75" customHeight="1">
      <c r="A650" s="1"/>
      <c r="B650" s="1"/>
      <c r="C650" s="1"/>
      <c r="D650" s="1"/>
      <c r="E650" s="1"/>
      <c r="F650" s="1"/>
      <c r="G650" s="1"/>
      <c r="H650" s="1"/>
      <c r="I650" s="1"/>
      <c r="J650" s="1"/>
      <c r="K650" s="1"/>
      <c r="L650" s="1"/>
      <c r="M650" s="1"/>
      <c r="N650" s="1"/>
      <c r="O650" s="1"/>
      <c r="P650" s="1"/>
      <c r="Q650" s="1"/>
      <c r="R650" s="1"/>
      <c r="S650" s="1"/>
      <c r="T650" s="1"/>
      <c r="U650" s="2"/>
      <c r="V650" s="1"/>
      <c r="W650" s="1"/>
      <c r="X650" s="1"/>
      <c r="Y650" s="1"/>
      <c r="Z650" s="1"/>
    </row>
    <row r="651" spans="1:26" ht="24.75" customHeight="1">
      <c r="A651" s="1"/>
      <c r="B651" s="1"/>
      <c r="C651" s="1"/>
      <c r="D651" s="1"/>
      <c r="E651" s="1"/>
      <c r="F651" s="1"/>
      <c r="G651" s="1"/>
      <c r="H651" s="1"/>
      <c r="I651" s="1"/>
      <c r="J651" s="1"/>
      <c r="K651" s="1"/>
      <c r="L651" s="1"/>
      <c r="M651" s="1"/>
      <c r="N651" s="1"/>
      <c r="O651" s="1"/>
      <c r="P651" s="1"/>
      <c r="Q651" s="1"/>
      <c r="R651" s="1"/>
      <c r="S651" s="1"/>
      <c r="T651" s="1"/>
      <c r="U651" s="2"/>
      <c r="V651" s="1"/>
      <c r="W651" s="1"/>
      <c r="X651" s="1"/>
      <c r="Y651" s="1"/>
      <c r="Z651" s="1"/>
    </row>
    <row r="652" spans="1:26" ht="24.75" customHeight="1">
      <c r="A652" s="1"/>
      <c r="B652" s="1"/>
      <c r="C652" s="1"/>
      <c r="D652" s="1"/>
      <c r="E652" s="1"/>
      <c r="F652" s="1"/>
      <c r="G652" s="1"/>
      <c r="H652" s="1"/>
      <c r="I652" s="1"/>
      <c r="J652" s="1"/>
      <c r="K652" s="1"/>
      <c r="L652" s="1"/>
      <c r="M652" s="1"/>
      <c r="N652" s="1"/>
      <c r="O652" s="1"/>
      <c r="P652" s="1"/>
      <c r="Q652" s="1"/>
      <c r="R652" s="1"/>
      <c r="S652" s="1"/>
      <c r="T652" s="1"/>
      <c r="U652" s="2"/>
      <c r="V652" s="1"/>
      <c r="W652" s="1"/>
      <c r="X652" s="1"/>
      <c r="Y652" s="1"/>
      <c r="Z652" s="1"/>
    </row>
    <row r="653" spans="1:26" ht="24.75" customHeight="1">
      <c r="A653" s="1"/>
      <c r="B653" s="1"/>
      <c r="C653" s="1"/>
      <c r="D653" s="1"/>
      <c r="E653" s="1"/>
      <c r="F653" s="1"/>
      <c r="G653" s="1"/>
      <c r="H653" s="1"/>
      <c r="I653" s="1"/>
      <c r="J653" s="1"/>
      <c r="K653" s="1"/>
      <c r="L653" s="1"/>
      <c r="M653" s="1"/>
      <c r="N653" s="1"/>
      <c r="O653" s="1"/>
      <c r="P653" s="1"/>
      <c r="Q653" s="1"/>
      <c r="R653" s="1"/>
      <c r="S653" s="1"/>
      <c r="T653" s="1"/>
      <c r="U653" s="2"/>
      <c r="V653" s="1"/>
      <c r="W653" s="1"/>
      <c r="X653" s="1"/>
      <c r="Y653" s="1"/>
      <c r="Z653" s="1"/>
    </row>
    <row r="654" spans="1:26" ht="24.75" customHeight="1">
      <c r="A654" s="1"/>
      <c r="B654" s="1"/>
      <c r="C654" s="1"/>
      <c r="D654" s="1"/>
      <c r="E654" s="1"/>
      <c r="F654" s="1"/>
      <c r="G654" s="1"/>
      <c r="H654" s="1"/>
      <c r="I654" s="1"/>
      <c r="J654" s="1"/>
      <c r="K654" s="1"/>
      <c r="L654" s="1"/>
      <c r="M654" s="1"/>
      <c r="N654" s="1"/>
      <c r="O654" s="1"/>
      <c r="P654" s="1"/>
      <c r="Q654" s="1"/>
      <c r="R654" s="1"/>
      <c r="S654" s="1"/>
      <c r="T654" s="1"/>
      <c r="U654" s="2"/>
      <c r="V654" s="1"/>
      <c r="W654" s="1"/>
      <c r="X654" s="1"/>
      <c r="Y654" s="1"/>
      <c r="Z654" s="1"/>
    </row>
    <row r="655" spans="1:26" ht="24.75" customHeight="1">
      <c r="A655" s="1"/>
      <c r="B655" s="1"/>
      <c r="C655" s="1"/>
      <c r="D655" s="1"/>
      <c r="E655" s="1"/>
      <c r="F655" s="1"/>
      <c r="G655" s="1"/>
      <c r="H655" s="1"/>
      <c r="I655" s="1"/>
      <c r="J655" s="1"/>
      <c r="K655" s="1"/>
      <c r="L655" s="1"/>
      <c r="M655" s="1"/>
      <c r="N655" s="1"/>
      <c r="O655" s="1"/>
      <c r="P655" s="1"/>
      <c r="Q655" s="1"/>
      <c r="R655" s="1"/>
      <c r="S655" s="1"/>
      <c r="T655" s="1"/>
      <c r="U655" s="2"/>
      <c r="V655" s="1"/>
      <c r="W655" s="1"/>
      <c r="X655" s="1"/>
      <c r="Y655" s="1"/>
      <c r="Z655" s="1"/>
    </row>
    <row r="656" spans="1:26" ht="24.75" customHeight="1">
      <c r="A656" s="1"/>
      <c r="B656" s="1"/>
      <c r="C656" s="1"/>
      <c r="D656" s="1"/>
      <c r="E656" s="1"/>
      <c r="F656" s="1"/>
      <c r="G656" s="1"/>
      <c r="H656" s="1"/>
      <c r="I656" s="1"/>
      <c r="J656" s="1"/>
      <c r="K656" s="1"/>
      <c r="L656" s="1"/>
      <c r="M656" s="1"/>
      <c r="N656" s="1"/>
      <c r="O656" s="1"/>
      <c r="P656" s="1"/>
      <c r="Q656" s="1"/>
      <c r="R656" s="1"/>
      <c r="S656" s="1"/>
      <c r="T656" s="1"/>
      <c r="U656" s="2"/>
      <c r="V656" s="1"/>
      <c r="W656" s="1"/>
      <c r="X656" s="1"/>
      <c r="Y656" s="1"/>
      <c r="Z656" s="1"/>
    </row>
    <row r="657" spans="1:26" ht="24.75" customHeight="1">
      <c r="A657" s="1"/>
      <c r="B657" s="1"/>
      <c r="C657" s="1"/>
      <c r="D657" s="1"/>
      <c r="E657" s="1"/>
      <c r="F657" s="1"/>
      <c r="G657" s="1"/>
      <c r="H657" s="1"/>
      <c r="I657" s="1"/>
      <c r="J657" s="1"/>
      <c r="K657" s="1"/>
      <c r="L657" s="1"/>
      <c r="M657" s="1"/>
      <c r="N657" s="1"/>
      <c r="O657" s="1"/>
      <c r="P657" s="1"/>
      <c r="Q657" s="1"/>
      <c r="R657" s="1"/>
      <c r="S657" s="1"/>
      <c r="T657" s="1"/>
      <c r="U657" s="2"/>
      <c r="V657" s="1"/>
      <c r="W657" s="1"/>
      <c r="X657" s="1"/>
      <c r="Y657" s="1"/>
      <c r="Z657" s="1"/>
    </row>
    <row r="658" spans="1:26" ht="24.75" customHeight="1">
      <c r="A658" s="1"/>
      <c r="B658" s="1"/>
      <c r="C658" s="1"/>
      <c r="D658" s="1"/>
      <c r="E658" s="1"/>
      <c r="F658" s="1"/>
      <c r="G658" s="1"/>
      <c r="H658" s="1"/>
      <c r="I658" s="1"/>
      <c r="J658" s="1"/>
      <c r="K658" s="1"/>
      <c r="L658" s="1"/>
      <c r="M658" s="1"/>
      <c r="N658" s="1"/>
      <c r="O658" s="1"/>
      <c r="P658" s="1"/>
      <c r="Q658" s="1"/>
      <c r="R658" s="1"/>
      <c r="S658" s="1"/>
      <c r="T658" s="1"/>
      <c r="U658" s="2"/>
      <c r="V658" s="1"/>
      <c r="W658" s="1"/>
      <c r="X658" s="1"/>
      <c r="Y658" s="1"/>
      <c r="Z658" s="1"/>
    </row>
    <row r="659" spans="1:26" ht="24.75" customHeight="1">
      <c r="A659" s="1"/>
      <c r="B659" s="1"/>
      <c r="C659" s="1"/>
      <c r="D659" s="1"/>
      <c r="E659" s="1"/>
      <c r="F659" s="1"/>
      <c r="G659" s="1"/>
      <c r="H659" s="1"/>
      <c r="I659" s="1"/>
      <c r="J659" s="1"/>
      <c r="K659" s="1"/>
      <c r="L659" s="1"/>
      <c r="M659" s="1"/>
      <c r="N659" s="1"/>
      <c r="O659" s="1"/>
      <c r="P659" s="1"/>
      <c r="Q659" s="1"/>
      <c r="R659" s="1"/>
      <c r="S659" s="1"/>
      <c r="T659" s="1"/>
      <c r="U659" s="2"/>
      <c r="V659" s="1"/>
      <c r="W659" s="1"/>
      <c r="X659" s="1"/>
      <c r="Y659" s="1"/>
      <c r="Z659" s="1"/>
    </row>
    <row r="660" spans="1:26" ht="24.75" customHeight="1">
      <c r="A660" s="1"/>
      <c r="B660" s="1"/>
      <c r="C660" s="1"/>
      <c r="D660" s="1"/>
      <c r="E660" s="1"/>
      <c r="F660" s="1"/>
      <c r="G660" s="1"/>
      <c r="H660" s="1"/>
      <c r="I660" s="1"/>
      <c r="J660" s="1"/>
      <c r="K660" s="1"/>
      <c r="L660" s="1"/>
      <c r="M660" s="1"/>
      <c r="N660" s="1"/>
      <c r="O660" s="1"/>
      <c r="P660" s="1"/>
      <c r="Q660" s="1"/>
      <c r="R660" s="1"/>
      <c r="S660" s="1"/>
      <c r="T660" s="1"/>
      <c r="U660" s="2"/>
      <c r="V660" s="1"/>
      <c r="W660" s="1"/>
      <c r="X660" s="1"/>
      <c r="Y660" s="1"/>
      <c r="Z660" s="1"/>
    </row>
    <row r="661" spans="1:26" ht="24.75" customHeight="1">
      <c r="A661" s="1"/>
      <c r="B661" s="1"/>
      <c r="C661" s="1"/>
      <c r="D661" s="1"/>
      <c r="E661" s="1"/>
      <c r="F661" s="1"/>
      <c r="G661" s="1"/>
      <c r="H661" s="1"/>
      <c r="I661" s="1"/>
      <c r="J661" s="1"/>
      <c r="K661" s="1"/>
      <c r="L661" s="1"/>
      <c r="M661" s="1"/>
      <c r="N661" s="1"/>
      <c r="O661" s="1"/>
      <c r="P661" s="1"/>
      <c r="Q661" s="1"/>
      <c r="R661" s="1"/>
      <c r="S661" s="1"/>
      <c r="T661" s="1"/>
      <c r="U661" s="2"/>
      <c r="V661" s="1"/>
      <c r="W661" s="1"/>
      <c r="X661" s="1"/>
      <c r="Y661" s="1"/>
      <c r="Z661" s="1"/>
    </row>
    <row r="662" spans="1:26" ht="24.75" customHeight="1">
      <c r="A662" s="1"/>
      <c r="B662" s="1"/>
      <c r="C662" s="1"/>
      <c r="D662" s="1"/>
      <c r="E662" s="1"/>
      <c r="F662" s="1"/>
      <c r="G662" s="1"/>
      <c r="H662" s="1"/>
      <c r="I662" s="1"/>
      <c r="J662" s="1"/>
      <c r="K662" s="1"/>
      <c r="L662" s="1"/>
      <c r="M662" s="1"/>
      <c r="N662" s="1"/>
      <c r="O662" s="1"/>
      <c r="P662" s="1"/>
      <c r="Q662" s="1"/>
      <c r="R662" s="1"/>
      <c r="S662" s="1"/>
      <c r="T662" s="1"/>
      <c r="U662" s="2"/>
      <c r="V662" s="1"/>
      <c r="W662" s="1"/>
      <c r="X662" s="1"/>
      <c r="Y662" s="1"/>
      <c r="Z662" s="1"/>
    </row>
    <row r="663" spans="1:26" ht="24.75" customHeight="1">
      <c r="A663" s="1"/>
      <c r="B663" s="1"/>
      <c r="C663" s="1"/>
      <c r="D663" s="1"/>
      <c r="E663" s="1"/>
      <c r="F663" s="1"/>
      <c r="G663" s="1"/>
      <c r="H663" s="1"/>
      <c r="I663" s="1"/>
      <c r="J663" s="1"/>
      <c r="K663" s="1"/>
      <c r="L663" s="1"/>
      <c r="M663" s="1"/>
      <c r="N663" s="1"/>
      <c r="O663" s="1"/>
      <c r="P663" s="1"/>
      <c r="Q663" s="1"/>
      <c r="R663" s="1"/>
      <c r="S663" s="1"/>
      <c r="T663" s="1"/>
      <c r="U663" s="2"/>
      <c r="V663" s="1"/>
      <c r="W663" s="1"/>
      <c r="X663" s="1"/>
      <c r="Y663" s="1"/>
      <c r="Z663" s="1"/>
    </row>
    <row r="664" spans="1:26" ht="24.75" customHeight="1">
      <c r="A664" s="1"/>
      <c r="B664" s="1"/>
      <c r="C664" s="1"/>
      <c r="D664" s="1"/>
      <c r="E664" s="1"/>
      <c r="F664" s="1"/>
      <c r="G664" s="1"/>
      <c r="H664" s="1"/>
      <c r="I664" s="1"/>
      <c r="J664" s="1"/>
      <c r="K664" s="1"/>
      <c r="L664" s="1"/>
      <c r="M664" s="1"/>
      <c r="N664" s="1"/>
      <c r="O664" s="1"/>
      <c r="P664" s="1"/>
      <c r="Q664" s="1"/>
      <c r="R664" s="1"/>
      <c r="S664" s="1"/>
      <c r="T664" s="1"/>
      <c r="U664" s="2"/>
      <c r="V664" s="1"/>
      <c r="W664" s="1"/>
      <c r="X664" s="1"/>
      <c r="Y664" s="1"/>
      <c r="Z664" s="1"/>
    </row>
    <row r="665" spans="1:26" ht="24.75" customHeight="1">
      <c r="A665" s="1"/>
      <c r="B665" s="1"/>
      <c r="C665" s="1"/>
      <c r="D665" s="1"/>
      <c r="E665" s="1"/>
      <c r="F665" s="1"/>
      <c r="G665" s="1"/>
      <c r="H665" s="1"/>
      <c r="I665" s="1"/>
      <c r="J665" s="1"/>
      <c r="K665" s="1"/>
      <c r="L665" s="1"/>
      <c r="M665" s="1"/>
      <c r="N665" s="1"/>
      <c r="O665" s="1"/>
      <c r="P665" s="1"/>
      <c r="Q665" s="1"/>
      <c r="R665" s="1"/>
      <c r="S665" s="1"/>
      <c r="T665" s="1"/>
      <c r="U665" s="2"/>
      <c r="V665" s="1"/>
      <c r="W665" s="1"/>
      <c r="X665" s="1"/>
      <c r="Y665" s="1"/>
      <c r="Z665" s="1"/>
    </row>
    <row r="666" spans="1:26" ht="24.75" customHeight="1">
      <c r="A666" s="1"/>
      <c r="B666" s="1"/>
      <c r="C666" s="1"/>
      <c r="D666" s="1"/>
      <c r="E666" s="1"/>
      <c r="F666" s="1"/>
      <c r="G666" s="1"/>
      <c r="H666" s="1"/>
      <c r="I666" s="1"/>
      <c r="J666" s="1"/>
      <c r="K666" s="1"/>
      <c r="L666" s="1"/>
      <c r="M666" s="1"/>
      <c r="N666" s="1"/>
      <c r="O666" s="1"/>
      <c r="P666" s="1"/>
      <c r="Q666" s="1"/>
      <c r="R666" s="1"/>
      <c r="S666" s="1"/>
      <c r="T666" s="1"/>
      <c r="U666" s="2"/>
      <c r="V666" s="1"/>
      <c r="W666" s="1"/>
      <c r="X666" s="1"/>
      <c r="Y666" s="1"/>
      <c r="Z666" s="1"/>
    </row>
    <row r="667" spans="1:26" ht="24.75" customHeight="1">
      <c r="A667" s="1"/>
      <c r="B667" s="1"/>
      <c r="C667" s="1"/>
      <c r="D667" s="1"/>
      <c r="E667" s="1"/>
      <c r="F667" s="1"/>
      <c r="G667" s="1"/>
      <c r="H667" s="1"/>
      <c r="I667" s="1"/>
      <c r="J667" s="1"/>
      <c r="K667" s="1"/>
      <c r="L667" s="1"/>
      <c r="M667" s="1"/>
      <c r="N667" s="1"/>
      <c r="O667" s="1"/>
      <c r="P667" s="1"/>
      <c r="Q667" s="1"/>
      <c r="R667" s="1"/>
      <c r="S667" s="1"/>
      <c r="T667" s="1"/>
      <c r="U667" s="2"/>
      <c r="V667" s="1"/>
      <c r="W667" s="1"/>
      <c r="X667" s="1"/>
      <c r="Y667" s="1"/>
      <c r="Z667" s="1"/>
    </row>
    <row r="668" spans="1:26" ht="24.75" customHeight="1">
      <c r="A668" s="1"/>
      <c r="B668" s="1"/>
      <c r="C668" s="1"/>
      <c r="D668" s="1"/>
      <c r="E668" s="1"/>
      <c r="F668" s="1"/>
      <c r="G668" s="1"/>
      <c r="H668" s="1"/>
      <c r="I668" s="1"/>
      <c r="J668" s="1"/>
      <c r="K668" s="1"/>
      <c r="L668" s="1"/>
      <c r="M668" s="1"/>
      <c r="N668" s="1"/>
      <c r="O668" s="1"/>
      <c r="P668" s="1"/>
      <c r="Q668" s="1"/>
      <c r="R668" s="1"/>
      <c r="S668" s="1"/>
      <c r="T668" s="1"/>
      <c r="U668" s="2"/>
      <c r="V668" s="1"/>
      <c r="W668" s="1"/>
      <c r="X668" s="1"/>
      <c r="Y668" s="1"/>
      <c r="Z668" s="1"/>
    </row>
    <row r="669" spans="1:26" ht="24.75" customHeight="1">
      <c r="A669" s="1"/>
      <c r="B669" s="1"/>
      <c r="C669" s="1"/>
      <c r="D669" s="1"/>
      <c r="E669" s="1"/>
      <c r="F669" s="1"/>
      <c r="G669" s="1"/>
      <c r="H669" s="1"/>
      <c r="I669" s="1"/>
      <c r="J669" s="1"/>
      <c r="K669" s="1"/>
      <c r="L669" s="1"/>
      <c r="M669" s="1"/>
      <c r="N669" s="1"/>
      <c r="O669" s="1"/>
      <c r="P669" s="1"/>
      <c r="Q669" s="1"/>
      <c r="R669" s="1"/>
      <c r="S669" s="1"/>
      <c r="T669" s="1"/>
      <c r="U669" s="2"/>
      <c r="V669" s="1"/>
      <c r="W669" s="1"/>
      <c r="X669" s="1"/>
      <c r="Y669" s="1"/>
      <c r="Z669" s="1"/>
    </row>
    <row r="670" spans="1:26" ht="24.75" customHeight="1">
      <c r="A670" s="1"/>
      <c r="B670" s="1"/>
      <c r="C670" s="1"/>
      <c r="D670" s="1"/>
      <c r="E670" s="1"/>
      <c r="F670" s="1"/>
      <c r="G670" s="1"/>
      <c r="H670" s="1"/>
      <c r="I670" s="1"/>
      <c r="J670" s="1"/>
      <c r="K670" s="1"/>
      <c r="L670" s="1"/>
      <c r="M670" s="1"/>
      <c r="N670" s="1"/>
      <c r="O670" s="1"/>
      <c r="P670" s="1"/>
      <c r="Q670" s="1"/>
      <c r="R670" s="1"/>
      <c r="S670" s="1"/>
      <c r="T670" s="1"/>
      <c r="U670" s="2"/>
      <c r="V670" s="1"/>
      <c r="W670" s="1"/>
      <c r="X670" s="1"/>
      <c r="Y670" s="1"/>
      <c r="Z670" s="1"/>
    </row>
    <row r="671" spans="1:26" ht="24.75" customHeight="1">
      <c r="A671" s="1"/>
      <c r="B671" s="1"/>
      <c r="C671" s="1"/>
      <c r="D671" s="1"/>
      <c r="E671" s="1"/>
      <c r="F671" s="1"/>
      <c r="G671" s="1"/>
      <c r="H671" s="1"/>
      <c r="I671" s="1"/>
      <c r="J671" s="1"/>
      <c r="K671" s="1"/>
      <c r="L671" s="1"/>
      <c r="M671" s="1"/>
      <c r="N671" s="1"/>
      <c r="O671" s="1"/>
      <c r="P671" s="1"/>
      <c r="Q671" s="1"/>
      <c r="R671" s="1"/>
      <c r="S671" s="1"/>
      <c r="T671" s="1"/>
      <c r="U671" s="2"/>
      <c r="V671" s="1"/>
      <c r="W671" s="1"/>
      <c r="X671" s="1"/>
      <c r="Y671" s="1"/>
      <c r="Z671" s="1"/>
    </row>
    <row r="672" spans="1:26" ht="24.75" customHeight="1">
      <c r="A672" s="1"/>
      <c r="B672" s="1"/>
      <c r="C672" s="1"/>
      <c r="D672" s="1"/>
      <c r="E672" s="1"/>
      <c r="F672" s="1"/>
      <c r="G672" s="1"/>
      <c r="H672" s="1"/>
      <c r="I672" s="1"/>
      <c r="J672" s="1"/>
      <c r="K672" s="1"/>
      <c r="L672" s="1"/>
      <c r="M672" s="1"/>
      <c r="N672" s="1"/>
      <c r="O672" s="1"/>
      <c r="P672" s="1"/>
      <c r="Q672" s="1"/>
      <c r="R672" s="1"/>
      <c r="S672" s="1"/>
      <c r="T672" s="1"/>
      <c r="U672" s="2"/>
      <c r="V672" s="1"/>
      <c r="W672" s="1"/>
      <c r="X672" s="1"/>
      <c r="Y672" s="1"/>
      <c r="Z672" s="1"/>
    </row>
    <row r="673" spans="1:26" ht="24.75" customHeight="1">
      <c r="A673" s="1"/>
      <c r="B673" s="1"/>
      <c r="C673" s="1"/>
      <c r="D673" s="1"/>
      <c r="E673" s="1"/>
      <c r="F673" s="1"/>
      <c r="G673" s="1"/>
      <c r="H673" s="1"/>
      <c r="I673" s="1"/>
      <c r="J673" s="1"/>
      <c r="K673" s="1"/>
      <c r="L673" s="1"/>
      <c r="M673" s="1"/>
      <c r="N673" s="1"/>
      <c r="O673" s="1"/>
      <c r="P673" s="1"/>
      <c r="Q673" s="1"/>
      <c r="R673" s="1"/>
      <c r="S673" s="1"/>
      <c r="T673" s="1"/>
      <c r="U673" s="2"/>
      <c r="V673" s="1"/>
      <c r="W673" s="1"/>
      <c r="X673" s="1"/>
      <c r="Y673" s="1"/>
      <c r="Z673" s="1"/>
    </row>
    <row r="674" spans="1:26" ht="24.75" customHeight="1">
      <c r="A674" s="1"/>
      <c r="B674" s="1"/>
      <c r="C674" s="1"/>
      <c r="D674" s="1"/>
      <c r="E674" s="1"/>
      <c r="F674" s="1"/>
      <c r="G674" s="1"/>
      <c r="H674" s="1"/>
      <c r="I674" s="1"/>
      <c r="J674" s="1"/>
      <c r="K674" s="1"/>
      <c r="L674" s="1"/>
      <c r="M674" s="1"/>
      <c r="N674" s="1"/>
      <c r="O674" s="1"/>
      <c r="P674" s="1"/>
      <c r="Q674" s="1"/>
      <c r="R674" s="1"/>
      <c r="S674" s="1"/>
      <c r="T674" s="1"/>
      <c r="U674" s="2"/>
      <c r="V674" s="1"/>
      <c r="W674" s="1"/>
      <c r="X674" s="1"/>
      <c r="Y674" s="1"/>
      <c r="Z674" s="1"/>
    </row>
    <row r="675" spans="1:26" ht="24.75" customHeight="1">
      <c r="A675" s="1"/>
      <c r="B675" s="1"/>
      <c r="C675" s="1"/>
      <c r="D675" s="1"/>
      <c r="E675" s="1"/>
      <c r="F675" s="1"/>
      <c r="G675" s="1"/>
      <c r="H675" s="1"/>
      <c r="I675" s="1"/>
      <c r="J675" s="1"/>
      <c r="K675" s="1"/>
      <c r="L675" s="1"/>
      <c r="M675" s="1"/>
      <c r="N675" s="1"/>
      <c r="O675" s="1"/>
      <c r="P675" s="1"/>
      <c r="Q675" s="1"/>
      <c r="R675" s="1"/>
      <c r="S675" s="1"/>
      <c r="T675" s="1"/>
      <c r="U675" s="2"/>
      <c r="V675" s="1"/>
      <c r="W675" s="1"/>
      <c r="X675" s="1"/>
      <c r="Y675" s="1"/>
      <c r="Z675" s="1"/>
    </row>
    <row r="676" spans="1:26" ht="24.75" customHeight="1">
      <c r="A676" s="1"/>
      <c r="B676" s="1"/>
      <c r="C676" s="1"/>
      <c r="D676" s="1"/>
      <c r="E676" s="1"/>
      <c r="F676" s="1"/>
      <c r="G676" s="1"/>
      <c r="H676" s="1"/>
      <c r="I676" s="1"/>
      <c r="J676" s="1"/>
      <c r="K676" s="1"/>
      <c r="L676" s="1"/>
      <c r="M676" s="1"/>
      <c r="N676" s="1"/>
      <c r="O676" s="1"/>
      <c r="P676" s="1"/>
      <c r="Q676" s="1"/>
      <c r="R676" s="1"/>
      <c r="S676" s="1"/>
      <c r="T676" s="1"/>
      <c r="U676" s="2"/>
      <c r="V676" s="1"/>
      <c r="W676" s="1"/>
      <c r="X676" s="1"/>
      <c r="Y676" s="1"/>
      <c r="Z676" s="1"/>
    </row>
    <row r="677" spans="1:26" ht="24.75" customHeight="1">
      <c r="A677" s="1"/>
      <c r="B677" s="1"/>
      <c r="C677" s="1"/>
      <c r="D677" s="1"/>
      <c r="E677" s="1"/>
      <c r="F677" s="1"/>
      <c r="G677" s="1"/>
      <c r="H677" s="1"/>
      <c r="I677" s="1"/>
      <c r="J677" s="1"/>
      <c r="K677" s="1"/>
      <c r="L677" s="1"/>
      <c r="M677" s="1"/>
      <c r="N677" s="1"/>
      <c r="O677" s="1"/>
      <c r="P677" s="1"/>
      <c r="Q677" s="1"/>
      <c r="R677" s="1"/>
      <c r="S677" s="1"/>
      <c r="T677" s="1"/>
      <c r="U677" s="2"/>
      <c r="V677" s="1"/>
      <c r="W677" s="1"/>
      <c r="X677" s="1"/>
      <c r="Y677" s="1"/>
      <c r="Z677" s="1"/>
    </row>
    <row r="678" spans="1:26" ht="24.75" customHeight="1">
      <c r="A678" s="1"/>
      <c r="B678" s="1"/>
      <c r="C678" s="1"/>
      <c r="D678" s="1"/>
      <c r="E678" s="1"/>
      <c r="F678" s="1"/>
      <c r="G678" s="1"/>
      <c r="H678" s="1"/>
      <c r="I678" s="1"/>
      <c r="J678" s="1"/>
      <c r="K678" s="1"/>
      <c r="L678" s="1"/>
      <c r="M678" s="1"/>
      <c r="N678" s="1"/>
      <c r="O678" s="1"/>
      <c r="P678" s="1"/>
      <c r="Q678" s="1"/>
      <c r="R678" s="1"/>
      <c r="S678" s="1"/>
      <c r="T678" s="1"/>
      <c r="U678" s="2"/>
      <c r="V678" s="1"/>
      <c r="W678" s="1"/>
      <c r="X678" s="1"/>
      <c r="Y678" s="1"/>
      <c r="Z678" s="1"/>
    </row>
    <row r="679" spans="1:26" ht="24.75" customHeight="1">
      <c r="A679" s="1"/>
      <c r="B679" s="1"/>
      <c r="C679" s="1"/>
      <c r="D679" s="1"/>
      <c r="E679" s="1"/>
      <c r="F679" s="1"/>
      <c r="G679" s="1"/>
      <c r="H679" s="1"/>
      <c r="I679" s="1"/>
      <c r="J679" s="1"/>
      <c r="K679" s="1"/>
      <c r="L679" s="1"/>
      <c r="M679" s="1"/>
      <c r="N679" s="1"/>
      <c r="O679" s="1"/>
      <c r="P679" s="1"/>
      <c r="Q679" s="1"/>
      <c r="R679" s="1"/>
      <c r="S679" s="1"/>
      <c r="T679" s="1"/>
      <c r="U679" s="2"/>
      <c r="V679" s="1"/>
      <c r="W679" s="1"/>
      <c r="X679" s="1"/>
      <c r="Y679" s="1"/>
      <c r="Z679" s="1"/>
    </row>
    <row r="680" spans="1:26" ht="24.75" customHeight="1">
      <c r="A680" s="1"/>
      <c r="B680" s="1"/>
      <c r="C680" s="1"/>
      <c r="D680" s="1"/>
      <c r="E680" s="1"/>
      <c r="F680" s="1"/>
      <c r="G680" s="1"/>
      <c r="H680" s="1"/>
      <c r="I680" s="1"/>
      <c r="J680" s="1"/>
      <c r="K680" s="1"/>
      <c r="L680" s="1"/>
      <c r="M680" s="1"/>
      <c r="N680" s="1"/>
      <c r="O680" s="1"/>
      <c r="P680" s="1"/>
      <c r="Q680" s="1"/>
      <c r="R680" s="1"/>
      <c r="S680" s="1"/>
      <c r="T680" s="1"/>
      <c r="U680" s="2"/>
      <c r="V680" s="1"/>
      <c r="W680" s="1"/>
      <c r="X680" s="1"/>
      <c r="Y680" s="1"/>
      <c r="Z680" s="1"/>
    </row>
    <row r="681" spans="1:26" ht="24.75" customHeight="1">
      <c r="A681" s="1"/>
      <c r="B681" s="1"/>
      <c r="C681" s="1"/>
      <c r="D681" s="1"/>
      <c r="E681" s="1"/>
      <c r="F681" s="1"/>
      <c r="G681" s="1"/>
      <c r="H681" s="1"/>
      <c r="I681" s="1"/>
      <c r="J681" s="1"/>
      <c r="K681" s="1"/>
      <c r="L681" s="1"/>
      <c r="M681" s="1"/>
      <c r="N681" s="1"/>
      <c r="O681" s="1"/>
      <c r="P681" s="1"/>
      <c r="Q681" s="1"/>
      <c r="R681" s="1"/>
      <c r="S681" s="1"/>
      <c r="T681" s="1"/>
      <c r="U681" s="2"/>
      <c r="V681" s="1"/>
      <c r="W681" s="1"/>
      <c r="X681" s="1"/>
      <c r="Y681" s="1"/>
      <c r="Z681" s="1"/>
    </row>
    <row r="682" spans="1:26" ht="24.75" customHeight="1">
      <c r="A682" s="1"/>
      <c r="B682" s="1"/>
      <c r="C682" s="1"/>
      <c r="D682" s="1"/>
      <c r="E682" s="1"/>
      <c r="F682" s="1"/>
      <c r="G682" s="1"/>
      <c r="H682" s="1"/>
      <c r="I682" s="1"/>
      <c r="J682" s="1"/>
      <c r="K682" s="1"/>
      <c r="L682" s="1"/>
      <c r="M682" s="1"/>
      <c r="N682" s="1"/>
      <c r="O682" s="1"/>
      <c r="P682" s="1"/>
      <c r="Q682" s="1"/>
      <c r="R682" s="1"/>
      <c r="S682" s="1"/>
      <c r="T682" s="1"/>
      <c r="U682" s="2"/>
      <c r="V682" s="1"/>
      <c r="W682" s="1"/>
      <c r="X682" s="1"/>
      <c r="Y682" s="1"/>
      <c r="Z682" s="1"/>
    </row>
    <row r="683" spans="1:26" ht="24.75" customHeight="1">
      <c r="A683" s="1"/>
      <c r="B683" s="1"/>
      <c r="C683" s="1"/>
      <c r="D683" s="1"/>
      <c r="E683" s="1"/>
      <c r="F683" s="1"/>
      <c r="G683" s="1"/>
      <c r="H683" s="1"/>
      <c r="I683" s="1"/>
      <c r="J683" s="1"/>
      <c r="K683" s="1"/>
      <c r="L683" s="1"/>
      <c r="M683" s="1"/>
      <c r="N683" s="1"/>
      <c r="O683" s="1"/>
      <c r="P683" s="1"/>
      <c r="Q683" s="1"/>
      <c r="R683" s="1"/>
      <c r="S683" s="1"/>
      <c r="T683" s="1"/>
      <c r="U683" s="2"/>
      <c r="V683" s="1"/>
      <c r="W683" s="1"/>
      <c r="X683" s="1"/>
      <c r="Y683" s="1"/>
      <c r="Z683" s="1"/>
    </row>
    <row r="684" spans="1:26" ht="24.75" customHeight="1">
      <c r="A684" s="1"/>
      <c r="B684" s="1"/>
      <c r="C684" s="1"/>
      <c r="D684" s="1"/>
      <c r="E684" s="1"/>
      <c r="F684" s="1"/>
      <c r="G684" s="1"/>
      <c r="H684" s="1"/>
      <c r="I684" s="1"/>
      <c r="J684" s="1"/>
      <c r="K684" s="1"/>
      <c r="L684" s="1"/>
      <c r="M684" s="1"/>
      <c r="N684" s="1"/>
      <c r="O684" s="1"/>
      <c r="P684" s="1"/>
      <c r="Q684" s="1"/>
      <c r="R684" s="1"/>
      <c r="S684" s="1"/>
      <c r="T684" s="1"/>
      <c r="U684" s="2"/>
      <c r="V684" s="1"/>
      <c r="W684" s="1"/>
      <c r="X684" s="1"/>
      <c r="Y684" s="1"/>
      <c r="Z684" s="1"/>
    </row>
    <row r="685" spans="1:26" ht="24.75" customHeight="1">
      <c r="A685" s="1"/>
      <c r="B685" s="1"/>
      <c r="C685" s="1"/>
      <c r="D685" s="1"/>
      <c r="E685" s="1"/>
      <c r="F685" s="1"/>
      <c r="G685" s="1"/>
      <c r="H685" s="1"/>
      <c r="I685" s="1"/>
      <c r="J685" s="1"/>
      <c r="K685" s="1"/>
      <c r="L685" s="1"/>
      <c r="M685" s="1"/>
      <c r="N685" s="1"/>
      <c r="O685" s="1"/>
      <c r="P685" s="1"/>
      <c r="Q685" s="1"/>
      <c r="R685" s="1"/>
      <c r="S685" s="1"/>
      <c r="T685" s="1"/>
      <c r="U685" s="2"/>
      <c r="V685" s="1"/>
      <c r="W685" s="1"/>
      <c r="X685" s="1"/>
      <c r="Y685" s="1"/>
      <c r="Z685" s="1"/>
    </row>
    <row r="686" spans="1:26" ht="24.75" customHeight="1">
      <c r="A686" s="1"/>
      <c r="B686" s="1"/>
      <c r="C686" s="1"/>
      <c r="D686" s="1"/>
      <c r="E686" s="1"/>
      <c r="F686" s="1"/>
      <c r="G686" s="1"/>
      <c r="H686" s="1"/>
      <c r="I686" s="1"/>
      <c r="J686" s="1"/>
      <c r="K686" s="1"/>
      <c r="L686" s="1"/>
      <c r="M686" s="1"/>
      <c r="N686" s="1"/>
      <c r="O686" s="1"/>
      <c r="P686" s="1"/>
      <c r="Q686" s="1"/>
      <c r="R686" s="1"/>
      <c r="S686" s="1"/>
      <c r="T686" s="1"/>
      <c r="U686" s="2"/>
      <c r="V686" s="1"/>
      <c r="W686" s="1"/>
      <c r="X686" s="1"/>
      <c r="Y686" s="1"/>
      <c r="Z686" s="1"/>
    </row>
    <row r="687" spans="1:26" ht="24.75" customHeight="1">
      <c r="A687" s="1"/>
      <c r="B687" s="1"/>
      <c r="C687" s="1"/>
      <c r="D687" s="1"/>
      <c r="E687" s="1"/>
      <c r="F687" s="1"/>
      <c r="G687" s="1"/>
      <c r="H687" s="1"/>
      <c r="I687" s="1"/>
      <c r="J687" s="1"/>
      <c r="K687" s="1"/>
      <c r="L687" s="1"/>
      <c r="M687" s="1"/>
      <c r="N687" s="1"/>
      <c r="O687" s="1"/>
      <c r="P687" s="1"/>
      <c r="Q687" s="1"/>
      <c r="R687" s="1"/>
      <c r="S687" s="1"/>
      <c r="T687" s="1"/>
      <c r="U687" s="2"/>
      <c r="V687" s="1"/>
      <c r="W687" s="1"/>
      <c r="X687" s="1"/>
      <c r="Y687" s="1"/>
      <c r="Z687" s="1"/>
    </row>
    <row r="688" spans="1:26" ht="24.75" customHeight="1">
      <c r="A688" s="1"/>
      <c r="B688" s="1"/>
      <c r="C688" s="1"/>
      <c r="D688" s="1"/>
      <c r="E688" s="1"/>
      <c r="F688" s="1"/>
      <c r="G688" s="1"/>
      <c r="H688" s="1"/>
      <c r="I688" s="1"/>
      <c r="J688" s="1"/>
      <c r="K688" s="1"/>
      <c r="L688" s="1"/>
      <c r="M688" s="1"/>
      <c r="N688" s="1"/>
      <c r="O688" s="1"/>
      <c r="P688" s="1"/>
      <c r="Q688" s="1"/>
      <c r="R688" s="1"/>
      <c r="S688" s="1"/>
      <c r="T688" s="1"/>
      <c r="U688" s="2"/>
      <c r="V688" s="1"/>
      <c r="W688" s="1"/>
      <c r="X688" s="1"/>
      <c r="Y688" s="1"/>
      <c r="Z688" s="1"/>
    </row>
    <row r="689" spans="1:26" ht="24.75" customHeight="1">
      <c r="A689" s="1"/>
      <c r="B689" s="1"/>
      <c r="C689" s="1"/>
      <c r="D689" s="1"/>
      <c r="E689" s="1"/>
      <c r="F689" s="1"/>
      <c r="G689" s="1"/>
      <c r="H689" s="1"/>
      <c r="I689" s="1"/>
      <c r="J689" s="1"/>
      <c r="K689" s="1"/>
      <c r="L689" s="1"/>
      <c r="M689" s="1"/>
      <c r="N689" s="1"/>
      <c r="O689" s="1"/>
      <c r="P689" s="1"/>
      <c r="Q689" s="1"/>
      <c r="R689" s="1"/>
      <c r="S689" s="1"/>
      <c r="T689" s="1"/>
      <c r="U689" s="2"/>
      <c r="V689" s="1"/>
      <c r="W689" s="1"/>
      <c r="X689" s="1"/>
      <c r="Y689" s="1"/>
      <c r="Z689" s="1"/>
    </row>
    <row r="690" spans="1:26" ht="24.75" customHeight="1">
      <c r="A690" s="1"/>
      <c r="B690" s="1"/>
      <c r="C690" s="1"/>
      <c r="D690" s="1"/>
      <c r="E690" s="1"/>
      <c r="F690" s="1"/>
      <c r="G690" s="1"/>
      <c r="H690" s="1"/>
      <c r="I690" s="1"/>
      <c r="J690" s="1"/>
      <c r="K690" s="1"/>
      <c r="L690" s="1"/>
      <c r="M690" s="1"/>
      <c r="N690" s="1"/>
      <c r="O690" s="1"/>
      <c r="P690" s="1"/>
      <c r="Q690" s="1"/>
      <c r="R690" s="1"/>
      <c r="S690" s="1"/>
      <c r="T690" s="1"/>
      <c r="U690" s="2"/>
      <c r="V690" s="1"/>
      <c r="W690" s="1"/>
      <c r="X690" s="1"/>
      <c r="Y690" s="1"/>
      <c r="Z690" s="1"/>
    </row>
    <row r="691" spans="1:26" ht="24.75" customHeight="1">
      <c r="A691" s="1"/>
      <c r="B691" s="1"/>
      <c r="C691" s="1"/>
      <c r="D691" s="1"/>
      <c r="E691" s="1"/>
      <c r="F691" s="1"/>
      <c r="G691" s="1"/>
      <c r="H691" s="1"/>
      <c r="I691" s="1"/>
      <c r="J691" s="1"/>
      <c r="K691" s="1"/>
      <c r="L691" s="1"/>
      <c r="M691" s="1"/>
      <c r="N691" s="1"/>
      <c r="O691" s="1"/>
      <c r="P691" s="1"/>
      <c r="Q691" s="1"/>
      <c r="R691" s="1"/>
      <c r="S691" s="1"/>
      <c r="T691" s="1"/>
      <c r="U691" s="2"/>
      <c r="V691" s="1"/>
      <c r="W691" s="1"/>
      <c r="X691" s="1"/>
      <c r="Y691" s="1"/>
      <c r="Z691" s="1"/>
    </row>
    <row r="692" spans="1:26" ht="24.75" customHeight="1">
      <c r="A692" s="1"/>
      <c r="B692" s="1"/>
      <c r="C692" s="1"/>
      <c r="D692" s="1"/>
      <c r="E692" s="1"/>
      <c r="F692" s="1"/>
      <c r="G692" s="1"/>
      <c r="H692" s="1"/>
      <c r="I692" s="1"/>
      <c r="J692" s="1"/>
      <c r="K692" s="1"/>
      <c r="L692" s="1"/>
      <c r="M692" s="1"/>
      <c r="N692" s="1"/>
      <c r="O692" s="1"/>
      <c r="P692" s="1"/>
      <c r="Q692" s="1"/>
      <c r="R692" s="1"/>
      <c r="S692" s="1"/>
      <c r="T692" s="1"/>
      <c r="U692" s="2"/>
      <c r="V692" s="1"/>
      <c r="W692" s="1"/>
      <c r="X692" s="1"/>
      <c r="Y692" s="1"/>
      <c r="Z692" s="1"/>
    </row>
    <row r="693" spans="1:26" ht="24.75" customHeight="1">
      <c r="A693" s="1"/>
      <c r="B693" s="1"/>
      <c r="C693" s="1"/>
      <c r="D693" s="1"/>
      <c r="E693" s="1"/>
      <c r="F693" s="1"/>
      <c r="G693" s="1"/>
      <c r="H693" s="1"/>
      <c r="I693" s="1"/>
      <c r="J693" s="1"/>
      <c r="K693" s="1"/>
      <c r="L693" s="1"/>
      <c r="M693" s="1"/>
      <c r="N693" s="1"/>
      <c r="O693" s="1"/>
      <c r="P693" s="1"/>
      <c r="Q693" s="1"/>
      <c r="R693" s="1"/>
      <c r="S693" s="1"/>
      <c r="T693" s="1"/>
      <c r="U693" s="2"/>
      <c r="V693" s="1"/>
      <c r="W693" s="1"/>
      <c r="X693" s="1"/>
      <c r="Y693" s="1"/>
      <c r="Z693" s="1"/>
    </row>
    <row r="694" spans="1:26" ht="24.75" customHeight="1">
      <c r="A694" s="1"/>
      <c r="B694" s="1"/>
      <c r="C694" s="1"/>
      <c r="D694" s="1"/>
      <c r="E694" s="1"/>
      <c r="F694" s="1"/>
      <c r="G694" s="1"/>
      <c r="H694" s="1"/>
      <c r="I694" s="1"/>
      <c r="J694" s="1"/>
      <c r="K694" s="1"/>
      <c r="L694" s="1"/>
      <c r="M694" s="1"/>
      <c r="N694" s="1"/>
      <c r="O694" s="1"/>
      <c r="P694" s="1"/>
      <c r="Q694" s="1"/>
      <c r="R694" s="1"/>
      <c r="S694" s="1"/>
      <c r="T694" s="1"/>
      <c r="U694" s="2"/>
      <c r="V694" s="1"/>
      <c r="W694" s="1"/>
      <c r="X694" s="1"/>
      <c r="Y694" s="1"/>
      <c r="Z694" s="1"/>
    </row>
    <row r="695" spans="1:26" ht="24.75" customHeight="1">
      <c r="A695" s="1"/>
      <c r="B695" s="1"/>
      <c r="C695" s="1"/>
      <c r="D695" s="1"/>
      <c r="E695" s="1"/>
      <c r="F695" s="1"/>
      <c r="G695" s="1"/>
      <c r="H695" s="1"/>
      <c r="I695" s="1"/>
      <c r="J695" s="1"/>
      <c r="K695" s="1"/>
      <c r="L695" s="1"/>
      <c r="M695" s="1"/>
      <c r="N695" s="1"/>
      <c r="O695" s="1"/>
      <c r="P695" s="1"/>
      <c r="Q695" s="1"/>
      <c r="R695" s="1"/>
      <c r="S695" s="1"/>
      <c r="T695" s="1"/>
      <c r="U695" s="2"/>
      <c r="V695" s="1"/>
      <c r="W695" s="1"/>
      <c r="X695" s="1"/>
      <c r="Y695" s="1"/>
      <c r="Z695" s="1"/>
    </row>
    <row r="696" spans="1:26" ht="24.75" customHeight="1">
      <c r="A696" s="1"/>
      <c r="B696" s="1"/>
      <c r="C696" s="1"/>
      <c r="D696" s="1"/>
      <c r="E696" s="1"/>
      <c r="F696" s="1"/>
      <c r="G696" s="1"/>
      <c r="H696" s="1"/>
      <c r="I696" s="1"/>
      <c r="J696" s="1"/>
      <c r="K696" s="1"/>
      <c r="L696" s="1"/>
      <c r="M696" s="1"/>
      <c r="N696" s="1"/>
      <c r="O696" s="1"/>
      <c r="P696" s="1"/>
      <c r="Q696" s="1"/>
      <c r="R696" s="1"/>
      <c r="S696" s="1"/>
      <c r="T696" s="1"/>
      <c r="U696" s="2"/>
      <c r="V696" s="1"/>
      <c r="W696" s="1"/>
      <c r="X696" s="1"/>
      <c r="Y696" s="1"/>
      <c r="Z696" s="1"/>
    </row>
    <row r="697" spans="1:26" ht="24.75" customHeight="1">
      <c r="A697" s="1"/>
      <c r="B697" s="1"/>
      <c r="C697" s="1"/>
      <c r="D697" s="1"/>
      <c r="E697" s="1"/>
      <c r="F697" s="1"/>
      <c r="G697" s="1"/>
      <c r="H697" s="1"/>
      <c r="I697" s="1"/>
      <c r="J697" s="1"/>
      <c r="K697" s="1"/>
      <c r="L697" s="1"/>
      <c r="M697" s="1"/>
      <c r="N697" s="1"/>
      <c r="O697" s="1"/>
      <c r="P697" s="1"/>
      <c r="Q697" s="1"/>
      <c r="R697" s="1"/>
      <c r="S697" s="1"/>
      <c r="T697" s="1"/>
      <c r="U697" s="2"/>
      <c r="V697" s="1"/>
      <c r="W697" s="1"/>
      <c r="X697" s="1"/>
      <c r="Y697" s="1"/>
      <c r="Z697" s="1"/>
    </row>
    <row r="698" spans="1:26" ht="24.75" customHeight="1">
      <c r="A698" s="1"/>
      <c r="B698" s="1"/>
      <c r="C698" s="1"/>
      <c r="D698" s="1"/>
      <c r="E698" s="1"/>
      <c r="F698" s="1"/>
      <c r="G698" s="1"/>
      <c r="H698" s="1"/>
      <c r="I698" s="1"/>
      <c r="J698" s="1"/>
      <c r="K698" s="1"/>
      <c r="L698" s="1"/>
      <c r="M698" s="1"/>
      <c r="N698" s="1"/>
      <c r="O698" s="1"/>
      <c r="P698" s="1"/>
      <c r="Q698" s="1"/>
      <c r="R698" s="1"/>
      <c r="S698" s="1"/>
      <c r="T698" s="1"/>
      <c r="U698" s="2"/>
      <c r="V698" s="1"/>
      <c r="W698" s="1"/>
      <c r="X698" s="1"/>
      <c r="Y698" s="1"/>
      <c r="Z698" s="1"/>
    </row>
    <row r="699" spans="1:26" ht="24.75" customHeight="1">
      <c r="A699" s="1"/>
      <c r="B699" s="1"/>
      <c r="C699" s="1"/>
      <c r="D699" s="1"/>
      <c r="E699" s="1"/>
      <c r="F699" s="1"/>
      <c r="G699" s="1"/>
      <c r="H699" s="1"/>
      <c r="I699" s="1"/>
      <c r="J699" s="1"/>
      <c r="K699" s="1"/>
      <c r="L699" s="1"/>
      <c r="M699" s="1"/>
      <c r="N699" s="1"/>
      <c r="O699" s="1"/>
      <c r="P699" s="1"/>
      <c r="Q699" s="1"/>
      <c r="R699" s="1"/>
      <c r="S699" s="1"/>
      <c r="T699" s="1"/>
      <c r="U699" s="2"/>
      <c r="V699" s="1"/>
      <c r="W699" s="1"/>
      <c r="X699" s="1"/>
      <c r="Y699" s="1"/>
      <c r="Z699" s="1"/>
    </row>
    <row r="700" spans="1:26" ht="24.75" customHeight="1">
      <c r="A700" s="1"/>
      <c r="B700" s="1"/>
      <c r="C700" s="1"/>
      <c r="D700" s="1"/>
      <c r="E700" s="1"/>
      <c r="F700" s="1"/>
      <c r="G700" s="1"/>
      <c r="H700" s="1"/>
      <c r="I700" s="1"/>
      <c r="J700" s="1"/>
      <c r="K700" s="1"/>
      <c r="L700" s="1"/>
      <c r="M700" s="1"/>
      <c r="N700" s="1"/>
      <c r="O700" s="1"/>
      <c r="P700" s="1"/>
      <c r="Q700" s="1"/>
      <c r="R700" s="1"/>
      <c r="S700" s="1"/>
      <c r="T700" s="1"/>
      <c r="U700" s="2"/>
      <c r="V700" s="1"/>
      <c r="W700" s="1"/>
      <c r="X700" s="1"/>
      <c r="Y700" s="1"/>
      <c r="Z700" s="1"/>
    </row>
    <row r="701" spans="1:26" ht="24.75" customHeight="1">
      <c r="A701" s="1"/>
      <c r="B701" s="1"/>
      <c r="C701" s="1"/>
      <c r="D701" s="1"/>
      <c r="E701" s="1"/>
      <c r="F701" s="1"/>
      <c r="G701" s="1"/>
      <c r="H701" s="1"/>
      <c r="I701" s="1"/>
      <c r="J701" s="1"/>
      <c r="K701" s="1"/>
      <c r="L701" s="1"/>
      <c r="M701" s="1"/>
      <c r="N701" s="1"/>
      <c r="O701" s="1"/>
      <c r="P701" s="1"/>
      <c r="Q701" s="1"/>
      <c r="R701" s="1"/>
      <c r="S701" s="1"/>
      <c r="T701" s="1"/>
      <c r="U701" s="2"/>
      <c r="V701" s="1"/>
      <c r="W701" s="1"/>
      <c r="X701" s="1"/>
      <c r="Y701" s="1"/>
      <c r="Z701" s="1"/>
    </row>
    <row r="702" spans="1:26" ht="24.75" customHeight="1">
      <c r="A702" s="1"/>
      <c r="B702" s="1"/>
      <c r="C702" s="1"/>
      <c r="D702" s="1"/>
      <c r="E702" s="1"/>
      <c r="F702" s="1"/>
      <c r="G702" s="1"/>
      <c r="H702" s="1"/>
      <c r="I702" s="1"/>
      <c r="J702" s="1"/>
      <c r="K702" s="1"/>
      <c r="L702" s="1"/>
      <c r="M702" s="1"/>
      <c r="N702" s="1"/>
      <c r="O702" s="1"/>
      <c r="P702" s="1"/>
      <c r="Q702" s="1"/>
      <c r="R702" s="1"/>
      <c r="S702" s="1"/>
      <c r="T702" s="1"/>
      <c r="U702" s="2"/>
      <c r="V702" s="1"/>
      <c r="W702" s="1"/>
      <c r="X702" s="1"/>
      <c r="Y702" s="1"/>
      <c r="Z702" s="1"/>
    </row>
    <row r="703" spans="1:26" ht="24.75" customHeight="1">
      <c r="A703" s="1"/>
      <c r="B703" s="1"/>
      <c r="C703" s="1"/>
      <c r="D703" s="1"/>
      <c r="E703" s="1"/>
      <c r="F703" s="1"/>
      <c r="G703" s="1"/>
      <c r="H703" s="1"/>
      <c r="I703" s="1"/>
      <c r="J703" s="1"/>
      <c r="K703" s="1"/>
      <c r="L703" s="1"/>
      <c r="M703" s="1"/>
      <c r="N703" s="1"/>
      <c r="O703" s="1"/>
      <c r="P703" s="1"/>
      <c r="Q703" s="1"/>
      <c r="R703" s="1"/>
      <c r="S703" s="1"/>
      <c r="T703" s="1"/>
      <c r="U703" s="2"/>
      <c r="V703" s="1"/>
      <c r="W703" s="1"/>
      <c r="X703" s="1"/>
      <c r="Y703" s="1"/>
      <c r="Z703" s="1"/>
    </row>
    <row r="704" spans="1:26" ht="24.75" customHeight="1">
      <c r="A704" s="1"/>
      <c r="B704" s="1"/>
      <c r="C704" s="1"/>
      <c r="D704" s="1"/>
      <c r="E704" s="1"/>
      <c r="F704" s="1"/>
      <c r="G704" s="1"/>
      <c r="H704" s="1"/>
      <c r="I704" s="1"/>
      <c r="J704" s="1"/>
      <c r="K704" s="1"/>
      <c r="L704" s="1"/>
      <c r="M704" s="1"/>
      <c r="N704" s="1"/>
      <c r="O704" s="1"/>
      <c r="P704" s="1"/>
      <c r="Q704" s="1"/>
      <c r="R704" s="1"/>
      <c r="S704" s="1"/>
      <c r="T704" s="1"/>
      <c r="U704" s="2"/>
      <c r="V704" s="1"/>
      <c r="W704" s="1"/>
      <c r="X704" s="1"/>
      <c r="Y704" s="1"/>
      <c r="Z704" s="1"/>
    </row>
    <row r="705" spans="1:26" ht="24.75" customHeight="1">
      <c r="A705" s="1"/>
      <c r="B705" s="1"/>
      <c r="C705" s="1"/>
      <c r="D705" s="1"/>
      <c r="E705" s="1"/>
      <c r="F705" s="1"/>
      <c r="G705" s="1"/>
      <c r="H705" s="1"/>
      <c r="I705" s="1"/>
      <c r="J705" s="1"/>
      <c r="K705" s="1"/>
      <c r="L705" s="1"/>
      <c r="M705" s="1"/>
      <c r="N705" s="1"/>
      <c r="O705" s="1"/>
      <c r="P705" s="1"/>
      <c r="Q705" s="1"/>
      <c r="R705" s="1"/>
      <c r="S705" s="1"/>
      <c r="T705" s="1"/>
      <c r="U705" s="2"/>
      <c r="V705" s="1"/>
      <c r="W705" s="1"/>
      <c r="X705" s="1"/>
      <c r="Y705" s="1"/>
      <c r="Z705" s="1"/>
    </row>
    <row r="706" spans="1:26" ht="24.75" customHeight="1">
      <c r="A706" s="1"/>
      <c r="B706" s="1"/>
      <c r="C706" s="1"/>
      <c r="D706" s="1"/>
      <c r="E706" s="1"/>
      <c r="F706" s="1"/>
      <c r="G706" s="1"/>
      <c r="H706" s="1"/>
      <c r="I706" s="1"/>
      <c r="J706" s="1"/>
      <c r="K706" s="1"/>
      <c r="L706" s="1"/>
      <c r="M706" s="1"/>
      <c r="N706" s="1"/>
      <c r="O706" s="1"/>
      <c r="P706" s="1"/>
      <c r="Q706" s="1"/>
      <c r="R706" s="1"/>
      <c r="S706" s="1"/>
      <c r="T706" s="1"/>
      <c r="U706" s="2"/>
      <c r="V706" s="1"/>
      <c r="W706" s="1"/>
      <c r="X706" s="1"/>
      <c r="Y706" s="1"/>
      <c r="Z706" s="1"/>
    </row>
    <row r="707" spans="1:26" ht="24.75" customHeight="1">
      <c r="A707" s="1"/>
      <c r="B707" s="1"/>
      <c r="C707" s="1"/>
      <c r="D707" s="1"/>
      <c r="E707" s="1"/>
      <c r="F707" s="1"/>
      <c r="G707" s="1"/>
      <c r="H707" s="1"/>
      <c r="I707" s="1"/>
      <c r="J707" s="1"/>
      <c r="K707" s="1"/>
      <c r="L707" s="1"/>
      <c r="M707" s="1"/>
      <c r="N707" s="1"/>
      <c r="O707" s="1"/>
      <c r="P707" s="1"/>
      <c r="Q707" s="1"/>
      <c r="R707" s="1"/>
      <c r="S707" s="1"/>
      <c r="T707" s="1"/>
      <c r="U707" s="2"/>
      <c r="V707" s="1"/>
      <c r="W707" s="1"/>
      <c r="X707" s="1"/>
      <c r="Y707" s="1"/>
      <c r="Z707" s="1"/>
    </row>
    <row r="708" spans="1:26" ht="24.75" customHeight="1">
      <c r="A708" s="1"/>
      <c r="B708" s="1"/>
      <c r="C708" s="1"/>
      <c r="D708" s="1"/>
      <c r="E708" s="1"/>
      <c r="F708" s="1"/>
      <c r="G708" s="1"/>
      <c r="H708" s="1"/>
      <c r="I708" s="1"/>
      <c r="J708" s="1"/>
      <c r="K708" s="1"/>
      <c r="L708" s="1"/>
      <c r="M708" s="1"/>
      <c r="N708" s="1"/>
      <c r="O708" s="1"/>
      <c r="P708" s="1"/>
      <c r="Q708" s="1"/>
      <c r="R708" s="1"/>
      <c r="S708" s="1"/>
      <c r="T708" s="1"/>
      <c r="U708" s="2"/>
      <c r="V708" s="1"/>
      <c r="W708" s="1"/>
      <c r="X708" s="1"/>
      <c r="Y708" s="1"/>
      <c r="Z708" s="1"/>
    </row>
    <row r="709" spans="1:26" ht="24.75" customHeight="1">
      <c r="A709" s="1"/>
      <c r="B709" s="1"/>
      <c r="C709" s="1"/>
      <c r="D709" s="1"/>
      <c r="E709" s="1"/>
      <c r="F709" s="1"/>
      <c r="G709" s="1"/>
      <c r="H709" s="1"/>
      <c r="I709" s="1"/>
      <c r="J709" s="1"/>
      <c r="K709" s="1"/>
      <c r="L709" s="1"/>
      <c r="M709" s="1"/>
      <c r="N709" s="1"/>
      <c r="O709" s="1"/>
      <c r="P709" s="1"/>
      <c r="Q709" s="1"/>
      <c r="R709" s="1"/>
      <c r="S709" s="1"/>
      <c r="T709" s="1"/>
      <c r="U709" s="2"/>
      <c r="V709" s="1"/>
      <c r="W709" s="1"/>
      <c r="X709" s="1"/>
      <c r="Y709" s="1"/>
      <c r="Z709" s="1"/>
    </row>
    <row r="710" spans="1:26" ht="24.75" customHeight="1">
      <c r="A710" s="1"/>
      <c r="B710" s="1"/>
      <c r="C710" s="1"/>
      <c r="D710" s="1"/>
      <c r="E710" s="1"/>
      <c r="F710" s="1"/>
      <c r="G710" s="1"/>
      <c r="H710" s="1"/>
      <c r="I710" s="1"/>
      <c r="J710" s="1"/>
      <c r="K710" s="1"/>
      <c r="L710" s="1"/>
      <c r="M710" s="1"/>
      <c r="N710" s="1"/>
      <c r="O710" s="1"/>
      <c r="P710" s="1"/>
      <c r="Q710" s="1"/>
      <c r="R710" s="1"/>
      <c r="S710" s="1"/>
      <c r="T710" s="1"/>
      <c r="U710" s="2"/>
      <c r="V710" s="1"/>
      <c r="W710" s="1"/>
      <c r="X710" s="1"/>
      <c r="Y710" s="1"/>
      <c r="Z710" s="1"/>
    </row>
    <row r="711" spans="1:26" ht="24.75" customHeight="1">
      <c r="A711" s="1"/>
      <c r="B711" s="1"/>
      <c r="C711" s="1"/>
      <c r="D711" s="1"/>
      <c r="E711" s="1"/>
      <c r="F711" s="1"/>
      <c r="G711" s="1"/>
      <c r="H711" s="1"/>
      <c r="I711" s="1"/>
      <c r="J711" s="1"/>
      <c r="K711" s="1"/>
      <c r="L711" s="1"/>
      <c r="M711" s="1"/>
      <c r="N711" s="1"/>
      <c r="O711" s="1"/>
      <c r="P711" s="1"/>
      <c r="Q711" s="1"/>
      <c r="R711" s="1"/>
      <c r="S711" s="1"/>
      <c r="T711" s="1"/>
      <c r="U711" s="2"/>
      <c r="V711" s="1"/>
      <c r="W711" s="1"/>
      <c r="X711" s="1"/>
      <c r="Y711" s="1"/>
      <c r="Z711" s="1"/>
    </row>
    <row r="712" spans="1:26" ht="24.75" customHeight="1">
      <c r="A712" s="1"/>
      <c r="B712" s="1"/>
      <c r="C712" s="1"/>
      <c r="D712" s="1"/>
      <c r="E712" s="1"/>
      <c r="F712" s="1"/>
      <c r="G712" s="1"/>
      <c r="H712" s="1"/>
      <c r="I712" s="1"/>
      <c r="J712" s="1"/>
      <c r="K712" s="1"/>
      <c r="L712" s="1"/>
      <c r="M712" s="1"/>
      <c r="N712" s="1"/>
      <c r="O712" s="1"/>
      <c r="P712" s="1"/>
      <c r="Q712" s="1"/>
      <c r="R712" s="1"/>
      <c r="S712" s="1"/>
      <c r="T712" s="1"/>
      <c r="U712" s="2"/>
      <c r="V712" s="1"/>
      <c r="W712" s="1"/>
      <c r="X712" s="1"/>
      <c r="Y712" s="1"/>
      <c r="Z712" s="1"/>
    </row>
    <row r="713" spans="1:26" ht="24.75" customHeight="1">
      <c r="A713" s="1"/>
      <c r="B713" s="1"/>
      <c r="C713" s="1"/>
      <c r="D713" s="1"/>
      <c r="E713" s="1"/>
      <c r="F713" s="1"/>
      <c r="G713" s="1"/>
      <c r="H713" s="1"/>
      <c r="I713" s="1"/>
      <c r="J713" s="1"/>
      <c r="K713" s="1"/>
      <c r="L713" s="1"/>
      <c r="M713" s="1"/>
      <c r="N713" s="1"/>
      <c r="O713" s="1"/>
      <c r="P713" s="1"/>
      <c r="Q713" s="1"/>
      <c r="R713" s="1"/>
      <c r="S713" s="1"/>
      <c r="T713" s="1"/>
      <c r="U713" s="2"/>
      <c r="V713" s="1"/>
      <c r="W713" s="1"/>
      <c r="X713" s="1"/>
      <c r="Y713" s="1"/>
      <c r="Z713" s="1"/>
    </row>
    <row r="714" spans="1:26" ht="24.75" customHeight="1">
      <c r="A714" s="1"/>
      <c r="B714" s="1"/>
      <c r="C714" s="1"/>
      <c r="D714" s="1"/>
      <c r="E714" s="1"/>
      <c r="F714" s="1"/>
      <c r="G714" s="1"/>
      <c r="H714" s="1"/>
      <c r="I714" s="1"/>
      <c r="J714" s="1"/>
      <c r="K714" s="1"/>
      <c r="L714" s="1"/>
      <c r="M714" s="1"/>
      <c r="N714" s="1"/>
      <c r="O714" s="1"/>
      <c r="P714" s="1"/>
      <c r="Q714" s="1"/>
      <c r="R714" s="1"/>
      <c r="S714" s="1"/>
      <c r="T714" s="1"/>
      <c r="U714" s="2"/>
      <c r="V714" s="1"/>
      <c r="W714" s="1"/>
      <c r="X714" s="1"/>
      <c r="Y714" s="1"/>
      <c r="Z714" s="1"/>
    </row>
    <row r="715" spans="1:26" ht="24.75" customHeight="1">
      <c r="A715" s="1"/>
      <c r="B715" s="1"/>
      <c r="C715" s="1"/>
      <c r="D715" s="1"/>
      <c r="E715" s="1"/>
      <c r="F715" s="1"/>
      <c r="G715" s="1"/>
      <c r="H715" s="1"/>
      <c r="I715" s="1"/>
      <c r="J715" s="1"/>
      <c r="K715" s="1"/>
      <c r="L715" s="1"/>
      <c r="M715" s="1"/>
      <c r="N715" s="1"/>
      <c r="O715" s="1"/>
      <c r="P715" s="1"/>
      <c r="Q715" s="1"/>
      <c r="R715" s="1"/>
      <c r="S715" s="1"/>
      <c r="T715" s="1"/>
      <c r="U715" s="2"/>
      <c r="V715" s="1"/>
      <c r="W715" s="1"/>
      <c r="X715" s="1"/>
      <c r="Y715" s="1"/>
      <c r="Z715" s="1"/>
    </row>
    <row r="716" spans="1:26" ht="24.75" customHeight="1">
      <c r="A716" s="1"/>
      <c r="B716" s="1"/>
      <c r="C716" s="1"/>
      <c r="D716" s="1"/>
      <c r="E716" s="1"/>
      <c r="F716" s="1"/>
      <c r="G716" s="1"/>
      <c r="H716" s="1"/>
      <c r="I716" s="1"/>
      <c r="J716" s="1"/>
      <c r="K716" s="1"/>
      <c r="L716" s="1"/>
      <c r="M716" s="1"/>
      <c r="N716" s="1"/>
      <c r="O716" s="1"/>
      <c r="P716" s="1"/>
      <c r="Q716" s="1"/>
      <c r="R716" s="1"/>
      <c r="S716" s="1"/>
      <c r="T716" s="1"/>
      <c r="U716" s="2"/>
      <c r="V716" s="1"/>
      <c r="W716" s="1"/>
      <c r="X716" s="1"/>
      <c r="Y716" s="1"/>
      <c r="Z716" s="1"/>
    </row>
    <row r="717" spans="1:26" ht="24.75" customHeight="1">
      <c r="A717" s="1"/>
      <c r="B717" s="1"/>
      <c r="C717" s="1"/>
      <c r="D717" s="1"/>
      <c r="E717" s="1"/>
      <c r="F717" s="1"/>
      <c r="G717" s="1"/>
      <c r="H717" s="1"/>
      <c r="I717" s="1"/>
      <c r="J717" s="1"/>
      <c r="K717" s="1"/>
      <c r="L717" s="1"/>
      <c r="M717" s="1"/>
      <c r="N717" s="1"/>
      <c r="O717" s="1"/>
      <c r="P717" s="1"/>
      <c r="Q717" s="1"/>
      <c r="R717" s="1"/>
      <c r="S717" s="1"/>
      <c r="T717" s="1"/>
      <c r="U717" s="2"/>
      <c r="V717" s="1"/>
      <c r="W717" s="1"/>
      <c r="X717" s="1"/>
      <c r="Y717" s="1"/>
      <c r="Z717" s="1"/>
    </row>
    <row r="718" spans="1:26" ht="24.75" customHeight="1">
      <c r="A718" s="1"/>
      <c r="B718" s="1"/>
      <c r="C718" s="1"/>
      <c r="D718" s="1"/>
      <c r="E718" s="1"/>
      <c r="F718" s="1"/>
      <c r="G718" s="1"/>
      <c r="H718" s="1"/>
      <c r="I718" s="1"/>
      <c r="J718" s="1"/>
      <c r="K718" s="1"/>
      <c r="L718" s="1"/>
      <c r="M718" s="1"/>
      <c r="N718" s="1"/>
      <c r="O718" s="1"/>
      <c r="P718" s="1"/>
      <c r="Q718" s="1"/>
      <c r="R718" s="1"/>
      <c r="S718" s="1"/>
      <c r="T718" s="1"/>
      <c r="U718" s="2"/>
      <c r="V718" s="1"/>
      <c r="W718" s="1"/>
      <c r="X718" s="1"/>
      <c r="Y718" s="1"/>
      <c r="Z718" s="1"/>
    </row>
    <row r="719" spans="1:26" ht="24.75" customHeight="1">
      <c r="A719" s="1"/>
      <c r="B719" s="1"/>
      <c r="C719" s="1"/>
      <c r="D719" s="1"/>
      <c r="E719" s="1"/>
      <c r="F719" s="1"/>
      <c r="G719" s="1"/>
      <c r="H719" s="1"/>
      <c r="I719" s="1"/>
      <c r="J719" s="1"/>
      <c r="K719" s="1"/>
      <c r="L719" s="1"/>
      <c r="M719" s="1"/>
      <c r="N719" s="1"/>
      <c r="O719" s="1"/>
      <c r="P719" s="1"/>
      <c r="Q719" s="1"/>
      <c r="R719" s="1"/>
      <c r="S719" s="1"/>
      <c r="T719" s="1"/>
      <c r="U719" s="2"/>
      <c r="V719" s="1"/>
      <c r="W719" s="1"/>
      <c r="X719" s="1"/>
      <c r="Y719" s="1"/>
      <c r="Z719" s="1"/>
    </row>
    <row r="720" spans="1:26" ht="24.75" customHeight="1">
      <c r="A720" s="1"/>
      <c r="B720" s="1"/>
      <c r="C720" s="1"/>
      <c r="D720" s="1"/>
      <c r="E720" s="1"/>
      <c r="F720" s="1"/>
      <c r="G720" s="1"/>
      <c r="H720" s="1"/>
      <c r="I720" s="1"/>
      <c r="J720" s="1"/>
      <c r="K720" s="1"/>
      <c r="L720" s="1"/>
      <c r="M720" s="1"/>
      <c r="N720" s="1"/>
      <c r="O720" s="1"/>
      <c r="P720" s="1"/>
      <c r="Q720" s="1"/>
      <c r="R720" s="1"/>
      <c r="S720" s="1"/>
      <c r="T720" s="1"/>
      <c r="U720" s="2"/>
      <c r="V720" s="1"/>
      <c r="W720" s="1"/>
      <c r="X720" s="1"/>
      <c r="Y720" s="1"/>
      <c r="Z720" s="1"/>
    </row>
    <row r="721" spans="1:26" ht="24.75" customHeight="1">
      <c r="A721" s="1"/>
      <c r="B721" s="1"/>
      <c r="C721" s="1"/>
      <c r="D721" s="1"/>
      <c r="E721" s="1"/>
      <c r="F721" s="1"/>
      <c r="G721" s="1"/>
      <c r="H721" s="1"/>
      <c r="I721" s="1"/>
      <c r="J721" s="1"/>
      <c r="K721" s="1"/>
      <c r="L721" s="1"/>
      <c r="M721" s="1"/>
      <c r="N721" s="1"/>
      <c r="O721" s="1"/>
      <c r="P721" s="1"/>
      <c r="Q721" s="1"/>
      <c r="R721" s="1"/>
      <c r="S721" s="1"/>
      <c r="T721" s="1"/>
      <c r="U721" s="2"/>
      <c r="V721" s="1"/>
      <c r="W721" s="1"/>
      <c r="X721" s="1"/>
      <c r="Y721" s="1"/>
      <c r="Z721" s="1"/>
    </row>
    <row r="722" spans="1:26" ht="24.75" customHeight="1">
      <c r="A722" s="1"/>
      <c r="B722" s="1"/>
      <c r="C722" s="1"/>
      <c r="D722" s="1"/>
      <c r="E722" s="1"/>
      <c r="F722" s="1"/>
      <c r="G722" s="1"/>
      <c r="H722" s="1"/>
      <c r="I722" s="1"/>
      <c r="J722" s="1"/>
      <c r="K722" s="1"/>
      <c r="L722" s="1"/>
      <c r="M722" s="1"/>
      <c r="N722" s="1"/>
      <c r="O722" s="1"/>
      <c r="P722" s="1"/>
      <c r="Q722" s="1"/>
      <c r="R722" s="1"/>
      <c r="S722" s="1"/>
      <c r="T722" s="1"/>
      <c r="U722" s="2"/>
      <c r="V722" s="1"/>
      <c r="W722" s="1"/>
      <c r="X722" s="1"/>
      <c r="Y722" s="1"/>
      <c r="Z722" s="1"/>
    </row>
    <row r="723" spans="1:26" ht="24.75" customHeight="1">
      <c r="A723" s="1"/>
      <c r="B723" s="1"/>
      <c r="C723" s="1"/>
      <c r="D723" s="1"/>
      <c r="E723" s="1"/>
      <c r="F723" s="1"/>
      <c r="G723" s="1"/>
      <c r="H723" s="1"/>
      <c r="I723" s="1"/>
      <c r="J723" s="1"/>
      <c r="K723" s="1"/>
      <c r="L723" s="1"/>
      <c r="M723" s="1"/>
      <c r="N723" s="1"/>
      <c r="O723" s="1"/>
      <c r="P723" s="1"/>
      <c r="Q723" s="1"/>
      <c r="R723" s="1"/>
      <c r="S723" s="1"/>
      <c r="T723" s="1"/>
      <c r="U723" s="2"/>
      <c r="V723" s="1"/>
      <c r="W723" s="1"/>
      <c r="X723" s="1"/>
      <c r="Y723" s="1"/>
      <c r="Z723" s="1"/>
    </row>
    <row r="724" spans="1:26" ht="24.75" customHeight="1">
      <c r="A724" s="1"/>
      <c r="B724" s="1"/>
      <c r="C724" s="1"/>
      <c r="D724" s="1"/>
      <c r="E724" s="1"/>
      <c r="F724" s="1"/>
      <c r="G724" s="1"/>
      <c r="H724" s="1"/>
      <c r="I724" s="1"/>
      <c r="J724" s="1"/>
      <c r="K724" s="1"/>
      <c r="L724" s="1"/>
      <c r="M724" s="1"/>
      <c r="N724" s="1"/>
      <c r="O724" s="1"/>
      <c r="P724" s="1"/>
      <c r="Q724" s="1"/>
      <c r="R724" s="1"/>
      <c r="S724" s="1"/>
      <c r="T724" s="1"/>
      <c r="U724" s="2"/>
      <c r="V724" s="1"/>
      <c r="W724" s="1"/>
      <c r="X724" s="1"/>
      <c r="Y724" s="1"/>
      <c r="Z724" s="1"/>
    </row>
    <row r="725" spans="1:26" ht="24.75" customHeight="1">
      <c r="A725" s="1"/>
      <c r="B725" s="1"/>
      <c r="C725" s="1"/>
      <c r="D725" s="1"/>
      <c r="E725" s="1"/>
      <c r="F725" s="1"/>
      <c r="G725" s="1"/>
      <c r="H725" s="1"/>
      <c r="I725" s="1"/>
      <c r="J725" s="1"/>
      <c r="K725" s="1"/>
      <c r="L725" s="1"/>
      <c r="M725" s="1"/>
      <c r="N725" s="1"/>
      <c r="O725" s="1"/>
      <c r="P725" s="1"/>
      <c r="Q725" s="1"/>
      <c r="R725" s="1"/>
      <c r="S725" s="1"/>
      <c r="T725" s="1"/>
      <c r="U725" s="2"/>
      <c r="V725" s="1"/>
      <c r="W725" s="1"/>
      <c r="X725" s="1"/>
      <c r="Y725" s="1"/>
      <c r="Z725" s="1"/>
    </row>
    <row r="726" spans="1:26" ht="24.75" customHeight="1">
      <c r="A726" s="1"/>
      <c r="B726" s="1"/>
      <c r="C726" s="1"/>
      <c r="D726" s="1"/>
      <c r="E726" s="1"/>
      <c r="F726" s="1"/>
      <c r="G726" s="1"/>
      <c r="H726" s="1"/>
      <c r="I726" s="1"/>
      <c r="J726" s="1"/>
      <c r="K726" s="1"/>
      <c r="L726" s="1"/>
      <c r="M726" s="1"/>
      <c r="N726" s="1"/>
      <c r="O726" s="1"/>
      <c r="P726" s="1"/>
      <c r="Q726" s="1"/>
      <c r="R726" s="1"/>
      <c r="S726" s="1"/>
      <c r="T726" s="1"/>
      <c r="U726" s="2"/>
      <c r="V726" s="1"/>
      <c r="W726" s="1"/>
      <c r="X726" s="1"/>
      <c r="Y726" s="1"/>
      <c r="Z726" s="1"/>
    </row>
    <row r="727" spans="1:26" ht="24.75" customHeight="1">
      <c r="A727" s="1"/>
      <c r="B727" s="1"/>
      <c r="C727" s="1"/>
      <c r="D727" s="1"/>
      <c r="E727" s="1"/>
      <c r="F727" s="1"/>
      <c r="G727" s="1"/>
      <c r="H727" s="1"/>
      <c r="I727" s="1"/>
      <c r="J727" s="1"/>
      <c r="K727" s="1"/>
      <c r="L727" s="1"/>
      <c r="M727" s="1"/>
      <c r="N727" s="1"/>
      <c r="O727" s="1"/>
      <c r="P727" s="1"/>
      <c r="Q727" s="1"/>
      <c r="R727" s="1"/>
      <c r="S727" s="1"/>
      <c r="T727" s="1"/>
      <c r="U727" s="2"/>
      <c r="V727" s="1"/>
      <c r="W727" s="1"/>
      <c r="X727" s="1"/>
      <c r="Y727" s="1"/>
      <c r="Z727" s="1"/>
    </row>
    <row r="728" spans="1:26" ht="24.75" customHeight="1">
      <c r="A728" s="1"/>
      <c r="B728" s="1"/>
      <c r="C728" s="1"/>
      <c r="D728" s="1"/>
      <c r="E728" s="1"/>
      <c r="F728" s="1"/>
      <c r="G728" s="1"/>
      <c r="H728" s="1"/>
      <c r="I728" s="1"/>
      <c r="J728" s="1"/>
      <c r="K728" s="1"/>
      <c r="L728" s="1"/>
      <c r="M728" s="1"/>
      <c r="N728" s="1"/>
      <c r="O728" s="1"/>
      <c r="P728" s="1"/>
      <c r="Q728" s="1"/>
      <c r="R728" s="1"/>
      <c r="S728" s="1"/>
      <c r="T728" s="1"/>
      <c r="U728" s="2"/>
      <c r="V728" s="1"/>
      <c r="W728" s="1"/>
      <c r="X728" s="1"/>
      <c r="Y728" s="1"/>
      <c r="Z728" s="1"/>
    </row>
    <row r="729" spans="1:26" ht="24.75" customHeight="1">
      <c r="A729" s="1"/>
      <c r="B729" s="1"/>
      <c r="C729" s="1"/>
      <c r="D729" s="1"/>
      <c r="E729" s="1"/>
      <c r="F729" s="1"/>
      <c r="G729" s="1"/>
      <c r="H729" s="1"/>
      <c r="I729" s="1"/>
      <c r="J729" s="1"/>
      <c r="K729" s="1"/>
      <c r="L729" s="1"/>
      <c r="M729" s="1"/>
      <c r="N729" s="1"/>
      <c r="O729" s="1"/>
      <c r="P729" s="1"/>
      <c r="Q729" s="1"/>
      <c r="R729" s="1"/>
      <c r="S729" s="1"/>
      <c r="T729" s="1"/>
      <c r="U729" s="2"/>
      <c r="V729" s="1"/>
      <c r="W729" s="1"/>
      <c r="X729" s="1"/>
      <c r="Y729" s="1"/>
      <c r="Z729" s="1"/>
    </row>
    <row r="730" spans="1:26" ht="24.75" customHeight="1">
      <c r="A730" s="1"/>
      <c r="B730" s="1"/>
      <c r="C730" s="1"/>
      <c r="D730" s="1"/>
      <c r="E730" s="1"/>
      <c r="F730" s="1"/>
      <c r="G730" s="1"/>
      <c r="H730" s="1"/>
      <c r="I730" s="1"/>
      <c r="J730" s="1"/>
      <c r="K730" s="1"/>
      <c r="L730" s="1"/>
      <c r="M730" s="1"/>
      <c r="N730" s="1"/>
      <c r="O730" s="1"/>
      <c r="P730" s="1"/>
      <c r="Q730" s="1"/>
      <c r="R730" s="1"/>
      <c r="S730" s="1"/>
      <c r="T730" s="1"/>
      <c r="U730" s="2"/>
      <c r="V730" s="1"/>
      <c r="W730" s="1"/>
      <c r="X730" s="1"/>
      <c r="Y730" s="1"/>
      <c r="Z730" s="1"/>
    </row>
    <row r="731" spans="1:26" ht="24.75" customHeight="1">
      <c r="A731" s="1"/>
      <c r="B731" s="1"/>
      <c r="C731" s="1"/>
      <c r="D731" s="1"/>
      <c r="E731" s="1"/>
      <c r="F731" s="1"/>
      <c r="G731" s="1"/>
      <c r="H731" s="1"/>
      <c r="I731" s="1"/>
      <c r="J731" s="1"/>
      <c r="K731" s="1"/>
      <c r="L731" s="1"/>
      <c r="M731" s="1"/>
      <c r="N731" s="1"/>
      <c r="O731" s="1"/>
      <c r="P731" s="1"/>
      <c r="Q731" s="1"/>
      <c r="R731" s="1"/>
      <c r="S731" s="1"/>
      <c r="T731" s="1"/>
      <c r="U731" s="2"/>
      <c r="V731" s="1"/>
      <c r="W731" s="1"/>
      <c r="X731" s="1"/>
      <c r="Y731" s="1"/>
      <c r="Z731" s="1"/>
    </row>
    <row r="732" spans="1:26" ht="24.75" customHeight="1">
      <c r="A732" s="1"/>
      <c r="B732" s="1"/>
      <c r="C732" s="1"/>
      <c r="D732" s="1"/>
      <c r="E732" s="1"/>
      <c r="F732" s="1"/>
      <c r="G732" s="1"/>
      <c r="H732" s="1"/>
      <c r="I732" s="1"/>
      <c r="J732" s="1"/>
      <c r="K732" s="1"/>
      <c r="L732" s="1"/>
      <c r="M732" s="1"/>
      <c r="N732" s="1"/>
      <c r="O732" s="1"/>
      <c r="P732" s="1"/>
      <c r="Q732" s="1"/>
      <c r="R732" s="1"/>
      <c r="S732" s="1"/>
      <c r="T732" s="1"/>
      <c r="U732" s="2"/>
      <c r="V732" s="1"/>
      <c r="W732" s="1"/>
      <c r="X732" s="1"/>
      <c r="Y732" s="1"/>
      <c r="Z732" s="1"/>
    </row>
    <row r="733" spans="1:26" ht="24.75" customHeight="1">
      <c r="A733" s="1"/>
      <c r="B733" s="1"/>
      <c r="C733" s="1"/>
      <c r="D733" s="1"/>
      <c r="E733" s="1"/>
      <c r="F733" s="1"/>
      <c r="G733" s="1"/>
      <c r="H733" s="1"/>
      <c r="I733" s="1"/>
      <c r="J733" s="1"/>
      <c r="K733" s="1"/>
      <c r="L733" s="1"/>
      <c r="M733" s="1"/>
      <c r="N733" s="1"/>
      <c r="O733" s="1"/>
      <c r="P733" s="1"/>
      <c r="Q733" s="1"/>
      <c r="R733" s="1"/>
      <c r="S733" s="1"/>
      <c r="T733" s="1"/>
      <c r="U733" s="2"/>
      <c r="V733" s="1"/>
      <c r="W733" s="1"/>
      <c r="X733" s="1"/>
      <c r="Y733" s="1"/>
      <c r="Z733" s="1"/>
    </row>
    <row r="734" spans="1:26" ht="24.75" customHeight="1">
      <c r="A734" s="1"/>
      <c r="B734" s="1"/>
      <c r="C734" s="1"/>
      <c r="D734" s="1"/>
      <c r="E734" s="1"/>
      <c r="F734" s="1"/>
      <c r="G734" s="1"/>
      <c r="H734" s="1"/>
      <c r="I734" s="1"/>
      <c r="J734" s="1"/>
      <c r="K734" s="1"/>
      <c r="L734" s="1"/>
      <c r="M734" s="1"/>
      <c r="N734" s="1"/>
      <c r="O734" s="1"/>
      <c r="P734" s="1"/>
      <c r="Q734" s="1"/>
      <c r="R734" s="1"/>
      <c r="S734" s="1"/>
      <c r="T734" s="1"/>
      <c r="U734" s="2"/>
      <c r="V734" s="1"/>
      <c r="W734" s="1"/>
      <c r="X734" s="1"/>
      <c r="Y734" s="1"/>
      <c r="Z734" s="1"/>
    </row>
    <row r="735" spans="1:26" ht="24.75" customHeight="1">
      <c r="A735" s="1"/>
      <c r="B735" s="1"/>
      <c r="C735" s="1"/>
      <c r="D735" s="1"/>
      <c r="E735" s="1"/>
      <c r="F735" s="1"/>
      <c r="G735" s="1"/>
      <c r="H735" s="1"/>
      <c r="I735" s="1"/>
      <c r="J735" s="1"/>
      <c r="K735" s="1"/>
      <c r="L735" s="1"/>
      <c r="M735" s="1"/>
      <c r="N735" s="1"/>
      <c r="O735" s="1"/>
      <c r="P735" s="1"/>
      <c r="Q735" s="1"/>
      <c r="R735" s="1"/>
      <c r="S735" s="1"/>
      <c r="T735" s="1"/>
      <c r="U735" s="2"/>
      <c r="V735" s="1"/>
      <c r="W735" s="1"/>
      <c r="X735" s="1"/>
      <c r="Y735" s="1"/>
      <c r="Z735" s="1"/>
    </row>
    <row r="736" spans="1:26" ht="24.75" customHeight="1">
      <c r="A736" s="1"/>
      <c r="B736" s="1"/>
      <c r="C736" s="1"/>
      <c r="D736" s="1"/>
      <c r="E736" s="1"/>
      <c r="F736" s="1"/>
      <c r="G736" s="1"/>
      <c r="H736" s="1"/>
      <c r="I736" s="1"/>
      <c r="J736" s="1"/>
      <c r="K736" s="1"/>
      <c r="L736" s="1"/>
      <c r="M736" s="1"/>
      <c r="N736" s="1"/>
      <c r="O736" s="1"/>
      <c r="P736" s="1"/>
      <c r="Q736" s="1"/>
      <c r="R736" s="1"/>
      <c r="S736" s="1"/>
      <c r="T736" s="1"/>
      <c r="U736" s="2"/>
      <c r="V736" s="1"/>
      <c r="W736" s="1"/>
      <c r="X736" s="1"/>
      <c r="Y736" s="1"/>
      <c r="Z736" s="1"/>
    </row>
    <row r="737" spans="1:26" ht="24.75" customHeight="1">
      <c r="A737" s="1"/>
      <c r="B737" s="1"/>
      <c r="C737" s="1"/>
      <c r="D737" s="1"/>
      <c r="E737" s="1"/>
      <c r="F737" s="1"/>
      <c r="G737" s="1"/>
      <c r="H737" s="1"/>
      <c r="I737" s="1"/>
      <c r="J737" s="1"/>
      <c r="K737" s="1"/>
      <c r="L737" s="1"/>
      <c r="M737" s="1"/>
      <c r="N737" s="1"/>
      <c r="O737" s="1"/>
      <c r="P737" s="1"/>
      <c r="Q737" s="1"/>
      <c r="R737" s="1"/>
      <c r="S737" s="1"/>
      <c r="T737" s="1"/>
      <c r="U737" s="2"/>
      <c r="V737" s="1"/>
      <c r="W737" s="1"/>
      <c r="X737" s="1"/>
      <c r="Y737" s="1"/>
      <c r="Z737" s="1"/>
    </row>
    <row r="738" spans="1:26" ht="24.75" customHeight="1">
      <c r="A738" s="1"/>
      <c r="B738" s="1"/>
      <c r="C738" s="1"/>
      <c r="D738" s="1"/>
      <c r="E738" s="1"/>
      <c r="F738" s="1"/>
      <c r="G738" s="1"/>
      <c r="H738" s="1"/>
      <c r="I738" s="1"/>
      <c r="J738" s="1"/>
      <c r="K738" s="1"/>
      <c r="L738" s="1"/>
      <c r="M738" s="1"/>
      <c r="N738" s="1"/>
      <c r="O738" s="1"/>
      <c r="P738" s="1"/>
      <c r="Q738" s="1"/>
      <c r="R738" s="1"/>
      <c r="S738" s="1"/>
      <c r="T738" s="1"/>
      <c r="U738" s="2"/>
      <c r="V738" s="1"/>
      <c r="W738" s="1"/>
      <c r="X738" s="1"/>
      <c r="Y738" s="1"/>
      <c r="Z738" s="1"/>
    </row>
    <row r="739" spans="1:26" ht="24.75" customHeight="1">
      <c r="A739" s="1"/>
      <c r="B739" s="1"/>
      <c r="C739" s="1"/>
      <c r="D739" s="1"/>
      <c r="E739" s="1"/>
      <c r="F739" s="1"/>
      <c r="G739" s="1"/>
      <c r="H739" s="1"/>
      <c r="I739" s="1"/>
      <c r="J739" s="1"/>
      <c r="K739" s="1"/>
      <c r="L739" s="1"/>
      <c r="M739" s="1"/>
      <c r="N739" s="1"/>
      <c r="O739" s="1"/>
      <c r="P739" s="1"/>
      <c r="Q739" s="1"/>
      <c r="R739" s="1"/>
      <c r="S739" s="1"/>
      <c r="T739" s="1"/>
      <c r="U739" s="2"/>
      <c r="V739" s="1"/>
      <c r="W739" s="1"/>
      <c r="X739" s="1"/>
      <c r="Y739" s="1"/>
      <c r="Z739" s="1"/>
    </row>
    <row r="740" spans="1:26" ht="24.75" customHeight="1">
      <c r="A740" s="1"/>
      <c r="B740" s="1"/>
      <c r="C740" s="1"/>
      <c r="D740" s="1"/>
      <c r="E740" s="1"/>
      <c r="F740" s="1"/>
      <c r="G740" s="1"/>
      <c r="H740" s="1"/>
      <c r="I740" s="1"/>
      <c r="J740" s="1"/>
      <c r="K740" s="1"/>
      <c r="L740" s="1"/>
      <c r="M740" s="1"/>
      <c r="N740" s="1"/>
      <c r="O740" s="1"/>
      <c r="P740" s="1"/>
      <c r="Q740" s="1"/>
      <c r="R740" s="1"/>
      <c r="S740" s="1"/>
      <c r="T740" s="1"/>
      <c r="U740" s="2"/>
      <c r="V740" s="1"/>
      <c r="W740" s="1"/>
      <c r="X740" s="1"/>
      <c r="Y740" s="1"/>
      <c r="Z740" s="1"/>
    </row>
    <row r="741" spans="1:26" ht="24.75" customHeight="1">
      <c r="A741" s="1"/>
      <c r="B741" s="1"/>
      <c r="C741" s="1"/>
      <c r="D741" s="1"/>
      <c r="E741" s="1"/>
      <c r="F741" s="1"/>
      <c r="G741" s="1"/>
      <c r="H741" s="1"/>
      <c r="I741" s="1"/>
      <c r="J741" s="1"/>
      <c r="K741" s="1"/>
      <c r="L741" s="1"/>
      <c r="M741" s="1"/>
      <c r="N741" s="1"/>
      <c r="O741" s="1"/>
      <c r="P741" s="1"/>
      <c r="Q741" s="1"/>
      <c r="R741" s="1"/>
      <c r="S741" s="1"/>
      <c r="T741" s="1"/>
      <c r="U741" s="2"/>
      <c r="V741" s="1"/>
      <c r="W741" s="1"/>
      <c r="X741" s="1"/>
      <c r="Y741" s="1"/>
      <c r="Z741" s="1"/>
    </row>
    <row r="742" spans="1:26" ht="24.75" customHeight="1">
      <c r="A742" s="1"/>
      <c r="B742" s="1"/>
      <c r="C742" s="1"/>
      <c r="D742" s="1"/>
      <c r="E742" s="1"/>
      <c r="F742" s="1"/>
      <c r="G742" s="1"/>
      <c r="H742" s="1"/>
      <c r="I742" s="1"/>
      <c r="J742" s="1"/>
      <c r="K742" s="1"/>
      <c r="L742" s="1"/>
      <c r="M742" s="1"/>
      <c r="N742" s="1"/>
      <c r="O742" s="1"/>
      <c r="P742" s="1"/>
      <c r="Q742" s="1"/>
      <c r="R742" s="1"/>
      <c r="S742" s="1"/>
      <c r="T742" s="1"/>
      <c r="U742" s="2"/>
      <c r="V742" s="1"/>
      <c r="W742" s="1"/>
      <c r="X742" s="1"/>
      <c r="Y742" s="1"/>
      <c r="Z742" s="1"/>
    </row>
    <row r="743" spans="1:26" ht="24.75" customHeight="1">
      <c r="A743" s="1"/>
      <c r="B743" s="1"/>
      <c r="C743" s="1"/>
      <c r="D743" s="1"/>
      <c r="E743" s="1"/>
      <c r="F743" s="1"/>
      <c r="G743" s="1"/>
      <c r="H743" s="1"/>
      <c r="I743" s="1"/>
      <c r="J743" s="1"/>
      <c r="K743" s="1"/>
      <c r="L743" s="1"/>
      <c r="M743" s="1"/>
      <c r="N743" s="1"/>
      <c r="O743" s="1"/>
      <c r="P743" s="1"/>
      <c r="Q743" s="1"/>
      <c r="R743" s="1"/>
      <c r="S743" s="1"/>
      <c r="T743" s="1"/>
      <c r="U743" s="2"/>
      <c r="V743" s="1"/>
      <c r="W743" s="1"/>
      <c r="X743" s="1"/>
      <c r="Y743" s="1"/>
      <c r="Z743" s="1"/>
    </row>
    <row r="744" spans="1:26" ht="24.75" customHeight="1">
      <c r="A744" s="1"/>
      <c r="B744" s="1"/>
      <c r="C744" s="1"/>
      <c r="D744" s="1"/>
      <c r="E744" s="1"/>
      <c r="F744" s="1"/>
      <c r="G744" s="1"/>
      <c r="H744" s="1"/>
      <c r="I744" s="1"/>
      <c r="J744" s="1"/>
      <c r="K744" s="1"/>
      <c r="L744" s="1"/>
      <c r="M744" s="1"/>
      <c r="N744" s="1"/>
      <c r="O744" s="1"/>
      <c r="P744" s="1"/>
      <c r="Q744" s="1"/>
      <c r="R744" s="1"/>
      <c r="S744" s="1"/>
      <c r="T744" s="1"/>
      <c r="U744" s="2"/>
      <c r="V744" s="1"/>
      <c r="W744" s="1"/>
      <c r="X744" s="1"/>
      <c r="Y744" s="1"/>
      <c r="Z744" s="1"/>
    </row>
    <row r="745" spans="1:26" ht="24.75" customHeight="1">
      <c r="A745" s="1"/>
      <c r="B745" s="1"/>
      <c r="C745" s="1"/>
      <c r="D745" s="1"/>
      <c r="E745" s="1"/>
      <c r="F745" s="1"/>
      <c r="G745" s="1"/>
      <c r="H745" s="1"/>
      <c r="I745" s="1"/>
      <c r="J745" s="1"/>
      <c r="K745" s="1"/>
      <c r="L745" s="1"/>
      <c r="M745" s="1"/>
      <c r="N745" s="1"/>
      <c r="O745" s="1"/>
      <c r="P745" s="1"/>
      <c r="Q745" s="1"/>
      <c r="R745" s="1"/>
      <c r="S745" s="1"/>
      <c r="T745" s="1"/>
      <c r="U745" s="2"/>
      <c r="V745" s="1"/>
      <c r="W745" s="1"/>
      <c r="X745" s="1"/>
      <c r="Y745" s="1"/>
      <c r="Z745" s="1"/>
    </row>
    <row r="746" spans="1:26" ht="24.75" customHeight="1">
      <c r="A746" s="1"/>
      <c r="B746" s="1"/>
      <c r="C746" s="1"/>
      <c r="D746" s="1"/>
      <c r="E746" s="1"/>
      <c r="F746" s="1"/>
      <c r="G746" s="1"/>
      <c r="H746" s="1"/>
      <c r="I746" s="1"/>
      <c r="J746" s="1"/>
      <c r="K746" s="1"/>
      <c r="L746" s="1"/>
      <c r="M746" s="1"/>
      <c r="N746" s="1"/>
      <c r="O746" s="1"/>
      <c r="P746" s="1"/>
      <c r="Q746" s="1"/>
      <c r="R746" s="1"/>
      <c r="S746" s="1"/>
      <c r="T746" s="1"/>
      <c r="U746" s="2"/>
      <c r="V746" s="1"/>
      <c r="W746" s="1"/>
      <c r="X746" s="1"/>
      <c r="Y746" s="1"/>
      <c r="Z746" s="1"/>
    </row>
    <row r="747" spans="1:26" ht="24.75" customHeight="1">
      <c r="A747" s="1"/>
      <c r="B747" s="1"/>
      <c r="C747" s="1"/>
      <c r="D747" s="1"/>
      <c r="E747" s="1"/>
      <c r="F747" s="1"/>
      <c r="G747" s="1"/>
      <c r="H747" s="1"/>
      <c r="I747" s="1"/>
      <c r="J747" s="1"/>
      <c r="K747" s="1"/>
      <c r="L747" s="1"/>
      <c r="M747" s="1"/>
      <c r="N747" s="1"/>
      <c r="O747" s="1"/>
      <c r="P747" s="1"/>
      <c r="Q747" s="1"/>
      <c r="R747" s="1"/>
      <c r="S747" s="1"/>
      <c r="T747" s="1"/>
      <c r="U747" s="2"/>
      <c r="V747" s="1"/>
      <c r="W747" s="1"/>
      <c r="X747" s="1"/>
      <c r="Y747" s="1"/>
      <c r="Z747" s="1"/>
    </row>
    <row r="748" spans="1:26" ht="24.75" customHeight="1">
      <c r="A748" s="1"/>
      <c r="B748" s="1"/>
      <c r="C748" s="1"/>
      <c r="D748" s="1"/>
      <c r="E748" s="1"/>
      <c r="F748" s="1"/>
      <c r="G748" s="1"/>
      <c r="H748" s="1"/>
      <c r="I748" s="1"/>
      <c r="J748" s="1"/>
      <c r="K748" s="1"/>
      <c r="L748" s="1"/>
      <c r="M748" s="1"/>
      <c r="N748" s="1"/>
      <c r="O748" s="1"/>
      <c r="P748" s="1"/>
      <c r="Q748" s="1"/>
      <c r="R748" s="1"/>
      <c r="S748" s="1"/>
      <c r="T748" s="1"/>
      <c r="U748" s="2"/>
      <c r="V748" s="1"/>
      <c r="W748" s="1"/>
      <c r="X748" s="1"/>
      <c r="Y748" s="1"/>
      <c r="Z748" s="1"/>
    </row>
    <row r="749" spans="1:26" ht="24.75" customHeight="1">
      <c r="A749" s="1"/>
      <c r="B749" s="1"/>
      <c r="C749" s="1"/>
      <c r="D749" s="1"/>
      <c r="E749" s="1"/>
      <c r="F749" s="1"/>
      <c r="G749" s="1"/>
      <c r="H749" s="1"/>
      <c r="I749" s="1"/>
      <c r="J749" s="1"/>
      <c r="K749" s="1"/>
      <c r="L749" s="1"/>
      <c r="M749" s="1"/>
      <c r="N749" s="1"/>
      <c r="O749" s="1"/>
      <c r="P749" s="1"/>
      <c r="Q749" s="1"/>
      <c r="R749" s="1"/>
      <c r="S749" s="1"/>
      <c r="T749" s="1"/>
      <c r="U749" s="2"/>
      <c r="V749" s="1"/>
      <c r="W749" s="1"/>
      <c r="X749" s="1"/>
      <c r="Y749" s="1"/>
      <c r="Z749" s="1"/>
    </row>
    <row r="750" spans="1:26" ht="24.75" customHeight="1">
      <c r="A750" s="1"/>
      <c r="B750" s="1"/>
      <c r="C750" s="1"/>
      <c r="D750" s="1"/>
      <c r="E750" s="1"/>
      <c r="F750" s="1"/>
      <c r="G750" s="1"/>
      <c r="H750" s="1"/>
      <c r="I750" s="1"/>
      <c r="J750" s="1"/>
      <c r="K750" s="1"/>
      <c r="L750" s="1"/>
      <c r="M750" s="1"/>
      <c r="N750" s="1"/>
      <c r="O750" s="1"/>
      <c r="P750" s="1"/>
      <c r="Q750" s="1"/>
      <c r="R750" s="1"/>
      <c r="S750" s="1"/>
      <c r="T750" s="1"/>
      <c r="U750" s="2"/>
      <c r="V750" s="1"/>
      <c r="W750" s="1"/>
      <c r="X750" s="1"/>
      <c r="Y750" s="1"/>
      <c r="Z750" s="1"/>
    </row>
    <row r="751" spans="1:26" ht="24.75" customHeight="1">
      <c r="A751" s="1"/>
      <c r="B751" s="1"/>
      <c r="C751" s="1"/>
      <c r="D751" s="1"/>
      <c r="E751" s="1"/>
      <c r="F751" s="1"/>
      <c r="G751" s="1"/>
      <c r="H751" s="1"/>
      <c r="I751" s="1"/>
      <c r="J751" s="1"/>
      <c r="K751" s="1"/>
      <c r="L751" s="1"/>
      <c r="M751" s="1"/>
      <c r="N751" s="1"/>
      <c r="O751" s="1"/>
      <c r="P751" s="1"/>
      <c r="Q751" s="1"/>
      <c r="R751" s="1"/>
      <c r="S751" s="1"/>
      <c r="T751" s="1"/>
      <c r="U751" s="2"/>
      <c r="V751" s="1"/>
      <c r="W751" s="1"/>
      <c r="X751" s="1"/>
      <c r="Y751" s="1"/>
      <c r="Z751" s="1"/>
    </row>
    <row r="752" spans="1:26" ht="24.75" customHeight="1">
      <c r="A752" s="1"/>
      <c r="B752" s="1"/>
      <c r="C752" s="1"/>
      <c r="D752" s="1"/>
      <c r="E752" s="1"/>
      <c r="F752" s="1"/>
      <c r="G752" s="1"/>
      <c r="H752" s="1"/>
      <c r="I752" s="1"/>
      <c r="J752" s="1"/>
      <c r="K752" s="1"/>
      <c r="L752" s="1"/>
      <c r="M752" s="1"/>
      <c r="N752" s="1"/>
      <c r="O752" s="1"/>
      <c r="P752" s="1"/>
      <c r="Q752" s="1"/>
      <c r="R752" s="1"/>
      <c r="S752" s="1"/>
      <c r="T752" s="1"/>
      <c r="U752" s="2"/>
      <c r="V752" s="1"/>
      <c r="W752" s="1"/>
      <c r="X752" s="1"/>
      <c r="Y752" s="1"/>
      <c r="Z752" s="1"/>
    </row>
    <row r="753" spans="1:26" ht="24.75" customHeight="1">
      <c r="A753" s="1"/>
      <c r="B753" s="1"/>
      <c r="C753" s="1"/>
      <c r="D753" s="1"/>
      <c r="E753" s="1"/>
      <c r="F753" s="1"/>
      <c r="G753" s="1"/>
      <c r="H753" s="1"/>
      <c r="I753" s="1"/>
      <c r="J753" s="1"/>
      <c r="K753" s="1"/>
      <c r="L753" s="1"/>
      <c r="M753" s="1"/>
      <c r="N753" s="1"/>
      <c r="O753" s="1"/>
      <c r="P753" s="1"/>
      <c r="Q753" s="1"/>
      <c r="R753" s="1"/>
      <c r="S753" s="1"/>
      <c r="T753" s="1"/>
      <c r="U753" s="2"/>
      <c r="V753" s="1"/>
      <c r="W753" s="1"/>
      <c r="X753" s="1"/>
      <c r="Y753" s="1"/>
      <c r="Z753" s="1"/>
    </row>
    <row r="754" spans="1:26" ht="24.75" customHeight="1">
      <c r="A754" s="1"/>
      <c r="B754" s="1"/>
      <c r="C754" s="1"/>
      <c r="D754" s="1"/>
      <c r="E754" s="1"/>
      <c r="F754" s="1"/>
      <c r="G754" s="1"/>
      <c r="H754" s="1"/>
      <c r="I754" s="1"/>
      <c r="J754" s="1"/>
      <c r="K754" s="1"/>
      <c r="L754" s="1"/>
      <c r="M754" s="1"/>
      <c r="N754" s="1"/>
      <c r="O754" s="1"/>
      <c r="P754" s="1"/>
      <c r="Q754" s="1"/>
      <c r="R754" s="1"/>
      <c r="S754" s="1"/>
      <c r="T754" s="1"/>
      <c r="U754" s="2"/>
      <c r="V754" s="1"/>
      <c r="W754" s="1"/>
      <c r="X754" s="1"/>
      <c r="Y754" s="1"/>
      <c r="Z754" s="1"/>
    </row>
    <row r="755" spans="1:26" ht="24.75" customHeight="1">
      <c r="A755" s="1"/>
      <c r="B755" s="1"/>
      <c r="C755" s="1"/>
      <c r="D755" s="1"/>
      <c r="E755" s="1"/>
      <c r="F755" s="1"/>
      <c r="G755" s="1"/>
      <c r="H755" s="1"/>
      <c r="I755" s="1"/>
      <c r="J755" s="1"/>
      <c r="K755" s="1"/>
      <c r="L755" s="1"/>
      <c r="M755" s="1"/>
      <c r="N755" s="1"/>
      <c r="O755" s="1"/>
      <c r="P755" s="1"/>
      <c r="Q755" s="1"/>
      <c r="R755" s="1"/>
      <c r="S755" s="1"/>
      <c r="T755" s="1"/>
      <c r="U755" s="2"/>
      <c r="V755" s="1"/>
      <c r="W755" s="1"/>
      <c r="X755" s="1"/>
      <c r="Y755" s="1"/>
      <c r="Z755" s="1"/>
    </row>
    <row r="756" spans="1:26" ht="24.75" customHeight="1">
      <c r="A756" s="1"/>
      <c r="B756" s="1"/>
      <c r="C756" s="1"/>
      <c r="D756" s="1"/>
      <c r="E756" s="1"/>
      <c r="F756" s="1"/>
      <c r="G756" s="1"/>
      <c r="H756" s="1"/>
      <c r="I756" s="1"/>
      <c r="J756" s="1"/>
      <c r="K756" s="1"/>
      <c r="L756" s="1"/>
      <c r="M756" s="1"/>
      <c r="N756" s="1"/>
      <c r="O756" s="1"/>
      <c r="P756" s="1"/>
      <c r="Q756" s="1"/>
      <c r="R756" s="1"/>
      <c r="S756" s="1"/>
      <c r="T756" s="1"/>
      <c r="U756" s="2"/>
      <c r="V756" s="1"/>
      <c r="W756" s="1"/>
      <c r="X756" s="1"/>
      <c r="Y756" s="1"/>
      <c r="Z756" s="1"/>
    </row>
    <row r="757" spans="1:26" ht="24.75" customHeight="1">
      <c r="A757" s="1"/>
      <c r="B757" s="1"/>
      <c r="C757" s="1"/>
      <c r="D757" s="1"/>
      <c r="E757" s="1"/>
      <c r="F757" s="1"/>
      <c r="G757" s="1"/>
      <c r="H757" s="1"/>
      <c r="I757" s="1"/>
      <c r="J757" s="1"/>
      <c r="K757" s="1"/>
      <c r="L757" s="1"/>
      <c r="M757" s="1"/>
      <c r="N757" s="1"/>
      <c r="O757" s="1"/>
      <c r="P757" s="1"/>
      <c r="Q757" s="1"/>
      <c r="R757" s="1"/>
      <c r="S757" s="1"/>
      <c r="T757" s="1"/>
      <c r="U757" s="2"/>
      <c r="V757" s="1"/>
      <c r="W757" s="1"/>
      <c r="X757" s="1"/>
      <c r="Y757" s="1"/>
      <c r="Z757" s="1"/>
    </row>
    <row r="758" spans="1:26" ht="24.75" customHeight="1">
      <c r="A758" s="1"/>
      <c r="B758" s="1"/>
      <c r="C758" s="1"/>
      <c r="D758" s="1"/>
      <c r="E758" s="1"/>
      <c r="F758" s="1"/>
      <c r="G758" s="1"/>
      <c r="H758" s="1"/>
      <c r="I758" s="1"/>
      <c r="J758" s="1"/>
      <c r="K758" s="1"/>
      <c r="L758" s="1"/>
      <c r="M758" s="1"/>
      <c r="N758" s="1"/>
      <c r="O758" s="1"/>
      <c r="P758" s="1"/>
      <c r="Q758" s="1"/>
      <c r="R758" s="1"/>
      <c r="S758" s="1"/>
      <c r="T758" s="1"/>
      <c r="U758" s="2"/>
      <c r="V758" s="1"/>
      <c r="W758" s="1"/>
      <c r="X758" s="1"/>
      <c r="Y758" s="1"/>
      <c r="Z758" s="1"/>
    </row>
    <row r="759" spans="1:26" ht="24.75" customHeight="1">
      <c r="A759" s="1"/>
      <c r="B759" s="1"/>
      <c r="C759" s="1"/>
      <c r="D759" s="1"/>
      <c r="E759" s="1"/>
      <c r="F759" s="1"/>
      <c r="G759" s="1"/>
      <c r="H759" s="1"/>
      <c r="I759" s="1"/>
      <c r="J759" s="1"/>
      <c r="K759" s="1"/>
      <c r="L759" s="1"/>
      <c r="M759" s="1"/>
      <c r="N759" s="1"/>
      <c r="O759" s="1"/>
      <c r="P759" s="1"/>
      <c r="Q759" s="1"/>
      <c r="R759" s="1"/>
      <c r="S759" s="1"/>
      <c r="T759" s="1"/>
      <c r="U759" s="2"/>
      <c r="V759" s="1"/>
      <c r="W759" s="1"/>
      <c r="X759" s="1"/>
      <c r="Y759" s="1"/>
      <c r="Z759" s="1"/>
    </row>
    <row r="760" spans="1:26" ht="24.75" customHeight="1">
      <c r="A760" s="1"/>
      <c r="B760" s="1"/>
      <c r="C760" s="1"/>
      <c r="D760" s="1"/>
      <c r="E760" s="1"/>
      <c r="F760" s="1"/>
      <c r="G760" s="1"/>
      <c r="H760" s="1"/>
      <c r="I760" s="1"/>
      <c r="J760" s="1"/>
      <c r="K760" s="1"/>
      <c r="L760" s="1"/>
      <c r="M760" s="1"/>
      <c r="N760" s="1"/>
      <c r="O760" s="1"/>
      <c r="P760" s="1"/>
      <c r="Q760" s="1"/>
      <c r="R760" s="1"/>
      <c r="S760" s="1"/>
      <c r="T760" s="1"/>
      <c r="U760" s="2"/>
      <c r="V760" s="1"/>
      <c r="W760" s="1"/>
      <c r="X760" s="1"/>
      <c r="Y760" s="1"/>
      <c r="Z760" s="1"/>
    </row>
    <row r="761" spans="1:26" ht="24.75" customHeight="1">
      <c r="A761" s="1"/>
      <c r="B761" s="1"/>
      <c r="C761" s="1"/>
      <c r="D761" s="1"/>
      <c r="E761" s="1"/>
      <c r="F761" s="1"/>
      <c r="G761" s="1"/>
      <c r="H761" s="1"/>
      <c r="I761" s="1"/>
      <c r="J761" s="1"/>
      <c r="K761" s="1"/>
      <c r="L761" s="1"/>
      <c r="M761" s="1"/>
      <c r="N761" s="1"/>
      <c r="O761" s="1"/>
      <c r="P761" s="1"/>
      <c r="Q761" s="1"/>
      <c r="R761" s="1"/>
      <c r="S761" s="1"/>
      <c r="T761" s="1"/>
      <c r="U761" s="2"/>
      <c r="V761" s="1"/>
      <c r="W761" s="1"/>
      <c r="X761" s="1"/>
      <c r="Y761" s="1"/>
      <c r="Z761" s="1"/>
    </row>
    <row r="762" spans="1:26" ht="24.75" customHeight="1">
      <c r="A762" s="1"/>
      <c r="B762" s="1"/>
      <c r="C762" s="1"/>
      <c r="D762" s="1"/>
      <c r="E762" s="1"/>
      <c r="F762" s="1"/>
      <c r="G762" s="1"/>
      <c r="H762" s="1"/>
      <c r="I762" s="1"/>
      <c r="J762" s="1"/>
      <c r="K762" s="1"/>
      <c r="L762" s="1"/>
      <c r="M762" s="1"/>
      <c r="N762" s="1"/>
      <c r="O762" s="1"/>
      <c r="P762" s="1"/>
      <c r="Q762" s="1"/>
      <c r="R762" s="1"/>
      <c r="S762" s="1"/>
      <c r="T762" s="1"/>
      <c r="U762" s="2"/>
      <c r="V762" s="1"/>
      <c r="W762" s="1"/>
      <c r="X762" s="1"/>
      <c r="Y762" s="1"/>
      <c r="Z762" s="1"/>
    </row>
    <row r="763" spans="1:26" ht="24.75" customHeight="1">
      <c r="A763" s="1"/>
      <c r="B763" s="1"/>
      <c r="C763" s="1"/>
      <c r="D763" s="1"/>
      <c r="E763" s="1"/>
      <c r="F763" s="1"/>
      <c r="G763" s="1"/>
      <c r="H763" s="1"/>
      <c r="I763" s="1"/>
      <c r="J763" s="1"/>
      <c r="K763" s="1"/>
      <c r="L763" s="1"/>
      <c r="M763" s="1"/>
      <c r="N763" s="1"/>
      <c r="O763" s="1"/>
      <c r="P763" s="1"/>
      <c r="Q763" s="1"/>
      <c r="R763" s="1"/>
      <c r="S763" s="1"/>
      <c r="T763" s="1"/>
      <c r="U763" s="2"/>
      <c r="V763" s="1"/>
      <c r="W763" s="1"/>
      <c r="X763" s="1"/>
      <c r="Y763" s="1"/>
      <c r="Z763" s="1"/>
    </row>
    <row r="764" spans="1:26" ht="24.75" customHeight="1">
      <c r="A764" s="1"/>
      <c r="B764" s="1"/>
      <c r="C764" s="1"/>
      <c r="D764" s="1"/>
      <c r="E764" s="1"/>
      <c r="F764" s="1"/>
      <c r="G764" s="1"/>
      <c r="H764" s="1"/>
      <c r="I764" s="1"/>
      <c r="J764" s="1"/>
      <c r="K764" s="1"/>
      <c r="L764" s="1"/>
      <c r="M764" s="1"/>
      <c r="N764" s="1"/>
      <c r="O764" s="1"/>
      <c r="P764" s="1"/>
      <c r="Q764" s="1"/>
      <c r="R764" s="1"/>
      <c r="S764" s="1"/>
      <c r="T764" s="1"/>
      <c r="U764" s="2"/>
      <c r="V764" s="1"/>
      <c r="W764" s="1"/>
      <c r="X764" s="1"/>
      <c r="Y764" s="1"/>
      <c r="Z764" s="1"/>
    </row>
    <row r="765" spans="1:26" ht="24.75" customHeight="1">
      <c r="A765" s="1"/>
      <c r="B765" s="1"/>
      <c r="C765" s="1"/>
      <c r="D765" s="1"/>
      <c r="E765" s="1"/>
      <c r="F765" s="1"/>
      <c r="G765" s="1"/>
      <c r="H765" s="1"/>
      <c r="I765" s="1"/>
      <c r="J765" s="1"/>
      <c r="K765" s="1"/>
      <c r="L765" s="1"/>
      <c r="M765" s="1"/>
      <c r="N765" s="1"/>
      <c r="O765" s="1"/>
      <c r="P765" s="1"/>
      <c r="Q765" s="1"/>
      <c r="R765" s="1"/>
      <c r="S765" s="1"/>
      <c r="T765" s="1"/>
      <c r="U765" s="2"/>
      <c r="V765" s="1"/>
      <c r="W765" s="1"/>
      <c r="X765" s="1"/>
      <c r="Y765" s="1"/>
      <c r="Z765" s="1"/>
    </row>
    <row r="766" spans="1:26" ht="24.75" customHeight="1">
      <c r="A766" s="1"/>
      <c r="B766" s="1"/>
      <c r="C766" s="1"/>
      <c r="D766" s="1"/>
      <c r="E766" s="1"/>
      <c r="F766" s="1"/>
      <c r="G766" s="1"/>
      <c r="H766" s="1"/>
      <c r="I766" s="1"/>
      <c r="J766" s="1"/>
      <c r="K766" s="1"/>
      <c r="L766" s="1"/>
      <c r="M766" s="1"/>
      <c r="N766" s="1"/>
      <c r="O766" s="1"/>
      <c r="P766" s="1"/>
      <c r="Q766" s="1"/>
      <c r="R766" s="1"/>
      <c r="S766" s="1"/>
      <c r="T766" s="1"/>
      <c r="U766" s="2"/>
      <c r="V766" s="1"/>
      <c r="W766" s="1"/>
      <c r="X766" s="1"/>
      <c r="Y766" s="1"/>
      <c r="Z766" s="1"/>
    </row>
    <row r="767" spans="1:26" ht="24.75" customHeight="1">
      <c r="A767" s="1"/>
      <c r="B767" s="1"/>
      <c r="C767" s="1"/>
      <c r="D767" s="1"/>
      <c r="E767" s="1"/>
      <c r="F767" s="1"/>
      <c r="G767" s="1"/>
      <c r="H767" s="1"/>
      <c r="I767" s="1"/>
      <c r="J767" s="1"/>
      <c r="K767" s="1"/>
      <c r="L767" s="1"/>
      <c r="M767" s="1"/>
      <c r="N767" s="1"/>
      <c r="O767" s="1"/>
      <c r="P767" s="1"/>
      <c r="Q767" s="1"/>
      <c r="R767" s="1"/>
      <c r="S767" s="1"/>
      <c r="T767" s="1"/>
      <c r="U767" s="2"/>
      <c r="V767" s="1"/>
      <c r="W767" s="1"/>
      <c r="X767" s="1"/>
      <c r="Y767" s="1"/>
      <c r="Z767" s="1"/>
    </row>
    <row r="768" spans="1:26" ht="24.75" customHeight="1">
      <c r="A768" s="1"/>
      <c r="B768" s="1"/>
      <c r="C768" s="1"/>
      <c r="D768" s="1"/>
      <c r="E768" s="1"/>
      <c r="F768" s="1"/>
      <c r="G768" s="1"/>
      <c r="H768" s="1"/>
      <c r="I768" s="1"/>
      <c r="J768" s="1"/>
      <c r="K768" s="1"/>
      <c r="L768" s="1"/>
      <c r="M768" s="1"/>
      <c r="N768" s="1"/>
      <c r="O768" s="1"/>
      <c r="P768" s="1"/>
      <c r="Q768" s="1"/>
      <c r="R768" s="1"/>
      <c r="S768" s="1"/>
      <c r="T768" s="1"/>
      <c r="U768" s="2"/>
      <c r="V768" s="1"/>
      <c r="W768" s="1"/>
      <c r="X768" s="1"/>
      <c r="Y768" s="1"/>
      <c r="Z768" s="1"/>
    </row>
    <row r="769" spans="1:26" ht="24.75" customHeight="1">
      <c r="A769" s="1"/>
      <c r="B769" s="1"/>
      <c r="C769" s="1"/>
      <c r="D769" s="1"/>
      <c r="E769" s="1"/>
      <c r="F769" s="1"/>
      <c r="G769" s="1"/>
      <c r="H769" s="1"/>
      <c r="I769" s="1"/>
      <c r="J769" s="1"/>
      <c r="K769" s="1"/>
      <c r="L769" s="1"/>
      <c r="M769" s="1"/>
      <c r="N769" s="1"/>
      <c r="O769" s="1"/>
      <c r="P769" s="1"/>
      <c r="Q769" s="1"/>
      <c r="R769" s="1"/>
      <c r="S769" s="1"/>
      <c r="T769" s="1"/>
      <c r="U769" s="2"/>
      <c r="V769" s="1"/>
      <c r="W769" s="1"/>
      <c r="X769" s="1"/>
      <c r="Y769" s="1"/>
      <c r="Z769" s="1"/>
    </row>
    <row r="770" spans="1:26" ht="24.75" customHeight="1">
      <c r="A770" s="1"/>
      <c r="B770" s="1"/>
      <c r="C770" s="1"/>
      <c r="D770" s="1"/>
      <c r="E770" s="1"/>
      <c r="F770" s="1"/>
      <c r="G770" s="1"/>
      <c r="H770" s="1"/>
      <c r="I770" s="1"/>
      <c r="J770" s="1"/>
      <c r="K770" s="1"/>
      <c r="L770" s="1"/>
      <c r="M770" s="1"/>
      <c r="N770" s="1"/>
      <c r="O770" s="1"/>
      <c r="P770" s="1"/>
      <c r="Q770" s="1"/>
      <c r="R770" s="1"/>
      <c r="S770" s="1"/>
      <c r="T770" s="1"/>
      <c r="U770" s="2"/>
      <c r="V770" s="1"/>
      <c r="W770" s="1"/>
      <c r="X770" s="1"/>
      <c r="Y770" s="1"/>
      <c r="Z770" s="1"/>
    </row>
    <row r="771" spans="1:26" ht="24.75" customHeight="1">
      <c r="A771" s="1"/>
      <c r="B771" s="1"/>
      <c r="C771" s="1"/>
      <c r="D771" s="1"/>
      <c r="E771" s="1"/>
      <c r="F771" s="1"/>
      <c r="G771" s="1"/>
      <c r="H771" s="1"/>
      <c r="I771" s="1"/>
      <c r="J771" s="1"/>
      <c r="K771" s="1"/>
      <c r="L771" s="1"/>
      <c r="M771" s="1"/>
      <c r="N771" s="1"/>
      <c r="O771" s="1"/>
      <c r="P771" s="1"/>
      <c r="Q771" s="1"/>
      <c r="R771" s="1"/>
      <c r="S771" s="1"/>
      <c r="T771" s="1"/>
      <c r="U771" s="2"/>
      <c r="V771" s="1"/>
      <c r="W771" s="1"/>
      <c r="X771" s="1"/>
      <c r="Y771" s="1"/>
      <c r="Z771" s="1"/>
    </row>
    <row r="772" spans="1:26" ht="24.75" customHeight="1">
      <c r="A772" s="1"/>
      <c r="B772" s="1"/>
      <c r="C772" s="1"/>
      <c r="D772" s="1"/>
      <c r="E772" s="1"/>
      <c r="F772" s="1"/>
      <c r="G772" s="1"/>
      <c r="H772" s="1"/>
      <c r="I772" s="1"/>
      <c r="J772" s="1"/>
      <c r="K772" s="1"/>
      <c r="L772" s="1"/>
      <c r="M772" s="1"/>
      <c r="N772" s="1"/>
      <c r="O772" s="1"/>
      <c r="P772" s="1"/>
      <c r="Q772" s="1"/>
      <c r="R772" s="1"/>
      <c r="S772" s="1"/>
      <c r="T772" s="1"/>
      <c r="U772" s="2"/>
      <c r="V772" s="1"/>
      <c r="W772" s="1"/>
      <c r="X772" s="1"/>
      <c r="Y772" s="1"/>
      <c r="Z772" s="1"/>
    </row>
    <row r="773" spans="1:26" ht="24.75" customHeight="1">
      <c r="A773" s="1"/>
      <c r="B773" s="1"/>
      <c r="C773" s="1"/>
      <c r="D773" s="1"/>
      <c r="E773" s="1"/>
      <c r="F773" s="1"/>
      <c r="G773" s="1"/>
      <c r="H773" s="1"/>
      <c r="I773" s="1"/>
      <c r="J773" s="1"/>
      <c r="K773" s="1"/>
      <c r="L773" s="1"/>
      <c r="M773" s="1"/>
      <c r="N773" s="1"/>
      <c r="O773" s="1"/>
      <c r="P773" s="1"/>
      <c r="Q773" s="1"/>
      <c r="R773" s="1"/>
      <c r="S773" s="1"/>
      <c r="T773" s="1"/>
      <c r="U773" s="2"/>
      <c r="V773" s="1"/>
      <c r="W773" s="1"/>
      <c r="X773" s="1"/>
      <c r="Y773" s="1"/>
      <c r="Z773" s="1"/>
    </row>
    <row r="774" spans="1:26" ht="24.75" customHeight="1">
      <c r="A774" s="1"/>
      <c r="B774" s="1"/>
      <c r="C774" s="1"/>
      <c r="D774" s="1"/>
      <c r="E774" s="1"/>
      <c r="F774" s="1"/>
      <c r="G774" s="1"/>
      <c r="H774" s="1"/>
      <c r="I774" s="1"/>
      <c r="J774" s="1"/>
      <c r="K774" s="1"/>
      <c r="L774" s="1"/>
      <c r="M774" s="1"/>
      <c r="N774" s="1"/>
      <c r="O774" s="1"/>
      <c r="P774" s="1"/>
      <c r="Q774" s="1"/>
      <c r="R774" s="1"/>
      <c r="S774" s="1"/>
      <c r="T774" s="1"/>
      <c r="U774" s="2"/>
      <c r="V774" s="1"/>
      <c r="W774" s="1"/>
      <c r="X774" s="1"/>
      <c r="Y774" s="1"/>
      <c r="Z774" s="1"/>
    </row>
    <row r="775" spans="1:26" ht="24.75" customHeight="1">
      <c r="A775" s="1"/>
      <c r="B775" s="1"/>
      <c r="C775" s="1"/>
      <c r="D775" s="1"/>
      <c r="E775" s="1"/>
      <c r="F775" s="1"/>
      <c r="G775" s="1"/>
      <c r="H775" s="1"/>
      <c r="I775" s="1"/>
      <c r="J775" s="1"/>
      <c r="K775" s="1"/>
      <c r="L775" s="1"/>
      <c r="M775" s="1"/>
      <c r="N775" s="1"/>
      <c r="O775" s="1"/>
      <c r="P775" s="1"/>
      <c r="Q775" s="1"/>
      <c r="R775" s="1"/>
      <c r="S775" s="1"/>
      <c r="T775" s="1"/>
      <c r="U775" s="2"/>
      <c r="V775" s="1"/>
      <c r="W775" s="1"/>
      <c r="X775" s="1"/>
      <c r="Y775" s="1"/>
      <c r="Z775" s="1"/>
    </row>
    <row r="776" spans="1:26" ht="24.75" customHeight="1">
      <c r="A776" s="1"/>
      <c r="B776" s="1"/>
      <c r="C776" s="1"/>
      <c r="D776" s="1"/>
      <c r="E776" s="1"/>
      <c r="F776" s="1"/>
      <c r="G776" s="1"/>
      <c r="H776" s="1"/>
      <c r="I776" s="1"/>
      <c r="J776" s="1"/>
      <c r="K776" s="1"/>
      <c r="L776" s="1"/>
      <c r="M776" s="1"/>
      <c r="N776" s="1"/>
      <c r="O776" s="1"/>
      <c r="P776" s="1"/>
      <c r="Q776" s="1"/>
      <c r="R776" s="1"/>
      <c r="S776" s="1"/>
      <c r="T776" s="1"/>
      <c r="U776" s="2"/>
      <c r="V776" s="1"/>
      <c r="W776" s="1"/>
      <c r="X776" s="1"/>
      <c r="Y776" s="1"/>
      <c r="Z776" s="1"/>
    </row>
    <row r="777" spans="1:26" ht="24.75" customHeight="1">
      <c r="A777" s="1"/>
      <c r="B777" s="1"/>
      <c r="C777" s="1"/>
      <c r="D777" s="1"/>
      <c r="E777" s="1"/>
      <c r="F777" s="1"/>
      <c r="G777" s="1"/>
      <c r="H777" s="1"/>
      <c r="I777" s="1"/>
      <c r="J777" s="1"/>
      <c r="K777" s="1"/>
      <c r="L777" s="1"/>
      <c r="M777" s="1"/>
      <c r="N777" s="1"/>
      <c r="O777" s="1"/>
      <c r="P777" s="1"/>
      <c r="Q777" s="1"/>
      <c r="R777" s="1"/>
      <c r="S777" s="1"/>
      <c r="T777" s="1"/>
      <c r="U777" s="2"/>
      <c r="V777" s="1"/>
      <c r="W777" s="1"/>
      <c r="X777" s="1"/>
      <c r="Y777" s="1"/>
      <c r="Z777" s="1"/>
    </row>
    <row r="778" spans="1:26" ht="24.75" customHeight="1">
      <c r="A778" s="1"/>
      <c r="B778" s="1"/>
      <c r="C778" s="1"/>
      <c r="D778" s="1"/>
      <c r="E778" s="1"/>
      <c r="F778" s="1"/>
      <c r="G778" s="1"/>
      <c r="H778" s="1"/>
      <c r="I778" s="1"/>
      <c r="J778" s="1"/>
      <c r="K778" s="1"/>
      <c r="L778" s="1"/>
      <c r="M778" s="1"/>
      <c r="N778" s="1"/>
      <c r="O778" s="1"/>
      <c r="P778" s="1"/>
      <c r="Q778" s="1"/>
      <c r="R778" s="1"/>
      <c r="S778" s="1"/>
      <c r="T778" s="1"/>
      <c r="U778" s="2"/>
      <c r="V778" s="1"/>
      <c r="W778" s="1"/>
      <c r="X778" s="1"/>
      <c r="Y778" s="1"/>
      <c r="Z778" s="1"/>
    </row>
    <row r="779" spans="1:26" ht="24.75" customHeight="1">
      <c r="A779" s="1"/>
      <c r="B779" s="1"/>
      <c r="C779" s="1"/>
      <c r="D779" s="1"/>
      <c r="E779" s="1"/>
      <c r="F779" s="1"/>
      <c r="G779" s="1"/>
      <c r="H779" s="1"/>
      <c r="I779" s="1"/>
      <c r="J779" s="1"/>
      <c r="K779" s="1"/>
      <c r="L779" s="1"/>
      <c r="M779" s="1"/>
      <c r="N779" s="1"/>
      <c r="O779" s="1"/>
      <c r="P779" s="1"/>
      <c r="Q779" s="1"/>
      <c r="R779" s="1"/>
      <c r="S779" s="1"/>
      <c r="T779" s="1"/>
      <c r="U779" s="2"/>
      <c r="V779" s="1"/>
      <c r="W779" s="1"/>
      <c r="X779" s="1"/>
      <c r="Y779" s="1"/>
      <c r="Z779" s="1"/>
    </row>
    <row r="780" spans="1:26" ht="24.75" customHeight="1">
      <c r="A780" s="1"/>
      <c r="B780" s="1"/>
      <c r="C780" s="1"/>
      <c r="D780" s="1"/>
      <c r="E780" s="1"/>
      <c r="F780" s="1"/>
      <c r="G780" s="1"/>
      <c r="H780" s="1"/>
      <c r="I780" s="1"/>
      <c r="J780" s="1"/>
      <c r="K780" s="1"/>
      <c r="L780" s="1"/>
      <c r="M780" s="1"/>
      <c r="N780" s="1"/>
      <c r="O780" s="1"/>
      <c r="P780" s="1"/>
      <c r="Q780" s="1"/>
      <c r="R780" s="1"/>
      <c r="S780" s="1"/>
      <c r="T780" s="1"/>
      <c r="U780" s="2"/>
      <c r="V780" s="1"/>
      <c r="W780" s="1"/>
      <c r="X780" s="1"/>
      <c r="Y780" s="1"/>
      <c r="Z780" s="1"/>
    </row>
    <row r="781" spans="1:26" ht="24.75" customHeight="1">
      <c r="A781" s="1"/>
      <c r="B781" s="1"/>
      <c r="C781" s="1"/>
      <c r="D781" s="1"/>
      <c r="E781" s="1"/>
      <c r="F781" s="1"/>
      <c r="G781" s="1"/>
      <c r="H781" s="1"/>
      <c r="I781" s="1"/>
      <c r="J781" s="1"/>
      <c r="K781" s="1"/>
      <c r="L781" s="1"/>
      <c r="M781" s="1"/>
      <c r="N781" s="1"/>
      <c r="O781" s="1"/>
      <c r="P781" s="1"/>
      <c r="Q781" s="1"/>
      <c r="R781" s="1"/>
      <c r="S781" s="1"/>
      <c r="T781" s="1"/>
      <c r="U781" s="2"/>
      <c r="V781" s="1"/>
      <c r="W781" s="1"/>
      <c r="X781" s="1"/>
      <c r="Y781" s="1"/>
      <c r="Z781" s="1"/>
    </row>
    <row r="782" spans="1:26" ht="24.75" customHeight="1">
      <c r="A782" s="1"/>
      <c r="B782" s="1"/>
      <c r="C782" s="1"/>
      <c r="D782" s="1"/>
      <c r="E782" s="1"/>
      <c r="F782" s="1"/>
      <c r="G782" s="1"/>
      <c r="H782" s="1"/>
      <c r="I782" s="1"/>
      <c r="J782" s="1"/>
      <c r="K782" s="1"/>
      <c r="L782" s="1"/>
      <c r="M782" s="1"/>
      <c r="N782" s="1"/>
      <c r="O782" s="1"/>
      <c r="P782" s="1"/>
      <c r="Q782" s="1"/>
      <c r="R782" s="1"/>
      <c r="S782" s="1"/>
      <c r="T782" s="1"/>
      <c r="U782" s="2"/>
      <c r="V782" s="1"/>
      <c r="W782" s="1"/>
      <c r="X782" s="1"/>
      <c r="Y782" s="1"/>
      <c r="Z782" s="1"/>
    </row>
    <row r="783" spans="1:26" ht="24.75" customHeight="1">
      <c r="A783" s="1"/>
      <c r="B783" s="1"/>
      <c r="C783" s="1"/>
      <c r="D783" s="1"/>
      <c r="E783" s="1"/>
      <c r="F783" s="1"/>
      <c r="G783" s="1"/>
      <c r="H783" s="1"/>
      <c r="I783" s="1"/>
      <c r="J783" s="1"/>
      <c r="K783" s="1"/>
      <c r="L783" s="1"/>
      <c r="M783" s="1"/>
      <c r="N783" s="1"/>
      <c r="O783" s="1"/>
      <c r="P783" s="1"/>
      <c r="Q783" s="1"/>
      <c r="R783" s="1"/>
      <c r="S783" s="1"/>
      <c r="T783" s="1"/>
      <c r="U783" s="2"/>
      <c r="V783" s="1"/>
      <c r="W783" s="1"/>
      <c r="X783" s="1"/>
      <c r="Y783" s="1"/>
      <c r="Z783" s="1"/>
    </row>
    <row r="784" spans="1:26" ht="24.75" customHeight="1">
      <c r="A784" s="1"/>
      <c r="B784" s="1"/>
      <c r="C784" s="1"/>
      <c r="D784" s="1"/>
      <c r="E784" s="1"/>
      <c r="F784" s="1"/>
      <c r="G784" s="1"/>
      <c r="H784" s="1"/>
      <c r="I784" s="1"/>
      <c r="J784" s="1"/>
      <c r="K784" s="1"/>
      <c r="L784" s="1"/>
      <c r="M784" s="1"/>
      <c r="N784" s="1"/>
      <c r="O784" s="1"/>
      <c r="P784" s="1"/>
      <c r="Q784" s="1"/>
      <c r="R784" s="1"/>
      <c r="S784" s="1"/>
      <c r="T784" s="1"/>
      <c r="U784" s="2"/>
      <c r="V784" s="1"/>
      <c r="W784" s="1"/>
      <c r="X784" s="1"/>
      <c r="Y784" s="1"/>
      <c r="Z784" s="1"/>
    </row>
    <row r="785" spans="1:26" ht="24.75" customHeight="1">
      <c r="A785" s="1"/>
      <c r="B785" s="1"/>
      <c r="C785" s="1"/>
      <c r="D785" s="1"/>
      <c r="E785" s="1"/>
      <c r="F785" s="1"/>
      <c r="G785" s="1"/>
      <c r="H785" s="1"/>
      <c r="I785" s="1"/>
      <c r="J785" s="1"/>
      <c r="K785" s="1"/>
      <c r="L785" s="1"/>
      <c r="M785" s="1"/>
      <c r="N785" s="1"/>
      <c r="O785" s="1"/>
      <c r="P785" s="1"/>
      <c r="Q785" s="1"/>
      <c r="R785" s="1"/>
      <c r="S785" s="1"/>
      <c r="T785" s="1"/>
      <c r="U785" s="2"/>
      <c r="V785" s="1"/>
      <c r="W785" s="1"/>
      <c r="X785" s="1"/>
      <c r="Y785" s="1"/>
      <c r="Z785" s="1"/>
    </row>
    <row r="786" spans="1:26" ht="24.75" customHeight="1">
      <c r="A786" s="1"/>
      <c r="B786" s="1"/>
      <c r="C786" s="1"/>
      <c r="D786" s="1"/>
      <c r="E786" s="1"/>
      <c r="F786" s="1"/>
      <c r="G786" s="1"/>
      <c r="H786" s="1"/>
      <c r="I786" s="1"/>
      <c r="J786" s="1"/>
      <c r="K786" s="1"/>
      <c r="L786" s="1"/>
      <c r="M786" s="1"/>
      <c r="N786" s="1"/>
      <c r="O786" s="1"/>
      <c r="P786" s="1"/>
      <c r="Q786" s="1"/>
      <c r="R786" s="1"/>
      <c r="S786" s="1"/>
      <c r="T786" s="1"/>
      <c r="U786" s="2"/>
      <c r="V786" s="1"/>
      <c r="W786" s="1"/>
      <c r="X786" s="1"/>
      <c r="Y786" s="1"/>
      <c r="Z786" s="1"/>
    </row>
    <row r="787" spans="1:26" ht="24.75" customHeight="1">
      <c r="A787" s="1"/>
      <c r="B787" s="1"/>
      <c r="C787" s="1"/>
      <c r="D787" s="1"/>
      <c r="E787" s="1"/>
      <c r="F787" s="1"/>
      <c r="G787" s="1"/>
      <c r="H787" s="1"/>
      <c r="I787" s="1"/>
      <c r="J787" s="1"/>
      <c r="K787" s="1"/>
      <c r="L787" s="1"/>
      <c r="M787" s="1"/>
      <c r="N787" s="1"/>
      <c r="O787" s="1"/>
      <c r="P787" s="1"/>
      <c r="Q787" s="1"/>
      <c r="R787" s="1"/>
      <c r="S787" s="1"/>
      <c r="T787" s="1"/>
      <c r="U787" s="2"/>
      <c r="V787" s="1"/>
      <c r="W787" s="1"/>
      <c r="X787" s="1"/>
      <c r="Y787" s="1"/>
      <c r="Z787" s="1"/>
    </row>
    <row r="788" spans="1:26" ht="24.75" customHeight="1">
      <c r="A788" s="1"/>
      <c r="B788" s="1"/>
      <c r="C788" s="1"/>
      <c r="D788" s="1"/>
      <c r="E788" s="1"/>
      <c r="F788" s="1"/>
      <c r="G788" s="1"/>
      <c r="H788" s="1"/>
      <c r="I788" s="1"/>
      <c r="J788" s="1"/>
      <c r="K788" s="1"/>
      <c r="L788" s="1"/>
      <c r="M788" s="1"/>
      <c r="N788" s="1"/>
      <c r="O788" s="1"/>
      <c r="P788" s="1"/>
      <c r="Q788" s="1"/>
      <c r="R788" s="1"/>
      <c r="S788" s="1"/>
      <c r="T788" s="1"/>
      <c r="U788" s="2"/>
      <c r="V788" s="1"/>
      <c r="W788" s="1"/>
      <c r="X788" s="1"/>
      <c r="Y788" s="1"/>
      <c r="Z788" s="1"/>
    </row>
    <row r="789" spans="1:26" ht="24.75" customHeight="1">
      <c r="A789" s="1"/>
      <c r="B789" s="1"/>
      <c r="C789" s="1"/>
      <c r="D789" s="1"/>
      <c r="E789" s="1"/>
      <c r="F789" s="1"/>
      <c r="G789" s="1"/>
      <c r="H789" s="1"/>
      <c r="I789" s="1"/>
      <c r="J789" s="1"/>
      <c r="K789" s="1"/>
      <c r="L789" s="1"/>
      <c r="M789" s="1"/>
      <c r="N789" s="1"/>
      <c r="O789" s="1"/>
      <c r="P789" s="1"/>
      <c r="Q789" s="1"/>
      <c r="R789" s="1"/>
      <c r="S789" s="1"/>
      <c r="T789" s="1"/>
      <c r="U789" s="2"/>
      <c r="V789" s="1"/>
      <c r="W789" s="1"/>
      <c r="X789" s="1"/>
      <c r="Y789" s="1"/>
      <c r="Z789" s="1"/>
    </row>
    <row r="790" spans="1:26" ht="24.75" customHeight="1">
      <c r="A790" s="1"/>
      <c r="B790" s="1"/>
      <c r="C790" s="1"/>
      <c r="D790" s="1"/>
      <c r="E790" s="1"/>
      <c r="F790" s="1"/>
      <c r="G790" s="1"/>
      <c r="H790" s="1"/>
      <c r="I790" s="1"/>
      <c r="J790" s="1"/>
      <c r="K790" s="1"/>
      <c r="L790" s="1"/>
      <c r="M790" s="1"/>
      <c r="N790" s="1"/>
      <c r="O790" s="1"/>
      <c r="P790" s="1"/>
      <c r="Q790" s="1"/>
      <c r="R790" s="1"/>
      <c r="S790" s="1"/>
      <c r="T790" s="1"/>
      <c r="U790" s="2"/>
      <c r="V790" s="1"/>
      <c r="W790" s="1"/>
      <c r="X790" s="1"/>
      <c r="Y790" s="1"/>
      <c r="Z790" s="1"/>
    </row>
    <row r="791" spans="1:26" ht="24.75" customHeight="1">
      <c r="A791" s="1"/>
      <c r="B791" s="1"/>
      <c r="C791" s="1"/>
      <c r="D791" s="1"/>
      <c r="E791" s="1"/>
      <c r="F791" s="1"/>
      <c r="G791" s="1"/>
      <c r="H791" s="1"/>
      <c r="I791" s="1"/>
      <c r="J791" s="1"/>
      <c r="K791" s="1"/>
      <c r="L791" s="1"/>
      <c r="M791" s="1"/>
      <c r="N791" s="1"/>
      <c r="O791" s="1"/>
      <c r="P791" s="1"/>
      <c r="Q791" s="1"/>
      <c r="R791" s="1"/>
      <c r="S791" s="1"/>
      <c r="T791" s="1"/>
      <c r="U791" s="2"/>
      <c r="V791" s="1"/>
      <c r="W791" s="1"/>
      <c r="X791" s="1"/>
      <c r="Y791" s="1"/>
      <c r="Z791" s="1"/>
    </row>
    <row r="792" spans="1:26" ht="24.75" customHeight="1">
      <c r="A792" s="1"/>
      <c r="B792" s="1"/>
      <c r="C792" s="1"/>
      <c r="D792" s="1"/>
      <c r="E792" s="1"/>
      <c r="F792" s="1"/>
      <c r="G792" s="1"/>
      <c r="H792" s="1"/>
      <c r="I792" s="1"/>
      <c r="J792" s="1"/>
      <c r="K792" s="1"/>
      <c r="L792" s="1"/>
      <c r="M792" s="1"/>
      <c r="N792" s="1"/>
      <c r="O792" s="1"/>
      <c r="P792" s="1"/>
      <c r="Q792" s="1"/>
      <c r="R792" s="1"/>
      <c r="S792" s="1"/>
      <c r="T792" s="1"/>
      <c r="U792" s="2"/>
      <c r="V792" s="1"/>
      <c r="W792" s="1"/>
      <c r="X792" s="1"/>
      <c r="Y792" s="1"/>
      <c r="Z792" s="1"/>
    </row>
    <row r="793" spans="1:26" ht="24.75" customHeight="1">
      <c r="A793" s="1"/>
      <c r="B793" s="1"/>
      <c r="C793" s="1"/>
      <c r="D793" s="1"/>
      <c r="E793" s="1"/>
      <c r="F793" s="1"/>
      <c r="G793" s="1"/>
      <c r="H793" s="1"/>
      <c r="I793" s="1"/>
      <c r="J793" s="1"/>
      <c r="K793" s="1"/>
      <c r="L793" s="1"/>
      <c r="M793" s="1"/>
      <c r="N793" s="1"/>
      <c r="O793" s="1"/>
      <c r="P793" s="1"/>
      <c r="Q793" s="1"/>
      <c r="R793" s="1"/>
      <c r="S793" s="1"/>
      <c r="T793" s="1"/>
      <c r="U793" s="2"/>
      <c r="V793" s="1"/>
      <c r="W793" s="1"/>
      <c r="X793" s="1"/>
      <c r="Y793" s="1"/>
      <c r="Z793" s="1"/>
    </row>
    <row r="794" spans="1:26" ht="24.75" customHeight="1">
      <c r="A794" s="1"/>
      <c r="B794" s="1"/>
      <c r="C794" s="1"/>
      <c r="D794" s="1"/>
      <c r="E794" s="1"/>
      <c r="F794" s="1"/>
      <c r="G794" s="1"/>
      <c r="H794" s="1"/>
      <c r="I794" s="1"/>
      <c r="J794" s="1"/>
      <c r="K794" s="1"/>
      <c r="L794" s="1"/>
      <c r="M794" s="1"/>
      <c r="N794" s="1"/>
      <c r="O794" s="1"/>
      <c r="P794" s="1"/>
      <c r="Q794" s="1"/>
      <c r="R794" s="1"/>
      <c r="S794" s="1"/>
      <c r="T794" s="1"/>
      <c r="U794" s="2"/>
      <c r="V794" s="1"/>
      <c r="W794" s="1"/>
      <c r="X794" s="1"/>
      <c r="Y794" s="1"/>
      <c r="Z794" s="1"/>
    </row>
    <row r="795" spans="1:26" ht="24.75" customHeight="1">
      <c r="A795" s="1"/>
      <c r="B795" s="1"/>
      <c r="C795" s="1"/>
      <c r="D795" s="1"/>
      <c r="E795" s="1"/>
      <c r="F795" s="1"/>
      <c r="G795" s="1"/>
      <c r="H795" s="1"/>
      <c r="I795" s="1"/>
      <c r="J795" s="1"/>
      <c r="K795" s="1"/>
      <c r="L795" s="1"/>
      <c r="M795" s="1"/>
      <c r="N795" s="1"/>
      <c r="O795" s="1"/>
      <c r="P795" s="1"/>
      <c r="Q795" s="1"/>
      <c r="R795" s="1"/>
      <c r="S795" s="1"/>
      <c r="T795" s="1"/>
      <c r="U795" s="2"/>
      <c r="V795" s="1"/>
      <c r="W795" s="1"/>
      <c r="X795" s="1"/>
      <c r="Y795" s="1"/>
      <c r="Z795" s="1"/>
    </row>
    <row r="796" spans="1:26" ht="24.75" customHeight="1">
      <c r="A796" s="1"/>
      <c r="B796" s="1"/>
      <c r="C796" s="1"/>
      <c r="D796" s="1"/>
      <c r="E796" s="1"/>
      <c r="F796" s="1"/>
      <c r="G796" s="1"/>
      <c r="H796" s="1"/>
      <c r="I796" s="1"/>
      <c r="J796" s="1"/>
      <c r="K796" s="1"/>
      <c r="L796" s="1"/>
      <c r="M796" s="1"/>
      <c r="N796" s="1"/>
      <c r="O796" s="1"/>
      <c r="P796" s="1"/>
      <c r="Q796" s="1"/>
      <c r="R796" s="1"/>
      <c r="S796" s="1"/>
      <c r="T796" s="1"/>
      <c r="U796" s="2"/>
      <c r="V796" s="1"/>
      <c r="W796" s="1"/>
      <c r="X796" s="1"/>
      <c r="Y796" s="1"/>
      <c r="Z796" s="1"/>
    </row>
    <row r="797" spans="1:26" ht="24.75" customHeight="1">
      <c r="A797" s="1"/>
      <c r="B797" s="1"/>
      <c r="C797" s="1"/>
      <c r="D797" s="1"/>
      <c r="E797" s="1"/>
      <c r="F797" s="1"/>
      <c r="G797" s="1"/>
      <c r="H797" s="1"/>
      <c r="I797" s="1"/>
      <c r="J797" s="1"/>
      <c r="K797" s="1"/>
      <c r="L797" s="1"/>
      <c r="M797" s="1"/>
      <c r="N797" s="1"/>
      <c r="O797" s="1"/>
      <c r="P797" s="1"/>
      <c r="Q797" s="1"/>
      <c r="R797" s="1"/>
      <c r="S797" s="1"/>
      <c r="T797" s="1"/>
      <c r="U797" s="2"/>
      <c r="V797" s="1"/>
      <c r="W797" s="1"/>
      <c r="X797" s="1"/>
      <c r="Y797" s="1"/>
      <c r="Z797" s="1"/>
    </row>
    <row r="798" spans="1:26" ht="24.75" customHeight="1">
      <c r="A798" s="1"/>
      <c r="B798" s="1"/>
      <c r="C798" s="1"/>
      <c r="D798" s="1"/>
      <c r="E798" s="1"/>
      <c r="F798" s="1"/>
      <c r="G798" s="1"/>
      <c r="H798" s="1"/>
      <c r="I798" s="1"/>
      <c r="J798" s="1"/>
      <c r="K798" s="1"/>
      <c r="L798" s="1"/>
      <c r="M798" s="1"/>
      <c r="N798" s="1"/>
      <c r="O798" s="1"/>
      <c r="P798" s="1"/>
      <c r="Q798" s="1"/>
      <c r="R798" s="1"/>
      <c r="S798" s="1"/>
      <c r="T798" s="1"/>
      <c r="U798" s="2"/>
      <c r="V798" s="1"/>
      <c r="W798" s="1"/>
      <c r="X798" s="1"/>
      <c r="Y798" s="1"/>
      <c r="Z798" s="1"/>
    </row>
    <row r="799" spans="1:26" ht="24.75" customHeight="1">
      <c r="A799" s="1"/>
      <c r="B799" s="1"/>
      <c r="C799" s="1"/>
      <c r="D799" s="1"/>
      <c r="E799" s="1"/>
      <c r="F799" s="1"/>
      <c r="G799" s="1"/>
      <c r="H799" s="1"/>
      <c r="I799" s="1"/>
      <c r="J799" s="1"/>
      <c r="K799" s="1"/>
      <c r="L799" s="1"/>
      <c r="M799" s="1"/>
      <c r="N799" s="1"/>
      <c r="O799" s="1"/>
      <c r="P799" s="1"/>
      <c r="Q799" s="1"/>
      <c r="R799" s="1"/>
      <c r="S799" s="1"/>
      <c r="T799" s="1"/>
      <c r="U799" s="2"/>
      <c r="V799" s="1"/>
      <c r="W799" s="1"/>
      <c r="X799" s="1"/>
      <c r="Y799" s="1"/>
      <c r="Z799" s="1"/>
    </row>
    <row r="800" spans="1:26" ht="24.75" customHeight="1">
      <c r="A800" s="1"/>
      <c r="B800" s="1"/>
      <c r="C800" s="1"/>
      <c r="D800" s="1"/>
      <c r="E800" s="1"/>
      <c r="F800" s="1"/>
      <c r="G800" s="1"/>
      <c r="H800" s="1"/>
      <c r="I800" s="1"/>
      <c r="J800" s="1"/>
      <c r="K800" s="1"/>
      <c r="L800" s="1"/>
      <c r="M800" s="1"/>
      <c r="N800" s="1"/>
      <c r="O800" s="1"/>
      <c r="P800" s="1"/>
      <c r="Q800" s="1"/>
      <c r="R800" s="1"/>
      <c r="S800" s="1"/>
      <c r="T800" s="1"/>
      <c r="U800" s="2"/>
      <c r="V800" s="1"/>
      <c r="W800" s="1"/>
      <c r="X800" s="1"/>
      <c r="Y800" s="1"/>
      <c r="Z800" s="1"/>
    </row>
    <row r="801" spans="1:26" ht="24.75" customHeight="1">
      <c r="A801" s="1"/>
      <c r="B801" s="1"/>
      <c r="C801" s="1"/>
      <c r="D801" s="1"/>
      <c r="E801" s="1"/>
      <c r="F801" s="1"/>
      <c r="G801" s="1"/>
      <c r="H801" s="1"/>
      <c r="I801" s="1"/>
      <c r="J801" s="1"/>
      <c r="K801" s="1"/>
      <c r="L801" s="1"/>
      <c r="M801" s="1"/>
      <c r="N801" s="1"/>
      <c r="O801" s="1"/>
      <c r="P801" s="1"/>
      <c r="Q801" s="1"/>
      <c r="R801" s="1"/>
      <c r="S801" s="1"/>
      <c r="T801" s="1"/>
      <c r="U801" s="2"/>
      <c r="V801" s="1"/>
      <c r="W801" s="1"/>
      <c r="X801" s="1"/>
      <c r="Y801" s="1"/>
      <c r="Z801" s="1"/>
    </row>
    <row r="802" spans="1:26" ht="24.75" customHeight="1">
      <c r="A802" s="1"/>
      <c r="B802" s="1"/>
      <c r="C802" s="1"/>
      <c r="D802" s="1"/>
      <c r="E802" s="1"/>
      <c r="F802" s="1"/>
      <c r="G802" s="1"/>
      <c r="H802" s="1"/>
      <c r="I802" s="1"/>
      <c r="J802" s="1"/>
      <c r="K802" s="1"/>
      <c r="L802" s="1"/>
      <c r="M802" s="1"/>
      <c r="N802" s="1"/>
      <c r="O802" s="1"/>
      <c r="P802" s="1"/>
      <c r="Q802" s="1"/>
      <c r="R802" s="1"/>
      <c r="S802" s="1"/>
      <c r="T802" s="1"/>
      <c r="U802" s="2"/>
      <c r="V802" s="1"/>
      <c r="W802" s="1"/>
      <c r="X802" s="1"/>
      <c r="Y802" s="1"/>
      <c r="Z802" s="1"/>
    </row>
    <row r="803" spans="1:26" ht="24.75" customHeight="1">
      <c r="A803" s="1"/>
      <c r="B803" s="1"/>
      <c r="C803" s="1"/>
      <c r="D803" s="1"/>
      <c r="E803" s="1"/>
      <c r="F803" s="1"/>
      <c r="G803" s="1"/>
      <c r="H803" s="1"/>
      <c r="I803" s="1"/>
      <c r="J803" s="1"/>
      <c r="K803" s="1"/>
      <c r="L803" s="1"/>
      <c r="M803" s="1"/>
      <c r="N803" s="1"/>
      <c r="O803" s="1"/>
      <c r="P803" s="1"/>
      <c r="Q803" s="1"/>
      <c r="R803" s="1"/>
      <c r="S803" s="1"/>
      <c r="T803" s="1"/>
      <c r="U803" s="2"/>
      <c r="V803" s="1"/>
      <c r="W803" s="1"/>
      <c r="X803" s="1"/>
      <c r="Y803" s="1"/>
      <c r="Z803" s="1"/>
    </row>
    <row r="804" spans="1:26" ht="24.75" customHeight="1">
      <c r="A804" s="1"/>
      <c r="B804" s="1"/>
      <c r="C804" s="1"/>
      <c r="D804" s="1"/>
      <c r="E804" s="1"/>
      <c r="F804" s="1"/>
      <c r="G804" s="1"/>
      <c r="H804" s="1"/>
      <c r="I804" s="1"/>
      <c r="J804" s="1"/>
      <c r="K804" s="1"/>
      <c r="L804" s="1"/>
      <c r="M804" s="1"/>
      <c r="N804" s="1"/>
      <c r="O804" s="1"/>
      <c r="P804" s="1"/>
      <c r="Q804" s="1"/>
      <c r="R804" s="1"/>
      <c r="S804" s="1"/>
      <c r="T804" s="1"/>
      <c r="U804" s="2"/>
      <c r="V804" s="1"/>
      <c r="W804" s="1"/>
      <c r="X804" s="1"/>
      <c r="Y804" s="1"/>
      <c r="Z804" s="1"/>
    </row>
    <row r="805" spans="1:26" ht="24.75" customHeight="1">
      <c r="A805" s="1"/>
      <c r="B805" s="1"/>
      <c r="C805" s="1"/>
      <c r="D805" s="1"/>
      <c r="E805" s="1"/>
      <c r="F805" s="1"/>
      <c r="G805" s="1"/>
      <c r="H805" s="1"/>
      <c r="I805" s="1"/>
      <c r="J805" s="1"/>
      <c r="K805" s="1"/>
      <c r="L805" s="1"/>
      <c r="M805" s="1"/>
      <c r="N805" s="1"/>
      <c r="O805" s="1"/>
      <c r="P805" s="1"/>
      <c r="Q805" s="1"/>
      <c r="R805" s="1"/>
      <c r="S805" s="1"/>
      <c r="T805" s="1"/>
      <c r="U805" s="2"/>
      <c r="V805" s="1"/>
      <c r="W805" s="1"/>
      <c r="X805" s="1"/>
      <c r="Y805" s="1"/>
      <c r="Z805" s="1"/>
    </row>
    <row r="806" spans="1:26" ht="24.75" customHeight="1">
      <c r="A806" s="1"/>
      <c r="B806" s="1"/>
      <c r="C806" s="1"/>
      <c r="D806" s="1"/>
      <c r="E806" s="1"/>
      <c r="F806" s="1"/>
      <c r="G806" s="1"/>
      <c r="H806" s="1"/>
      <c r="I806" s="1"/>
      <c r="J806" s="1"/>
      <c r="K806" s="1"/>
      <c r="L806" s="1"/>
      <c r="M806" s="1"/>
      <c r="N806" s="1"/>
      <c r="O806" s="1"/>
      <c r="P806" s="1"/>
      <c r="Q806" s="1"/>
      <c r="R806" s="1"/>
      <c r="S806" s="1"/>
      <c r="T806" s="1"/>
      <c r="U806" s="2"/>
      <c r="V806" s="1"/>
      <c r="W806" s="1"/>
      <c r="X806" s="1"/>
      <c r="Y806" s="1"/>
      <c r="Z806" s="1"/>
    </row>
    <row r="807" spans="1:26" ht="24.75" customHeight="1">
      <c r="A807" s="1"/>
      <c r="B807" s="1"/>
      <c r="C807" s="1"/>
      <c r="D807" s="1"/>
      <c r="E807" s="1"/>
      <c r="F807" s="1"/>
      <c r="G807" s="1"/>
      <c r="H807" s="1"/>
      <c r="I807" s="1"/>
      <c r="J807" s="1"/>
      <c r="K807" s="1"/>
      <c r="L807" s="1"/>
      <c r="M807" s="1"/>
      <c r="N807" s="1"/>
      <c r="O807" s="1"/>
      <c r="P807" s="1"/>
      <c r="Q807" s="1"/>
      <c r="R807" s="1"/>
      <c r="S807" s="1"/>
      <c r="T807" s="1"/>
      <c r="U807" s="2"/>
      <c r="V807" s="1"/>
      <c r="W807" s="1"/>
      <c r="X807" s="1"/>
      <c r="Y807" s="1"/>
      <c r="Z807" s="1"/>
    </row>
    <row r="808" spans="1:26" ht="24.75" customHeight="1">
      <c r="A808" s="1"/>
      <c r="B808" s="1"/>
      <c r="C808" s="1"/>
      <c r="D808" s="1"/>
      <c r="E808" s="1"/>
      <c r="F808" s="1"/>
      <c r="G808" s="1"/>
      <c r="H808" s="1"/>
      <c r="I808" s="1"/>
      <c r="J808" s="1"/>
      <c r="K808" s="1"/>
      <c r="L808" s="1"/>
      <c r="M808" s="1"/>
      <c r="N808" s="1"/>
      <c r="O808" s="1"/>
      <c r="P808" s="1"/>
      <c r="Q808" s="1"/>
      <c r="R808" s="1"/>
      <c r="S808" s="1"/>
      <c r="T808" s="1"/>
      <c r="U808" s="2"/>
      <c r="V808" s="1"/>
      <c r="W808" s="1"/>
      <c r="X808" s="1"/>
      <c r="Y808" s="1"/>
      <c r="Z808" s="1"/>
    </row>
    <row r="809" spans="1:26" ht="24.75" customHeight="1">
      <c r="A809" s="1"/>
      <c r="B809" s="1"/>
      <c r="C809" s="1"/>
      <c r="D809" s="1"/>
      <c r="E809" s="1"/>
      <c r="F809" s="1"/>
      <c r="G809" s="1"/>
      <c r="H809" s="1"/>
      <c r="I809" s="1"/>
      <c r="J809" s="1"/>
      <c r="K809" s="1"/>
      <c r="L809" s="1"/>
      <c r="M809" s="1"/>
      <c r="N809" s="1"/>
      <c r="O809" s="1"/>
      <c r="P809" s="1"/>
      <c r="Q809" s="1"/>
      <c r="R809" s="1"/>
      <c r="S809" s="1"/>
      <c r="T809" s="1"/>
      <c r="U809" s="2"/>
      <c r="V809" s="1"/>
      <c r="W809" s="1"/>
      <c r="X809" s="1"/>
      <c r="Y809" s="1"/>
      <c r="Z809" s="1"/>
    </row>
    <row r="810" spans="1:26" ht="24.75" customHeight="1">
      <c r="A810" s="1"/>
      <c r="B810" s="1"/>
      <c r="C810" s="1"/>
      <c r="D810" s="1"/>
      <c r="E810" s="1"/>
      <c r="F810" s="1"/>
      <c r="G810" s="1"/>
      <c r="H810" s="1"/>
      <c r="I810" s="1"/>
      <c r="J810" s="1"/>
      <c r="K810" s="1"/>
      <c r="L810" s="1"/>
      <c r="M810" s="1"/>
      <c r="N810" s="1"/>
      <c r="O810" s="1"/>
      <c r="P810" s="1"/>
      <c r="Q810" s="1"/>
      <c r="R810" s="1"/>
      <c r="S810" s="1"/>
      <c r="T810" s="1"/>
      <c r="U810" s="2"/>
      <c r="V810" s="1"/>
      <c r="W810" s="1"/>
      <c r="X810" s="1"/>
      <c r="Y810" s="1"/>
      <c r="Z810" s="1"/>
    </row>
    <row r="811" spans="1:26" ht="24.75" customHeight="1">
      <c r="A811" s="1"/>
      <c r="B811" s="1"/>
      <c r="C811" s="1"/>
      <c r="D811" s="1"/>
      <c r="E811" s="1"/>
      <c r="F811" s="1"/>
      <c r="G811" s="1"/>
      <c r="H811" s="1"/>
      <c r="I811" s="1"/>
      <c r="J811" s="1"/>
      <c r="K811" s="1"/>
      <c r="L811" s="1"/>
      <c r="M811" s="1"/>
      <c r="N811" s="1"/>
      <c r="O811" s="1"/>
      <c r="P811" s="1"/>
      <c r="Q811" s="1"/>
      <c r="R811" s="1"/>
      <c r="S811" s="1"/>
      <c r="T811" s="1"/>
      <c r="U811" s="2"/>
      <c r="V811" s="1"/>
      <c r="W811" s="1"/>
      <c r="X811" s="1"/>
      <c r="Y811" s="1"/>
      <c r="Z811" s="1"/>
    </row>
    <row r="812" spans="1:26" ht="24.75" customHeight="1">
      <c r="A812" s="1"/>
      <c r="B812" s="1"/>
      <c r="C812" s="1"/>
      <c r="D812" s="1"/>
      <c r="E812" s="1"/>
      <c r="F812" s="1"/>
      <c r="G812" s="1"/>
      <c r="H812" s="1"/>
      <c r="I812" s="1"/>
      <c r="J812" s="1"/>
      <c r="K812" s="1"/>
      <c r="L812" s="1"/>
      <c r="M812" s="1"/>
      <c r="N812" s="1"/>
      <c r="O812" s="1"/>
      <c r="P812" s="1"/>
      <c r="Q812" s="1"/>
      <c r="R812" s="1"/>
      <c r="S812" s="1"/>
      <c r="T812" s="1"/>
      <c r="U812" s="2"/>
      <c r="V812" s="1"/>
      <c r="W812" s="1"/>
      <c r="X812" s="1"/>
      <c r="Y812" s="1"/>
      <c r="Z812" s="1"/>
    </row>
    <row r="813" spans="1:26" ht="24.75" customHeight="1">
      <c r="A813" s="1"/>
      <c r="B813" s="1"/>
      <c r="C813" s="1"/>
      <c r="D813" s="1"/>
      <c r="E813" s="1"/>
      <c r="F813" s="1"/>
      <c r="G813" s="1"/>
      <c r="H813" s="1"/>
      <c r="I813" s="1"/>
      <c r="J813" s="1"/>
      <c r="K813" s="1"/>
      <c r="L813" s="1"/>
      <c r="M813" s="1"/>
      <c r="N813" s="1"/>
      <c r="O813" s="1"/>
      <c r="P813" s="1"/>
      <c r="Q813" s="1"/>
      <c r="R813" s="1"/>
      <c r="S813" s="1"/>
      <c r="T813" s="1"/>
      <c r="U813" s="2"/>
      <c r="V813" s="1"/>
      <c r="W813" s="1"/>
      <c r="X813" s="1"/>
      <c r="Y813" s="1"/>
      <c r="Z813" s="1"/>
    </row>
    <row r="814" spans="1:26" ht="24.75" customHeight="1">
      <c r="A814" s="1"/>
      <c r="B814" s="1"/>
      <c r="C814" s="1"/>
      <c r="D814" s="1"/>
      <c r="E814" s="1"/>
      <c r="F814" s="1"/>
      <c r="G814" s="1"/>
      <c r="H814" s="1"/>
      <c r="I814" s="1"/>
      <c r="J814" s="1"/>
      <c r="K814" s="1"/>
      <c r="L814" s="1"/>
      <c r="M814" s="1"/>
      <c r="N814" s="1"/>
      <c r="O814" s="1"/>
      <c r="P814" s="1"/>
      <c r="Q814" s="1"/>
      <c r="R814" s="1"/>
      <c r="S814" s="1"/>
      <c r="T814" s="1"/>
      <c r="U814" s="2"/>
      <c r="V814" s="1"/>
      <c r="W814" s="1"/>
      <c r="X814" s="1"/>
      <c r="Y814" s="1"/>
      <c r="Z814" s="1"/>
    </row>
    <row r="815" spans="1:26" ht="24.75" customHeight="1">
      <c r="A815" s="1"/>
      <c r="B815" s="1"/>
      <c r="C815" s="1"/>
      <c r="D815" s="1"/>
      <c r="E815" s="1"/>
      <c r="F815" s="1"/>
      <c r="G815" s="1"/>
      <c r="H815" s="1"/>
      <c r="I815" s="1"/>
      <c r="J815" s="1"/>
      <c r="K815" s="1"/>
      <c r="L815" s="1"/>
      <c r="M815" s="1"/>
      <c r="N815" s="1"/>
      <c r="O815" s="1"/>
      <c r="P815" s="1"/>
      <c r="Q815" s="1"/>
      <c r="R815" s="1"/>
      <c r="S815" s="1"/>
      <c r="T815" s="1"/>
      <c r="U815" s="2"/>
      <c r="V815" s="1"/>
      <c r="W815" s="1"/>
      <c r="X815" s="1"/>
      <c r="Y815" s="1"/>
      <c r="Z815" s="1"/>
    </row>
    <row r="816" spans="1:26" ht="24.75" customHeight="1">
      <c r="A816" s="1"/>
      <c r="B816" s="1"/>
      <c r="C816" s="1"/>
      <c r="D816" s="1"/>
      <c r="E816" s="1"/>
      <c r="F816" s="1"/>
      <c r="G816" s="1"/>
      <c r="H816" s="1"/>
      <c r="I816" s="1"/>
      <c r="J816" s="1"/>
      <c r="K816" s="1"/>
      <c r="L816" s="1"/>
      <c r="M816" s="1"/>
      <c r="N816" s="1"/>
      <c r="O816" s="1"/>
      <c r="P816" s="1"/>
      <c r="Q816" s="1"/>
      <c r="R816" s="1"/>
      <c r="S816" s="1"/>
      <c r="T816" s="1"/>
      <c r="U816" s="2"/>
      <c r="V816" s="1"/>
      <c r="W816" s="1"/>
      <c r="X816" s="1"/>
      <c r="Y816" s="1"/>
      <c r="Z816" s="1"/>
    </row>
    <row r="817" spans="1:26" ht="24.75" customHeight="1">
      <c r="A817" s="1"/>
      <c r="B817" s="1"/>
      <c r="C817" s="1"/>
      <c r="D817" s="1"/>
      <c r="E817" s="1"/>
      <c r="F817" s="1"/>
      <c r="G817" s="1"/>
      <c r="H817" s="1"/>
      <c r="I817" s="1"/>
      <c r="J817" s="1"/>
      <c r="K817" s="1"/>
      <c r="L817" s="1"/>
      <c r="M817" s="1"/>
      <c r="N817" s="1"/>
      <c r="O817" s="1"/>
      <c r="P817" s="1"/>
      <c r="Q817" s="1"/>
      <c r="R817" s="1"/>
      <c r="S817" s="1"/>
      <c r="T817" s="1"/>
      <c r="U817" s="2"/>
      <c r="V817" s="1"/>
      <c r="W817" s="1"/>
      <c r="X817" s="1"/>
      <c r="Y817" s="1"/>
      <c r="Z817" s="1"/>
    </row>
    <row r="818" spans="1:26" ht="24.75" customHeight="1">
      <c r="A818" s="1"/>
      <c r="B818" s="1"/>
      <c r="C818" s="1"/>
      <c r="D818" s="1"/>
      <c r="E818" s="1"/>
      <c r="F818" s="1"/>
      <c r="G818" s="1"/>
      <c r="H818" s="1"/>
      <c r="I818" s="1"/>
      <c r="J818" s="1"/>
      <c r="K818" s="1"/>
      <c r="L818" s="1"/>
      <c r="M818" s="1"/>
      <c r="N818" s="1"/>
      <c r="O818" s="1"/>
      <c r="P818" s="1"/>
      <c r="Q818" s="1"/>
      <c r="R818" s="1"/>
      <c r="S818" s="1"/>
      <c r="T818" s="1"/>
      <c r="U818" s="2"/>
      <c r="V818" s="1"/>
      <c r="W818" s="1"/>
      <c r="X818" s="1"/>
      <c r="Y818" s="1"/>
      <c r="Z818" s="1"/>
    </row>
    <row r="819" spans="1:26" ht="24.75" customHeight="1">
      <c r="A819" s="1"/>
      <c r="B819" s="1"/>
      <c r="C819" s="1"/>
      <c r="D819" s="1"/>
      <c r="E819" s="1"/>
      <c r="F819" s="1"/>
      <c r="G819" s="1"/>
      <c r="H819" s="1"/>
      <c r="I819" s="1"/>
      <c r="J819" s="1"/>
      <c r="K819" s="1"/>
      <c r="L819" s="1"/>
      <c r="M819" s="1"/>
      <c r="N819" s="1"/>
      <c r="O819" s="1"/>
      <c r="P819" s="1"/>
      <c r="Q819" s="1"/>
      <c r="R819" s="1"/>
      <c r="S819" s="1"/>
      <c r="T819" s="1"/>
      <c r="U819" s="2"/>
      <c r="V819" s="1"/>
      <c r="W819" s="1"/>
      <c r="X819" s="1"/>
      <c r="Y819" s="1"/>
      <c r="Z819" s="1"/>
    </row>
    <row r="820" spans="1:26" ht="24.75" customHeight="1">
      <c r="A820" s="1"/>
      <c r="B820" s="1"/>
      <c r="C820" s="1"/>
      <c r="D820" s="1"/>
      <c r="E820" s="1"/>
      <c r="F820" s="1"/>
      <c r="G820" s="1"/>
      <c r="H820" s="1"/>
      <c r="I820" s="1"/>
      <c r="J820" s="1"/>
      <c r="K820" s="1"/>
      <c r="L820" s="1"/>
      <c r="M820" s="1"/>
      <c r="N820" s="1"/>
      <c r="O820" s="1"/>
      <c r="P820" s="1"/>
      <c r="Q820" s="1"/>
      <c r="R820" s="1"/>
      <c r="S820" s="1"/>
      <c r="T820" s="1"/>
      <c r="U820" s="2"/>
      <c r="V820" s="1"/>
      <c r="W820" s="1"/>
      <c r="X820" s="1"/>
      <c r="Y820" s="1"/>
      <c r="Z820" s="1"/>
    </row>
    <row r="821" spans="1:26" ht="24.75" customHeight="1">
      <c r="A821" s="1"/>
      <c r="B821" s="1"/>
      <c r="C821" s="1"/>
      <c r="D821" s="1"/>
      <c r="E821" s="1"/>
      <c r="F821" s="1"/>
      <c r="G821" s="1"/>
      <c r="H821" s="1"/>
      <c r="I821" s="1"/>
      <c r="J821" s="1"/>
      <c r="K821" s="1"/>
      <c r="L821" s="1"/>
      <c r="M821" s="1"/>
      <c r="N821" s="1"/>
      <c r="O821" s="1"/>
      <c r="P821" s="1"/>
      <c r="Q821" s="1"/>
      <c r="R821" s="1"/>
      <c r="S821" s="1"/>
      <c r="T821" s="1"/>
      <c r="U821" s="2"/>
      <c r="V821" s="1"/>
      <c r="W821" s="1"/>
      <c r="X821" s="1"/>
      <c r="Y821" s="1"/>
      <c r="Z821" s="1"/>
    </row>
    <row r="822" spans="1:26" ht="24.75" customHeight="1">
      <c r="A822" s="1"/>
      <c r="B822" s="1"/>
      <c r="C822" s="1"/>
      <c r="D822" s="1"/>
      <c r="E822" s="1"/>
      <c r="F822" s="1"/>
      <c r="G822" s="1"/>
      <c r="H822" s="1"/>
      <c r="I822" s="1"/>
      <c r="J822" s="1"/>
      <c r="K822" s="1"/>
      <c r="L822" s="1"/>
      <c r="M822" s="1"/>
      <c r="N822" s="1"/>
      <c r="O822" s="1"/>
      <c r="P822" s="1"/>
      <c r="Q822" s="1"/>
      <c r="R822" s="1"/>
      <c r="S822" s="1"/>
      <c r="T822" s="1"/>
      <c r="U822" s="2"/>
      <c r="V822" s="1"/>
      <c r="W822" s="1"/>
      <c r="X822" s="1"/>
      <c r="Y822" s="1"/>
      <c r="Z822" s="1"/>
    </row>
    <row r="823" spans="1:26" ht="24.75" customHeight="1">
      <c r="A823" s="1"/>
      <c r="B823" s="1"/>
      <c r="C823" s="1"/>
      <c r="D823" s="1"/>
      <c r="E823" s="1"/>
      <c r="F823" s="1"/>
      <c r="G823" s="1"/>
      <c r="H823" s="1"/>
      <c r="I823" s="1"/>
      <c r="J823" s="1"/>
      <c r="K823" s="1"/>
      <c r="L823" s="1"/>
      <c r="M823" s="1"/>
      <c r="N823" s="1"/>
      <c r="O823" s="1"/>
      <c r="P823" s="1"/>
      <c r="Q823" s="1"/>
      <c r="R823" s="1"/>
      <c r="S823" s="1"/>
      <c r="T823" s="1"/>
      <c r="U823" s="2"/>
      <c r="V823" s="1"/>
      <c r="W823" s="1"/>
      <c r="X823" s="1"/>
      <c r="Y823" s="1"/>
      <c r="Z823" s="1"/>
    </row>
    <row r="824" spans="1:26" ht="24.75" customHeight="1">
      <c r="A824" s="1"/>
      <c r="B824" s="1"/>
      <c r="C824" s="1"/>
      <c r="D824" s="1"/>
      <c r="E824" s="1"/>
      <c r="F824" s="1"/>
      <c r="G824" s="1"/>
      <c r="H824" s="1"/>
      <c r="I824" s="1"/>
      <c r="J824" s="1"/>
      <c r="K824" s="1"/>
      <c r="L824" s="1"/>
      <c r="M824" s="1"/>
      <c r="N824" s="1"/>
      <c r="O824" s="1"/>
      <c r="P824" s="1"/>
      <c r="Q824" s="1"/>
      <c r="R824" s="1"/>
      <c r="S824" s="1"/>
      <c r="T824" s="1"/>
      <c r="U824" s="2"/>
      <c r="V824" s="1"/>
      <c r="W824" s="1"/>
      <c r="X824" s="1"/>
      <c r="Y824" s="1"/>
      <c r="Z824" s="1"/>
    </row>
    <row r="825" spans="1:26" ht="24.75" customHeight="1">
      <c r="A825" s="1"/>
      <c r="B825" s="1"/>
      <c r="C825" s="1"/>
      <c r="D825" s="1"/>
      <c r="E825" s="1"/>
      <c r="F825" s="1"/>
      <c r="G825" s="1"/>
      <c r="H825" s="1"/>
      <c r="I825" s="1"/>
      <c r="J825" s="1"/>
      <c r="K825" s="1"/>
      <c r="L825" s="1"/>
      <c r="M825" s="1"/>
      <c r="N825" s="1"/>
      <c r="O825" s="1"/>
      <c r="P825" s="1"/>
      <c r="Q825" s="1"/>
      <c r="R825" s="1"/>
      <c r="S825" s="1"/>
      <c r="T825" s="1"/>
      <c r="U825" s="2"/>
      <c r="V825" s="1"/>
      <c r="W825" s="1"/>
      <c r="X825" s="1"/>
      <c r="Y825" s="1"/>
      <c r="Z825" s="1"/>
    </row>
    <row r="826" spans="1:26" ht="24.75" customHeight="1">
      <c r="A826" s="1"/>
      <c r="B826" s="1"/>
      <c r="C826" s="1"/>
      <c r="D826" s="1"/>
      <c r="E826" s="1"/>
      <c r="F826" s="1"/>
      <c r="G826" s="1"/>
      <c r="H826" s="1"/>
      <c r="I826" s="1"/>
      <c r="J826" s="1"/>
      <c r="K826" s="1"/>
      <c r="L826" s="1"/>
      <c r="M826" s="1"/>
      <c r="N826" s="1"/>
      <c r="O826" s="1"/>
      <c r="P826" s="1"/>
      <c r="Q826" s="1"/>
      <c r="R826" s="1"/>
      <c r="S826" s="1"/>
      <c r="T826" s="1"/>
      <c r="U826" s="2"/>
      <c r="V826" s="1"/>
      <c r="W826" s="1"/>
      <c r="X826" s="1"/>
      <c r="Y826" s="1"/>
      <c r="Z826" s="1"/>
    </row>
    <row r="827" spans="1:26" ht="24.75" customHeight="1">
      <c r="A827" s="1"/>
      <c r="B827" s="1"/>
      <c r="C827" s="1"/>
      <c r="D827" s="1"/>
      <c r="E827" s="1"/>
      <c r="F827" s="1"/>
      <c r="G827" s="1"/>
      <c r="H827" s="1"/>
      <c r="I827" s="1"/>
      <c r="J827" s="1"/>
      <c r="K827" s="1"/>
      <c r="L827" s="1"/>
      <c r="M827" s="1"/>
      <c r="N827" s="1"/>
      <c r="O827" s="1"/>
      <c r="P827" s="1"/>
      <c r="Q827" s="1"/>
      <c r="R827" s="1"/>
      <c r="S827" s="1"/>
      <c r="T827" s="1"/>
      <c r="U827" s="2"/>
      <c r="V827" s="1"/>
      <c r="W827" s="1"/>
      <c r="X827" s="1"/>
      <c r="Y827" s="1"/>
      <c r="Z827" s="1"/>
    </row>
    <row r="828" spans="1:26" ht="24.75" customHeight="1">
      <c r="A828" s="1"/>
      <c r="B828" s="1"/>
      <c r="C828" s="1"/>
      <c r="D828" s="1"/>
      <c r="E828" s="1"/>
      <c r="F828" s="1"/>
      <c r="G828" s="1"/>
      <c r="H828" s="1"/>
      <c r="I828" s="1"/>
      <c r="J828" s="1"/>
      <c r="K828" s="1"/>
      <c r="L828" s="1"/>
      <c r="M828" s="1"/>
      <c r="N828" s="1"/>
      <c r="O828" s="1"/>
      <c r="P828" s="1"/>
      <c r="Q828" s="1"/>
      <c r="R828" s="1"/>
      <c r="S828" s="1"/>
      <c r="T828" s="1"/>
      <c r="U828" s="2"/>
      <c r="V828" s="1"/>
      <c r="W828" s="1"/>
      <c r="X828" s="1"/>
      <c r="Y828" s="1"/>
      <c r="Z828" s="1"/>
    </row>
    <row r="829" spans="1:26" ht="24.75" customHeight="1">
      <c r="A829" s="1"/>
      <c r="B829" s="1"/>
      <c r="C829" s="1"/>
      <c r="D829" s="1"/>
      <c r="E829" s="1"/>
      <c r="F829" s="1"/>
      <c r="G829" s="1"/>
      <c r="H829" s="1"/>
      <c r="I829" s="1"/>
      <c r="J829" s="1"/>
      <c r="K829" s="1"/>
      <c r="L829" s="1"/>
      <c r="M829" s="1"/>
      <c r="N829" s="1"/>
      <c r="O829" s="1"/>
      <c r="P829" s="1"/>
      <c r="Q829" s="1"/>
      <c r="R829" s="1"/>
      <c r="S829" s="1"/>
      <c r="T829" s="1"/>
      <c r="U829" s="2"/>
      <c r="V829" s="1"/>
      <c r="W829" s="1"/>
      <c r="X829" s="1"/>
      <c r="Y829" s="1"/>
      <c r="Z829" s="1"/>
    </row>
    <row r="830" spans="1:26" ht="24.75" customHeight="1">
      <c r="A830" s="1"/>
      <c r="B830" s="1"/>
      <c r="C830" s="1"/>
      <c r="D830" s="1"/>
      <c r="E830" s="1"/>
      <c r="F830" s="1"/>
      <c r="G830" s="1"/>
      <c r="H830" s="1"/>
      <c r="I830" s="1"/>
      <c r="J830" s="1"/>
      <c r="K830" s="1"/>
      <c r="L830" s="1"/>
      <c r="M830" s="1"/>
      <c r="N830" s="1"/>
      <c r="O830" s="1"/>
      <c r="P830" s="1"/>
      <c r="Q830" s="1"/>
      <c r="R830" s="1"/>
      <c r="S830" s="1"/>
      <c r="T830" s="1"/>
      <c r="U830" s="2"/>
      <c r="V830" s="1"/>
      <c r="W830" s="1"/>
      <c r="X830" s="1"/>
      <c r="Y830" s="1"/>
      <c r="Z830" s="1"/>
    </row>
    <row r="831" spans="1:26" ht="24.75" customHeight="1">
      <c r="A831" s="1"/>
      <c r="B831" s="1"/>
      <c r="C831" s="1"/>
      <c r="D831" s="1"/>
      <c r="E831" s="1"/>
      <c r="F831" s="1"/>
      <c r="G831" s="1"/>
      <c r="H831" s="1"/>
      <c r="I831" s="1"/>
      <c r="J831" s="1"/>
      <c r="K831" s="1"/>
      <c r="L831" s="1"/>
      <c r="M831" s="1"/>
      <c r="N831" s="1"/>
      <c r="O831" s="1"/>
      <c r="P831" s="1"/>
      <c r="Q831" s="1"/>
      <c r="R831" s="1"/>
      <c r="S831" s="1"/>
      <c r="T831" s="1"/>
      <c r="U831" s="2"/>
      <c r="V831" s="1"/>
      <c r="W831" s="1"/>
      <c r="X831" s="1"/>
      <c r="Y831" s="1"/>
      <c r="Z831" s="1"/>
    </row>
    <row r="832" spans="1:26" ht="24.75" customHeight="1">
      <c r="A832" s="1"/>
      <c r="B832" s="1"/>
      <c r="C832" s="1"/>
      <c r="D832" s="1"/>
      <c r="E832" s="1"/>
      <c r="F832" s="1"/>
      <c r="G832" s="1"/>
      <c r="H832" s="1"/>
      <c r="I832" s="1"/>
      <c r="J832" s="1"/>
      <c r="K832" s="1"/>
      <c r="L832" s="1"/>
      <c r="M832" s="1"/>
      <c r="N832" s="1"/>
      <c r="O832" s="1"/>
      <c r="P832" s="1"/>
      <c r="Q832" s="1"/>
      <c r="R832" s="1"/>
      <c r="S832" s="1"/>
      <c r="T832" s="1"/>
      <c r="U832" s="2"/>
      <c r="V832" s="1"/>
      <c r="W832" s="1"/>
      <c r="X832" s="1"/>
      <c r="Y832" s="1"/>
      <c r="Z832" s="1"/>
    </row>
    <row r="833" spans="1:26" ht="24.75" customHeight="1">
      <c r="A833" s="1"/>
      <c r="B833" s="1"/>
      <c r="C833" s="1"/>
      <c r="D833" s="1"/>
      <c r="E833" s="1"/>
      <c r="F833" s="1"/>
      <c r="G833" s="1"/>
      <c r="H833" s="1"/>
      <c r="I833" s="1"/>
      <c r="J833" s="1"/>
      <c r="K833" s="1"/>
      <c r="L833" s="1"/>
      <c r="M833" s="1"/>
      <c r="N833" s="1"/>
      <c r="O833" s="1"/>
      <c r="P833" s="1"/>
      <c r="Q833" s="1"/>
      <c r="R833" s="1"/>
      <c r="S833" s="1"/>
      <c r="T833" s="1"/>
      <c r="U833" s="2"/>
      <c r="V833" s="1"/>
      <c r="W833" s="1"/>
      <c r="X833" s="1"/>
      <c r="Y833" s="1"/>
      <c r="Z833" s="1"/>
    </row>
    <row r="834" spans="1:26" ht="24.75" customHeight="1">
      <c r="A834" s="1"/>
      <c r="B834" s="1"/>
      <c r="C834" s="1"/>
      <c r="D834" s="1"/>
      <c r="E834" s="1"/>
      <c r="F834" s="1"/>
      <c r="G834" s="1"/>
      <c r="H834" s="1"/>
      <c r="I834" s="1"/>
      <c r="J834" s="1"/>
      <c r="K834" s="1"/>
      <c r="L834" s="1"/>
      <c r="M834" s="1"/>
      <c r="N834" s="1"/>
      <c r="O834" s="1"/>
      <c r="P834" s="1"/>
      <c r="Q834" s="1"/>
      <c r="R834" s="1"/>
      <c r="S834" s="1"/>
      <c r="T834" s="1"/>
      <c r="U834" s="2"/>
      <c r="V834" s="1"/>
      <c r="W834" s="1"/>
      <c r="X834" s="1"/>
      <c r="Y834" s="1"/>
      <c r="Z834" s="1"/>
    </row>
    <row r="835" spans="1:26" ht="24.75" customHeight="1">
      <c r="A835" s="1"/>
      <c r="B835" s="1"/>
      <c r="C835" s="1"/>
      <c r="D835" s="1"/>
      <c r="E835" s="1"/>
      <c r="F835" s="1"/>
      <c r="G835" s="1"/>
      <c r="H835" s="1"/>
      <c r="I835" s="1"/>
      <c r="J835" s="1"/>
      <c r="K835" s="1"/>
      <c r="L835" s="1"/>
      <c r="M835" s="1"/>
      <c r="N835" s="1"/>
      <c r="O835" s="1"/>
      <c r="P835" s="1"/>
      <c r="Q835" s="1"/>
      <c r="R835" s="1"/>
      <c r="S835" s="1"/>
      <c r="T835" s="1"/>
      <c r="U835" s="2"/>
      <c r="V835" s="1"/>
      <c r="W835" s="1"/>
      <c r="X835" s="1"/>
      <c r="Y835" s="1"/>
      <c r="Z835" s="1"/>
    </row>
    <row r="836" spans="1:26" ht="24.75" customHeight="1">
      <c r="A836" s="1"/>
      <c r="B836" s="1"/>
      <c r="C836" s="1"/>
      <c r="D836" s="1"/>
      <c r="E836" s="1"/>
      <c r="F836" s="1"/>
      <c r="G836" s="1"/>
      <c r="H836" s="1"/>
      <c r="I836" s="1"/>
      <c r="J836" s="1"/>
      <c r="K836" s="1"/>
      <c r="L836" s="1"/>
      <c r="M836" s="1"/>
      <c r="N836" s="1"/>
      <c r="O836" s="1"/>
      <c r="P836" s="1"/>
      <c r="Q836" s="1"/>
      <c r="R836" s="1"/>
      <c r="S836" s="1"/>
      <c r="T836" s="1"/>
      <c r="U836" s="2"/>
      <c r="V836" s="1"/>
      <c r="W836" s="1"/>
      <c r="X836" s="1"/>
      <c r="Y836" s="1"/>
      <c r="Z836" s="1"/>
    </row>
    <row r="837" spans="1:26" ht="24.75" customHeight="1">
      <c r="A837" s="1"/>
      <c r="B837" s="1"/>
      <c r="C837" s="1"/>
      <c r="D837" s="1"/>
      <c r="E837" s="1"/>
      <c r="F837" s="1"/>
      <c r="G837" s="1"/>
      <c r="H837" s="1"/>
      <c r="I837" s="1"/>
      <c r="J837" s="1"/>
      <c r="K837" s="1"/>
      <c r="L837" s="1"/>
      <c r="M837" s="1"/>
      <c r="N837" s="1"/>
      <c r="O837" s="1"/>
      <c r="P837" s="1"/>
      <c r="Q837" s="1"/>
      <c r="R837" s="1"/>
      <c r="S837" s="1"/>
      <c r="T837" s="1"/>
      <c r="U837" s="2"/>
      <c r="V837" s="1"/>
      <c r="W837" s="1"/>
      <c r="X837" s="1"/>
      <c r="Y837" s="1"/>
      <c r="Z837" s="1"/>
    </row>
    <row r="838" spans="1:26" ht="24.75" customHeight="1">
      <c r="A838" s="1"/>
      <c r="B838" s="1"/>
      <c r="C838" s="1"/>
      <c r="D838" s="1"/>
      <c r="E838" s="1"/>
      <c r="F838" s="1"/>
      <c r="G838" s="1"/>
      <c r="H838" s="1"/>
      <c r="I838" s="1"/>
      <c r="J838" s="1"/>
      <c r="K838" s="1"/>
      <c r="L838" s="1"/>
      <c r="M838" s="1"/>
      <c r="N838" s="1"/>
      <c r="O838" s="1"/>
      <c r="P838" s="1"/>
      <c r="Q838" s="1"/>
      <c r="R838" s="1"/>
      <c r="S838" s="1"/>
      <c r="T838" s="1"/>
      <c r="U838" s="2"/>
      <c r="V838" s="1"/>
      <c r="W838" s="1"/>
      <c r="X838" s="1"/>
      <c r="Y838" s="1"/>
      <c r="Z838" s="1"/>
    </row>
    <row r="839" spans="1:26" ht="24.75" customHeight="1">
      <c r="A839" s="1"/>
      <c r="B839" s="1"/>
      <c r="C839" s="1"/>
      <c r="D839" s="1"/>
      <c r="E839" s="1"/>
      <c r="F839" s="1"/>
      <c r="G839" s="1"/>
      <c r="H839" s="1"/>
      <c r="I839" s="1"/>
      <c r="J839" s="1"/>
      <c r="K839" s="1"/>
      <c r="L839" s="1"/>
      <c r="M839" s="1"/>
      <c r="N839" s="1"/>
      <c r="O839" s="1"/>
      <c r="P839" s="1"/>
      <c r="Q839" s="1"/>
      <c r="R839" s="1"/>
      <c r="S839" s="1"/>
      <c r="T839" s="1"/>
      <c r="U839" s="2"/>
      <c r="V839" s="1"/>
      <c r="W839" s="1"/>
      <c r="X839" s="1"/>
      <c r="Y839" s="1"/>
      <c r="Z839" s="1"/>
    </row>
    <row r="840" spans="1:26" ht="24.75" customHeight="1">
      <c r="A840" s="1"/>
      <c r="B840" s="1"/>
      <c r="C840" s="1"/>
      <c r="D840" s="1"/>
      <c r="E840" s="1"/>
      <c r="F840" s="1"/>
      <c r="G840" s="1"/>
      <c r="H840" s="1"/>
      <c r="I840" s="1"/>
      <c r="J840" s="1"/>
      <c r="K840" s="1"/>
      <c r="L840" s="1"/>
      <c r="M840" s="1"/>
      <c r="N840" s="1"/>
      <c r="O840" s="1"/>
      <c r="P840" s="1"/>
      <c r="Q840" s="1"/>
      <c r="R840" s="1"/>
      <c r="S840" s="1"/>
      <c r="T840" s="1"/>
      <c r="U840" s="2"/>
      <c r="V840" s="1"/>
      <c r="W840" s="1"/>
      <c r="X840" s="1"/>
      <c r="Y840" s="1"/>
      <c r="Z840" s="1"/>
    </row>
    <row r="841" spans="1:26" ht="24.75" customHeight="1">
      <c r="A841" s="1"/>
      <c r="B841" s="1"/>
      <c r="C841" s="1"/>
      <c r="D841" s="1"/>
      <c r="E841" s="1"/>
      <c r="F841" s="1"/>
      <c r="G841" s="1"/>
      <c r="H841" s="1"/>
      <c r="I841" s="1"/>
      <c r="J841" s="1"/>
      <c r="K841" s="1"/>
      <c r="L841" s="1"/>
      <c r="M841" s="1"/>
      <c r="N841" s="1"/>
      <c r="O841" s="1"/>
      <c r="P841" s="1"/>
      <c r="Q841" s="1"/>
      <c r="R841" s="1"/>
      <c r="S841" s="1"/>
      <c r="T841" s="1"/>
      <c r="U841" s="2"/>
      <c r="V841" s="1"/>
      <c r="W841" s="1"/>
      <c r="X841" s="1"/>
      <c r="Y841" s="1"/>
      <c r="Z841" s="1"/>
    </row>
    <row r="842" spans="1:26" ht="24.75" customHeight="1">
      <c r="A842" s="1"/>
      <c r="B842" s="1"/>
      <c r="C842" s="1"/>
      <c r="D842" s="1"/>
      <c r="E842" s="1"/>
      <c r="F842" s="1"/>
      <c r="G842" s="1"/>
      <c r="H842" s="1"/>
      <c r="I842" s="1"/>
      <c r="J842" s="1"/>
      <c r="K842" s="1"/>
      <c r="L842" s="1"/>
      <c r="M842" s="1"/>
      <c r="N842" s="1"/>
      <c r="O842" s="1"/>
      <c r="P842" s="1"/>
      <c r="Q842" s="1"/>
      <c r="R842" s="1"/>
      <c r="S842" s="1"/>
      <c r="T842" s="1"/>
      <c r="U842" s="2"/>
      <c r="V842" s="1"/>
      <c r="W842" s="1"/>
      <c r="X842" s="1"/>
      <c r="Y842" s="1"/>
      <c r="Z842" s="1"/>
    </row>
    <row r="843" spans="1:26" ht="24.75" customHeight="1">
      <c r="A843" s="1"/>
      <c r="B843" s="1"/>
      <c r="C843" s="1"/>
      <c r="D843" s="1"/>
      <c r="E843" s="1"/>
      <c r="F843" s="1"/>
      <c r="G843" s="1"/>
      <c r="H843" s="1"/>
      <c r="I843" s="1"/>
      <c r="J843" s="1"/>
      <c r="K843" s="1"/>
      <c r="L843" s="1"/>
      <c r="M843" s="1"/>
      <c r="N843" s="1"/>
      <c r="O843" s="1"/>
      <c r="P843" s="1"/>
      <c r="Q843" s="1"/>
      <c r="R843" s="1"/>
      <c r="S843" s="1"/>
      <c r="T843" s="1"/>
      <c r="U843" s="2"/>
      <c r="V843" s="1"/>
      <c r="W843" s="1"/>
      <c r="X843" s="1"/>
      <c r="Y843" s="1"/>
      <c r="Z843" s="1"/>
    </row>
    <row r="844" spans="1:26" ht="24.75" customHeight="1">
      <c r="A844" s="1"/>
      <c r="B844" s="1"/>
      <c r="C844" s="1"/>
      <c r="D844" s="1"/>
      <c r="E844" s="1"/>
      <c r="F844" s="1"/>
      <c r="G844" s="1"/>
      <c r="H844" s="1"/>
      <c r="I844" s="1"/>
      <c r="J844" s="1"/>
      <c r="K844" s="1"/>
      <c r="L844" s="1"/>
      <c r="M844" s="1"/>
      <c r="N844" s="1"/>
      <c r="O844" s="1"/>
      <c r="P844" s="1"/>
      <c r="Q844" s="1"/>
      <c r="R844" s="1"/>
      <c r="S844" s="1"/>
      <c r="T844" s="1"/>
      <c r="U844" s="2"/>
      <c r="V844" s="1"/>
      <c r="W844" s="1"/>
      <c r="X844" s="1"/>
      <c r="Y844" s="1"/>
      <c r="Z844" s="1"/>
    </row>
    <row r="845" spans="1:26" ht="24.75" customHeight="1">
      <c r="A845" s="1"/>
      <c r="B845" s="1"/>
      <c r="C845" s="1"/>
      <c r="D845" s="1"/>
      <c r="E845" s="1"/>
      <c r="F845" s="1"/>
      <c r="G845" s="1"/>
      <c r="H845" s="1"/>
      <c r="I845" s="1"/>
      <c r="J845" s="1"/>
      <c r="K845" s="1"/>
      <c r="L845" s="1"/>
      <c r="M845" s="1"/>
      <c r="N845" s="1"/>
      <c r="O845" s="1"/>
      <c r="P845" s="1"/>
      <c r="Q845" s="1"/>
      <c r="R845" s="1"/>
      <c r="S845" s="1"/>
      <c r="T845" s="1"/>
      <c r="U845" s="2"/>
      <c r="V845" s="1"/>
      <c r="W845" s="1"/>
      <c r="X845" s="1"/>
      <c r="Y845" s="1"/>
      <c r="Z845" s="1"/>
    </row>
    <row r="846" spans="1:26" ht="24.75" customHeight="1">
      <c r="A846" s="1"/>
      <c r="B846" s="1"/>
      <c r="C846" s="1"/>
      <c r="D846" s="1"/>
      <c r="E846" s="1"/>
      <c r="F846" s="1"/>
      <c r="G846" s="1"/>
      <c r="H846" s="1"/>
      <c r="I846" s="1"/>
      <c r="J846" s="1"/>
      <c r="K846" s="1"/>
      <c r="L846" s="1"/>
      <c r="M846" s="1"/>
      <c r="N846" s="1"/>
      <c r="O846" s="1"/>
      <c r="P846" s="1"/>
      <c r="Q846" s="1"/>
      <c r="R846" s="1"/>
      <c r="S846" s="1"/>
      <c r="T846" s="1"/>
      <c r="U846" s="2"/>
      <c r="V846" s="1"/>
      <c r="W846" s="1"/>
      <c r="X846" s="1"/>
      <c r="Y846" s="1"/>
      <c r="Z846" s="1"/>
    </row>
    <row r="847" spans="1:26" ht="24.75" customHeight="1">
      <c r="A847" s="1"/>
      <c r="B847" s="1"/>
      <c r="C847" s="1"/>
      <c r="D847" s="1"/>
      <c r="E847" s="1"/>
      <c r="F847" s="1"/>
      <c r="G847" s="1"/>
      <c r="H847" s="1"/>
      <c r="I847" s="1"/>
      <c r="J847" s="1"/>
      <c r="K847" s="1"/>
      <c r="L847" s="1"/>
      <c r="M847" s="1"/>
      <c r="N847" s="1"/>
      <c r="O847" s="1"/>
      <c r="P847" s="1"/>
      <c r="Q847" s="1"/>
      <c r="R847" s="1"/>
      <c r="S847" s="1"/>
      <c r="T847" s="1"/>
      <c r="U847" s="2"/>
      <c r="V847" s="1"/>
      <c r="W847" s="1"/>
      <c r="X847" s="1"/>
      <c r="Y847" s="1"/>
      <c r="Z847" s="1"/>
    </row>
    <row r="848" spans="1:26" ht="24.75" customHeight="1">
      <c r="A848" s="1"/>
      <c r="B848" s="1"/>
      <c r="C848" s="1"/>
      <c r="D848" s="1"/>
      <c r="E848" s="1"/>
      <c r="F848" s="1"/>
      <c r="G848" s="1"/>
      <c r="H848" s="1"/>
      <c r="I848" s="1"/>
      <c r="J848" s="1"/>
      <c r="K848" s="1"/>
      <c r="L848" s="1"/>
      <c r="M848" s="1"/>
      <c r="N848" s="1"/>
      <c r="O848" s="1"/>
      <c r="P848" s="1"/>
      <c r="Q848" s="1"/>
      <c r="R848" s="1"/>
      <c r="S848" s="1"/>
      <c r="T848" s="1"/>
      <c r="U848" s="2"/>
      <c r="V848" s="1"/>
      <c r="W848" s="1"/>
      <c r="X848" s="1"/>
      <c r="Y848" s="1"/>
      <c r="Z848" s="1"/>
    </row>
    <row r="849" spans="1:26" ht="24.75" customHeight="1">
      <c r="A849" s="1"/>
      <c r="B849" s="1"/>
      <c r="C849" s="1"/>
      <c r="D849" s="1"/>
      <c r="E849" s="1"/>
      <c r="F849" s="1"/>
      <c r="G849" s="1"/>
      <c r="H849" s="1"/>
      <c r="I849" s="1"/>
      <c r="J849" s="1"/>
      <c r="K849" s="1"/>
      <c r="L849" s="1"/>
      <c r="M849" s="1"/>
      <c r="N849" s="1"/>
      <c r="O849" s="1"/>
      <c r="P849" s="1"/>
      <c r="Q849" s="1"/>
      <c r="R849" s="1"/>
      <c r="S849" s="1"/>
      <c r="T849" s="1"/>
      <c r="U849" s="2"/>
      <c r="V849" s="1"/>
      <c r="W849" s="1"/>
      <c r="X849" s="1"/>
      <c r="Y849" s="1"/>
      <c r="Z849" s="1"/>
    </row>
    <row r="850" spans="1:26" ht="24.75" customHeight="1">
      <c r="A850" s="1"/>
      <c r="B850" s="1"/>
      <c r="C850" s="1"/>
      <c r="D850" s="1"/>
      <c r="E850" s="1"/>
      <c r="F850" s="1"/>
      <c r="G850" s="1"/>
      <c r="H850" s="1"/>
      <c r="I850" s="1"/>
      <c r="J850" s="1"/>
      <c r="K850" s="1"/>
      <c r="L850" s="1"/>
      <c r="M850" s="1"/>
      <c r="N850" s="1"/>
      <c r="O850" s="1"/>
      <c r="P850" s="1"/>
      <c r="Q850" s="1"/>
      <c r="R850" s="1"/>
      <c r="S850" s="1"/>
      <c r="T850" s="1"/>
      <c r="U850" s="2"/>
      <c r="V850" s="1"/>
      <c r="W850" s="1"/>
      <c r="X850" s="1"/>
      <c r="Y850" s="1"/>
      <c r="Z850" s="1"/>
    </row>
    <row r="851" spans="1:26" ht="24.75" customHeight="1">
      <c r="A851" s="1"/>
      <c r="B851" s="1"/>
      <c r="C851" s="1"/>
      <c r="D851" s="1"/>
      <c r="E851" s="1"/>
      <c r="F851" s="1"/>
      <c r="G851" s="1"/>
      <c r="H851" s="1"/>
      <c r="I851" s="1"/>
      <c r="J851" s="1"/>
      <c r="K851" s="1"/>
      <c r="L851" s="1"/>
      <c r="M851" s="1"/>
      <c r="N851" s="1"/>
      <c r="O851" s="1"/>
      <c r="P851" s="1"/>
      <c r="Q851" s="1"/>
      <c r="R851" s="1"/>
      <c r="S851" s="1"/>
      <c r="T851" s="1"/>
      <c r="U851" s="2"/>
      <c r="V851" s="1"/>
      <c r="W851" s="1"/>
      <c r="X851" s="1"/>
      <c r="Y851" s="1"/>
      <c r="Z851" s="1"/>
    </row>
    <row r="852" spans="1:26" ht="24.75" customHeight="1">
      <c r="A852" s="1"/>
      <c r="B852" s="1"/>
      <c r="C852" s="1"/>
      <c r="D852" s="1"/>
      <c r="E852" s="1"/>
      <c r="F852" s="1"/>
      <c r="G852" s="1"/>
      <c r="H852" s="1"/>
      <c r="I852" s="1"/>
      <c r="J852" s="1"/>
      <c r="K852" s="1"/>
      <c r="L852" s="1"/>
      <c r="M852" s="1"/>
      <c r="N852" s="1"/>
      <c r="O852" s="1"/>
      <c r="P852" s="1"/>
      <c r="Q852" s="1"/>
      <c r="R852" s="1"/>
      <c r="S852" s="1"/>
      <c r="T852" s="1"/>
      <c r="U852" s="2"/>
      <c r="V852" s="1"/>
      <c r="W852" s="1"/>
      <c r="X852" s="1"/>
      <c r="Y852" s="1"/>
      <c r="Z852" s="1"/>
    </row>
    <row r="853" spans="1:26" ht="24.75" customHeight="1">
      <c r="A853" s="1"/>
      <c r="B853" s="1"/>
      <c r="C853" s="1"/>
      <c r="D853" s="1"/>
      <c r="E853" s="1"/>
      <c r="F853" s="1"/>
      <c r="G853" s="1"/>
      <c r="H853" s="1"/>
      <c r="I853" s="1"/>
      <c r="J853" s="1"/>
      <c r="K853" s="1"/>
      <c r="L853" s="1"/>
      <c r="M853" s="1"/>
      <c r="N853" s="1"/>
      <c r="O853" s="1"/>
      <c r="P853" s="1"/>
      <c r="Q853" s="1"/>
      <c r="R853" s="1"/>
      <c r="S853" s="1"/>
      <c r="T853" s="1"/>
      <c r="U853" s="2"/>
      <c r="V853" s="1"/>
      <c r="W853" s="1"/>
      <c r="X853" s="1"/>
      <c r="Y853" s="1"/>
      <c r="Z853" s="1"/>
    </row>
    <row r="854" spans="1:26" ht="24.75" customHeight="1">
      <c r="A854" s="1"/>
      <c r="B854" s="1"/>
      <c r="C854" s="1"/>
      <c r="D854" s="1"/>
      <c r="E854" s="1"/>
      <c r="F854" s="1"/>
      <c r="G854" s="1"/>
      <c r="H854" s="1"/>
      <c r="I854" s="1"/>
      <c r="J854" s="1"/>
      <c r="K854" s="1"/>
      <c r="L854" s="1"/>
      <c r="M854" s="1"/>
      <c r="N854" s="1"/>
      <c r="O854" s="1"/>
      <c r="P854" s="1"/>
      <c r="Q854" s="1"/>
      <c r="R854" s="1"/>
      <c r="S854" s="1"/>
      <c r="T854" s="1"/>
      <c r="U854" s="2"/>
      <c r="V854" s="1"/>
      <c r="W854" s="1"/>
      <c r="X854" s="1"/>
      <c r="Y854" s="1"/>
      <c r="Z854" s="1"/>
    </row>
    <row r="855" spans="1:26" ht="24.75" customHeight="1">
      <c r="A855" s="1"/>
      <c r="B855" s="1"/>
      <c r="C855" s="1"/>
      <c r="D855" s="1"/>
      <c r="E855" s="1"/>
      <c r="F855" s="1"/>
      <c r="G855" s="1"/>
      <c r="H855" s="1"/>
      <c r="I855" s="1"/>
      <c r="J855" s="1"/>
      <c r="K855" s="1"/>
      <c r="L855" s="1"/>
      <c r="M855" s="1"/>
      <c r="N855" s="1"/>
      <c r="O855" s="1"/>
      <c r="P855" s="1"/>
      <c r="Q855" s="1"/>
      <c r="R855" s="1"/>
      <c r="S855" s="1"/>
      <c r="T855" s="1"/>
      <c r="U855" s="2"/>
      <c r="V855" s="1"/>
      <c r="W855" s="1"/>
      <c r="X855" s="1"/>
      <c r="Y855" s="1"/>
      <c r="Z855" s="1"/>
    </row>
    <row r="856" spans="1:26" ht="24.75" customHeight="1">
      <c r="A856" s="1"/>
      <c r="B856" s="1"/>
      <c r="C856" s="1"/>
      <c r="D856" s="1"/>
      <c r="E856" s="1"/>
      <c r="F856" s="1"/>
      <c r="G856" s="1"/>
      <c r="H856" s="1"/>
      <c r="I856" s="1"/>
      <c r="J856" s="1"/>
      <c r="K856" s="1"/>
      <c r="L856" s="1"/>
      <c r="M856" s="1"/>
      <c r="N856" s="1"/>
      <c r="O856" s="1"/>
      <c r="P856" s="1"/>
      <c r="Q856" s="1"/>
      <c r="R856" s="1"/>
      <c r="S856" s="1"/>
      <c r="T856" s="1"/>
      <c r="U856" s="2"/>
      <c r="V856" s="1"/>
      <c r="W856" s="1"/>
      <c r="X856" s="1"/>
      <c r="Y856" s="1"/>
      <c r="Z856" s="1"/>
    </row>
    <row r="857" spans="1:26" ht="24.75" customHeight="1">
      <c r="A857" s="1"/>
      <c r="B857" s="1"/>
      <c r="C857" s="1"/>
      <c r="D857" s="1"/>
      <c r="E857" s="1"/>
      <c r="F857" s="1"/>
      <c r="G857" s="1"/>
      <c r="H857" s="1"/>
      <c r="I857" s="1"/>
      <c r="J857" s="1"/>
      <c r="K857" s="1"/>
      <c r="L857" s="1"/>
      <c r="M857" s="1"/>
      <c r="N857" s="1"/>
      <c r="O857" s="1"/>
      <c r="P857" s="1"/>
      <c r="Q857" s="1"/>
      <c r="R857" s="1"/>
      <c r="S857" s="1"/>
      <c r="T857" s="1"/>
      <c r="U857" s="2"/>
      <c r="V857" s="1"/>
      <c r="W857" s="1"/>
      <c r="X857" s="1"/>
      <c r="Y857" s="1"/>
      <c r="Z857" s="1"/>
    </row>
    <row r="858" spans="1:26" ht="24.75" customHeight="1">
      <c r="A858" s="1"/>
      <c r="B858" s="1"/>
      <c r="C858" s="1"/>
      <c r="D858" s="1"/>
      <c r="E858" s="1"/>
      <c r="F858" s="1"/>
      <c r="G858" s="1"/>
      <c r="H858" s="1"/>
      <c r="I858" s="1"/>
      <c r="J858" s="1"/>
      <c r="K858" s="1"/>
      <c r="L858" s="1"/>
      <c r="M858" s="1"/>
      <c r="N858" s="1"/>
      <c r="O858" s="1"/>
      <c r="P858" s="1"/>
      <c r="Q858" s="1"/>
      <c r="R858" s="1"/>
      <c r="S858" s="1"/>
      <c r="T858" s="1"/>
      <c r="U858" s="2"/>
      <c r="V858" s="1"/>
      <c r="W858" s="1"/>
      <c r="X858" s="1"/>
      <c r="Y858" s="1"/>
      <c r="Z858" s="1"/>
    </row>
    <row r="859" spans="1:26" ht="24.75" customHeight="1">
      <c r="A859" s="1"/>
      <c r="B859" s="1"/>
      <c r="C859" s="1"/>
      <c r="D859" s="1"/>
      <c r="E859" s="1"/>
      <c r="F859" s="1"/>
      <c r="G859" s="1"/>
      <c r="H859" s="1"/>
      <c r="I859" s="1"/>
      <c r="J859" s="1"/>
      <c r="K859" s="1"/>
      <c r="L859" s="1"/>
      <c r="M859" s="1"/>
      <c r="N859" s="1"/>
      <c r="O859" s="1"/>
      <c r="P859" s="1"/>
      <c r="Q859" s="1"/>
      <c r="R859" s="1"/>
      <c r="S859" s="1"/>
      <c r="T859" s="1"/>
      <c r="U859" s="2"/>
      <c r="V859" s="1"/>
      <c r="W859" s="1"/>
      <c r="X859" s="1"/>
      <c r="Y859" s="1"/>
      <c r="Z859" s="1"/>
    </row>
    <row r="860" spans="1:26" ht="24.75" customHeight="1">
      <c r="A860" s="1"/>
      <c r="B860" s="1"/>
      <c r="C860" s="1"/>
      <c r="D860" s="1"/>
      <c r="E860" s="1"/>
      <c r="F860" s="1"/>
      <c r="G860" s="1"/>
      <c r="H860" s="1"/>
      <c r="I860" s="1"/>
      <c r="J860" s="1"/>
      <c r="K860" s="1"/>
      <c r="L860" s="1"/>
      <c r="M860" s="1"/>
      <c r="N860" s="1"/>
      <c r="O860" s="1"/>
      <c r="P860" s="1"/>
      <c r="Q860" s="1"/>
      <c r="R860" s="1"/>
      <c r="S860" s="1"/>
      <c r="T860" s="1"/>
      <c r="U860" s="2"/>
      <c r="V860" s="1"/>
      <c r="W860" s="1"/>
      <c r="X860" s="1"/>
      <c r="Y860" s="1"/>
      <c r="Z860" s="1"/>
    </row>
    <row r="861" spans="1:26" ht="24.75" customHeight="1">
      <c r="A861" s="1"/>
      <c r="B861" s="1"/>
      <c r="C861" s="1"/>
      <c r="D861" s="1"/>
      <c r="E861" s="1"/>
      <c r="F861" s="1"/>
      <c r="G861" s="1"/>
      <c r="H861" s="1"/>
      <c r="I861" s="1"/>
      <c r="J861" s="1"/>
      <c r="K861" s="1"/>
      <c r="L861" s="1"/>
      <c r="M861" s="1"/>
      <c r="N861" s="1"/>
      <c r="O861" s="1"/>
      <c r="P861" s="1"/>
      <c r="Q861" s="1"/>
      <c r="R861" s="1"/>
      <c r="S861" s="1"/>
      <c r="T861" s="1"/>
      <c r="U861" s="2"/>
      <c r="V861" s="1"/>
      <c r="W861" s="1"/>
      <c r="X861" s="1"/>
      <c r="Y861" s="1"/>
      <c r="Z861" s="1"/>
    </row>
    <row r="862" spans="1:26" ht="24.75" customHeight="1">
      <c r="A862" s="1"/>
      <c r="B862" s="1"/>
      <c r="C862" s="1"/>
      <c r="D862" s="1"/>
      <c r="E862" s="1"/>
      <c r="F862" s="1"/>
      <c r="G862" s="1"/>
      <c r="H862" s="1"/>
      <c r="I862" s="1"/>
      <c r="J862" s="1"/>
      <c r="K862" s="1"/>
      <c r="L862" s="1"/>
      <c r="M862" s="1"/>
      <c r="N862" s="1"/>
      <c r="O862" s="1"/>
      <c r="P862" s="1"/>
      <c r="Q862" s="1"/>
      <c r="R862" s="1"/>
      <c r="S862" s="1"/>
      <c r="T862" s="1"/>
      <c r="U862" s="2"/>
      <c r="V862" s="1"/>
      <c r="W862" s="1"/>
      <c r="X862" s="1"/>
      <c r="Y862" s="1"/>
      <c r="Z862" s="1"/>
    </row>
    <row r="863" spans="1:26" ht="24.75" customHeight="1">
      <c r="A863" s="1"/>
      <c r="B863" s="1"/>
      <c r="C863" s="1"/>
      <c r="D863" s="1"/>
      <c r="E863" s="1"/>
      <c r="F863" s="1"/>
      <c r="G863" s="1"/>
      <c r="H863" s="1"/>
      <c r="I863" s="1"/>
      <c r="J863" s="1"/>
      <c r="K863" s="1"/>
      <c r="L863" s="1"/>
      <c r="M863" s="1"/>
      <c r="N863" s="1"/>
      <c r="O863" s="1"/>
      <c r="P863" s="1"/>
      <c r="Q863" s="1"/>
      <c r="R863" s="1"/>
      <c r="S863" s="1"/>
      <c r="T863" s="1"/>
      <c r="U863" s="2"/>
      <c r="V863" s="1"/>
      <c r="W863" s="1"/>
      <c r="X863" s="1"/>
      <c r="Y863" s="1"/>
      <c r="Z863" s="1"/>
    </row>
    <row r="864" spans="1:26" ht="24.75" customHeight="1">
      <c r="A864" s="1"/>
      <c r="B864" s="1"/>
      <c r="C864" s="1"/>
      <c r="D864" s="1"/>
      <c r="E864" s="1"/>
      <c r="F864" s="1"/>
      <c r="G864" s="1"/>
      <c r="H864" s="1"/>
      <c r="I864" s="1"/>
      <c r="J864" s="1"/>
      <c r="K864" s="1"/>
      <c r="L864" s="1"/>
      <c r="M864" s="1"/>
      <c r="N864" s="1"/>
      <c r="O864" s="1"/>
      <c r="P864" s="1"/>
      <c r="Q864" s="1"/>
      <c r="R864" s="1"/>
      <c r="S864" s="1"/>
      <c r="T864" s="1"/>
      <c r="U864" s="2"/>
      <c r="V864" s="1"/>
      <c r="W864" s="1"/>
      <c r="X864" s="1"/>
      <c r="Y864" s="1"/>
      <c r="Z864" s="1"/>
    </row>
    <row r="865" spans="1:26" ht="24.75" customHeight="1">
      <c r="A865" s="1"/>
      <c r="B865" s="1"/>
      <c r="C865" s="1"/>
      <c r="D865" s="1"/>
      <c r="E865" s="1"/>
      <c r="F865" s="1"/>
      <c r="G865" s="1"/>
      <c r="H865" s="1"/>
      <c r="I865" s="1"/>
      <c r="J865" s="1"/>
      <c r="K865" s="1"/>
      <c r="L865" s="1"/>
      <c r="M865" s="1"/>
      <c r="N865" s="1"/>
      <c r="O865" s="1"/>
      <c r="P865" s="1"/>
      <c r="Q865" s="1"/>
      <c r="R865" s="1"/>
      <c r="S865" s="1"/>
      <c r="T865" s="1"/>
      <c r="U865" s="2"/>
      <c r="V865" s="1"/>
      <c r="W865" s="1"/>
      <c r="X865" s="1"/>
      <c r="Y865" s="1"/>
      <c r="Z865" s="1"/>
    </row>
    <row r="866" spans="1:26" ht="24.75" customHeight="1">
      <c r="A866" s="1"/>
      <c r="B866" s="1"/>
      <c r="C866" s="1"/>
      <c r="D866" s="1"/>
      <c r="E866" s="1"/>
      <c r="F866" s="1"/>
      <c r="G866" s="1"/>
      <c r="H866" s="1"/>
      <c r="I866" s="1"/>
      <c r="J866" s="1"/>
      <c r="K866" s="1"/>
      <c r="L866" s="1"/>
      <c r="M866" s="1"/>
      <c r="N866" s="1"/>
      <c r="O866" s="1"/>
      <c r="P866" s="1"/>
      <c r="Q866" s="1"/>
      <c r="R866" s="1"/>
      <c r="S866" s="1"/>
      <c r="T866" s="1"/>
      <c r="U866" s="2"/>
      <c r="V866" s="1"/>
      <c r="W866" s="1"/>
      <c r="X866" s="1"/>
      <c r="Y866" s="1"/>
      <c r="Z866" s="1"/>
    </row>
    <row r="867" spans="1:26" ht="24.75" customHeight="1">
      <c r="A867" s="1"/>
      <c r="B867" s="1"/>
      <c r="C867" s="1"/>
      <c r="D867" s="1"/>
      <c r="E867" s="1"/>
      <c r="F867" s="1"/>
      <c r="G867" s="1"/>
      <c r="H867" s="1"/>
      <c r="I867" s="1"/>
      <c r="J867" s="1"/>
      <c r="K867" s="1"/>
      <c r="L867" s="1"/>
      <c r="M867" s="1"/>
      <c r="N867" s="1"/>
      <c r="O867" s="1"/>
      <c r="P867" s="1"/>
      <c r="Q867" s="1"/>
      <c r="R867" s="1"/>
      <c r="S867" s="1"/>
      <c r="T867" s="1"/>
      <c r="U867" s="2"/>
      <c r="V867" s="1"/>
      <c r="W867" s="1"/>
      <c r="X867" s="1"/>
      <c r="Y867" s="1"/>
      <c r="Z867" s="1"/>
    </row>
    <row r="868" spans="1:26" ht="24.75" customHeight="1">
      <c r="A868" s="1"/>
      <c r="B868" s="1"/>
      <c r="C868" s="1"/>
      <c r="D868" s="1"/>
      <c r="E868" s="1"/>
      <c r="F868" s="1"/>
      <c r="G868" s="1"/>
      <c r="H868" s="1"/>
      <c r="I868" s="1"/>
      <c r="J868" s="1"/>
      <c r="K868" s="1"/>
      <c r="L868" s="1"/>
      <c r="M868" s="1"/>
      <c r="N868" s="1"/>
      <c r="O868" s="1"/>
      <c r="P868" s="1"/>
      <c r="Q868" s="1"/>
      <c r="R868" s="1"/>
      <c r="S868" s="1"/>
      <c r="T868" s="1"/>
      <c r="U868" s="2"/>
      <c r="V868" s="1"/>
      <c r="W868" s="1"/>
      <c r="X868" s="1"/>
      <c r="Y868" s="1"/>
      <c r="Z868" s="1"/>
    </row>
    <row r="869" spans="1:26" ht="24.75" customHeight="1">
      <c r="A869" s="1"/>
      <c r="B869" s="1"/>
      <c r="C869" s="1"/>
      <c r="D869" s="1"/>
      <c r="E869" s="1"/>
      <c r="F869" s="1"/>
      <c r="G869" s="1"/>
      <c r="H869" s="1"/>
      <c r="I869" s="1"/>
      <c r="J869" s="1"/>
      <c r="K869" s="1"/>
      <c r="L869" s="1"/>
      <c r="M869" s="1"/>
      <c r="N869" s="1"/>
      <c r="O869" s="1"/>
      <c r="P869" s="1"/>
      <c r="Q869" s="1"/>
      <c r="R869" s="1"/>
      <c r="S869" s="1"/>
      <c r="T869" s="1"/>
      <c r="U869" s="2"/>
      <c r="V869" s="1"/>
      <c r="W869" s="1"/>
      <c r="X869" s="1"/>
      <c r="Y869" s="1"/>
      <c r="Z869" s="1"/>
    </row>
    <row r="870" spans="1:26" ht="24.75" customHeight="1">
      <c r="A870" s="1"/>
      <c r="B870" s="1"/>
      <c r="C870" s="1"/>
      <c r="D870" s="1"/>
      <c r="E870" s="1"/>
      <c r="F870" s="1"/>
      <c r="G870" s="1"/>
      <c r="H870" s="1"/>
      <c r="I870" s="1"/>
      <c r="J870" s="1"/>
      <c r="K870" s="1"/>
      <c r="L870" s="1"/>
      <c r="M870" s="1"/>
      <c r="N870" s="1"/>
      <c r="O870" s="1"/>
      <c r="P870" s="1"/>
      <c r="Q870" s="1"/>
      <c r="R870" s="1"/>
      <c r="S870" s="1"/>
      <c r="T870" s="1"/>
      <c r="U870" s="2"/>
      <c r="V870" s="1"/>
      <c r="W870" s="1"/>
      <c r="X870" s="1"/>
      <c r="Y870" s="1"/>
      <c r="Z870" s="1"/>
    </row>
    <row r="871" spans="1:26" ht="24.75" customHeight="1">
      <c r="A871" s="1"/>
      <c r="B871" s="1"/>
      <c r="C871" s="1"/>
      <c r="D871" s="1"/>
      <c r="E871" s="1"/>
      <c r="F871" s="1"/>
      <c r="G871" s="1"/>
      <c r="H871" s="1"/>
      <c r="I871" s="1"/>
      <c r="J871" s="1"/>
      <c r="K871" s="1"/>
      <c r="L871" s="1"/>
      <c r="M871" s="1"/>
      <c r="N871" s="1"/>
      <c r="O871" s="1"/>
      <c r="P871" s="1"/>
      <c r="Q871" s="1"/>
      <c r="R871" s="1"/>
      <c r="S871" s="1"/>
      <c r="T871" s="1"/>
      <c r="U871" s="2"/>
      <c r="V871" s="1"/>
      <c r="W871" s="1"/>
      <c r="X871" s="1"/>
      <c r="Y871" s="1"/>
      <c r="Z871" s="1"/>
    </row>
    <row r="872" spans="1:26" ht="24.75" customHeight="1">
      <c r="A872" s="1"/>
      <c r="B872" s="1"/>
      <c r="C872" s="1"/>
      <c r="D872" s="1"/>
      <c r="E872" s="1"/>
      <c r="F872" s="1"/>
      <c r="G872" s="1"/>
      <c r="H872" s="1"/>
      <c r="I872" s="1"/>
      <c r="J872" s="1"/>
      <c r="K872" s="1"/>
      <c r="L872" s="1"/>
      <c r="M872" s="1"/>
      <c r="N872" s="1"/>
      <c r="O872" s="1"/>
      <c r="P872" s="1"/>
      <c r="Q872" s="1"/>
      <c r="R872" s="1"/>
      <c r="S872" s="1"/>
      <c r="T872" s="1"/>
      <c r="U872" s="2"/>
      <c r="V872" s="1"/>
      <c r="W872" s="1"/>
      <c r="X872" s="1"/>
      <c r="Y872" s="1"/>
      <c r="Z872" s="1"/>
    </row>
    <row r="873" spans="1:26" ht="24.75" customHeight="1">
      <c r="A873" s="1"/>
      <c r="B873" s="1"/>
      <c r="C873" s="1"/>
      <c r="D873" s="1"/>
      <c r="E873" s="1"/>
      <c r="F873" s="1"/>
      <c r="G873" s="1"/>
      <c r="H873" s="1"/>
      <c r="I873" s="1"/>
      <c r="J873" s="1"/>
      <c r="K873" s="1"/>
      <c r="L873" s="1"/>
      <c r="M873" s="1"/>
      <c r="N873" s="1"/>
      <c r="O873" s="1"/>
      <c r="P873" s="1"/>
      <c r="Q873" s="1"/>
      <c r="R873" s="1"/>
      <c r="S873" s="1"/>
      <c r="T873" s="1"/>
      <c r="U873" s="2"/>
      <c r="V873" s="1"/>
      <c r="W873" s="1"/>
      <c r="X873" s="1"/>
      <c r="Y873" s="1"/>
      <c r="Z873" s="1"/>
    </row>
    <row r="874" spans="1:26" ht="24.75" customHeight="1">
      <c r="A874" s="1"/>
      <c r="B874" s="1"/>
      <c r="C874" s="1"/>
      <c r="D874" s="1"/>
      <c r="E874" s="1"/>
      <c r="F874" s="1"/>
      <c r="G874" s="1"/>
      <c r="H874" s="1"/>
      <c r="I874" s="1"/>
      <c r="J874" s="1"/>
      <c r="K874" s="1"/>
      <c r="L874" s="1"/>
      <c r="M874" s="1"/>
      <c r="N874" s="1"/>
      <c r="O874" s="1"/>
      <c r="P874" s="1"/>
      <c r="Q874" s="1"/>
      <c r="R874" s="1"/>
      <c r="S874" s="1"/>
      <c r="T874" s="1"/>
      <c r="U874" s="2"/>
      <c r="V874" s="1"/>
      <c r="W874" s="1"/>
      <c r="X874" s="1"/>
      <c r="Y874" s="1"/>
      <c r="Z874" s="1"/>
    </row>
    <row r="875" spans="1:26" ht="24.75" customHeight="1">
      <c r="A875" s="1"/>
      <c r="B875" s="1"/>
      <c r="C875" s="1"/>
      <c r="D875" s="1"/>
      <c r="E875" s="1"/>
      <c r="F875" s="1"/>
      <c r="G875" s="1"/>
      <c r="H875" s="1"/>
      <c r="I875" s="1"/>
      <c r="J875" s="1"/>
      <c r="K875" s="1"/>
      <c r="L875" s="1"/>
      <c r="M875" s="1"/>
      <c r="N875" s="1"/>
      <c r="O875" s="1"/>
      <c r="P875" s="1"/>
      <c r="Q875" s="1"/>
      <c r="R875" s="1"/>
      <c r="S875" s="1"/>
      <c r="T875" s="1"/>
      <c r="U875" s="2"/>
      <c r="V875" s="1"/>
      <c r="W875" s="1"/>
      <c r="X875" s="1"/>
      <c r="Y875" s="1"/>
      <c r="Z875" s="1"/>
    </row>
    <row r="876" spans="1:26" ht="24.75" customHeight="1">
      <c r="A876" s="1"/>
      <c r="B876" s="1"/>
      <c r="C876" s="1"/>
      <c r="D876" s="1"/>
      <c r="E876" s="1"/>
      <c r="F876" s="1"/>
      <c r="G876" s="1"/>
      <c r="H876" s="1"/>
      <c r="I876" s="1"/>
      <c r="J876" s="1"/>
      <c r="K876" s="1"/>
      <c r="L876" s="1"/>
      <c r="M876" s="1"/>
      <c r="N876" s="1"/>
      <c r="O876" s="1"/>
      <c r="P876" s="1"/>
      <c r="Q876" s="1"/>
      <c r="R876" s="1"/>
      <c r="S876" s="1"/>
      <c r="T876" s="1"/>
      <c r="U876" s="2"/>
      <c r="V876" s="1"/>
      <c r="W876" s="1"/>
      <c r="X876" s="1"/>
      <c r="Y876" s="1"/>
      <c r="Z876" s="1"/>
    </row>
    <row r="877" spans="1:26" ht="24.75" customHeight="1">
      <c r="A877" s="1"/>
      <c r="B877" s="1"/>
      <c r="C877" s="1"/>
      <c r="D877" s="1"/>
      <c r="E877" s="1"/>
      <c r="F877" s="1"/>
      <c r="G877" s="1"/>
      <c r="H877" s="1"/>
      <c r="I877" s="1"/>
      <c r="J877" s="1"/>
      <c r="K877" s="1"/>
      <c r="L877" s="1"/>
      <c r="M877" s="1"/>
      <c r="N877" s="1"/>
      <c r="O877" s="1"/>
      <c r="P877" s="1"/>
      <c r="Q877" s="1"/>
      <c r="R877" s="1"/>
      <c r="S877" s="1"/>
      <c r="T877" s="1"/>
      <c r="U877" s="2"/>
      <c r="V877" s="1"/>
      <c r="W877" s="1"/>
      <c r="X877" s="1"/>
      <c r="Y877" s="1"/>
      <c r="Z877" s="1"/>
    </row>
    <row r="878" spans="1:26" ht="24.75" customHeight="1">
      <c r="A878" s="1"/>
      <c r="B878" s="1"/>
      <c r="C878" s="1"/>
      <c r="D878" s="1"/>
      <c r="E878" s="1"/>
      <c r="F878" s="1"/>
      <c r="G878" s="1"/>
      <c r="H878" s="1"/>
      <c r="I878" s="1"/>
      <c r="J878" s="1"/>
      <c r="K878" s="1"/>
      <c r="L878" s="1"/>
      <c r="M878" s="1"/>
      <c r="N878" s="1"/>
      <c r="O878" s="1"/>
      <c r="P878" s="1"/>
      <c r="Q878" s="1"/>
      <c r="R878" s="1"/>
      <c r="S878" s="1"/>
      <c r="T878" s="1"/>
      <c r="U878" s="2"/>
      <c r="V878" s="1"/>
      <c r="W878" s="1"/>
      <c r="X878" s="1"/>
      <c r="Y878" s="1"/>
      <c r="Z878" s="1"/>
    </row>
    <row r="879" spans="1:26" ht="24.75" customHeight="1">
      <c r="A879" s="1"/>
      <c r="B879" s="1"/>
      <c r="C879" s="1"/>
      <c r="D879" s="1"/>
      <c r="E879" s="1"/>
      <c r="F879" s="1"/>
      <c r="G879" s="1"/>
      <c r="H879" s="1"/>
      <c r="I879" s="1"/>
      <c r="J879" s="1"/>
      <c r="K879" s="1"/>
      <c r="L879" s="1"/>
      <c r="M879" s="1"/>
      <c r="N879" s="1"/>
      <c r="O879" s="1"/>
      <c r="P879" s="1"/>
      <c r="Q879" s="1"/>
      <c r="R879" s="1"/>
      <c r="S879" s="1"/>
      <c r="T879" s="1"/>
      <c r="U879" s="2"/>
      <c r="V879" s="1"/>
      <c r="W879" s="1"/>
      <c r="X879" s="1"/>
      <c r="Y879" s="1"/>
      <c r="Z879" s="1"/>
    </row>
    <row r="880" spans="1:26" ht="24.75" customHeight="1">
      <c r="A880" s="1"/>
      <c r="B880" s="1"/>
      <c r="C880" s="1"/>
      <c r="D880" s="1"/>
      <c r="E880" s="1"/>
      <c r="F880" s="1"/>
      <c r="G880" s="1"/>
      <c r="H880" s="1"/>
      <c r="I880" s="1"/>
      <c r="J880" s="1"/>
      <c r="K880" s="1"/>
      <c r="L880" s="1"/>
      <c r="M880" s="1"/>
      <c r="N880" s="1"/>
      <c r="O880" s="1"/>
      <c r="P880" s="1"/>
      <c r="Q880" s="1"/>
      <c r="R880" s="1"/>
      <c r="S880" s="1"/>
      <c r="T880" s="1"/>
      <c r="U880" s="2"/>
      <c r="V880" s="1"/>
      <c r="W880" s="1"/>
      <c r="X880" s="1"/>
      <c r="Y880" s="1"/>
      <c r="Z880" s="1"/>
    </row>
    <row r="881" spans="1:26" ht="24.75" customHeight="1">
      <c r="A881" s="1"/>
      <c r="B881" s="1"/>
      <c r="C881" s="1"/>
      <c r="D881" s="1"/>
      <c r="E881" s="1"/>
      <c r="F881" s="1"/>
      <c r="G881" s="1"/>
      <c r="H881" s="1"/>
      <c r="I881" s="1"/>
      <c r="J881" s="1"/>
      <c r="K881" s="1"/>
      <c r="L881" s="1"/>
      <c r="M881" s="1"/>
      <c r="N881" s="1"/>
      <c r="O881" s="1"/>
      <c r="P881" s="1"/>
      <c r="Q881" s="1"/>
      <c r="R881" s="1"/>
      <c r="S881" s="1"/>
      <c r="T881" s="1"/>
      <c r="U881" s="2"/>
      <c r="V881" s="1"/>
      <c r="W881" s="1"/>
      <c r="X881" s="1"/>
      <c r="Y881" s="1"/>
      <c r="Z881" s="1"/>
    </row>
    <row r="882" spans="1:26" ht="24.75" customHeight="1">
      <c r="A882" s="1"/>
      <c r="B882" s="1"/>
      <c r="C882" s="1"/>
      <c r="D882" s="1"/>
      <c r="E882" s="1"/>
      <c r="F882" s="1"/>
      <c r="G882" s="1"/>
      <c r="H882" s="1"/>
      <c r="I882" s="1"/>
      <c r="J882" s="1"/>
      <c r="K882" s="1"/>
      <c r="L882" s="1"/>
      <c r="M882" s="1"/>
      <c r="N882" s="1"/>
      <c r="O882" s="1"/>
      <c r="P882" s="1"/>
      <c r="Q882" s="1"/>
      <c r="R882" s="1"/>
      <c r="S882" s="1"/>
      <c r="T882" s="1"/>
      <c r="U882" s="2"/>
      <c r="V882" s="1"/>
      <c r="W882" s="1"/>
      <c r="X882" s="1"/>
      <c r="Y882" s="1"/>
      <c r="Z882" s="1"/>
    </row>
    <row r="883" spans="1:26" ht="24.75" customHeight="1">
      <c r="A883" s="1"/>
      <c r="B883" s="1"/>
      <c r="C883" s="1"/>
      <c r="D883" s="1"/>
      <c r="E883" s="1"/>
      <c r="F883" s="1"/>
      <c r="G883" s="1"/>
      <c r="H883" s="1"/>
      <c r="I883" s="1"/>
      <c r="J883" s="1"/>
      <c r="K883" s="1"/>
      <c r="L883" s="1"/>
      <c r="M883" s="1"/>
      <c r="N883" s="1"/>
      <c r="O883" s="1"/>
      <c r="P883" s="1"/>
      <c r="Q883" s="1"/>
      <c r="R883" s="1"/>
      <c r="S883" s="1"/>
      <c r="T883" s="1"/>
      <c r="U883" s="2"/>
      <c r="V883" s="1"/>
      <c r="W883" s="1"/>
      <c r="X883" s="1"/>
      <c r="Y883" s="1"/>
      <c r="Z883" s="1"/>
    </row>
    <row r="884" spans="1:26" ht="24.75" customHeight="1">
      <c r="A884" s="1"/>
      <c r="B884" s="1"/>
      <c r="C884" s="1"/>
      <c r="D884" s="1"/>
      <c r="E884" s="1"/>
      <c r="F884" s="1"/>
      <c r="G884" s="1"/>
      <c r="H884" s="1"/>
      <c r="I884" s="1"/>
      <c r="J884" s="1"/>
      <c r="K884" s="1"/>
      <c r="L884" s="1"/>
      <c r="M884" s="1"/>
      <c r="N884" s="1"/>
      <c r="O884" s="1"/>
      <c r="P884" s="1"/>
      <c r="Q884" s="1"/>
      <c r="R884" s="1"/>
      <c r="S884" s="1"/>
      <c r="T884" s="1"/>
      <c r="U884" s="2"/>
      <c r="V884" s="1"/>
      <c r="W884" s="1"/>
      <c r="X884" s="1"/>
      <c r="Y884" s="1"/>
      <c r="Z884" s="1"/>
    </row>
    <row r="885" spans="1:26" ht="24.75" customHeight="1">
      <c r="A885" s="1"/>
      <c r="B885" s="1"/>
      <c r="C885" s="1"/>
      <c r="D885" s="1"/>
      <c r="E885" s="1"/>
      <c r="F885" s="1"/>
      <c r="G885" s="1"/>
      <c r="H885" s="1"/>
      <c r="I885" s="1"/>
      <c r="J885" s="1"/>
      <c r="K885" s="1"/>
      <c r="L885" s="1"/>
      <c r="M885" s="1"/>
      <c r="N885" s="1"/>
      <c r="O885" s="1"/>
      <c r="P885" s="1"/>
      <c r="Q885" s="1"/>
      <c r="R885" s="1"/>
      <c r="S885" s="1"/>
      <c r="T885" s="1"/>
      <c r="U885" s="2"/>
      <c r="V885" s="1"/>
      <c r="W885" s="1"/>
      <c r="X885" s="1"/>
      <c r="Y885" s="1"/>
      <c r="Z885" s="1"/>
    </row>
    <row r="886" spans="1:26" ht="24.75" customHeight="1">
      <c r="A886" s="1"/>
      <c r="B886" s="1"/>
      <c r="C886" s="1"/>
      <c r="D886" s="1"/>
      <c r="E886" s="1"/>
      <c r="F886" s="1"/>
      <c r="G886" s="1"/>
      <c r="H886" s="1"/>
      <c r="I886" s="1"/>
      <c r="J886" s="1"/>
      <c r="K886" s="1"/>
      <c r="L886" s="1"/>
      <c r="M886" s="1"/>
      <c r="N886" s="1"/>
      <c r="O886" s="1"/>
      <c r="P886" s="1"/>
      <c r="Q886" s="1"/>
      <c r="R886" s="1"/>
      <c r="S886" s="1"/>
      <c r="T886" s="1"/>
      <c r="U886" s="2"/>
      <c r="V886" s="1"/>
      <c r="W886" s="1"/>
      <c r="X886" s="1"/>
      <c r="Y886" s="1"/>
      <c r="Z886" s="1"/>
    </row>
    <row r="887" spans="1:26" ht="24.75" customHeight="1">
      <c r="A887" s="1"/>
      <c r="B887" s="1"/>
      <c r="C887" s="1"/>
      <c r="D887" s="1"/>
      <c r="E887" s="1"/>
      <c r="F887" s="1"/>
      <c r="G887" s="1"/>
      <c r="H887" s="1"/>
      <c r="I887" s="1"/>
      <c r="J887" s="1"/>
      <c r="K887" s="1"/>
      <c r="L887" s="1"/>
      <c r="M887" s="1"/>
      <c r="N887" s="1"/>
      <c r="O887" s="1"/>
      <c r="P887" s="1"/>
      <c r="Q887" s="1"/>
      <c r="R887" s="1"/>
      <c r="S887" s="1"/>
      <c r="T887" s="1"/>
      <c r="U887" s="2"/>
      <c r="V887" s="1"/>
      <c r="W887" s="1"/>
      <c r="X887" s="1"/>
      <c r="Y887" s="1"/>
      <c r="Z887" s="1"/>
    </row>
    <row r="888" spans="1:26" ht="24.75" customHeight="1">
      <c r="A888" s="1"/>
      <c r="B888" s="1"/>
      <c r="C888" s="1"/>
      <c r="D888" s="1"/>
      <c r="E888" s="1"/>
      <c r="F888" s="1"/>
      <c r="G888" s="1"/>
      <c r="H888" s="1"/>
      <c r="I888" s="1"/>
      <c r="J888" s="1"/>
      <c r="K888" s="1"/>
      <c r="L888" s="1"/>
      <c r="M888" s="1"/>
      <c r="N888" s="1"/>
      <c r="O888" s="1"/>
      <c r="P888" s="1"/>
      <c r="Q888" s="1"/>
      <c r="R888" s="1"/>
      <c r="S888" s="1"/>
      <c r="T888" s="1"/>
      <c r="U888" s="2"/>
      <c r="V888" s="1"/>
      <c r="W888" s="1"/>
      <c r="X888" s="1"/>
      <c r="Y888" s="1"/>
      <c r="Z888" s="1"/>
    </row>
    <row r="889" spans="1:26" ht="24.75" customHeight="1">
      <c r="A889" s="1"/>
      <c r="B889" s="1"/>
      <c r="C889" s="1"/>
      <c r="D889" s="1"/>
      <c r="E889" s="1"/>
      <c r="F889" s="1"/>
      <c r="G889" s="1"/>
      <c r="H889" s="1"/>
      <c r="I889" s="1"/>
      <c r="J889" s="1"/>
      <c r="K889" s="1"/>
      <c r="L889" s="1"/>
      <c r="M889" s="1"/>
      <c r="N889" s="1"/>
      <c r="O889" s="1"/>
      <c r="P889" s="1"/>
      <c r="Q889" s="1"/>
      <c r="R889" s="1"/>
      <c r="S889" s="1"/>
      <c r="T889" s="1"/>
      <c r="U889" s="2"/>
      <c r="V889" s="1"/>
      <c r="W889" s="1"/>
      <c r="X889" s="1"/>
      <c r="Y889" s="1"/>
      <c r="Z889" s="1"/>
    </row>
    <row r="890" spans="1:26" ht="24.75" customHeight="1">
      <c r="A890" s="1"/>
      <c r="B890" s="1"/>
      <c r="C890" s="1"/>
      <c r="D890" s="1"/>
      <c r="E890" s="1"/>
      <c r="F890" s="1"/>
      <c r="G890" s="1"/>
      <c r="H890" s="1"/>
      <c r="I890" s="1"/>
      <c r="J890" s="1"/>
      <c r="K890" s="1"/>
      <c r="L890" s="1"/>
      <c r="M890" s="1"/>
      <c r="N890" s="1"/>
      <c r="O890" s="1"/>
      <c r="P890" s="1"/>
      <c r="Q890" s="1"/>
      <c r="R890" s="1"/>
      <c r="S890" s="1"/>
      <c r="T890" s="1"/>
      <c r="U890" s="2"/>
      <c r="V890" s="1"/>
      <c r="W890" s="1"/>
      <c r="X890" s="1"/>
      <c r="Y890" s="1"/>
      <c r="Z890" s="1"/>
    </row>
    <row r="891" spans="1:26" ht="24.75" customHeight="1">
      <c r="A891" s="1"/>
      <c r="B891" s="1"/>
      <c r="C891" s="1"/>
      <c r="D891" s="1"/>
      <c r="E891" s="1"/>
      <c r="F891" s="1"/>
      <c r="G891" s="1"/>
      <c r="H891" s="1"/>
      <c r="I891" s="1"/>
      <c r="J891" s="1"/>
      <c r="K891" s="1"/>
      <c r="L891" s="1"/>
      <c r="M891" s="1"/>
      <c r="N891" s="1"/>
      <c r="O891" s="1"/>
      <c r="P891" s="1"/>
      <c r="Q891" s="1"/>
      <c r="R891" s="1"/>
      <c r="S891" s="1"/>
      <c r="T891" s="1"/>
      <c r="U891" s="2"/>
      <c r="V891" s="1"/>
      <c r="W891" s="1"/>
      <c r="X891" s="1"/>
      <c r="Y891" s="1"/>
      <c r="Z891" s="1"/>
    </row>
    <row r="892" spans="1:26" ht="24.75" customHeight="1">
      <c r="A892" s="1"/>
      <c r="B892" s="1"/>
      <c r="C892" s="1"/>
      <c r="D892" s="1"/>
      <c r="E892" s="1"/>
      <c r="F892" s="1"/>
      <c r="G892" s="1"/>
      <c r="H892" s="1"/>
      <c r="I892" s="1"/>
      <c r="J892" s="1"/>
      <c r="K892" s="1"/>
      <c r="L892" s="1"/>
      <c r="M892" s="1"/>
      <c r="N892" s="1"/>
      <c r="O892" s="1"/>
      <c r="P892" s="1"/>
      <c r="Q892" s="1"/>
      <c r="R892" s="1"/>
      <c r="S892" s="1"/>
      <c r="T892" s="1"/>
      <c r="U892" s="2"/>
      <c r="V892" s="1"/>
      <c r="W892" s="1"/>
      <c r="X892" s="1"/>
      <c r="Y892" s="1"/>
      <c r="Z892" s="1"/>
    </row>
    <row r="893" spans="1:26" ht="24.75" customHeight="1">
      <c r="A893" s="1"/>
      <c r="B893" s="1"/>
      <c r="C893" s="1"/>
      <c r="D893" s="1"/>
      <c r="E893" s="1"/>
      <c r="F893" s="1"/>
      <c r="G893" s="1"/>
      <c r="H893" s="1"/>
      <c r="I893" s="1"/>
      <c r="J893" s="1"/>
      <c r="K893" s="1"/>
      <c r="L893" s="1"/>
      <c r="M893" s="1"/>
      <c r="N893" s="1"/>
      <c r="O893" s="1"/>
      <c r="P893" s="1"/>
      <c r="Q893" s="1"/>
      <c r="R893" s="1"/>
      <c r="S893" s="1"/>
      <c r="T893" s="1"/>
      <c r="U893" s="2"/>
      <c r="V893" s="1"/>
      <c r="W893" s="1"/>
      <c r="X893" s="1"/>
      <c r="Y893" s="1"/>
      <c r="Z893" s="1"/>
    </row>
    <row r="894" spans="1:26" ht="24.75" customHeight="1">
      <c r="A894" s="1"/>
      <c r="B894" s="1"/>
      <c r="C894" s="1"/>
      <c r="D894" s="1"/>
      <c r="E894" s="1"/>
      <c r="F894" s="1"/>
      <c r="G894" s="1"/>
      <c r="H894" s="1"/>
      <c r="I894" s="1"/>
      <c r="J894" s="1"/>
      <c r="K894" s="1"/>
      <c r="L894" s="1"/>
      <c r="M894" s="1"/>
      <c r="N894" s="1"/>
      <c r="O894" s="1"/>
      <c r="P894" s="1"/>
      <c r="Q894" s="1"/>
      <c r="R894" s="1"/>
      <c r="S894" s="1"/>
      <c r="T894" s="1"/>
      <c r="U894" s="2"/>
      <c r="V894" s="1"/>
      <c r="W894" s="1"/>
      <c r="X894" s="1"/>
      <c r="Y894" s="1"/>
      <c r="Z894" s="1"/>
    </row>
    <row r="895" spans="1:26" ht="24.75" customHeight="1">
      <c r="A895" s="1"/>
      <c r="B895" s="1"/>
      <c r="C895" s="1"/>
      <c r="D895" s="1"/>
      <c r="E895" s="1"/>
      <c r="F895" s="1"/>
      <c r="G895" s="1"/>
      <c r="H895" s="1"/>
      <c r="I895" s="1"/>
      <c r="J895" s="1"/>
      <c r="K895" s="1"/>
      <c r="L895" s="1"/>
      <c r="M895" s="1"/>
      <c r="N895" s="1"/>
      <c r="O895" s="1"/>
      <c r="P895" s="1"/>
      <c r="Q895" s="1"/>
      <c r="R895" s="1"/>
      <c r="S895" s="1"/>
      <c r="T895" s="1"/>
      <c r="U895" s="2"/>
      <c r="V895" s="1"/>
      <c r="W895" s="1"/>
      <c r="X895" s="1"/>
      <c r="Y895" s="1"/>
      <c r="Z895" s="1"/>
    </row>
    <row r="896" spans="1:26" ht="24.75" customHeight="1">
      <c r="A896" s="1"/>
      <c r="B896" s="1"/>
      <c r="C896" s="1"/>
      <c r="D896" s="1"/>
      <c r="E896" s="1"/>
      <c r="F896" s="1"/>
      <c r="G896" s="1"/>
      <c r="H896" s="1"/>
      <c r="I896" s="1"/>
      <c r="J896" s="1"/>
      <c r="K896" s="1"/>
      <c r="L896" s="1"/>
      <c r="M896" s="1"/>
      <c r="N896" s="1"/>
      <c r="O896" s="1"/>
      <c r="P896" s="1"/>
      <c r="Q896" s="1"/>
      <c r="R896" s="1"/>
      <c r="S896" s="1"/>
      <c r="T896" s="1"/>
      <c r="U896" s="2"/>
      <c r="V896" s="1"/>
      <c r="W896" s="1"/>
      <c r="X896" s="1"/>
      <c r="Y896" s="1"/>
      <c r="Z896" s="1"/>
    </row>
    <row r="897" spans="1:26" ht="24.75" customHeight="1">
      <c r="A897" s="1"/>
      <c r="B897" s="1"/>
      <c r="C897" s="1"/>
      <c r="D897" s="1"/>
      <c r="E897" s="1"/>
      <c r="F897" s="1"/>
      <c r="G897" s="1"/>
      <c r="H897" s="1"/>
      <c r="I897" s="1"/>
      <c r="J897" s="1"/>
      <c r="K897" s="1"/>
      <c r="L897" s="1"/>
      <c r="M897" s="1"/>
      <c r="N897" s="1"/>
      <c r="O897" s="1"/>
      <c r="P897" s="1"/>
      <c r="Q897" s="1"/>
      <c r="R897" s="1"/>
      <c r="S897" s="1"/>
      <c r="T897" s="1"/>
      <c r="U897" s="2"/>
      <c r="V897" s="1"/>
      <c r="W897" s="1"/>
      <c r="X897" s="1"/>
      <c r="Y897" s="1"/>
      <c r="Z897" s="1"/>
    </row>
    <row r="898" spans="1:26" ht="24.75" customHeight="1">
      <c r="A898" s="1"/>
      <c r="B898" s="1"/>
      <c r="C898" s="1"/>
      <c r="D898" s="1"/>
      <c r="E898" s="1"/>
      <c r="F898" s="1"/>
      <c r="G898" s="1"/>
      <c r="H898" s="1"/>
      <c r="I898" s="1"/>
      <c r="J898" s="1"/>
      <c r="K898" s="1"/>
      <c r="L898" s="1"/>
      <c r="M898" s="1"/>
      <c r="N898" s="1"/>
      <c r="O898" s="1"/>
      <c r="P898" s="1"/>
      <c r="Q898" s="1"/>
      <c r="R898" s="1"/>
      <c r="S898" s="1"/>
      <c r="T898" s="1"/>
      <c r="U898" s="2"/>
      <c r="V898" s="1"/>
      <c r="W898" s="1"/>
      <c r="X898" s="1"/>
      <c r="Y898" s="1"/>
      <c r="Z898" s="1"/>
    </row>
    <row r="899" spans="1:26" ht="24.75" customHeight="1">
      <c r="A899" s="1"/>
      <c r="B899" s="1"/>
      <c r="C899" s="1"/>
      <c r="D899" s="1"/>
      <c r="E899" s="1"/>
      <c r="F899" s="1"/>
      <c r="G899" s="1"/>
      <c r="H899" s="1"/>
      <c r="I899" s="1"/>
      <c r="J899" s="1"/>
      <c r="K899" s="1"/>
      <c r="L899" s="1"/>
      <c r="M899" s="1"/>
      <c r="N899" s="1"/>
      <c r="O899" s="1"/>
      <c r="P899" s="1"/>
      <c r="Q899" s="1"/>
      <c r="R899" s="1"/>
      <c r="S899" s="1"/>
      <c r="T899" s="1"/>
      <c r="U899" s="2"/>
      <c r="V899" s="1"/>
      <c r="W899" s="1"/>
      <c r="X899" s="1"/>
      <c r="Y899" s="1"/>
      <c r="Z899" s="1"/>
    </row>
    <row r="900" spans="1:26" ht="24.75" customHeight="1">
      <c r="A900" s="1"/>
      <c r="B900" s="1"/>
      <c r="C900" s="1"/>
      <c r="D900" s="1"/>
      <c r="E900" s="1"/>
      <c r="F900" s="1"/>
      <c r="G900" s="1"/>
      <c r="H900" s="1"/>
      <c r="I900" s="1"/>
      <c r="J900" s="1"/>
      <c r="K900" s="1"/>
      <c r="L900" s="1"/>
      <c r="M900" s="1"/>
      <c r="N900" s="1"/>
      <c r="O900" s="1"/>
      <c r="P900" s="1"/>
      <c r="Q900" s="1"/>
      <c r="R900" s="1"/>
      <c r="S900" s="1"/>
      <c r="T900" s="1"/>
      <c r="U900" s="2"/>
      <c r="V900" s="1"/>
      <c r="W900" s="1"/>
      <c r="X900" s="1"/>
      <c r="Y900" s="1"/>
      <c r="Z900" s="1"/>
    </row>
    <row r="901" spans="1:26" ht="24.75" customHeight="1">
      <c r="A901" s="1"/>
      <c r="B901" s="1"/>
      <c r="C901" s="1"/>
      <c r="D901" s="1"/>
      <c r="E901" s="1"/>
      <c r="F901" s="1"/>
      <c r="G901" s="1"/>
      <c r="H901" s="1"/>
      <c r="I901" s="1"/>
      <c r="J901" s="1"/>
      <c r="K901" s="1"/>
      <c r="L901" s="1"/>
      <c r="M901" s="1"/>
      <c r="N901" s="1"/>
      <c r="O901" s="1"/>
      <c r="P901" s="1"/>
      <c r="Q901" s="1"/>
      <c r="R901" s="1"/>
      <c r="S901" s="1"/>
      <c r="T901" s="1"/>
      <c r="U901" s="2"/>
      <c r="V901" s="1"/>
      <c r="W901" s="1"/>
      <c r="X901" s="1"/>
      <c r="Y901" s="1"/>
      <c r="Z901" s="1"/>
    </row>
    <row r="902" spans="1:26" ht="24.75" customHeight="1">
      <c r="A902" s="1"/>
      <c r="B902" s="1"/>
      <c r="C902" s="1"/>
      <c r="D902" s="1"/>
      <c r="E902" s="1"/>
      <c r="F902" s="1"/>
      <c r="G902" s="1"/>
      <c r="H902" s="1"/>
      <c r="I902" s="1"/>
      <c r="J902" s="1"/>
      <c r="K902" s="1"/>
      <c r="L902" s="1"/>
      <c r="M902" s="1"/>
      <c r="N902" s="1"/>
      <c r="O902" s="1"/>
      <c r="P902" s="1"/>
      <c r="Q902" s="1"/>
      <c r="R902" s="1"/>
      <c r="S902" s="1"/>
      <c r="T902" s="1"/>
      <c r="U902" s="2"/>
      <c r="V902" s="1"/>
      <c r="W902" s="1"/>
      <c r="X902" s="1"/>
      <c r="Y902" s="1"/>
      <c r="Z902" s="1"/>
    </row>
    <row r="903" spans="1:26" ht="24.75" customHeight="1">
      <c r="A903" s="1"/>
      <c r="B903" s="1"/>
      <c r="C903" s="1"/>
      <c r="D903" s="1"/>
      <c r="E903" s="1"/>
      <c r="F903" s="1"/>
      <c r="G903" s="1"/>
      <c r="H903" s="1"/>
      <c r="I903" s="1"/>
      <c r="J903" s="1"/>
      <c r="K903" s="1"/>
      <c r="L903" s="1"/>
      <c r="M903" s="1"/>
      <c r="N903" s="1"/>
      <c r="O903" s="1"/>
      <c r="P903" s="1"/>
      <c r="Q903" s="1"/>
      <c r="R903" s="1"/>
      <c r="S903" s="1"/>
      <c r="T903" s="1"/>
      <c r="U903" s="2"/>
      <c r="V903" s="1"/>
      <c r="W903" s="1"/>
      <c r="X903" s="1"/>
      <c r="Y903" s="1"/>
      <c r="Z903" s="1"/>
    </row>
    <row r="904" spans="1:26" ht="24.75" customHeight="1">
      <c r="A904" s="1"/>
      <c r="B904" s="1"/>
      <c r="C904" s="1"/>
      <c r="D904" s="1"/>
      <c r="E904" s="1"/>
      <c r="F904" s="1"/>
      <c r="G904" s="1"/>
      <c r="H904" s="1"/>
      <c r="I904" s="1"/>
      <c r="J904" s="1"/>
      <c r="K904" s="1"/>
      <c r="L904" s="1"/>
      <c r="M904" s="1"/>
      <c r="N904" s="1"/>
      <c r="O904" s="1"/>
      <c r="P904" s="1"/>
      <c r="Q904" s="1"/>
      <c r="R904" s="1"/>
      <c r="S904" s="1"/>
      <c r="T904" s="1"/>
      <c r="U904" s="2"/>
      <c r="V904" s="1"/>
      <c r="W904" s="1"/>
      <c r="X904" s="1"/>
      <c r="Y904" s="1"/>
      <c r="Z904" s="1"/>
    </row>
    <row r="905" spans="1:26" ht="24.75" customHeight="1">
      <c r="A905" s="1"/>
      <c r="B905" s="1"/>
      <c r="C905" s="1"/>
      <c r="D905" s="1"/>
      <c r="E905" s="1"/>
      <c r="F905" s="1"/>
      <c r="G905" s="1"/>
      <c r="H905" s="1"/>
      <c r="I905" s="1"/>
      <c r="J905" s="1"/>
      <c r="K905" s="1"/>
      <c r="L905" s="1"/>
      <c r="M905" s="1"/>
      <c r="N905" s="1"/>
      <c r="O905" s="1"/>
      <c r="P905" s="1"/>
      <c r="Q905" s="1"/>
      <c r="R905" s="1"/>
      <c r="S905" s="1"/>
      <c r="T905" s="1"/>
      <c r="U905" s="2"/>
      <c r="V905" s="1"/>
      <c r="W905" s="1"/>
      <c r="X905" s="1"/>
      <c r="Y905" s="1"/>
      <c r="Z905" s="1"/>
    </row>
    <row r="906" spans="1:26" ht="24.75" customHeight="1">
      <c r="A906" s="1"/>
      <c r="B906" s="1"/>
      <c r="C906" s="1"/>
      <c r="D906" s="1"/>
      <c r="E906" s="1"/>
      <c r="F906" s="1"/>
      <c r="G906" s="1"/>
      <c r="H906" s="1"/>
      <c r="I906" s="1"/>
      <c r="J906" s="1"/>
      <c r="K906" s="1"/>
      <c r="L906" s="1"/>
      <c r="M906" s="1"/>
      <c r="N906" s="1"/>
      <c r="O906" s="1"/>
      <c r="P906" s="1"/>
      <c r="Q906" s="1"/>
      <c r="R906" s="1"/>
      <c r="S906" s="1"/>
      <c r="T906" s="1"/>
      <c r="U906" s="2"/>
      <c r="V906" s="1"/>
      <c r="W906" s="1"/>
      <c r="X906" s="1"/>
      <c r="Y906" s="1"/>
      <c r="Z906" s="1"/>
    </row>
    <row r="907" spans="1:26" ht="24.75" customHeight="1">
      <c r="A907" s="1"/>
      <c r="B907" s="1"/>
      <c r="C907" s="1"/>
      <c r="D907" s="1"/>
      <c r="E907" s="1"/>
      <c r="F907" s="1"/>
      <c r="G907" s="1"/>
      <c r="H907" s="1"/>
      <c r="I907" s="1"/>
      <c r="J907" s="1"/>
      <c r="K907" s="1"/>
      <c r="L907" s="1"/>
      <c r="M907" s="1"/>
      <c r="N907" s="1"/>
      <c r="O907" s="1"/>
      <c r="P907" s="1"/>
      <c r="Q907" s="1"/>
      <c r="R907" s="1"/>
      <c r="S907" s="1"/>
      <c r="T907" s="1"/>
      <c r="U907" s="2"/>
      <c r="V907" s="1"/>
      <c r="W907" s="1"/>
      <c r="X907" s="1"/>
      <c r="Y907" s="1"/>
      <c r="Z907" s="1"/>
    </row>
    <row r="908" spans="1:26" ht="24.75" customHeight="1">
      <c r="A908" s="1"/>
      <c r="B908" s="1"/>
      <c r="C908" s="1"/>
      <c r="D908" s="1"/>
      <c r="E908" s="1"/>
      <c r="F908" s="1"/>
      <c r="G908" s="1"/>
      <c r="H908" s="1"/>
      <c r="I908" s="1"/>
      <c r="J908" s="1"/>
      <c r="K908" s="1"/>
      <c r="L908" s="1"/>
      <c r="M908" s="1"/>
      <c r="N908" s="1"/>
      <c r="O908" s="1"/>
      <c r="P908" s="1"/>
      <c r="Q908" s="1"/>
      <c r="R908" s="1"/>
      <c r="S908" s="1"/>
      <c r="T908" s="1"/>
      <c r="U908" s="2"/>
      <c r="V908" s="1"/>
      <c r="W908" s="1"/>
      <c r="X908" s="1"/>
      <c r="Y908" s="1"/>
      <c r="Z908" s="1"/>
    </row>
    <row r="909" spans="1:26" ht="24.75" customHeight="1">
      <c r="A909" s="1"/>
      <c r="B909" s="1"/>
      <c r="C909" s="1"/>
      <c r="D909" s="1"/>
      <c r="E909" s="1"/>
      <c r="F909" s="1"/>
      <c r="G909" s="1"/>
      <c r="H909" s="1"/>
      <c r="I909" s="1"/>
      <c r="J909" s="1"/>
      <c r="K909" s="1"/>
      <c r="L909" s="1"/>
      <c r="M909" s="1"/>
      <c r="N909" s="1"/>
      <c r="O909" s="1"/>
      <c r="P909" s="1"/>
      <c r="Q909" s="1"/>
      <c r="R909" s="1"/>
      <c r="S909" s="1"/>
      <c r="T909" s="1"/>
      <c r="U909" s="2"/>
      <c r="V909" s="1"/>
      <c r="W909" s="1"/>
      <c r="X909" s="1"/>
      <c r="Y909" s="1"/>
      <c r="Z909" s="1"/>
    </row>
    <row r="910" spans="1:26" ht="24.75" customHeight="1">
      <c r="A910" s="1"/>
      <c r="B910" s="1"/>
      <c r="C910" s="1"/>
      <c r="D910" s="1"/>
      <c r="E910" s="1"/>
      <c r="F910" s="1"/>
      <c r="G910" s="1"/>
      <c r="H910" s="1"/>
      <c r="I910" s="1"/>
      <c r="J910" s="1"/>
      <c r="K910" s="1"/>
      <c r="L910" s="1"/>
      <c r="M910" s="1"/>
      <c r="N910" s="1"/>
      <c r="O910" s="1"/>
      <c r="P910" s="1"/>
      <c r="Q910" s="1"/>
      <c r="R910" s="1"/>
      <c r="S910" s="1"/>
      <c r="T910" s="1"/>
      <c r="U910" s="2"/>
      <c r="V910" s="1"/>
      <c r="W910" s="1"/>
      <c r="X910" s="1"/>
      <c r="Y910" s="1"/>
      <c r="Z910" s="1"/>
    </row>
    <row r="911" spans="1:26" ht="24.75" customHeight="1">
      <c r="A911" s="1"/>
      <c r="B911" s="1"/>
      <c r="C911" s="1"/>
      <c r="D911" s="1"/>
      <c r="E911" s="1"/>
      <c r="F911" s="1"/>
      <c r="G911" s="1"/>
      <c r="H911" s="1"/>
      <c r="I911" s="1"/>
      <c r="J911" s="1"/>
      <c r="K911" s="1"/>
      <c r="L911" s="1"/>
      <c r="M911" s="1"/>
      <c r="N911" s="1"/>
      <c r="O911" s="1"/>
      <c r="P911" s="1"/>
      <c r="Q911" s="1"/>
      <c r="R911" s="1"/>
      <c r="S911" s="1"/>
      <c r="T911" s="1"/>
      <c r="U911" s="2"/>
      <c r="V911" s="1"/>
      <c r="W911" s="1"/>
      <c r="X911" s="1"/>
      <c r="Y911" s="1"/>
      <c r="Z911" s="1"/>
    </row>
    <row r="912" spans="1:26" ht="24.75" customHeight="1">
      <c r="A912" s="1"/>
      <c r="B912" s="1"/>
      <c r="C912" s="1"/>
      <c r="D912" s="1"/>
      <c r="E912" s="1"/>
      <c r="F912" s="1"/>
      <c r="G912" s="1"/>
      <c r="H912" s="1"/>
      <c r="I912" s="1"/>
      <c r="J912" s="1"/>
      <c r="K912" s="1"/>
      <c r="L912" s="1"/>
      <c r="M912" s="1"/>
      <c r="N912" s="1"/>
      <c r="O912" s="1"/>
      <c r="P912" s="1"/>
      <c r="Q912" s="1"/>
      <c r="R912" s="1"/>
      <c r="S912" s="1"/>
      <c r="T912" s="1"/>
      <c r="U912" s="2"/>
      <c r="V912" s="1"/>
      <c r="W912" s="1"/>
      <c r="X912" s="1"/>
      <c r="Y912" s="1"/>
      <c r="Z912" s="1"/>
    </row>
    <row r="913" spans="1:26" ht="24.75" customHeight="1">
      <c r="A913" s="1"/>
      <c r="B913" s="1"/>
      <c r="C913" s="1"/>
      <c r="D913" s="1"/>
      <c r="E913" s="1"/>
      <c r="F913" s="1"/>
      <c r="G913" s="1"/>
      <c r="H913" s="1"/>
      <c r="I913" s="1"/>
      <c r="J913" s="1"/>
      <c r="K913" s="1"/>
      <c r="L913" s="1"/>
      <c r="M913" s="1"/>
      <c r="N913" s="1"/>
      <c r="O913" s="1"/>
      <c r="P913" s="1"/>
      <c r="Q913" s="1"/>
      <c r="R913" s="1"/>
      <c r="S913" s="1"/>
      <c r="T913" s="1"/>
      <c r="U913" s="2"/>
      <c r="V913" s="1"/>
      <c r="W913" s="1"/>
      <c r="X913" s="1"/>
      <c r="Y913" s="1"/>
      <c r="Z913" s="1"/>
    </row>
    <row r="914" spans="1:26" ht="24.75" customHeight="1">
      <c r="A914" s="1"/>
      <c r="B914" s="1"/>
      <c r="C914" s="1"/>
      <c r="D914" s="1"/>
      <c r="E914" s="1"/>
      <c r="F914" s="1"/>
      <c r="G914" s="1"/>
      <c r="H914" s="1"/>
      <c r="I914" s="1"/>
      <c r="J914" s="1"/>
      <c r="K914" s="1"/>
      <c r="L914" s="1"/>
      <c r="M914" s="1"/>
      <c r="N914" s="1"/>
      <c r="O914" s="1"/>
      <c r="P914" s="1"/>
      <c r="Q914" s="1"/>
      <c r="R914" s="1"/>
      <c r="S914" s="1"/>
      <c r="T914" s="1"/>
      <c r="U914" s="2"/>
      <c r="V914" s="1"/>
      <c r="W914" s="1"/>
      <c r="X914" s="1"/>
      <c r="Y914" s="1"/>
      <c r="Z914" s="1"/>
    </row>
    <row r="915" spans="1:26" ht="24.75" customHeight="1">
      <c r="A915" s="1"/>
      <c r="B915" s="1"/>
      <c r="C915" s="1"/>
      <c r="D915" s="1"/>
      <c r="E915" s="1"/>
      <c r="F915" s="1"/>
      <c r="G915" s="1"/>
      <c r="H915" s="1"/>
      <c r="I915" s="1"/>
      <c r="J915" s="1"/>
      <c r="K915" s="1"/>
      <c r="L915" s="1"/>
      <c r="M915" s="1"/>
      <c r="N915" s="1"/>
      <c r="O915" s="1"/>
      <c r="P915" s="1"/>
      <c r="Q915" s="1"/>
      <c r="R915" s="1"/>
      <c r="S915" s="1"/>
      <c r="T915" s="1"/>
      <c r="U915" s="2"/>
      <c r="V915" s="1"/>
      <c r="W915" s="1"/>
      <c r="X915" s="1"/>
      <c r="Y915" s="1"/>
      <c r="Z915" s="1"/>
    </row>
    <row r="916" spans="1:26" ht="24.75" customHeight="1">
      <c r="A916" s="1"/>
      <c r="B916" s="1"/>
      <c r="C916" s="1"/>
      <c r="D916" s="1"/>
      <c r="E916" s="1"/>
      <c r="F916" s="1"/>
      <c r="G916" s="1"/>
      <c r="H916" s="1"/>
      <c r="I916" s="1"/>
      <c r="J916" s="1"/>
      <c r="K916" s="1"/>
      <c r="L916" s="1"/>
      <c r="M916" s="1"/>
      <c r="N916" s="1"/>
      <c r="O916" s="1"/>
      <c r="P916" s="1"/>
      <c r="Q916" s="1"/>
      <c r="R916" s="1"/>
      <c r="S916" s="1"/>
      <c r="T916" s="1"/>
      <c r="U916" s="2"/>
      <c r="V916" s="1"/>
      <c r="W916" s="1"/>
      <c r="X916" s="1"/>
      <c r="Y916" s="1"/>
      <c r="Z916" s="1"/>
    </row>
    <row r="917" spans="1:26" ht="24.75" customHeight="1">
      <c r="A917" s="1"/>
      <c r="B917" s="1"/>
      <c r="C917" s="1"/>
      <c r="D917" s="1"/>
      <c r="E917" s="1"/>
      <c r="F917" s="1"/>
      <c r="G917" s="1"/>
      <c r="H917" s="1"/>
      <c r="I917" s="1"/>
      <c r="J917" s="1"/>
      <c r="K917" s="1"/>
      <c r="L917" s="1"/>
      <c r="M917" s="1"/>
      <c r="N917" s="1"/>
      <c r="O917" s="1"/>
      <c r="P917" s="1"/>
      <c r="Q917" s="1"/>
      <c r="R917" s="1"/>
      <c r="S917" s="1"/>
      <c r="T917" s="1"/>
      <c r="U917" s="2"/>
      <c r="V917" s="1"/>
      <c r="W917" s="1"/>
      <c r="X917" s="1"/>
      <c r="Y917" s="1"/>
      <c r="Z917" s="1"/>
    </row>
    <row r="918" spans="1:26" ht="24.75" customHeight="1">
      <c r="A918" s="1"/>
      <c r="B918" s="1"/>
      <c r="C918" s="1"/>
      <c r="D918" s="1"/>
      <c r="E918" s="1"/>
      <c r="F918" s="1"/>
      <c r="G918" s="1"/>
      <c r="H918" s="1"/>
      <c r="I918" s="1"/>
      <c r="J918" s="1"/>
      <c r="K918" s="1"/>
      <c r="L918" s="1"/>
      <c r="M918" s="1"/>
      <c r="N918" s="1"/>
      <c r="O918" s="1"/>
      <c r="P918" s="1"/>
      <c r="Q918" s="1"/>
      <c r="R918" s="1"/>
      <c r="S918" s="1"/>
      <c r="T918" s="1"/>
      <c r="U918" s="2"/>
      <c r="V918" s="1"/>
      <c r="W918" s="1"/>
      <c r="X918" s="1"/>
      <c r="Y918" s="1"/>
      <c r="Z918" s="1"/>
    </row>
    <row r="919" spans="1:26" ht="24.75" customHeight="1">
      <c r="A919" s="1"/>
      <c r="B919" s="1"/>
      <c r="C919" s="1"/>
      <c r="D919" s="1"/>
      <c r="E919" s="1"/>
      <c r="F919" s="1"/>
      <c r="G919" s="1"/>
      <c r="H919" s="1"/>
      <c r="I919" s="1"/>
      <c r="J919" s="1"/>
      <c r="K919" s="1"/>
      <c r="L919" s="1"/>
      <c r="M919" s="1"/>
      <c r="N919" s="1"/>
      <c r="O919" s="1"/>
      <c r="P919" s="1"/>
      <c r="Q919" s="1"/>
      <c r="R919" s="1"/>
      <c r="S919" s="1"/>
      <c r="T919" s="1"/>
      <c r="U919" s="2"/>
      <c r="V919" s="1"/>
      <c r="W919" s="1"/>
      <c r="X919" s="1"/>
      <c r="Y919" s="1"/>
      <c r="Z919" s="1"/>
    </row>
    <row r="920" spans="1:26" ht="24.75" customHeight="1">
      <c r="A920" s="1"/>
      <c r="B920" s="1"/>
      <c r="C920" s="1"/>
      <c r="D920" s="1"/>
      <c r="E920" s="1"/>
      <c r="F920" s="1"/>
      <c r="G920" s="1"/>
      <c r="H920" s="1"/>
      <c r="I920" s="1"/>
      <c r="J920" s="1"/>
      <c r="K920" s="1"/>
      <c r="L920" s="1"/>
      <c r="M920" s="1"/>
      <c r="N920" s="1"/>
      <c r="O920" s="1"/>
      <c r="P920" s="1"/>
      <c r="Q920" s="1"/>
      <c r="R920" s="1"/>
      <c r="S920" s="1"/>
      <c r="T920" s="1"/>
      <c r="U920" s="2"/>
      <c r="V920" s="1"/>
      <c r="W920" s="1"/>
      <c r="X920" s="1"/>
      <c r="Y920" s="1"/>
      <c r="Z920" s="1"/>
    </row>
    <row r="921" spans="1:26" ht="24.75" customHeight="1">
      <c r="A921" s="1"/>
      <c r="B921" s="1"/>
      <c r="C921" s="1"/>
      <c r="D921" s="1"/>
      <c r="E921" s="1"/>
      <c r="F921" s="1"/>
      <c r="G921" s="1"/>
      <c r="H921" s="1"/>
      <c r="I921" s="1"/>
      <c r="J921" s="1"/>
      <c r="K921" s="1"/>
      <c r="L921" s="1"/>
      <c r="M921" s="1"/>
      <c r="N921" s="1"/>
      <c r="O921" s="1"/>
      <c r="P921" s="1"/>
      <c r="Q921" s="1"/>
      <c r="R921" s="1"/>
      <c r="S921" s="1"/>
      <c r="T921" s="1"/>
      <c r="U921" s="2"/>
      <c r="V921" s="1"/>
      <c r="W921" s="1"/>
      <c r="X921" s="1"/>
      <c r="Y921" s="1"/>
      <c r="Z921" s="1"/>
    </row>
    <row r="922" spans="1:26" ht="24.75" customHeight="1">
      <c r="A922" s="1"/>
      <c r="B922" s="1"/>
      <c r="C922" s="1"/>
      <c r="D922" s="1"/>
      <c r="E922" s="1"/>
      <c r="F922" s="1"/>
      <c r="G922" s="1"/>
      <c r="H922" s="1"/>
      <c r="I922" s="1"/>
      <c r="J922" s="1"/>
      <c r="K922" s="1"/>
      <c r="L922" s="1"/>
      <c r="M922" s="1"/>
      <c r="N922" s="1"/>
      <c r="O922" s="1"/>
      <c r="P922" s="1"/>
      <c r="Q922" s="1"/>
      <c r="R922" s="1"/>
      <c r="S922" s="1"/>
      <c r="T922" s="1"/>
      <c r="U922" s="2"/>
      <c r="V922" s="1"/>
      <c r="W922" s="1"/>
      <c r="X922" s="1"/>
      <c r="Y922" s="1"/>
      <c r="Z922" s="1"/>
    </row>
    <row r="923" spans="1:26" ht="24.75" customHeight="1">
      <c r="A923" s="1"/>
      <c r="B923" s="1"/>
      <c r="C923" s="1"/>
      <c r="D923" s="1"/>
      <c r="E923" s="1"/>
      <c r="F923" s="1"/>
      <c r="G923" s="1"/>
      <c r="H923" s="1"/>
      <c r="I923" s="1"/>
      <c r="J923" s="1"/>
      <c r="K923" s="1"/>
      <c r="L923" s="1"/>
      <c r="M923" s="1"/>
      <c r="N923" s="1"/>
      <c r="O923" s="1"/>
      <c r="P923" s="1"/>
      <c r="Q923" s="1"/>
      <c r="R923" s="1"/>
      <c r="S923" s="1"/>
      <c r="T923" s="1"/>
      <c r="U923" s="2"/>
      <c r="V923" s="1"/>
      <c r="W923" s="1"/>
      <c r="X923" s="1"/>
      <c r="Y923" s="1"/>
      <c r="Z923" s="1"/>
    </row>
    <row r="924" spans="1:26" ht="24.75" customHeight="1">
      <c r="A924" s="1"/>
      <c r="B924" s="1"/>
      <c r="C924" s="1"/>
      <c r="D924" s="1"/>
      <c r="E924" s="1"/>
      <c r="F924" s="1"/>
      <c r="G924" s="1"/>
      <c r="H924" s="1"/>
      <c r="I924" s="1"/>
      <c r="J924" s="1"/>
      <c r="K924" s="1"/>
      <c r="L924" s="1"/>
      <c r="M924" s="1"/>
      <c r="N924" s="1"/>
      <c r="O924" s="1"/>
      <c r="P924" s="1"/>
      <c r="Q924" s="1"/>
      <c r="R924" s="1"/>
      <c r="S924" s="1"/>
      <c r="T924" s="1"/>
      <c r="U924" s="2"/>
      <c r="V924" s="1"/>
      <c r="W924" s="1"/>
      <c r="X924" s="1"/>
      <c r="Y924" s="1"/>
      <c r="Z924" s="1"/>
    </row>
    <row r="925" spans="1:26" ht="24.75" customHeight="1">
      <c r="A925" s="1"/>
      <c r="B925" s="1"/>
      <c r="C925" s="1"/>
      <c r="D925" s="1"/>
      <c r="E925" s="1"/>
      <c r="F925" s="1"/>
      <c r="G925" s="1"/>
      <c r="H925" s="1"/>
      <c r="I925" s="1"/>
      <c r="J925" s="1"/>
      <c r="K925" s="1"/>
      <c r="L925" s="1"/>
      <c r="M925" s="1"/>
      <c r="N925" s="1"/>
      <c r="O925" s="1"/>
      <c r="P925" s="1"/>
      <c r="Q925" s="1"/>
      <c r="R925" s="1"/>
      <c r="S925" s="1"/>
      <c r="T925" s="1"/>
      <c r="U925" s="2"/>
      <c r="V925" s="1"/>
      <c r="W925" s="1"/>
      <c r="X925" s="1"/>
      <c r="Y925" s="1"/>
      <c r="Z925" s="1"/>
    </row>
    <row r="926" spans="1:26" ht="24.75" customHeight="1">
      <c r="A926" s="1"/>
      <c r="B926" s="1"/>
      <c r="C926" s="1"/>
      <c r="D926" s="1"/>
      <c r="E926" s="1"/>
      <c r="F926" s="1"/>
      <c r="G926" s="1"/>
      <c r="H926" s="1"/>
      <c r="I926" s="1"/>
      <c r="J926" s="1"/>
      <c r="K926" s="1"/>
      <c r="L926" s="1"/>
      <c r="M926" s="1"/>
      <c r="N926" s="1"/>
      <c r="O926" s="1"/>
      <c r="P926" s="1"/>
      <c r="Q926" s="1"/>
      <c r="R926" s="1"/>
      <c r="S926" s="1"/>
      <c r="T926" s="1"/>
      <c r="U926" s="2"/>
      <c r="V926" s="1"/>
      <c r="W926" s="1"/>
      <c r="X926" s="1"/>
      <c r="Y926" s="1"/>
      <c r="Z926" s="1"/>
    </row>
    <row r="927" spans="1:26" ht="24.75" customHeight="1">
      <c r="A927" s="1"/>
      <c r="B927" s="1"/>
      <c r="C927" s="1"/>
      <c r="D927" s="1"/>
      <c r="E927" s="1"/>
      <c r="F927" s="1"/>
      <c r="G927" s="1"/>
      <c r="H927" s="1"/>
      <c r="I927" s="1"/>
      <c r="J927" s="1"/>
      <c r="K927" s="1"/>
      <c r="L927" s="1"/>
      <c r="M927" s="1"/>
      <c r="N927" s="1"/>
      <c r="O927" s="1"/>
      <c r="P927" s="1"/>
      <c r="Q927" s="1"/>
      <c r="R927" s="1"/>
      <c r="S927" s="1"/>
      <c r="T927" s="1"/>
      <c r="U927" s="2"/>
      <c r="V927" s="1"/>
      <c r="W927" s="1"/>
      <c r="X927" s="1"/>
      <c r="Y927" s="1"/>
      <c r="Z927" s="1"/>
    </row>
    <row r="928" spans="1:26" ht="24.75" customHeight="1">
      <c r="A928" s="1"/>
      <c r="B928" s="1"/>
      <c r="C928" s="1"/>
      <c r="D928" s="1"/>
      <c r="E928" s="1"/>
      <c r="F928" s="1"/>
      <c r="G928" s="1"/>
      <c r="H928" s="1"/>
      <c r="I928" s="1"/>
      <c r="J928" s="1"/>
      <c r="K928" s="1"/>
      <c r="L928" s="1"/>
      <c r="M928" s="1"/>
      <c r="N928" s="1"/>
      <c r="O928" s="1"/>
      <c r="P928" s="1"/>
      <c r="Q928" s="1"/>
      <c r="R928" s="1"/>
      <c r="S928" s="1"/>
      <c r="T928" s="1"/>
      <c r="U928" s="2"/>
      <c r="V928" s="1"/>
      <c r="W928" s="1"/>
      <c r="X928" s="1"/>
      <c r="Y928" s="1"/>
      <c r="Z928" s="1"/>
    </row>
    <row r="929" spans="1:26" ht="24.75" customHeight="1">
      <c r="A929" s="1"/>
      <c r="B929" s="1"/>
      <c r="C929" s="1"/>
      <c r="D929" s="1"/>
      <c r="E929" s="1"/>
      <c r="F929" s="1"/>
      <c r="G929" s="1"/>
      <c r="H929" s="1"/>
      <c r="I929" s="1"/>
      <c r="J929" s="1"/>
      <c r="K929" s="1"/>
      <c r="L929" s="1"/>
      <c r="M929" s="1"/>
      <c r="N929" s="1"/>
      <c r="O929" s="1"/>
      <c r="P929" s="1"/>
      <c r="Q929" s="1"/>
      <c r="R929" s="1"/>
      <c r="S929" s="1"/>
      <c r="T929" s="1"/>
      <c r="U929" s="2"/>
      <c r="V929" s="1"/>
      <c r="W929" s="1"/>
      <c r="X929" s="1"/>
      <c r="Y929" s="1"/>
      <c r="Z929" s="1"/>
    </row>
    <row r="930" spans="1:26" ht="24.75" customHeight="1">
      <c r="A930" s="1"/>
      <c r="B930" s="1"/>
      <c r="C930" s="1"/>
      <c r="D930" s="1"/>
      <c r="E930" s="1"/>
      <c r="F930" s="1"/>
      <c r="G930" s="1"/>
      <c r="H930" s="1"/>
      <c r="I930" s="1"/>
      <c r="J930" s="1"/>
      <c r="K930" s="1"/>
      <c r="L930" s="1"/>
      <c r="M930" s="1"/>
      <c r="N930" s="1"/>
      <c r="O930" s="1"/>
      <c r="P930" s="1"/>
      <c r="Q930" s="1"/>
      <c r="R930" s="1"/>
      <c r="S930" s="1"/>
      <c r="T930" s="1"/>
      <c r="U930" s="2"/>
      <c r="V930" s="1"/>
      <c r="W930" s="1"/>
      <c r="X930" s="1"/>
      <c r="Y930" s="1"/>
      <c r="Z930" s="1"/>
    </row>
    <row r="931" spans="1:26" ht="24.75" customHeight="1">
      <c r="A931" s="1"/>
      <c r="B931" s="1"/>
      <c r="C931" s="1"/>
      <c r="D931" s="1"/>
      <c r="E931" s="1"/>
      <c r="F931" s="1"/>
      <c r="G931" s="1"/>
      <c r="H931" s="1"/>
      <c r="I931" s="1"/>
      <c r="J931" s="1"/>
      <c r="K931" s="1"/>
      <c r="L931" s="1"/>
      <c r="M931" s="1"/>
      <c r="N931" s="1"/>
      <c r="O931" s="1"/>
      <c r="P931" s="1"/>
      <c r="Q931" s="1"/>
      <c r="R931" s="1"/>
      <c r="S931" s="1"/>
      <c r="T931" s="1"/>
      <c r="U931" s="2"/>
      <c r="V931" s="1"/>
      <c r="W931" s="1"/>
      <c r="X931" s="1"/>
      <c r="Y931" s="1"/>
      <c r="Z931" s="1"/>
    </row>
    <row r="932" spans="1:26" ht="24.75" customHeight="1">
      <c r="A932" s="1"/>
      <c r="B932" s="1"/>
      <c r="C932" s="1"/>
      <c r="D932" s="1"/>
      <c r="E932" s="1"/>
      <c r="F932" s="1"/>
      <c r="G932" s="1"/>
      <c r="H932" s="1"/>
      <c r="I932" s="1"/>
      <c r="J932" s="1"/>
      <c r="K932" s="1"/>
      <c r="L932" s="1"/>
      <c r="M932" s="1"/>
      <c r="N932" s="1"/>
      <c r="O932" s="1"/>
      <c r="P932" s="1"/>
      <c r="Q932" s="1"/>
      <c r="R932" s="1"/>
      <c r="S932" s="1"/>
      <c r="T932" s="1"/>
      <c r="U932" s="2"/>
      <c r="V932" s="1"/>
      <c r="W932" s="1"/>
      <c r="X932" s="1"/>
      <c r="Y932" s="1"/>
      <c r="Z932" s="1"/>
    </row>
    <row r="933" spans="1:26" ht="24.75" customHeight="1">
      <c r="A933" s="1"/>
      <c r="B933" s="1"/>
      <c r="C933" s="1"/>
      <c r="D933" s="1"/>
      <c r="E933" s="1"/>
      <c r="F933" s="1"/>
      <c r="G933" s="1"/>
      <c r="H933" s="1"/>
      <c r="I933" s="1"/>
      <c r="J933" s="1"/>
      <c r="K933" s="1"/>
      <c r="L933" s="1"/>
      <c r="M933" s="1"/>
      <c r="N933" s="1"/>
      <c r="O933" s="1"/>
      <c r="P933" s="1"/>
      <c r="Q933" s="1"/>
      <c r="R933" s="1"/>
      <c r="S933" s="1"/>
      <c r="T933" s="1"/>
      <c r="U933" s="2"/>
      <c r="V933" s="1"/>
      <c r="W933" s="1"/>
      <c r="X933" s="1"/>
      <c r="Y933" s="1"/>
      <c r="Z933" s="1"/>
    </row>
    <row r="934" spans="1:26" ht="24.75" customHeight="1">
      <c r="A934" s="1"/>
      <c r="B934" s="1"/>
      <c r="C934" s="1"/>
      <c r="D934" s="1"/>
      <c r="E934" s="1"/>
      <c r="F934" s="1"/>
      <c r="G934" s="1"/>
      <c r="H934" s="1"/>
      <c r="I934" s="1"/>
      <c r="J934" s="1"/>
      <c r="K934" s="1"/>
      <c r="L934" s="1"/>
      <c r="M934" s="1"/>
      <c r="N934" s="1"/>
      <c r="O934" s="1"/>
      <c r="P934" s="1"/>
      <c r="Q934" s="1"/>
      <c r="R934" s="1"/>
      <c r="S934" s="1"/>
      <c r="T934" s="1"/>
      <c r="U934" s="2"/>
      <c r="V934" s="1"/>
      <c r="W934" s="1"/>
      <c r="X934" s="1"/>
      <c r="Y934" s="1"/>
      <c r="Z934" s="1"/>
    </row>
    <row r="935" spans="1:26" ht="24.75" customHeight="1">
      <c r="A935" s="1"/>
      <c r="B935" s="1"/>
      <c r="C935" s="1"/>
      <c r="D935" s="1"/>
      <c r="E935" s="1"/>
      <c r="F935" s="1"/>
      <c r="G935" s="1"/>
      <c r="H935" s="1"/>
      <c r="I935" s="1"/>
      <c r="J935" s="1"/>
      <c r="K935" s="1"/>
      <c r="L935" s="1"/>
      <c r="M935" s="1"/>
      <c r="N935" s="1"/>
      <c r="O935" s="1"/>
      <c r="P935" s="1"/>
      <c r="Q935" s="1"/>
      <c r="R935" s="1"/>
      <c r="S935" s="1"/>
      <c r="T935" s="1"/>
      <c r="U935" s="2"/>
      <c r="V935" s="1"/>
      <c r="W935" s="1"/>
      <c r="X935" s="1"/>
      <c r="Y935" s="1"/>
      <c r="Z935" s="1"/>
    </row>
    <row r="936" spans="1:26" ht="24.75" customHeight="1">
      <c r="A936" s="1"/>
      <c r="B936" s="1"/>
      <c r="C936" s="1"/>
      <c r="D936" s="1"/>
      <c r="E936" s="1"/>
      <c r="F936" s="1"/>
      <c r="G936" s="1"/>
      <c r="H936" s="1"/>
      <c r="I936" s="1"/>
      <c r="J936" s="1"/>
      <c r="K936" s="1"/>
      <c r="L936" s="1"/>
      <c r="M936" s="1"/>
      <c r="N936" s="1"/>
      <c r="O936" s="1"/>
      <c r="P936" s="1"/>
      <c r="Q936" s="1"/>
      <c r="R936" s="1"/>
      <c r="S936" s="1"/>
      <c r="T936" s="1"/>
      <c r="U936" s="2"/>
      <c r="V936" s="1"/>
      <c r="W936" s="1"/>
      <c r="X936" s="1"/>
      <c r="Y936" s="1"/>
      <c r="Z936" s="1"/>
    </row>
    <row r="937" spans="1:26" ht="24.75" customHeight="1">
      <c r="A937" s="1"/>
      <c r="B937" s="1"/>
      <c r="C937" s="1"/>
      <c r="D937" s="1"/>
      <c r="E937" s="1"/>
      <c r="F937" s="1"/>
      <c r="G937" s="1"/>
      <c r="H937" s="1"/>
      <c r="I937" s="1"/>
      <c r="J937" s="1"/>
      <c r="K937" s="1"/>
      <c r="L937" s="1"/>
      <c r="M937" s="1"/>
      <c r="N937" s="1"/>
      <c r="O937" s="1"/>
      <c r="P937" s="1"/>
      <c r="Q937" s="1"/>
      <c r="R937" s="1"/>
      <c r="S937" s="1"/>
      <c r="T937" s="1"/>
      <c r="U937" s="2"/>
      <c r="V937" s="1"/>
      <c r="W937" s="1"/>
      <c r="X937" s="1"/>
      <c r="Y937" s="1"/>
      <c r="Z937" s="1"/>
    </row>
    <row r="938" spans="1:26" ht="24.75" customHeight="1">
      <c r="A938" s="1"/>
      <c r="B938" s="1"/>
      <c r="C938" s="1"/>
      <c r="D938" s="1"/>
      <c r="E938" s="1"/>
      <c r="F938" s="1"/>
      <c r="G938" s="1"/>
      <c r="H938" s="1"/>
      <c r="I938" s="1"/>
      <c r="J938" s="1"/>
      <c r="K938" s="1"/>
      <c r="L938" s="1"/>
      <c r="M938" s="1"/>
      <c r="N938" s="1"/>
      <c r="O938" s="1"/>
      <c r="P938" s="1"/>
      <c r="Q938" s="1"/>
      <c r="R938" s="1"/>
      <c r="S938" s="1"/>
      <c r="T938" s="1"/>
      <c r="U938" s="2"/>
      <c r="V938" s="1"/>
      <c r="W938" s="1"/>
      <c r="X938" s="1"/>
      <c r="Y938" s="1"/>
      <c r="Z938" s="1"/>
    </row>
    <row r="939" spans="1:26" ht="24.75" customHeight="1">
      <c r="A939" s="1"/>
      <c r="B939" s="1"/>
      <c r="C939" s="1"/>
      <c r="D939" s="1"/>
      <c r="E939" s="1"/>
      <c r="F939" s="1"/>
      <c r="G939" s="1"/>
      <c r="H939" s="1"/>
      <c r="I939" s="1"/>
      <c r="J939" s="1"/>
      <c r="K939" s="1"/>
      <c r="L939" s="1"/>
      <c r="M939" s="1"/>
      <c r="N939" s="1"/>
      <c r="O939" s="1"/>
      <c r="P939" s="1"/>
      <c r="Q939" s="1"/>
      <c r="R939" s="1"/>
      <c r="S939" s="1"/>
      <c r="T939" s="1"/>
      <c r="U939" s="2"/>
      <c r="V939" s="1"/>
      <c r="W939" s="1"/>
      <c r="X939" s="1"/>
      <c r="Y939" s="1"/>
      <c r="Z939" s="1"/>
    </row>
    <row r="940" spans="1:26" ht="24.75" customHeight="1">
      <c r="A940" s="1"/>
      <c r="B940" s="1"/>
      <c r="C940" s="1"/>
      <c r="D940" s="1"/>
      <c r="E940" s="1"/>
      <c r="F940" s="1"/>
      <c r="G940" s="1"/>
      <c r="H940" s="1"/>
      <c r="I940" s="1"/>
      <c r="J940" s="1"/>
      <c r="K940" s="1"/>
      <c r="L940" s="1"/>
      <c r="M940" s="1"/>
      <c r="N940" s="1"/>
      <c r="O940" s="1"/>
      <c r="P940" s="1"/>
      <c r="Q940" s="1"/>
      <c r="R940" s="1"/>
      <c r="S940" s="1"/>
      <c r="T940" s="1"/>
      <c r="U940" s="2"/>
      <c r="V940" s="1"/>
      <c r="W940" s="1"/>
      <c r="X940" s="1"/>
      <c r="Y940" s="1"/>
      <c r="Z940" s="1"/>
    </row>
    <row r="941" spans="1:26" ht="24.75" customHeight="1">
      <c r="A941" s="1"/>
      <c r="B941" s="1"/>
      <c r="C941" s="1"/>
      <c r="D941" s="1"/>
      <c r="E941" s="1"/>
      <c r="F941" s="1"/>
      <c r="G941" s="1"/>
      <c r="H941" s="1"/>
      <c r="I941" s="1"/>
      <c r="J941" s="1"/>
      <c r="K941" s="1"/>
      <c r="L941" s="1"/>
      <c r="M941" s="1"/>
      <c r="N941" s="1"/>
      <c r="O941" s="1"/>
      <c r="P941" s="1"/>
      <c r="Q941" s="1"/>
      <c r="R941" s="1"/>
      <c r="S941" s="1"/>
      <c r="T941" s="1"/>
      <c r="U941" s="2"/>
      <c r="V941" s="1"/>
      <c r="W941" s="1"/>
      <c r="X941" s="1"/>
      <c r="Y941" s="1"/>
      <c r="Z941" s="1"/>
    </row>
    <row r="942" spans="1:26" ht="24.75" customHeight="1">
      <c r="A942" s="1"/>
      <c r="B942" s="1"/>
      <c r="C942" s="1"/>
      <c r="D942" s="1"/>
      <c r="E942" s="1"/>
      <c r="F942" s="1"/>
      <c r="G942" s="1"/>
      <c r="H942" s="1"/>
      <c r="I942" s="1"/>
      <c r="J942" s="1"/>
      <c r="K942" s="1"/>
      <c r="L942" s="1"/>
      <c r="M942" s="1"/>
      <c r="N942" s="1"/>
      <c r="O942" s="1"/>
      <c r="P942" s="1"/>
      <c r="Q942" s="1"/>
      <c r="R942" s="1"/>
      <c r="S942" s="1"/>
      <c r="T942" s="1"/>
      <c r="U942" s="2"/>
      <c r="V942" s="1"/>
      <c r="W942" s="1"/>
      <c r="X942" s="1"/>
      <c r="Y942" s="1"/>
      <c r="Z942" s="1"/>
    </row>
    <row r="943" spans="1:26" ht="24.75" customHeight="1">
      <c r="A943" s="1"/>
      <c r="B943" s="1"/>
      <c r="C943" s="1"/>
      <c r="D943" s="1"/>
      <c r="E943" s="1"/>
      <c r="F943" s="1"/>
      <c r="G943" s="1"/>
      <c r="H943" s="1"/>
      <c r="I943" s="1"/>
      <c r="J943" s="1"/>
      <c r="K943" s="1"/>
      <c r="L943" s="1"/>
      <c r="M943" s="1"/>
      <c r="N943" s="1"/>
      <c r="O943" s="1"/>
      <c r="P943" s="1"/>
      <c r="Q943" s="1"/>
      <c r="R943" s="1"/>
      <c r="S943" s="1"/>
      <c r="T943" s="1"/>
      <c r="U943" s="2"/>
      <c r="V943" s="1"/>
      <c r="W943" s="1"/>
      <c r="X943" s="1"/>
      <c r="Y943" s="1"/>
      <c r="Z943" s="1"/>
    </row>
    <row r="944" spans="1:26" ht="24.75" customHeight="1">
      <c r="A944" s="1"/>
      <c r="B944" s="1"/>
      <c r="C944" s="1"/>
      <c r="D944" s="1"/>
      <c r="E944" s="1"/>
      <c r="F944" s="1"/>
      <c r="G944" s="1"/>
      <c r="H944" s="1"/>
      <c r="I944" s="1"/>
      <c r="J944" s="1"/>
      <c r="K944" s="1"/>
      <c r="L944" s="1"/>
      <c r="M944" s="1"/>
      <c r="N944" s="1"/>
      <c r="O944" s="1"/>
      <c r="P944" s="1"/>
      <c r="Q944" s="1"/>
      <c r="R944" s="1"/>
      <c r="S944" s="1"/>
      <c r="T944" s="1"/>
      <c r="U944" s="2"/>
      <c r="V944" s="1"/>
      <c r="W944" s="1"/>
      <c r="X944" s="1"/>
      <c r="Y944" s="1"/>
      <c r="Z944" s="1"/>
    </row>
    <row r="945" spans="1:26" ht="24.75" customHeight="1">
      <c r="A945" s="1"/>
      <c r="B945" s="1"/>
      <c r="C945" s="1"/>
      <c r="D945" s="1"/>
      <c r="E945" s="1"/>
      <c r="F945" s="1"/>
      <c r="G945" s="1"/>
      <c r="H945" s="1"/>
      <c r="I945" s="1"/>
      <c r="J945" s="1"/>
      <c r="K945" s="1"/>
      <c r="L945" s="1"/>
      <c r="M945" s="1"/>
      <c r="N945" s="1"/>
      <c r="O945" s="1"/>
      <c r="P945" s="1"/>
      <c r="Q945" s="1"/>
      <c r="R945" s="1"/>
      <c r="S945" s="1"/>
      <c r="T945" s="1"/>
      <c r="U945" s="2"/>
      <c r="V945" s="1"/>
      <c r="W945" s="1"/>
      <c r="X945" s="1"/>
      <c r="Y945" s="1"/>
      <c r="Z945" s="1"/>
    </row>
    <row r="946" spans="1:26" ht="24.75" customHeight="1">
      <c r="A946" s="1"/>
      <c r="B946" s="1"/>
      <c r="C946" s="1"/>
      <c r="D946" s="1"/>
      <c r="E946" s="1"/>
      <c r="F946" s="1"/>
      <c r="G946" s="1"/>
      <c r="H946" s="1"/>
      <c r="I946" s="1"/>
      <c r="J946" s="1"/>
      <c r="K946" s="1"/>
      <c r="L946" s="1"/>
      <c r="M946" s="1"/>
      <c r="N946" s="1"/>
      <c r="O946" s="1"/>
      <c r="P946" s="1"/>
      <c r="Q946" s="1"/>
      <c r="R946" s="1"/>
      <c r="S946" s="1"/>
      <c r="T946" s="1"/>
      <c r="U946" s="2"/>
      <c r="V946" s="1"/>
      <c r="W946" s="1"/>
      <c r="X946" s="1"/>
      <c r="Y946" s="1"/>
      <c r="Z946" s="1"/>
    </row>
    <row r="947" spans="1:26" ht="24.75" customHeight="1">
      <c r="A947" s="1"/>
      <c r="B947" s="1"/>
      <c r="C947" s="1"/>
      <c r="D947" s="1"/>
      <c r="E947" s="1"/>
      <c r="F947" s="1"/>
      <c r="G947" s="1"/>
      <c r="H947" s="1"/>
      <c r="I947" s="1"/>
      <c r="J947" s="1"/>
      <c r="K947" s="1"/>
      <c r="L947" s="1"/>
      <c r="M947" s="1"/>
      <c r="N947" s="1"/>
      <c r="O947" s="1"/>
      <c r="P947" s="1"/>
      <c r="Q947" s="1"/>
      <c r="R947" s="1"/>
      <c r="S947" s="1"/>
      <c r="T947" s="1"/>
      <c r="U947" s="2"/>
      <c r="V947" s="1"/>
      <c r="W947" s="1"/>
      <c r="X947" s="1"/>
      <c r="Y947" s="1"/>
      <c r="Z947" s="1"/>
    </row>
    <row r="948" spans="1:26" ht="24.75" customHeight="1">
      <c r="A948" s="1"/>
      <c r="B948" s="1"/>
      <c r="C948" s="1"/>
      <c r="D948" s="1"/>
      <c r="E948" s="1"/>
      <c r="F948" s="1"/>
      <c r="G948" s="1"/>
      <c r="H948" s="1"/>
      <c r="I948" s="1"/>
      <c r="J948" s="1"/>
      <c r="K948" s="1"/>
      <c r="L948" s="1"/>
      <c r="M948" s="1"/>
      <c r="N948" s="1"/>
      <c r="O948" s="1"/>
      <c r="P948" s="1"/>
      <c r="Q948" s="1"/>
      <c r="R948" s="1"/>
      <c r="S948" s="1"/>
      <c r="T948" s="1"/>
      <c r="U948" s="2"/>
      <c r="V948" s="1"/>
      <c r="W948" s="1"/>
      <c r="X948" s="1"/>
      <c r="Y948" s="1"/>
      <c r="Z948" s="1"/>
    </row>
    <row r="949" spans="1:26" ht="24.75" customHeight="1">
      <c r="A949" s="1"/>
      <c r="B949" s="1"/>
      <c r="C949" s="1"/>
      <c r="D949" s="1"/>
      <c r="E949" s="1"/>
      <c r="F949" s="1"/>
      <c r="G949" s="1"/>
      <c r="H949" s="1"/>
      <c r="I949" s="1"/>
      <c r="J949" s="1"/>
      <c r="K949" s="1"/>
      <c r="L949" s="1"/>
      <c r="M949" s="1"/>
      <c r="N949" s="1"/>
      <c r="O949" s="1"/>
      <c r="P949" s="1"/>
      <c r="Q949" s="1"/>
      <c r="R949" s="1"/>
      <c r="S949" s="1"/>
      <c r="T949" s="1"/>
      <c r="U949" s="2"/>
      <c r="V949" s="1"/>
      <c r="W949" s="1"/>
      <c r="X949" s="1"/>
      <c r="Y949" s="1"/>
      <c r="Z949" s="1"/>
    </row>
    <row r="950" spans="1:26" ht="24.75" customHeight="1">
      <c r="A950" s="1"/>
      <c r="B950" s="1"/>
      <c r="C950" s="1"/>
      <c r="D950" s="1"/>
      <c r="E950" s="1"/>
      <c r="F950" s="1"/>
      <c r="G950" s="1"/>
      <c r="H950" s="1"/>
      <c r="I950" s="1"/>
      <c r="J950" s="1"/>
      <c r="K950" s="1"/>
      <c r="L950" s="1"/>
      <c r="M950" s="1"/>
      <c r="N950" s="1"/>
      <c r="O950" s="1"/>
      <c r="P950" s="1"/>
      <c r="Q950" s="1"/>
      <c r="R950" s="1"/>
      <c r="S950" s="1"/>
      <c r="T950" s="1"/>
      <c r="U950" s="2"/>
      <c r="V950" s="1"/>
      <c r="W950" s="1"/>
      <c r="X950" s="1"/>
      <c r="Y950" s="1"/>
      <c r="Z950" s="1"/>
    </row>
    <row r="951" spans="1:26" ht="24.75" customHeight="1">
      <c r="A951" s="1"/>
      <c r="B951" s="1"/>
      <c r="C951" s="1"/>
      <c r="D951" s="1"/>
      <c r="E951" s="1"/>
      <c r="F951" s="1"/>
      <c r="G951" s="1"/>
      <c r="H951" s="1"/>
      <c r="I951" s="1"/>
      <c r="J951" s="1"/>
      <c r="K951" s="1"/>
      <c r="L951" s="1"/>
      <c r="M951" s="1"/>
      <c r="N951" s="1"/>
      <c r="O951" s="1"/>
      <c r="P951" s="1"/>
      <c r="Q951" s="1"/>
      <c r="R951" s="1"/>
      <c r="S951" s="1"/>
      <c r="T951" s="1"/>
      <c r="U951" s="2"/>
      <c r="V951" s="1"/>
      <c r="W951" s="1"/>
      <c r="X951" s="1"/>
      <c r="Y951" s="1"/>
      <c r="Z951" s="1"/>
    </row>
    <row r="952" spans="1:26" ht="24.75" customHeight="1">
      <c r="A952" s="1"/>
      <c r="B952" s="1"/>
      <c r="C952" s="1"/>
      <c r="D952" s="1"/>
      <c r="E952" s="1"/>
      <c r="F952" s="1"/>
      <c r="G952" s="1"/>
      <c r="H952" s="1"/>
      <c r="I952" s="1"/>
      <c r="J952" s="1"/>
      <c r="K952" s="1"/>
      <c r="L952" s="1"/>
      <c r="M952" s="1"/>
      <c r="N952" s="1"/>
      <c r="O952" s="1"/>
      <c r="P952" s="1"/>
      <c r="Q952" s="1"/>
      <c r="R952" s="1"/>
      <c r="S952" s="1"/>
      <c r="T952" s="1"/>
      <c r="U952" s="2"/>
      <c r="V952" s="1"/>
      <c r="W952" s="1"/>
      <c r="X952" s="1"/>
      <c r="Y952" s="1"/>
      <c r="Z952" s="1"/>
    </row>
    <row r="953" spans="1:26" ht="24.75" customHeight="1">
      <c r="A953" s="1"/>
      <c r="B953" s="1"/>
      <c r="C953" s="1"/>
      <c r="D953" s="1"/>
      <c r="E953" s="1"/>
      <c r="F953" s="1"/>
      <c r="G953" s="1"/>
      <c r="H953" s="1"/>
      <c r="I953" s="1"/>
      <c r="J953" s="1"/>
      <c r="K953" s="1"/>
      <c r="L953" s="1"/>
      <c r="M953" s="1"/>
      <c r="N953" s="1"/>
      <c r="O953" s="1"/>
      <c r="P953" s="1"/>
      <c r="Q953" s="1"/>
      <c r="R953" s="1"/>
      <c r="S953" s="1"/>
      <c r="T953" s="1"/>
      <c r="U953" s="2"/>
      <c r="V953" s="1"/>
      <c r="W953" s="1"/>
      <c r="X953" s="1"/>
      <c r="Y953" s="1"/>
      <c r="Z953" s="1"/>
    </row>
    <row r="954" spans="1:26" ht="24.75" customHeight="1">
      <c r="A954" s="1"/>
      <c r="B954" s="1"/>
      <c r="C954" s="1"/>
      <c r="D954" s="1"/>
      <c r="E954" s="1"/>
      <c r="F954" s="1"/>
      <c r="G954" s="1"/>
      <c r="H954" s="1"/>
      <c r="I954" s="1"/>
      <c r="J954" s="1"/>
      <c r="K954" s="1"/>
      <c r="L954" s="1"/>
      <c r="M954" s="1"/>
      <c r="N954" s="1"/>
      <c r="O954" s="1"/>
      <c r="P954" s="1"/>
      <c r="Q954" s="1"/>
      <c r="R954" s="1"/>
      <c r="S954" s="1"/>
      <c r="T954" s="1"/>
      <c r="U954" s="2"/>
      <c r="V954" s="1"/>
      <c r="W954" s="1"/>
      <c r="X954" s="1"/>
      <c r="Y954" s="1"/>
      <c r="Z954" s="1"/>
    </row>
    <row r="955" spans="1:26" ht="24.75" customHeight="1">
      <c r="A955" s="1"/>
      <c r="B955" s="1"/>
      <c r="C955" s="1"/>
      <c r="D955" s="1"/>
      <c r="E955" s="1"/>
      <c r="F955" s="1"/>
      <c r="G955" s="1"/>
      <c r="H955" s="1"/>
      <c r="I955" s="1"/>
      <c r="J955" s="1"/>
      <c r="K955" s="1"/>
      <c r="L955" s="1"/>
      <c r="M955" s="1"/>
      <c r="N955" s="1"/>
      <c r="O955" s="1"/>
      <c r="P955" s="1"/>
      <c r="Q955" s="1"/>
      <c r="R955" s="1"/>
      <c r="S955" s="1"/>
      <c r="T955" s="1"/>
      <c r="U955" s="2"/>
      <c r="V955" s="1"/>
      <c r="W955" s="1"/>
      <c r="X955" s="1"/>
      <c r="Y955" s="1"/>
      <c r="Z955" s="1"/>
    </row>
    <row r="956" spans="1:26" ht="24.75" customHeight="1">
      <c r="A956" s="1"/>
      <c r="B956" s="1"/>
      <c r="C956" s="1"/>
      <c r="D956" s="1"/>
      <c r="E956" s="1"/>
      <c r="F956" s="1"/>
      <c r="G956" s="1"/>
      <c r="H956" s="1"/>
      <c r="I956" s="1"/>
      <c r="J956" s="1"/>
      <c r="K956" s="1"/>
      <c r="L956" s="1"/>
      <c r="M956" s="1"/>
      <c r="N956" s="1"/>
      <c r="O956" s="1"/>
      <c r="P956" s="1"/>
      <c r="Q956" s="1"/>
      <c r="R956" s="1"/>
      <c r="S956" s="1"/>
      <c r="T956" s="1"/>
      <c r="U956" s="2"/>
      <c r="V956" s="1"/>
      <c r="W956" s="1"/>
      <c r="X956" s="1"/>
      <c r="Y956" s="1"/>
      <c r="Z956" s="1"/>
    </row>
    <row r="957" spans="1:26" ht="24.75" customHeight="1">
      <c r="A957" s="1"/>
      <c r="B957" s="1"/>
      <c r="C957" s="1"/>
      <c r="D957" s="1"/>
      <c r="E957" s="1"/>
      <c r="F957" s="1"/>
      <c r="G957" s="1"/>
      <c r="H957" s="1"/>
      <c r="I957" s="1"/>
      <c r="J957" s="1"/>
      <c r="K957" s="1"/>
      <c r="L957" s="1"/>
      <c r="M957" s="1"/>
      <c r="N957" s="1"/>
      <c r="O957" s="1"/>
      <c r="P957" s="1"/>
      <c r="Q957" s="1"/>
      <c r="R957" s="1"/>
      <c r="S957" s="1"/>
      <c r="T957" s="1"/>
      <c r="U957" s="2"/>
      <c r="V957" s="1"/>
      <c r="W957" s="1"/>
      <c r="X957" s="1"/>
      <c r="Y957" s="1"/>
      <c r="Z957" s="1"/>
    </row>
    <row r="958" spans="1:26" ht="24.75" customHeight="1">
      <c r="A958" s="1"/>
      <c r="B958" s="1"/>
      <c r="C958" s="1"/>
      <c r="D958" s="1"/>
      <c r="E958" s="1"/>
      <c r="F958" s="1"/>
      <c r="G958" s="1"/>
      <c r="H958" s="1"/>
      <c r="I958" s="1"/>
      <c r="J958" s="1"/>
      <c r="K958" s="1"/>
      <c r="L958" s="1"/>
      <c r="M958" s="1"/>
      <c r="N958" s="1"/>
      <c r="O958" s="1"/>
      <c r="P958" s="1"/>
      <c r="Q958" s="1"/>
      <c r="R958" s="1"/>
      <c r="S958" s="1"/>
      <c r="T958" s="1"/>
      <c r="U958" s="2"/>
      <c r="V958" s="1"/>
      <c r="W958" s="1"/>
      <c r="X958" s="1"/>
      <c r="Y958" s="1"/>
      <c r="Z958" s="1"/>
    </row>
    <row r="959" spans="1:26" ht="24.75" customHeight="1">
      <c r="A959" s="1"/>
      <c r="B959" s="1"/>
      <c r="C959" s="1"/>
      <c r="D959" s="1"/>
      <c r="E959" s="1"/>
      <c r="F959" s="1"/>
      <c r="G959" s="1"/>
      <c r="H959" s="1"/>
      <c r="I959" s="1"/>
      <c r="J959" s="1"/>
      <c r="K959" s="1"/>
      <c r="L959" s="1"/>
      <c r="M959" s="1"/>
      <c r="N959" s="1"/>
      <c r="O959" s="1"/>
      <c r="P959" s="1"/>
      <c r="Q959" s="1"/>
      <c r="R959" s="1"/>
      <c r="S959" s="1"/>
      <c r="T959" s="1"/>
      <c r="U959" s="2"/>
      <c r="V959" s="1"/>
      <c r="W959" s="1"/>
      <c r="X959" s="1"/>
      <c r="Y959" s="1"/>
      <c r="Z959" s="1"/>
    </row>
    <row r="960" spans="1:26" ht="24.75" customHeight="1">
      <c r="A960" s="1"/>
      <c r="B960" s="1"/>
      <c r="C960" s="1"/>
      <c r="D960" s="1"/>
      <c r="E960" s="1"/>
      <c r="F960" s="1"/>
      <c r="G960" s="1"/>
      <c r="H960" s="1"/>
      <c r="I960" s="1"/>
      <c r="J960" s="1"/>
      <c r="K960" s="1"/>
      <c r="L960" s="1"/>
      <c r="M960" s="1"/>
      <c r="N960" s="1"/>
      <c r="O960" s="1"/>
      <c r="P960" s="1"/>
      <c r="Q960" s="1"/>
      <c r="R960" s="1"/>
      <c r="S960" s="1"/>
      <c r="T960" s="1"/>
      <c r="U960" s="2"/>
      <c r="V960" s="1"/>
      <c r="W960" s="1"/>
      <c r="X960" s="1"/>
      <c r="Y960" s="1"/>
      <c r="Z960" s="1"/>
    </row>
    <row r="961" spans="1:26" ht="24.75" customHeight="1">
      <c r="A961" s="1"/>
      <c r="B961" s="1"/>
      <c r="C961" s="1"/>
      <c r="D961" s="1"/>
      <c r="E961" s="1"/>
      <c r="F961" s="1"/>
      <c r="G961" s="1"/>
      <c r="H961" s="1"/>
      <c r="I961" s="1"/>
      <c r="J961" s="1"/>
      <c r="K961" s="1"/>
      <c r="L961" s="1"/>
      <c r="M961" s="1"/>
      <c r="N961" s="1"/>
      <c r="O961" s="1"/>
      <c r="P961" s="1"/>
      <c r="Q961" s="1"/>
      <c r="R961" s="1"/>
      <c r="S961" s="1"/>
      <c r="T961" s="1"/>
      <c r="U961" s="2"/>
      <c r="V961" s="1"/>
      <c r="W961" s="1"/>
      <c r="X961" s="1"/>
      <c r="Y961" s="1"/>
      <c r="Z961" s="1"/>
    </row>
    <row r="962" spans="1:26" ht="24.75" customHeight="1">
      <c r="A962" s="1"/>
      <c r="B962" s="1"/>
      <c r="C962" s="1"/>
      <c r="D962" s="1"/>
      <c r="E962" s="1"/>
      <c r="F962" s="1"/>
      <c r="G962" s="1"/>
      <c r="H962" s="1"/>
      <c r="I962" s="1"/>
      <c r="J962" s="1"/>
      <c r="K962" s="1"/>
      <c r="L962" s="1"/>
      <c r="M962" s="1"/>
      <c r="N962" s="1"/>
      <c r="O962" s="1"/>
      <c r="P962" s="1"/>
      <c r="Q962" s="1"/>
      <c r="R962" s="1"/>
      <c r="S962" s="1"/>
      <c r="T962" s="1"/>
      <c r="U962" s="2"/>
      <c r="V962" s="1"/>
      <c r="W962" s="1"/>
      <c r="X962" s="1"/>
      <c r="Y962" s="1"/>
      <c r="Z962" s="1"/>
    </row>
    <row r="963" spans="1:26" ht="24.75" customHeight="1">
      <c r="A963" s="1"/>
      <c r="B963" s="1"/>
      <c r="C963" s="1"/>
      <c r="D963" s="1"/>
      <c r="E963" s="1"/>
      <c r="F963" s="1"/>
      <c r="G963" s="1"/>
      <c r="H963" s="1"/>
      <c r="I963" s="1"/>
      <c r="J963" s="1"/>
      <c r="K963" s="1"/>
      <c r="L963" s="1"/>
      <c r="M963" s="1"/>
      <c r="N963" s="1"/>
      <c r="O963" s="1"/>
      <c r="P963" s="1"/>
      <c r="Q963" s="1"/>
      <c r="R963" s="1"/>
      <c r="S963" s="1"/>
      <c r="T963" s="1"/>
      <c r="U963" s="2"/>
      <c r="V963" s="1"/>
      <c r="W963" s="1"/>
      <c r="X963" s="1"/>
      <c r="Y963" s="1"/>
      <c r="Z963" s="1"/>
    </row>
    <row r="964" spans="1:26" ht="24.75" customHeight="1">
      <c r="A964" s="1"/>
      <c r="B964" s="1"/>
      <c r="C964" s="1"/>
      <c r="D964" s="1"/>
      <c r="E964" s="1"/>
      <c r="F964" s="1"/>
      <c r="G964" s="1"/>
      <c r="H964" s="1"/>
      <c r="I964" s="1"/>
      <c r="J964" s="1"/>
      <c r="K964" s="1"/>
      <c r="L964" s="1"/>
      <c r="M964" s="1"/>
      <c r="N964" s="1"/>
      <c r="O964" s="1"/>
      <c r="P964" s="1"/>
      <c r="Q964" s="1"/>
      <c r="R964" s="1"/>
      <c r="S964" s="1"/>
      <c r="T964" s="1"/>
      <c r="U964" s="2"/>
      <c r="V964" s="1"/>
      <c r="W964" s="1"/>
      <c r="X964" s="1"/>
      <c r="Y964" s="1"/>
      <c r="Z964" s="1"/>
    </row>
    <row r="965" spans="1:26" ht="24.75" customHeight="1">
      <c r="A965" s="1"/>
      <c r="B965" s="1"/>
      <c r="C965" s="1"/>
      <c r="D965" s="1"/>
      <c r="E965" s="1"/>
      <c r="F965" s="1"/>
      <c r="G965" s="1"/>
      <c r="H965" s="1"/>
      <c r="I965" s="1"/>
      <c r="J965" s="1"/>
      <c r="K965" s="1"/>
      <c r="L965" s="1"/>
      <c r="M965" s="1"/>
      <c r="N965" s="1"/>
      <c r="O965" s="1"/>
      <c r="P965" s="1"/>
      <c r="Q965" s="1"/>
      <c r="R965" s="1"/>
      <c r="S965" s="1"/>
      <c r="T965" s="1"/>
      <c r="U965" s="2"/>
      <c r="V965" s="1"/>
      <c r="W965" s="1"/>
      <c r="X965" s="1"/>
      <c r="Y965" s="1"/>
      <c r="Z965" s="1"/>
    </row>
    <row r="966" spans="1:26" ht="24.75" customHeight="1">
      <c r="A966" s="1"/>
      <c r="B966" s="1"/>
      <c r="C966" s="1"/>
      <c r="D966" s="1"/>
      <c r="E966" s="1"/>
      <c r="F966" s="1"/>
      <c r="G966" s="1"/>
      <c r="H966" s="1"/>
      <c r="I966" s="1"/>
      <c r="J966" s="1"/>
      <c r="K966" s="1"/>
      <c r="L966" s="1"/>
      <c r="M966" s="1"/>
      <c r="N966" s="1"/>
      <c r="O966" s="1"/>
      <c r="P966" s="1"/>
      <c r="Q966" s="1"/>
      <c r="R966" s="1"/>
      <c r="S966" s="1"/>
      <c r="T966" s="1"/>
      <c r="U966" s="2"/>
      <c r="V966" s="1"/>
      <c r="W966" s="1"/>
      <c r="X966" s="1"/>
      <c r="Y966" s="1"/>
      <c r="Z966" s="1"/>
    </row>
    <row r="967" spans="1:26" ht="24.75" customHeight="1">
      <c r="A967" s="1"/>
      <c r="B967" s="1"/>
      <c r="C967" s="1"/>
      <c r="D967" s="1"/>
      <c r="E967" s="1"/>
      <c r="F967" s="1"/>
      <c r="G967" s="1"/>
      <c r="H967" s="1"/>
      <c r="I967" s="1"/>
      <c r="J967" s="1"/>
      <c r="K967" s="1"/>
      <c r="L967" s="1"/>
      <c r="M967" s="1"/>
      <c r="N967" s="1"/>
      <c r="O967" s="1"/>
      <c r="P967" s="1"/>
      <c r="Q967" s="1"/>
      <c r="R967" s="1"/>
      <c r="S967" s="1"/>
      <c r="T967" s="1"/>
      <c r="U967" s="2"/>
      <c r="V967" s="1"/>
      <c r="W967" s="1"/>
      <c r="X967" s="1"/>
      <c r="Y967" s="1"/>
      <c r="Z967" s="1"/>
    </row>
    <row r="968" spans="1:26" ht="24.75" customHeight="1">
      <c r="A968" s="1"/>
      <c r="B968" s="1"/>
      <c r="C968" s="1"/>
      <c r="D968" s="1"/>
      <c r="E968" s="1"/>
      <c r="F968" s="1"/>
      <c r="G968" s="1"/>
      <c r="H968" s="1"/>
      <c r="I968" s="1"/>
      <c r="J968" s="1"/>
      <c r="K968" s="1"/>
      <c r="L968" s="1"/>
      <c r="M968" s="1"/>
      <c r="N968" s="1"/>
      <c r="O968" s="1"/>
      <c r="P968" s="1"/>
      <c r="Q968" s="1"/>
      <c r="R968" s="1"/>
      <c r="S968" s="1"/>
      <c r="T968" s="1"/>
      <c r="U968" s="2"/>
      <c r="V968" s="1"/>
      <c r="W968" s="1"/>
      <c r="X968" s="1"/>
      <c r="Y968" s="1"/>
      <c r="Z968" s="1"/>
    </row>
    <row r="969" spans="1:26" ht="24.75" customHeight="1">
      <c r="A969" s="1"/>
      <c r="B969" s="1"/>
      <c r="C969" s="1"/>
      <c r="D969" s="1"/>
      <c r="E969" s="1"/>
      <c r="F969" s="1"/>
      <c r="G969" s="1"/>
      <c r="H969" s="1"/>
      <c r="I969" s="1"/>
      <c r="J969" s="1"/>
      <c r="K969" s="1"/>
      <c r="L969" s="1"/>
      <c r="M969" s="1"/>
      <c r="N969" s="1"/>
      <c r="O969" s="1"/>
      <c r="P969" s="1"/>
      <c r="Q969" s="1"/>
      <c r="R969" s="1"/>
      <c r="S969" s="1"/>
      <c r="T969" s="1"/>
      <c r="U969" s="2"/>
      <c r="V969" s="1"/>
      <c r="W969" s="1"/>
      <c r="X969" s="1"/>
      <c r="Y969" s="1"/>
      <c r="Z969" s="1"/>
    </row>
    <row r="970" spans="1:26" ht="24.75" customHeight="1">
      <c r="A970" s="1"/>
      <c r="B970" s="1"/>
      <c r="C970" s="1"/>
      <c r="D970" s="1"/>
      <c r="E970" s="1"/>
      <c r="F970" s="1"/>
      <c r="G970" s="1"/>
      <c r="H970" s="1"/>
      <c r="I970" s="1"/>
      <c r="J970" s="1"/>
      <c r="K970" s="1"/>
      <c r="L970" s="1"/>
      <c r="M970" s="1"/>
      <c r="N970" s="1"/>
      <c r="O970" s="1"/>
      <c r="P970" s="1"/>
      <c r="Q970" s="1"/>
      <c r="R970" s="1"/>
      <c r="S970" s="1"/>
      <c r="T970" s="1"/>
      <c r="U970" s="2"/>
      <c r="V970" s="1"/>
      <c r="W970" s="1"/>
      <c r="X970" s="1"/>
      <c r="Y970" s="1"/>
      <c r="Z970" s="1"/>
    </row>
    <row r="971" spans="1:26" ht="24.75" customHeight="1">
      <c r="A971" s="1"/>
      <c r="B971" s="1"/>
      <c r="C971" s="1"/>
      <c r="D971" s="1"/>
      <c r="E971" s="1"/>
      <c r="F971" s="1"/>
      <c r="G971" s="1"/>
      <c r="H971" s="1"/>
      <c r="I971" s="1"/>
      <c r="J971" s="1"/>
      <c r="K971" s="1"/>
      <c r="L971" s="1"/>
      <c r="M971" s="1"/>
      <c r="N971" s="1"/>
      <c r="O971" s="1"/>
      <c r="P971" s="1"/>
      <c r="Q971" s="1"/>
      <c r="R971" s="1"/>
      <c r="S971" s="1"/>
      <c r="T971" s="1"/>
      <c r="U971" s="2"/>
      <c r="V971" s="1"/>
      <c r="W971" s="1"/>
      <c r="X971" s="1"/>
      <c r="Y971" s="1"/>
      <c r="Z971" s="1"/>
    </row>
    <row r="972" spans="1:26" ht="24.75" customHeight="1">
      <c r="A972" s="1"/>
      <c r="B972" s="1"/>
      <c r="C972" s="1"/>
      <c r="D972" s="1"/>
      <c r="E972" s="1"/>
      <c r="F972" s="1"/>
      <c r="G972" s="1"/>
      <c r="H972" s="1"/>
      <c r="I972" s="1"/>
      <c r="J972" s="1"/>
      <c r="K972" s="1"/>
      <c r="L972" s="1"/>
      <c r="M972" s="1"/>
      <c r="N972" s="1"/>
      <c r="O972" s="1"/>
      <c r="P972" s="1"/>
      <c r="Q972" s="1"/>
      <c r="R972" s="1"/>
      <c r="S972" s="1"/>
      <c r="T972" s="1"/>
      <c r="U972" s="2"/>
      <c r="V972" s="1"/>
      <c r="W972" s="1"/>
      <c r="X972" s="1"/>
      <c r="Y972" s="1"/>
      <c r="Z972" s="1"/>
    </row>
    <row r="973" spans="1:26" ht="24.75" customHeight="1">
      <c r="A973" s="1"/>
      <c r="B973" s="1"/>
      <c r="C973" s="1"/>
      <c r="D973" s="1"/>
      <c r="E973" s="1"/>
      <c r="F973" s="1"/>
      <c r="G973" s="1"/>
      <c r="H973" s="1"/>
      <c r="I973" s="1"/>
      <c r="J973" s="1"/>
      <c r="K973" s="1"/>
      <c r="L973" s="1"/>
      <c r="M973" s="1"/>
      <c r="N973" s="1"/>
      <c r="O973" s="1"/>
      <c r="P973" s="1"/>
      <c r="Q973" s="1"/>
      <c r="R973" s="1"/>
      <c r="S973" s="1"/>
      <c r="T973" s="1"/>
      <c r="U973" s="2"/>
      <c r="V973" s="1"/>
      <c r="W973" s="1"/>
      <c r="X973" s="1"/>
      <c r="Y973" s="1"/>
      <c r="Z973" s="1"/>
    </row>
    <row r="974" spans="1:26" ht="24.75" customHeight="1">
      <c r="A974" s="1"/>
      <c r="B974" s="1"/>
      <c r="C974" s="1"/>
      <c r="D974" s="1"/>
      <c r="E974" s="1"/>
      <c r="F974" s="1"/>
      <c r="G974" s="1"/>
      <c r="H974" s="1"/>
      <c r="I974" s="1"/>
      <c r="J974" s="1"/>
      <c r="K974" s="1"/>
      <c r="L974" s="1"/>
      <c r="M974" s="1"/>
      <c r="N974" s="1"/>
      <c r="O974" s="1"/>
      <c r="P974" s="1"/>
      <c r="Q974" s="1"/>
      <c r="R974" s="1"/>
      <c r="S974" s="1"/>
      <c r="T974" s="1"/>
      <c r="U974" s="2"/>
      <c r="V974" s="1"/>
      <c r="W974" s="1"/>
      <c r="X974" s="1"/>
      <c r="Y974" s="1"/>
      <c r="Z974" s="1"/>
    </row>
    <row r="975" spans="1:26" ht="24.75" customHeight="1">
      <c r="A975" s="1"/>
      <c r="B975" s="1"/>
      <c r="C975" s="1"/>
      <c r="D975" s="1"/>
      <c r="E975" s="1"/>
      <c r="F975" s="1"/>
      <c r="G975" s="1"/>
      <c r="H975" s="1"/>
      <c r="I975" s="1"/>
      <c r="J975" s="1"/>
      <c r="K975" s="1"/>
      <c r="L975" s="1"/>
      <c r="M975" s="1"/>
      <c r="N975" s="1"/>
      <c r="O975" s="1"/>
      <c r="P975" s="1"/>
      <c r="Q975" s="1"/>
      <c r="R975" s="1"/>
      <c r="S975" s="1"/>
      <c r="T975" s="1"/>
      <c r="U975" s="2"/>
      <c r="V975" s="1"/>
      <c r="W975" s="1"/>
      <c r="X975" s="1"/>
      <c r="Y975" s="1"/>
      <c r="Z975" s="1"/>
    </row>
    <row r="976" spans="1:26" ht="24.75" customHeight="1">
      <c r="A976" s="1"/>
      <c r="B976" s="1"/>
      <c r="C976" s="1"/>
      <c r="D976" s="1"/>
      <c r="E976" s="1"/>
      <c r="F976" s="1"/>
      <c r="G976" s="1"/>
      <c r="H976" s="1"/>
      <c r="I976" s="1"/>
      <c r="J976" s="1"/>
      <c r="K976" s="1"/>
      <c r="L976" s="1"/>
      <c r="M976" s="1"/>
      <c r="N976" s="1"/>
      <c r="O976" s="1"/>
      <c r="P976" s="1"/>
      <c r="Q976" s="1"/>
      <c r="R976" s="1"/>
      <c r="S976" s="1"/>
      <c r="T976" s="1"/>
      <c r="U976" s="2"/>
      <c r="V976" s="1"/>
      <c r="W976" s="1"/>
      <c r="X976" s="1"/>
      <c r="Y976" s="1"/>
      <c r="Z976" s="1"/>
    </row>
    <row r="977" spans="1:26" ht="24.75" customHeight="1">
      <c r="A977" s="1"/>
      <c r="B977" s="1"/>
      <c r="C977" s="1"/>
      <c r="D977" s="1"/>
      <c r="E977" s="1"/>
      <c r="F977" s="1"/>
      <c r="G977" s="1"/>
      <c r="H977" s="1"/>
      <c r="I977" s="1"/>
      <c r="J977" s="1"/>
      <c r="K977" s="1"/>
      <c r="L977" s="1"/>
      <c r="M977" s="1"/>
      <c r="N977" s="1"/>
      <c r="O977" s="1"/>
      <c r="P977" s="1"/>
      <c r="Q977" s="1"/>
      <c r="R977" s="1"/>
      <c r="S977" s="1"/>
      <c r="T977" s="1"/>
      <c r="U977" s="2"/>
      <c r="V977" s="1"/>
      <c r="W977" s="1"/>
      <c r="X977" s="1"/>
      <c r="Y977" s="1"/>
      <c r="Z977" s="1"/>
    </row>
    <row r="978" spans="1:26" ht="24.75" customHeight="1">
      <c r="A978" s="1"/>
      <c r="B978" s="1"/>
      <c r="C978" s="1"/>
      <c r="D978" s="1"/>
      <c r="E978" s="1"/>
      <c r="F978" s="1"/>
      <c r="G978" s="1"/>
      <c r="H978" s="1"/>
      <c r="I978" s="1"/>
      <c r="J978" s="1"/>
      <c r="K978" s="1"/>
      <c r="L978" s="1"/>
      <c r="M978" s="1"/>
      <c r="N978" s="1"/>
      <c r="O978" s="1"/>
      <c r="P978" s="1"/>
      <c r="Q978" s="1"/>
      <c r="R978" s="1"/>
      <c r="S978" s="1"/>
      <c r="T978" s="1"/>
      <c r="U978" s="2"/>
      <c r="V978" s="1"/>
      <c r="W978" s="1"/>
      <c r="X978" s="1"/>
      <c r="Y978" s="1"/>
      <c r="Z978" s="1"/>
    </row>
    <row r="979" spans="1:26" ht="24.75" customHeight="1">
      <c r="A979" s="1"/>
      <c r="B979" s="1"/>
      <c r="C979" s="1"/>
      <c r="D979" s="1"/>
      <c r="E979" s="1"/>
      <c r="F979" s="1"/>
      <c r="G979" s="1"/>
      <c r="H979" s="1"/>
      <c r="I979" s="1"/>
      <c r="J979" s="1"/>
      <c r="K979" s="1"/>
      <c r="L979" s="1"/>
      <c r="M979" s="1"/>
      <c r="N979" s="1"/>
      <c r="O979" s="1"/>
      <c r="P979" s="1"/>
      <c r="Q979" s="1"/>
      <c r="R979" s="1"/>
      <c r="S979" s="1"/>
      <c r="T979" s="1"/>
      <c r="U979" s="2"/>
      <c r="V979" s="1"/>
      <c r="W979" s="1"/>
      <c r="X979" s="1"/>
      <c r="Y979" s="1"/>
      <c r="Z979" s="1"/>
    </row>
    <row r="980" spans="1:26" ht="24.75" customHeight="1">
      <c r="A980" s="1"/>
      <c r="B980" s="1"/>
      <c r="C980" s="1"/>
      <c r="D980" s="1"/>
      <c r="E980" s="1"/>
      <c r="F980" s="1"/>
      <c r="G980" s="1"/>
      <c r="H980" s="1"/>
      <c r="I980" s="1"/>
      <c r="J980" s="1"/>
      <c r="K980" s="1"/>
      <c r="L980" s="1"/>
      <c r="M980" s="1"/>
      <c r="N980" s="1"/>
      <c r="O980" s="1"/>
      <c r="P980" s="1"/>
      <c r="Q980" s="1"/>
      <c r="R980" s="1"/>
      <c r="S980" s="1"/>
      <c r="T980" s="1"/>
      <c r="U980" s="2"/>
      <c r="V980" s="1"/>
      <c r="W980" s="1"/>
      <c r="X980" s="1"/>
      <c r="Y980" s="1"/>
      <c r="Z980" s="1"/>
    </row>
    <row r="981" spans="1:26" ht="24.75" customHeight="1">
      <c r="A981" s="1"/>
      <c r="B981" s="1"/>
      <c r="C981" s="1"/>
      <c r="D981" s="1"/>
      <c r="E981" s="1"/>
      <c r="F981" s="1"/>
      <c r="G981" s="1"/>
      <c r="H981" s="1"/>
      <c r="I981" s="1"/>
      <c r="J981" s="1"/>
      <c r="K981" s="1"/>
      <c r="L981" s="1"/>
      <c r="M981" s="1"/>
      <c r="N981" s="1"/>
      <c r="O981" s="1"/>
      <c r="P981" s="1"/>
      <c r="Q981" s="1"/>
      <c r="R981" s="1"/>
      <c r="S981" s="1"/>
      <c r="T981" s="1"/>
      <c r="U981" s="2"/>
      <c r="V981" s="1"/>
      <c r="W981" s="1"/>
      <c r="X981" s="1"/>
      <c r="Y981" s="1"/>
      <c r="Z981" s="1"/>
    </row>
    <row r="982" spans="1:26" ht="24.75" customHeight="1">
      <c r="A982" s="1"/>
      <c r="B982" s="1"/>
      <c r="C982" s="1"/>
      <c r="D982" s="1"/>
      <c r="E982" s="1"/>
      <c r="F982" s="1"/>
      <c r="G982" s="1"/>
      <c r="H982" s="1"/>
      <c r="I982" s="1"/>
      <c r="J982" s="1"/>
      <c r="K982" s="1"/>
      <c r="L982" s="1"/>
      <c r="M982" s="1"/>
      <c r="N982" s="1"/>
      <c r="O982" s="1"/>
      <c r="P982" s="1"/>
      <c r="Q982" s="1"/>
      <c r="R982" s="1"/>
      <c r="S982" s="1"/>
      <c r="T982" s="1"/>
      <c r="U982" s="2"/>
      <c r="V982" s="1"/>
      <c r="W982" s="1"/>
      <c r="X982" s="1"/>
      <c r="Y982" s="1"/>
      <c r="Z982" s="1"/>
    </row>
    <row r="983" spans="1:26" ht="24.75" customHeight="1">
      <c r="A983" s="1"/>
      <c r="B983" s="1"/>
      <c r="C983" s="1"/>
      <c r="D983" s="1"/>
      <c r="E983" s="1"/>
      <c r="F983" s="1"/>
      <c r="G983" s="1"/>
      <c r="H983" s="1"/>
      <c r="I983" s="1"/>
      <c r="J983" s="1"/>
      <c r="K983" s="1"/>
      <c r="L983" s="1"/>
      <c r="M983" s="1"/>
      <c r="N983" s="1"/>
      <c r="O983" s="1"/>
      <c r="P983" s="1"/>
      <c r="Q983" s="1"/>
      <c r="R983" s="1"/>
      <c r="S983" s="1"/>
      <c r="T983" s="1"/>
      <c r="U983" s="2"/>
      <c r="V983" s="1"/>
      <c r="W983" s="1"/>
      <c r="X983" s="1"/>
      <c r="Y983" s="1"/>
      <c r="Z983" s="1"/>
    </row>
    <row r="984" spans="1:26" ht="24.75" customHeight="1">
      <c r="A984" s="1"/>
      <c r="B984" s="1"/>
      <c r="C984" s="1"/>
      <c r="D984" s="1"/>
      <c r="E984" s="1"/>
      <c r="F984" s="1"/>
      <c r="G984" s="1"/>
      <c r="H984" s="1"/>
      <c r="I984" s="1"/>
      <c r="J984" s="1"/>
      <c r="K984" s="1"/>
      <c r="L984" s="1"/>
      <c r="M984" s="1"/>
      <c r="N984" s="1"/>
      <c r="O984" s="1"/>
      <c r="P984" s="1"/>
      <c r="Q984" s="1"/>
      <c r="R984" s="1"/>
      <c r="S984" s="1"/>
      <c r="T984" s="1"/>
      <c r="U984" s="2"/>
      <c r="V984" s="1"/>
      <c r="W984" s="1"/>
      <c r="X984" s="1"/>
      <c r="Y984" s="1"/>
      <c r="Z984" s="1"/>
    </row>
    <row r="985" spans="1:26" ht="24.75" customHeight="1">
      <c r="A985" s="1"/>
      <c r="B985" s="1"/>
      <c r="C985" s="1"/>
      <c r="D985" s="1"/>
      <c r="E985" s="1"/>
      <c r="F985" s="1"/>
      <c r="G985" s="1"/>
      <c r="H985" s="1"/>
      <c r="I985" s="1"/>
      <c r="J985" s="1"/>
      <c r="K985" s="1"/>
      <c r="L985" s="1"/>
      <c r="M985" s="1"/>
      <c r="N985" s="1"/>
      <c r="O985" s="1"/>
      <c r="P985" s="1"/>
      <c r="Q985" s="1"/>
      <c r="R985" s="1"/>
      <c r="S985" s="1"/>
      <c r="T985" s="1"/>
      <c r="U985" s="2"/>
      <c r="V985" s="1"/>
      <c r="W985" s="1"/>
      <c r="X985" s="1"/>
      <c r="Y985" s="1"/>
      <c r="Z985" s="1"/>
    </row>
    <row r="986" spans="1:26" ht="24.75" customHeight="1">
      <c r="A986" s="1"/>
      <c r="B986" s="1"/>
      <c r="C986" s="1"/>
      <c r="D986" s="1"/>
      <c r="E986" s="1"/>
      <c r="F986" s="1"/>
      <c r="G986" s="1"/>
      <c r="H986" s="1"/>
      <c r="I986" s="1"/>
      <c r="J986" s="1"/>
      <c r="K986" s="1"/>
      <c r="L986" s="1"/>
      <c r="M986" s="1"/>
      <c r="N986" s="1"/>
      <c r="O986" s="1"/>
      <c r="P986" s="1"/>
      <c r="Q986" s="1"/>
      <c r="R986" s="1"/>
      <c r="S986" s="1"/>
      <c r="T986" s="1"/>
      <c r="U986" s="2"/>
      <c r="V986" s="1"/>
      <c r="W986" s="1"/>
      <c r="X986" s="1"/>
      <c r="Y986" s="1"/>
      <c r="Z986" s="1"/>
    </row>
    <row r="987" spans="1:26" ht="24.75" customHeight="1">
      <c r="A987" s="1"/>
      <c r="B987" s="1"/>
      <c r="C987" s="1"/>
      <c r="D987" s="1"/>
      <c r="E987" s="1"/>
      <c r="F987" s="1"/>
      <c r="G987" s="1"/>
      <c r="H987" s="1"/>
      <c r="I987" s="1"/>
      <c r="J987" s="1"/>
      <c r="K987" s="1"/>
      <c r="L987" s="1"/>
      <c r="M987" s="1"/>
      <c r="N987" s="1"/>
      <c r="O987" s="1"/>
      <c r="P987" s="1"/>
      <c r="Q987" s="1"/>
      <c r="R987" s="1"/>
      <c r="S987" s="1"/>
      <c r="T987" s="1"/>
      <c r="U987" s="2"/>
      <c r="V987" s="1"/>
      <c r="W987" s="1"/>
      <c r="X987" s="1"/>
      <c r="Y987" s="1"/>
      <c r="Z987" s="1"/>
    </row>
    <row r="988" spans="1:26" ht="24.75" customHeight="1">
      <c r="A988" s="1"/>
      <c r="B988" s="1"/>
      <c r="C988" s="1"/>
      <c r="D988" s="1"/>
      <c r="E988" s="1"/>
      <c r="F988" s="1"/>
      <c r="G988" s="1"/>
      <c r="H988" s="1"/>
      <c r="I988" s="1"/>
      <c r="J988" s="1"/>
      <c r="K988" s="1"/>
      <c r="L988" s="1"/>
      <c r="M988" s="1"/>
      <c r="N988" s="1"/>
      <c r="O988" s="1"/>
      <c r="P988" s="1"/>
      <c r="Q988" s="1"/>
      <c r="R988" s="1"/>
      <c r="S988" s="1"/>
      <c r="T988" s="1"/>
      <c r="U988" s="2"/>
      <c r="V988" s="1"/>
      <c r="W988" s="1"/>
      <c r="X988" s="1"/>
      <c r="Y988" s="1"/>
      <c r="Z988" s="1"/>
    </row>
    <row r="989" spans="1:26" ht="24.75" customHeight="1">
      <c r="A989" s="1"/>
      <c r="B989" s="1"/>
      <c r="C989" s="1"/>
      <c r="D989" s="1"/>
      <c r="E989" s="1"/>
      <c r="F989" s="1"/>
      <c r="G989" s="1"/>
      <c r="H989" s="1"/>
      <c r="I989" s="1"/>
      <c r="J989" s="1"/>
      <c r="K989" s="1"/>
      <c r="L989" s="1"/>
      <c r="M989" s="1"/>
      <c r="N989" s="1"/>
      <c r="O989" s="1"/>
      <c r="P989" s="1"/>
      <c r="Q989" s="1"/>
      <c r="R989" s="1"/>
      <c r="S989" s="1"/>
      <c r="T989" s="1"/>
      <c r="U989" s="2"/>
      <c r="V989" s="1"/>
      <c r="W989" s="1"/>
      <c r="X989" s="1"/>
      <c r="Y989" s="1"/>
      <c r="Z989" s="1"/>
    </row>
    <row r="990" spans="1:26" ht="24.75" customHeight="1">
      <c r="A990" s="1"/>
      <c r="B990" s="1"/>
      <c r="C990" s="1"/>
      <c r="D990" s="1"/>
      <c r="E990" s="1"/>
      <c r="F990" s="1"/>
      <c r="G990" s="1"/>
      <c r="H990" s="1"/>
      <c r="I990" s="1"/>
      <c r="J990" s="1"/>
      <c r="K990" s="1"/>
      <c r="L990" s="1"/>
      <c r="M990" s="1"/>
      <c r="N990" s="1"/>
      <c r="O990" s="1"/>
      <c r="P990" s="1"/>
      <c r="Q990" s="1"/>
      <c r="R990" s="1"/>
      <c r="S990" s="1"/>
      <c r="T990" s="1"/>
      <c r="U990" s="2"/>
      <c r="V990" s="1"/>
      <c r="W990" s="1"/>
      <c r="X990" s="1"/>
      <c r="Y990" s="1"/>
      <c r="Z990" s="1"/>
    </row>
    <row r="991" spans="1:26" ht="24.75" customHeight="1">
      <c r="A991" s="1"/>
      <c r="B991" s="1"/>
      <c r="C991" s="1"/>
      <c r="D991" s="1"/>
      <c r="E991" s="1"/>
      <c r="F991" s="1"/>
      <c r="G991" s="1"/>
      <c r="H991" s="1"/>
      <c r="I991" s="1"/>
      <c r="J991" s="1"/>
      <c r="K991" s="1"/>
      <c r="L991" s="1"/>
      <c r="M991" s="1"/>
      <c r="N991" s="1"/>
      <c r="O991" s="1"/>
      <c r="P991" s="1"/>
      <c r="Q991" s="1"/>
      <c r="R991" s="1"/>
      <c r="S991" s="1"/>
      <c r="T991" s="1"/>
      <c r="U991" s="2"/>
      <c r="V991" s="1"/>
      <c r="W991" s="1"/>
      <c r="X991" s="1"/>
      <c r="Y991" s="1"/>
      <c r="Z991" s="1"/>
    </row>
    <row r="992" spans="1:26" ht="24.75" customHeight="1">
      <c r="A992" s="1"/>
      <c r="B992" s="1"/>
      <c r="C992" s="1"/>
      <c r="D992" s="1"/>
      <c r="E992" s="1"/>
      <c r="F992" s="1"/>
      <c r="G992" s="1"/>
      <c r="H992" s="1"/>
      <c r="I992" s="1"/>
      <c r="J992" s="1"/>
      <c r="K992" s="1"/>
      <c r="L992" s="1"/>
      <c r="M992" s="1"/>
      <c r="N992" s="1"/>
      <c r="O992" s="1"/>
      <c r="P992" s="1"/>
      <c r="Q992" s="1"/>
      <c r="R992" s="1"/>
      <c r="S992" s="1"/>
      <c r="T992" s="1"/>
      <c r="U992" s="2"/>
      <c r="V992" s="1"/>
      <c r="W992" s="1"/>
      <c r="X992" s="1"/>
      <c r="Y992" s="1"/>
      <c r="Z992" s="1"/>
    </row>
    <row r="993" spans="1:26" ht="24.75" customHeight="1">
      <c r="A993" s="1"/>
      <c r="B993" s="1"/>
      <c r="C993" s="1"/>
      <c r="D993" s="1"/>
      <c r="E993" s="1"/>
      <c r="F993" s="1"/>
      <c r="G993" s="1"/>
      <c r="H993" s="1"/>
      <c r="I993" s="1"/>
      <c r="J993" s="1"/>
      <c r="K993" s="1"/>
      <c r="L993" s="1"/>
      <c r="M993" s="1"/>
      <c r="N993" s="1"/>
      <c r="O993" s="1"/>
      <c r="P993" s="1"/>
      <c r="Q993" s="1"/>
      <c r="R993" s="1"/>
      <c r="S993" s="1"/>
      <c r="T993" s="1"/>
      <c r="U993" s="2"/>
      <c r="V993" s="1"/>
      <c r="W993" s="1"/>
      <c r="X993" s="1"/>
      <c r="Y993" s="1"/>
      <c r="Z993" s="1"/>
    </row>
    <row r="994" spans="1:26" ht="24.75" customHeight="1">
      <c r="A994" s="1"/>
      <c r="B994" s="1"/>
      <c r="C994" s="1"/>
      <c r="D994" s="1"/>
      <c r="E994" s="1"/>
      <c r="F994" s="1"/>
      <c r="G994" s="1"/>
      <c r="H994" s="1"/>
      <c r="I994" s="1"/>
      <c r="J994" s="1"/>
      <c r="K994" s="1"/>
      <c r="L994" s="1"/>
      <c r="M994" s="1"/>
      <c r="N994" s="1"/>
      <c r="O994" s="1"/>
      <c r="P994" s="1"/>
      <c r="Q994" s="1"/>
      <c r="R994" s="1"/>
      <c r="S994" s="1"/>
      <c r="T994" s="1"/>
      <c r="U994" s="2"/>
      <c r="V994" s="1"/>
      <c r="W994" s="1"/>
      <c r="X994" s="1"/>
      <c r="Y994" s="1"/>
      <c r="Z994" s="1"/>
    </row>
    <row r="995" spans="1:26" ht="24.75" customHeight="1">
      <c r="A995" s="1"/>
      <c r="B995" s="1"/>
      <c r="C995" s="1"/>
      <c r="D995" s="1"/>
      <c r="E995" s="1"/>
      <c r="F995" s="1"/>
      <c r="G995" s="1"/>
      <c r="H995" s="1"/>
      <c r="I995" s="1"/>
      <c r="J995" s="1"/>
      <c r="K995" s="1"/>
      <c r="L995" s="1"/>
      <c r="M995" s="1"/>
      <c r="N995" s="1"/>
      <c r="O995" s="1"/>
      <c r="P995" s="1"/>
      <c r="Q995" s="1"/>
      <c r="R995" s="1"/>
      <c r="S995" s="1"/>
      <c r="T995" s="1"/>
      <c r="U995" s="2"/>
      <c r="V995" s="1"/>
      <c r="W995" s="1"/>
      <c r="X995" s="1"/>
      <c r="Y995" s="1"/>
      <c r="Z995" s="1"/>
    </row>
    <row r="996" spans="1:26" ht="24.75" customHeight="1">
      <c r="A996" s="1"/>
      <c r="B996" s="1"/>
      <c r="C996" s="1"/>
      <c r="D996" s="1"/>
      <c r="E996" s="1"/>
      <c r="F996" s="1"/>
      <c r="G996" s="1"/>
      <c r="H996" s="1"/>
      <c r="I996" s="1"/>
      <c r="J996" s="1"/>
      <c r="K996" s="1"/>
      <c r="L996" s="1"/>
      <c r="M996" s="1"/>
      <c r="N996" s="1"/>
      <c r="O996" s="1"/>
      <c r="P996" s="1"/>
      <c r="Q996" s="1"/>
      <c r="R996" s="1"/>
      <c r="S996" s="1"/>
      <c r="T996" s="1"/>
      <c r="U996" s="2"/>
      <c r="V996" s="1"/>
      <c r="W996" s="1"/>
      <c r="X996" s="1"/>
      <c r="Y996" s="1"/>
      <c r="Z996" s="1"/>
    </row>
    <row r="997" spans="1:26" ht="24.75" customHeight="1">
      <c r="A997" s="1"/>
      <c r="B997" s="1"/>
      <c r="C997" s="1"/>
      <c r="D997" s="1"/>
      <c r="E997" s="1"/>
      <c r="F997" s="1"/>
      <c r="G997" s="1"/>
      <c r="H997" s="1"/>
      <c r="I997" s="1"/>
      <c r="J997" s="1"/>
      <c r="K997" s="1"/>
      <c r="L997" s="1"/>
      <c r="M997" s="1"/>
      <c r="N997" s="1"/>
      <c r="O997" s="1"/>
      <c r="P997" s="1"/>
      <c r="Q997" s="1"/>
      <c r="R997" s="1"/>
      <c r="S997" s="1"/>
      <c r="T997" s="1"/>
      <c r="U997" s="2"/>
      <c r="V997" s="1"/>
      <c r="W997" s="1"/>
      <c r="X997" s="1"/>
      <c r="Y997" s="1"/>
      <c r="Z997" s="1"/>
    </row>
    <row r="998" spans="1:26" ht="24.75" customHeight="1">
      <c r="A998" s="1"/>
      <c r="B998" s="1"/>
      <c r="C998" s="1"/>
      <c r="D998" s="1"/>
      <c r="E998" s="1"/>
      <c r="F998" s="1"/>
      <c r="G998" s="1"/>
      <c r="H998" s="1"/>
      <c r="I998" s="1"/>
      <c r="J998" s="1"/>
      <c r="K998" s="1"/>
      <c r="L998" s="1"/>
      <c r="M998" s="1"/>
      <c r="N998" s="1"/>
      <c r="O998" s="1"/>
      <c r="P998" s="1"/>
      <c r="Q998" s="1"/>
      <c r="R998" s="1"/>
      <c r="S998" s="1"/>
      <c r="T998" s="1"/>
      <c r="U998" s="2"/>
      <c r="V998" s="1"/>
      <c r="W998" s="1"/>
      <c r="X998" s="1"/>
      <c r="Y998" s="1"/>
      <c r="Z998" s="1"/>
    </row>
    <row r="999" spans="1:26" ht="24.75" customHeight="1">
      <c r="A999" s="1"/>
      <c r="B999" s="1"/>
      <c r="C999" s="1"/>
      <c r="D999" s="1"/>
      <c r="E999" s="1"/>
      <c r="F999" s="1"/>
      <c r="G999" s="1"/>
      <c r="H999" s="1"/>
      <c r="I999" s="1"/>
      <c r="J999" s="1"/>
      <c r="K999" s="1"/>
      <c r="L999" s="1"/>
      <c r="M999" s="1"/>
      <c r="N999" s="1"/>
      <c r="O999" s="1"/>
      <c r="P999" s="1"/>
      <c r="Q999" s="1"/>
      <c r="R999" s="1"/>
      <c r="S999" s="1"/>
      <c r="T999" s="1"/>
      <c r="U999" s="2"/>
      <c r="V999" s="1"/>
      <c r="W999" s="1"/>
      <c r="X999" s="1"/>
      <c r="Y999" s="1"/>
      <c r="Z999" s="1"/>
    </row>
    <row r="1000" spans="1:26" ht="24.75" customHeight="1">
      <c r="A1000" s="1"/>
      <c r="B1000" s="1"/>
      <c r="C1000" s="1"/>
      <c r="D1000" s="1"/>
      <c r="E1000" s="1"/>
      <c r="F1000" s="1"/>
      <c r="G1000" s="1"/>
      <c r="H1000" s="1"/>
      <c r="I1000" s="1"/>
      <c r="J1000" s="1"/>
      <c r="K1000" s="1"/>
      <c r="L1000" s="1"/>
      <c r="M1000" s="1"/>
      <c r="N1000" s="1"/>
      <c r="O1000" s="1"/>
      <c r="P1000" s="1"/>
      <c r="Q1000" s="1"/>
      <c r="R1000" s="1"/>
      <c r="S1000" s="1"/>
      <c r="T1000" s="1"/>
      <c r="U1000" s="2"/>
      <c r="V1000" s="1"/>
      <c r="W1000" s="1"/>
      <c r="X1000" s="1"/>
      <c r="Y1000" s="1"/>
      <c r="Z1000" s="1"/>
    </row>
  </sheetData>
  <mergeCells count="101">
    <mergeCell ref="B204:B206"/>
    <mergeCell ref="C204:C206"/>
    <mergeCell ref="B209:D209"/>
    <mergeCell ref="A210:D210"/>
    <mergeCell ref="A135:A158"/>
    <mergeCell ref="B135:B136"/>
    <mergeCell ref="B138:B144"/>
    <mergeCell ref="B145:B146"/>
    <mergeCell ref="B147:B149"/>
    <mergeCell ref="B158:D158"/>
    <mergeCell ref="A159:A209"/>
    <mergeCell ref="C135:C136"/>
    <mergeCell ref="C138:C144"/>
    <mergeCell ref="C145:C146"/>
    <mergeCell ref="C147:C149"/>
    <mergeCell ref="C150:C153"/>
    <mergeCell ref="B173:B179"/>
    <mergeCell ref="C173:C179"/>
    <mergeCell ref="B180:B183"/>
    <mergeCell ref="C180:C183"/>
    <mergeCell ref="B184:B186"/>
    <mergeCell ref="C184:C186"/>
    <mergeCell ref="B187:B192"/>
    <mergeCell ref="C187:C192"/>
    <mergeCell ref="B150:B153"/>
    <mergeCell ref="B159:B162"/>
    <mergeCell ref="C159:C162"/>
    <mergeCell ref="B163:B167"/>
    <mergeCell ref="C163:C167"/>
    <mergeCell ref="B168:B172"/>
    <mergeCell ref="C168:C172"/>
    <mergeCell ref="B202:B203"/>
    <mergeCell ref="C202:C203"/>
    <mergeCell ref="B194:B199"/>
    <mergeCell ref="C194:C199"/>
    <mergeCell ref="B200:B201"/>
    <mergeCell ref="C200:C201"/>
    <mergeCell ref="C94:C103"/>
    <mergeCell ref="B104:B105"/>
    <mergeCell ref="C104:C105"/>
    <mergeCell ref="B106:B110"/>
    <mergeCell ref="C106:C110"/>
    <mergeCell ref="B111:B113"/>
    <mergeCell ref="C111:C113"/>
    <mergeCell ref="B94:B103"/>
    <mergeCell ref="A94:A134"/>
    <mergeCell ref="B114:B118"/>
    <mergeCell ref="C114:C118"/>
    <mergeCell ref="B119:B120"/>
    <mergeCell ref="C119:C120"/>
    <mergeCell ref="B122:B125"/>
    <mergeCell ref="C122:C125"/>
    <mergeCell ref="B128:B130"/>
    <mergeCell ref="C128:C130"/>
    <mergeCell ref="B131:B132"/>
    <mergeCell ref="C131:C132"/>
    <mergeCell ref="B134:D134"/>
    <mergeCell ref="B79:B85"/>
    <mergeCell ref="C79:C85"/>
    <mergeCell ref="B75:B78"/>
    <mergeCell ref="B57:B66"/>
    <mergeCell ref="C57:C66"/>
    <mergeCell ref="A69:A93"/>
    <mergeCell ref="B70:B74"/>
    <mergeCell ref="C70:C74"/>
    <mergeCell ref="C75:C78"/>
    <mergeCell ref="B86:B89"/>
    <mergeCell ref="C86:C89"/>
    <mergeCell ref="B93:D93"/>
    <mergeCell ref="B47:B56"/>
    <mergeCell ref="C47:C56"/>
    <mergeCell ref="C6:C23"/>
    <mergeCell ref="B24:B25"/>
    <mergeCell ref="C24:C25"/>
    <mergeCell ref="Q4:Q5"/>
    <mergeCell ref="R4:R5"/>
    <mergeCell ref="S4:S5"/>
    <mergeCell ref="A1:E1"/>
    <mergeCell ref="A4:A5"/>
    <mergeCell ref="C4:C5"/>
    <mergeCell ref="D4:D5"/>
    <mergeCell ref="E4:E5"/>
    <mergeCell ref="F4:F5"/>
    <mergeCell ref="A6:A68"/>
    <mergeCell ref="B68:D68"/>
    <mergeCell ref="B4:B5"/>
    <mergeCell ref="B6:B23"/>
    <mergeCell ref="B26:B36"/>
    <mergeCell ref="C26:C36"/>
    <mergeCell ref="B37:B39"/>
    <mergeCell ref="C37:C39"/>
    <mergeCell ref="B40:B46"/>
    <mergeCell ref="U4:U5"/>
    <mergeCell ref="G4:H4"/>
    <mergeCell ref="I4:I5"/>
    <mergeCell ref="J4:L4"/>
    <mergeCell ref="M4:M5"/>
    <mergeCell ref="N4:N5"/>
    <mergeCell ref="O4:O5"/>
    <mergeCell ref="P4:P5"/>
    <mergeCell ref="C40:C46"/>
  </mergeCell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Worksheets</vt:lpstr>
      </vt:variant>
      <vt:variant>
        <vt:i4>16</vt:i4>
      </vt:variant>
    </vt:vector>
  </HeadingPairs>
  <TitlesOfParts>
    <vt:vector size="16" baseType="lpstr">
      <vt:lpstr>TVM</vt:lpstr>
      <vt:lpstr>KLM</vt:lpstr>
      <vt:lpstr>PTA</vt:lpstr>
      <vt:lpstr>ALP</vt:lpstr>
      <vt:lpstr>KTYM</vt:lpstr>
      <vt:lpstr>IDK</vt:lpstr>
      <vt:lpstr>EKM</vt:lpstr>
      <vt:lpstr>TSR</vt:lpstr>
      <vt:lpstr>PLKD</vt:lpstr>
      <vt:lpstr>MLPM</vt:lpstr>
      <vt:lpstr>KKD</vt:lpstr>
      <vt:lpstr>WYND</vt:lpstr>
      <vt:lpstr>KNR</vt:lpstr>
      <vt:lpstr>KSRGD</vt:lpstr>
      <vt:lpstr>SHS</vt:lpstr>
      <vt:lpstr>TOTAL</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Acer</dc:creator>
  <cp:lastModifiedBy>Acer</cp:lastModifiedBy>
  <dcterms:created xsi:type="dcterms:W3CDTF">2022-08-08T06:21:35Z</dcterms:created>
  <dcterms:modified xsi:type="dcterms:W3CDTF">2022-08-16T05:06:00Z</dcterms:modified>
</cp:coreProperties>
</file>